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4.15.22\"/>
    </mc:Choice>
  </mc:AlternateContent>
  <xr:revisionPtr revIDLastSave="0" documentId="8_{F714DBB0-1405-4C68-A3E8-ABA68505E243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Macro1" sheetId="18" state="hidden" r:id="rId1"/>
    <sheet name="Disclaimer" sheetId="6" r:id="rId2"/>
    <sheet name="Balance Sheet" sheetId="32" r:id="rId3"/>
    <sheet name="Repo Details and VaR" sheetId="13" r:id="rId4"/>
    <sheet name="Facilities &amp; Bond Details" sheetId="24" r:id="rId5"/>
    <sheet name="Money Fund Details" sheetId="37" r:id="rId6"/>
    <sheet name="Security &amp; Cash Log" sheetId="15" r:id="rId7"/>
    <sheet name="Securities Reconciliation" sheetId="26" r:id="rId8"/>
    <sheet name="MMF Acc Rec" sheetId="36" r:id="rId9"/>
    <sheet name="Risk Report" sheetId="25" r:id="rId10"/>
    <sheet name="Repo Curves &amp; Graphs" sheetId="19" r:id="rId11"/>
    <sheet name="Names &amp; Addresses" sheetId="33" r:id="rId12"/>
    <sheet name="HairCut Report" sheetId="27" r:id="rId13"/>
    <sheet name="Credit &amp; Correlation" sheetId="23" r:id="rId14"/>
    <sheet name="Filtered Repo Trade Data" sheetId="29" r:id="rId15"/>
    <sheet name="Bond Data" sheetId="20" r:id="rId16"/>
    <sheet name="Used Price Data" sheetId="38" r:id="rId17"/>
    <sheet name="Vantage Data USG" sheetId="22" r:id="rId18"/>
    <sheet name="Vantage Data Prime" sheetId="34" r:id="rId19"/>
    <sheet name="Vantage Proxy List" sheetId="35" r:id="rId20"/>
  </sheets>
  <externalReferences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2" hidden="1">'Balance Sheet'!$A$28:$S$72</definedName>
    <definedName name="_xlnm._FilterDatabase" localSheetId="15" hidden="1">'Bond Data'!$A$8:$AD$604</definedName>
    <definedName name="_xlnm._FilterDatabase" localSheetId="4" hidden="1">'Facilities &amp; Bond Details'!$A$3:$O$24</definedName>
    <definedName name="_xlnm._FilterDatabase" localSheetId="5" hidden="1">'Money Fund Details'!$B$6:$S$6</definedName>
    <definedName name="_xlnm._FilterDatabase" localSheetId="3" hidden="1">'Repo Details and VaR'!$A$82:$AV$137</definedName>
    <definedName name="_xlnm._FilterDatabase" localSheetId="7" hidden="1">'Securities Reconciliation'!$J$4:$Q$609</definedName>
    <definedName name="_xlnm._FilterDatabase" localSheetId="6" hidden="1">'Security &amp; Cash Log'!$A$2:$V$1447</definedName>
    <definedName name="Agncy_MBS_Repo">'Repo Curves &amp; Graphs'!$G$8:$H$14</definedName>
    <definedName name="AllFilteredRepoDataStart">'Filtered Repo Trade Data'!$A$2</definedName>
    <definedName name="BBRG_Valdate">'Repo Details and VaR'!$B$4</definedName>
    <definedName name="BBRGValDate">'Bond Data'!$B$4</definedName>
    <definedName name="BD_Headings">'Bond Data'!$A$5:$AM$7</definedName>
    <definedName name="BloomBergRepoRates">'Repo Curves &amp; Graphs'!$D$8:$D$25</definedName>
    <definedName name="BondData">'Bond Data'!$A$8:$AM$4999</definedName>
    <definedName name="bonddatastart">'Bond Data'!$A$2</definedName>
    <definedName name="BookFileName">'Names &amp; Addresses'!$C$14</definedName>
    <definedName name="BorrBorrCorr">'Repo Details and VaR'!$B$7</definedName>
    <definedName name="BS_RepoRange">'Balance Sheet'!$A$29:$A$29</definedName>
    <definedName name="BSBuildResult">'Balance Sheet'!$P$9</definedName>
    <definedName name="BuildVarResult">'Repo Details and VaR'!$N$4</definedName>
    <definedName name="CF_Dates">'Security &amp; Cash Log'!$A$4:$A$18904</definedName>
    <definedName name="CF_Descriptions">'Security &amp; Cash Log'!$P$4:$P$18904</definedName>
    <definedName name="CF_Expenses">'Security &amp; Cash Log'!$H$4:$H$18904</definedName>
    <definedName name="CF_Main">'Security &amp; Cash Log'!$D$4:$D$18904</definedName>
    <definedName name="CF_Main_EUR">'Security &amp; Cash Log'!$F$4:$F$18904</definedName>
    <definedName name="CF_Margin">'Security &amp; Cash Log'!$J$4:$J$18904</definedName>
    <definedName name="CF_Mgmt">'Security &amp; Cash Log'!$L$4:$L$18904</definedName>
    <definedName name="CF_SubRedemp">'Security &amp; Cash Log'!$N$4:$N$18904</definedName>
    <definedName name="Correlations">'Credit &amp; Correlation'!$AA$6:$AB$8</definedName>
    <definedName name="ctpty1">'Repo Details and VaR'!$B$50</definedName>
    <definedName name="ctpty10">'Repo Details and VaR'!$B$147</definedName>
    <definedName name="ctpty11">'Repo Details and VaR'!$B$150</definedName>
    <definedName name="ctpty12">'Repo Details and VaR'!$B$153</definedName>
    <definedName name="ctpty2">'Repo Details and VaR'!$B$65</definedName>
    <definedName name="ctpty3">'Repo Details and VaR'!$B$69</definedName>
    <definedName name="ctpty4">'Repo Details and VaR'!$B$72</definedName>
    <definedName name="ctpty5">'Repo Details and VaR'!$B$82</definedName>
    <definedName name="ctpty6">'Repo Details and VaR'!$B$86</definedName>
    <definedName name="ctpty7">'Repo Details and VaR'!$B$116</definedName>
    <definedName name="ctpty8">'Repo Details and VaR'!$B$141</definedName>
    <definedName name="ctpty9">'Repo Details and VaR'!$B$144</definedName>
    <definedName name="CtptyInfo">'Credit &amp; Correlation'!$B$7:$P$170</definedName>
    <definedName name="CtptyInfoFile">'Names &amp; Addresses'!$C$19</definedName>
    <definedName name="ctptyinfostart">'Credit &amp; Correlation'!$B$7</definedName>
    <definedName name="CtptyRepoRange">'Repo Details and VaR'!$A$51:$A$238</definedName>
    <definedName name="CUSIPRepoRange">'Repo Details and VaR'!$B$51:$B$238</definedName>
    <definedName name="Default_Grid">'Credit &amp; Correlation'!$T$8:$X$25</definedName>
    <definedName name="ErrorMessage">'Repo Details and VaR'!$G$4</definedName>
    <definedName name="EURFX">'Balance Sheet'!$B$15</definedName>
    <definedName name="ExpAccrualStartDate" localSheetId="2">'Balance Sheet'!$C$75</definedName>
    <definedName name="FilteredRepoData">'Filtered Repo Trade Data'!$B$19:$O$2035</definedName>
    <definedName name="FilteredRepoDataFile">'Names &amp; Addresses'!$C$16</definedName>
    <definedName name="FilteredRepoDataStart">'Filtered Repo Trade Data'!$B$19</definedName>
    <definedName name="FundName">'Repo Details and VaR'!$L$1</definedName>
    <definedName name="FX_TABLE">'Balance Sheet'!$A$15:$C$16</definedName>
    <definedName name="Holidays">'Repo Curves &amp; Graphs'!$AC$6:$AC$44</definedName>
    <definedName name="IMRRepoCollateralStart">'Securities Reconciliation'!$D$18</definedName>
    <definedName name="InventoryOfTrades">'Repo Details and VaR'!$B$48:$U$71</definedName>
    <definedName name="LastSaved">'Balance Sheet'!$D$2</definedName>
    <definedName name="M_MgmtFee" localSheetId="2">'Balance Sheet'!$B$79</definedName>
    <definedName name="MgmtFeeWaiver" localSheetId="2">'Balance Sheet'!$D$79</definedName>
    <definedName name="MMF_Details" localSheetId="5">'Money Fund Details'!$A$7:$Q$4585</definedName>
    <definedName name="MMF_Details">'Facilities &amp; Bond Details'!$A$43:$Z$4621</definedName>
    <definedName name="MMF_Xdiv">'Balance Sheet'!$H$2</definedName>
    <definedName name="MMTAUM">'Facilities &amp; Bond Details'!$Y$41</definedName>
    <definedName name="MultiB_CounterpartyData" localSheetId="3">'Repo Details and VaR'!$W$39:$Y$39</definedName>
    <definedName name="MultiB_NumPaths" localSheetId="3">'Repo Details and VaR'!$B$8</definedName>
    <definedName name="MultiB_Repodata" localSheetId="3">'Repo Details and VaR'!$AK$51:$AP$238</definedName>
    <definedName name="MultiB_RepoData_Start">'Repo Details and VaR'!$AL$51</definedName>
    <definedName name="NewRates">'Repo Curves &amp; Graphs'!$D$8:$D$19</definedName>
    <definedName name="Num_Borr">'Repo Details and VaR'!$B$6</definedName>
    <definedName name="OldRates">'Repo Curves &amp; Graphs'!$I$8:$I$19</definedName>
    <definedName name="OrigPortion">'Balance Sheet'!$K$78</definedName>
    <definedName name="PrevValDate">'Balance Sheet'!$B$6</definedName>
    <definedName name="PriceCompare">'Repo Details and VaR'!$AR$51:$AS$688</definedName>
    <definedName name="PriceCompareStart">'Repo Details and VaR'!$AS$51</definedName>
    <definedName name="_xlnm.Print_Area" localSheetId="12">'HairCut Report'!$A$1:$G$51</definedName>
    <definedName name="_xlnm.Print_Area" localSheetId="9">'Risk Report'!$A$1:$V$87</definedName>
    <definedName name="RepoCorrData">'Repo Details and VaR'!$U$39:$V$39</definedName>
    <definedName name="RepoRangeStart">'Balance Sheet'!$A$29</definedName>
    <definedName name="RepoSummarybyCtptyStart">'Repo Details and VaR'!$A$38</definedName>
    <definedName name="ResidualPrevPmt">'Facilities &amp; Bond Details'!$F$28</definedName>
    <definedName name="ResidualToday">'Facilities &amp; Bond Details'!$G$28</definedName>
    <definedName name="Resultsrange">'Repo Details and VaR'!$A$13</definedName>
    <definedName name="RiskFilePDF">'Names &amp; Addresses'!$C$5</definedName>
    <definedName name="RiskFileXl">'Names &amp; Addresses'!$C$4</definedName>
    <definedName name="RiskReportRange">'Risk Report'!$A$2:$V$87</definedName>
    <definedName name="RiskTemplate">'Names &amp; Addresses'!$C$3</definedName>
    <definedName name="RR_BuildResult">'Risk Report'!$Y$3</definedName>
    <definedName name="RR_Ctpty1">'Risk Report'!$B$65</definedName>
    <definedName name="RR_Ctpty10">'Risk Report'!$B$108</definedName>
    <definedName name="RR_Ctpty11">'Risk Report'!$B$111</definedName>
    <definedName name="RR_Ctpty12">'Risk Report'!$B$114</definedName>
    <definedName name="RR_Ctpty13">'Risk Report'!$B$117</definedName>
    <definedName name="RR_Ctpty14">'Risk Report'!$B$120</definedName>
    <definedName name="RR_Ctpty15">'Risk Report'!$B$123</definedName>
    <definedName name="RR_Ctpty16">'Risk Report'!$B$126</definedName>
    <definedName name="RR_Ctpty17">'Risk Report'!$B$129</definedName>
    <definedName name="RR_Ctpty18">'Risk Report'!$B$132</definedName>
    <definedName name="RR_Ctpty19">'Risk Report'!$B$135</definedName>
    <definedName name="RR_Ctpty2">'Risk Report'!$B$71</definedName>
    <definedName name="RR_Ctpty20">'Risk Report'!$B$138</definedName>
    <definedName name="RR_Ctpty3">'Risk Report'!$B$82</definedName>
    <definedName name="RR_Ctpty4">'Risk Report'!$B$90</definedName>
    <definedName name="RR_Ctpty5">'Risk Report'!$B$93</definedName>
    <definedName name="RR_Ctpty6">'Risk Report'!$B$96</definedName>
    <definedName name="RR_Ctpty7">'Risk Report'!$B$99</definedName>
    <definedName name="RR_Ctpty8">'Risk Report'!$B$102</definedName>
    <definedName name="RR_Ctpty9">'Risk Report'!$B$105</definedName>
    <definedName name="RR_CtptyRange">'Risk Report'!$A$30:$A$30</definedName>
    <definedName name="RR_CtptyRangeStart">'Risk Report'!$A$30</definedName>
    <definedName name="RR_RepoRange">'Risk Report'!$A$9:$A$9</definedName>
    <definedName name="RR_RepoRangeStart">'Risk Report'!$A$9</definedName>
    <definedName name="RR_SpareCapacity">'Risk Report'!$A$89</definedName>
    <definedName name="SecHldgsArea">'Securities Reconciliation'!$J$5:$O$364</definedName>
    <definedName name="SecHldgsFile">'Names &amp; Addresses'!$C$17</definedName>
    <definedName name="SecHldgsFile2">'Names &amp; Addresses'!$C$18</definedName>
    <definedName name="SecHldgsStart">'Securities Reconciliation'!$J$5</definedName>
    <definedName name="SendRiskReportTo">'Names &amp; Addresses'!$C$7:$C$11</definedName>
    <definedName name="SeriesData">'Filtered Repo Trade Data'!$B$5:$U$15</definedName>
    <definedName name="SeriesDataStart">'Filtered Repo Trade Data'!$B$5</definedName>
    <definedName name="SeriesName">'Repo Details and VaR'!$L$2</definedName>
    <definedName name="SpareCapacity">'Repo Details and VaR'!$A$126</definedName>
    <definedName name="StressResults">'Repo Details and VaR'!$A$25</definedName>
    <definedName name="StressRun">'Repo Details and VaR'!$G$3</definedName>
    <definedName name="Subject_Line">'Names &amp; Addresses'!$C$6</definedName>
    <definedName name="Thresh1">'Facilities &amp; Bond Details'!#REF!</definedName>
    <definedName name="Thresh2">'Facilities &amp; Bond Details'!#REF!</definedName>
    <definedName name="today" localSheetId="3">'Repo Details and VaR'!$B$3</definedName>
    <definedName name="Today_BalSht">'Balance Sheet'!$L$14:$L$20</definedName>
    <definedName name="UnusedFee1">'Facilities &amp; Bond Details'!$H$28</definedName>
    <definedName name="Usage_Main">'Security &amp; Cash Log'!$B$4:$B$18904</definedName>
    <definedName name="Used_Price_Data_Start">'[1]Used Price Data'!$A$1</definedName>
    <definedName name="Used_Prices">'Used Price Data'!$A$2:$B$1101</definedName>
    <definedName name="UsedPricesFile">'Names &amp; Addresses'!$C$20</definedName>
    <definedName name="UsedRates">'Repo Curves &amp; Graphs'!$E$8:$E$19</definedName>
    <definedName name="ValDate">'Balance Sheet'!$B$4</definedName>
    <definedName name="VantageDataFile">'Names &amp; Addresses'!$C$15</definedName>
    <definedName name="VantageDataPrimeRange">'Vantage Data Prime'!$B$7:$AA$500</definedName>
    <definedName name="VantageDataPrimeStart">'Vantage Data Prime'!$B$7</definedName>
    <definedName name="VantageDataUSGRange">'Vantage Data USG'!$B$7:$AA$500</definedName>
    <definedName name="VantageDataUSGStart">'Vantage Data USG'!$B$7</definedName>
    <definedName name="VantageProxyDataStart">'Vantage Proxy List'!$A$3</definedName>
    <definedName name="VantageProxyDictionary">'Vantage Proxy List'!$A$7:$B$35</definedName>
    <definedName name="VarCompare">'Repo Details and VaR'!$Q$15:$V$28</definedName>
    <definedName name="VarCompareStart">'Repo Details and VaR'!$T$15</definedName>
    <definedName name="YestBalShtStart">'Balance Sheet'!$M$14</definedName>
    <definedName name="Yesterday">'Balance Sheet'!$B$5</definedName>
    <definedName name="YestEURFX">'Balance Sheet'!$C$15</definedName>
    <definedName name="Yield_Estimate">'Risk Report'!$O$11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32" l="1"/>
  <c r="H24" i="32" s="1"/>
  <c r="H18" i="32"/>
  <c r="I18" i="32" s="1"/>
  <c r="H23" i="32"/>
  <c r="I23" i="32" s="1"/>
  <c r="H22" i="32"/>
  <c r="I22" i="32" s="1"/>
  <c r="H20" i="32"/>
  <c r="I20" i="32" s="1"/>
  <c r="H19" i="32"/>
  <c r="I19" i="32" s="1"/>
  <c r="C25" i="32"/>
  <c r="C24" i="32"/>
  <c r="C23" i="32"/>
  <c r="I16" i="19"/>
  <c r="I8" i="19"/>
  <c r="I11" i="19"/>
  <c r="I13" i="19"/>
  <c r="I10" i="19"/>
  <c r="I12" i="19"/>
  <c r="I17" i="19"/>
  <c r="I9" i="19"/>
  <c r="I15" i="19"/>
  <c r="I14" i="19"/>
  <c r="I19" i="19"/>
  <c r="I18" i="19"/>
  <c r="I21" i="32" l="1"/>
  <c r="I24" i="32"/>
  <c r="H25" i="32"/>
  <c r="I25" i="32" s="1"/>
  <c r="AV125" i="13"/>
  <c r="AU125" i="13"/>
  <c r="AE125" i="13" s="1"/>
  <c r="AP125" i="13" s="1"/>
  <c r="AM125" i="13"/>
  <c r="AK125" i="13"/>
  <c r="AJ125" i="13"/>
  <c r="AI125" i="13"/>
  <c r="AH125" i="13"/>
  <c r="AG125" i="13"/>
  <c r="U125" i="13"/>
  <c r="T125" i="13"/>
  <c r="L125" i="13"/>
  <c r="K125" i="13"/>
  <c r="AO125" i="13" s="1"/>
  <c r="J125" i="13"/>
  <c r="W125" i="13" s="1"/>
  <c r="Z125" i="13" s="1"/>
  <c r="AA125" i="13" s="1"/>
  <c r="I125" i="13"/>
  <c r="H125" i="13"/>
  <c r="G125" i="13"/>
  <c r="E125" i="13"/>
  <c r="D125" i="13"/>
  <c r="C125" i="13"/>
  <c r="AV124" i="13"/>
  <c r="AU124" i="13"/>
  <c r="AM124" i="13"/>
  <c r="AK124" i="13"/>
  <c r="AJ124" i="13"/>
  <c r="AI124" i="13"/>
  <c r="AH124" i="13"/>
  <c r="AG124" i="13"/>
  <c r="U124" i="13"/>
  <c r="T124" i="13"/>
  <c r="L124" i="13"/>
  <c r="K124" i="13"/>
  <c r="AO124" i="13" s="1"/>
  <c r="J124" i="13"/>
  <c r="W124" i="13" s="1"/>
  <c r="Z124" i="13" s="1"/>
  <c r="I124" i="13"/>
  <c r="AR124" i="13" s="1"/>
  <c r="H124" i="13"/>
  <c r="AF124" i="13" s="1"/>
  <c r="AQ124" i="13" s="1"/>
  <c r="G124" i="13"/>
  <c r="E124" i="13"/>
  <c r="D124" i="13"/>
  <c r="C124" i="13"/>
  <c r="AV123" i="13"/>
  <c r="AU123" i="13"/>
  <c r="AM123" i="13"/>
  <c r="AK123" i="13"/>
  <c r="AJ123" i="13"/>
  <c r="AI123" i="13"/>
  <c r="AH123" i="13"/>
  <c r="AG123" i="13"/>
  <c r="AD123" i="13"/>
  <c r="AL123" i="13" s="1"/>
  <c r="U123" i="13"/>
  <c r="T123" i="13"/>
  <c r="L123" i="13"/>
  <c r="K123" i="13"/>
  <c r="AO123" i="13" s="1"/>
  <c r="J123" i="13"/>
  <c r="I123" i="13"/>
  <c r="AR123" i="13" s="1"/>
  <c r="H123" i="13"/>
  <c r="G123" i="13"/>
  <c r="E123" i="13"/>
  <c r="D123" i="13"/>
  <c r="C123" i="13"/>
  <c r="AV122" i="13"/>
  <c r="AU122" i="13"/>
  <c r="AM122" i="13"/>
  <c r="AK122" i="13"/>
  <c r="AJ122" i="13"/>
  <c r="AI122" i="13"/>
  <c r="AH122" i="13"/>
  <c r="AG122" i="13"/>
  <c r="U122" i="13"/>
  <c r="T122" i="13"/>
  <c r="L122" i="13"/>
  <c r="M122" i="13" s="1"/>
  <c r="K122" i="13"/>
  <c r="AO122" i="13" s="1"/>
  <c r="J122" i="13"/>
  <c r="I122" i="13"/>
  <c r="H122" i="13"/>
  <c r="G122" i="13"/>
  <c r="E122" i="13"/>
  <c r="D122" i="13"/>
  <c r="C122" i="13"/>
  <c r="AV121" i="13"/>
  <c r="AU121" i="13"/>
  <c r="AM121" i="13"/>
  <c r="AK121" i="13"/>
  <c r="AJ121" i="13"/>
  <c r="AI121" i="13"/>
  <c r="AH121" i="13"/>
  <c r="AG121" i="13"/>
  <c r="U121" i="13"/>
  <c r="T121" i="13"/>
  <c r="M121" i="13"/>
  <c r="L121" i="13"/>
  <c r="K121" i="13"/>
  <c r="AO121" i="13" s="1"/>
  <c r="J121" i="13"/>
  <c r="W121" i="13" s="1"/>
  <c r="Z121" i="13" s="1"/>
  <c r="AA121" i="13" s="1"/>
  <c r="I121" i="13"/>
  <c r="AR121" i="13" s="1"/>
  <c r="H121" i="13"/>
  <c r="G121" i="13"/>
  <c r="E121" i="13"/>
  <c r="D121" i="13"/>
  <c r="C121" i="13"/>
  <c r="AV120" i="13"/>
  <c r="AU120" i="13"/>
  <c r="AM120" i="13"/>
  <c r="AK120" i="13"/>
  <c r="AJ120" i="13"/>
  <c r="AI120" i="13"/>
  <c r="AH120" i="13"/>
  <c r="AG120" i="13"/>
  <c r="AE120" i="13"/>
  <c r="AP120" i="13" s="1"/>
  <c r="U120" i="13"/>
  <c r="T120" i="13"/>
  <c r="L120" i="13"/>
  <c r="N120" i="13" s="1"/>
  <c r="X120" i="13" s="1"/>
  <c r="AB120" i="13" s="1"/>
  <c r="AC120" i="13" s="1"/>
  <c r="K120" i="13"/>
  <c r="AO120" i="13" s="1"/>
  <c r="J120" i="13"/>
  <c r="W120" i="13" s="1"/>
  <c r="Z120" i="13" s="1"/>
  <c r="I120" i="13"/>
  <c r="H120" i="13"/>
  <c r="G120" i="13"/>
  <c r="E120" i="13"/>
  <c r="D120" i="13"/>
  <c r="C120" i="13"/>
  <c r="AV119" i="13"/>
  <c r="AU119" i="13"/>
  <c r="AF119" i="13" s="1"/>
  <c r="AQ119" i="13" s="1"/>
  <c r="AM119" i="13"/>
  <c r="AK119" i="13"/>
  <c r="AJ119" i="13"/>
  <c r="AI119" i="13"/>
  <c r="AH119" i="13"/>
  <c r="AG119" i="13"/>
  <c r="U119" i="13"/>
  <c r="T119" i="13"/>
  <c r="L119" i="13"/>
  <c r="K119" i="13"/>
  <c r="AO119" i="13" s="1"/>
  <c r="J119" i="13"/>
  <c r="I119" i="13"/>
  <c r="W119" i="13" s="1"/>
  <c r="Z119" i="13" s="1"/>
  <c r="AA119" i="13" s="1"/>
  <c r="H119" i="13"/>
  <c r="G119" i="13"/>
  <c r="E119" i="13"/>
  <c r="D119" i="13"/>
  <c r="C119" i="13"/>
  <c r="AV118" i="13"/>
  <c r="AU118" i="13"/>
  <c r="AM118" i="13"/>
  <c r="AK118" i="13"/>
  <c r="AJ118" i="13"/>
  <c r="AI118" i="13"/>
  <c r="AH118" i="13"/>
  <c r="AG118" i="13"/>
  <c r="AF118" i="13"/>
  <c r="AQ118" i="13" s="1"/>
  <c r="U118" i="13"/>
  <c r="T118" i="13"/>
  <c r="L118" i="13"/>
  <c r="M118" i="13" s="1"/>
  <c r="K118" i="13"/>
  <c r="AO118" i="13" s="1"/>
  <c r="J118" i="13"/>
  <c r="I118" i="13"/>
  <c r="H118" i="13"/>
  <c r="AE118" i="13" s="1"/>
  <c r="AP118" i="13" s="1"/>
  <c r="G118" i="13"/>
  <c r="E118" i="13"/>
  <c r="D118" i="13"/>
  <c r="C118" i="13"/>
  <c r="AV115" i="13"/>
  <c r="AU115" i="13"/>
  <c r="AE115" i="13" s="1"/>
  <c r="AP115" i="13" s="1"/>
  <c r="AO115" i="13"/>
  <c r="AM115" i="13"/>
  <c r="AK115" i="13"/>
  <c r="AJ115" i="13"/>
  <c r="AI115" i="13"/>
  <c r="AH115" i="13"/>
  <c r="AG115" i="13"/>
  <c r="AF115" i="13"/>
  <c r="AQ115" i="13" s="1"/>
  <c r="AD115" i="13"/>
  <c r="U115" i="13"/>
  <c r="T115" i="13"/>
  <c r="L115" i="13"/>
  <c r="K115" i="13"/>
  <c r="J115" i="13"/>
  <c r="I115" i="13"/>
  <c r="W115" i="13" s="1"/>
  <c r="Z115" i="13" s="1"/>
  <c r="AA115" i="13" s="1"/>
  <c r="H115" i="13"/>
  <c r="G115" i="13"/>
  <c r="E115" i="13"/>
  <c r="D115" i="13"/>
  <c r="C115" i="13"/>
  <c r="AV114" i="13"/>
  <c r="AU114" i="13"/>
  <c r="AM114" i="13"/>
  <c r="AK114" i="13"/>
  <c r="AJ114" i="13"/>
  <c r="AI114" i="13"/>
  <c r="AH114" i="13"/>
  <c r="AG114" i="13"/>
  <c r="U114" i="13"/>
  <c r="T114" i="13"/>
  <c r="L114" i="13"/>
  <c r="K114" i="13"/>
  <c r="AO114" i="13" s="1"/>
  <c r="J114" i="13"/>
  <c r="W114" i="13" s="1"/>
  <c r="Z114" i="13" s="1"/>
  <c r="I114" i="13"/>
  <c r="AR114" i="13" s="1"/>
  <c r="H114" i="13"/>
  <c r="G114" i="13"/>
  <c r="E114" i="13"/>
  <c r="D114" i="13"/>
  <c r="C114" i="13"/>
  <c r="AV113" i="13"/>
  <c r="AU113" i="13"/>
  <c r="AM113" i="13"/>
  <c r="AK113" i="13"/>
  <c r="AJ113" i="13"/>
  <c r="AI113" i="13"/>
  <c r="AH113" i="13"/>
  <c r="AG113" i="13"/>
  <c r="AF113" i="13"/>
  <c r="AQ113" i="13" s="1"/>
  <c r="W113" i="13"/>
  <c r="Z113" i="13" s="1"/>
  <c r="U113" i="13"/>
  <c r="T113" i="13"/>
  <c r="L113" i="13"/>
  <c r="K113" i="13"/>
  <c r="AO113" i="13" s="1"/>
  <c r="J113" i="13"/>
  <c r="I113" i="13"/>
  <c r="N113" i="13" s="1"/>
  <c r="X113" i="13" s="1"/>
  <c r="AB113" i="13" s="1"/>
  <c r="AC113" i="13" s="1"/>
  <c r="H113" i="13"/>
  <c r="G113" i="13"/>
  <c r="E113" i="13"/>
  <c r="D113" i="13"/>
  <c r="C113" i="13"/>
  <c r="AV112" i="13"/>
  <c r="AU112" i="13"/>
  <c r="AF112" i="13" s="1"/>
  <c r="AQ112" i="13" s="1"/>
  <c r="AR112" i="13"/>
  <c r="AM112" i="13"/>
  <c r="AK112" i="13"/>
  <c r="AJ112" i="13"/>
  <c r="AI112" i="13"/>
  <c r="AH112" i="13"/>
  <c r="AG112" i="13"/>
  <c r="U112" i="13"/>
  <c r="T112" i="13"/>
  <c r="L112" i="13"/>
  <c r="M112" i="13" s="1"/>
  <c r="K112" i="13"/>
  <c r="AO112" i="13" s="1"/>
  <c r="J112" i="13"/>
  <c r="W112" i="13" s="1"/>
  <c r="Z112" i="13" s="1"/>
  <c r="I112" i="13"/>
  <c r="N112" i="13" s="1"/>
  <c r="X112" i="13" s="1"/>
  <c r="AB112" i="13" s="1"/>
  <c r="H112" i="13"/>
  <c r="G112" i="13"/>
  <c r="E112" i="13"/>
  <c r="D112" i="13"/>
  <c r="C112" i="13"/>
  <c r="AV111" i="13"/>
  <c r="AU111" i="13"/>
  <c r="AD111" i="13" s="1"/>
  <c r="AL111" i="13" s="1"/>
  <c r="AM111" i="13"/>
  <c r="AK111" i="13"/>
  <c r="AJ111" i="13"/>
  <c r="AI111" i="13"/>
  <c r="AH111" i="13"/>
  <c r="AG111" i="13"/>
  <c r="AF111" i="13"/>
  <c r="AQ111" i="13" s="1"/>
  <c r="AE111" i="13"/>
  <c r="AP111" i="13" s="1"/>
  <c r="U111" i="13"/>
  <c r="T111" i="13"/>
  <c r="L111" i="13"/>
  <c r="M111" i="13" s="1"/>
  <c r="K111" i="13"/>
  <c r="AO111" i="13" s="1"/>
  <c r="J111" i="13"/>
  <c r="I111" i="13"/>
  <c r="AR111" i="13" s="1"/>
  <c r="H111" i="13"/>
  <c r="G111" i="13"/>
  <c r="E111" i="13"/>
  <c r="D111" i="13"/>
  <c r="C111" i="13"/>
  <c r="AV110" i="13"/>
  <c r="AU110" i="13"/>
  <c r="AE110" i="13" s="1"/>
  <c r="AP110" i="13" s="1"/>
  <c r="AM110" i="13"/>
  <c r="AK110" i="13"/>
  <c r="AJ110" i="13"/>
  <c r="AI110" i="13"/>
  <c r="AH110" i="13"/>
  <c r="AG110" i="13"/>
  <c r="U110" i="13"/>
  <c r="T110" i="13"/>
  <c r="L110" i="13"/>
  <c r="M110" i="13" s="1"/>
  <c r="K110" i="13"/>
  <c r="AO110" i="13" s="1"/>
  <c r="J110" i="13"/>
  <c r="W110" i="13" s="1"/>
  <c r="Z110" i="13" s="1"/>
  <c r="I110" i="13"/>
  <c r="N110" i="13" s="1"/>
  <c r="X110" i="13" s="1"/>
  <c r="AB110" i="13" s="1"/>
  <c r="H110" i="13"/>
  <c r="G110" i="13"/>
  <c r="E110" i="13"/>
  <c r="D110" i="13"/>
  <c r="C110" i="13"/>
  <c r="AV109" i="13"/>
  <c r="AU109" i="13"/>
  <c r="AM109" i="13"/>
  <c r="AK109" i="13"/>
  <c r="AJ109" i="13"/>
  <c r="AI109" i="13"/>
  <c r="AH109" i="13"/>
  <c r="AG109" i="13"/>
  <c r="U109" i="13"/>
  <c r="T109" i="13"/>
  <c r="L109" i="13"/>
  <c r="M109" i="13" s="1"/>
  <c r="K109" i="13"/>
  <c r="AO109" i="13" s="1"/>
  <c r="J109" i="13"/>
  <c r="I109" i="13"/>
  <c r="AR109" i="13" s="1"/>
  <c r="H109" i="13"/>
  <c r="G109" i="13"/>
  <c r="E109" i="13"/>
  <c r="D109" i="13"/>
  <c r="C109" i="13"/>
  <c r="AV108" i="13"/>
  <c r="AU108" i="13"/>
  <c r="AF108" i="13" s="1"/>
  <c r="AQ108" i="13" s="1"/>
  <c r="AM108" i="13"/>
  <c r="AK108" i="13"/>
  <c r="AJ108" i="13"/>
  <c r="AI108" i="13"/>
  <c r="AH108" i="13"/>
  <c r="AG108" i="13"/>
  <c r="U108" i="13"/>
  <c r="T108" i="13"/>
  <c r="L108" i="13"/>
  <c r="K108" i="13"/>
  <c r="AO108" i="13" s="1"/>
  <c r="J108" i="13"/>
  <c r="W108" i="13" s="1"/>
  <c r="Z108" i="13" s="1"/>
  <c r="I108" i="13"/>
  <c r="H108" i="13"/>
  <c r="G108" i="13"/>
  <c r="E108" i="13"/>
  <c r="D108" i="13"/>
  <c r="C108" i="13"/>
  <c r="AV107" i="13"/>
  <c r="AU107" i="13"/>
  <c r="AR107" i="13"/>
  <c r="AM107" i="13"/>
  <c r="AK107" i="13"/>
  <c r="AJ107" i="13"/>
  <c r="AI107" i="13"/>
  <c r="AH107" i="13"/>
  <c r="AG107" i="13"/>
  <c r="U107" i="13"/>
  <c r="T107" i="13"/>
  <c r="L107" i="13"/>
  <c r="M107" i="13" s="1"/>
  <c r="K107" i="13"/>
  <c r="AO107" i="13" s="1"/>
  <c r="J107" i="13"/>
  <c r="W107" i="13" s="1"/>
  <c r="Z107" i="13" s="1"/>
  <c r="AA107" i="13" s="1"/>
  <c r="I107" i="13"/>
  <c r="H107" i="13"/>
  <c r="AD107" i="13" s="1"/>
  <c r="G107" i="13"/>
  <c r="E107" i="13"/>
  <c r="D107" i="13"/>
  <c r="C107" i="13"/>
  <c r="AV106" i="13"/>
  <c r="AU106" i="13"/>
  <c r="AM106" i="13"/>
  <c r="AK106" i="13"/>
  <c r="AJ106" i="13"/>
  <c r="AI106" i="13"/>
  <c r="AH106" i="13"/>
  <c r="AG106" i="13"/>
  <c r="U106" i="13"/>
  <c r="T106" i="13"/>
  <c r="L106" i="13"/>
  <c r="K106" i="13"/>
  <c r="AO106" i="13" s="1"/>
  <c r="J106" i="13"/>
  <c r="W106" i="13" s="1"/>
  <c r="Z106" i="13" s="1"/>
  <c r="AA106" i="13" s="1"/>
  <c r="I106" i="13"/>
  <c r="AR106" i="13" s="1"/>
  <c r="H106" i="13"/>
  <c r="AE106" i="13" s="1"/>
  <c r="AP106" i="13" s="1"/>
  <c r="G106" i="13"/>
  <c r="E106" i="13"/>
  <c r="D106" i="13"/>
  <c r="C106" i="13"/>
  <c r="AV105" i="13"/>
  <c r="AU105" i="13"/>
  <c r="AO105" i="13"/>
  <c r="AM105" i="13"/>
  <c r="AK105" i="13"/>
  <c r="AJ105" i="13"/>
  <c r="AI105" i="13"/>
  <c r="AH105" i="13"/>
  <c r="AG105" i="13"/>
  <c r="U105" i="13"/>
  <c r="T105" i="13"/>
  <c r="L105" i="13"/>
  <c r="K105" i="13"/>
  <c r="J105" i="13"/>
  <c r="W105" i="13" s="1"/>
  <c r="Z105" i="13" s="1"/>
  <c r="I105" i="13"/>
  <c r="H105" i="13"/>
  <c r="AD105" i="13" s="1"/>
  <c r="G105" i="13"/>
  <c r="E105" i="13"/>
  <c r="D105" i="13"/>
  <c r="C105" i="13"/>
  <c r="AV104" i="13"/>
  <c r="AU104" i="13"/>
  <c r="AR104" i="13"/>
  <c r="AM104" i="13"/>
  <c r="AK104" i="13"/>
  <c r="AJ104" i="13"/>
  <c r="AI104" i="13"/>
  <c r="AH104" i="13"/>
  <c r="AG104" i="13"/>
  <c r="U104" i="13"/>
  <c r="T104" i="13"/>
  <c r="M104" i="13"/>
  <c r="L104" i="13"/>
  <c r="K104" i="13"/>
  <c r="AO104" i="13" s="1"/>
  <c r="J104" i="13"/>
  <c r="I104" i="13"/>
  <c r="H104" i="13"/>
  <c r="AF104" i="13" s="1"/>
  <c r="AQ104" i="13" s="1"/>
  <c r="G104" i="13"/>
  <c r="E104" i="13"/>
  <c r="D104" i="13"/>
  <c r="C104" i="13"/>
  <c r="AV103" i="13"/>
  <c r="AU103" i="13"/>
  <c r="AF103" i="13" s="1"/>
  <c r="AQ103" i="13" s="1"/>
  <c r="AR103" i="13"/>
  <c r="AM103" i="13"/>
  <c r="AK103" i="13"/>
  <c r="AJ103" i="13"/>
  <c r="AI103" i="13"/>
  <c r="AH103" i="13"/>
  <c r="AG103" i="13"/>
  <c r="U103" i="13"/>
  <c r="T103" i="13"/>
  <c r="L103" i="13"/>
  <c r="K103" i="13"/>
  <c r="AO103" i="13" s="1"/>
  <c r="J103" i="13"/>
  <c r="I103" i="13"/>
  <c r="W103" i="13" s="1"/>
  <c r="Z103" i="13" s="1"/>
  <c r="AA103" i="13" s="1"/>
  <c r="H103" i="13"/>
  <c r="AE103" i="13" s="1"/>
  <c r="AP103" i="13" s="1"/>
  <c r="G103" i="13"/>
  <c r="E103" i="13"/>
  <c r="D103" i="13"/>
  <c r="C103" i="13"/>
  <c r="AV102" i="13"/>
  <c r="AU102" i="13"/>
  <c r="AM102" i="13"/>
  <c r="AK102" i="13"/>
  <c r="AJ102" i="13"/>
  <c r="AI102" i="13"/>
  <c r="AH102" i="13"/>
  <c r="AG102" i="13"/>
  <c r="AE102" i="13"/>
  <c r="AP102" i="13" s="1"/>
  <c r="AD102" i="13"/>
  <c r="U102" i="13"/>
  <c r="T102" i="13"/>
  <c r="AA102" i="13" s="1"/>
  <c r="L102" i="13"/>
  <c r="M102" i="13" s="1"/>
  <c r="K102" i="13"/>
  <c r="AO102" i="13" s="1"/>
  <c r="J102" i="13"/>
  <c r="W102" i="13" s="1"/>
  <c r="Z102" i="13" s="1"/>
  <c r="I102" i="13"/>
  <c r="AR102" i="13" s="1"/>
  <c r="H102" i="13"/>
  <c r="AF102" i="13" s="1"/>
  <c r="AQ102" i="13" s="1"/>
  <c r="G102" i="13"/>
  <c r="E102" i="13"/>
  <c r="D102" i="13"/>
  <c r="C102" i="13"/>
  <c r="AV101" i="13"/>
  <c r="AU101" i="13"/>
  <c r="AM101" i="13"/>
  <c r="AK101" i="13"/>
  <c r="AJ101" i="13"/>
  <c r="AI101" i="13"/>
  <c r="AH101" i="13"/>
  <c r="AG101" i="13"/>
  <c r="U101" i="13"/>
  <c r="T101" i="13"/>
  <c r="L101" i="13"/>
  <c r="M101" i="13" s="1"/>
  <c r="K101" i="13"/>
  <c r="AO101" i="13" s="1"/>
  <c r="J101" i="13"/>
  <c r="I101" i="13"/>
  <c r="AR101" i="13" s="1"/>
  <c r="H101" i="13"/>
  <c r="G101" i="13"/>
  <c r="E101" i="13"/>
  <c r="D101" i="13"/>
  <c r="C101" i="13"/>
  <c r="AV100" i="13"/>
  <c r="AU100" i="13"/>
  <c r="AM100" i="13"/>
  <c r="AK100" i="13"/>
  <c r="AJ100" i="13"/>
  <c r="AI100" i="13"/>
  <c r="AH100" i="13"/>
  <c r="AG100" i="13"/>
  <c r="U100" i="13"/>
  <c r="T100" i="13"/>
  <c r="L100" i="13"/>
  <c r="K100" i="13"/>
  <c r="AO100" i="13" s="1"/>
  <c r="J100" i="13"/>
  <c r="I100" i="13"/>
  <c r="H100" i="13"/>
  <c r="G100" i="13"/>
  <c r="E100" i="13"/>
  <c r="D100" i="13"/>
  <c r="C100" i="13"/>
  <c r="AV99" i="13"/>
  <c r="AU99" i="13"/>
  <c r="AF99" i="13" s="1"/>
  <c r="AQ99" i="13" s="1"/>
  <c r="AM99" i="13"/>
  <c r="AK99" i="13"/>
  <c r="AJ99" i="13"/>
  <c r="AI99" i="13"/>
  <c r="AH99" i="13"/>
  <c r="AG99" i="13"/>
  <c r="U99" i="13"/>
  <c r="T99" i="13"/>
  <c r="L99" i="13"/>
  <c r="M99" i="13" s="1"/>
  <c r="K99" i="13"/>
  <c r="AO99" i="13" s="1"/>
  <c r="J99" i="13"/>
  <c r="W99" i="13" s="1"/>
  <c r="Z99" i="13" s="1"/>
  <c r="I99" i="13"/>
  <c r="AR99" i="13" s="1"/>
  <c r="H99" i="13"/>
  <c r="AD99" i="13" s="1"/>
  <c r="G99" i="13"/>
  <c r="E99" i="13"/>
  <c r="D99" i="13"/>
  <c r="C99" i="13"/>
  <c r="AV98" i="13"/>
  <c r="AU98" i="13"/>
  <c r="AF98" i="13" s="1"/>
  <c r="AQ98" i="13" s="1"/>
  <c r="AR98" i="13"/>
  <c r="AM98" i="13"/>
  <c r="AK98" i="13"/>
  <c r="AJ98" i="13"/>
  <c r="AI98" i="13"/>
  <c r="AH98" i="13"/>
  <c r="AG98" i="13"/>
  <c r="AE98" i="13"/>
  <c r="AP98" i="13" s="1"/>
  <c r="AD98" i="13"/>
  <c r="U98" i="13"/>
  <c r="T98" i="13"/>
  <c r="L98" i="13"/>
  <c r="K98" i="13"/>
  <c r="AO98" i="13" s="1"/>
  <c r="J98" i="13"/>
  <c r="W98" i="13" s="1"/>
  <c r="Z98" i="13" s="1"/>
  <c r="I98" i="13"/>
  <c r="H98" i="13"/>
  <c r="G98" i="13"/>
  <c r="E98" i="13"/>
  <c r="D98" i="13"/>
  <c r="C98" i="13"/>
  <c r="AV97" i="13"/>
  <c r="AU97" i="13"/>
  <c r="AM97" i="13"/>
  <c r="AK97" i="13"/>
  <c r="AJ97" i="13"/>
  <c r="AI97" i="13"/>
  <c r="AH97" i="13"/>
  <c r="AG97" i="13"/>
  <c r="U97" i="13"/>
  <c r="T97" i="13"/>
  <c r="L97" i="13"/>
  <c r="K97" i="13"/>
  <c r="AO97" i="13" s="1"/>
  <c r="J97" i="13"/>
  <c r="I97" i="13"/>
  <c r="W97" i="13" s="1"/>
  <c r="Z97" i="13" s="1"/>
  <c r="H97" i="13"/>
  <c r="G97" i="13"/>
  <c r="E97" i="13"/>
  <c r="D97" i="13"/>
  <c r="C97" i="13"/>
  <c r="AV96" i="13"/>
  <c r="AU96" i="13"/>
  <c r="AO96" i="13"/>
  <c r="AM96" i="13"/>
  <c r="AK96" i="13"/>
  <c r="AJ96" i="13"/>
  <c r="AI96" i="13"/>
  <c r="AH96" i="13"/>
  <c r="AG96" i="13"/>
  <c r="AF96" i="13"/>
  <c r="AQ96" i="13" s="1"/>
  <c r="U96" i="13"/>
  <c r="T96" i="13"/>
  <c r="L96" i="13"/>
  <c r="M96" i="13" s="1"/>
  <c r="K96" i="13"/>
  <c r="J96" i="13"/>
  <c r="I96" i="13"/>
  <c r="N96" i="13" s="1"/>
  <c r="X96" i="13" s="1"/>
  <c r="AB96" i="13" s="1"/>
  <c r="H96" i="13"/>
  <c r="G96" i="13"/>
  <c r="E96" i="13"/>
  <c r="D96" i="13"/>
  <c r="C96" i="13"/>
  <c r="AV95" i="13"/>
  <c r="AU95" i="13"/>
  <c r="AE95" i="13" s="1"/>
  <c r="AP95" i="13" s="1"/>
  <c r="AO95" i="13"/>
  <c r="AM95" i="13"/>
  <c r="AK95" i="13"/>
  <c r="AJ95" i="13"/>
  <c r="AI95" i="13"/>
  <c r="AH95" i="13"/>
  <c r="AG95" i="13"/>
  <c r="W95" i="13"/>
  <c r="Z95" i="13" s="1"/>
  <c r="AA95" i="13" s="1"/>
  <c r="U95" i="13"/>
  <c r="T95" i="13"/>
  <c r="L95" i="13"/>
  <c r="M95" i="13" s="1"/>
  <c r="K95" i="13"/>
  <c r="J95" i="13"/>
  <c r="I95" i="13"/>
  <c r="AR95" i="13" s="1"/>
  <c r="H95" i="13"/>
  <c r="G95" i="13"/>
  <c r="E95" i="13"/>
  <c r="D95" i="13"/>
  <c r="C95" i="13"/>
  <c r="AV94" i="13"/>
  <c r="AU94" i="13"/>
  <c r="AM94" i="13"/>
  <c r="AK94" i="13"/>
  <c r="AJ94" i="13"/>
  <c r="AI94" i="13"/>
  <c r="AH94" i="13"/>
  <c r="AG94" i="13"/>
  <c r="U94" i="13"/>
  <c r="T94" i="13"/>
  <c r="L94" i="13"/>
  <c r="M94" i="13" s="1"/>
  <c r="K94" i="13"/>
  <c r="AO94" i="13" s="1"/>
  <c r="J94" i="13"/>
  <c r="I94" i="13"/>
  <c r="AR94" i="13" s="1"/>
  <c r="H94" i="13"/>
  <c r="AF94" i="13" s="1"/>
  <c r="AQ94" i="13" s="1"/>
  <c r="G94" i="13"/>
  <c r="E94" i="13"/>
  <c r="D94" i="13"/>
  <c r="C94" i="13"/>
  <c r="AV93" i="13"/>
  <c r="AU93" i="13"/>
  <c r="AD93" i="13" s="1"/>
  <c r="AM93" i="13"/>
  <c r="AK93" i="13"/>
  <c r="AJ93" i="13"/>
  <c r="AI93" i="13"/>
  <c r="AH93" i="13"/>
  <c r="AG93" i="13"/>
  <c r="U93" i="13"/>
  <c r="T93" i="13"/>
  <c r="L93" i="13"/>
  <c r="K93" i="13"/>
  <c r="AO93" i="13" s="1"/>
  <c r="J93" i="13"/>
  <c r="W93" i="13" s="1"/>
  <c r="Z93" i="13" s="1"/>
  <c r="I93" i="13"/>
  <c r="N93" i="13" s="1"/>
  <c r="X93" i="13" s="1"/>
  <c r="AB93" i="13" s="1"/>
  <c r="H93" i="13"/>
  <c r="G93" i="13"/>
  <c r="E93" i="13"/>
  <c r="D93" i="13"/>
  <c r="C93" i="13"/>
  <c r="AV92" i="13"/>
  <c r="AU92" i="13"/>
  <c r="AM92" i="13"/>
  <c r="AK92" i="13"/>
  <c r="AJ92" i="13"/>
  <c r="AI92" i="13"/>
  <c r="AH92" i="13"/>
  <c r="AG92" i="13"/>
  <c r="AE92" i="13"/>
  <c r="AP92" i="13" s="1"/>
  <c r="U92" i="13"/>
  <c r="T92" i="13"/>
  <c r="L92" i="13"/>
  <c r="M92" i="13" s="1"/>
  <c r="K92" i="13"/>
  <c r="AO92" i="13" s="1"/>
  <c r="J92" i="13"/>
  <c r="W92" i="13" s="1"/>
  <c r="Z92" i="13" s="1"/>
  <c r="I92" i="13"/>
  <c r="AR92" i="13" s="1"/>
  <c r="H92" i="13"/>
  <c r="AF92" i="13" s="1"/>
  <c r="AQ92" i="13" s="1"/>
  <c r="G92" i="13"/>
  <c r="E92" i="13"/>
  <c r="D92" i="13"/>
  <c r="C92" i="13"/>
  <c r="AV91" i="13"/>
  <c r="AU91" i="13"/>
  <c r="AM91" i="13"/>
  <c r="AK91" i="13"/>
  <c r="AJ91" i="13"/>
  <c r="AI91" i="13"/>
  <c r="AH91" i="13"/>
  <c r="AG91" i="13"/>
  <c r="U91" i="13"/>
  <c r="T91" i="13"/>
  <c r="L91" i="13"/>
  <c r="K91" i="13"/>
  <c r="AO91" i="13" s="1"/>
  <c r="J91" i="13"/>
  <c r="I91" i="13"/>
  <c r="W91" i="13" s="1"/>
  <c r="Z91" i="13" s="1"/>
  <c r="H91" i="13"/>
  <c r="G91" i="13"/>
  <c r="E91" i="13"/>
  <c r="D91" i="13"/>
  <c r="C91" i="13"/>
  <c r="AV90" i="13"/>
  <c r="AU90" i="13"/>
  <c r="AE90" i="13" s="1"/>
  <c r="AP90" i="13" s="1"/>
  <c r="AM90" i="13"/>
  <c r="AK90" i="13"/>
  <c r="AJ90" i="13"/>
  <c r="AI90" i="13"/>
  <c r="AH90" i="13"/>
  <c r="AG90" i="13"/>
  <c r="U90" i="13"/>
  <c r="T90" i="13"/>
  <c r="L90" i="13"/>
  <c r="K90" i="13"/>
  <c r="AO90" i="13" s="1"/>
  <c r="J90" i="13"/>
  <c r="I90" i="13"/>
  <c r="AR90" i="13" s="1"/>
  <c r="H90" i="13"/>
  <c r="G90" i="13"/>
  <c r="E90" i="13"/>
  <c r="D90" i="13"/>
  <c r="C90" i="13"/>
  <c r="AV89" i="13"/>
  <c r="AU89" i="13"/>
  <c r="AF89" i="13" s="1"/>
  <c r="AQ89" i="13" s="1"/>
  <c r="AM89" i="13"/>
  <c r="AK89" i="13"/>
  <c r="AJ89" i="13"/>
  <c r="AI89" i="13"/>
  <c r="AH89" i="13"/>
  <c r="AG89" i="13"/>
  <c r="AD89" i="13"/>
  <c r="U89" i="13"/>
  <c r="T89" i="13"/>
  <c r="L89" i="13"/>
  <c r="K89" i="13"/>
  <c r="AO89" i="13" s="1"/>
  <c r="J89" i="13"/>
  <c r="I89" i="13"/>
  <c r="W89" i="13" s="1"/>
  <c r="Z89" i="13" s="1"/>
  <c r="H89" i="13"/>
  <c r="G89" i="13"/>
  <c r="E89" i="13"/>
  <c r="D89" i="13"/>
  <c r="C89" i="13"/>
  <c r="AV88" i="13"/>
  <c r="AU88" i="13"/>
  <c r="AM88" i="13"/>
  <c r="AK88" i="13"/>
  <c r="AJ88" i="13"/>
  <c r="AI88" i="13"/>
  <c r="AH88" i="13"/>
  <c r="AG88" i="13"/>
  <c r="U88" i="13"/>
  <c r="T88" i="13"/>
  <c r="M88" i="13"/>
  <c r="L88" i="13"/>
  <c r="K88" i="13"/>
  <c r="AO88" i="13" s="1"/>
  <c r="J88" i="13"/>
  <c r="W88" i="13" s="1"/>
  <c r="Z88" i="13" s="1"/>
  <c r="I88" i="13"/>
  <c r="AR88" i="13" s="1"/>
  <c r="H88" i="13"/>
  <c r="G88" i="13"/>
  <c r="E88" i="13"/>
  <c r="D88" i="13"/>
  <c r="C88" i="13"/>
  <c r="AV85" i="13"/>
  <c r="AU85" i="13"/>
  <c r="AF85" i="13" s="1"/>
  <c r="AQ85" i="13" s="1"/>
  <c r="AM85" i="13"/>
  <c r="AK85" i="13"/>
  <c r="AJ85" i="13"/>
  <c r="AI85" i="13"/>
  <c r="AH85" i="13"/>
  <c r="AG85" i="13"/>
  <c r="AD85" i="13"/>
  <c r="U85" i="13"/>
  <c r="T85" i="13"/>
  <c r="L85" i="13"/>
  <c r="K85" i="13"/>
  <c r="AO85" i="13" s="1"/>
  <c r="J85" i="13"/>
  <c r="I85" i="13"/>
  <c r="AR85" i="13" s="1"/>
  <c r="H85" i="13"/>
  <c r="G85" i="13"/>
  <c r="E85" i="13"/>
  <c r="D85" i="13"/>
  <c r="C85" i="13"/>
  <c r="AV84" i="13"/>
  <c r="AU84" i="13"/>
  <c r="AM84" i="13"/>
  <c r="AK84" i="13"/>
  <c r="AJ84" i="13"/>
  <c r="AI84" i="13"/>
  <c r="AH84" i="13"/>
  <c r="AG84" i="13"/>
  <c r="AF84" i="13"/>
  <c r="AQ84" i="13" s="1"/>
  <c r="U84" i="13"/>
  <c r="T84" i="13"/>
  <c r="L84" i="13"/>
  <c r="M84" i="13" s="1"/>
  <c r="K84" i="13"/>
  <c r="AO84" i="13" s="1"/>
  <c r="J84" i="13"/>
  <c r="W84" i="13" s="1"/>
  <c r="Z84" i="13" s="1"/>
  <c r="AA84" i="13" s="1"/>
  <c r="I84" i="13"/>
  <c r="AR84" i="13" s="1"/>
  <c r="H84" i="13"/>
  <c r="AE84" i="13" s="1"/>
  <c r="AP84" i="13" s="1"/>
  <c r="G84" i="13"/>
  <c r="E84" i="13"/>
  <c r="D84" i="13"/>
  <c r="C84" i="13"/>
  <c r="AV81" i="13"/>
  <c r="AU81" i="13"/>
  <c r="AM81" i="13"/>
  <c r="AK81" i="13"/>
  <c r="AJ81" i="13"/>
  <c r="AI81" i="13"/>
  <c r="AH81" i="13"/>
  <c r="AG81" i="13"/>
  <c r="AD81" i="13"/>
  <c r="W81" i="13"/>
  <c r="Z81" i="13" s="1"/>
  <c r="U81" i="13"/>
  <c r="T81" i="13"/>
  <c r="L81" i="13"/>
  <c r="M81" i="13" s="1"/>
  <c r="K81" i="13"/>
  <c r="AO81" i="13" s="1"/>
  <c r="J81" i="13"/>
  <c r="AL81" i="13" s="1"/>
  <c r="I81" i="13"/>
  <c r="AR81" i="13" s="1"/>
  <c r="H81" i="13"/>
  <c r="G81" i="13"/>
  <c r="E81" i="13"/>
  <c r="D81" i="13"/>
  <c r="C81" i="13"/>
  <c r="AV80" i="13"/>
  <c r="AU80" i="13"/>
  <c r="AM80" i="13"/>
  <c r="AK80" i="13"/>
  <c r="AJ80" i="13"/>
  <c r="AI80" i="13"/>
  <c r="AH80" i="13"/>
  <c r="AG80" i="13"/>
  <c r="U80" i="13"/>
  <c r="T80" i="13"/>
  <c r="L80" i="13"/>
  <c r="K80" i="13"/>
  <c r="AO80" i="13" s="1"/>
  <c r="J80" i="13"/>
  <c r="I80" i="13"/>
  <c r="M80" i="13" s="1"/>
  <c r="H80" i="13"/>
  <c r="AE80" i="13" s="1"/>
  <c r="AP80" i="13" s="1"/>
  <c r="G80" i="13"/>
  <c r="E80" i="13"/>
  <c r="D80" i="13"/>
  <c r="C80" i="13"/>
  <c r="AV79" i="13"/>
  <c r="AU79" i="13"/>
  <c r="AE79" i="13" s="1"/>
  <c r="AP79" i="13" s="1"/>
  <c r="AM79" i="13"/>
  <c r="AK79" i="13"/>
  <c r="AJ79" i="13"/>
  <c r="AI79" i="13"/>
  <c r="AH79" i="13"/>
  <c r="AG79" i="13"/>
  <c r="W79" i="13"/>
  <c r="Z79" i="13" s="1"/>
  <c r="U79" i="13"/>
  <c r="T79" i="13"/>
  <c r="L79" i="13"/>
  <c r="K79" i="13"/>
  <c r="AO79" i="13" s="1"/>
  <c r="J79" i="13"/>
  <c r="I79" i="13"/>
  <c r="H79" i="13"/>
  <c r="G79" i="13"/>
  <c r="E79" i="13"/>
  <c r="D79" i="13"/>
  <c r="C79" i="13"/>
  <c r="AV78" i="13"/>
  <c r="AU78" i="13"/>
  <c r="AE78" i="13" s="1"/>
  <c r="AP78" i="13" s="1"/>
  <c r="AM78" i="13"/>
  <c r="AK78" i="13"/>
  <c r="AJ78" i="13"/>
  <c r="AI78" i="13"/>
  <c r="AH78" i="13"/>
  <c r="AG78" i="13"/>
  <c r="U78" i="13"/>
  <c r="T78" i="13"/>
  <c r="L78" i="13"/>
  <c r="K78" i="13"/>
  <c r="AO78" i="13" s="1"/>
  <c r="J78" i="13"/>
  <c r="I78" i="13"/>
  <c r="M78" i="13" s="1"/>
  <c r="H78" i="13"/>
  <c r="G78" i="13"/>
  <c r="E78" i="13"/>
  <c r="D78" i="13"/>
  <c r="C78" i="13"/>
  <c r="AV77" i="13"/>
  <c r="AU77" i="13"/>
  <c r="AF77" i="13" s="1"/>
  <c r="AQ77" i="13" s="1"/>
  <c r="AO77" i="13"/>
  <c r="AM77" i="13"/>
  <c r="AK77" i="13"/>
  <c r="AJ77" i="13"/>
  <c r="AI77" i="13"/>
  <c r="AH77" i="13"/>
  <c r="AG77" i="13"/>
  <c r="W77" i="13"/>
  <c r="Z77" i="13" s="1"/>
  <c r="U77" i="13"/>
  <c r="T77" i="13"/>
  <c r="L77" i="13"/>
  <c r="M77" i="13" s="1"/>
  <c r="K77" i="13"/>
  <c r="J77" i="13"/>
  <c r="I77" i="13"/>
  <c r="AR77" i="13" s="1"/>
  <c r="H77" i="13"/>
  <c r="AE77" i="13" s="1"/>
  <c r="AP77" i="13" s="1"/>
  <c r="G77" i="13"/>
  <c r="E77" i="13"/>
  <c r="D77" i="13"/>
  <c r="C77" i="13"/>
  <c r="AV76" i="13"/>
  <c r="AU76" i="13"/>
  <c r="AM76" i="13"/>
  <c r="AL76" i="13"/>
  <c r="AK76" i="13"/>
  <c r="AJ76" i="13"/>
  <c r="AI76" i="13"/>
  <c r="AH76" i="13"/>
  <c r="AG76" i="13"/>
  <c r="AF76" i="13"/>
  <c r="AQ76" i="13" s="1"/>
  <c r="AD76" i="13"/>
  <c r="U76" i="13"/>
  <c r="T76" i="13"/>
  <c r="L76" i="13"/>
  <c r="K76" i="13"/>
  <c r="AO76" i="13" s="1"/>
  <c r="J76" i="13"/>
  <c r="I76" i="13"/>
  <c r="AR76" i="13" s="1"/>
  <c r="H76" i="13"/>
  <c r="G76" i="13"/>
  <c r="E76" i="13"/>
  <c r="D76" i="13"/>
  <c r="C76" i="13"/>
  <c r="AV75" i="13"/>
  <c r="AU75" i="13"/>
  <c r="AO75" i="13"/>
  <c r="AM75" i="13"/>
  <c r="AK75" i="13"/>
  <c r="AJ75" i="13"/>
  <c r="AI75" i="13"/>
  <c r="AH75" i="13"/>
  <c r="AG75" i="13"/>
  <c r="U75" i="13"/>
  <c r="T75" i="13"/>
  <c r="L75" i="13"/>
  <c r="K75" i="13"/>
  <c r="J75" i="13"/>
  <c r="W75" i="13" s="1"/>
  <c r="Z75" i="13" s="1"/>
  <c r="I75" i="13"/>
  <c r="AR75" i="13" s="1"/>
  <c r="H75" i="13"/>
  <c r="G75" i="13"/>
  <c r="E75" i="13"/>
  <c r="D75" i="13"/>
  <c r="C75" i="13"/>
  <c r="AV74" i="13"/>
  <c r="AU74" i="13"/>
  <c r="AO74" i="13"/>
  <c r="AM74" i="13"/>
  <c r="AK74" i="13"/>
  <c r="AJ74" i="13"/>
  <c r="AI74" i="13"/>
  <c r="AH74" i="13"/>
  <c r="AG74" i="13"/>
  <c r="AE74" i="13"/>
  <c r="AP74" i="13" s="1"/>
  <c r="U74" i="13"/>
  <c r="T74" i="13"/>
  <c r="L74" i="13"/>
  <c r="M74" i="13" s="1"/>
  <c r="K74" i="13"/>
  <c r="J74" i="13"/>
  <c r="I74" i="13"/>
  <c r="H74" i="13"/>
  <c r="G74" i="13"/>
  <c r="E74" i="13"/>
  <c r="D74" i="13"/>
  <c r="C74" i="13"/>
  <c r="AV71" i="13"/>
  <c r="AU71" i="13"/>
  <c r="AF71" i="13" s="1"/>
  <c r="AR71" i="13"/>
  <c r="AQ71" i="13"/>
  <c r="AM71" i="13"/>
  <c r="AK71" i="13"/>
  <c r="AJ71" i="13"/>
  <c r="AI71" i="13"/>
  <c r="AH71" i="13"/>
  <c r="AG71" i="13"/>
  <c r="AD71" i="13"/>
  <c r="AL71" i="13" s="1"/>
  <c r="U71" i="13"/>
  <c r="T71" i="13"/>
  <c r="M71" i="13"/>
  <c r="L71" i="13"/>
  <c r="K71" i="13"/>
  <c r="AO71" i="13" s="1"/>
  <c r="J71" i="13"/>
  <c r="W71" i="13" s="1"/>
  <c r="Z71" i="13" s="1"/>
  <c r="AA71" i="13" s="1"/>
  <c r="I71" i="13"/>
  <c r="H71" i="13"/>
  <c r="G71" i="13"/>
  <c r="E71" i="13"/>
  <c r="D71" i="13"/>
  <c r="C71" i="13"/>
  <c r="AV68" i="13"/>
  <c r="AU68" i="13"/>
  <c r="AF68" i="13" s="1"/>
  <c r="AQ68" i="13" s="1"/>
  <c r="AR68" i="13"/>
  <c r="AM68" i="13"/>
  <c r="AK68" i="13"/>
  <c r="AJ68" i="13"/>
  <c r="AI68" i="13"/>
  <c r="AH68" i="13"/>
  <c r="AG68" i="13"/>
  <c r="AE68" i="13"/>
  <c r="AP68" i="13" s="1"/>
  <c r="U68" i="13"/>
  <c r="T68" i="13"/>
  <c r="L68" i="13"/>
  <c r="M68" i="13" s="1"/>
  <c r="K68" i="13"/>
  <c r="AO68" i="13" s="1"/>
  <c r="J68" i="13"/>
  <c r="W68" i="13" s="1"/>
  <c r="Z68" i="13" s="1"/>
  <c r="I68" i="13"/>
  <c r="H68" i="13"/>
  <c r="G68" i="13"/>
  <c r="E68" i="13"/>
  <c r="D68" i="13"/>
  <c r="C68" i="13"/>
  <c r="AV67" i="13"/>
  <c r="AU67" i="13"/>
  <c r="AD67" i="13" s="1"/>
  <c r="AM67" i="13"/>
  <c r="AK67" i="13"/>
  <c r="AJ67" i="13"/>
  <c r="AI67" i="13"/>
  <c r="AH67" i="13"/>
  <c r="AG67" i="13"/>
  <c r="U67" i="13"/>
  <c r="T67" i="13"/>
  <c r="L67" i="13"/>
  <c r="K67" i="13"/>
  <c r="AO67" i="13" s="1"/>
  <c r="J67" i="13"/>
  <c r="I67" i="13"/>
  <c r="H67" i="13"/>
  <c r="G67" i="13"/>
  <c r="E67" i="13"/>
  <c r="D67" i="13"/>
  <c r="C67" i="13"/>
  <c r="AV64" i="13"/>
  <c r="AU64" i="13"/>
  <c r="AD64" i="13" s="1"/>
  <c r="AO64" i="13"/>
  <c r="AM64" i="13"/>
  <c r="AK64" i="13"/>
  <c r="AJ64" i="13"/>
  <c r="AI64" i="13"/>
  <c r="AH64" i="13"/>
  <c r="AG64" i="13"/>
  <c r="U64" i="13"/>
  <c r="T64" i="13"/>
  <c r="L64" i="13"/>
  <c r="M64" i="13" s="1"/>
  <c r="K64" i="13"/>
  <c r="J64" i="13"/>
  <c r="I64" i="13"/>
  <c r="H64" i="13"/>
  <c r="G64" i="13"/>
  <c r="E64" i="13"/>
  <c r="D64" i="13"/>
  <c r="C64" i="13"/>
  <c r="AV63" i="13"/>
  <c r="AU63" i="13"/>
  <c r="AM63" i="13"/>
  <c r="AK63" i="13"/>
  <c r="AJ63" i="13"/>
  <c r="AI63" i="13"/>
  <c r="AH63" i="13"/>
  <c r="AG63" i="13"/>
  <c r="U63" i="13"/>
  <c r="T63" i="13"/>
  <c r="L63" i="13"/>
  <c r="K63" i="13"/>
  <c r="AO63" i="13" s="1"/>
  <c r="J63" i="13"/>
  <c r="I63" i="13"/>
  <c r="H63" i="13"/>
  <c r="AD63" i="13" s="1"/>
  <c r="G63" i="13"/>
  <c r="E63" i="13"/>
  <c r="D63" i="13"/>
  <c r="C63" i="13"/>
  <c r="AV62" i="13"/>
  <c r="AU62" i="13"/>
  <c r="AR62" i="13"/>
  <c r="AM62" i="13"/>
  <c r="AK62" i="13"/>
  <c r="AJ62" i="13"/>
  <c r="AI62" i="13"/>
  <c r="AH62" i="13"/>
  <c r="AG62" i="13"/>
  <c r="U62" i="13"/>
  <c r="T62" i="13"/>
  <c r="L62" i="13"/>
  <c r="M62" i="13" s="1"/>
  <c r="K62" i="13"/>
  <c r="AO62" i="13" s="1"/>
  <c r="J62" i="13"/>
  <c r="W62" i="13" s="1"/>
  <c r="Z62" i="13" s="1"/>
  <c r="I62" i="13"/>
  <c r="H62" i="13"/>
  <c r="AF62" i="13" s="1"/>
  <c r="AQ62" i="13" s="1"/>
  <c r="G62" i="13"/>
  <c r="E62" i="13"/>
  <c r="D62" i="13"/>
  <c r="C62" i="13"/>
  <c r="AV61" i="13"/>
  <c r="AU61" i="13"/>
  <c r="AR61" i="13"/>
  <c r="AM61" i="13"/>
  <c r="AK61" i="13"/>
  <c r="AJ61" i="13"/>
  <c r="AI61" i="13"/>
  <c r="AH61" i="13"/>
  <c r="AG61" i="13"/>
  <c r="U61" i="13"/>
  <c r="T61" i="13"/>
  <c r="L61" i="13"/>
  <c r="K61" i="13"/>
  <c r="AO61" i="13" s="1"/>
  <c r="J61" i="13"/>
  <c r="W61" i="13" s="1"/>
  <c r="Z61" i="13" s="1"/>
  <c r="I61" i="13"/>
  <c r="H61" i="13"/>
  <c r="G61" i="13"/>
  <c r="E61" i="13"/>
  <c r="D61" i="13"/>
  <c r="C61" i="13"/>
  <c r="AV60" i="13"/>
  <c r="AU60" i="13"/>
  <c r="AM60" i="13"/>
  <c r="AK60" i="13"/>
  <c r="AJ60" i="13"/>
  <c r="AI60" i="13"/>
  <c r="AH60" i="13"/>
  <c r="AG60" i="13"/>
  <c r="U60" i="13"/>
  <c r="T60" i="13"/>
  <c r="M60" i="13"/>
  <c r="L60" i="13"/>
  <c r="K60" i="13"/>
  <c r="AO60" i="13" s="1"/>
  <c r="J60" i="13"/>
  <c r="I60" i="13"/>
  <c r="AR60" i="13" s="1"/>
  <c r="H60" i="13"/>
  <c r="G60" i="13"/>
  <c r="E60" i="13"/>
  <c r="D60" i="13"/>
  <c r="C60" i="13"/>
  <c r="AV59" i="13"/>
  <c r="AU59" i="13"/>
  <c r="AE59" i="13" s="1"/>
  <c r="AP59" i="13" s="1"/>
  <c r="AM59" i="13"/>
  <c r="AK59" i="13"/>
  <c r="AJ59" i="13"/>
  <c r="AI59" i="13"/>
  <c r="AH59" i="13"/>
  <c r="AG59" i="13"/>
  <c r="U59" i="13"/>
  <c r="T59" i="13"/>
  <c r="L59" i="13"/>
  <c r="K59" i="13"/>
  <c r="AO59" i="13" s="1"/>
  <c r="J59" i="13"/>
  <c r="I59" i="13"/>
  <c r="AR59" i="13" s="1"/>
  <c r="H59" i="13"/>
  <c r="G59" i="13"/>
  <c r="E59" i="13"/>
  <c r="D59" i="13"/>
  <c r="C59" i="13"/>
  <c r="AV58" i="13"/>
  <c r="AU58" i="13"/>
  <c r="AE58" i="13" s="1"/>
  <c r="AP58" i="13" s="1"/>
  <c r="AM58" i="13"/>
  <c r="AK58" i="13"/>
  <c r="AJ58" i="13"/>
  <c r="AI58" i="13"/>
  <c r="AH58" i="13"/>
  <c r="AG58" i="13"/>
  <c r="U58" i="13"/>
  <c r="T58" i="13"/>
  <c r="L58" i="13"/>
  <c r="K58" i="13"/>
  <c r="AO58" i="13" s="1"/>
  <c r="J58" i="13"/>
  <c r="W58" i="13" s="1"/>
  <c r="Z58" i="13" s="1"/>
  <c r="I58" i="13"/>
  <c r="AR58" i="13" s="1"/>
  <c r="H58" i="13"/>
  <c r="G58" i="13"/>
  <c r="E58" i="13"/>
  <c r="D58" i="13"/>
  <c r="C58" i="13"/>
  <c r="AV57" i="13"/>
  <c r="AU57" i="13"/>
  <c r="AO57" i="13"/>
  <c r="AM57" i="13"/>
  <c r="AK57" i="13"/>
  <c r="AJ57" i="13"/>
  <c r="AI57" i="13"/>
  <c r="AH57" i="13"/>
  <c r="AG57" i="13"/>
  <c r="AF57" i="13"/>
  <c r="AQ57" i="13" s="1"/>
  <c r="AD57" i="13"/>
  <c r="U57" i="13"/>
  <c r="T57" i="13"/>
  <c r="L57" i="13"/>
  <c r="K57" i="13"/>
  <c r="J57" i="13"/>
  <c r="I57" i="13"/>
  <c r="H57" i="13"/>
  <c r="G57" i="13"/>
  <c r="E57" i="13"/>
  <c r="D57" i="13"/>
  <c r="C57" i="13"/>
  <c r="AV56" i="13"/>
  <c r="AU56" i="13"/>
  <c r="AF56" i="13" s="1"/>
  <c r="AQ56" i="13" s="1"/>
  <c r="AM56" i="13"/>
  <c r="AK56" i="13"/>
  <c r="AJ56" i="13"/>
  <c r="AI56" i="13"/>
  <c r="AH56" i="13"/>
  <c r="AG56" i="13"/>
  <c r="U56" i="13"/>
  <c r="T56" i="13"/>
  <c r="L56" i="13"/>
  <c r="K56" i="13"/>
  <c r="AO56" i="13" s="1"/>
  <c r="J56" i="13"/>
  <c r="I56" i="13"/>
  <c r="AR56" i="13" s="1"/>
  <c r="H56" i="13"/>
  <c r="G56" i="13"/>
  <c r="E56" i="13"/>
  <c r="D56" i="13"/>
  <c r="C56" i="13"/>
  <c r="AV55" i="13"/>
  <c r="AU55" i="13"/>
  <c r="AF55" i="13" s="1"/>
  <c r="AQ55" i="13" s="1"/>
  <c r="AM55" i="13"/>
  <c r="AK55" i="13"/>
  <c r="AJ55" i="13"/>
  <c r="AI55" i="13"/>
  <c r="AH55" i="13"/>
  <c r="AG55" i="13"/>
  <c r="U55" i="13"/>
  <c r="T55" i="13"/>
  <c r="L55" i="13"/>
  <c r="M55" i="13" s="1"/>
  <c r="K55" i="13"/>
  <c r="AO55" i="13" s="1"/>
  <c r="J55" i="13"/>
  <c r="I55" i="13"/>
  <c r="AR55" i="13" s="1"/>
  <c r="H55" i="13"/>
  <c r="G55" i="13"/>
  <c r="E55" i="13"/>
  <c r="D55" i="13"/>
  <c r="C55" i="13"/>
  <c r="AV54" i="13"/>
  <c r="AU54" i="13"/>
  <c r="AO54" i="13"/>
  <c r="AM54" i="13"/>
  <c r="AK54" i="13"/>
  <c r="AJ54" i="13"/>
  <c r="AI54" i="13"/>
  <c r="AH54" i="13"/>
  <c r="AG54" i="13"/>
  <c r="U54" i="13"/>
  <c r="T54" i="13"/>
  <c r="L54" i="13"/>
  <c r="M54" i="13" s="1"/>
  <c r="K54" i="13"/>
  <c r="J54" i="13"/>
  <c r="W54" i="13" s="1"/>
  <c r="Z54" i="13" s="1"/>
  <c r="I54" i="13"/>
  <c r="AR54" i="13" s="1"/>
  <c r="H54" i="13"/>
  <c r="G54" i="13"/>
  <c r="E54" i="13"/>
  <c r="D54" i="13"/>
  <c r="C54" i="13"/>
  <c r="AV53" i="13"/>
  <c r="AU53" i="13"/>
  <c r="AM53" i="13"/>
  <c r="AK53" i="13"/>
  <c r="AJ53" i="13"/>
  <c r="AI53" i="13"/>
  <c r="AH53" i="13"/>
  <c r="AG53" i="13"/>
  <c r="U53" i="13"/>
  <c r="T53" i="13"/>
  <c r="L53" i="13"/>
  <c r="M53" i="13" s="1"/>
  <c r="K53" i="13"/>
  <c r="AO53" i="13" s="1"/>
  <c r="J53" i="13"/>
  <c r="I53" i="13"/>
  <c r="W53" i="13" s="1"/>
  <c r="Z53" i="13" s="1"/>
  <c r="H53" i="13"/>
  <c r="G53" i="13"/>
  <c r="E53" i="13"/>
  <c r="D53" i="13"/>
  <c r="C53" i="13"/>
  <c r="AV52" i="13"/>
  <c r="AU52" i="13"/>
  <c r="AR52" i="13"/>
  <c r="AM52" i="13"/>
  <c r="AK52" i="13"/>
  <c r="AJ52" i="13"/>
  <c r="AI52" i="13"/>
  <c r="AH52" i="13"/>
  <c r="AG52" i="13"/>
  <c r="U52" i="13"/>
  <c r="T52" i="13"/>
  <c r="L52" i="13"/>
  <c r="K52" i="13"/>
  <c r="AO52" i="13" s="1"/>
  <c r="J52" i="13"/>
  <c r="W52" i="13" s="1"/>
  <c r="Z52" i="13" s="1"/>
  <c r="AA52" i="13" s="1"/>
  <c r="I52" i="13"/>
  <c r="N52" i="13" s="1"/>
  <c r="X52" i="13" s="1"/>
  <c r="AB52" i="13" s="1"/>
  <c r="AC52" i="13" s="1"/>
  <c r="H52" i="13"/>
  <c r="AE52" i="13" s="1"/>
  <c r="AP52" i="13" s="1"/>
  <c r="G52" i="13"/>
  <c r="E52" i="13"/>
  <c r="D52" i="13"/>
  <c r="C52" i="13"/>
  <c r="AA79" i="13" l="1"/>
  <c r="AC93" i="13"/>
  <c r="AA89" i="13"/>
  <c r="AA110" i="13"/>
  <c r="AA124" i="13"/>
  <c r="AA113" i="13"/>
  <c r="AA114" i="13"/>
  <c r="AA81" i="13"/>
  <c r="AA91" i="13"/>
  <c r="AA62" i="13"/>
  <c r="AA112" i="13"/>
  <c r="AA77" i="13"/>
  <c r="AC112" i="13"/>
  <c r="AA54" i="13"/>
  <c r="AA108" i="13"/>
  <c r="AA97" i="13"/>
  <c r="AA93" i="13"/>
  <c r="AA105" i="13"/>
  <c r="AC110" i="13"/>
  <c r="N56" i="13"/>
  <c r="X56" i="13" s="1"/>
  <c r="AB56" i="13" s="1"/>
  <c r="AC56" i="13" s="1"/>
  <c r="AE57" i="13"/>
  <c r="AP57" i="13" s="1"/>
  <c r="AF60" i="13"/>
  <c r="AQ60" i="13" s="1"/>
  <c r="AE71" i="13"/>
  <c r="AP71" i="13" s="1"/>
  <c r="AF74" i="13"/>
  <c r="AQ74" i="13" s="1"/>
  <c r="M76" i="13"/>
  <c r="AD103" i="13"/>
  <c r="W123" i="13"/>
  <c r="Z123" i="13" s="1"/>
  <c r="AD125" i="13"/>
  <c r="AL125" i="13" s="1"/>
  <c r="N57" i="13"/>
  <c r="X57" i="13" s="1"/>
  <c r="AB57" i="13" s="1"/>
  <c r="AC57" i="13" s="1"/>
  <c r="W59" i="13"/>
  <c r="Z59" i="13" s="1"/>
  <c r="AA59" i="13" s="1"/>
  <c r="N74" i="13"/>
  <c r="X74" i="13" s="1"/>
  <c r="AB74" i="13" s="1"/>
  <c r="AC74" i="13" s="1"/>
  <c r="AD79" i="13"/>
  <c r="M120" i="13"/>
  <c r="AF125" i="13"/>
  <c r="AQ125" i="13" s="1"/>
  <c r="AD54" i="13"/>
  <c r="AA68" i="13"/>
  <c r="M91" i="13"/>
  <c r="W94" i="13"/>
  <c r="Z94" i="13" s="1"/>
  <c r="AA94" i="13" s="1"/>
  <c r="AL99" i="13"/>
  <c r="AA120" i="13"/>
  <c r="AA53" i="13"/>
  <c r="AF67" i="13"/>
  <c r="AQ67" i="13" s="1"/>
  <c r="W76" i="13"/>
  <c r="Z76" i="13" s="1"/>
  <c r="AA76" i="13" s="1"/>
  <c r="N88" i="13"/>
  <c r="X88" i="13" s="1"/>
  <c r="AB88" i="13" s="1"/>
  <c r="AC88" i="13" s="1"/>
  <c r="AL98" i="13"/>
  <c r="N104" i="13"/>
  <c r="X104" i="13" s="1"/>
  <c r="AB104" i="13" s="1"/>
  <c r="AC104" i="13" s="1"/>
  <c r="AE104" i="13"/>
  <c r="AP104" i="13" s="1"/>
  <c r="W118" i="13"/>
  <c r="Z118" i="13" s="1"/>
  <c r="AA118" i="13" s="1"/>
  <c r="AR118" i="13"/>
  <c r="M123" i="13"/>
  <c r="AD78" i="13"/>
  <c r="AA92" i="13"/>
  <c r="AE112" i="13"/>
  <c r="AP112" i="13" s="1"/>
  <c r="AF114" i="13"/>
  <c r="AQ114" i="13" s="1"/>
  <c r="AD118" i="13"/>
  <c r="AE61" i="13"/>
  <c r="AP61" i="13" s="1"/>
  <c r="AL64" i="13"/>
  <c r="AR64" i="13"/>
  <c r="M79" i="13"/>
  <c r="AE97" i="13"/>
  <c r="AP97" i="13" s="1"/>
  <c r="AL107" i="13"/>
  <c r="AF110" i="13"/>
  <c r="AQ110" i="13" s="1"/>
  <c r="AR110" i="13"/>
  <c r="AE75" i="13"/>
  <c r="AP75" i="13" s="1"/>
  <c r="AR80" i="13"/>
  <c r="AF100" i="13"/>
  <c r="AQ100" i="13" s="1"/>
  <c r="AL57" i="13"/>
  <c r="AE63" i="13"/>
  <c r="AP63" i="13" s="1"/>
  <c r="N71" i="13"/>
  <c r="X71" i="13" s="1"/>
  <c r="AB71" i="13" s="1"/>
  <c r="AC71" i="13" s="1"/>
  <c r="W80" i="13"/>
  <c r="Z80" i="13" s="1"/>
  <c r="AA80" i="13" s="1"/>
  <c r="AD80" i="13"/>
  <c r="AL93" i="13"/>
  <c r="AA99" i="13"/>
  <c r="AL103" i="13"/>
  <c r="N118" i="13"/>
  <c r="X118" i="13" s="1"/>
  <c r="AB118" i="13" s="1"/>
  <c r="AC118" i="13" s="1"/>
  <c r="AA75" i="13"/>
  <c r="AA58" i="13"/>
  <c r="AA61" i="13"/>
  <c r="N64" i="13"/>
  <c r="X64" i="13" s="1"/>
  <c r="AB64" i="13" s="1"/>
  <c r="AC64" i="13" s="1"/>
  <c r="AR93" i="13"/>
  <c r="N58" i="13"/>
  <c r="X58" i="13" s="1"/>
  <c r="AB58" i="13" s="1"/>
  <c r="AC58" i="13" s="1"/>
  <c r="AF59" i="13"/>
  <c r="AQ59" i="13" s="1"/>
  <c r="N61" i="13"/>
  <c r="X61" i="13" s="1"/>
  <c r="AB61" i="13" s="1"/>
  <c r="AC61" i="13" s="1"/>
  <c r="N75" i="13"/>
  <c r="X75" i="13" s="1"/>
  <c r="AB75" i="13" s="1"/>
  <c r="AC75" i="13" s="1"/>
  <c r="AD90" i="13"/>
  <c r="AL90" i="13" s="1"/>
  <c r="AE105" i="13"/>
  <c r="AP105" i="13" s="1"/>
  <c r="AE119" i="13"/>
  <c r="AP119" i="13" s="1"/>
  <c r="M52" i="13"/>
  <c r="AF53" i="13"/>
  <c r="AQ53" i="13" s="1"/>
  <c r="AE56" i="13"/>
  <c r="AP56" i="13" s="1"/>
  <c r="AE64" i="13"/>
  <c r="AP64" i="13" s="1"/>
  <c r="AE76" i="13"/>
  <c r="AP76" i="13" s="1"/>
  <c r="AD77" i="13"/>
  <c r="AL77" i="13" s="1"/>
  <c r="AE89" i="13"/>
  <c r="AP89" i="13" s="1"/>
  <c r="W90" i="13"/>
  <c r="Z90" i="13" s="1"/>
  <c r="AA90" i="13" s="1"/>
  <c r="AE91" i="13"/>
  <c r="AP91" i="13" s="1"/>
  <c r="M93" i="13"/>
  <c r="AD97" i="13"/>
  <c r="AL97" i="13" s="1"/>
  <c r="M103" i="13"/>
  <c r="AD114" i="13"/>
  <c r="AL114" i="13" s="1"/>
  <c r="W122" i="13"/>
  <c r="Z122" i="13" s="1"/>
  <c r="AA122" i="13" s="1"/>
  <c r="AD75" i="13"/>
  <c r="AL75" i="13" s="1"/>
  <c r="AL78" i="13"/>
  <c r="AF88" i="13"/>
  <c r="AQ88" i="13" s="1"/>
  <c r="AD95" i="13"/>
  <c r="AL95" i="13" s="1"/>
  <c r="AD58" i="13"/>
  <c r="AL58" i="13" s="1"/>
  <c r="AF64" i="13"/>
  <c r="AQ64" i="13" s="1"/>
  <c r="W56" i="13"/>
  <c r="Z56" i="13" s="1"/>
  <c r="AA56" i="13" s="1"/>
  <c r="M59" i="13"/>
  <c r="M90" i="13"/>
  <c r="AF95" i="13"/>
  <c r="AQ95" i="13" s="1"/>
  <c r="AR96" i="13"/>
  <c r="W101" i="13"/>
  <c r="Z101" i="13" s="1"/>
  <c r="AA101" i="13" s="1"/>
  <c r="AA88" i="13"/>
  <c r="AC96" i="13"/>
  <c r="AE113" i="13"/>
  <c r="AP113" i="13" s="1"/>
  <c r="AL63" i="13"/>
  <c r="AL54" i="13"/>
  <c r="N97" i="13"/>
  <c r="X97" i="13" s="1"/>
  <c r="AB97" i="13" s="1"/>
  <c r="AC97" i="13" s="1"/>
  <c r="AR100" i="13"/>
  <c r="N100" i="13"/>
  <c r="X100" i="13" s="1"/>
  <c r="AB100" i="13" s="1"/>
  <c r="AC100" i="13" s="1"/>
  <c r="AD52" i="13"/>
  <c r="AL52" i="13" s="1"/>
  <c r="AR53" i="13"/>
  <c r="AF54" i="13"/>
  <c r="AQ54" i="13" s="1"/>
  <c r="N55" i="13"/>
  <c r="X55" i="13" s="1"/>
  <c r="AB55" i="13" s="1"/>
  <c r="AC55" i="13" s="1"/>
  <c r="M58" i="13"/>
  <c r="AD59" i="13"/>
  <c r="AL59" i="13" s="1"/>
  <c r="AF63" i="13"/>
  <c r="AQ63" i="13" s="1"/>
  <c r="AD74" i="13"/>
  <c r="AL74" i="13" s="1"/>
  <c r="M75" i="13"/>
  <c r="N76" i="13"/>
  <c r="X76" i="13" s="1"/>
  <c r="AB76" i="13" s="1"/>
  <c r="AC76" i="13" s="1"/>
  <c r="N77" i="13"/>
  <c r="X77" i="13" s="1"/>
  <c r="AB77" i="13" s="1"/>
  <c r="AC77" i="13" s="1"/>
  <c r="N78" i="13"/>
  <c r="X78" i="13" s="1"/>
  <c r="AB78" i="13" s="1"/>
  <c r="AC78" i="13" s="1"/>
  <c r="AR78" i="13"/>
  <c r="N79" i="13"/>
  <c r="X79" i="13" s="1"/>
  <c r="AB79" i="13" s="1"/>
  <c r="AC79" i="13" s="1"/>
  <c r="AR79" i="13"/>
  <c r="AF80" i="13"/>
  <c r="AQ80" i="13" s="1"/>
  <c r="N84" i="13"/>
  <c r="X84" i="13" s="1"/>
  <c r="AB84" i="13" s="1"/>
  <c r="AC84" i="13" s="1"/>
  <c r="W85" i="13"/>
  <c r="Z85" i="13" s="1"/>
  <c r="AA85" i="13" s="1"/>
  <c r="AR89" i="13"/>
  <c r="AL89" i="13"/>
  <c r="N89" i="13"/>
  <c r="X89" i="13" s="1"/>
  <c r="AB89" i="13" s="1"/>
  <c r="AC89" i="13" s="1"/>
  <c r="N90" i="13"/>
  <c r="X90" i="13" s="1"/>
  <c r="AB90" i="13" s="1"/>
  <c r="AC90" i="13" s="1"/>
  <c r="N94" i="13"/>
  <c r="X94" i="13" s="1"/>
  <c r="AB94" i="13" s="1"/>
  <c r="AC94" i="13" s="1"/>
  <c r="M98" i="13"/>
  <c r="N98" i="13"/>
  <c r="X98" i="13" s="1"/>
  <c r="AB98" i="13" s="1"/>
  <c r="AC98" i="13" s="1"/>
  <c r="AE99" i="13"/>
  <c r="AP99" i="13" s="1"/>
  <c r="AR105" i="13"/>
  <c r="AL105" i="13"/>
  <c r="M105" i="13"/>
  <c r="N114" i="13"/>
  <c r="X114" i="13" s="1"/>
  <c r="AB114" i="13" s="1"/>
  <c r="AC114" i="13" s="1"/>
  <c r="M114" i="13"/>
  <c r="W57" i="13"/>
  <c r="Z57" i="13" s="1"/>
  <c r="AA57" i="13" s="1"/>
  <c r="AL67" i="13"/>
  <c r="AR67" i="13"/>
  <c r="AD100" i="13"/>
  <c r="AL100" i="13" s="1"/>
  <c r="AE100" i="13"/>
  <c r="AP100" i="13" s="1"/>
  <c r="AF52" i="13"/>
  <c r="AQ52" i="13" s="1"/>
  <c r="N53" i="13"/>
  <c r="X53" i="13" s="1"/>
  <c r="AB53" i="13" s="1"/>
  <c r="AC53" i="13" s="1"/>
  <c r="AE55" i="13"/>
  <c r="AP55" i="13" s="1"/>
  <c r="M56" i="13"/>
  <c r="N60" i="13"/>
  <c r="X60" i="13" s="1"/>
  <c r="AB60" i="13" s="1"/>
  <c r="AC60" i="13" s="1"/>
  <c r="AD60" i="13"/>
  <c r="AL60" i="13" s="1"/>
  <c r="M61" i="13"/>
  <c r="AR63" i="13"/>
  <c r="W64" i="13"/>
  <c r="Z64" i="13" s="1"/>
  <c r="AA64" i="13" s="1"/>
  <c r="AF75" i="13"/>
  <c r="AQ75" i="13" s="1"/>
  <c r="AL79" i="13"/>
  <c r="AL85" i="13"/>
  <c r="AD92" i="13"/>
  <c r="M100" i="13"/>
  <c r="AE101" i="13"/>
  <c r="AP101" i="13" s="1"/>
  <c r="AF101" i="13"/>
  <c r="AQ101" i="13" s="1"/>
  <c r="AD101" i="13"/>
  <c r="AL101" i="13" s="1"/>
  <c r="AL102" i="13"/>
  <c r="AD106" i="13"/>
  <c r="AL106" i="13" s="1"/>
  <c r="AE54" i="13"/>
  <c r="AP54" i="13" s="1"/>
  <c r="AE60" i="13"/>
  <c r="AP60" i="13" s="1"/>
  <c r="AR97" i="13"/>
  <c r="M97" i="13"/>
  <c r="AF106" i="13"/>
  <c r="AQ106" i="13" s="1"/>
  <c r="AF107" i="13"/>
  <c r="AQ107" i="13" s="1"/>
  <c r="AR108" i="13"/>
  <c r="N108" i="13"/>
  <c r="X108" i="13" s="1"/>
  <c r="AB108" i="13" s="1"/>
  <c r="AC108" i="13" s="1"/>
  <c r="N115" i="13"/>
  <c r="X115" i="13" s="1"/>
  <c r="AB115" i="13" s="1"/>
  <c r="AC115" i="13" s="1"/>
  <c r="AR115" i="13"/>
  <c r="AL115" i="13"/>
  <c r="N119" i="13"/>
  <c r="X119" i="13" s="1"/>
  <c r="AB119" i="13" s="1"/>
  <c r="AC119" i="13" s="1"/>
  <c r="M119" i="13"/>
  <c r="AR119" i="13"/>
  <c r="AF122" i="13"/>
  <c r="AQ122" i="13" s="1"/>
  <c r="AE122" i="13"/>
  <c r="AP122" i="13" s="1"/>
  <c r="AE53" i="13"/>
  <c r="AP53" i="13" s="1"/>
  <c r="AD56" i="13"/>
  <c r="AL56" i="13" s="1"/>
  <c r="AR57" i="13"/>
  <c r="N59" i="13"/>
  <c r="X59" i="13" s="1"/>
  <c r="AB59" i="13" s="1"/>
  <c r="AC59" i="13" s="1"/>
  <c r="AD61" i="13"/>
  <c r="AL61" i="13" s="1"/>
  <c r="N62" i="13"/>
  <c r="X62" i="13" s="1"/>
  <c r="AB62" i="13" s="1"/>
  <c r="AC62" i="13" s="1"/>
  <c r="AD62" i="13"/>
  <c r="AL62" i="13" s="1"/>
  <c r="AD68" i="13"/>
  <c r="AL68" i="13" s="1"/>
  <c r="W74" i="13"/>
  <c r="Z74" i="13" s="1"/>
  <c r="AA74" i="13" s="1"/>
  <c r="AR74" i="13"/>
  <c r="N81" i="13"/>
  <c r="X81" i="13" s="1"/>
  <c r="AB81" i="13" s="1"/>
  <c r="AC81" i="13" s="1"/>
  <c r="M85" i="13"/>
  <c r="AE85" i="13"/>
  <c r="AP85" i="13" s="1"/>
  <c r="M89" i="13"/>
  <c r="AE96" i="13"/>
  <c r="AP96" i="13" s="1"/>
  <c r="AA98" i="13"/>
  <c r="N105" i="13"/>
  <c r="X105" i="13" s="1"/>
  <c r="AB105" i="13" s="1"/>
  <c r="AC105" i="13" s="1"/>
  <c r="AE107" i="13"/>
  <c r="AP107" i="13" s="1"/>
  <c r="AR113" i="13"/>
  <c r="M113" i="13"/>
  <c r="W67" i="13"/>
  <c r="Z67" i="13" s="1"/>
  <c r="AA67" i="13" s="1"/>
  <c r="AD91" i="13"/>
  <c r="AL91" i="13" s="1"/>
  <c r="AF91" i="13"/>
  <c r="AQ91" i="13" s="1"/>
  <c r="W55" i="13"/>
  <c r="Z55" i="13" s="1"/>
  <c r="AA55" i="13" s="1"/>
  <c r="W60" i="13"/>
  <c r="Z60" i="13" s="1"/>
  <c r="AA60" i="13" s="1"/>
  <c r="M63" i="13"/>
  <c r="AL80" i="13"/>
  <c r="AE81" i="13"/>
  <c r="AP81" i="13" s="1"/>
  <c r="AF81" i="13"/>
  <c r="AQ81" i="13" s="1"/>
  <c r="N85" i="13"/>
  <c r="X85" i="13" s="1"/>
  <c r="AB85" i="13" s="1"/>
  <c r="AC85" i="13" s="1"/>
  <c r="AE93" i="13"/>
  <c r="AP93" i="13" s="1"/>
  <c r="AF93" i="13"/>
  <c r="AQ93" i="13" s="1"/>
  <c r="AD94" i="13"/>
  <c r="AL94" i="13" s="1"/>
  <c r="W100" i="13"/>
  <c r="Z100" i="13" s="1"/>
  <c r="AA100" i="13" s="1"/>
  <c r="N102" i="13"/>
  <c r="X102" i="13" s="1"/>
  <c r="AB102" i="13" s="1"/>
  <c r="AC102" i="13" s="1"/>
  <c r="M106" i="13"/>
  <c r="N106" i="13"/>
  <c r="X106" i="13" s="1"/>
  <c r="AB106" i="13" s="1"/>
  <c r="AC106" i="13" s="1"/>
  <c r="AD108" i="13"/>
  <c r="AL108" i="13" s="1"/>
  <c r="AE108" i="13"/>
  <c r="AP108" i="13" s="1"/>
  <c r="W109" i="13"/>
  <c r="Z109" i="13" s="1"/>
  <c r="AA109" i="13" s="1"/>
  <c r="N109" i="13"/>
  <c r="X109" i="13" s="1"/>
  <c r="AB109" i="13" s="1"/>
  <c r="AC109" i="13" s="1"/>
  <c r="AF121" i="13"/>
  <c r="AQ121" i="13" s="1"/>
  <c r="AE121" i="13"/>
  <c r="AP121" i="13" s="1"/>
  <c r="AD121" i="13"/>
  <c r="AL121" i="13" s="1"/>
  <c r="AD55" i="13"/>
  <c r="AL55" i="13" s="1"/>
  <c r="W63" i="13"/>
  <c r="Z63" i="13" s="1"/>
  <c r="AA63" i="13" s="1"/>
  <c r="AD88" i="13"/>
  <c r="AL88" i="13" s="1"/>
  <c r="AE88" i="13"/>
  <c r="AP88" i="13" s="1"/>
  <c r="AD53" i="13"/>
  <c r="AL53" i="13" s="1"/>
  <c r="N54" i="13"/>
  <c r="X54" i="13" s="1"/>
  <c r="AB54" i="13" s="1"/>
  <c r="AC54" i="13" s="1"/>
  <c r="M57" i="13"/>
  <c r="AF58" i="13"/>
  <c r="AQ58" i="13" s="1"/>
  <c r="AF61" i="13"/>
  <c r="AQ61" i="13" s="1"/>
  <c r="AE62" i="13"/>
  <c r="AP62" i="13" s="1"/>
  <c r="M67" i="13"/>
  <c r="N68" i="13"/>
  <c r="X68" i="13" s="1"/>
  <c r="AB68" i="13" s="1"/>
  <c r="AC68" i="13" s="1"/>
  <c r="N63" i="13"/>
  <c r="X63" i="13" s="1"/>
  <c r="AB63" i="13" s="1"/>
  <c r="AC63" i="13" s="1"/>
  <c r="N67" i="13"/>
  <c r="X67" i="13" s="1"/>
  <c r="AB67" i="13" s="1"/>
  <c r="AC67" i="13" s="1"/>
  <c r="AE67" i="13"/>
  <c r="AP67" i="13" s="1"/>
  <c r="AF79" i="13"/>
  <c r="AQ79" i="13" s="1"/>
  <c r="AD84" i="13"/>
  <c r="AL84" i="13" s="1"/>
  <c r="N91" i="13"/>
  <c r="X91" i="13" s="1"/>
  <c r="AB91" i="13" s="1"/>
  <c r="AC91" i="13" s="1"/>
  <c r="AR91" i="13"/>
  <c r="AE94" i="13"/>
  <c r="AP94" i="13" s="1"/>
  <c r="M108" i="13"/>
  <c r="AE109" i="13"/>
  <c r="AP109" i="13" s="1"/>
  <c r="AF109" i="13"/>
  <c r="AQ109" i="13" s="1"/>
  <c r="AD109" i="13"/>
  <c r="AL109" i="13" s="1"/>
  <c r="AD110" i="13"/>
  <c r="AL110" i="13" s="1"/>
  <c r="M115" i="13"/>
  <c r="N80" i="13"/>
  <c r="X80" i="13" s="1"/>
  <c r="AB80" i="13" s="1"/>
  <c r="AC80" i="13" s="1"/>
  <c r="N92" i="13"/>
  <c r="X92" i="13" s="1"/>
  <c r="AB92" i="13" s="1"/>
  <c r="AC92" i="13" s="1"/>
  <c r="AL92" i="13"/>
  <c r="AF97" i="13"/>
  <c r="AQ97" i="13" s="1"/>
  <c r="N99" i="13"/>
  <c r="X99" i="13" s="1"/>
  <c r="AB99" i="13" s="1"/>
  <c r="AC99" i="13" s="1"/>
  <c r="AF105" i="13"/>
  <c r="AQ105" i="13" s="1"/>
  <c r="N107" i="13"/>
  <c r="X107" i="13" s="1"/>
  <c r="AB107" i="13" s="1"/>
  <c r="AC107" i="13" s="1"/>
  <c r="AF120" i="13"/>
  <c r="AQ120" i="13" s="1"/>
  <c r="AD120" i="13"/>
  <c r="AL120" i="13" s="1"/>
  <c r="N124" i="13"/>
  <c r="X124" i="13" s="1"/>
  <c r="AB124" i="13" s="1"/>
  <c r="AC124" i="13" s="1"/>
  <c r="M124" i="13"/>
  <c r="W78" i="13"/>
  <c r="Z78" i="13" s="1"/>
  <c r="AA78" i="13" s="1"/>
  <c r="AF78" i="13"/>
  <c r="AQ78" i="13" s="1"/>
  <c r="AF90" i="13"/>
  <c r="AQ90" i="13" s="1"/>
  <c r="AL96" i="13"/>
  <c r="W96" i="13"/>
  <c r="Z96" i="13" s="1"/>
  <c r="AA96" i="13" s="1"/>
  <c r="AD96" i="13"/>
  <c r="N101" i="13"/>
  <c r="X101" i="13" s="1"/>
  <c r="AB101" i="13" s="1"/>
  <c r="AC101" i="13" s="1"/>
  <c r="W104" i="13"/>
  <c r="Z104" i="13" s="1"/>
  <c r="AA104" i="13" s="1"/>
  <c r="AD104" i="13"/>
  <c r="AL104" i="13" s="1"/>
  <c r="W111" i="13"/>
  <c r="Z111" i="13" s="1"/>
  <c r="AA111" i="13" s="1"/>
  <c r="AD112" i="13"/>
  <c r="AL112" i="13" s="1"/>
  <c r="N95" i="13"/>
  <c r="X95" i="13" s="1"/>
  <c r="AB95" i="13" s="1"/>
  <c r="AC95" i="13" s="1"/>
  <c r="N103" i="13"/>
  <c r="X103" i="13" s="1"/>
  <c r="AB103" i="13" s="1"/>
  <c r="AC103" i="13" s="1"/>
  <c r="N111" i="13"/>
  <c r="X111" i="13" s="1"/>
  <c r="AB111" i="13" s="1"/>
  <c r="AC111" i="13" s="1"/>
  <c r="N125" i="13"/>
  <c r="X125" i="13" s="1"/>
  <c r="AB125" i="13" s="1"/>
  <c r="AC125" i="13" s="1"/>
  <c r="M125" i="13"/>
  <c r="AR125" i="13"/>
  <c r="AD113" i="13"/>
  <c r="AL113" i="13" s="1"/>
  <c r="AD122" i="13"/>
  <c r="AL122" i="13" s="1"/>
  <c r="AA123" i="13"/>
  <c r="AF123" i="13"/>
  <c r="AQ123" i="13" s="1"/>
  <c r="AE123" i="13"/>
  <c r="AP123" i="13" s="1"/>
  <c r="N123" i="13"/>
  <c r="X123" i="13" s="1"/>
  <c r="AB123" i="13" s="1"/>
  <c r="AC123" i="13" s="1"/>
  <c r="AL118" i="13"/>
  <c r="N121" i="13"/>
  <c r="X121" i="13" s="1"/>
  <c r="AB121" i="13" s="1"/>
  <c r="AC121" i="13" s="1"/>
  <c r="AR122" i="13"/>
  <c r="AD124" i="13"/>
  <c r="AL124" i="13" s="1"/>
  <c r="AE114" i="13"/>
  <c r="AP114" i="13" s="1"/>
  <c r="AD119" i="13"/>
  <c r="AL119" i="13" s="1"/>
  <c r="AR120" i="13"/>
  <c r="N122" i="13"/>
  <c r="X122" i="13" s="1"/>
  <c r="AB122" i="13" s="1"/>
  <c r="AC122" i="13" s="1"/>
  <c r="AE124" i="13"/>
  <c r="AP124" i="13" s="1"/>
  <c r="T828" i="37" l="1"/>
  <c r="T827" i="37"/>
  <c r="T826" i="37"/>
  <c r="T825" i="37"/>
  <c r="T824" i="37"/>
  <c r="T823" i="37"/>
  <c r="D1405" i="15"/>
  <c r="I86" i="32" l="1"/>
  <c r="P87" i="32"/>
  <c r="T832" i="37"/>
  <c r="T831" i="37"/>
  <c r="T830" i="37"/>
  <c r="T829" i="37"/>
  <c r="T822" i="37"/>
  <c r="D94" i="26" l="1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G76" i="26" s="1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E19" i="26" l="1"/>
  <c r="E23" i="26"/>
  <c r="E27" i="26"/>
  <c r="E31" i="26"/>
  <c r="E35" i="26"/>
  <c r="E39" i="26"/>
  <c r="E43" i="26"/>
  <c r="E47" i="26"/>
  <c r="E51" i="26"/>
  <c r="E53" i="26"/>
  <c r="E57" i="26"/>
  <c r="E61" i="26"/>
  <c r="E65" i="26"/>
  <c r="E69" i="26"/>
  <c r="E71" i="26"/>
  <c r="E75" i="26"/>
  <c r="E79" i="26"/>
  <c r="E83" i="26"/>
  <c r="E87" i="26"/>
  <c r="E91" i="26"/>
  <c r="F19" i="26"/>
  <c r="F23" i="26"/>
  <c r="F27" i="26"/>
  <c r="F31" i="26"/>
  <c r="F35" i="26"/>
  <c r="F37" i="26"/>
  <c r="F39" i="26"/>
  <c r="F41" i="26"/>
  <c r="F45" i="26"/>
  <c r="F47" i="26"/>
  <c r="F49" i="26"/>
  <c r="F51" i="26"/>
  <c r="F53" i="26"/>
  <c r="F55" i="26"/>
  <c r="F57" i="26"/>
  <c r="F59" i="26"/>
  <c r="F61" i="26"/>
  <c r="F63" i="26"/>
  <c r="F65" i="26"/>
  <c r="F67" i="26"/>
  <c r="F69" i="26"/>
  <c r="F71" i="26"/>
  <c r="F73" i="26"/>
  <c r="F75" i="26"/>
  <c r="F77" i="26"/>
  <c r="F79" i="26"/>
  <c r="F81" i="26"/>
  <c r="F83" i="26"/>
  <c r="F85" i="26"/>
  <c r="F87" i="26"/>
  <c r="F89" i="26"/>
  <c r="F91" i="26"/>
  <c r="F93" i="26"/>
  <c r="E21" i="26"/>
  <c r="E25" i="26"/>
  <c r="E29" i="26"/>
  <c r="E33" i="26"/>
  <c r="E37" i="26"/>
  <c r="G37" i="26" s="1"/>
  <c r="E41" i="26"/>
  <c r="G41" i="26" s="1"/>
  <c r="E45" i="26"/>
  <c r="G45" i="26" s="1"/>
  <c r="E49" i="26"/>
  <c r="E55" i="26"/>
  <c r="G55" i="26" s="1"/>
  <c r="E59" i="26"/>
  <c r="G59" i="26" s="1"/>
  <c r="E63" i="26"/>
  <c r="E67" i="26"/>
  <c r="E73" i="26"/>
  <c r="E77" i="26"/>
  <c r="E81" i="26"/>
  <c r="E85" i="26"/>
  <c r="E89" i="26"/>
  <c r="E93" i="26"/>
  <c r="F21" i="26"/>
  <c r="F25" i="26"/>
  <c r="F29" i="26"/>
  <c r="F33" i="26"/>
  <c r="F43" i="26"/>
  <c r="E28" i="26"/>
  <c r="E34" i="26"/>
  <c r="E36" i="26"/>
  <c r="E42" i="26"/>
  <c r="E44" i="26"/>
  <c r="E50" i="26"/>
  <c r="E52" i="26"/>
  <c r="E54" i="26"/>
  <c r="E56" i="26"/>
  <c r="E58" i="26"/>
  <c r="G58" i="26" s="1"/>
  <c r="E60" i="26"/>
  <c r="E62" i="26"/>
  <c r="E64" i="26"/>
  <c r="E66" i="26"/>
  <c r="E68" i="26"/>
  <c r="E70" i="26"/>
  <c r="E72" i="26"/>
  <c r="E74" i="26"/>
  <c r="E76" i="26"/>
  <c r="E78" i="26"/>
  <c r="E80" i="26"/>
  <c r="E82" i="26"/>
  <c r="E84" i="26"/>
  <c r="E86" i="26"/>
  <c r="E88" i="26"/>
  <c r="E90" i="26"/>
  <c r="G90" i="26" s="1"/>
  <c r="E92" i="26"/>
  <c r="E94" i="26"/>
  <c r="E20" i="26"/>
  <c r="E26" i="26"/>
  <c r="E32" i="26"/>
  <c r="E38" i="26"/>
  <c r="E46" i="26"/>
  <c r="F20" i="26"/>
  <c r="F22" i="26"/>
  <c r="F24" i="26"/>
  <c r="F26" i="26"/>
  <c r="F28" i="26"/>
  <c r="F30" i="26"/>
  <c r="F32" i="26"/>
  <c r="F34" i="26"/>
  <c r="F36" i="26"/>
  <c r="F38" i="26"/>
  <c r="F40" i="26"/>
  <c r="F42" i="26"/>
  <c r="F44" i="26"/>
  <c r="F46" i="26"/>
  <c r="F48" i="26"/>
  <c r="F50" i="26"/>
  <c r="F52" i="26"/>
  <c r="F54" i="26"/>
  <c r="F56" i="26"/>
  <c r="F58" i="26"/>
  <c r="F60" i="26"/>
  <c r="F62" i="26"/>
  <c r="F64" i="26"/>
  <c r="F66" i="26"/>
  <c r="F68" i="26"/>
  <c r="F70" i="26"/>
  <c r="F72" i="26"/>
  <c r="F74" i="26"/>
  <c r="F76" i="26"/>
  <c r="F78" i="26"/>
  <c r="F80" i="26"/>
  <c r="F82" i="26"/>
  <c r="F84" i="26"/>
  <c r="F86" i="26"/>
  <c r="F88" i="26"/>
  <c r="F90" i="26"/>
  <c r="F92" i="26"/>
  <c r="F94" i="26"/>
  <c r="E22" i="26"/>
  <c r="E24" i="26"/>
  <c r="E30" i="26"/>
  <c r="G30" i="26" s="1"/>
  <c r="E40" i="26"/>
  <c r="E48" i="26"/>
  <c r="A43" i="32"/>
  <c r="D43" i="32"/>
  <c r="E43" i="32"/>
  <c r="F43" i="32"/>
  <c r="G43" i="32"/>
  <c r="H43" i="32"/>
  <c r="B12" i="24"/>
  <c r="B43" i="32" s="1"/>
  <c r="G12" i="24"/>
  <c r="H12" i="24"/>
  <c r="I12" i="24"/>
  <c r="M12" i="24" s="1"/>
  <c r="P86" i="32"/>
  <c r="I88" i="32" s="1"/>
  <c r="I43" i="32" l="1"/>
  <c r="J43" i="32" s="1"/>
  <c r="G74" i="26"/>
  <c r="G69" i="26"/>
  <c r="G21" i="26"/>
  <c r="G42" i="26"/>
  <c r="G85" i="26"/>
  <c r="G26" i="26"/>
  <c r="G40" i="26"/>
  <c r="G92" i="26"/>
  <c r="G60" i="26"/>
  <c r="G36" i="26"/>
  <c r="G93" i="26"/>
  <c r="G25" i="26"/>
  <c r="G71" i="26"/>
  <c r="G43" i="26"/>
  <c r="G31" i="26"/>
  <c r="G32" i="26"/>
  <c r="G77" i="26"/>
  <c r="G87" i="26"/>
  <c r="G66" i="26"/>
  <c r="G50" i="26"/>
  <c r="G39" i="26"/>
  <c r="G33" i="26"/>
  <c r="G62" i="26"/>
  <c r="G24" i="26"/>
  <c r="G34" i="26"/>
  <c r="G46" i="26"/>
  <c r="G88" i="26"/>
  <c r="G72" i="26"/>
  <c r="G56" i="26"/>
  <c r="G28" i="26"/>
  <c r="G49" i="26"/>
  <c r="G65" i="26"/>
  <c r="G35" i="26"/>
  <c r="G22" i="26"/>
  <c r="G38" i="26"/>
  <c r="G86" i="26"/>
  <c r="G70" i="26"/>
  <c r="G54" i="26"/>
  <c r="G81" i="26"/>
  <c r="G91" i="26"/>
  <c r="G61" i="26"/>
  <c r="G68" i="26"/>
  <c r="G57" i="26"/>
  <c r="G27" i="26"/>
  <c r="G84" i="26"/>
  <c r="G89" i="26"/>
  <c r="G82" i="26"/>
  <c r="G73" i="26"/>
  <c r="G83" i="26"/>
  <c r="G53" i="26"/>
  <c r="G23" i="26"/>
  <c r="G52" i="26"/>
  <c r="G20" i="26"/>
  <c r="G80" i="26"/>
  <c r="G64" i="26"/>
  <c r="G44" i="26"/>
  <c r="G67" i="26"/>
  <c r="G79" i="26"/>
  <c r="G51" i="26"/>
  <c r="G19" i="26"/>
  <c r="G94" i="26"/>
  <c r="G78" i="26"/>
  <c r="G63" i="26"/>
  <c r="G29" i="26"/>
  <c r="G75" i="26"/>
  <c r="G47" i="26"/>
  <c r="G48" i="26"/>
  <c r="N12" i="24"/>
  <c r="O12" i="24" s="1"/>
  <c r="K43" i="32"/>
  <c r="L43" i="32" s="1"/>
  <c r="M43" i="32"/>
  <c r="A42" i="32"/>
  <c r="D42" i="32"/>
  <c r="E42" i="32"/>
  <c r="F42" i="32"/>
  <c r="G42" i="32"/>
  <c r="H42" i="32" s="1"/>
  <c r="G11" i="24"/>
  <c r="H11" i="24"/>
  <c r="I11" i="24"/>
  <c r="M11" i="24" s="1"/>
  <c r="B11" i="24"/>
  <c r="B42" i="32" s="1"/>
  <c r="I42" i="32" l="1"/>
  <c r="J42" i="32" s="1"/>
  <c r="M42" i="32" s="1"/>
  <c r="N11" i="24"/>
  <c r="O11" i="24" s="1"/>
  <c r="D1389" i="15"/>
  <c r="H77" i="32"/>
  <c r="K42" i="32" l="1"/>
  <c r="L42" i="32" s="1"/>
  <c r="A38" i="32"/>
  <c r="D38" i="32"/>
  <c r="E38" i="32"/>
  <c r="F38" i="32"/>
  <c r="G38" i="32"/>
  <c r="H38" i="32" s="1"/>
  <c r="B7" i="24"/>
  <c r="B38" i="32" s="1"/>
  <c r="G7" i="24"/>
  <c r="H7" i="24"/>
  <c r="I7" i="24"/>
  <c r="M7" i="24" s="1"/>
  <c r="I38" i="32" l="1"/>
  <c r="J38" i="32" s="1"/>
  <c r="M38" i="32" s="1"/>
  <c r="N7" i="24"/>
  <c r="O7" i="24" s="1"/>
  <c r="K38" i="32" l="1"/>
  <c r="L38" i="32" s="1"/>
  <c r="D77" i="32"/>
  <c r="O83" i="25" l="1"/>
  <c r="H1377" i="15"/>
  <c r="I1377" i="15"/>
  <c r="D1377" i="15"/>
  <c r="H1150" i="15"/>
  <c r="H1022" i="15"/>
  <c r="H1023" i="15"/>
  <c r="H746" i="15"/>
  <c r="H367" i="15"/>
  <c r="H303" i="15"/>
  <c r="H131" i="15"/>
  <c r="H55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H122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H222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H247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H259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H430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H711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H758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H770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H791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H837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H946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H1019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H1038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H1060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H1083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H1122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H1141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H1154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H1237" i="15"/>
  <c r="I1236" i="15"/>
  <c r="I1237" i="15"/>
  <c r="I1238" i="15"/>
  <c r="I1239" i="15"/>
  <c r="H1240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H1314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H1331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H1365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D1358" i="15"/>
  <c r="D1357" i="15"/>
  <c r="D1356" i="15"/>
  <c r="D1355" i="15"/>
  <c r="D1354" i="15"/>
  <c r="D1319" i="15"/>
  <c r="D1287" i="15"/>
  <c r="D1256" i="15"/>
  <c r="D1250" i="15"/>
  <c r="D1251" i="15"/>
  <c r="D1226" i="15"/>
  <c r="D1227" i="15"/>
  <c r="D1220" i="15"/>
  <c r="D1221" i="15"/>
  <c r="D1222" i="15"/>
  <c r="D1214" i="15"/>
  <c r="D1215" i="15"/>
  <c r="D1189" i="15"/>
  <c r="D1188" i="15"/>
  <c r="D1187" i="15"/>
  <c r="D1186" i="15"/>
  <c r="D1157" i="15"/>
  <c r="D1145" i="15"/>
  <c r="D1127" i="15"/>
  <c r="D1023" i="15"/>
  <c r="D1008" i="15"/>
  <c r="D982" i="15"/>
  <c r="D961" i="15"/>
  <c r="D962" i="15"/>
  <c r="D958" i="15"/>
  <c r="D959" i="15"/>
  <c r="D947" i="15"/>
  <c r="D912" i="15"/>
  <c r="D911" i="15"/>
  <c r="D909" i="15"/>
  <c r="D908" i="15"/>
  <c r="D907" i="15"/>
  <c r="D905" i="15"/>
  <c r="D904" i="15"/>
  <c r="D903" i="15"/>
  <c r="D755" i="15"/>
  <c r="D756" i="15"/>
  <c r="D744" i="15"/>
  <c r="D728" i="15"/>
  <c r="D698" i="15"/>
  <c r="D695" i="15"/>
  <c r="D692" i="15"/>
  <c r="D638" i="15"/>
  <c r="D636" i="15"/>
  <c r="D603" i="15"/>
  <c r="D559" i="15"/>
  <c r="D514" i="15"/>
  <c r="D464" i="15"/>
  <c r="D456" i="15"/>
  <c r="D443" i="15"/>
  <c r="D440" i="15"/>
  <c r="D404" i="15"/>
  <c r="D395" i="15"/>
  <c r="D394" i="15"/>
  <c r="D386" i="15"/>
  <c r="D377" i="15"/>
  <c r="D376" i="15"/>
  <c r="D370" i="15"/>
  <c r="D305" i="15"/>
  <c r="D299" i="15"/>
  <c r="D288" i="15"/>
  <c r="D250" i="15"/>
  <c r="D234" i="15"/>
  <c r="D223" i="15"/>
  <c r="D224" i="15"/>
  <c r="D218" i="15"/>
  <c r="D188" i="15"/>
  <c r="D141" i="15"/>
  <c r="D131" i="15"/>
  <c r="D110" i="15"/>
  <c r="D97" i="15"/>
  <c r="D53" i="15"/>
  <c r="D41" i="15"/>
  <c r="D40" i="15"/>
  <c r="D38" i="15"/>
  <c r="D6" i="15"/>
  <c r="E5" i="15"/>
  <c r="E6" i="15"/>
  <c r="E7" i="15"/>
  <c r="E8" i="15"/>
  <c r="E9" i="15"/>
  <c r="D10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D107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D122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D139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D222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D286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D430" i="15"/>
  <c r="E430" i="15"/>
  <c r="D431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D600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D758" i="15"/>
  <c r="E758" i="15"/>
  <c r="E759" i="15"/>
  <c r="E760" i="15"/>
  <c r="E761" i="15"/>
  <c r="E762" i="15"/>
  <c r="E763" i="15"/>
  <c r="E764" i="15"/>
  <c r="E765" i="15"/>
  <c r="D766" i="15"/>
  <c r="E766" i="15"/>
  <c r="D767" i="15"/>
  <c r="E767" i="15"/>
  <c r="E768" i="15"/>
  <c r="E769" i="15"/>
  <c r="D770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D789" i="15"/>
  <c r="E789" i="15"/>
  <c r="E790" i="15"/>
  <c r="E791" i="15"/>
  <c r="E792" i="15"/>
  <c r="E793" i="15"/>
  <c r="E794" i="15"/>
  <c r="E795" i="15"/>
  <c r="D796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D809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D825" i="15"/>
  <c r="E825" i="15"/>
  <c r="E826" i="15"/>
  <c r="E827" i="15"/>
  <c r="E828" i="15"/>
  <c r="E829" i="15"/>
  <c r="E830" i="15"/>
  <c r="E831" i="15"/>
  <c r="E832" i="15"/>
  <c r="E833" i="15"/>
  <c r="D834" i="15"/>
  <c r="E834" i="15"/>
  <c r="E835" i="15"/>
  <c r="E836" i="15"/>
  <c r="D837" i="15"/>
  <c r="E837" i="15"/>
  <c r="E838" i="15"/>
  <c r="E839" i="15"/>
  <c r="D840" i="15"/>
  <c r="E840" i="15"/>
  <c r="E841" i="15"/>
  <c r="D842" i="15"/>
  <c r="E842" i="15"/>
  <c r="E843" i="15"/>
  <c r="D844" i="15"/>
  <c r="E844" i="15"/>
  <c r="E845" i="15"/>
  <c r="D846" i="15"/>
  <c r="E846" i="15"/>
  <c r="E847" i="15"/>
  <c r="E848" i="15"/>
  <c r="E849" i="15"/>
  <c r="E850" i="15"/>
  <c r="D851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D976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D992" i="15"/>
  <c r="E992" i="15"/>
  <c r="E993" i="15"/>
  <c r="E994" i="15"/>
  <c r="E995" i="15"/>
  <c r="E996" i="15"/>
  <c r="D997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D1014" i="15"/>
  <c r="E1014" i="15"/>
  <c r="E1015" i="15"/>
  <c r="E1016" i="15"/>
  <c r="E1017" i="15"/>
  <c r="E1018" i="15"/>
  <c r="D1019" i="15"/>
  <c r="E1019" i="15"/>
  <c r="E1020" i="15"/>
  <c r="E1021" i="15"/>
  <c r="E1022" i="15"/>
  <c r="E1023" i="15"/>
  <c r="E1024" i="15"/>
  <c r="E1025" i="15"/>
  <c r="D1026" i="15"/>
  <c r="E1026" i="15"/>
  <c r="E1027" i="15"/>
  <c r="E1028" i="15"/>
  <c r="E1029" i="15"/>
  <c r="E1030" i="15"/>
  <c r="E1031" i="15"/>
  <c r="E1032" i="15"/>
  <c r="E1033" i="15"/>
  <c r="E1034" i="15"/>
  <c r="E1035" i="15"/>
  <c r="D1036" i="15"/>
  <c r="E1036" i="15"/>
  <c r="E1037" i="15"/>
  <c r="D1038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D1060" i="15"/>
  <c r="E1060" i="15"/>
  <c r="E1061" i="15"/>
  <c r="E1062" i="15"/>
  <c r="E1063" i="15"/>
  <c r="E1064" i="15"/>
  <c r="E1065" i="15"/>
  <c r="E1066" i="15"/>
  <c r="E1067" i="15"/>
  <c r="E1068" i="15"/>
  <c r="E1069" i="15"/>
  <c r="D1070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D1081" i="15"/>
  <c r="E1081" i="15"/>
  <c r="E1082" i="15"/>
  <c r="D1083" i="15"/>
  <c r="E1083" i="15"/>
  <c r="E1084" i="15"/>
  <c r="E1085" i="15"/>
  <c r="D1086" i="15"/>
  <c r="E1086" i="15"/>
  <c r="E1087" i="15"/>
  <c r="E1088" i="15"/>
  <c r="E1089" i="15"/>
  <c r="E1090" i="15"/>
  <c r="D1091" i="15"/>
  <c r="E1091" i="15"/>
  <c r="E1092" i="15"/>
  <c r="E1093" i="15"/>
  <c r="E1094" i="15"/>
  <c r="D1095" i="15"/>
  <c r="E1095" i="15"/>
  <c r="E1096" i="15"/>
  <c r="E1097" i="15"/>
  <c r="E1098" i="15"/>
  <c r="E1099" i="15"/>
  <c r="E1100" i="15"/>
  <c r="E1101" i="15"/>
  <c r="E1102" i="15"/>
  <c r="E1103" i="15"/>
  <c r="E1104" i="15"/>
  <c r="D1105" i="15"/>
  <c r="E1105" i="15"/>
  <c r="E1106" i="15"/>
  <c r="E1107" i="15"/>
  <c r="E1108" i="15"/>
  <c r="D1109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D1124" i="15"/>
  <c r="E1124" i="15"/>
  <c r="E1125" i="15"/>
  <c r="D1126" i="15"/>
  <c r="E1126" i="15"/>
  <c r="E1127" i="15"/>
  <c r="E1128" i="15"/>
  <c r="E1129" i="15"/>
  <c r="E1130" i="15"/>
  <c r="E1131" i="15"/>
  <c r="E1132" i="15"/>
  <c r="E1133" i="15"/>
  <c r="E1134" i="15"/>
  <c r="E1135" i="15"/>
  <c r="D1136" i="15"/>
  <c r="E1136" i="15"/>
  <c r="E1137" i="15"/>
  <c r="E1138" i="15"/>
  <c r="E1139" i="15"/>
  <c r="E1140" i="15"/>
  <c r="D1141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D1172" i="15"/>
  <c r="E1172" i="15"/>
  <c r="E1173" i="15"/>
  <c r="E1174" i="15"/>
  <c r="E1175" i="15"/>
  <c r="D1176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D1249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D1264" i="15"/>
  <c r="E1264" i="15"/>
  <c r="E1265" i="15"/>
  <c r="E1266" i="15"/>
  <c r="E1267" i="15"/>
  <c r="D1268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D1289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D1314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D1334" i="15"/>
  <c r="E1334" i="15"/>
  <c r="E1335" i="15"/>
  <c r="E1336" i="15"/>
  <c r="E1337" i="15"/>
  <c r="D1338" i="15"/>
  <c r="E1338" i="15"/>
  <c r="E1339" i="15"/>
  <c r="E1340" i="15"/>
  <c r="E1341" i="15"/>
  <c r="D1342" i="15"/>
  <c r="E1342" i="15"/>
  <c r="E1343" i="15"/>
  <c r="E1344" i="15"/>
  <c r="E1345" i="15"/>
  <c r="E1346" i="15"/>
  <c r="E1347" i="15"/>
  <c r="E1348" i="15"/>
  <c r="E1349" i="15"/>
  <c r="E1350" i="15"/>
  <c r="E1351" i="15"/>
  <c r="D1352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D1365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P414" i="26"/>
  <c r="L35" i="24"/>
  <c r="L34" i="24"/>
  <c r="L33" i="24"/>
  <c r="L28" i="24"/>
  <c r="Z54" i="24"/>
  <c r="Z55" i="24" s="1"/>
  <c r="Z56" i="24" s="1"/>
  <c r="Z57" i="24" s="1"/>
  <c r="Z58" i="24" s="1"/>
  <c r="Z59" i="24" s="1"/>
  <c r="Z60" i="24" s="1"/>
  <c r="Z61" i="24" s="1"/>
  <c r="Z62" i="24" s="1"/>
  <c r="Z63" i="24" s="1"/>
  <c r="Z64" i="24" s="1"/>
  <c r="Z65" i="24" s="1"/>
  <c r="L29" i="24"/>
  <c r="E29" i="24"/>
  <c r="M29" i="24" s="1"/>
  <c r="N29" i="24" s="1"/>
  <c r="L30" i="24"/>
  <c r="AB64" i="24"/>
  <c r="AB65" i="24" s="1"/>
  <c r="L31" i="24"/>
  <c r="AC65" i="24"/>
  <c r="AC66" i="24"/>
  <c r="E31" i="24" s="1"/>
  <c r="M31" i="24" s="1"/>
  <c r="N31" i="24" s="1"/>
  <c r="L32" i="24"/>
  <c r="AD65" i="24"/>
  <c r="AD66" i="24"/>
  <c r="E32" i="24" s="1"/>
  <c r="M32" i="24" s="1"/>
  <c r="N32" i="24" s="1"/>
  <c r="L36" i="24"/>
  <c r="AG64" i="24"/>
  <c r="AG65" i="24" s="1"/>
  <c r="AG66" i="24" s="1"/>
  <c r="C79" i="32"/>
  <c r="L37" i="24"/>
  <c r="AI65" i="24"/>
  <c r="AI66" i="24" s="1"/>
  <c r="L38" i="24"/>
  <c r="AJ58" i="24"/>
  <c r="AJ59" i="24" s="1"/>
  <c r="AJ60" i="24" s="1"/>
  <c r="AJ61" i="24" s="1"/>
  <c r="AJ62" i="24" s="1"/>
  <c r="AJ63" i="24" s="1"/>
  <c r="AJ64" i="24" s="1"/>
  <c r="AJ65" i="24" s="1"/>
  <c r="AJ66" i="24" s="1"/>
  <c r="E38" i="24" s="1"/>
  <c r="M38" i="24" s="1"/>
  <c r="N38" i="24" s="1"/>
  <c r="E33" i="24"/>
  <c r="M33" i="24" s="1"/>
  <c r="AH65" i="24"/>
  <c r="AH66" i="24" s="1"/>
  <c r="E35" i="24"/>
  <c r="M35" i="24" s="1"/>
  <c r="I87" i="32"/>
  <c r="I18" i="24"/>
  <c r="M18" i="24" s="1"/>
  <c r="H18" i="24"/>
  <c r="N18" i="24" s="1"/>
  <c r="G18" i="24"/>
  <c r="B18" i="24"/>
  <c r="I17" i="24"/>
  <c r="M17" i="24" s="1"/>
  <c r="H17" i="24"/>
  <c r="G17" i="24"/>
  <c r="B17" i="24"/>
  <c r="B48" i="32" s="1"/>
  <c r="A39" i="32"/>
  <c r="D39" i="32"/>
  <c r="E39" i="32"/>
  <c r="F39" i="32"/>
  <c r="G39" i="32"/>
  <c r="H39" i="32" s="1"/>
  <c r="I8" i="24"/>
  <c r="I39" i="32" s="1"/>
  <c r="B8" i="24"/>
  <c r="B39" i="32" s="1"/>
  <c r="G8" i="24"/>
  <c r="H8" i="24"/>
  <c r="D14" i="26"/>
  <c r="AV117" i="13"/>
  <c r="AU117" i="13"/>
  <c r="AM117" i="13"/>
  <c r="AK117" i="13"/>
  <c r="AJ117" i="13"/>
  <c r="AI117" i="13"/>
  <c r="AH117" i="13"/>
  <c r="AG117" i="13"/>
  <c r="U117" i="13"/>
  <c r="P45" i="13" s="1"/>
  <c r="T117" i="13"/>
  <c r="L117" i="13"/>
  <c r="K117" i="13"/>
  <c r="AO117" i="13" s="1"/>
  <c r="J117" i="13"/>
  <c r="I117" i="13"/>
  <c r="AR117" i="13" s="1"/>
  <c r="H117" i="13"/>
  <c r="G117" i="13"/>
  <c r="E117" i="13"/>
  <c r="D117" i="13"/>
  <c r="C117" i="13"/>
  <c r="Y45" i="13"/>
  <c r="U45" i="13"/>
  <c r="T45" i="13"/>
  <c r="O45" i="13"/>
  <c r="H45" i="13"/>
  <c r="G45" i="13"/>
  <c r="W45" i="13" s="1"/>
  <c r="F45" i="13"/>
  <c r="F32" i="25" s="1"/>
  <c r="E45" i="13"/>
  <c r="D45" i="13"/>
  <c r="D32" i="25" s="1"/>
  <c r="C45" i="13"/>
  <c r="C32" i="25" s="1"/>
  <c r="Y44" i="13"/>
  <c r="U44" i="13"/>
  <c r="T44" i="13"/>
  <c r="O44" i="13"/>
  <c r="H44" i="13"/>
  <c r="M44" i="13" s="1" a="1"/>
  <c r="M44" i="13" s="1"/>
  <c r="I33" i="32" s="1"/>
  <c r="G44" i="13"/>
  <c r="W44" i="13" s="1"/>
  <c r="F44" i="13"/>
  <c r="E44" i="13"/>
  <c r="E33" i="32" s="1"/>
  <c r="D44" i="13"/>
  <c r="C44" i="13"/>
  <c r="Y43" i="13"/>
  <c r="U43" i="13"/>
  <c r="T43" i="13"/>
  <c r="O43" i="13"/>
  <c r="H43" i="13"/>
  <c r="M43" i="13" s="1" a="1"/>
  <c r="M43" i="13" s="1"/>
  <c r="I32" i="32" s="1"/>
  <c r="G43" i="13"/>
  <c r="W43" i="13" s="1"/>
  <c r="F43" i="13"/>
  <c r="E43" i="13"/>
  <c r="E32" i="32" s="1"/>
  <c r="D43" i="13"/>
  <c r="C43" i="13"/>
  <c r="Y42" i="13"/>
  <c r="U42" i="13"/>
  <c r="T42" i="13"/>
  <c r="O42" i="13"/>
  <c r="J31" i="32" s="1"/>
  <c r="H42" i="13"/>
  <c r="N19" i="13" s="1"/>
  <c r="G42" i="13"/>
  <c r="W42" i="13" s="1"/>
  <c r="F42" i="13"/>
  <c r="F31" i="32" s="1"/>
  <c r="E42" i="13"/>
  <c r="E31" i="32" s="1"/>
  <c r="D42" i="13"/>
  <c r="C42" i="13"/>
  <c r="Y41" i="13"/>
  <c r="U41" i="13"/>
  <c r="T41" i="13"/>
  <c r="O41" i="13"/>
  <c r="J30" i="32" s="1"/>
  <c r="H41" i="13"/>
  <c r="G41" i="13"/>
  <c r="W41" i="13" s="1"/>
  <c r="F41" i="13"/>
  <c r="F30" i="32" s="1"/>
  <c r="E41" i="13"/>
  <c r="D41" i="13"/>
  <c r="C41" i="13"/>
  <c r="Y40" i="13"/>
  <c r="U40" i="13"/>
  <c r="T40" i="13"/>
  <c r="O40" i="13"/>
  <c r="H40" i="13"/>
  <c r="R40" i="13" s="1"/>
  <c r="G40" i="13"/>
  <c r="W40" i="13" s="1"/>
  <c r="F40" i="13"/>
  <c r="E40" i="13"/>
  <c r="D40" i="13"/>
  <c r="C40" i="13"/>
  <c r="S34" i="13"/>
  <c r="R34" i="13"/>
  <c r="Q34" i="13"/>
  <c r="S33" i="13"/>
  <c r="R33" i="13"/>
  <c r="Q33" i="13"/>
  <c r="S32" i="13"/>
  <c r="R32" i="13"/>
  <c r="Q32" i="13"/>
  <c r="S31" i="13"/>
  <c r="R31" i="13"/>
  <c r="Q31" i="13"/>
  <c r="S30" i="13"/>
  <c r="R30" i="13"/>
  <c r="Q30" i="13"/>
  <c r="S29" i="13"/>
  <c r="R29" i="13"/>
  <c r="Q29" i="13"/>
  <c r="S22" i="13"/>
  <c r="R22" i="13"/>
  <c r="Q22" i="13"/>
  <c r="A22" i="13"/>
  <c r="A34" i="13" s="1"/>
  <c r="S21" i="13"/>
  <c r="R21" i="13"/>
  <c r="Q21" i="13"/>
  <c r="A21" i="13"/>
  <c r="A33" i="13" s="1"/>
  <c r="S20" i="13"/>
  <c r="R20" i="13"/>
  <c r="Q20" i="13"/>
  <c r="A20" i="13"/>
  <c r="A32" i="13" s="1"/>
  <c r="S19" i="13"/>
  <c r="R19" i="13"/>
  <c r="Q19" i="13"/>
  <c r="A19" i="13"/>
  <c r="A31" i="13" s="1"/>
  <c r="S18" i="13"/>
  <c r="R18" i="13"/>
  <c r="Q18" i="13"/>
  <c r="A18" i="13"/>
  <c r="A30" i="13" s="1"/>
  <c r="S17" i="13"/>
  <c r="R17" i="13"/>
  <c r="Q17" i="13"/>
  <c r="A17" i="13"/>
  <c r="A29" i="13" s="1"/>
  <c r="AV70" i="13"/>
  <c r="AU70" i="13"/>
  <c r="AM70" i="13"/>
  <c r="AK70" i="13"/>
  <c r="AJ70" i="13"/>
  <c r="AI70" i="13"/>
  <c r="AH70" i="13"/>
  <c r="AG70" i="13"/>
  <c r="U70" i="13"/>
  <c r="P41" i="13" s="1"/>
  <c r="T70" i="13"/>
  <c r="N41" i="13" s="1"/>
  <c r="K30" i="32" s="1"/>
  <c r="L70" i="13"/>
  <c r="K70" i="13"/>
  <c r="AO70" i="13" s="1"/>
  <c r="J70" i="13"/>
  <c r="I70" i="13"/>
  <c r="AR70" i="13" s="1"/>
  <c r="H70" i="13"/>
  <c r="G70" i="13"/>
  <c r="E70" i="13"/>
  <c r="D70" i="13"/>
  <c r="C70" i="13"/>
  <c r="I10" i="24"/>
  <c r="I41" i="32" s="1"/>
  <c r="I13" i="24"/>
  <c r="M13" i="24" s="1"/>
  <c r="I15" i="24"/>
  <c r="M15" i="24" s="1"/>
  <c r="I14" i="24"/>
  <c r="M14" i="24" s="1"/>
  <c r="M161" i="13" s="1"/>
  <c r="I5" i="24"/>
  <c r="I36" i="32" s="1"/>
  <c r="I6" i="24"/>
  <c r="I37" i="32" s="1"/>
  <c r="I9" i="24"/>
  <c r="M9" i="24" s="1"/>
  <c r="I16" i="24"/>
  <c r="M16" i="24" s="1"/>
  <c r="M166" i="13" s="1"/>
  <c r="I4" i="24"/>
  <c r="B762" i="37"/>
  <c r="B761" i="37"/>
  <c r="B718" i="37"/>
  <c r="B654" i="37"/>
  <c r="B653" i="37"/>
  <c r="B609" i="37"/>
  <c r="B588" i="37"/>
  <c r="B522" i="37"/>
  <c r="B502" i="37"/>
  <c r="B159" i="37"/>
  <c r="B154" i="37"/>
  <c r="B7" i="37"/>
  <c r="C7" i="37" s="1"/>
  <c r="T791" i="37"/>
  <c r="T793" i="37"/>
  <c r="E64" i="32"/>
  <c r="E20" i="25" s="1"/>
  <c r="E773" i="37"/>
  <c r="E762" i="37"/>
  <c r="E761" i="37"/>
  <c r="E718" i="37"/>
  <c r="E654" i="37"/>
  <c r="E653" i="37"/>
  <c r="E609" i="37"/>
  <c r="E588" i="37"/>
  <c r="E522" i="37"/>
  <c r="E502" i="37"/>
  <c r="E159" i="37"/>
  <c r="E154" i="37"/>
  <c r="E7" i="37"/>
  <c r="F7" i="37" s="1"/>
  <c r="E65" i="32"/>
  <c r="E21" i="25" s="1"/>
  <c r="H773" i="37"/>
  <c r="H762" i="37"/>
  <c r="H761" i="37"/>
  <c r="H718" i="37"/>
  <c r="H654" i="37"/>
  <c r="H653" i="37"/>
  <c r="H609" i="37"/>
  <c r="H588" i="37"/>
  <c r="H522" i="37"/>
  <c r="H502" i="37"/>
  <c r="H159" i="37"/>
  <c r="H154" i="37"/>
  <c r="H7" i="37"/>
  <c r="I7" i="37" s="1"/>
  <c r="E66" i="32"/>
  <c r="E22" i="25" s="1"/>
  <c r="N773" i="37"/>
  <c r="N762" i="37"/>
  <c r="N761" i="37"/>
  <c r="N718" i="37"/>
  <c r="N654" i="37"/>
  <c r="N653" i="37"/>
  <c r="N609" i="37"/>
  <c r="N588" i="37"/>
  <c r="N522" i="37"/>
  <c r="N502" i="37"/>
  <c r="N159" i="37"/>
  <c r="N154" i="37"/>
  <c r="N7" i="37"/>
  <c r="O7" i="37" s="1"/>
  <c r="E67" i="32"/>
  <c r="E23" i="25" s="1"/>
  <c r="T783" i="37"/>
  <c r="T784" i="37"/>
  <c r="T785" i="37"/>
  <c r="T786" i="37"/>
  <c r="T11" i="37"/>
  <c r="T12" i="37"/>
  <c r="V12" i="37" s="1"/>
  <c r="T13" i="37"/>
  <c r="V13" i="37" s="1"/>
  <c r="T14" i="37"/>
  <c r="V14" i="37" s="1"/>
  <c r="T15" i="37"/>
  <c r="V15" i="37" s="1"/>
  <c r="T16" i="37"/>
  <c r="V16" i="37" s="1"/>
  <c r="T17" i="37"/>
  <c r="V17" i="37" s="1"/>
  <c r="T18" i="37"/>
  <c r="T19" i="37"/>
  <c r="V19" i="37" s="1"/>
  <c r="T20" i="37"/>
  <c r="V20" i="37" s="1"/>
  <c r="T21" i="37"/>
  <c r="V21" i="37" s="1"/>
  <c r="T22" i="37"/>
  <c r="V22" i="37" s="1"/>
  <c r="T23" i="37"/>
  <c r="V23" i="37" s="1"/>
  <c r="T24" i="37"/>
  <c r="V24" i="37" s="1"/>
  <c r="T25" i="37"/>
  <c r="V25" i="37" s="1"/>
  <c r="T26" i="37"/>
  <c r="V26" i="37" s="1"/>
  <c r="T27" i="37"/>
  <c r="V27" i="37" s="1"/>
  <c r="T28" i="37"/>
  <c r="V28" i="37" s="1"/>
  <c r="T29" i="37"/>
  <c r="V29" i="37" s="1"/>
  <c r="T30" i="37"/>
  <c r="V30" i="37" s="1"/>
  <c r="T31" i="37"/>
  <c r="V31" i="37" s="1"/>
  <c r="T32" i="37"/>
  <c r="V32" i="37" s="1"/>
  <c r="T33" i="37"/>
  <c r="V33" i="37" s="1"/>
  <c r="T34" i="37"/>
  <c r="V34" i="37" s="1"/>
  <c r="T35" i="37"/>
  <c r="V35" i="37" s="1"/>
  <c r="T36" i="37"/>
  <c r="V36" i="37" s="1"/>
  <c r="T37" i="37"/>
  <c r="V37" i="37" s="1"/>
  <c r="T38" i="37"/>
  <c r="V38" i="37" s="1"/>
  <c r="T39" i="37"/>
  <c r="V39" i="37" s="1"/>
  <c r="T40" i="37"/>
  <c r="V40" i="37" s="1"/>
  <c r="T41" i="37"/>
  <c r="V41" i="37" s="1"/>
  <c r="T42" i="37"/>
  <c r="T43" i="37"/>
  <c r="T44" i="37"/>
  <c r="V44" i="37" s="1"/>
  <c r="T45" i="37"/>
  <c r="V45" i="37" s="1"/>
  <c r="T46" i="37"/>
  <c r="V46" i="37" s="1"/>
  <c r="T47" i="37"/>
  <c r="V47" i="37" s="1"/>
  <c r="T48" i="37"/>
  <c r="V48" i="37" s="1"/>
  <c r="T49" i="37"/>
  <c r="V49" i="37" s="1"/>
  <c r="T50" i="37"/>
  <c r="V50" i="37" s="1"/>
  <c r="T51" i="37"/>
  <c r="T52" i="37"/>
  <c r="V52" i="37" s="1"/>
  <c r="T53" i="37"/>
  <c r="V53" i="37" s="1"/>
  <c r="T54" i="37"/>
  <c r="V54" i="37" s="1"/>
  <c r="T55" i="37"/>
  <c r="V55" i="37" s="1"/>
  <c r="T56" i="37"/>
  <c r="V56" i="37" s="1"/>
  <c r="T57" i="37"/>
  <c r="V57" i="37" s="1"/>
  <c r="T58" i="37"/>
  <c r="T59" i="37"/>
  <c r="V59" i="37" s="1"/>
  <c r="T60" i="37"/>
  <c r="V60" i="37" s="1"/>
  <c r="T61" i="37"/>
  <c r="V61" i="37" s="1"/>
  <c r="T62" i="37"/>
  <c r="V62" i="37" s="1"/>
  <c r="T63" i="37"/>
  <c r="V63" i="37" s="1"/>
  <c r="T64" i="37"/>
  <c r="V64" i="37" s="1"/>
  <c r="T65" i="37"/>
  <c r="V65" i="37" s="1"/>
  <c r="T66" i="37"/>
  <c r="V66" i="37" s="1"/>
  <c r="T67" i="37"/>
  <c r="V67" i="37" s="1"/>
  <c r="T68" i="37"/>
  <c r="V68" i="37" s="1"/>
  <c r="T69" i="37"/>
  <c r="V69" i="37" s="1"/>
  <c r="T70" i="37"/>
  <c r="V70" i="37" s="1"/>
  <c r="T71" i="37"/>
  <c r="V71" i="37" s="1"/>
  <c r="T72" i="37"/>
  <c r="V72" i="37" s="1"/>
  <c r="T73" i="37"/>
  <c r="V73" i="37" s="1"/>
  <c r="T74" i="37"/>
  <c r="V74" i="37" s="1"/>
  <c r="T75" i="37"/>
  <c r="T76" i="37"/>
  <c r="V76" i="37" s="1"/>
  <c r="T77" i="37"/>
  <c r="V77" i="37" s="1"/>
  <c r="T78" i="37"/>
  <c r="V78" i="37" s="1"/>
  <c r="T79" i="37"/>
  <c r="V79" i="37" s="1"/>
  <c r="T80" i="37"/>
  <c r="V80" i="37" s="1"/>
  <c r="T81" i="37"/>
  <c r="V81" i="37" s="1"/>
  <c r="T82" i="37"/>
  <c r="V82" i="37" s="1"/>
  <c r="T83" i="37"/>
  <c r="V83" i="37" s="1"/>
  <c r="T84" i="37"/>
  <c r="V84" i="37" s="1"/>
  <c r="T85" i="37"/>
  <c r="V85" i="37" s="1"/>
  <c r="T86" i="37"/>
  <c r="V86" i="37" s="1"/>
  <c r="T87" i="37"/>
  <c r="V87" i="37" s="1"/>
  <c r="T88" i="37"/>
  <c r="V88" i="37" s="1"/>
  <c r="T89" i="37"/>
  <c r="V89" i="37" s="1"/>
  <c r="T90" i="37"/>
  <c r="V90" i="37" s="1"/>
  <c r="T91" i="37"/>
  <c r="V91" i="37" s="1"/>
  <c r="T92" i="37"/>
  <c r="V92" i="37" s="1"/>
  <c r="T93" i="37"/>
  <c r="V93" i="37" s="1"/>
  <c r="T94" i="37"/>
  <c r="V94" i="37" s="1"/>
  <c r="T95" i="37"/>
  <c r="V95" i="37" s="1"/>
  <c r="T96" i="37"/>
  <c r="V96" i="37" s="1"/>
  <c r="T97" i="37"/>
  <c r="V97" i="37" s="1"/>
  <c r="T98" i="37"/>
  <c r="V98" i="37" s="1"/>
  <c r="T99" i="37"/>
  <c r="V99" i="37" s="1"/>
  <c r="T100" i="37"/>
  <c r="V100" i="37" s="1"/>
  <c r="T101" i="37"/>
  <c r="V101" i="37" s="1"/>
  <c r="T102" i="37"/>
  <c r="T103" i="37"/>
  <c r="V103" i="37" s="1"/>
  <c r="T104" i="37"/>
  <c r="V104" i="37" s="1"/>
  <c r="T105" i="37"/>
  <c r="V105" i="37" s="1"/>
  <c r="T106" i="37"/>
  <c r="V106" i="37" s="1"/>
  <c r="T107" i="37"/>
  <c r="T108" i="37"/>
  <c r="V108" i="37" s="1"/>
  <c r="T109" i="37"/>
  <c r="V109" i="37" s="1"/>
  <c r="T110" i="37"/>
  <c r="V110" i="37" s="1"/>
  <c r="T111" i="37"/>
  <c r="V111" i="37" s="1"/>
  <c r="T112" i="37"/>
  <c r="V112" i="37" s="1"/>
  <c r="T113" i="37"/>
  <c r="V113" i="37" s="1"/>
  <c r="T114" i="37"/>
  <c r="V114" i="37" s="1"/>
  <c r="T115" i="37"/>
  <c r="V115" i="37" s="1"/>
  <c r="T116" i="37"/>
  <c r="V116" i="37" s="1"/>
  <c r="T117" i="37"/>
  <c r="V117" i="37" s="1"/>
  <c r="T118" i="37"/>
  <c r="V118" i="37" s="1"/>
  <c r="T119" i="37"/>
  <c r="V119" i="37" s="1"/>
  <c r="T120" i="37"/>
  <c r="V120" i="37" s="1"/>
  <c r="T121" i="37"/>
  <c r="V121" i="37" s="1"/>
  <c r="T122" i="37"/>
  <c r="V122" i="37" s="1"/>
  <c r="T123" i="37"/>
  <c r="T124" i="37"/>
  <c r="V124" i="37" s="1"/>
  <c r="T125" i="37"/>
  <c r="V125" i="37" s="1"/>
  <c r="T126" i="37"/>
  <c r="V126" i="37" s="1"/>
  <c r="T127" i="37"/>
  <c r="V127" i="37" s="1"/>
  <c r="T128" i="37"/>
  <c r="V128" i="37" s="1"/>
  <c r="T129" i="37"/>
  <c r="V129" i="37" s="1"/>
  <c r="T130" i="37"/>
  <c r="V130" i="37" s="1"/>
  <c r="T131" i="37"/>
  <c r="V131" i="37" s="1"/>
  <c r="T132" i="37"/>
  <c r="V132" i="37" s="1"/>
  <c r="T133" i="37"/>
  <c r="V133" i="37" s="1"/>
  <c r="T134" i="37"/>
  <c r="V134" i="37" s="1"/>
  <c r="T135" i="37"/>
  <c r="V135" i="37" s="1"/>
  <c r="T136" i="37"/>
  <c r="V136" i="37" s="1"/>
  <c r="T137" i="37"/>
  <c r="V137" i="37" s="1"/>
  <c r="T138" i="37"/>
  <c r="V138" i="37" s="1"/>
  <c r="T139" i="37"/>
  <c r="V139" i="37" s="1"/>
  <c r="T140" i="37"/>
  <c r="V140" i="37" s="1"/>
  <c r="T141" i="37"/>
  <c r="V141" i="37" s="1"/>
  <c r="T142" i="37"/>
  <c r="V142" i="37" s="1"/>
  <c r="T143" i="37"/>
  <c r="V143" i="37" s="1"/>
  <c r="T144" i="37"/>
  <c r="V144" i="37" s="1"/>
  <c r="T145" i="37"/>
  <c r="T146" i="37"/>
  <c r="V146" i="37" s="1"/>
  <c r="T147" i="37"/>
  <c r="V147" i="37" s="1"/>
  <c r="T148" i="37"/>
  <c r="V148" i="37" s="1"/>
  <c r="T149" i="37"/>
  <c r="V149" i="37" s="1"/>
  <c r="T150" i="37"/>
  <c r="V150" i="37" s="1"/>
  <c r="T151" i="37"/>
  <c r="V151" i="37" s="1"/>
  <c r="T152" i="37"/>
  <c r="V152" i="37" s="1"/>
  <c r="T153" i="37"/>
  <c r="V153" i="37" s="1"/>
  <c r="T154" i="37"/>
  <c r="V154" i="37" s="1"/>
  <c r="T155" i="37"/>
  <c r="T156" i="37"/>
  <c r="V156" i="37" s="1"/>
  <c r="T157" i="37"/>
  <c r="V157" i="37" s="1"/>
  <c r="T158" i="37"/>
  <c r="V158" i="37" s="1"/>
  <c r="T159" i="37"/>
  <c r="V159" i="37" s="1"/>
  <c r="T160" i="37"/>
  <c r="V160" i="37" s="1"/>
  <c r="T161" i="37"/>
  <c r="V161" i="37" s="1"/>
  <c r="T162" i="37"/>
  <c r="V162" i="37" s="1"/>
  <c r="T163" i="37"/>
  <c r="T164" i="37"/>
  <c r="V164" i="37" s="1"/>
  <c r="T165" i="37"/>
  <c r="V165" i="37" s="1"/>
  <c r="T166" i="37"/>
  <c r="V166" i="37" s="1"/>
  <c r="T167" i="37"/>
  <c r="V167" i="37" s="1"/>
  <c r="T168" i="37"/>
  <c r="V168" i="37" s="1"/>
  <c r="T169" i="37"/>
  <c r="V169" i="37" s="1"/>
  <c r="T170" i="37"/>
  <c r="V170" i="37" s="1"/>
  <c r="T171" i="37"/>
  <c r="V171" i="37" s="1"/>
  <c r="T172" i="37"/>
  <c r="V172" i="37" s="1"/>
  <c r="T173" i="37"/>
  <c r="V173" i="37" s="1"/>
  <c r="T174" i="37"/>
  <c r="V174" i="37" s="1"/>
  <c r="T175" i="37"/>
  <c r="V175" i="37" s="1"/>
  <c r="T176" i="37"/>
  <c r="V176" i="37" s="1"/>
  <c r="T177" i="37"/>
  <c r="V177" i="37" s="1"/>
  <c r="T178" i="37"/>
  <c r="V178" i="37" s="1"/>
  <c r="T179" i="37"/>
  <c r="V179" i="37" s="1"/>
  <c r="T180" i="37"/>
  <c r="V180" i="37" s="1"/>
  <c r="T181" i="37"/>
  <c r="V181" i="37" s="1"/>
  <c r="T182" i="37"/>
  <c r="V182" i="37" s="1"/>
  <c r="T183" i="37"/>
  <c r="V183" i="37" s="1"/>
  <c r="T184" i="37"/>
  <c r="V184" i="37" s="1"/>
  <c r="T185" i="37"/>
  <c r="V185" i="37" s="1"/>
  <c r="T186" i="37"/>
  <c r="V186" i="37" s="1"/>
  <c r="T187" i="37"/>
  <c r="V187" i="37" s="1"/>
  <c r="T188" i="37"/>
  <c r="V188" i="37" s="1"/>
  <c r="T189" i="37"/>
  <c r="V189" i="37" s="1"/>
  <c r="T190" i="37"/>
  <c r="V190" i="37" s="1"/>
  <c r="T191" i="37"/>
  <c r="V191" i="37" s="1"/>
  <c r="T192" i="37"/>
  <c r="V192" i="37" s="1"/>
  <c r="T193" i="37"/>
  <c r="V193" i="37" s="1"/>
  <c r="T194" i="37"/>
  <c r="V194" i="37" s="1"/>
  <c r="T195" i="37"/>
  <c r="V195" i="37" s="1"/>
  <c r="T196" i="37"/>
  <c r="V196" i="37" s="1"/>
  <c r="T197" i="37"/>
  <c r="V197" i="37" s="1"/>
  <c r="T198" i="37"/>
  <c r="V198" i="37" s="1"/>
  <c r="T199" i="37"/>
  <c r="V199" i="37" s="1"/>
  <c r="T200" i="37"/>
  <c r="V200" i="37" s="1"/>
  <c r="T201" i="37"/>
  <c r="V201" i="37" s="1"/>
  <c r="T202" i="37"/>
  <c r="T203" i="37"/>
  <c r="V203" i="37" s="1"/>
  <c r="T204" i="37"/>
  <c r="V204" i="37" s="1"/>
  <c r="T205" i="37"/>
  <c r="V205" i="37" s="1"/>
  <c r="T206" i="37"/>
  <c r="V206" i="37" s="1"/>
  <c r="T207" i="37"/>
  <c r="V207" i="37" s="1"/>
  <c r="T208" i="37"/>
  <c r="V208" i="37" s="1"/>
  <c r="T209" i="37"/>
  <c r="T210" i="37"/>
  <c r="V210" i="37" s="1"/>
  <c r="T211" i="37"/>
  <c r="T212" i="37"/>
  <c r="V212" i="37" s="1"/>
  <c r="T213" i="37"/>
  <c r="V213" i="37" s="1"/>
  <c r="T214" i="37"/>
  <c r="V214" i="37" s="1"/>
  <c r="T215" i="37"/>
  <c r="V215" i="37" s="1"/>
  <c r="T216" i="37"/>
  <c r="V216" i="37" s="1"/>
  <c r="T217" i="37"/>
  <c r="V217" i="37" s="1"/>
  <c r="T218" i="37"/>
  <c r="V218" i="37" s="1"/>
  <c r="T219" i="37"/>
  <c r="V219" i="37" s="1"/>
  <c r="T220" i="37"/>
  <c r="V220" i="37" s="1"/>
  <c r="T221" i="37"/>
  <c r="V221" i="37" s="1"/>
  <c r="T222" i="37"/>
  <c r="V222" i="37" s="1"/>
  <c r="T223" i="37"/>
  <c r="V223" i="37" s="1"/>
  <c r="T224" i="37"/>
  <c r="V224" i="37" s="1"/>
  <c r="T225" i="37"/>
  <c r="V225" i="37" s="1"/>
  <c r="T226" i="37"/>
  <c r="V226" i="37" s="1"/>
  <c r="T227" i="37"/>
  <c r="V227" i="37" s="1"/>
  <c r="T228" i="37"/>
  <c r="V228" i="37" s="1"/>
  <c r="T229" i="37"/>
  <c r="V229" i="37" s="1"/>
  <c r="T230" i="37"/>
  <c r="V230" i="37" s="1"/>
  <c r="T231" i="37"/>
  <c r="V231" i="37" s="1"/>
  <c r="T232" i="37"/>
  <c r="V232" i="37" s="1"/>
  <c r="T233" i="37"/>
  <c r="T234" i="37"/>
  <c r="V234" i="37" s="1"/>
  <c r="T235" i="37"/>
  <c r="V235" i="37" s="1"/>
  <c r="T236" i="37"/>
  <c r="V236" i="37" s="1"/>
  <c r="T237" i="37"/>
  <c r="V237" i="37" s="1"/>
  <c r="T238" i="37"/>
  <c r="V238" i="37" s="1"/>
  <c r="T239" i="37"/>
  <c r="V239" i="37" s="1"/>
  <c r="T240" i="37"/>
  <c r="V240" i="37" s="1"/>
  <c r="T241" i="37"/>
  <c r="V241" i="37" s="1"/>
  <c r="T242" i="37"/>
  <c r="V242" i="37" s="1"/>
  <c r="T243" i="37"/>
  <c r="T244" i="37"/>
  <c r="V244" i="37" s="1"/>
  <c r="T245" i="37"/>
  <c r="V245" i="37" s="1"/>
  <c r="T246" i="37"/>
  <c r="V246" i="37" s="1"/>
  <c r="T247" i="37"/>
  <c r="V247" i="37" s="1"/>
  <c r="T248" i="37"/>
  <c r="V248" i="37" s="1"/>
  <c r="T249" i="37"/>
  <c r="V249" i="37" s="1"/>
  <c r="T250" i="37"/>
  <c r="V250" i="37" s="1"/>
  <c r="T251" i="37"/>
  <c r="V251" i="37" s="1"/>
  <c r="T252" i="37"/>
  <c r="V252" i="37" s="1"/>
  <c r="T253" i="37"/>
  <c r="V253" i="37" s="1"/>
  <c r="T254" i="37"/>
  <c r="V254" i="37" s="1"/>
  <c r="T255" i="37"/>
  <c r="V255" i="37" s="1"/>
  <c r="T256" i="37"/>
  <c r="V256" i="37" s="1"/>
  <c r="T257" i="37"/>
  <c r="V257" i="37" s="1"/>
  <c r="T258" i="37"/>
  <c r="V258" i="37" s="1"/>
  <c r="T259" i="37"/>
  <c r="T260" i="37"/>
  <c r="V260" i="37" s="1"/>
  <c r="T261" i="37"/>
  <c r="V261" i="37" s="1"/>
  <c r="T262" i="37"/>
  <c r="V262" i="37" s="1"/>
  <c r="T263" i="37"/>
  <c r="V263" i="37" s="1"/>
  <c r="T264" i="37"/>
  <c r="V264" i="37" s="1"/>
  <c r="T265" i="37"/>
  <c r="V265" i="37" s="1"/>
  <c r="T266" i="37"/>
  <c r="V266" i="37" s="1"/>
  <c r="T267" i="37"/>
  <c r="V267" i="37" s="1"/>
  <c r="T268" i="37"/>
  <c r="V268" i="37" s="1"/>
  <c r="T269" i="37"/>
  <c r="V269" i="37" s="1"/>
  <c r="T270" i="37"/>
  <c r="V270" i="37" s="1"/>
  <c r="T271" i="37"/>
  <c r="V271" i="37" s="1"/>
  <c r="T272" i="37"/>
  <c r="V272" i="37" s="1"/>
  <c r="T273" i="37"/>
  <c r="V273" i="37" s="1"/>
  <c r="T274" i="37"/>
  <c r="V274" i="37" s="1"/>
  <c r="T275" i="37"/>
  <c r="V275" i="37" s="1"/>
  <c r="T276" i="37"/>
  <c r="V276" i="37" s="1"/>
  <c r="T277" i="37"/>
  <c r="V277" i="37" s="1"/>
  <c r="T278" i="37"/>
  <c r="V278" i="37" s="1"/>
  <c r="T279" i="37"/>
  <c r="V279" i="37" s="1"/>
  <c r="T280" i="37"/>
  <c r="V280" i="37" s="1"/>
  <c r="T281" i="37"/>
  <c r="T282" i="37"/>
  <c r="V282" i="37" s="1"/>
  <c r="T283" i="37"/>
  <c r="V283" i="37" s="1"/>
  <c r="T284" i="37"/>
  <c r="V284" i="37" s="1"/>
  <c r="T285" i="37"/>
  <c r="V285" i="37" s="1"/>
  <c r="T286" i="37"/>
  <c r="V286" i="37" s="1"/>
  <c r="T287" i="37"/>
  <c r="V287" i="37" s="1"/>
  <c r="T288" i="37"/>
  <c r="V288" i="37" s="1"/>
  <c r="T289" i="37"/>
  <c r="V289" i="37" s="1"/>
  <c r="T290" i="37"/>
  <c r="T291" i="37"/>
  <c r="T292" i="37"/>
  <c r="V292" i="37" s="1"/>
  <c r="T293" i="37"/>
  <c r="V293" i="37" s="1"/>
  <c r="T294" i="37"/>
  <c r="V294" i="37" s="1"/>
  <c r="T295" i="37"/>
  <c r="V295" i="37" s="1"/>
  <c r="T296" i="37"/>
  <c r="V296" i="37" s="1"/>
  <c r="T297" i="37"/>
  <c r="V297" i="37" s="1"/>
  <c r="T298" i="37"/>
  <c r="T299" i="37"/>
  <c r="V299" i="37" s="1"/>
  <c r="T300" i="37"/>
  <c r="V300" i="37" s="1"/>
  <c r="T301" i="37"/>
  <c r="V301" i="37" s="1"/>
  <c r="T302" i="37"/>
  <c r="V302" i="37" s="1"/>
  <c r="T303" i="37"/>
  <c r="V303" i="37" s="1"/>
  <c r="T304" i="37"/>
  <c r="V304" i="37" s="1"/>
  <c r="T305" i="37"/>
  <c r="V305" i="37" s="1"/>
  <c r="T306" i="37"/>
  <c r="V306" i="37" s="1"/>
  <c r="T307" i="37"/>
  <c r="V307" i="37" s="1"/>
  <c r="T308" i="37"/>
  <c r="V308" i="37" s="1"/>
  <c r="T309" i="37"/>
  <c r="V309" i="37" s="1"/>
  <c r="T310" i="37"/>
  <c r="V310" i="37" s="1"/>
  <c r="T311" i="37"/>
  <c r="V311" i="37" s="1"/>
  <c r="T312" i="37"/>
  <c r="V312" i="37" s="1"/>
  <c r="T313" i="37"/>
  <c r="V313" i="37" s="1"/>
  <c r="T314" i="37"/>
  <c r="V314" i="37" s="1"/>
  <c r="T315" i="37"/>
  <c r="V315" i="37" s="1"/>
  <c r="T316" i="37"/>
  <c r="V316" i="37" s="1"/>
  <c r="T317" i="37"/>
  <c r="V317" i="37" s="1"/>
  <c r="T318" i="37"/>
  <c r="V318" i="37" s="1"/>
  <c r="T319" i="37"/>
  <c r="V319" i="37" s="1"/>
  <c r="T320" i="37"/>
  <c r="V320" i="37" s="1"/>
  <c r="T321" i="37"/>
  <c r="V321" i="37" s="1"/>
  <c r="T322" i="37"/>
  <c r="V322" i="37" s="1"/>
  <c r="T323" i="37"/>
  <c r="V323" i="37" s="1"/>
  <c r="T324" i="37"/>
  <c r="V324" i="37" s="1"/>
  <c r="T325" i="37"/>
  <c r="V325" i="37" s="1"/>
  <c r="T326" i="37"/>
  <c r="V326" i="37" s="1"/>
  <c r="T327" i="37"/>
  <c r="V327" i="37" s="1"/>
  <c r="T328" i="37"/>
  <c r="V328" i="37" s="1"/>
  <c r="T329" i="37"/>
  <c r="V329" i="37" s="1"/>
  <c r="T330" i="37"/>
  <c r="V330" i="37" s="1"/>
  <c r="T331" i="37"/>
  <c r="V331" i="37" s="1"/>
  <c r="T332" i="37"/>
  <c r="V332" i="37" s="1"/>
  <c r="T333" i="37"/>
  <c r="V333" i="37" s="1"/>
  <c r="T334" i="37"/>
  <c r="V334" i="37" s="1"/>
  <c r="T335" i="37"/>
  <c r="V335" i="37" s="1"/>
  <c r="T336" i="37"/>
  <c r="V336" i="37" s="1"/>
  <c r="T337" i="37"/>
  <c r="V337" i="37" s="1"/>
  <c r="T338" i="37"/>
  <c r="V338" i="37" s="1"/>
  <c r="T339" i="37"/>
  <c r="V339" i="37" s="1"/>
  <c r="T340" i="37"/>
  <c r="V340" i="37" s="1"/>
  <c r="T341" i="37"/>
  <c r="V341" i="37" s="1"/>
  <c r="T342" i="37"/>
  <c r="V342" i="37" s="1"/>
  <c r="T343" i="37"/>
  <c r="V343" i="37" s="1"/>
  <c r="T344" i="37"/>
  <c r="V344" i="37" s="1"/>
  <c r="T345" i="37"/>
  <c r="V345" i="37" s="1"/>
  <c r="T346" i="37"/>
  <c r="V346" i="37" s="1"/>
  <c r="T347" i="37"/>
  <c r="V347" i="37" s="1"/>
  <c r="T348" i="37"/>
  <c r="V348" i="37" s="1"/>
  <c r="T349" i="37"/>
  <c r="V349" i="37" s="1"/>
  <c r="T350" i="37"/>
  <c r="V350" i="37" s="1"/>
  <c r="T351" i="37"/>
  <c r="V351" i="37" s="1"/>
  <c r="T352" i="37"/>
  <c r="V352" i="37" s="1"/>
  <c r="T353" i="37"/>
  <c r="V353" i="37" s="1"/>
  <c r="T354" i="37"/>
  <c r="V354" i="37" s="1"/>
  <c r="T355" i="37"/>
  <c r="V355" i="37" s="1"/>
  <c r="T356" i="37"/>
  <c r="V356" i="37" s="1"/>
  <c r="T357" i="37"/>
  <c r="V357" i="37" s="1"/>
  <c r="T358" i="37"/>
  <c r="V358" i="37" s="1"/>
  <c r="T359" i="37"/>
  <c r="V359" i="37" s="1"/>
  <c r="T360" i="37"/>
  <c r="V360" i="37" s="1"/>
  <c r="T361" i="37"/>
  <c r="V361" i="37" s="1"/>
  <c r="T362" i="37"/>
  <c r="T363" i="37"/>
  <c r="T364" i="37"/>
  <c r="V364" i="37" s="1"/>
  <c r="T365" i="37"/>
  <c r="V365" i="37" s="1"/>
  <c r="T366" i="37"/>
  <c r="V366" i="37" s="1"/>
  <c r="T367" i="37"/>
  <c r="V367" i="37" s="1"/>
  <c r="T368" i="37"/>
  <c r="V368" i="37" s="1"/>
  <c r="T369" i="37"/>
  <c r="V369" i="37" s="1"/>
  <c r="T370" i="37"/>
  <c r="V370" i="37" s="1"/>
  <c r="T371" i="37"/>
  <c r="V371" i="37" s="1"/>
  <c r="T372" i="37"/>
  <c r="V372" i="37" s="1"/>
  <c r="T373" i="37"/>
  <c r="V373" i="37" s="1"/>
  <c r="T374" i="37"/>
  <c r="V374" i="37" s="1"/>
  <c r="T375" i="37"/>
  <c r="V375" i="37" s="1"/>
  <c r="T376" i="37"/>
  <c r="V376" i="37" s="1"/>
  <c r="T377" i="37"/>
  <c r="V377" i="37" s="1"/>
  <c r="T378" i="37"/>
  <c r="V378" i="37" s="1"/>
  <c r="T379" i="37"/>
  <c r="T380" i="37"/>
  <c r="V380" i="37" s="1"/>
  <c r="T381" i="37"/>
  <c r="V381" i="37" s="1"/>
  <c r="T382" i="37"/>
  <c r="V382" i="37" s="1"/>
  <c r="T383" i="37"/>
  <c r="V383" i="37" s="1"/>
  <c r="T384" i="37"/>
  <c r="V384" i="37" s="1"/>
  <c r="T385" i="37"/>
  <c r="V385" i="37" s="1"/>
  <c r="T386" i="37"/>
  <c r="V386" i="37" s="1"/>
  <c r="T387" i="37"/>
  <c r="V387" i="37" s="1"/>
  <c r="T388" i="37"/>
  <c r="V388" i="37" s="1"/>
  <c r="T389" i="37"/>
  <c r="V389" i="37" s="1"/>
  <c r="T390" i="37"/>
  <c r="V390" i="37" s="1"/>
  <c r="T391" i="37"/>
  <c r="V391" i="37" s="1"/>
  <c r="T392" i="37"/>
  <c r="V392" i="37" s="1"/>
  <c r="T393" i="37"/>
  <c r="V393" i="37" s="1"/>
  <c r="T394" i="37"/>
  <c r="V394" i="37" s="1"/>
  <c r="T395" i="37"/>
  <c r="V395" i="37" s="1"/>
  <c r="T396" i="37"/>
  <c r="V396" i="37" s="1"/>
  <c r="T397" i="37"/>
  <c r="V397" i="37" s="1"/>
  <c r="T398" i="37"/>
  <c r="V398" i="37" s="1"/>
  <c r="T399" i="37"/>
  <c r="V399" i="37" s="1"/>
  <c r="T400" i="37"/>
  <c r="V400" i="37" s="1"/>
  <c r="T401" i="37"/>
  <c r="V401" i="37" s="1"/>
  <c r="T402" i="37"/>
  <c r="V402" i="37" s="1"/>
  <c r="T403" i="37"/>
  <c r="V403" i="37" s="1"/>
  <c r="T404" i="37"/>
  <c r="V404" i="37" s="1"/>
  <c r="T405" i="37"/>
  <c r="V405" i="37" s="1"/>
  <c r="T406" i="37"/>
  <c r="V406" i="37" s="1"/>
  <c r="T407" i="37"/>
  <c r="V407" i="37" s="1"/>
  <c r="T408" i="37"/>
  <c r="V408" i="37" s="1"/>
  <c r="T409" i="37"/>
  <c r="V409" i="37" s="1"/>
  <c r="T410" i="37"/>
  <c r="T411" i="37"/>
  <c r="T412" i="37"/>
  <c r="V412" i="37" s="1"/>
  <c r="T413" i="37"/>
  <c r="V413" i="37" s="1"/>
  <c r="T414" i="37"/>
  <c r="V414" i="37" s="1"/>
  <c r="T415" i="37"/>
  <c r="V415" i="37" s="1"/>
  <c r="T416" i="37"/>
  <c r="V416" i="37" s="1"/>
  <c r="T417" i="37"/>
  <c r="V417" i="37" s="1"/>
  <c r="T418" i="37"/>
  <c r="V418" i="37" s="1"/>
  <c r="T419" i="37"/>
  <c r="V419" i="37" s="1"/>
  <c r="T420" i="37"/>
  <c r="V420" i="37" s="1"/>
  <c r="T421" i="37"/>
  <c r="V421" i="37" s="1"/>
  <c r="T422" i="37"/>
  <c r="V422" i="37" s="1"/>
  <c r="T423" i="37"/>
  <c r="V423" i="37" s="1"/>
  <c r="T424" i="37"/>
  <c r="V424" i="37" s="1"/>
  <c r="T425" i="37"/>
  <c r="V425" i="37" s="1"/>
  <c r="T426" i="37"/>
  <c r="V426" i="37" s="1"/>
  <c r="T427" i="37"/>
  <c r="T428" i="37"/>
  <c r="V428" i="37" s="1"/>
  <c r="T429" i="37"/>
  <c r="V429" i="37" s="1"/>
  <c r="T430" i="37"/>
  <c r="V430" i="37" s="1"/>
  <c r="T431" i="37"/>
  <c r="V431" i="37" s="1"/>
  <c r="T432" i="37"/>
  <c r="V432" i="37" s="1"/>
  <c r="T433" i="37"/>
  <c r="V433" i="37" s="1"/>
  <c r="T434" i="37"/>
  <c r="T435" i="37"/>
  <c r="V435" i="37" s="1"/>
  <c r="T436" i="37"/>
  <c r="V436" i="37" s="1"/>
  <c r="T437" i="37"/>
  <c r="V437" i="37" s="1"/>
  <c r="T438" i="37"/>
  <c r="V438" i="37" s="1"/>
  <c r="T439" i="37"/>
  <c r="V439" i="37" s="1"/>
  <c r="T440" i="37"/>
  <c r="V440" i="37" s="1"/>
  <c r="T441" i="37"/>
  <c r="V441" i="37" s="1"/>
  <c r="T442" i="37"/>
  <c r="T443" i="37"/>
  <c r="T444" i="37"/>
  <c r="V444" i="37" s="1"/>
  <c r="T445" i="37"/>
  <c r="V445" i="37" s="1"/>
  <c r="T446" i="37"/>
  <c r="V446" i="37" s="1"/>
  <c r="T447" i="37"/>
  <c r="V447" i="37" s="1"/>
  <c r="T448" i="37"/>
  <c r="V448" i="37" s="1"/>
  <c r="T449" i="37"/>
  <c r="V449" i="37" s="1"/>
  <c r="T450" i="37"/>
  <c r="V450" i="37" s="1"/>
  <c r="T451" i="37"/>
  <c r="T452" i="37"/>
  <c r="T453" i="37"/>
  <c r="V453" i="37" s="1"/>
  <c r="T454" i="37"/>
  <c r="V454" i="37" s="1"/>
  <c r="T455" i="37"/>
  <c r="V455" i="37" s="1"/>
  <c r="T456" i="37"/>
  <c r="V456" i="37" s="1"/>
  <c r="T457" i="37"/>
  <c r="V457" i="37" s="1"/>
  <c r="T458" i="37"/>
  <c r="T459" i="37"/>
  <c r="V459" i="37" s="1"/>
  <c r="T460" i="37"/>
  <c r="V460" i="37" s="1"/>
  <c r="T461" i="37"/>
  <c r="V461" i="37" s="1"/>
  <c r="T462" i="37"/>
  <c r="V462" i="37" s="1"/>
  <c r="T463" i="37"/>
  <c r="V463" i="37" s="1"/>
  <c r="T464" i="37"/>
  <c r="V464" i="37" s="1"/>
  <c r="T465" i="37"/>
  <c r="V465" i="37" s="1"/>
  <c r="T466" i="37"/>
  <c r="V466" i="37" s="1"/>
  <c r="T467" i="37"/>
  <c r="T468" i="37"/>
  <c r="V468" i="37" s="1"/>
  <c r="T469" i="37"/>
  <c r="V469" i="37" s="1"/>
  <c r="T470" i="37"/>
  <c r="V470" i="37" s="1"/>
  <c r="T471" i="37"/>
  <c r="V471" i="37" s="1"/>
  <c r="T472" i="37"/>
  <c r="V472" i="37" s="1"/>
  <c r="T473" i="37"/>
  <c r="T474" i="37"/>
  <c r="V474" i="37" s="1"/>
  <c r="T475" i="37"/>
  <c r="V475" i="37" s="1"/>
  <c r="T476" i="37"/>
  <c r="V476" i="37" s="1"/>
  <c r="T477" i="37"/>
  <c r="V477" i="37" s="1"/>
  <c r="T478" i="37"/>
  <c r="V478" i="37" s="1"/>
  <c r="T479" i="37"/>
  <c r="V479" i="37" s="1"/>
  <c r="T480" i="37"/>
  <c r="V480" i="37" s="1"/>
  <c r="T481" i="37"/>
  <c r="V481" i="37" s="1"/>
  <c r="T482" i="37"/>
  <c r="V482" i="37" s="1"/>
  <c r="T483" i="37"/>
  <c r="T484" i="37"/>
  <c r="V484" i="37" s="1"/>
  <c r="T485" i="37"/>
  <c r="V485" i="37" s="1"/>
  <c r="T486" i="37"/>
  <c r="V486" i="37" s="1"/>
  <c r="T487" i="37"/>
  <c r="V487" i="37" s="1"/>
  <c r="T488" i="37"/>
  <c r="V488" i="37" s="1"/>
  <c r="T489" i="37"/>
  <c r="V489" i="37" s="1"/>
  <c r="T490" i="37"/>
  <c r="V490" i="37" s="1"/>
  <c r="T491" i="37"/>
  <c r="V491" i="37" s="1"/>
  <c r="T492" i="37"/>
  <c r="V492" i="37" s="1"/>
  <c r="T493" i="37"/>
  <c r="V493" i="37" s="1"/>
  <c r="T494" i="37"/>
  <c r="V494" i="37" s="1"/>
  <c r="T495" i="37"/>
  <c r="V495" i="37" s="1"/>
  <c r="T496" i="37"/>
  <c r="V496" i="37" s="1"/>
  <c r="T497" i="37"/>
  <c r="V497" i="37" s="1"/>
  <c r="T498" i="37"/>
  <c r="V498" i="37" s="1"/>
  <c r="T499" i="37"/>
  <c r="T500" i="37"/>
  <c r="V500" i="37" s="1"/>
  <c r="T501" i="37"/>
  <c r="V501" i="37" s="1"/>
  <c r="T502" i="37"/>
  <c r="T503" i="37"/>
  <c r="T504" i="37"/>
  <c r="V504" i="37" s="1"/>
  <c r="T505" i="37"/>
  <c r="T506" i="37"/>
  <c r="T507" i="37"/>
  <c r="T508" i="37"/>
  <c r="T509" i="37"/>
  <c r="T510" i="37"/>
  <c r="T511" i="37"/>
  <c r="T512" i="37"/>
  <c r="T513" i="37"/>
  <c r="T514" i="37"/>
  <c r="T515" i="37"/>
  <c r="T516" i="37"/>
  <c r="T517" i="37"/>
  <c r="T518" i="37"/>
  <c r="T519" i="37"/>
  <c r="T520" i="37"/>
  <c r="T521" i="37"/>
  <c r="T522" i="37"/>
  <c r="T523" i="37"/>
  <c r="T524" i="37"/>
  <c r="T525" i="37"/>
  <c r="T526" i="37"/>
  <c r="T527" i="37"/>
  <c r="T528" i="37"/>
  <c r="T529" i="37"/>
  <c r="T530" i="37"/>
  <c r="T531" i="37"/>
  <c r="T532" i="37"/>
  <c r="T533" i="37"/>
  <c r="T534" i="37"/>
  <c r="T535" i="37"/>
  <c r="T536" i="37"/>
  <c r="T537" i="37"/>
  <c r="T538" i="37"/>
  <c r="T539" i="37"/>
  <c r="T540" i="37"/>
  <c r="T541" i="37"/>
  <c r="T542" i="37"/>
  <c r="T543" i="37"/>
  <c r="T544" i="37"/>
  <c r="T545" i="37"/>
  <c r="T546" i="37"/>
  <c r="T547" i="37"/>
  <c r="T548" i="37"/>
  <c r="T549" i="37"/>
  <c r="T550" i="37"/>
  <c r="T551" i="37"/>
  <c r="T552" i="37"/>
  <c r="T553" i="37"/>
  <c r="T554" i="37"/>
  <c r="T555" i="37"/>
  <c r="T556" i="37"/>
  <c r="T557" i="37"/>
  <c r="T558" i="37"/>
  <c r="T559" i="37"/>
  <c r="T560" i="37"/>
  <c r="T561" i="37"/>
  <c r="T562" i="37"/>
  <c r="T563" i="37"/>
  <c r="T564" i="37"/>
  <c r="T565" i="37"/>
  <c r="T566" i="37"/>
  <c r="T567" i="37"/>
  <c r="T568" i="37"/>
  <c r="T569" i="37"/>
  <c r="T570" i="37"/>
  <c r="T571" i="37"/>
  <c r="T572" i="37"/>
  <c r="T573" i="37"/>
  <c r="T574" i="37"/>
  <c r="T575" i="37"/>
  <c r="T576" i="37"/>
  <c r="T577" i="37"/>
  <c r="T578" i="37"/>
  <c r="T579" i="37"/>
  <c r="T580" i="37"/>
  <c r="T581" i="37"/>
  <c r="T582" i="37"/>
  <c r="T583" i="37"/>
  <c r="T584" i="37"/>
  <c r="T585" i="37"/>
  <c r="T586" i="37"/>
  <c r="T587" i="37"/>
  <c r="T588" i="37"/>
  <c r="T589" i="37"/>
  <c r="T590" i="37"/>
  <c r="T591" i="37"/>
  <c r="T592" i="37"/>
  <c r="T593" i="37"/>
  <c r="T594" i="37"/>
  <c r="T595" i="37"/>
  <c r="T596" i="37"/>
  <c r="T597" i="37"/>
  <c r="T598" i="37"/>
  <c r="T599" i="37"/>
  <c r="T600" i="37"/>
  <c r="T601" i="37"/>
  <c r="T602" i="37"/>
  <c r="T603" i="37"/>
  <c r="T604" i="37"/>
  <c r="T605" i="37"/>
  <c r="T606" i="37"/>
  <c r="T607" i="37"/>
  <c r="T608" i="37"/>
  <c r="T609" i="37"/>
  <c r="T610" i="37"/>
  <c r="T611" i="37"/>
  <c r="T612" i="37"/>
  <c r="T613" i="37"/>
  <c r="T614" i="37"/>
  <c r="T615" i="37"/>
  <c r="T616" i="37"/>
  <c r="T617" i="37"/>
  <c r="T618" i="37"/>
  <c r="T619" i="37"/>
  <c r="T620" i="37"/>
  <c r="T621" i="37"/>
  <c r="T622" i="37"/>
  <c r="T623" i="37"/>
  <c r="T624" i="37"/>
  <c r="T625" i="37"/>
  <c r="T626" i="37"/>
  <c r="T627" i="37"/>
  <c r="T628" i="37"/>
  <c r="T629" i="37"/>
  <c r="T630" i="37"/>
  <c r="T631" i="37"/>
  <c r="T632" i="37"/>
  <c r="T633" i="37"/>
  <c r="T634" i="37"/>
  <c r="T635" i="37"/>
  <c r="T636" i="37"/>
  <c r="T637" i="37"/>
  <c r="T638" i="37"/>
  <c r="T639" i="37"/>
  <c r="T640" i="37"/>
  <c r="T641" i="37"/>
  <c r="T642" i="37"/>
  <c r="T643" i="37"/>
  <c r="T644" i="37"/>
  <c r="T645" i="37"/>
  <c r="T646" i="37"/>
  <c r="T647" i="37"/>
  <c r="T648" i="37"/>
  <c r="T649" i="37"/>
  <c r="T650" i="37"/>
  <c r="T651" i="37"/>
  <c r="T652" i="37"/>
  <c r="T653" i="37"/>
  <c r="V653" i="37" s="1"/>
  <c r="T654" i="37"/>
  <c r="T655" i="37"/>
  <c r="T656" i="37"/>
  <c r="T657" i="37"/>
  <c r="T658" i="37"/>
  <c r="T659" i="37"/>
  <c r="T660" i="37"/>
  <c r="T661" i="37"/>
  <c r="T662" i="37"/>
  <c r="T663" i="37"/>
  <c r="T664" i="37"/>
  <c r="T665" i="37"/>
  <c r="T666" i="37"/>
  <c r="T667" i="37"/>
  <c r="T668" i="37"/>
  <c r="T669" i="37"/>
  <c r="T670" i="37"/>
  <c r="T671" i="37"/>
  <c r="T672" i="37"/>
  <c r="T673" i="37"/>
  <c r="T674" i="37"/>
  <c r="T675" i="37"/>
  <c r="T676" i="37"/>
  <c r="T677" i="37"/>
  <c r="T678" i="37"/>
  <c r="T679" i="37"/>
  <c r="T680" i="37"/>
  <c r="T681" i="37"/>
  <c r="T682" i="37"/>
  <c r="T683" i="37"/>
  <c r="T684" i="37"/>
  <c r="T685" i="37"/>
  <c r="T686" i="37"/>
  <c r="T687" i="37"/>
  <c r="T688" i="37"/>
  <c r="T689" i="37"/>
  <c r="T690" i="37"/>
  <c r="T691" i="37"/>
  <c r="T692" i="37"/>
  <c r="T693" i="37"/>
  <c r="T694" i="37"/>
  <c r="T695" i="37"/>
  <c r="T696" i="37"/>
  <c r="T697" i="37"/>
  <c r="T698" i="37"/>
  <c r="T699" i="37"/>
  <c r="T700" i="37"/>
  <c r="T701" i="37"/>
  <c r="T702" i="37"/>
  <c r="T703" i="37"/>
  <c r="T704" i="37"/>
  <c r="T705" i="37"/>
  <c r="T706" i="37"/>
  <c r="T707" i="37"/>
  <c r="T708" i="37"/>
  <c r="T709" i="37"/>
  <c r="T710" i="37"/>
  <c r="T711" i="37"/>
  <c r="T712" i="37"/>
  <c r="T713" i="37"/>
  <c r="T714" i="37"/>
  <c r="T715" i="37"/>
  <c r="T716" i="37"/>
  <c r="T717" i="37"/>
  <c r="T718" i="37"/>
  <c r="T719" i="37"/>
  <c r="T720" i="37"/>
  <c r="T721" i="37"/>
  <c r="T722" i="37"/>
  <c r="T723" i="37"/>
  <c r="T724" i="37"/>
  <c r="T725" i="37"/>
  <c r="T726" i="37"/>
  <c r="T727" i="37"/>
  <c r="T728" i="37"/>
  <c r="T729" i="37"/>
  <c r="T730" i="37"/>
  <c r="T731" i="37"/>
  <c r="T732" i="37"/>
  <c r="T733" i="37"/>
  <c r="T734" i="37"/>
  <c r="T735" i="37"/>
  <c r="T736" i="37"/>
  <c r="T737" i="37"/>
  <c r="T738" i="37"/>
  <c r="T739" i="37"/>
  <c r="T740" i="37"/>
  <c r="T741" i="37"/>
  <c r="T742" i="37"/>
  <c r="T743" i="37"/>
  <c r="T744" i="37"/>
  <c r="T745" i="37"/>
  <c r="T746" i="37"/>
  <c r="T747" i="37"/>
  <c r="T748" i="37"/>
  <c r="T749" i="37"/>
  <c r="T750" i="37"/>
  <c r="T751" i="37"/>
  <c r="T752" i="37"/>
  <c r="T753" i="37"/>
  <c r="T754" i="37"/>
  <c r="T755" i="37"/>
  <c r="T756" i="37"/>
  <c r="T757" i="37"/>
  <c r="T758" i="37"/>
  <c r="T759" i="37"/>
  <c r="T760" i="37"/>
  <c r="T761" i="37"/>
  <c r="V761" i="37" s="1"/>
  <c r="T762" i="37"/>
  <c r="A763" i="37"/>
  <c r="T763" i="37"/>
  <c r="A764" i="37"/>
  <c r="T764" i="37"/>
  <c r="T765" i="37"/>
  <c r="T766" i="37"/>
  <c r="T767" i="37"/>
  <c r="T768" i="37"/>
  <c r="T769" i="37"/>
  <c r="T770" i="37"/>
  <c r="T771" i="37"/>
  <c r="T772" i="37"/>
  <c r="T773" i="37"/>
  <c r="T774" i="37"/>
  <c r="V774" i="37" s="1"/>
  <c r="T775" i="37"/>
  <c r="T776" i="37"/>
  <c r="T777" i="37"/>
  <c r="T778" i="37"/>
  <c r="T779" i="37"/>
  <c r="T780" i="37"/>
  <c r="T781" i="37"/>
  <c r="T782" i="37"/>
  <c r="T787" i="37"/>
  <c r="T788" i="37"/>
  <c r="T789" i="37"/>
  <c r="T790" i="37"/>
  <c r="T792" i="37"/>
  <c r="T794" i="37"/>
  <c r="T795" i="37"/>
  <c r="T796" i="37"/>
  <c r="V796" i="37" s="1"/>
  <c r="B796" i="37"/>
  <c r="T797" i="37"/>
  <c r="T798" i="37"/>
  <c r="T799" i="37"/>
  <c r="T800" i="37"/>
  <c r="T801" i="37"/>
  <c r="T802" i="37"/>
  <c r="T803" i="37"/>
  <c r="T804" i="37"/>
  <c r="T805" i="37"/>
  <c r="T806" i="37"/>
  <c r="T807" i="37"/>
  <c r="T808" i="37"/>
  <c r="T809" i="37"/>
  <c r="T810" i="37"/>
  <c r="T811" i="37"/>
  <c r="T812" i="37"/>
  <c r="T813" i="37"/>
  <c r="T814" i="37"/>
  <c r="T815" i="37"/>
  <c r="T816" i="37"/>
  <c r="T817" i="37"/>
  <c r="T818" i="37"/>
  <c r="T819" i="37"/>
  <c r="T820" i="37"/>
  <c r="T821" i="37"/>
  <c r="T833" i="37"/>
  <c r="T834" i="37"/>
  <c r="T835" i="37"/>
  <c r="T836" i="37"/>
  <c r="T837" i="37"/>
  <c r="T838" i="37"/>
  <c r="T839" i="37"/>
  <c r="T840" i="37"/>
  <c r="T841" i="37"/>
  <c r="T842" i="37"/>
  <c r="T843" i="37"/>
  <c r="T844" i="37"/>
  <c r="T845" i="37"/>
  <c r="T846" i="37"/>
  <c r="T847" i="37"/>
  <c r="T848" i="37"/>
  <c r="T849" i="37"/>
  <c r="T850" i="37"/>
  <c r="T851" i="37"/>
  <c r="T852" i="37"/>
  <c r="T853" i="37"/>
  <c r="T854" i="37"/>
  <c r="T855" i="37"/>
  <c r="T856" i="37"/>
  <c r="T857" i="37"/>
  <c r="T858" i="37"/>
  <c r="T859" i="37"/>
  <c r="T860" i="37"/>
  <c r="T861" i="37"/>
  <c r="T862" i="37"/>
  <c r="T863" i="37"/>
  <c r="T864" i="37"/>
  <c r="T865" i="37"/>
  <c r="T866" i="37"/>
  <c r="T867" i="37"/>
  <c r="T868" i="37"/>
  <c r="T869" i="37"/>
  <c r="T870" i="37"/>
  <c r="T871" i="37"/>
  <c r="T872" i="37"/>
  <c r="T873" i="37"/>
  <c r="T874" i="37"/>
  <c r="T875" i="37"/>
  <c r="T876" i="37"/>
  <c r="T877" i="37"/>
  <c r="T878" i="37"/>
  <c r="T879" i="37"/>
  <c r="T880" i="37"/>
  <c r="T881" i="37"/>
  <c r="T882" i="37"/>
  <c r="T883" i="37"/>
  <c r="T884" i="37"/>
  <c r="T885" i="37"/>
  <c r="T886" i="37"/>
  <c r="T887" i="37"/>
  <c r="T888" i="37"/>
  <c r="T889" i="37"/>
  <c r="T890" i="37"/>
  <c r="T891" i="37"/>
  <c r="T892" i="37"/>
  <c r="T893" i="37"/>
  <c r="T894" i="37"/>
  <c r="T895" i="37"/>
  <c r="T896" i="37"/>
  <c r="T897" i="37"/>
  <c r="T898" i="37"/>
  <c r="T899" i="37"/>
  <c r="T900" i="37"/>
  <c r="T901" i="37"/>
  <c r="T902" i="37"/>
  <c r="T903" i="37"/>
  <c r="T904" i="37"/>
  <c r="T905" i="37"/>
  <c r="T906" i="37"/>
  <c r="T907" i="37"/>
  <c r="T908" i="37"/>
  <c r="T909" i="37"/>
  <c r="T910" i="37"/>
  <c r="T911" i="37"/>
  <c r="T912" i="37"/>
  <c r="T913" i="37"/>
  <c r="T914" i="37"/>
  <c r="T915" i="37"/>
  <c r="T916" i="37"/>
  <c r="T917" i="37"/>
  <c r="T918" i="37"/>
  <c r="T919" i="37"/>
  <c r="T920" i="37"/>
  <c r="T921" i="37"/>
  <c r="T922" i="37"/>
  <c r="T923" i="37"/>
  <c r="T924" i="37"/>
  <c r="T925" i="37"/>
  <c r="T926" i="37"/>
  <c r="T927" i="37"/>
  <c r="T928" i="37"/>
  <c r="T929" i="37"/>
  <c r="T930" i="37"/>
  <c r="T931" i="37"/>
  <c r="T932" i="37"/>
  <c r="T933" i="37"/>
  <c r="T934" i="37"/>
  <c r="T935" i="37"/>
  <c r="T936" i="37"/>
  <c r="T937" i="37"/>
  <c r="T938" i="37"/>
  <c r="T939" i="37"/>
  <c r="T940" i="37"/>
  <c r="T941" i="37"/>
  <c r="T942" i="37"/>
  <c r="T943" i="37"/>
  <c r="T944" i="37"/>
  <c r="T945" i="37"/>
  <c r="T946" i="37"/>
  <c r="T947" i="37"/>
  <c r="T948" i="37"/>
  <c r="T949" i="37"/>
  <c r="T950" i="37"/>
  <c r="T951" i="37"/>
  <c r="T952" i="37"/>
  <c r="T953" i="37"/>
  <c r="T954" i="37"/>
  <c r="T955" i="37"/>
  <c r="T956" i="37"/>
  <c r="T957" i="37"/>
  <c r="T958" i="37"/>
  <c r="T959" i="37"/>
  <c r="T960" i="37"/>
  <c r="T961" i="37"/>
  <c r="T962" i="37"/>
  <c r="T963" i="37"/>
  <c r="T964" i="37"/>
  <c r="T965" i="37"/>
  <c r="T966" i="37"/>
  <c r="T967" i="37"/>
  <c r="T968" i="37"/>
  <c r="T969" i="37"/>
  <c r="T970" i="37"/>
  <c r="T971" i="37"/>
  <c r="T972" i="37"/>
  <c r="T973" i="37"/>
  <c r="T974" i="37"/>
  <c r="T975" i="37"/>
  <c r="T976" i="37"/>
  <c r="T977" i="37"/>
  <c r="T978" i="37"/>
  <c r="T979" i="37"/>
  <c r="T980" i="37"/>
  <c r="T981" i="37"/>
  <c r="T982" i="37"/>
  <c r="T983" i="37"/>
  <c r="T984" i="37"/>
  <c r="T985" i="37"/>
  <c r="T986" i="37"/>
  <c r="T987" i="37"/>
  <c r="T988" i="37"/>
  <c r="T989" i="37"/>
  <c r="E68" i="32"/>
  <c r="E24" i="25" s="1"/>
  <c r="H796" i="37"/>
  <c r="E69" i="32"/>
  <c r="N796" i="37"/>
  <c r="N797" i="37"/>
  <c r="E70" i="32"/>
  <c r="K773" i="37"/>
  <c r="K762" i="37"/>
  <c r="K761" i="37"/>
  <c r="K718" i="37"/>
  <c r="K654" i="37"/>
  <c r="K653" i="37"/>
  <c r="K609" i="37"/>
  <c r="K588" i="37"/>
  <c r="K522" i="37"/>
  <c r="K502" i="37"/>
  <c r="K159" i="37"/>
  <c r="K154" i="37"/>
  <c r="K7" i="37"/>
  <c r="L7" i="37" s="1"/>
  <c r="K796" i="37"/>
  <c r="K797" i="37"/>
  <c r="E71" i="32"/>
  <c r="G58" i="32"/>
  <c r="H58" i="32" s="1"/>
  <c r="T194" i="24"/>
  <c r="T189" i="24"/>
  <c r="T43" i="24"/>
  <c r="U43" i="24" s="1"/>
  <c r="A57" i="32"/>
  <c r="B57" i="32"/>
  <c r="E57" i="32"/>
  <c r="F57" i="32"/>
  <c r="G57" i="32"/>
  <c r="H57" i="32" s="1"/>
  <c r="I57" i="32"/>
  <c r="A41" i="32"/>
  <c r="B10" i="24"/>
  <c r="B41" i="32" s="1"/>
  <c r="D41" i="32"/>
  <c r="E41" i="32"/>
  <c r="F41" i="32"/>
  <c r="G41" i="32"/>
  <c r="H41" i="32" s="1"/>
  <c r="H13" i="24"/>
  <c r="G13" i="24"/>
  <c r="B13" i="24"/>
  <c r="B44" i="32" s="1"/>
  <c r="H10" i="24"/>
  <c r="N10" i="24" s="1"/>
  <c r="M10" i="24"/>
  <c r="G10" i="24"/>
  <c r="A44" i="24"/>
  <c r="T44" i="24" s="1"/>
  <c r="A190" i="24"/>
  <c r="R190" i="24" s="1"/>
  <c r="A195" i="24"/>
  <c r="T195" i="24" s="1"/>
  <c r="I34" i="24"/>
  <c r="B3" i="13"/>
  <c r="AI51" i="13"/>
  <c r="Q39" i="13" s="1"/>
  <c r="E32" i="25"/>
  <c r="I87" i="13"/>
  <c r="AR87" i="13" s="1"/>
  <c r="L87" i="13"/>
  <c r="J87" i="13"/>
  <c r="T87" i="13"/>
  <c r="N44" i="13" s="1"/>
  <c r="K33" i="32" s="1"/>
  <c r="U87" i="13"/>
  <c r="P44" i="13" s="1"/>
  <c r="J33" i="32"/>
  <c r="I83" i="13"/>
  <c r="L83" i="13"/>
  <c r="J83" i="13"/>
  <c r="T83" i="13"/>
  <c r="N43" i="13" s="1"/>
  <c r="K32" i="32" s="1"/>
  <c r="U83" i="13"/>
  <c r="P43" i="13" s="1"/>
  <c r="J32" i="32"/>
  <c r="U73" i="13"/>
  <c r="P42" i="13" s="1"/>
  <c r="T73" i="13"/>
  <c r="N42" i="13" s="1"/>
  <c r="I73" i="13"/>
  <c r="AR73" i="13" s="1"/>
  <c r="L73" i="13"/>
  <c r="J73" i="13"/>
  <c r="E83" i="25"/>
  <c r="E30" i="32"/>
  <c r="U66" i="13"/>
  <c r="P40" i="13" s="1"/>
  <c r="T66" i="13"/>
  <c r="N40" i="13" s="1"/>
  <c r="I66" i="13"/>
  <c r="AR66" i="13" s="1"/>
  <c r="L66" i="13"/>
  <c r="J66" i="13"/>
  <c r="A30" i="32"/>
  <c r="B30" i="32"/>
  <c r="G30" i="32" s="1"/>
  <c r="H30" i="32" s="1"/>
  <c r="B4" i="19"/>
  <c r="F12" i="19" s="1"/>
  <c r="G12" i="19" s="1"/>
  <c r="AV87" i="13"/>
  <c r="AU87" i="13"/>
  <c r="H87" i="13"/>
  <c r="K87" i="13"/>
  <c r="AO87" i="13" s="1"/>
  <c r="AM87" i="13"/>
  <c r="AK87" i="13"/>
  <c r="AJ87" i="13"/>
  <c r="AI87" i="13"/>
  <c r="AH87" i="13"/>
  <c r="AG87" i="13"/>
  <c r="G87" i="13"/>
  <c r="E87" i="13"/>
  <c r="D87" i="13"/>
  <c r="C87" i="13"/>
  <c r="T51" i="13"/>
  <c r="N39" i="13" s="1"/>
  <c r="N30" i="25" s="1"/>
  <c r="H39" i="13"/>
  <c r="D29" i="32" s="1"/>
  <c r="E50" i="32"/>
  <c r="E51" i="32" s="1"/>
  <c r="B194" i="24"/>
  <c r="B189" i="24"/>
  <c r="B43" i="24"/>
  <c r="C43" i="24" s="1"/>
  <c r="I50" i="32"/>
  <c r="E52" i="32"/>
  <c r="E16" i="25" s="1"/>
  <c r="AA61" i="24"/>
  <c r="AA62" i="24"/>
  <c r="AA63" i="24"/>
  <c r="AA64" i="24" s="1"/>
  <c r="D194" i="24"/>
  <c r="D189" i="24"/>
  <c r="D43" i="24"/>
  <c r="E43" i="24" s="1"/>
  <c r="I52" i="32"/>
  <c r="I16" i="25" s="1"/>
  <c r="H194" i="24"/>
  <c r="H189" i="24"/>
  <c r="H43" i="24"/>
  <c r="I43" i="24" s="1"/>
  <c r="I53" i="32"/>
  <c r="E54" i="32"/>
  <c r="AC57" i="24"/>
  <c r="AC58" i="24" s="1"/>
  <c r="AC59" i="24" s="1"/>
  <c r="AC60" i="24" s="1"/>
  <c r="AC61" i="24" s="1"/>
  <c r="AC62" i="24" s="1"/>
  <c r="AC63" i="24" s="1"/>
  <c r="J194" i="24"/>
  <c r="J189" i="24"/>
  <c r="J43" i="24"/>
  <c r="K43" i="24" s="1"/>
  <c r="I54" i="32"/>
  <c r="E55" i="32"/>
  <c r="AD60" i="24"/>
  <c r="AD61" i="24" s="1"/>
  <c r="AD62" i="24" s="1"/>
  <c r="AD63" i="24" s="1"/>
  <c r="L194" i="24"/>
  <c r="L189" i="24"/>
  <c r="L43" i="24"/>
  <c r="M43" i="24" s="1"/>
  <c r="I55" i="32"/>
  <c r="R195" i="24"/>
  <c r="R194" i="24"/>
  <c r="R189" i="24"/>
  <c r="R43" i="24"/>
  <c r="S43" i="24" s="1"/>
  <c r="I56" i="32"/>
  <c r="E56" i="32"/>
  <c r="P195" i="24"/>
  <c r="P194" i="24"/>
  <c r="P189" i="24"/>
  <c r="P43" i="24"/>
  <c r="Q43" i="24" s="1"/>
  <c r="I58" i="32"/>
  <c r="E58" i="32"/>
  <c r="N194" i="24"/>
  <c r="N189" i="24"/>
  <c r="N43" i="24"/>
  <c r="O43" i="24" s="1"/>
  <c r="I59" i="32"/>
  <c r="AI62" i="24"/>
  <c r="AI63" i="24" s="1"/>
  <c r="V194" i="24"/>
  <c r="V189" i="24"/>
  <c r="V43" i="24"/>
  <c r="W43" i="24" s="1"/>
  <c r="I60" i="32"/>
  <c r="E61" i="32"/>
  <c r="E17" i="25" s="1"/>
  <c r="F194" i="24"/>
  <c r="F189" i="24"/>
  <c r="F44" i="24"/>
  <c r="F43" i="24"/>
  <c r="G43" i="24" s="1"/>
  <c r="I61" i="32"/>
  <c r="I17" i="25" s="1"/>
  <c r="E62" i="32"/>
  <c r="E18" i="25" s="1"/>
  <c r="E63" i="32"/>
  <c r="E19" i="25" s="1"/>
  <c r="D81" i="32"/>
  <c r="D82" i="32" s="1"/>
  <c r="E81" i="32"/>
  <c r="F81" i="32"/>
  <c r="F82" i="32" s="1"/>
  <c r="G81" i="32"/>
  <c r="G82" i="32" s="1"/>
  <c r="H81" i="32"/>
  <c r="H82" i="32" s="1"/>
  <c r="AI46" i="24"/>
  <c r="AI47" i="24" s="1"/>
  <c r="AI48" i="24" s="1"/>
  <c r="AI49" i="24" s="1"/>
  <c r="AI50" i="24" s="1"/>
  <c r="AI51" i="24" s="1"/>
  <c r="AI52" i="24" s="1"/>
  <c r="AI53" i="24" s="1"/>
  <c r="AI54" i="24" s="1"/>
  <c r="AI55" i="24" s="1"/>
  <c r="AI56" i="24" s="1"/>
  <c r="AI57" i="24" s="1"/>
  <c r="AI58" i="24" s="1"/>
  <c r="AI59" i="24" s="1"/>
  <c r="AI60" i="24" s="1"/>
  <c r="AH46" i="24"/>
  <c r="AH47" i="24" s="1"/>
  <c r="AH48" i="24" s="1"/>
  <c r="AH49" i="24" s="1"/>
  <c r="AH50" i="24" s="1"/>
  <c r="AH51" i="24" s="1"/>
  <c r="AH52" i="24" s="1"/>
  <c r="AH53" i="24" s="1"/>
  <c r="AH54" i="24" s="1"/>
  <c r="AH55" i="24" s="1"/>
  <c r="AH56" i="24" s="1"/>
  <c r="AH57" i="24" s="1"/>
  <c r="AH58" i="24" s="1"/>
  <c r="AH59" i="24" s="1"/>
  <c r="AH60" i="24" s="1"/>
  <c r="AH61" i="24" s="1"/>
  <c r="AG46" i="24"/>
  <c r="AG47" i="24" s="1"/>
  <c r="AG48" i="24" s="1"/>
  <c r="AG49" i="24" s="1"/>
  <c r="AG50" i="24" s="1"/>
  <c r="AG51" i="24" s="1"/>
  <c r="AG52" i="24" s="1"/>
  <c r="AG53" i="24" s="1"/>
  <c r="AG54" i="24" s="1"/>
  <c r="AG55" i="24" s="1"/>
  <c r="AG56" i="24" s="1"/>
  <c r="AG57" i="24" s="1"/>
  <c r="AG58" i="24" s="1"/>
  <c r="AD46" i="24"/>
  <c r="AD47" i="24"/>
  <c r="AD48" i="24" s="1"/>
  <c r="AD49" i="24" s="1"/>
  <c r="AD50" i="24" s="1"/>
  <c r="AD51" i="24" s="1"/>
  <c r="AD52" i="24" s="1"/>
  <c r="AD53" i="24" s="1"/>
  <c r="AD54" i="24" s="1"/>
  <c r="AD55" i="24" s="1"/>
  <c r="AD56" i="24" s="1"/>
  <c r="AD57" i="24" s="1"/>
  <c r="AD58" i="24" s="1"/>
  <c r="AF67" i="24"/>
  <c r="AF68" i="24" s="1"/>
  <c r="AF69" i="24" s="1"/>
  <c r="AF70" i="24" s="1"/>
  <c r="AF71" i="24" s="1"/>
  <c r="AF72" i="24" s="1"/>
  <c r="AF73" i="24" s="1"/>
  <c r="AF74" i="24" s="1"/>
  <c r="AF75" i="24" s="1"/>
  <c r="AF76" i="24" s="1"/>
  <c r="AF77" i="24" s="1"/>
  <c r="AF78" i="24" s="1"/>
  <c r="AJ43" i="24"/>
  <c r="AI43" i="24"/>
  <c r="AH43" i="24"/>
  <c r="AG43" i="24"/>
  <c r="AD43" i="24"/>
  <c r="AC43" i="24"/>
  <c r="AF43" i="24"/>
  <c r="AE43" i="24"/>
  <c r="AB43" i="24"/>
  <c r="AA43" i="24"/>
  <c r="Z43" i="24"/>
  <c r="D35" i="32"/>
  <c r="E35" i="32"/>
  <c r="E12" i="25" s="1"/>
  <c r="D36" i="32"/>
  <c r="E36" i="32"/>
  <c r="D37" i="32"/>
  <c r="E37" i="32"/>
  <c r="D40" i="32"/>
  <c r="E40" i="32"/>
  <c r="D44" i="32"/>
  <c r="E44" i="32"/>
  <c r="D45" i="32"/>
  <c r="E45" i="32"/>
  <c r="F45" i="32"/>
  <c r="D46" i="32"/>
  <c r="E46" i="32"/>
  <c r="D47" i="32"/>
  <c r="E47" i="32"/>
  <c r="D48" i="32"/>
  <c r="E48" i="32"/>
  <c r="D49" i="32"/>
  <c r="E49" i="32"/>
  <c r="G35" i="32"/>
  <c r="H35" i="32" s="1"/>
  <c r="H12" i="25" s="1"/>
  <c r="G36" i="32"/>
  <c r="H36" i="32" s="1"/>
  <c r="G37" i="32"/>
  <c r="H37" i="32" s="1"/>
  <c r="G40" i="32"/>
  <c r="H40" i="32" s="1"/>
  <c r="G44" i="32"/>
  <c r="H44" i="32" s="1"/>
  <c r="G45" i="32"/>
  <c r="H45" i="32" s="1"/>
  <c r="G46" i="32"/>
  <c r="H46" i="32" s="1"/>
  <c r="G47" i="32"/>
  <c r="H47" i="32" s="1"/>
  <c r="G48" i="32"/>
  <c r="H48" i="32" s="1"/>
  <c r="G49" i="32"/>
  <c r="H49" i="32" s="1"/>
  <c r="G50" i="32"/>
  <c r="G15" i="25" s="1"/>
  <c r="G51" i="32"/>
  <c r="H51" i="32" s="1"/>
  <c r="G52" i="32"/>
  <c r="H52" i="32" s="1"/>
  <c r="H16" i="25" s="1"/>
  <c r="G53" i="32"/>
  <c r="H53" i="32" s="1"/>
  <c r="G54" i="32"/>
  <c r="H54" i="32" s="1"/>
  <c r="G55" i="32"/>
  <c r="H55" i="32" s="1"/>
  <c r="G56" i="32"/>
  <c r="H56" i="32" s="1"/>
  <c r="G59" i="32"/>
  <c r="H59" i="32" s="1"/>
  <c r="G60" i="32"/>
  <c r="H60" i="32" s="1"/>
  <c r="G61" i="32"/>
  <c r="H61" i="32" s="1"/>
  <c r="H17" i="25" s="1"/>
  <c r="T990" i="37"/>
  <c r="F58" i="32"/>
  <c r="B58" i="32"/>
  <c r="A58" i="32"/>
  <c r="F56" i="32"/>
  <c r="B56" i="32"/>
  <c r="A56" i="32"/>
  <c r="F1290" i="15"/>
  <c r="A44" i="32"/>
  <c r="F44" i="32"/>
  <c r="B29" i="32"/>
  <c r="B31" i="32"/>
  <c r="G31" i="32" s="1"/>
  <c r="H31" i="32" s="1"/>
  <c r="B32" i="32"/>
  <c r="B33" i="32"/>
  <c r="G33" i="32" s="1"/>
  <c r="H33" i="32" s="1"/>
  <c r="B34" i="32"/>
  <c r="G34" i="32" s="1"/>
  <c r="H62" i="32"/>
  <c r="H18" i="25" s="1"/>
  <c r="H63" i="32"/>
  <c r="H19" i="25" s="1"/>
  <c r="H64" i="32"/>
  <c r="H20" i="25" s="1"/>
  <c r="H65" i="32"/>
  <c r="H21" i="25" s="1"/>
  <c r="H66" i="32"/>
  <c r="H22" i="25" s="1"/>
  <c r="H67" i="32"/>
  <c r="H23" i="25" s="1"/>
  <c r="H68" i="32"/>
  <c r="H24" i="25" s="1"/>
  <c r="H69" i="32"/>
  <c r="H70" i="32"/>
  <c r="H71" i="32"/>
  <c r="AA67" i="24"/>
  <c r="AA68" i="24" s="1"/>
  <c r="AA69" i="24" s="1"/>
  <c r="AA70" i="24" s="1"/>
  <c r="AA71" i="24" s="1"/>
  <c r="AA72" i="24" s="1"/>
  <c r="AA73" i="24" s="1"/>
  <c r="AA74" i="24" s="1"/>
  <c r="AA75" i="24" s="1"/>
  <c r="AA76" i="24" s="1"/>
  <c r="AA77" i="24" s="1"/>
  <c r="AA78" i="24" s="1"/>
  <c r="AB73" i="24"/>
  <c r="AB74" i="24" s="1"/>
  <c r="AB75" i="24" s="1"/>
  <c r="AB76" i="24" s="1"/>
  <c r="AB77" i="24" s="1"/>
  <c r="AB78" i="24" s="1"/>
  <c r="AC77" i="24"/>
  <c r="AC78" i="24" s="1"/>
  <c r="AD77" i="24"/>
  <c r="AD78" i="24" s="1"/>
  <c r="AG72" i="24"/>
  <c r="AG73" i="24" s="1"/>
  <c r="AG74" i="24" s="1"/>
  <c r="AG75" i="24" s="1"/>
  <c r="AG76" i="24" s="1"/>
  <c r="AG77" i="24" s="1"/>
  <c r="AG78" i="24" s="1"/>
  <c r="AH75" i="24"/>
  <c r="AH76" i="24" s="1"/>
  <c r="AH77" i="24" s="1"/>
  <c r="AH78" i="24" s="1"/>
  <c r="AI75" i="24"/>
  <c r="AI76" i="24" s="1"/>
  <c r="AI77" i="24" s="1"/>
  <c r="AI78" i="24" s="1"/>
  <c r="AJ68" i="24"/>
  <c r="AJ69" i="24"/>
  <c r="AJ70" i="24" s="1"/>
  <c r="AJ71" i="24" s="1"/>
  <c r="AJ72" i="24" s="1"/>
  <c r="AJ73" i="24" s="1"/>
  <c r="AJ74" i="24" s="1"/>
  <c r="AJ75" i="24" s="1"/>
  <c r="AJ76" i="24" s="1"/>
  <c r="AJ77" i="24" s="1"/>
  <c r="AJ78" i="24" s="1"/>
  <c r="AC72" i="24"/>
  <c r="AD72" i="24"/>
  <c r="AH72" i="24"/>
  <c r="AI72" i="24"/>
  <c r="AB71" i="24"/>
  <c r="AC70" i="24"/>
  <c r="AD70" i="24"/>
  <c r="AH70" i="24"/>
  <c r="AI70" i="24"/>
  <c r="AB69" i="24"/>
  <c r="AB59" i="24"/>
  <c r="AB60" i="24" s="1"/>
  <c r="AB61" i="24" s="1"/>
  <c r="AB62" i="24" s="1"/>
  <c r="AG60" i="24"/>
  <c r="AG61" i="24" s="1"/>
  <c r="AA55" i="24"/>
  <c r="AA56" i="24" s="1"/>
  <c r="AA57" i="24" s="1"/>
  <c r="AA58" i="24" s="1"/>
  <c r="AA59" i="24" s="1"/>
  <c r="AB53" i="24"/>
  <c r="AB54" i="24"/>
  <c r="AB55" i="24" s="1"/>
  <c r="AB56" i="24" s="1"/>
  <c r="AB57" i="24" s="1"/>
  <c r="AJ51" i="24"/>
  <c r="AJ52" i="24" s="1"/>
  <c r="AJ53" i="24" s="1"/>
  <c r="AJ54" i="24" s="1"/>
  <c r="AJ55" i="24" s="1"/>
  <c r="AJ56" i="24" s="1"/>
  <c r="AC46" i="24"/>
  <c r="AC47" i="24" s="1"/>
  <c r="AC48" i="24" s="1"/>
  <c r="AC49" i="24" s="1"/>
  <c r="AC50" i="24" s="1"/>
  <c r="AC51" i="24" s="1"/>
  <c r="AC52" i="24" s="1"/>
  <c r="AC53" i="24" s="1"/>
  <c r="AC54" i="24" s="1"/>
  <c r="AA48" i="24"/>
  <c r="AA49" i="24" s="1"/>
  <c r="AA50" i="24" s="1"/>
  <c r="AA51" i="24" s="1"/>
  <c r="AA52" i="24" s="1"/>
  <c r="AA53" i="24" s="1"/>
  <c r="Z50" i="24"/>
  <c r="Z51" i="24" s="1"/>
  <c r="Z52" i="24" s="1"/>
  <c r="AB49" i="24"/>
  <c r="AB50" i="24" s="1"/>
  <c r="AJ47" i="24"/>
  <c r="AJ48" i="24"/>
  <c r="AJ49" i="24" s="1"/>
  <c r="Z45" i="24"/>
  <c r="Z46" i="24" s="1"/>
  <c r="Z47" i="24" s="1"/>
  <c r="Z48" i="24" s="1"/>
  <c r="AB46" i="24"/>
  <c r="AB47" i="24" s="1"/>
  <c r="AA46" i="24"/>
  <c r="I33" i="24"/>
  <c r="I35" i="24"/>
  <c r="A774" i="37"/>
  <c r="A775" i="37" s="1"/>
  <c r="E796" i="37"/>
  <c r="E797" i="37"/>
  <c r="A798" i="37"/>
  <c r="A37" i="32"/>
  <c r="B6" i="24"/>
  <c r="B37" i="32" s="1"/>
  <c r="F37" i="32"/>
  <c r="H6" i="24"/>
  <c r="G6" i="24"/>
  <c r="A49" i="32"/>
  <c r="B49" i="32"/>
  <c r="F49" i="32"/>
  <c r="B773" i="37"/>
  <c r="A36" i="32"/>
  <c r="B5" i="24"/>
  <c r="B36" i="32" s="1"/>
  <c r="F36" i="32"/>
  <c r="G5" i="24"/>
  <c r="H5" i="24"/>
  <c r="Q762" i="37"/>
  <c r="Q761" i="37"/>
  <c r="Q718" i="37"/>
  <c r="Q654" i="37"/>
  <c r="Q653" i="37"/>
  <c r="Q609" i="37"/>
  <c r="Q588" i="37"/>
  <c r="Q522" i="37"/>
  <c r="Q502" i="37"/>
  <c r="Q159" i="37"/>
  <c r="Q154" i="37"/>
  <c r="Q7" i="37"/>
  <c r="R7" i="37" s="1"/>
  <c r="A45" i="32"/>
  <c r="A46" i="32"/>
  <c r="F46" i="32"/>
  <c r="G14" i="24"/>
  <c r="H14" i="24"/>
  <c r="G15" i="24"/>
  <c r="H15" i="24"/>
  <c r="B15" i="24"/>
  <c r="B46" i="32" s="1"/>
  <c r="B14" i="24"/>
  <c r="B45" i="32" s="1"/>
  <c r="P72" i="25"/>
  <c r="Q72" i="25"/>
  <c r="C72" i="25"/>
  <c r="B70" i="25"/>
  <c r="AV66" i="13"/>
  <c r="AU66" i="13"/>
  <c r="H66" i="13"/>
  <c r="AM66" i="13"/>
  <c r="AK66" i="13"/>
  <c r="AJ66" i="13"/>
  <c r="AI66" i="13"/>
  <c r="AH66" i="13"/>
  <c r="AG66" i="13"/>
  <c r="K66" i="13"/>
  <c r="AO66" i="13" s="1"/>
  <c r="G66" i="13"/>
  <c r="E66" i="13"/>
  <c r="D66" i="13"/>
  <c r="C66" i="13"/>
  <c r="A31" i="32"/>
  <c r="AV83" i="13"/>
  <c r="AU83" i="13"/>
  <c r="Z86" i="25" s="1"/>
  <c r="S86" i="25" s="1"/>
  <c r="AM83" i="13"/>
  <c r="AK83" i="13"/>
  <c r="AJ83" i="13"/>
  <c r="AI83" i="13"/>
  <c r="AH83" i="13"/>
  <c r="AG83" i="13"/>
  <c r="K83" i="13"/>
  <c r="AO83" i="13" s="1"/>
  <c r="H83" i="13"/>
  <c r="AE83" i="13" s="1"/>
  <c r="AP83" i="13" s="1"/>
  <c r="G83" i="13"/>
  <c r="E83" i="13"/>
  <c r="D83" i="13"/>
  <c r="C83" i="13"/>
  <c r="J34" i="32"/>
  <c r="J11" i="25" s="1"/>
  <c r="F1198" i="15"/>
  <c r="F1199" i="15"/>
  <c r="F1200" i="15"/>
  <c r="F48" i="32"/>
  <c r="A48" i="32"/>
  <c r="A32" i="32"/>
  <c r="AV73" i="13"/>
  <c r="AU73" i="13"/>
  <c r="AM73" i="13"/>
  <c r="AK73" i="13"/>
  <c r="AJ73" i="13"/>
  <c r="AI73" i="13"/>
  <c r="AH73" i="13"/>
  <c r="AG73" i="13"/>
  <c r="K73" i="13"/>
  <c r="AO73" i="13" s="1"/>
  <c r="H73" i="13"/>
  <c r="AE73" i="13" s="1"/>
  <c r="AP73" i="13" s="1"/>
  <c r="G73" i="13"/>
  <c r="E73" i="13"/>
  <c r="D73" i="13"/>
  <c r="C73" i="13"/>
  <c r="F1190" i="15"/>
  <c r="B4" i="24"/>
  <c r="B35" i="32" s="1"/>
  <c r="B12" i="25" s="1"/>
  <c r="B9" i="24"/>
  <c r="B40" i="32" s="1"/>
  <c r="B16" i="24"/>
  <c r="B47" i="32" s="1"/>
  <c r="F941" i="15"/>
  <c r="L1151" i="15"/>
  <c r="L291" i="15"/>
  <c r="L290" i="15"/>
  <c r="L229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L42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O81" i="25"/>
  <c r="F1169" i="15"/>
  <c r="F1167" i="15"/>
  <c r="F40" i="32"/>
  <c r="F81" i="25"/>
  <c r="P81" i="25"/>
  <c r="D81" i="25"/>
  <c r="P70" i="25"/>
  <c r="D70" i="25"/>
  <c r="C70" i="25"/>
  <c r="F418" i="15"/>
  <c r="F663" i="15"/>
  <c r="F664" i="15"/>
  <c r="F665" i="15"/>
  <c r="F670" i="15"/>
  <c r="F671" i="15"/>
  <c r="F672" i="15"/>
  <c r="F811" i="15"/>
  <c r="F906" i="15"/>
  <c r="F910" i="15"/>
  <c r="F979" i="15"/>
  <c r="F1030" i="15"/>
  <c r="D13" i="26"/>
  <c r="F13" i="26" s="1"/>
  <c r="F14" i="26"/>
  <c r="D15" i="26"/>
  <c r="Q7" i="26"/>
  <c r="A61" i="32"/>
  <c r="A17" i="25" s="1"/>
  <c r="B61" i="32"/>
  <c r="B17" i="25" s="1"/>
  <c r="F61" i="32"/>
  <c r="F17" i="25" s="1"/>
  <c r="A40" i="32"/>
  <c r="H9" i="24"/>
  <c r="G9" i="24"/>
  <c r="F72" i="25"/>
  <c r="D13" i="25"/>
  <c r="E13" i="25"/>
  <c r="F47" i="32"/>
  <c r="H13" i="25"/>
  <c r="H16" i="24"/>
  <c r="G16" i="24"/>
  <c r="B13" i="25"/>
  <c r="H4" i="24"/>
  <c r="G4" i="24"/>
  <c r="A655" i="37"/>
  <c r="U655" i="37" s="1"/>
  <c r="M165" i="13"/>
  <c r="M164" i="13"/>
  <c r="J167" i="13"/>
  <c r="J166" i="13"/>
  <c r="J165" i="13"/>
  <c r="J164" i="13"/>
  <c r="J163" i="13"/>
  <c r="J162" i="13"/>
  <c r="J161" i="13"/>
  <c r="M8" i="19"/>
  <c r="S8" i="19" s="1"/>
  <c r="Q81" i="25"/>
  <c r="C81" i="25"/>
  <c r="B81" i="25"/>
  <c r="Q70" i="25"/>
  <c r="F60" i="32"/>
  <c r="B60" i="32"/>
  <c r="A60" i="32"/>
  <c r="I38" i="24"/>
  <c r="I37" i="24"/>
  <c r="I36" i="24"/>
  <c r="I32" i="24"/>
  <c r="I31" i="24"/>
  <c r="I30" i="24"/>
  <c r="I29" i="24"/>
  <c r="I28" i="24"/>
  <c r="B961" i="15"/>
  <c r="B958" i="15"/>
  <c r="U858" i="15"/>
  <c r="T858" i="15"/>
  <c r="U859" i="15"/>
  <c r="U856" i="15"/>
  <c r="T856" i="15"/>
  <c r="T859" i="15"/>
  <c r="B922" i="15"/>
  <c r="B933" i="15"/>
  <c r="B931" i="15"/>
  <c r="B929" i="15"/>
  <c r="B927" i="15"/>
  <c r="B924" i="15"/>
  <c r="B920" i="15"/>
  <c r="B919" i="15"/>
  <c r="U857" i="15"/>
  <c r="B884" i="15"/>
  <c r="F59" i="32"/>
  <c r="B59" i="32"/>
  <c r="A59" i="32"/>
  <c r="F55" i="32"/>
  <c r="B55" i="32"/>
  <c r="A55" i="32"/>
  <c r="AN79" i="24"/>
  <c r="AP90" i="24"/>
  <c r="AP91" i="24" s="1"/>
  <c r="AP92" i="24" s="1"/>
  <c r="AP93" i="24" s="1"/>
  <c r="AP94" i="24" s="1"/>
  <c r="AP95" i="24" s="1"/>
  <c r="AP96" i="24" s="1"/>
  <c r="AP97" i="24" s="1"/>
  <c r="AP98" i="24" s="1"/>
  <c r="AO90" i="24"/>
  <c r="AO89" i="24"/>
  <c r="AN93" i="24"/>
  <c r="AO92" i="24" s="1"/>
  <c r="AN92" i="24"/>
  <c r="B694" i="15"/>
  <c r="B695" i="15"/>
  <c r="B811" i="15"/>
  <c r="A33" i="32"/>
  <c r="A47" i="32"/>
  <c r="F13" i="25"/>
  <c r="A13" i="25"/>
  <c r="H7" i="32"/>
  <c r="Q17" i="26"/>
  <c r="Q24" i="26"/>
  <c r="P25" i="26"/>
  <c r="Q25" i="26"/>
  <c r="P26" i="26"/>
  <c r="Q26" i="26"/>
  <c r="P27" i="26"/>
  <c r="Q27" i="26"/>
  <c r="P28" i="26"/>
  <c r="Q28" i="26"/>
  <c r="P29" i="26"/>
  <c r="Q29" i="26"/>
  <c r="Q30" i="26"/>
  <c r="P49" i="26"/>
  <c r="Q49" i="26" s="1"/>
  <c r="Q51" i="26"/>
  <c r="D18" i="26"/>
  <c r="P60" i="26" s="1"/>
  <c r="Q60" i="26" s="1"/>
  <c r="P83" i="26"/>
  <c r="Q83" i="26" s="1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501" i="26"/>
  <c r="Q502" i="26"/>
  <c r="Q503" i="26"/>
  <c r="Q504" i="26"/>
  <c r="Q505" i="26"/>
  <c r="Q506" i="26"/>
  <c r="Q507" i="26"/>
  <c r="Q508" i="26"/>
  <c r="Q509" i="26"/>
  <c r="Q510" i="26"/>
  <c r="Q511" i="26"/>
  <c r="Q512" i="26"/>
  <c r="Q513" i="26"/>
  <c r="Q514" i="26"/>
  <c r="Q515" i="26"/>
  <c r="Q516" i="26"/>
  <c r="Q517" i="26"/>
  <c r="Q518" i="26"/>
  <c r="Q519" i="26"/>
  <c r="Q520" i="26"/>
  <c r="P521" i="26"/>
  <c r="Q521" i="26"/>
  <c r="Q522" i="26"/>
  <c r="P523" i="26"/>
  <c r="Q523" i="26"/>
  <c r="P524" i="26"/>
  <c r="Q524" i="26"/>
  <c r="P525" i="26"/>
  <c r="Q525" i="26"/>
  <c r="P526" i="26"/>
  <c r="Q526" i="26"/>
  <c r="P527" i="26"/>
  <c r="Q527" i="26"/>
  <c r="P528" i="26"/>
  <c r="Q528" i="26"/>
  <c r="P529" i="26"/>
  <c r="Q529" i="26"/>
  <c r="P530" i="26"/>
  <c r="Q530" i="26"/>
  <c r="P531" i="26"/>
  <c r="Q531" i="26"/>
  <c r="P532" i="26"/>
  <c r="Q532" i="26"/>
  <c r="P533" i="26"/>
  <c r="Q533" i="26"/>
  <c r="P534" i="26"/>
  <c r="Q534" i="26"/>
  <c r="P535" i="26"/>
  <c r="Q535" i="26"/>
  <c r="P536" i="26"/>
  <c r="Q536" i="26"/>
  <c r="P537" i="26"/>
  <c r="Q537" i="26"/>
  <c r="P538" i="26"/>
  <c r="Q538" i="26"/>
  <c r="P539" i="26"/>
  <c r="Q539" i="26"/>
  <c r="P540" i="26"/>
  <c r="Q540" i="26"/>
  <c r="P541" i="26"/>
  <c r="Q541" i="26"/>
  <c r="P542" i="26"/>
  <c r="Q542" i="26"/>
  <c r="P543" i="26"/>
  <c r="Q543" i="26"/>
  <c r="P544" i="26"/>
  <c r="Q544" i="26"/>
  <c r="P545" i="26"/>
  <c r="Q545" i="26"/>
  <c r="P546" i="26"/>
  <c r="Q546" i="26"/>
  <c r="P547" i="26"/>
  <c r="Q547" i="26"/>
  <c r="P548" i="26"/>
  <c r="Q548" i="26"/>
  <c r="P549" i="26"/>
  <c r="Q549" i="26"/>
  <c r="P550" i="26"/>
  <c r="Q550" i="26"/>
  <c r="P551" i="26"/>
  <c r="Q551" i="26"/>
  <c r="P552" i="26"/>
  <c r="Q552" i="26"/>
  <c r="P553" i="26"/>
  <c r="Q553" i="26"/>
  <c r="P554" i="26"/>
  <c r="Q554" i="26"/>
  <c r="P555" i="26"/>
  <c r="Q555" i="26"/>
  <c r="P556" i="26"/>
  <c r="Q556" i="26"/>
  <c r="P557" i="26"/>
  <c r="Q557" i="26"/>
  <c r="P558" i="26"/>
  <c r="Q558" i="26"/>
  <c r="P559" i="26"/>
  <c r="Q559" i="26"/>
  <c r="P560" i="26"/>
  <c r="Q560" i="26"/>
  <c r="P561" i="26"/>
  <c r="Q561" i="26"/>
  <c r="P562" i="26"/>
  <c r="Q562" i="26"/>
  <c r="P563" i="26"/>
  <c r="Q563" i="26"/>
  <c r="P564" i="26"/>
  <c r="Q564" i="26"/>
  <c r="P565" i="26"/>
  <c r="Q565" i="26"/>
  <c r="P566" i="26"/>
  <c r="Q566" i="26"/>
  <c r="P567" i="26"/>
  <c r="Q567" i="26"/>
  <c r="P568" i="26"/>
  <c r="Q568" i="26"/>
  <c r="P569" i="26"/>
  <c r="Q569" i="26"/>
  <c r="P570" i="26"/>
  <c r="Q570" i="26"/>
  <c r="P571" i="26"/>
  <c r="Q571" i="26"/>
  <c r="P572" i="26"/>
  <c r="Q572" i="26"/>
  <c r="P573" i="26"/>
  <c r="Q573" i="26"/>
  <c r="P574" i="26"/>
  <c r="Q574" i="26"/>
  <c r="P575" i="26"/>
  <c r="Q575" i="26"/>
  <c r="P576" i="26"/>
  <c r="Q576" i="26"/>
  <c r="P577" i="26"/>
  <c r="Q577" i="26"/>
  <c r="P578" i="26"/>
  <c r="Q578" i="26"/>
  <c r="P579" i="26"/>
  <c r="Q579" i="26"/>
  <c r="P580" i="26"/>
  <c r="Q580" i="26"/>
  <c r="P581" i="26"/>
  <c r="Q581" i="26"/>
  <c r="P582" i="26"/>
  <c r="Q582" i="26"/>
  <c r="P583" i="26"/>
  <c r="Q583" i="26"/>
  <c r="P584" i="26"/>
  <c r="Q584" i="26"/>
  <c r="P585" i="26"/>
  <c r="Q585" i="26"/>
  <c r="P586" i="26"/>
  <c r="Q586" i="26"/>
  <c r="P587" i="26"/>
  <c r="Q587" i="26"/>
  <c r="P588" i="26"/>
  <c r="Q588" i="26"/>
  <c r="P589" i="26"/>
  <c r="Q589" i="26"/>
  <c r="P590" i="26"/>
  <c r="Q590" i="26"/>
  <c r="P591" i="26"/>
  <c r="Q591" i="26"/>
  <c r="P592" i="26"/>
  <c r="Q592" i="26"/>
  <c r="P593" i="26"/>
  <c r="Q593" i="26"/>
  <c r="P594" i="26"/>
  <c r="Q594" i="26"/>
  <c r="P595" i="26"/>
  <c r="Q595" i="26"/>
  <c r="P596" i="26"/>
  <c r="Q596" i="26"/>
  <c r="P597" i="26"/>
  <c r="Q597" i="26"/>
  <c r="P598" i="26"/>
  <c r="Q598" i="26"/>
  <c r="P599" i="26"/>
  <c r="Q599" i="26"/>
  <c r="P600" i="26"/>
  <c r="Q600" i="26"/>
  <c r="P601" i="26"/>
  <c r="Q601" i="26"/>
  <c r="P602" i="26"/>
  <c r="Q602" i="26"/>
  <c r="P603" i="26"/>
  <c r="Q603" i="26"/>
  <c r="P604" i="26"/>
  <c r="Q604" i="26"/>
  <c r="P605" i="26"/>
  <c r="Q605" i="26"/>
  <c r="P606" i="26"/>
  <c r="Q606" i="26"/>
  <c r="P607" i="26"/>
  <c r="Q607" i="26"/>
  <c r="P608" i="26"/>
  <c r="Q608" i="26"/>
  <c r="P609" i="26"/>
  <c r="Q609" i="26"/>
  <c r="F54" i="32"/>
  <c r="B54" i="32"/>
  <c r="A54" i="32"/>
  <c r="AP79" i="24"/>
  <c r="AP80" i="24" s="1"/>
  <c r="AP81" i="24" s="1"/>
  <c r="AP82" i="24" s="1"/>
  <c r="AP83" i="24" s="1"/>
  <c r="AP84" i="24" s="1"/>
  <c r="AP85" i="24" s="1"/>
  <c r="AO80" i="24"/>
  <c r="AN81" i="24" s="1"/>
  <c r="AO79" i="24"/>
  <c r="AN80" i="24" s="1"/>
  <c r="F6" i="26"/>
  <c r="A589" i="37"/>
  <c r="A590" i="37" s="1"/>
  <c r="U588" i="37"/>
  <c r="B698" i="15"/>
  <c r="B692" i="15"/>
  <c r="A523" i="37"/>
  <c r="U523" i="37"/>
  <c r="A503" i="37"/>
  <c r="B670" i="15"/>
  <c r="B663" i="15"/>
  <c r="A610" i="37"/>
  <c r="U609" i="37"/>
  <c r="F10" i="26"/>
  <c r="F9" i="26"/>
  <c r="F8" i="26"/>
  <c r="F7" i="26"/>
  <c r="U522" i="37"/>
  <c r="U502" i="37"/>
  <c r="Q69" i="25"/>
  <c r="D69" i="25"/>
  <c r="B69" i="25"/>
  <c r="B625" i="15"/>
  <c r="AP56" i="24"/>
  <c r="AP57" i="24" s="1"/>
  <c r="AP63" i="24"/>
  <c r="AP64" i="24" s="1"/>
  <c r="AP65" i="24" s="1"/>
  <c r="AP66" i="24" s="1"/>
  <c r="AP67" i="24" s="1"/>
  <c r="AP68" i="24" s="1"/>
  <c r="AP69" i="24" s="1"/>
  <c r="AO62" i="24"/>
  <c r="AN63" i="24" s="1"/>
  <c r="AO63" i="24" s="1"/>
  <c r="AN64" i="24" s="1"/>
  <c r="AO64" i="24" s="1"/>
  <c r="AN65" i="24" s="1"/>
  <c r="AO65" i="24" s="1"/>
  <c r="AN66" i="24" s="1"/>
  <c r="AO66" i="24" s="1"/>
  <c r="AN67" i="24" s="1"/>
  <c r="AO67" i="24" s="1"/>
  <c r="AN68" i="24" s="1"/>
  <c r="AO68" i="24" s="1"/>
  <c r="AN69" i="24" s="1"/>
  <c r="AO55" i="24"/>
  <c r="AN56" i="24" s="1"/>
  <c r="AO56" i="24" s="1"/>
  <c r="AN57" i="24" s="1"/>
  <c r="AP48" i="24"/>
  <c r="AP49" i="24" s="1"/>
  <c r="AP50" i="24" s="1"/>
  <c r="AO47" i="24"/>
  <c r="AN48" i="24" s="1"/>
  <c r="AO48" i="24" s="1"/>
  <c r="AN49" i="24" s="1"/>
  <c r="AO49" i="24" s="1"/>
  <c r="AN50" i="24" s="1"/>
  <c r="B562" i="15"/>
  <c r="N79" i="25"/>
  <c r="F529" i="15"/>
  <c r="Q495" i="15"/>
  <c r="Q494" i="15"/>
  <c r="Q493" i="15"/>
  <c r="Q492" i="15"/>
  <c r="Q491" i="15"/>
  <c r="Q490" i="15"/>
  <c r="Q489" i="15"/>
  <c r="Q488" i="15"/>
  <c r="R425" i="15"/>
  <c r="N424" i="15"/>
  <c r="S415" i="15"/>
  <c r="U415" i="15"/>
  <c r="S414" i="15"/>
  <c r="B418" i="15"/>
  <c r="P80" i="25"/>
  <c r="C80" i="25"/>
  <c r="B80" i="25"/>
  <c r="D79" i="25"/>
  <c r="C79" i="25"/>
  <c r="B79" i="25"/>
  <c r="F69" i="25"/>
  <c r="P69" i="25"/>
  <c r="Z83" i="25"/>
  <c r="S83" i="25" s="1"/>
  <c r="P83" i="25"/>
  <c r="Q83" i="25"/>
  <c r="F83" i="25"/>
  <c r="D83" i="25"/>
  <c r="C83" i="25"/>
  <c r="B83" i="25"/>
  <c r="B377" i="15"/>
  <c r="B376" i="15"/>
  <c r="Q80" i="25"/>
  <c r="D80" i="25"/>
  <c r="E79" i="25"/>
  <c r="G79" i="25"/>
  <c r="F79" i="25"/>
  <c r="P79" i="25"/>
  <c r="P68" i="25"/>
  <c r="Q68" i="25"/>
  <c r="D68" i="25"/>
  <c r="C68" i="25"/>
  <c r="B68" i="25"/>
  <c r="F67" i="25"/>
  <c r="P67" i="25"/>
  <c r="Q67" i="25"/>
  <c r="D67" i="25"/>
  <c r="C67" i="25"/>
  <c r="B67" i="25"/>
  <c r="F39" i="13"/>
  <c r="F29" i="32" s="1"/>
  <c r="F9" i="25" s="1"/>
  <c r="F51" i="32"/>
  <c r="B51" i="32"/>
  <c r="B306" i="15"/>
  <c r="B299" i="15"/>
  <c r="Z85" i="25"/>
  <c r="S85" i="25" s="1"/>
  <c r="Z84" i="25"/>
  <c r="T84" i="25" s="1"/>
  <c r="AE82" i="25"/>
  <c r="Z82" i="25"/>
  <c r="Z81" i="25"/>
  <c r="S81" i="25" s="1"/>
  <c r="Z80" i="25"/>
  <c r="S80" i="25" s="1"/>
  <c r="Z79" i="25"/>
  <c r="T79" i="25" s="1"/>
  <c r="H79" i="25"/>
  <c r="Z78" i="25"/>
  <c r="T78" i="25" s="1"/>
  <c r="H78" i="25"/>
  <c r="Z77" i="25"/>
  <c r="S77" i="25" s="1"/>
  <c r="Z76" i="25"/>
  <c r="T76" i="25" s="1"/>
  <c r="H76" i="25"/>
  <c r="Z75" i="25"/>
  <c r="T75" i="25" s="1"/>
  <c r="H75" i="25"/>
  <c r="Z74" i="25"/>
  <c r="T74" i="25" s="1"/>
  <c r="H74" i="25"/>
  <c r="Z73" i="25"/>
  <c r="S73" i="25" s="1"/>
  <c r="AE71" i="25"/>
  <c r="Z71" i="25"/>
  <c r="Z70" i="25"/>
  <c r="S70" i="25" s="1"/>
  <c r="Z69" i="25"/>
  <c r="S69" i="25" s="1"/>
  <c r="Z68" i="25"/>
  <c r="S68" i="25" s="1"/>
  <c r="Z67" i="25"/>
  <c r="T67" i="25" s="1"/>
  <c r="H67" i="25"/>
  <c r="M81" i="25"/>
  <c r="J81" i="25"/>
  <c r="I81" i="25"/>
  <c r="A81" i="25"/>
  <c r="Y81" i="25" s="1"/>
  <c r="M80" i="25"/>
  <c r="J80" i="25"/>
  <c r="I80" i="25"/>
  <c r="A80" i="25"/>
  <c r="Y80" i="25" s="1"/>
  <c r="M79" i="25"/>
  <c r="J79" i="25"/>
  <c r="I79" i="25"/>
  <c r="A79" i="25"/>
  <c r="Y79" i="25" s="1"/>
  <c r="M78" i="25"/>
  <c r="J78" i="25"/>
  <c r="I78" i="25"/>
  <c r="A78" i="25"/>
  <c r="X78" i="25" s="1"/>
  <c r="M77" i="25"/>
  <c r="J77" i="25"/>
  <c r="I77" i="25"/>
  <c r="A77" i="25"/>
  <c r="X77" i="25" s="1"/>
  <c r="M76" i="25"/>
  <c r="J76" i="25"/>
  <c r="I76" i="25"/>
  <c r="A76" i="25"/>
  <c r="R76" i="25" s="1"/>
  <c r="M75" i="25"/>
  <c r="J75" i="25"/>
  <c r="I75" i="25"/>
  <c r="A75" i="25"/>
  <c r="X75" i="25" s="1"/>
  <c r="M74" i="25"/>
  <c r="J74" i="25"/>
  <c r="I74" i="25"/>
  <c r="A74" i="25"/>
  <c r="R74" i="25" s="1"/>
  <c r="M73" i="25"/>
  <c r="J73" i="25"/>
  <c r="I73" i="25"/>
  <c r="A73" i="25"/>
  <c r="Y73" i="25" s="1"/>
  <c r="M70" i="25"/>
  <c r="J70" i="25"/>
  <c r="I70" i="25"/>
  <c r="A70" i="25"/>
  <c r="R70" i="25" s="1"/>
  <c r="M69" i="25"/>
  <c r="J69" i="25"/>
  <c r="I69" i="25"/>
  <c r="A69" i="25"/>
  <c r="Y69" i="25" s="1"/>
  <c r="M68" i="25"/>
  <c r="J68" i="25"/>
  <c r="I68" i="25"/>
  <c r="A68" i="25"/>
  <c r="Y68" i="25" s="1"/>
  <c r="M67" i="25"/>
  <c r="J67" i="25"/>
  <c r="I67" i="25"/>
  <c r="A67" i="25"/>
  <c r="Y67" i="25" s="1"/>
  <c r="F80" i="25"/>
  <c r="Q79" i="25"/>
  <c r="P78" i="25"/>
  <c r="Q78" i="25"/>
  <c r="F78" i="25"/>
  <c r="E78" i="25"/>
  <c r="D78" i="25"/>
  <c r="C78" i="25"/>
  <c r="B78" i="25"/>
  <c r="P77" i="25"/>
  <c r="Q77" i="25"/>
  <c r="F77" i="25"/>
  <c r="D77" i="25"/>
  <c r="C77" i="25"/>
  <c r="B77" i="25"/>
  <c r="P76" i="25"/>
  <c r="Q76" i="25"/>
  <c r="F76" i="25"/>
  <c r="E76" i="25"/>
  <c r="D76" i="25"/>
  <c r="C76" i="25"/>
  <c r="B76" i="25"/>
  <c r="P75" i="25"/>
  <c r="Q75" i="25"/>
  <c r="F75" i="25"/>
  <c r="D75" i="25"/>
  <c r="C75" i="25"/>
  <c r="B75" i="25"/>
  <c r="P74" i="25"/>
  <c r="Q74" i="25"/>
  <c r="F74" i="25"/>
  <c r="D74" i="25"/>
  <c r="C74" i="25"/>
  <c r="B74" i="25"/>
  <c r="P73" i="25"/>
  <c r="Q73" i="25"/>
  <c r="F73" i="25"/>
  <c r="E73" i="25"/>
  <c r="D73" i="25"/>
  <c r="C73" i="25"/>
  <c r="B73" i="25"/>
  <c r="C69" i="25"/>
  <c r="E67" i="25"/>
  <c r="E75" i="25"/>
  <c r="E77" i="25"/>
  <c r="E74" i="25"/>
  <c r="G78" i="25"/>
  <c r="G74" i="25"/>
  <c r="G77" i="25"/>
  <c r="G75" i="25"/>
  <c r="G73" i="25"/>
  <c r="G81" i="25"/>
  <c r="G76" i="25"/>
  <c r="H77" i="25"/>
  <c r="H73" i="25"/>
  <c r="O78" i="25"/>
  <c r="L78" i="25"/>
  <c r="AE78" i="25" s="1"/>
  <c r="N75" i="25"/>
  <c r="K75" i="25"/>
  <c r="N78" i="25"/>
  <c r="K78" i="25"/>
  <c r="N73" i="25"/>
  <c r="K73" i="25"/>
  <c r="O76" i="25"/>
  <c r="L76" i="25"/>
  <c r="AE76" i="25" s="1"/>
  <c r="O74" i="25"/>
  <c r="L74" i="25"/>
  <c r="AE74" i="25" s="1"/>
  <c r="N77" i="25"/>
  <c r="K77" i="25"/>
  <c r="O77" i="25"/>
  <c r="L77" i="25"/>
  <c r="AE77" i="25" s="1"/>
  <c r="O75" i="25"/>
  <c r="L75" i="25"/>
  <c r="AE75" i="25" s="1"/>
  <c r="O73" i="25"/>
  <c r="L73" i="25"/>
  <c r="AE73" i="25" s="1"/>
  <c r="N74" i="25"/>
  <c r="K74" i="25"/>
  <c r="N76" i="25"/>
  <c r="K76" i="25"/>
  <c r="F53" i="32"/>
  <c r="B53" i="32"/>
  <c r="A53" i="32"/>
  <c r="V7" i="19"/>
  <c r="U7" i="19"/>
  <c r="T7" i="19"/>
  <c r="S7" i="19"/>
  <c r="Q7" i="19"/>
  <c r="R7" i="19"/>
  <c r="P6" i="19"/>
  <c r="O6" i="19"/>
  <c r="P7" i="19"/>
  <c r="O7" i="19"/>
  <c r="B32" i="25"/>
  <c r="A32" i="25"/>
  <c r="D31" i="25"/>
  <c r="B31" i="25"/>
  <c r="Q31" i="25" s="1"/>
  <c r="A31" i="25"/>
  <c r="A30" i="25"/>
  <c r="L8" i="25"/>
  <c r="J8" i="25"/>
  <c r="K8" i="25"/>
  <c r="I24" i="25"/>
  <c r="G24" i="25"/>
  <c r="C24" i="25"/>
  <c r="B24" i="25"/>
  <c r="A24" i="25"/>
  <c r="G23" i="25"/>
  <c r="G22" i="25"/>
  <c r="G21" i="25"/>
  <c r="G20" i="25"/>
  <c r="G19" i="25"/>
  <c r="G18" i="25"/>
  <c r="I21" i="25"/>
  <c r="I19" i="25"/>
  <c r="I18" i="25"/>
  <c r="I15" i="25"/>
  <c r="C23" i="25"/>
  <c r="B23" i="25"/>
  <c r="A23" i="25"/>
  <c r="C22" i="25"/>
  <c r="B22" i="25"/>
  <c r="A22" i="25"/>
  <c r="C21" i="25"/>
  <c r="B21" i="25"/>
  <c r="A21" i="25"/>
  <c r="C20" i="25"/>
  <c r="B20" i="25"/>
  <c r="A20" i="25"/>
  <c r="C19" i="25"/>
  <c r="B19" i="25"/>
  <c r="A19" i="25"/>
  <c r="C18" i="25"/>
  <c r="B18" i="25"/>
  <c r="A18" i="25"/>
  <c r="C17" i="25"/>
  <c r="C16" i="25"/>
  <c r="C15" i="25"/>
  <c r="C14" i="25"/>
  <c r="C13" i="25"/>
  <c r="C12" i="25"/>
  <c r="C11" i="25"/>
  <c r="C10" i="25"/>
  <c r="B82" i="25"/>
  <c r="A82" i="25"/>
  <c r="Y82" i="25" s="1"/>
  <c r="M86" i="25"/>
  <c r="J86" i="25"/>
  <c r="I86" i="25"/>
  <c r="A86" i="25"/>
  <c r="Y86" i="25" s="1"/>
  <c r="M85" i="25"/>
  <c r="J85" i="25"/>
  <c r="I85" i="25"/>
  <c r="A85" i="25"/>
  <c r="X85" i="25" s="1"/>
  <c r="M84" i="25"/>
  <c r="J84" i="25"/>
  <c r="I84" i="25"/>
  <c r="A84" i="25"/>
  <c r="X84" i="25" s="1"/>
  <c r="M83" i="25"/>
  <c r="J83" i="25"/>
  <c r="I83" i="25"/>
  <c r="A83" i="25"/>
  <c r="Y83" i="25" s="1"/>
  <c r="B71" i="25"/>
  <c r="A71" i="25"/>
  <c r="Y71" i="25" s="1"/>
  <c r="M72" i="25"/>
  <c r="J72" i="25"/>
  <c r="I72" i="25"/>
  <c r="A72" i="25"/>
  <c r="R72" i="25" s="1"/>
  <c r="P86" i="25"/>
  <c r="Q86" i="25"/>
  <c r="F86" i="25"/>
  <c r="E86" i="25"/>
  <c r="D86" i="25"/>
  <c r="C86" i="25"/>
  <c r="B86" i="25"/>
  <c r="P85" i="25"/>
  <c r="Q85" i="25"/>
  <c r="F85" i="25"/>
  <c r="D85" i="25"/>
  <c r="C85" i="25"/>
  <c r="B85" i="25"/>
  <c r="P84" i="25"/>
  <c r="Q84" i="25"/>
  <c r="G84" i="25"/>
  <c r="F84" i="25"/>
  <c r="D84" i="25"/>
  <c r="C84" i="25"/>
  <c r="B84" i="25"/>
  <c r="E84" i="25"/>
  <c r="E85" i="25"/>
  <c r="G85" i="25"/>
  <c r="G86" i="25"/>
  <c r="H86" i="25"/>
  <c r="H85" i="25"/>
  <c r="H84" i="25"/>
  <c r="N85" i="25"/>
  <c r="K85" i="25"/>
  <c r="N84" i="25"/>
  <c r="K84" i="25"/>
  <c r="O86" i="25"/>
  <c r="L86" i="25"/>
  <c r="AE86" i="25" s="1"/>
  <c r="N86" i="25"/>
  <c r="K86" i="25"/>
  <c r="O85" i="25"/>
  <c r="L85" i="25"/>
  <c r="AE85" i="25" s="1"/>
  <c r="O84" i="25"/>
  <c r="L84" i="25"/>
  <c r="AE84" i="25" s="1"/>
  <c r="F63" i="32"/>
  <c r="F19" i="25" s="1"/>
  <c r="F62" i="32"/>
  <c r="F18" i="25" s="1"/>
  <c r="F52" i="32"/>
  <c r="F16" i="25" s="1"/>
  <c r="F50" i="32"/>
  <c r="F15" i="25" s="1"/>
  <c r="F14" i="25"/>
  <c r="F35" i="32"/>
  <c r="F12" i="25" s="1"/>
  <c r="E14" i="25"/>
  <c r="D14" i="25"/>
  <c r="A14" i="25"/>
  <c r="H14" i="25"/>
  <c r="G14" i="25"/>
  <c r="B180" i="15"/>
  <c r="I14" i="25"/>
  <c r="B14" i="25"/>
  <c r="J14" i="25"/>
  <c r="L14" i="25"/>
  <c r="K14" i="25"/>
  <c r="B154" i="15"/>
  <c r="I51" i="13"/>
  <c r="E66" i="25" s="1"/>
  <c r="U159" i="37"/>
  <c r="U154" i="37"/>
  <c r="A160" i="37"/>
  <c r="A155" i="37"/>
  <c r="U155" i="37"/>
  <c r="L131" i="15"/>
  <c r="B111" i="15"/>
  <c r="A34" i="32"/>
  <c r="A11" i="25" s="1"/>
  <c r="A10" i="25"/>
  <c r="B10" i="25"/>
  <c r="J10" i="25"/>
  <c r="C31" i="25"/>
  <c r="H31" i="25"/>
  <c r="E10" i="25"/>
  <c r="E31" i="25"/>
  <c r="F10" i="25"/>
  <c r="F31" i="25"/>
  <c r="G31" i="25"/>
  <c r="H10" i="25"/>
  <c r="G10" i="25"/>
  <c r="D10" i="25"/>
  <c r="I10" i="25"/>
  <c r="M31" i="25"/>
  <c r="B73" i="15"/>
  <c r="D72" i="25"/>
  <c r="B72" i="25"/>
  <c r="N31" i="25"/>
  <c r="O31" i="25"/>
  <c r="L10" i="25"/>
  <c r="K10" i="25"/>
  <c r="K31" i="25"/>
  <c r="J31" i="25"/>
  <c r="I31" i="25"/>
  <c r="C18" i="33"/>
  <c r="L31" i="25"/>
  <c r="C14" i="33"/>
  <c r="R67" i="15"/>
  <c r="B52" i="32"/>
  <c r="B16" i="25" s="1"/>
  <c r="B50" i="32"/>
  <c r="B15" i="25" s="1"/>
  <c r="A52" i="32"/>
  <c r="A16" i="25" s="1"/>
  <c r="A50" i="32"/>
  <c r="A15" i="25" s="1"/>
  <c r="A29" i="32"/>
  <c r="A9" i="25" s="1"/>
  <c r="F65" i="32"/>
  <c r="F21" i="25" s="1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 s="1"/>
  <c r="G1384" i="15" s="1"/>
  <c r="G1385" i="15" s="1"/>
  <c r="G1386" i="15" s="1"/>
  <c r="G1387" i="15" s="1"/>
  <c r="G1388" i="15" s="1"/>
  <c r="G1389" i="15" s="1"/>
  <c r="G1390" i="15" s="1"/>
  <c r="G1391" i="15" s="1"/>
  <c r="G1392" i="15" s="1"/>
  <c r="G1393" i="15" s="1"/>
  <c r="G1394" i="15" s="1"/>
  <c r="G1395" i="15" s="1"/>
  <c r="G1396" i="15" s="1"/>
  <c r="G1397" i="15" s="1"/>
  <c r="G1398" i="15" s="1"/>
  <c r="G1399" i="15" s="1"/>
  <c r="G1400" i="15" s="1"/>
  <c r="G1401" i="15" s="1"/>
  <c r="G1402" i="15" s="1"/>
  <c r="G1403" i="15" s="1"/>
  <c r="G1404" i="15" s="1"/>
  <c r="G1405" i="15" s="1"/>
  <c r="G1406" i="15" s="1"/>
  <c r="G1407" i="15" s="1"/>
  <c r="G1408" i="15" s="1"/>
  <c r="G1409" i="15" s="1"/>
  <c r="G1410" i="15" s="1"/>
  <c r="G1411" i="15" s="1"/>
  <c r="G1412" i="15" s="1"/>
  <c r="G1413" i="15" s="1"/>
  <c r="G1414" i="15" s="1"/>
  <c r="G1415" i="15" s="1"/>
  <c r="G1416" i="15" s="1"/>
  <c r="G1417" i="15" s="1"/>
  <c r="G1418" i="15" s="1"/>
  <c r="G1419" i="15" s="1"/>
  <c r="G1420" i="15" s="1"/>
  <c r="G1421" i="15" s="1"/>
  <c r="G1422" i="15" s="1"/>
  <c r="G1423" i="15" s="1"/>
  <c r="G1424" i="15" s="1"/>
  <c r="G1425" i="15" s="1"/>
  <c r="G1426" i="15" s="1"/>
  <c r="G1427" i="15" s="1"/>
  <c r="G1428" i="15" s="1"/>
  <c r="G1429" i="15" s="1"/>
  <c r="G1430" i="15" s="1"/>
  <c r="G1431" i="15" s="1"/>
  <c r="G1432" i="15" s="1"/>
  <c r="G1433" i="15" s="1"/>
  <c r="G1434" i="15" s="1"/>
  <c r="G1435" i="15" s="1"/>
  <c r="G1436" i="15" s="1"/>
  <c r="G1437" i="15" s="1"/>
  <c r="G1438" i="15" s="1"/>
  <c r="G1439" i="15" s="1"/>
  <c r="G1440" i="15" s="1"/>
  <c r="G1441" i="15" s="1"/>
  <c r="G1442" i="15" s="1"/>
  <c r="G1443" i="15" s="1"/>
  <c r="G1444" i="15" s="1"/>
  <c r="G1445" i="15" s="1"/>
  <c r="G1446" i="15" s="1"/>
  <c r="G1447" i="15" s="1"/>
  <c r="T10" i="37"/>
  <c r="V10" i="37" s="1"/>
  <c r="T9" i="37"/>
  <c r="V9" i="37" s="1"/>
  <c r="T8" i="37"/>
  <c r="V8" i="37" s="1"/>
  <c r="A8" i="37"/>
  <c r="A9" i="37"/>
  <c r="U7" i="37"/>
  <c r="T7" i="37"/>
  <c r="V7" i="37" s="1"/>
  <c r="Y39" i="13"/>
  <c r="U39" i="13"/>
  <c r="T39" i="13"/>
  <c r="D39" i="13"/>
  <c r="D30" i="25" s="1"/>
  <c r="C39" i="13"/>
  <c r="C30" i="25" s="1"/>
  <c r="O39" i="13"/>
  <c r="J29" i="32" s="1"/>
  <c r="J9" i="25" s="1"/>
  <c r="E39" i="13"/>
  <c r="E30" i="25" s="1"/>
  <c r="C17" i="33"/>
  <c r="A35" i="32"/>
  <c r="A12" i="25" s="1"/>
  <c r="B32" i="15"/>
  <c r="B14" i="15"/>
  <c r="E10" i="36"/>
  <c r="B6" i="15"/>
  <c r="C5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C5" i="33"/>
  <c r="C4" i="33"/>
  <c r="M66" i="25"/>
  <c r="J66" i="25"/>
  <c r="I66" i="25"/>
  <c r="A66" i="25"/>
  <c r="X66" i="25" s="1"/>
  <c r="B65" i="25"/>
  <c r="A65" i="25"/>
  <c r="D60" i="25"/>
  <c r="D59" i="25"/>
  <c r="B30" i="25"/>
  <c r="P30" i="25" s="1"/>
  <c r="C9" i="25"/>
  <c r="B5" i="25"/>
  <c r="B4" i="25"/>
  <c r="B3" i="25"/>
  <c r="C1" i="34"/>
  <c r="C1" i="22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X9" i="23"/>
  <c r="X10" i="23"/>
  <c r="X11" i="23"/>
  <c r="D47" i="27"/>
  <c r="C47" i="27"/>
  <c r="F46" i="27"/>
  <c r="F45" i="27"/>
  <c r="F44" i="27"/>
  <c r="F43" i="27"/>
  <c r="F42" i="27"/>
  <c r="F41" i="27"/>
  <c r="F40" i="27"/>
  <c r="F32" i="27"/>
  <c r="F31" i="27"/>
  <c r="F30" i="27"/>
  <c r="F29" i="27"/>
  <c r="F28" i="27"/>
  <c r="F27" i="27"/>
  <c r="D18" i="27"/>
  <c r="C18" i="27"/>
  <c r="F2" i="27"/>
  <c r="C6" i="33"/>
  <c r="E9" i="36"/>
  <c r="E8" i="36"/>
  <c r="E7" i="36"/>
  <c r="F7" i="36"/>
  <c r="E6" i="36"/>
  <c r="AV51" i="13"/>
  <c r="AU51" i="13"/>
  <c r="Z66" i="25" s="1"/>
  <c r="AM51" i="13"/>
  <c r="AK51" i="13"/>
  <c r="AJ51" i="13"/>
  <c r="P66" i="25" s="1"/>
  <c r="AH51" i="13"/>
  <c r="Q66" i="25" s="1"/>
  <c r="AG51" i="13"/>
  <c r="U51" i="13"/>
  <c r="P39" i="13" s="1"/>
  <c r="O30" i="25" s="1"/>
  <c r="L51" i="13"/>
  <c r="K51" i="13"/>
  <c r="AO51" i="13" s="1"/>
  <c r="J51" i="13"/>
  <c r="F66" i="25" s="1"/>
  <c r="H51" i="13"/>
  <c r="G51" i="13"/>
  <c r="D66" i="25" s="1"/>
  <c r="E51" i="13"/>
  <c r="D51" i="13"/>
  <c r="C66" i="25" s="1"/>
  <c r="C51" i="13"/>
  <c r="B66" i="25" s="1"/>
  <c r="G39" i="13"/>
  <c r="W39" i="13" s="1"/>
  <c r="S28" i="13"/>
  <c r="R28" i="13"/>
  <c r="Q28" i="13"/>
  <c r="S27" i="13"/>
  <c r="R27" i="13"/>
  <c r="Q27" i="13"/>
  <c r="S26" i="13"/>
  <c r="R26" i="13"/>
  <c r="Q26" i="13"/>
  <c r="S16" i="13"/>
  <c r="R16" i="13"/>
  <c r="Q16" i="13"/>
  <c r="A16" i="13"/>
  <c r="A28" i="13" s="1"/>
  <c r="S15" i="13"/>
  <c r="R15" i="13"/>
  <c r="Q15" i="13"/>
  <c r="M14" i="13"/>
  <c r="M26" i="13" s="1"/>
  <c r="L14" i="13"/>
  <c r="L26" i="13" s="1"/>
  <c r="K14" i="13"/>
  <c r="K26" i="13" s="1"/>
  <c r="J14" i="13"/>
  <c r="J26" i="13" s="1"/>
  <c r="I14" i="13"/>
  <c r="I26" i="13" s="1"/>
  <c r="H14" i="13"/>
  <c r="H26" i="13" s="1"/>
  <c r="G14" i="13"/>
  <c r="G26" i="13" s="1"/>
  <c r="F14" i="13"/>
  <c r="F26" i="13" s="1"/>
  <c r="E14" i="13"/>
  <c r="E26" i="13" s="1"/>
  <c r="D14" i="13"/>
  <c r="D26" i="13" s="1"/>
  <c r="B6" i="13"/>
  <c r="H83" i="32"/>
  <c r="G83" i="32"/>
  <c r="E83" i="32"/>
  <c r="I78" i="32"/>
  <c r="F71" i="32"/>
  <c r="F70" i="32"/>
  <c r="F69" i="32"/>
  <c r="F68" i="32"/>
  <c r="F24" i="25" s="1"/>
  <c r="F67" i="32"/>
  <c r="F23" i="25" s="1"/>
  <c r="F66" i="32"/>
  <c r="F22" i="25" s="1"/>
  <c r="F64" i="32"/>
  <c r="F20" i="25" s="1"/>
  <c r="F83" i="32"/>
  <c r="D83" i="32"/>
  <c r="H14" i="32"/>
  <c r="E68" i="25"/>
  <c r="G69" i="25"/>
  <c r="G68" i="25"/>
  <c r="G67" i="25"/>
  <c r="N68" i="25"/>
  <c r="F68" i="25"/>
  <c r="L68" i="25"/>
  <c r="AE68" i="25" s="1"/>
  <c r="N67" i="25"/>
  <c r="H68" i="25"/>
  <c r="L67" i="25"/>
  <c r="AE67" i="25" s="1"/>
  <c r="K67" i="25"/>
  <c r="O68" i="25"/>
  <c r="K68" i="25"/>
  <c r="O67" i="25"/>
  <c r="G80" i="25"/>
  <c r="K79" i="25"/>
  <c r="H80" i="25"/>
  <c r="E80" i="25"/>
  <c r="O79" i="25"/>
  <c r="L79" i="25"/>
  <c r="AE79" i="25" s="1"/>
  <c r="O80" i="25"/>
  <c r="L80" i="25"/>
  <c r="AE80" i="25" s="1"/>
  <c r="E69" i="25"/>
  <c r="K80" i="25"/>
  <c r="N80" i="25"/>
  <c r="A156" i="37"/>
  <c r="U156" i="37"/>
  <c r="T414" i="15"/>
  <c r="U414" i="15"/>
  <c r="Q53" i="26"/>
  <c r="H69" i="25"/>
  <c r="L69" i="25"/>
  <c r="AE69" i="25" s="1"/>
  <c r="P30" i="26"/>
  <c r="Q56" i="26"/>
  <c r="Q58" i="26"/>
  <c r="P24" i="26"/>
  <c r="Q55" i="26"/>
  <c r="Q57" i="26"/>
  <c r="Q52" i="26"/>
  <c r="P31" i="26"/>
  <c r="Q31" i="26"/>
  <c r="Q54" i="26"/>
  <c r="P32" i="26"/>
  <c r="Q32" i="26" s="1"/>
  <c r="N69" i="25"/>
  <c r="K69" i="25"/>
  <c r="O69" i="25"/>
  <c r="U653" i="37"/>
  <c r="U654" i="37"/>
  <c r="Q23" i="26"/>
  <c r="P50" i="26"/>
  <c r="Q50" i="26" s="1"/>
  <c r="K161" i="13"/>
  <c r="L161" i="13" s="1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 s="1"/>
  <c r="C1389" i="15" s="1"/>
  <c r="C1390" i="15" s="1"/>
  <c r="C1391" i="15" s="1"/>
  <c r="C1392" i="15" s="1"/>
  <c r="C1393" i="15" s="1"/>
  <c r="C1394" i="15" s="1"/>
  <c r="C1395" i="15" s="1"/>
  <c r="C1396" i="15" s="1"/>
  <c r="C1397" i="15" s="1"/>
  <c r="C1398" i="15" s="1"/>
  <c r="C1399" i="15" s="1"/>
  <c r="C1400" i="15" s="1"/>
  <c r="C1401" i="15" s="1"/>
  <c r="C1402" i="15" s="1"/>
  <c r="C1403" i="15" s="1"/>
  <c r="C1404" i="15" s="1"/>
  <c r="C1405" i="15" s="1"/>
  <c r="C1406" i="15" s="1"/>
  <c r="C1407" i="15" s="1"/>
  <c r="C1408" i="15" s="1"/>
  <c r="C1409" i="15" s="1"/>
  <c r="C1410" i="15" s="1"/>
  <c r="C1411" i="15" s="1"/>
  <c r="C1412" i="15" s="1"/>
  <c r="C1413" i="15" s="1"/>
  <c r="C1414" i="15" s="1"/>
  <c r="C1415" i="15" s="1"/>
  <c r="C1416" i="15" s="1"/>
  <c r="C1417" i="15" s="1"/>
  <c r="C1418" i="15" s="1"/>
  <c r="C1419" i="15" s="1"/>
  <c r="C1420" i="15" s="1"/>
  <c r="C1421" i="15" s="1"/>
  <c r="C1422" i="15" s="1"/>
  <c r="C1423" i="15" s="1"/>
  <c r="C1424" i="15" s="1"/>
  <c r="C1425" i="15" s="1"/>
  <c r="C1426" i="15" s="1"/>
  <c r="C1427" i="15" s="1"/>
  <c r="C1428" i="15" s="1"/>
  <c r="C1429" i="15" s="1"/>
  <c r="C1430" i="15" s="1"/>
  <c r="C1431" i="15" s="1"/>
  <c r="C1432" i="15" s="1"/>
  <c r="C1433" i="15" s="1"/>
  <c r="C1434" i="15" s="1"/>
  <c r="C1435" i="15" s="1"/>
  <c r="C1436" i="15" s="1"/>
  <c r="C1437" i="15" s="1"/>
  <c r="C1438" i="15" s="1"/>
  <c r="C1439" i="15" s="1"/>
  <c r="C1440" i="15" s="1"/>
  <c r="C1441" i="15" s="1"/>
  <c r="C1442" i="15" s="1"/>
  <c r="C1443" i="15" s="1"/>
  <c r="C1444" i="15" s="1"/>
  <c r="C1445" i="15" s="1"/>
  <c r="C1446" i="15" s="1"/>
  <c r="C1447" i="15" s="1"/>
  <c r="P23" i="26"/>
  <c r="U589" i="37"/>
  <c r="A157" i="37"/>
  <c r="T857" i="15"/>
  <c r="U503" i="37"/>
  <c r="U610" i="37"/>
  <c r="A504" i="37"/>
  <c r="U504" i="37" s="1"/>
  <c r="A161" i="37"/>
  <c r="U160" i="37"/>
  <c r="A10" i="37"/>
  <c r="U9" i="37"/>
  <c r="U8" i="37"/>
  <c r="A524" i="37"/>
  <c r="A505" i="37"/>
  <c r="B505" i="37" s="1"/>
  <c r="I77" i="32"/>
  <c r="U157" i="37"/>
  <c r="A158" i="37"/>
  <c r="A162" i="37"/>
  <c r="U161" i="37"/>
  <c r="U10" i="37"/>
  <c r="A11" i="37"/>
  <c r="U158" i="37"/>
  <c r="A163" i="37"/>
  <c r="U162" i="37"/>
  <c r="A164" i="37"/>
  <c r="U163" i="37"/>
  <c r="U718" i="37"/>
  <c r="A719" i="37"/>
  <c r="A720" i="37" s="1"/>
  <c r="U719" i="37"/>
  <c r="U761" i="37"/>
  <c r="U762" i="37"/>
  <c r="U763" i="37"/>
  <c r="U764" i="37"/>
  <c r="H81" i="25"/>
  <c r="K163" i="13"/>
  <c r="K162" i="13"/>
  <c r="E81" i="25"/>
  <c r="L81" i="25"/>
  <c r="AE81" i="25" s="1"/>
  <c r="E70" i="25"/>
  <c r="K81" i="25"/>
  <c r="G13" i="25"/>
  <c r="I13" i="25"/>
  <c r="K13" i="25"/>
  <c r="Z72" i="25"/>
  <c r="S72" i="25" s="1"/>
  <c r="L13" i="25"/>
  <c r="J13" i="25"/>
  <c r="E14" i="26"/>
  <c r="E72" i="25"/>
  <c r="G72" i="25"/>
  <c r="P38" i="26"/>
  <c r="Q38" i="26" s="1"/>
  <c r="K165" i="13"/>
  <c r="P478" i="26"/>
  <c r="P37" i="26"/>
  <c r="Q37" i="26" s="1"/>
  <c r="E13" i="26"/>
  <c r="P35" i="26"/>
  <c r="Q35" i="26" s="1"/>
  <c r="P47" i="26"/>
  <c r="Q47" i="26" s="1"/>
  <c r="P409" i="26"/>
  <c r="P430" i="26"/>
  <c r="P274" i="26"/>
  <c r="P483" i="26"/>
  <c r="P282" i="26"/>
  <c r="P446" i="26"/>
  <c r="Q48" i="26"/>
  <c r="P297" i="26"/>
  <c r="P494" i="26"/>
  <c r="P42" i="26"/>
  <c r="Q42" i="26" s="1"/>
  <c r="P209" i="26"/>
  <c r="P257" i="26"/>
  <c r="P250" i="26"/>
  <c r="P265" i="26"/>
  <c r="P256" i="26"/>
  <c r="P286" i="26"/>
  <c r="P145" i="26"/>
  <c r="P235" i="26"/>
  <c r="P33" i="26"/>
  <c r="Q33" i="26" s="1"/>
  <c r="P39" i="26"/>
  <c r="Q39" i="26" s="1"/>
  <c r="P36" i="26"/>
  <c r="Q36" i="26" s="1"/>
  <c r="P34" i="26"/>
  <c r="Q34" i="26" s="1"/>
  <c r="P112" i="26"/>
  <c r="P502" i="26"/>
  <c r="K167" i="13"/>
  <c r="K166" i="13"/>
  <c r="N81" i="25"/>
  <c r="G70" i="25"/>
  <c r="H70" i="25"/>
  <c r="Q22" i="26"/>
  <c r="F70" i="25"/>
  <c r="M4" i="24"/>
  <c r="AN94" i="24"/>
  <c r="AO93" i="24" s="1"/>
  <c r="AO91" i="24"/>
  <c r="K72" i="25"/>
  <c r="L70" i="25"/>
  <c r="AE70" i="25" s="1"/>
  <c r="K70" i="25"/>
  <c r="Q773" i="37"/>
  <c r="U773" i="37"/>
  <c r="Q774" i="37"/>
  <c r="U774" i="37"/>
  <c r="Q796" i="37"/>
  <c r="U796" i="37"/>
  <c r="Q797" i="37"/>
  <c r="U797" i="37"/>
  <c r="U798" i="37"/>
  <c r="Q798" i="37"/>
  <c r="P31" i="25"/>
  <c r="F34" i="32"/>
  <c r="F11" i="25" s="1"/>
  <c r="P519" i="26"/>
  <c r="P474" i="26"/>
  <c r="P435" i="26"/>
  <c r="P168" i="26"/>
  <c r="P225" i="26"/>
  <c r="P122" i="26"/>
  <c r="P405" i="26"/>
  <c r="P447" i="26"/>
  <c r="P481" i="26"/>
  <c r="P316" i="26"/>
  <c r="P427" i="26"/>
  <c r="P432" i="26"/>
  <c r="P398" i="26"/>
  <c r="P440" i="26"/>
  <c r="P434" i="26"/>
  <c r="P183" i="26"/>
  <c r="P59" i="26"/>
  <c r="Q59" i="26" s="1"/>
  <c r="P347" i="26"/>
  <c r="P386" i="26"/>
  <c r="P454" i="26"/>
  <c r="P486" i="26"/>
  <c r="P276" i="26"/>
  <c r="P230" i="26"/>
  <c r="P249" i="26"/>
  <c r="P101" i="26"/>
  <c r="P154" i="26"/>
  <c r="P371" i="26"/>
  <c r="P354" i="26"/>
  <c r="P467" i="26"/>
  <c r="P117" i="26"/>
  <c r="P174" i="26"/>
  <c r="P406" i="26"/>
  <c r="P180" i="26"/>
  <c r="P448" i="26"/>
  <c r="P222" i="26"/>
  <c r="P419" i="26"/>
  <c r="P295" i="26"/>
  <c r="P210" i="26"/>
  <c r="P477" i="26"/>
  <c r="P413" i="26"/>
  <c r="P479" i="26"/>
  <c r="P269" i="26"/>
  <c r="P56" i="26"/>
  <c r="P375" i="26"/>
  <c r="P359" i="26"/>
  <c r="P489" i="26"/>
  <c r="P93" i="26"/>
  <c r="P94" i="26"/>
  <c r="P281" i="26"/>
  <c r="P399" i="26"/>
  <c r="P503" i="26"/>
  <c r="P512" i="26"/>
  <c r="P320" i="26"/>
  <c r="P278" i="26"/>
  <c r="P203" i="26"/>
  <c r="P395" i="26"/>
  <c r="P89" i="26"/>
  <c r="P357" i="26"/>
  <c r="P128" i="26"/>
  <c r="P91" i="26"/>
  <c r="P317" i="26"/>
  <c r="P518" i="26"/>
  <c r="P363" i="26"/>
  <c r="P131" i="26"/>
  <c r="P284" i="26"/>
  <c r="P136" i="26"/>
  <c r="P81" i="26"/>
  <c r="Q81" i="26" s="1"/>
  <c r="P383" i="26"/>
  <c r="P215" i="26"/>
  <c r="P412" i="26"/>
  <c r="P148" i="26"/>
  <c r="P487" i="26"/>
  <c r="P293" i="26"/>
  <c r="P439" i="26"/>
  <c r="P213" i="26"/>
  <c r="P498" i="26"/>
  <c r="P155" i="26"/>
  <c r="P92" i="26"/>
  <c r="P219" i="26"/>
  <c r="P273" i="26"/>
  <c r="P195" i="26"/>
  <c r="P397" i="26"/>
  <c r="P408" i="26"/>
  <c r="P319" i="26"/>
  <c r="P509" i="26"/>
  <c r="P504" i="26"/>
  <c r="Q46" i="26"/>
  <c r="P473" i="26"/>
  <c r="P469" i="26"/>
  <c r="P70" i="26"/>
  <c r="Q70" i="26" s="1"/>
  <c r="L72" i="25"/>
  <c r="AE72" i="25" s="1"/>
  <c r="P339" i="26"/>
  <c r="P189" i="26"/>
  <c r="P280" i="26"/>
  <c r="P382" i="26"/>
  <c r="P190" i="26"/>
  <c r="P306" i="26"/>
  <c r="P310" i="26"/>
  <c r="P87" i="26"/>
  <c r="P270" i="26"/>
  <c r="P396" i="26"/>
  <c r="P328" i="26"/>
  <c r="P133" i="26"/>
  <c r="P129" i="26"/>
  <c r="P424" i="26"/>
  <c r="P268" i="26"/>
  <c r="P266" i="26"/>
  <c r="P181" i="26"/>
  <c r="P110" i="26"/>
  <c r="P418" i="26"/>
  <c r="P384" i="26"/>
  <c r="P373" i="26"/>
  <c r="P246" i="26"/>
  <c r="P342" i="26"/>
  <c r="P202" i="26"/>
  <c r="P461" i="26"/>
  <c r="P335" i="26"/>
  <c r="P141" i="26"/>
  <c r="P325" i="26"/>
  <c r="P326" i="26"/>
  <c r="P429" i="26"/>
  <c r="P350" i="26"/>
  <c r="P241" i="26"/>
  <c r="P121" i="26"/>
  <c r="P200" i="26"/>
  <c r="P496" i="26"/>
  <c r="P348" i="26"/>
  <c r="P314" i="26"/>
  <c r="P324" i="26"/>
  <c r="P400" i="26"/>
  <c r="P173" i="26"/>
  <c r="P368" i="26"/>
  <c r="P127" i="26"/>
  <c r="P488" i="26"/>
  <c r="P175" i="26"/>
  <c r="P99" i="26"/>
  <c r="P182" i="26"/>
  <c r="P108" i="26"/>
  <c r="P480" i="26"/>
  <c r="P422" i="26"/>
  <c r="P260" i="26"/>
  <c r="P311" i="26"/>
  <c r="P160" i="26"/>
  <c r="P441" i="26"/>
  <c r="P444" i="26"/>
  <c r="P263" i="26"/>
  <c r="P315" i="26"/>
  <c r="P144" i="26"/>
  <c r="P289" i="26"/>
  <c r="P176" i="26"/>
  <c r="P410" i="26"/>
  <c r="P313" i="26"/>
  <c r="P139" i="26"/>
  <c r="P437" i="26"/>
  <c r="P130" i="26"/>
  <c r="P184" i="26"/>
  <c r="P138" i="26"/>
  <c r="P415" i="26"/>
  <c r="P275" i="26"/>
  <c r="P193" i="26"/>
  <c r="P98" i="26"/>
  <c r="P443" i="26"/>
  <c r="P186" i="26"/>
  <c r="P226" i="26"/>
  <c r="P330" i="26"/>
  <c r="P164" i="26"/>
  <c r="P150" i="26"/>
  <c r="P192" i="26"/>
  <c r="P261" i="26"/>
  <c r="P388" i="26"/>
  <c r="P356" i="26"/>
  <c r="P107" i="26"/>
  <c r="P271" i="26"/>
  <c r="P239" i="26"/>
  <c r="P88" i="26"/>
  <c r="P51" i="26"/>
  <c r="P451" i="26"/>
  <c r="P517" i="26"/>
  <c r="P513" i="26"/>
  <c r="P329" i="26"/>
  <c r="P106" i="26"/>
  <c r="P390" i="26"/>
  <c r="P420" i="26"/>
  <c r="P152" i="26"/>
  <c r="P116" i="26"/>
  <c r="P22" i="26"/>
  <c r="P452" i="26"/>
  <c r="P465" i="26"/>
  <c r="P453" i="26"/>
  <c r="P40" i="26"/>
  <c r="Q40" i="26" s="1"/>
  <c r="P302" i="26"/>
  <c r="P44" i="26"/>
  <c r="Q44" i="26"/>
  <c r="P43" i="26"/>
  <c r="Q43" i="26"/>
  <c r="P8" i="26"/>
  <c r="Q8" i="26"/>
  <c r="P194" i="26"/>
  <c r="P466" i="26"/>
  <c r="P462" i="26"/>
  <c r="P463" i="26"/>
  <c r="P115" i="26"/>
  <c r="P6" i="26"/>
  <c r="Q6" i="26"/>
  <c r="P459" i="26"/>
  <c r="I48" i="32"/>
  <c r="J48" i="32" s="1"/>
  <c r="J195" i="24"/>
  <c r="L195" i="24"/>
  <c r="P312" i="26"/>
  <c r="N195" i="24"/>
  <c r="F195" i="24"/>
  <c r="V195" i="24"/>
  <c r="P458" i="26"/>
  <c r="P12" i="26"/>
  <c r="Q12" i="26"/>
  <c r="F15" i="26"/>
  <c r="P123" i="26"/>
  <c r="P10" i="26"/>
  <c r="Q10" i="26"/>
  <c r="P17" i="26"/>
  <c r="P76" i="26"/>
  <c r="Q76" i="26" s="1"/>
  <c r="P45" i="26"/>
  <c r="Q45" i="26" s="1"/>
  <c r="P464" i="26"/>
  <c r="P468" i="26"/>
  <c r="P471" i="26"/>
  <c r="X83" i="25"/>
  <c r="Y85" i="25"/>
  <c r="P14" i="26"/>
  <c r="Q14" i="26"/>
  <c r="E15" i="26"/>
  <c r="F190" i="24"/>
  <c r="J190" i="24"/>
  <c r="D190" i="24"/>
  <c r="P11" i="26"/>
  <c r="Q11" i="26"/>
  <c r="P9" i="26"/>
  <c r="Q9" i="26"/>
  <c r="V190" i="24"/>
  <c r="N190" i="24"/>
  <c r="P16" i="26"/>
  <c r="Q16" i="26"/>
  <c r="P15" i="26"/>
  <c r="Q15" i="26"/>
  <c r="P13" i="26"/>
  <c r="Q13" i="26"/>
  <c r="P190" i="24"/>
  <c r="R44" i="24"/>
  <c r="T73" i="25"/>
  <c r="X72" i="25"/>
  <c r="R78" i="25"/>
  <c r="B11" i="37"/>
  <c r="H11" i="37"/>
  <c r="E11" i="37"/>
  <c r="N11" i="37"/>
  <c r="K11" i="37"/>
  <c r="Q11" i="37"/>
  <c r="U11" i="37"/>
  <c r="A12" i="37"/>
  <c r="B719" i="37"/>
  <c r="E719" i="37"/>
  <c r="H719" i="37"/>
  <c r="N719" i="37"/>
  <c r="K719" i="37"/>
  <c r="Q719" i="37"/>
  <c r="B162" i="37"/>
  <c r="E162" i="37"/>
  <c r="H162" i="37"/>
  <c r="N162" i="37"/>
  <c r="K162" i="37"/>
  <c r="Q162" i="37"/>
  <c r="H505" i="37"/>
  <c r="K505" i="37"/>
  <c r="Q505" i="37"/>
  <c r="U505" i="37"/>
  <c r="B10" i="37"/>
  <c r="E10" i="37"/>
  <c r="H10" i="37"/>
  <c r="N10" i="37"/>
  <c r="K10" i="37"/>
  <c r="Q10" i="37"/>
  <c r="B157" i="37"/>
  <c r="E157" i="37"/>
  <c r="H157" i="37"/>
  <c r="N157" i="37"/>
  <c r="K157" i="37"/>
  <c r="Q157" i="37"/>
  <c r="B164" i="37"/>
  <c r="E164" i="37"/>
  <c r="H164" i="37"/>
  <c r="N164" i="37"/>
  <c r="K164" i="37"/>
  <c r="Q164" i="37"/>
  <c r="V163" i="37"/>
  <c r="B524" i="37"/>
  <c r="E524" i="37"/>
  <c r="N524" i="37"/>
  <c r="H524" i="37"/>
  <c r="K524" i="37"/>
  <c r="Q524" i="37"/>
  <c r="A165" i="37"/>
  <c r="U524" i="37"/>
  <c r="U164" i="37"/>
  <c r="B163" i="37"/>
  <c r="H163" i="37"/>
  <c r="E163" i="37"/>
  <c r="N163" i="37"/>
  <c r="K163" i="37"/>
  <c r="Q163" i="37"/>
  <c r="A525" i="37"/>
  <c r="B525" i="37" s="1"/>
  <c r="B158" i="37"/>
  <c r="H158" i="37"/>
  <c r="N158" i="37"/>
  <c r="E158" i="37"/>
  <c r="K158" i="37"/>
  <c r="Q158" i="37"/>
  <c r="B9" i="37"/>
  <c r="E9" i="37"/>
  <c r="H9" i="37"/>
  <c r="N9" i="37"/>
  <c r="K9" i="37"/>
  <c r="Q9" i="37"/>
  <c r="B161" i="37"/>
  <c r="E161" i="37"/>
  <c r="H161" i="37"/>
  <c r="N161" i="37"/>
  <c r="K161" i="37"/>
  <c r="Q161" i="37"/>
  <c r="B156" i="37"/>
  <c r="E156" i="37"/>
  <c r="H156" i="37"/>
  <c r="N156" i="37"/>
  <c r="K156" i="37"/>
  <c r="Q156" i="37"/>
  <c r="V155" i="37"/>
  <c r="B504" i="37"/>
  <c r="E504" i="37"/>
  <c r="H504" i="37"/>
  <c r="N504" i="37"/>
  <c r="K504" i="37"/>
  <c r="Q504" i="37"/>
  <c r="E8" i="37"/>
  <c r="B8" i="37"/>
  <c r="N8" i="37"/>
  <c r="H8" i="37"/>
  <c r="K8" i="37"/>
  <c r="Q8" i="37"/>
  <c r="H610" i="37"/>
  <c r="E610" i="37"/>
  <c r="N610" i="37"/>
  <c r="K610" i="37"/>
  <c r="Q610" i="37"/>
  <c r="A611" i="37"/>
  <c r="Q590" i="37"/>
  <c r="B160" i="37"/>
  <c r="E160" i="37"/>
  <c r="H160" i="37"/>
  <c r="N160" i="37"/>
  <c r="K160" i="37"/>
  <c r="Q160" i="37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L259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L430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L851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L1154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L1237" i="15"/>
  <c r="M1237" i="15"/>
  <c r="M1238" i="15"/>
  <c r="M1239" i="15"/>
  <c r="M1240" i="15"/>
  <c r="M1241" i="15"/>
  <c r="M1242" i="15"/>
  <c r="M1243" i="15"/>
  <c r="M1244" i="15"/>
  <c r="M1245" i="15"/>
  <c r="L1246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B503" i="37"/>
  <c r="E503" i="37"/>
  <c r="H503" i="37"/>
  <c r="N503" i="37"/>
  <c r="K503" i="37"/>
  <c r="Q503" i="37"/>
  <c r="B589" i="37"/>
  <c r="E589" i="37"/>
  <c r="H589" i="37"/>
  <c r="N589" i="37"/>
  <c r="Q589" i="37"/>
  <c r="K589" i="37"/>
  <c r="B155" i="37"/>
  <c r="H155" i="37"/>
  <c r="E155" i="37"/>
  <c r="N155" i="37"/>
  <c r="K155" i="37"/>
  <c r="Q155" i="37"/>
  <c r="B655" i="37"/>
  <c r="E655" i="37"/>
  <c r="H655" i="37"/>
  <c r="N655" i="37"/>
  <c r="K655" i="37"/>
  <c r="Q655" i="37"/>
  <c r="B523" i="37"/>
  <c r="E523" i="37"/>
  <c r="H523" i="37"/>
  <c r="N523" i="37"/>
  <c r="K523" i="37"/>
  <c r="Q523" i="37"/>
  <c r="D63" i="32"/>
  <c r="B764" i="37"/>
  <c r="E764" i="37"/>
  <c r="H764" i="37"/>
  <c r="N764" i="37"/>
  <c r="K764" i="37"/>
  <c r="A765" i="37"/>
  <c r="V764" i="37" s="1"/>
  <c r="Q764" i="37"/>
  <c r="Q763" i="37"/>
  <c r="B775" i="37"/>
  <c r="K775" i="37"/>
  <c r="B763" i="37"/>
  <c r="E763" i="37"/>
  <c r="N763" i="37"/>
  <c r="K763" i="37"/>
  <c r="B798" i="37"/>
  <c r="H798" i="37"/>
  <c r="N798" i="37"/>
  <c r="K798" i="37"/>
  <c r="E798" i="37"/>
  <c r="A799" i="37"/>
  <c r="B774" i="37"/>
  <c r="E774" i="37"/>
  <c r="H774" i="37"/>
  <c r="N774" i="37"/>
  <c r="K774" i="37"/>
  <c r="H195" i="24"/>
  <c r="D195" i="24"/>
  <c r="B195" i="24"/>
  <c r="V609" i="37"/>
  <c r="AN95" i="24"/>
  <c r="E59" i="32"/>
  <c r="E53" i="32"/>
  <c r="D44" i="24"/>
  <c r="P44" i="24"/>
  <c r="B190" i="24"/>
  <c r="L44" i="24"/>
  <c r="J44" i="24"/>
  <c r="A196" i="24"/>
  <c r="D196" i="24" s="1"/>
  <c r="T196" i="24"/>
  <c r="N44" i="24"/>
  <c r="H44" i="24"/>
  <c r="P41" i="26"/>
  <c r="Q41" i="26"/>
  <c r="V44" i="24"/>
  <c r="B44" i="24"/>
  <c r="X70" i="25"/>
  <c r="X74" i="25"/>
  <c r="R68" i="25"/>
  <c r="N4" i="24"/>
  <c r="M39" i="13" a="1"/>
  <c r="M39" i="13" s="1"/>
  <c r="X86" i="25"/>
  <c r="R84" i="25"/>
  <c r="R86" i="25"/>
  <c r="D33" i="32"/>
  <c r="H83" i="25"/>
  <c r="K83" i="25"/>
  <c r="M163" i="13"/>
  <c r="I35" i="32"/>
  <c r="G83" i="25"/>
  <c r="Y78" i="25"/>
  <c r="F30" i="25"/>
  <c r="Y84" i="25"/>
  <c r="S78" i="25"/>
  <c r="Y74" i="25"/>
  <c r="E29" i="32"/>
  <c r="E9" i="25" s="1"/>
  <c r="G32" i="25"/>
  <c r="D30" i="32"/>
  <c r="M30" i="32" s="1"/>
  <c r="E60" i="32"/>
  <c r="F79" i="32"/>
  <c r="AO82" i="24"/>
  <c r="AN83" i="24" s="1"/>
  <c r="AN96" i="24"/>
  <c r="AO95" i="24" s="1"/>
  <c r="T190" i="24"/>
  <c r="T72" i="25"/>
  <c r="X80" i="25"/>
  <c r="T80" i="25"/>
  <c r="U80" i="25" s="1"/>
  <c r="P68" i="26"/>
  <c r="Q68" i="26"/>
  <c r="Y70" i="25"/>
  <c r="R80" i="25"/>
  <c r="X76" i="25"/>
  <c r="E34" i="32"/>
  <c r="E11" i="25" s="1"/>
  <c r="S84" i="25"/>
  <c r="K164" i="13"/>
  <c r="L164" i="13" s="1"/>
  <c r="P74" i="26"/>
  <c r="Q74" i="26" s="1"/>
  <c r="P72" i="26"/>
  <c r="Q72" i="26" s="1"/>
  <c r="P79" i="26"/>
  <c r="Q79" i="26" s="1"/>
  <c r="N70" i="25"/>
  <c r="H72" i="25"/>
  <c r="AF66" i="13"/>
  <c r="AQ66" i="13" s="1"/>
  <c r="AE66" i="13"/>
  <c r="AP66" i="13" s="1"/>
  <c r="O70" i="25"/>
  <c r="M162" i="13"/>
  <c r="P69" i="26"/>
  <c r="Q69" i="26"/>
  <c r="P71" i="26"/>
  <c r="Q71" i="26" s="1"/>
  <c r="H799" i="37"/>
  <c r="B799" i="37"/>
  <c r="N799" i="37"/>
  <c r="K799" i="37"/>
  <c r="A800" i="37"/>
  <c r="E799" i="37"/>
  <c r="Q799" i="37"/>
  <c r="U799" i="37"/>
  <c r="E525" i="37"/>
  <c r="Q525" i="37"/>
  <c r="K525" i="37"/>
  <c r="U525" i="37"/>
  <c r="A526" i="37"/>
  <c r="B526" i="37" s="1"/>
  <c r="B165" i="37"/>
  <c r="E165" i="37"/>
  <c r="H165" i="37"/>
  <c r="N165" i="37"/>
  <c r="K165" i="37"/>
  <c r="Q165" i="37"/>
  <c r="A166" i="37"/>
  <c r="U165" i="37"/>
  <c r="B765" i="37"/>
  <c r="E765" i="37"/>
  <c r="N765" i="37"/>
  <c r="H765" i="37"/>
  <c r="K765" i="37"/>
  <c r="Q765" i="37"/>
  <c r="A766" i="37"/>
  <c r="U765" i="37"/>
  <c r="E611" i="37"/>
  <c r="H611" i="37"/>
  <c r="N611" i="37"/>
  <c r="K611" i="37"/>
  <c r="Q611" i="37"/>
  <c r="U611" i="37"/>
  <c r="A612" i="37"/>
  <c r="B12" i="37"/>
  <c r="E12" i="37"/>
  <c r="H12" i="37"/>
  <c r="N12" i="37"/>
  <c r="K12" i="37"/>
  <c r="Q12" i="37"/>
  <c r="V11" i="37"/>
  <c r="A13" i="37"/>
  <c r="U12" i="37"/>
  <c r="B196" i="24"/>
  <c r="V196" i="24"/>
  <c r="H196" i="24"/>
  <c r="N196" i="24"/>
  <c r="J196" i="24"/>
  <c r="L196" i="24"/>
  <c r="P196" i="24"/>
  <c r="R196" i="24"/>
  <c r="F196" i="24"/>
  <c r="AN97" i="24"/>
  <c r="AO96" i="24" s="1"/>
  <c r="AO94" i="24"/>
  <c r="A197" i="24"/>
  <c r="D197" i="24" s="1"/>
  <c r="R197" i="24"/>
  <c r="L83" i="25"/>
  <c r="AE83" i="25" s="1"/>
  <c r="N83" i="25"/>
  <c r="N72" i="25"/>
  <c r="P78" i="26"/>
  <c r="Q78" i="26" s="1"/>
  <c r="P73" i="26"/>
  <c r="Q73" i="26" s="1"/>
  <c r="P80" i="26"/>
  <c r="Q80" i="26" s="1"/>
  <c r="H766" i="37"/>
  <c r="A767" i="37"/>
  <c r="N767" i="37" s="1"/>
  <c r="Q766" i="37"/>
  <c r="B610" i="37"/>
  <c r="B166" i="37"/>
  <c r="E166" i="37"/>
  <c r="N166" i="37"/>
  <c r="H166" i="37"/>
  <c r="K166" i="37"/>
  <c r="Q166" i="37"/>
  <c r="U166" i="37"/>
  <c r="A167" i="37"/>
  <c r="E612" i="37"/>
  <c r="Q612" i="37"/>
  <c r="N526" i="37"/>
  <c r="H526" i="37"/>
  <c r="K526" i="37"/>
  <c r="Q526" i="37"/>
  <c r="U526" i="37"/>
  <c r="A527" i="37"/>
  <c r="B527" i="37" s="1"/>
  <c r="B13" i="37"/>
  <c r="E13" i="37"/>
  <c r="H13" i="37"/>
  <c r="N13" i="37"/>
  <c r="K13" i="37"/>
  <c r="Q13" i="37"/>
  <c r="U13" i="37"/>
  <c r="A14" i="37"/>
  <c r="H800" i="37"/>
  <c r="B800" i="37"/>
  <c r="N800" i="37"/>
  <c r="K800" i="37"/>
  <c r="E800" i="37"/>
  <c r="A801" i="37"/>
  <c r="K801" i="37" s="1"/>
  <c r="U800" i="37"/>
  <c r="Q800" i="37"/>
  <c r="B767" i="37"/>
  <c r="E767" i="37"/>
  <c r="A768" i="37"/>
  <c r="B167" i="37"/>
  <c r="E167" i="37"/>
  <c r="N167" i="37"/>
  <c r="H167" i="37"/>
  <c r="K167" i="37"/>
  <c r="Q167" i="37"/>
  <c r="A168" i="37"/>
  <c r="U167" i="37"/>
  <c r="B14" i="37"/>
  <c r="E14" i="37"/>
  <c r="H14" i="37"/>
  <c r="N14" i="37"/>
  <c r="K14" i="37"/>
  <c r="Q14" i="37"/>
  <c r="U14" i="37"/>
  <c r="A15" i="37"/>
  <c r="B801" i="37"/>
  <c r="N801" i="37"/>
  <c r="H801" i="37"/>
  <c r="E801" i="37"/>
  <c r="U801" i="37"/>
  <c r="B611" i="37"/>
  <c r="H527" i="37"/>
  <c r="N527" i="37"/>
  <c r="K527" i="37"/>
  <c r="Q527" i="37"/>
  <c r="U527" i="37"/>
  <c r="A528" i="37"/>
  <c r="B15" i="37"/>
  <c r="E15" i="37"/>
  <c r="N15" i="37"/>
  <c r="H15" i="37"/>
  <c r="K15" i="37"/>
  <c r="Q15" i="37"/>
  <c r="U15" i="37"/>
  <c r="A16" i="37"/>
  <c r="B768" i="37"/>
  <c r="N528" i="37"/>
  <c r="Q528" i="37"/>
  <c r="B168" i="37"/>
  <c r="E168" i="37"/>
  <c r="H168" i="37"/>
  <c r="N168" i="37"/>
  <c r="K168" i="37"/>
  <c r="Q168" i="37"/>
  <c r="U168" i="37"/>
  <c r="A169" i="37"/>
  <c r="B169" i="37"/>
  <c r="E169" i="37"/>
  <c r="H169" i="37"/>
  <c r="N169" i="37"/>
  <c r="K169" i="37"/>
  <c r="Q169" i="37"/>
  <c r="A170" i="37"/>
  <c r="U169" i="37"/>
  <c r="E16" i="37"/>
  <c r="B16" i="37"/>
  <c r="N16" i="37"/>
  <c r="K16" i="37"/>
  <c r="H16" i="37"/>
  <c r="Q16" i="37"/>
  <c r="A17" i="37"/>
  <c r="U16" i="37"/>
  <c r="H763" i="37"/>
  <c r="B17" i="37"/>
  <c r="E17" i="37"/>
  <c r="H17" i="37"/>
  <c r="N17" i="37"/>
  <c r="K17" i="37"/>
  <c r="Q17" i="37"/>
  <c r="A18" i="37"/>
  <c r="U17" i="37"/>
  <c r="E170" i="37"/>
  <c r="H170" i="37"/>
  <c r="B170" i="37"/>
  <c r="N170" i="37"/>
  <c r="K170" i="37"/>
  <c r="Q170" i="37"/>
  <c r="U170" i="37"/>
  <c r="A171" i="37"/>
  <c r="H797" i="37"/>
  <c r="B18" i="37"/>
  <c r="E18" i="37"/>
  <c r="H18" i="37"/>
  <c r="N18" i="37"/>
  <c r="K18" i="37"/>
  <c r="Q18" i="37"/>
  <c r="A19" i="37"/>
  <c r="U18" i="37"/>
  <c r="I1376" i="15"/>
  <c r="I1378" i="15"/>
  <c r="I1379" i="15"/>
  <c r="I1380" i="15"/>
  <c r="I1381" i="15"/>
  <c r="I1382" i="15"/>
  <c r="I1383" i="15" s="1"/>
  <c r="I1384" i="15" s="1"/>
  <c r="I1385" i="15" s="1"/>
  <c r="I1386" i="15" s="1"/>
  <c r="I1387" i="15" s="1"/>
  <c r="I1388" i="15" s="1"/>
  <c r="I1389" i="15" s="1"/>
  <c r="I1390" i="15" s="1"/>
  <c r="I1391" i="15" s="1"/>
  <c r="I1392" i="15" s="1"/>
  <c r="I1393" i="15" s="1"/>
  <c r="I1394" i="15" s="1"/>
  <c r="I1395" i="15" s="1"/>
  <c r="I1396" i="15" s="1"/>
  <c r="I1397" i="15" s="1"/>
  <c r="I1398" i="15" s="1"/>
  <c r="I1399" i="15" s="1"/>
  <c r="I1400" i="15" s="1"/>
  <c r="I1401" i="15" s="1"/>
  <c r="I1402" i="15" s="1"/>
  <c r="I1403" i="15" s="1"/>
  <c r="I1404" i="15" s="1"/>
  <c r="I1405" i="15" s="1"/>
  <c r="I1406" i="15" s="1"/>
  <c r="I1407" i="15" s="1"/>
  <c r="I1408" i="15" s="1"/>
  <c r="I1409" i="15" s="1"/>
  <c r="I1410" i="15" s="1"/>
  <c r="I1411" i="15" s="1"/>
  <c r="I1412" i="15" s="1"/>
  <c r="I1413" i="15" s="1"/>
  <c r="I1414" i="15" s="1"/>
  <c r="I1415" i="15" s="1"/>
  <c r="I1416" i="15" s="1"/>
  <c r="I1417" i="15" s="1"/>
  <c r="I1418" i="15" s="1"/>
  <c r="I1419" i="15" s="1"/>
  <c r="I1420" i="15" s="1"/>
  <c r="I1421" i="15" s="1"/>
  <c r="I1422" i="15" s="1"/>
  <c r="I1423" i="15" s="1"/>
  <c r="I1424" i="15" s="1"/>
  <c r="I1425" i="15" s="1"/>
  <c r="I1426" i="15" s="1"/>
  <c r="I1427" i="15" s="1"/>
  <c r="I1428" i="15" s="1"/>
  <c r="I1429" i="15" s="1"/>
  <c r="I1430" i="15" s="1"/>
  <c r="I1431" i="15" s="1"/>
  <c r="I1432" i="15" s="1"/>
  <c r="I1433" i="15" s="1"/>
  <c r="I1434" i="15" s="1"/>
  <c r="I1435" i="15" s="1"/>
  <c r="I1436" i="15" s="1"/>
  <c r="I1437" i="15" s="1"/>
  <c r="I1438" i="15" s="1"/>
  <c r="I1439" i="15" s="1"/>
  <c r="I1440" i="15" s="1"/>
  <c r="I1441" i="15" s="1"/>
  <c r="I1442" i="15" s="1"/>
  <c r="I1443" i="15" s="1"/>
  <c r="I1444" i="15" s="1"/>
  <c r="I1445" i="15" s="1"/>
  <c r="I1446" i="15" s="1"/>
  <c r="I1447" i="15" s="1"/>
  <c r="B171" i="37"/>
  <c r="E171" i="37"/>
  <c r="H171" i="37"/>
  <c r="N171" i="37"/>
  <c r="K171" i="37"/>
  <c r="Q171" i="37"/>
  <c r="U171" i="37"/>
  <c r="A172" i="37"/>
  <c r="B172" i="37"/>
  <c r="E172" i="37"/>
  <c r="H172" i="37"/>
  <c r="N172" i="37"/>
  <c r="K172" i="37"/>
  <c r="Q172" i="37"/>
  <c r="A173" i="37"/>
  <c r="U172" i="37"/>
  <c r="B19" i="37"/>
  <c r="E19" i="37"/>
  <c r="H19" i="37"/>
  <c r="N19" i="37"/>
  <c r="K19" i="37"/>
  <c r="Q19" i="37"/>
  <c r="U19" i="37"/>
  <c r="V18" i="37"/>
  <c r="A20" i="37"/>
  <c r="B20" i="37"/>
  <c r="E20" i="37"/>
  <c r="H20" i="37"/>
  <c r="N20" i="37"/>
  <c r="K20" i="37"/>
  <c r="Q20" i="37"/>
  <c r="U20" i="37"/>
  <c r="A21" i="37"/>
  <c r="B173" i="37"/>
  <c r="E173" i="37"/>
  <c r="H173" i="37"/>
  <c r="N173" i="37"/>
  <c r="K173" i="37"/>
  <c r="Q173" i="37"/>
  <c r="U173" i="37"/>
  <c r="A174" i="37"/>
  <c r="B766" i="37"/>
  <c r="B21" i="37"/>
  <c r="E21" i="37"/>
  <c r="H21" i="37"/>
  <c r="N21" i="37"/>
  <c r="K21" i="37"/>
  <c r="Q21" i="37"/>
  <c r="U21" i="37"/>
  <c r="A22" i="37"/>
  <c r="B174" i="37"/>
  <c r="E174" i="37"/>
  <c r="H174" i="37"/>
  <c r="N174" i="37"/>
  <c r="K174" i="37"/>
  <c r="Q174" i="37"/>
  <c r="A175" i="37"/>
  <c r="U174" i="37"/>
  <c r="B175" i="37"/>
  <c r="E175" i="37"/>
  <c r="H175" i="37"/>
  <c r="N175" i="37"/>
  <c r="K175" i="37"/>
  <c r="Q175" i="37"/>
  <c r="A176" i="37"/>
  <c r="U175" i="37"/>
  <c r="B22" i="37"/>
  <c r="E22" i="37"/>
  <c r="H22" i="37"/>
  <c r="N22" i="37"/>
  <c r="K22" i="37"/>
  <c r="Q22" i="37"/>
  <c r="A23" i="37"/>
  <c r="U22" i="37"/>
  <c r="E23" i="37"/>
  <c r="B23" i="37"/>
  <c r="H23" i="37"/>
  <c r="N23" i="37"/>
  <c r="K23" i="37"/>
  <c r="Q23" i="37"/>
  <c r="U23" i="37"/>
  <c r="A24" i="37"/>
  <c r="B176" i="37"/>
  <c r="E176" i="37"/>
  <c r="H176" i="37"/>
  <c r="N176" i="37"/>
  <c r="K176" i="37"/>
  <c r="Q176" i="37"/>
  <c r="A177" i="37"/>
  <c r="U176" i="37"/>
  <c r="E24" i="37"/>
  <c r="B24" i="37"/>
  <c r="N24" i="37"/>
  <c r="H24" i="37"/>
  <c r="K24" i="37"/>
  <c r="Q24" i="37"/>
  <c r="U24" i="37"/>
  <c r="A25" i="37"/>
  <c r="B177" i="37"/>
  <c r="E177" i="37"/>
  <c r="H177" i="37"/>
  <c r="N177" i="37"/>
  <c r="K177" i="37"/>
  <c r="Q177" i="37"/>
  <c r="A178" i="37"/>
  <c r="U177" i="37"/>
  <c r="B797" i="37"/>
  <c r="B25" i="37"/>
  <c r="E25" i="37"/>
  <c r="H25" i="37"/>
  <c r="N25" i="37"/>
  <c r="K25" i="37"/>
  <c r="Q25" i="37"/>
  <c r="A26" i="37"/>
  <c r="U25" i="37"/>
  <c r="B178" i="37"/>
  <c r="H178" i="37"/>
  <c r="E178" i="37"/>
  <c r="N178" i="37"/>
  <c r="K178" i="37"/>
  <c r="Q178" i="37"/>
  <c r="A179" i="37"/>
  <c r="U178" i="37"/>
  <c r="B179" i="37"/>
  <c r="E179" i="37"/>
  <c r="H179" i="37"/>
  <c r="N179" i="37"/>
  <c r="K179" i="37"/>
  <c r="Q179" i="37"/>
  <c r="U179" i="37"/>
  <c r="A180" i="37"/>
  <c r="B26" i="37"/>
  <c r="E26" i="37"/>
  <c r="H26" i="37"/>
  <c r="N26" i="37"/>
  <c r="K26" i="37"/>
  <c r="Q26" i="37"/>
  <c r="A27" i="37"/>
  <c r="U26" i="37"/>
  <c r="B27" i="37"/>
  <c r="E27" i="37"/>
  <c r="H27" i="37"/>
  <c r="K27" i="37"/>
  <c r="N27" i="37"/>
  <c r="Q27" i="37"/>
  <c r="U27" i="37"/>
  <c r="A28" i="37"/>
  <c r="B180" i="37"/>
  <c r="E180" i="37"/>
  <c r="H180" i="37"/>
  <c r="N180" i="37"/>
  <c r="K180" i="37"/>
  <c r="Q180" i="37"/>
  <c r="A181" i="37"/>
  <c r="U180" i="37"/>
  <c r="B181" i="37"/>
  <c r="E181" i="37"/>
  <c r="H181" i="37"/>
  <c r="N181" i="37"/>
  <c r="K181" i="37"/>
  <c r="Q181" i="37"/>
  <c r="U181" i="37"/>
  <c r="A182" i="37"/>
  <c r="B28" i="37"/>
  <c r="E28" i="37"/>
  <c r="H28" i="37"/>
  <c r="N28" i="37"/>
  <c r="K28" i="37"/>
  <c r="Q28" i="37"/>
  <c r="U28" i="37"/>
  <c r="A29" i="37"/>
  <c r="B29" i="37"/>
  <c r="E29" i="37"/>
  <c r="H29" i="37"/>
  <c r="N29" i="37"/>
  <c r="K29" i="37"/>
  <c r="Q29" i="37"/>
  <c r="U29" i="37"/>
  <c r="A30" i="37"/>
  <c r="B182" i="37"/>
  <c r="E182" i="37"/>
  <c r="N182" i="37"/>
  <c r="K182" i="37"/>
  <c r="H182" i="37"/>
  <c r="Q182" i="37"/>
  <c r="U182" i="37"/>
  <c r="A183" i="37"/>
  <c r="E1376" i="15"/>
  <c r="E1377" i="15"/>
  <c r="E1378" i="15"/>
  <c r="E1379" i="15" s="1"/>
  <c r="E1380" i="15" s="1"/>
  <c r="E1381" i="15" s="1"/>
  <c r="E1382" i="15" s="1"/>
  <c r="E1383" i="15" s="1"/>
  <c r="E1384" i="15"/>
  <c r="E1385" i="15" s="1"/>
  <c r="E1386" i="15" s="1"/>
  <c r="E1387" i="15" s="1"/>
  <c r="E1388" i="15" s="1"/>
  <c r="B183" i="37"/>
  <c r="E183" i="37"/>
  <c r="N183" i="37"/>
  <c r="H183" i="37"/>
  <c r="K183" i="37"/>
  <c r="Q183" i="37"/>
  <c r="U183" i="37"/>
  <c r="A184" i="37"/>
  <c r="B30" i="37"/>
  <c r="H30" i="37"/>
  <c r="N30" i="37"/>
  <c r="E30" i="37"/>
  <c r="K30" i="37"/>
  <c r="Q30" i="37"/>
  <c r="A31" i="37"/>
  <c r="U30" i="37"/>
  <c r="B184" i="37"/>
  <c r="E184" i="37"/>
  <c r="H184" i="37"/>
  <c r="N184" i="37"/>
  <c r="K184" i="37"/>
  <c r="Q184" i="37"/>
  <c r="U184" i="37"/>
  <c r="A185" i="37"/>
  <c r="B31" i="37"/>
  <c r="H31" i="37"/>
  <c r="N31" i="37"/>
  <c r="E31" i="37"/>
  <c r="K31" i="37"/>
  <c r="Q31" i="37"/>
  <c r="U31" i="37"/>
  <c r="A32" i="37"/>
  <c r="B32" i="37"/>
  <c r="E32" i="37"/>
  <c r="H32" i="37"/>
  <c r="N32" i="37"/>
  <c r="K32" i="37"/>
  <c r="Q32" i="37"/>
  <c r="U32" i="37"/>
  <c r="A33" i="37"/>
  <c r="E185" i="37"/>
  <c r="H185" i="37"/>
  <c r="N185" i="37"/>
  <c r="B185" i="37"/>
  <c r="K185" i="37"/>
  <c r="Q185" i="37"/>
  <c r="A186" i="37"/>
  <c r="U185" i="37"/>
  <c r="B186" i="37"/>
  <c r="E186" i="37"/>
  <c r="H186" i="37"/>
  <c r="N186" i="37"/>
  <c r="K186" i="37"/>
  <c r="Q186" i="37"/>
  <c r="U186" i="37"/>
  <c r="A187" i="37"/>
  <c r="B33" i="37"/>
  <c r="E33" i="37"/>
  <c r="H33" i="37"/>
  <c r="N33" i="37"/>
  <c r="K33" i="37"/>
  <c r="Q33" i="37"/>
  <c r="U33" i="37"/>
  <c r="A34" i="37"/>
  <c r="B34" i="37"/>
  <c r="E34" i="37"/>
  <c r="H34" i="37"/>
  <c r="N34" i="37"/>
  <c r="K34" i="37"/>
  <c r="Q34" i="37"/>
  <c r="A35" i="37"/>
  <c r="U34" i="37"/>
  <c r="B187" i="37"/>
  <c r="E187" i="37"/>
  <c r="H187" i="37"/>
  <c r="N187" i="37"/>
  <c r="K187" i="37"/>
  <c r="Q187" i="37"/>
  <c r="U187" i="37"/>
  <c r="A188" i="37"/>
  <c r="B35" i="37"/>
  <c r="E35" i="37"/>
  <c r="H35" i="37"/>
  <c r="N35" i="37"/>
  <c r="K35" i="37"/>
  <c r="Q35" i="37"/>
  <c r="A36" i="37"/>
  <c r="U35" i="37"/>
  <c r="B188" i="37"/>
  <c r="E188" i="37"/>
  <c r="H188" i="37"/>
  <c r="N188" i="37"/>
  <c r="K188" i="37"/>
  <c r="Q188" i="37"/>
  <c r="A189" i="37"/>
  <c r="U188" i="37"/>
  <c r="B189" i="37"/>
  <c r="E189" i="37"/>
  <c r="H189" i="37"/>
  <c r="N189" i="37"/>
  <c r="K189" i="37"/>
  <c r="Q189" i="37"/>
  <c r="U189" i="37"/>
  <c r="A190" i="37"/>
  <c r="B36" i="37"/>
  <c r="E36" i="37"/>
  <c r="N36" i="37"/>
  <c r="H36" i="37"/>
  <c r="K36" i="37"/>
  <c r="Q36" i="37"/>
  <c r="A37" i="37"/>
  <c r="U36" i="37"/>
  <c r="B37" i="37"/>
  <c r="E37" i="37"/>
  <c r="H37" i="37"/>
  <c r="N37" i="37"/>
  <c r="K37" i="37"/>
  <c r="Q37" i="37"/>
  <c r="A38" i="37"/>
  <c r="U37" i="37"/>
  <c r="B190" i="37"/>
  <c r="E190" i="37"/>
  <c r="H190" i="37"/>
  <c r="N190" i="37"/>
  <c r="K190" i="37"/>
  <c r="Q190" i="37"/>
  <c r="U190" i="37"/>
  <c r="A191" i="37"/>
  <c r="B191" i="37"/>
  <c r="E191" i="37"/>
  <c r="H191" i="37"/>
  <c r="N191" i="37"/>
  <c r="K191" i="37"/>
  <c r="Q191" i="37"/>
  <c r="U191" i="37"/>
  <c r="A192" i="37"/>
  <c r="B38" i="37"/>
  <c r="E38" i="37"/>
  <c r="N38" i="37"/>
  <c r="H38" i="37"/>
  <c r="K38" i="37"/>
  <c r="Q38" i="37"/>
  <c r="U38" i="37"/>
  <c r="A39" i="37"/>
  <c r="E39" i="37"/>
  <c r="B39" i="37"/>
  <c r="N39" i="37"/>
  <c r="H39" i="37"/>
  <c r="K39" i="37"/>
  <c r="Q39" i="37"/>
  <c r="U39" i="37"/>
  <c r="A40" i="37"/>
  <c r="B192" i="37"/>
  <c r="E192" i="37"/>
  <c r="H192" i="37"/>
  <c r="N192" i="37"/>
  <c r="K192" i="37"/>
  <c r="Q192" i="37"/>
  <c r="A193" i="37"/>
  <c r="U192" i="37"/>
  <c r="B193" i="37"/>
  <c r="E193" i="37"/>
  <c r="H193" i="37"/>
  <c r="N193" i="37"/>
  <c r="K193" i="37"/>
  <c r="Q193" i="37"/>
  <c r="A194" i="37"/>
  <c r="U193" i="37"/>
  <c r="E40" i="37"/>
  <c r="B40" i="37"/>
  <c r="H40" i="37"/>
  <c r="N40" i="37"/>
  <c r="K40" i="37"/>
  <c r="Q40" i="37"/>
  <c r="A41" i="37"/>
  <c r="U40" i="37"/>
  <c r="B194" i="37"/>
  <c r="E194" i="37"/>
  <c r="H194" i="37"/>
  <c r="K194" i="37"/>
  <c r="N194" i="37"/>
  <c r="Q194" i="37"/>
  <c r="A195" i="37"/>
  <c r="U194" i="37"/>
  <c r="B41" i="37"/>
  <c r="E41" i="37"/>
  <c r="H41" i="37"/>
  <c r="N41" i="37"/>
  <c r="K41" i="37"/>
  <c r="Q41" i="37"/>
  <c r="A42" i="37"/>
  <c r="U41" i="37"/>
  <c r="B195" i="37"/>
  <c r="H195" i="37"/>
  <c r="E195" i="37"/>
  <c r="K195" i="37"/>
  <c r="N195" i="37"/>
  <c r="Q195" i="37"/>
  <c r="A196" i="37"/>
  <c r="U195" i="37"/>
  <c r="B42" i="37"/>
  <c r="E42" i="37"/>
  <c r="H42" i="37"/>
  <c r="N42" i="37"/>
  <c r="K42" i="37"/>
  <c r="Q42" i="37"/>
  <c r="U42" i="37"/>
  <c r="A43" i="37"/>
  <c r="B196" i="37"/>
  <c r="E196" i="37"/>
  <c r="H196" i="37"/>
  <c r="N196" i="37"/>
  <c r="K196" i="37"/>
  <c r="Q196" i="37"/>
  <c r="U196" i="37"/>
  <c r="A197" i="37"/>
  <c r="B43" i="37"/>
  <c r="E43" i="37"/>
  <c r="H43" i="37"/>
  <c r="N43" i="37"/>
  <c r="K43" i="37"/>
  <c r="Q43" i="37"/>
  <c r="V42" i="37"/>
  <c r="U43" i="37"/>
  <c r="A44" i="37"/>
  <c r="B44" i="37"/>
  <c r="E44" i="37"/>
  <c r="H44" i="37"/>
  <c r="N44" i="37"/>
  <c r="K44" i="37"/>
  <c r="Q44" i="37"/>
  <c r="V43" i="37"/>
  <c r="U44" i="37"/>
  <c r="A45" i="37"/>
  <c r="B197" i="37"/>
  <c r="E197" i="37"/>
  <c r="H197" i="37"/>
  <c r="N197" i="37"/>
  <c r="K197" i="37"/>
  <c r="Q197" i="37"/>
  <c r="U197" i="37"/>
  <c r="A198" i="37"/>
  <c r="B45" i="37"/>
  <c r="E45" i="37"/>
  <c r="H45" i="37"/>
  <c r="N45" i="37"/>
  <c r="K45" i="37"/>
  <c r="Q45" i="37"/>
  <c r="U45" i="37"/>
  <c r="A46" i="37"/>
  <c r="B198" i="37"/>
  <c r="E198" i="37"/>
  <c r="N198" i="37"/>
  <c r="H198" i="37"/>
  <c r="K198" i="37"/>
  <c r="Q198" i="37"/>
  <c r="U198" i="37"/>
  <c r="A199" i="37"/>
  <c r="B199" i="37"/>
  <c r="E199" i="37"/>
  <c r="N199" i="37"/>
  <c r="H199" i="37"/>
  <c r="K199" i="37"/>
  <c r="Q199" i="37"/>
  <c r="U199" i="37"/>
  <c r="A200" i="37"/>
  <c r="B46" i="37"/>
  <c r="E46" i="37"/>
  <c r="N46" i="37"/>
  <c r="H46" i="37"/>
  <c r="K46" i="37"/>
  <c r="Q46" i="37"/>
  <c r="A47" i="37"/>
  <c r="U46" i="37"/>
  <c r="B47" i="37"/>
  <c r="E47" i="37"/>
  <c r="N47" i="37"/>
  <c r="H47" i="37"/>
  <c r="K47" i="37"/>
  <c r="Q47" i="37"/>
  <c r="A48" i="37"/>
  <c r="U47" i="37"/>
  <c r="B200" i="37"/>
  <c r="E200" i="37"/>
  <c r="H200" i="37"/>
  <c r="N200" i="37"/>
  <c r="K200" i="37"/>
  <c r="Q200" i="37"/>
  <c r="U200" i="37"/>
  <c r="A201" i="37"/>
  <c r="B201" i="37"/>
  <c r="E201" i="37"/>
  <c r="H201" i="37"/>
  <c r="N201" i="37"/>
  <c r="K201" i="37"/>
  <c r="Q201" i="37"/>
  <c r="A202" i="37"/>
  <c r="U201" i="37"/>
  <c r="E48" i="37"/>
  <c r="B48" i="37"/>
  <c r="H48" i="37"/>
  <c r="N48" i="37"/>
  <c r="K48" i="37"/>
  <c r="Q48" i="37"/>
  <c r="U48" i="37"/>
  <c r="A49" i="37"/>
  <c r="B49" i="37"/>
  <c r="E49" i="37"/>
  <c r="H49" i="37"/>
  <c r="N49" i="37"/>
  <c r="K49" i="37"/>
  <c r="Q49" i="37"/>
  <c r="U49" i="37"/>
  <c r="A50" i="37"/>
  <c r="B202" i="37"/>
  <c r="H202" i="37"/>
  <c r="E202" i="37"/>
  <c r="N202" i="37"/>
  <c r="K202" i="37"/>
  <c r="Q202" i="37"/>
  <c r="A203" i="37"/>
  <c r="U202" i="37"/>
  <c r="B203" i="37"/>
  <c r="E203" i="37"/>
  <c r="H203" i="37"/>
  <c r="N203" i="37"/>
  <c r="K203" i="37"/>
  <c r="Q203" i="37"/>
  <c r="V202" i="37"/>
  <c r="A204" i="37"/>
  <c r="U203" i="37"/>
  <c r="B50" i="37"/>
  <c r="E50" i="37"/>
  <c r="H50" i="37"/>
  <c r="N50" i="37"/>
  <c r="K50" i="37"/>
  <c r="Q50" i="37"/>
  <c r="U50" i="37"/>
  <c r="A51" i="37"/>
  <c r="B51" i="37"/>
  <c r="E51" i="37"/>
  <c r="H51" i="37"/>
  <c r="N51" i="37"/>
  <c r="K51" i="37"/>
  <c r="Q51" i="37"/>
  <c r="A52" i="37"/>
  <c r="U51" i="37"/>
  <c r="B204" i="37"/>
  <c r="E204" i="37"/>
  <c r="H204" i="37"/>
  <c r="N204" i="37"/>
  <c r="K204" i="37"/>
  <c r="Q204" i="37"/>
  <c r="A205" i="37"/>
  <c r="U204" i="37"/>
  <c r="B205" i="37"/>
  <c r="E205" i="37"/>
  <c r="H205" i="37"/>
  <c r="N205" i="37"/>
  <c r="K205" i="37"/>
  <c r="Q205" i="37"/>
  <c r="A206" i="37"/>
  <c r="U205" i="37"/>
  <c r="B52" i="37"/>
  <c r="E52" i="37"/>
  <c r="H52" i="37"/>
  <c r="N52" i="37"/>
  <c r="K52" i="37"/>
  <c r="Q52" i="37"/>
  <c r="V51" i="37"/>
  <c r="U52" i="37"/>
  <c r="A53" i="37"/>
  <c r="B53" i="37"/>
  <c r="E53" i="37"/>
  <c r="H53" i="37"/>
  <c r="N53" i="37"/>
  <c r="K53" i="37"/>
  <c r="Q53" i="37"/>
  <c r="U53" i="37"/>
  <c r="A54" i="37"/>
  <c r="B206" i="37"/>
  <c r="E206" i="37"/>
  <c r="H206" i="37"/>
  <c r="N206" i="37"/>
  <c r="K206" i="37"/>
  <c r="Q206" i="37"/>
  <c r="A207" i="37"/>
  <c r="U206" i="37"/>
  <c r="B207" i="37"/>
  <c r="E207" i="37"/>
  <c r="H207" i="37"/>
  <c r="N207" i="37"/>
  <c r="K207" i="37"/>
  <c r="Q207" i="37"/>
  <c r="U207" i="37"/>
  <c r="A208" i="37"/>
  <c r="B54" i="37"/>
  <c r="E54" i="37"/>
  <c r="H54" i="37"/>
  <c r="N54" i="37"/>
  <c r="K54" i="37"/>
  <c r="Q54" i="37"/>
  <c r="A55" i="37"/>
  <c r="U54" i="37"/>
  <c r="B55" i="37"/>
  <c r="E55" i="37"/>
  <c r="H55" i="37"/>
  <c r="N55" i="37"/>
  <c r="K55" i="37"/>
  <c r="Q55" i="37"/>
  <c r="U55" i="37"/>
  <c r="A56" i="37"/>
  <c r="B208" i="37"/>
  <c r="E208" i="37"/>
  <c r="H208" i="37"/>
  <c r="N208" i="37"/>
  <c r="K208" i="37"/>
  <c r="Q208" i="37"/>
  <c r="U208" i="37"/>
  <c r="A209" i="37"/>
  <c r="B209" i="37"/>
  <c r="E209" i="37"/>
  <c r="H209" i="37"/>
  <c r="N209" i="37"/>
  <c r="K209" i="37"/>
  <c r="Q209" i="37"/>
  <c r="A210" i="37"/>
  <c r="U209" i="37"/>
  <c r="E56" i="37"/>
  <c r="B56" i="37"/>
  <c r="H56" i="37"/>
  <c r="N56" i="37"/>
  <c r="K56" i="37"/>
  <c r="Q56" i="37"/>
  <c r="A57" i="37"/>
  <c r="U56" i="37"/>
  <c r="B57" i="37"/>
  <c r="E57" i="37"/>
  <c r="H57" i="37"/>
  <c r="N57" i="37"/>
  <c r="K57" i="37"/>
  <c r="Q57" i="37"/>
  <c r="U57" i="37"/>
  <c r="A58" i="37"/>
  <c r="B210" i="37"/>
  <c r="E210" i="37"/>
  <c r="H210" i="37"/>
  <c r="N210" i="37"/>
  <c r="K210" i="37"/>
  <c r="Q210" i="37"/>
  <c r="U210" i="37"/>
  <c r="A211" i="37"/>
  <c r="V209" i="37"/>
  <c r="B211" i="37"/>
  <c r="E211" i="37"/>
  <c r="H211" i="37"/>
  <c r="N211" i="37"/>
  <c r="K211" i="37"/>
  <c r="Q211" i="37"/>
  <c r="U211" i="37"/>
  <c r="A212" i="37"/>
  <c r="B58" i="37"/>
  <c r="E58" i="37"/>
  <c r="H58" i="37"/>
  <c r="N58" i="37"/>
  <c r="K58" i="37"/>
  <c r="Q58" i="37"/>
  <c r="A59" i="37"/>
  <c r="U58" i="37"/>
  <c r="B59" i="37"/>
  <c r="E59" i="37"/>
  <c r="H59" i="37"/>
  <c r="N59" i="37"/>
  <c r="K59" i="37"/>
  <c r="Q59" i="37"/>
  <c r="V58" i="37"/>
  <c r="A60" i="37"/>
  <c r="U59" i="37"/>
  <c r="B212" i="37"/>
  <c r="E212" i="37"/>
  <c r="H212" i="37"/>
  <c r="N212" i="37"/>
  <c r="K212" i="37"/>
  <c r="Q212" i="37"/>
  <c r="V211" i="37"/>
  <c r="U212" i="37"/>
  <c r="A213" i="37"/>
  <c r="B213" i="37"/>
  <c r="E213" i="37"/>
  <c r="H213" i="37"/>
  <c r="N213" i="37"/>
  <c r="K213" i="37"/>
  <c r="Q213" i="37"/>
  <c r="U213" i="37"/>
  <c r="A214" i="37"/>
  <c r="B60" i="37"/>
  <c r="E60" i="37"/>
  <c r="N60" i="37"/>
  <c r="K60" i="37"/>
  <c r="H60" i="37"/>
  <c r="Q60" i="37"/>
  <c r="A61" i="37"/>
  <c r="U60" i="37"/>
  <c r="B61" i="37"/>
  <c r="E61" i="37"/>
  <c r="N61" i="37"/>
  <c r="H61" i="37"/>
  <c r="K61" i="37"/>
  <c r="Q61" i="37"/>
  <c r="U61" i="37"/>
  <c r="A62" i="37"/>
  <c r="B214" i="37"/>
  <c r="E214" i="37"/>
  <c r="N214" i="37"/>
  <c r="H214" i="37"/>
  <c r="K214" i="37"/>
  <c r="Q214" i="37"/>
  <c r="U214" i="37"/>
  <c r="A215" i="37"/>
  <c r="B215" i="37"/>
  <c r="E215" i="37"/>
  <c r="N215" i="37"/>
  <c r="H215" i="37"/>
  <c r="K215" i="37"/>
  <c r="Q215" i="37"/>
  <c r="A216" i="37"/>
  <c r="U215" i="37"/>
  <c r="B62" i="37"/>
  <c r="E62" i="37"/>
  <c r="N62" i="37"/>
  <c r="H62" i="37"/>
  <c r="K62" i="37"/>
  <c r="Q62" i="37"/>
  <c r="A63" i="37"/>
  <c r="U62" i="37"/>
  <c r="B216" i="37"/>
  <c r="E216" i="37"/>
  <c r="H216" i="37"/>
  <c r="N216" i="37"/>
  <c r="K216" i="37"/>
  <c r="Q216" i="37"/>
  <c r="A217" i="37"/>
  <c r="U216" i="37"/>
  <c r="B63" i="37"/>
  <c r="E63" i="37"/>
  <c r="N63" i="37"/>
  <c r="H63" i="37"/>
  <c r="K63" i="37"/>
  <c r="Q63" i="37"/>
  <c r="A64" i="37"/>
  <c r="U63" i="37"/>
  <c r="B217" i="37"/>
  <c r="E217" i="37"/>
  <c r="H217" i="37"/>
  <c r="N217" i="37"/>
  <c r="K217" i="37"/>
  <c r="Q217" i="37"/>
  <c r="A218" i="37"/>
  <c r="U217" i="37"/>
  <c r="B64" i="37"/>
  <c r="E64" i="37"/>
  <c r="H64" i="37"/>
  <c r="N64" i="37"/>
  <c r="K64" i="37"/>
  <c r="Q64" i="37"/>
  <c r="A65" i="37"/>
  <c r="U64" i="37"/>
  <c r="B218" i="37"/>
  <c r="H218" i="37"/>
  <c r="E218" i="37"/>
  <c r="N218" i="37"/>
  <c r="K218" i="37"/>
  <c r="Q218" i="37"/>
  <c r="U218" i="37"/>
  <c r="A219" i="37"/>
  <c r="B65" i="37"/>
  <c r="E65" i="37"/>
  <c r="H65" i="37"/>
  <c r="N65" i="37"/>
  <c r="K65" i="37"/>
  <c r="Q65" i="37"/>
  <c r="U65" i="37"/>
  <c r="A66" i="37"/>
  <c r="B66" i="37"/>
  <c r="E66" i="37"/>
  <c r="H66" i="37"/>
  <c r="N66" i="37"/>
  <c r="K66" i="37"/>
  <c r="Q66" i="37"/>
  <c r="U66" i="37"/>
  <c r="A67" i="37"/>
  <c r="B219" i="37"/>
  <c r="E219" i="37"/>
  <c r="H219" i="37"/>
  <c r="N219" i="37"/>
  <c r="K219" i="37"/>
  <c r="Q219" i="37"/>
  <c r="U219" i="37"/>
  <c r="A220" i="37"/>
  <c r="B220" i="37"/>
  <c r="E220" i="37"/>
  <c r="H220" i="37"/>
  <c r="N220" i="37"/>
  <c r="K220" i="37"/>
  <c r="Q220" i="37"/>
  <c r="A221" i="37"/>
  <c r="U220" i="37"/>
  <c r="B67" i="37"/>
  <c r="E67" i="37"/>
  <c r="H67" i="37"/>
  <c r="N67" i="37"/>
  <c r="K67" i="37"/>
  <c r="Q67" i="37"/>
  <c r="U67" i="37"/>
  <c r="A68" i="37"/>
  <c r="B68" i="37"/>
  <c r="E68" i="37"/>
  <c r="H68" i="37"/>
  <c r="N68" i="37"/>
  <c r="K68" i="37"/>
  <c r="Q68" i="37"/>
  <c r="A69" i="37"/>
  <c r="U68" i="37"/>
  <c r="E221" i="37"/>
  <c r="B221" i="37"/>
  <c r="H221" i="37"/>
  <c r="N221" i="37"/>
  <c r="K221" i="37"/>
  <c r="Q221" i="37"/>
  <c r="U221" i="37"/>
  <c r="A222" i="37"/>
  <c r="B222" i="37"/>
  <c r="E222" i="37"/>
  <c r="H222" i="37"/>
  <c r="N222" i="37"/>
  <c r="K222" i="37"/>
  <c r="Q222" i="37"/>
  <c r="U222" i="37"/>
  <c r="A223" i="37"/>
  <c r="B69" i="37"/>
  <c r="E69" i="37"/>
  <c r="H69" i="37"/>
  <c r="N69" i="37"/>
  <c r="K69" i="37"/>
  <c r="Q69" i="37"/>
  <c r="U69" i="37"/>
  <c r="A70" i="37"/>
  <c r="B70" i="37"/>
  <c r="E70" i="37"/>
  <c r="H70" i="37"/>
  <c r="N70" i="37"/>
  <c r="K70" i="37"/>
  <c r="Q70" i="37"/>
  <c r="U70" i="37"/>
  <c r="A71" i="37"/>
  <c r="B223" i="37"/>
  <c r="E223" i="37"/>
  <c r="H223" i="37"/>
  <c r="N223" i="37"/>
  <c r="K223" i="37"/>
  <c r="Q223" i="37"/>
  <c r="U223" i="37"/>
  <c r="A224" i="37"/>
  <c r="B224" i="37"/>
  <c r="E224" i="37"/>
  <c r="H224" i="37"/>
  <c r="N224" i="37"/>
  <c r="K224" i="37"/>
  <c r="Q224" i="37"/>
  <c r="U224" i="37"/>
  <c r="A225" i="37"/>
  <c r="B71" i="37"/>
  <c r="E71" i="37"/>
  <c r="N71" i="37"/>
  <c r="H71" i="37"/>
  <c r="K71" i="37"/>
  <c r="Q71" i="37"/>
  <c r="U71" i="37"/>
  <c r="A72" i="37"/>
  <c r="B72" i="37"/>
  <c r="E72" i="37"/>
  <c r="H72" i="37"/>
  <c r="N72" i="37"/>
  <c r="K72" i="37"/>
  <c r="Q72" i="37"/>
  <c r="U72" i="37"/>
  <c r="A73" i="37"/>
  <c r="B225" i="37"/>
  <c r="E225" i="37"/>
  <c r="H225" i="37"/>
  <c r="N225" i="37"/>
  <c r="K225" i="37"/>
  <c r="Q225" i="37"/>
  <c r="U225" i="37"/>
  <c r="A226" i="37"/>
  <c r="B226" i="37"/>
  <c r="E226" i="37"/>
  <c r="H226" i="37"/>
  <c r="K226" i="37"/>
  <c r="N226" i="37"/>
  <c r="Q226" i="37"/>
  <c r="U226" i="37"/>
  <c r="A227" i="37"/>
  <c r="B73" i="37"/>
  <c r="E73" i="37"/>
  <c r="H73" i="37"/>
  <c r="N73" i="37"/>
  <c r="K73" i="37"/>
  <c r="Q73" i="37"/>
  <c r="U73" i="37"/>
  <c r="A74" i="37"/>
  <c r="B74" i="37"/>
  <c r="E74" i="37"/>
  <c r="H74" i="37"/>
  <c r="N74" i="37"/>
  <c r="K74" i="37"/>
  <c r="Q74" i="37"/>
  <c r="A75" i="37"/>
  <c r="U74" i="37"/>
  <c r="B227" i="37"/>
  <c r="E227" i="37"/>
  <c r="H227" i="37"/>
  <c r="K227" i="37"/>
  <c r="N227" i="37"/>
  <c r="Q227" i="37"/>
  <c r="A228" i="37"/>
  <c r="U227" i="37"/>
  <c r="B228" i="37"/>
  <c r="E228" i="37"/>
  <c r="H228" i="37"/>
  <c r="N228" i="37"/>
  <c r="K228" i="37"/>
  <c r="Q228" i="37"/>
  <c r="A229" i="37"/>
  <c r="U228" i="37"/>
  <c r="B75" i="37"/>
  <c r="E75" i="37"/>
  <c r="H75" i="37"/>
  <c r="N75" i="37"/>
  <c r="K75" i="37"/>
  <c r="Q75" i="37"/>
  <c r="U75" i="37"/>
  <c r="A76" i="37"/>
  <c r="E76" i="37"/>
  <c r="B76" i="37"/>
  <c r="H76" i="37"/>
  <c r="N76" i="37"/>
  <c r="K76" i="37"/>
  <c r="Q76" i="37"/>
  <c r="V75" i="37"/>
  <c r="A77" i="37"/>
  <c r="U76" i="37"/>
  <c r="B229" i="37"/>
  <c r="E229" i="37"/>
  <c r="H229" i="37"/>
  <c r="N229" i="37"/>
  <c r="K229" i="37"/>
  <c r="Q229" i="37"/>
  <c r="A230" i="37"/>
  <c r="U229" i="37"/>
  <c r="B230" i="37"/>
  <c r="E230" i="37"/>
  <c r="N230" i="37"/>
  <c r="H230" i="37"/>
  <c r="K230" i="37"/>
  <c r="Q230" i="37"/>
  <c r="U230" i="37"/>
  <c r="A231" i="37"/>
  <c r="B77" i="37"/>
  <c r="E77" i="37"/>
  <c r="H77" i="37"/>
  <c r="N77" i="37"/>
  <c r="K77" i="37"/>
  <c r="Q77" i="37"/>
  <c r="U77" i="37"/>
  <c r="A78" i="37"/>
  <c r="B78" i="37"/>
  <c r="E78" i="37"/>
  <c r="N78" i="37"/>
  <c r="H78" i="37"/>
  <c r="K78" i="37"/>
  <c r="Q78" i="37"/>
  <c r="A79" i="37"/>
  <c r="U78" i="37"/>
  <c r="B231" i="37"/>
  <c r="E231" i="37"/>
  <c r="N231" i="37"/>
  <c r="H231" i="37"/>
  <c r="K231" i="37"/>
  <c r="Q231" i="37"/>
  <c r="U231" i="37"/>
  <c r="A232" i="37"/>
  <c r="B232" i="37"/>
  <c r="E232" i="37"/>
  <c r="H232" i="37"/>
  <c r="N232" i="37"/>
  <c r="K232" i="37"/>
  <c r="Q232" i="37"/>
  <c r="U232" i="37"/>
  <c r="A233" i="37"/>
  <c r="B79" i="37"/>
  <c r="E79" i="37"/>
  <c r="N79" i="37"/>
  <c r="H79" i="37"/>
  <c r="K79" i="37"/>
  <c r="Q79" i="37"/>
  <c r="A80" i="37"/>
  <c r="U79" i="37"/>
  <c r="B233" i="37"/>
  <c r="E233" i="37"/>
  <c r="H233" i="37"/>
  <c r="N233" i="37"/>
  <c r="K233" i="37"/>
  <c r="Q233" i="37"/>
  <c r="U233" i="37"/>
  <c r="A234" i="37"/>
  <c r="B80" i="37"/>
  <c r="E80" i="37"/>
  <c r="H80" i="37"/>
  <c r="N80" i="37"/>
  <c r="K80" i="37"/>
  <c r="Q80" i="37"/>
  <c r="U80" i="37"/>
  <c r="A81" i="37"/>
  <c r="B81" i="37"/>
  <c r="E81" i="37"/>
  <c r="H81" i="37"/>
  <c r="N81" i="37"/>
  <c r="K81" i="37"/>
  <c r="Q81" i="37"/>
  <c r="U81" i="37"/>
  <c r="A82" i="37"/>
  <c r="B234" i="37"/>
  <c r="E234" i="37"/>
  <c r="H234" i="37"/>
  <c r="N234" i="37"/>
  <c r="K234" i="37"/>
  <c r="Q234" i="37"/>
  <c r="A235" i="37"/>
  <c r="U234" i="37"/>
  <c r="V233" i="37"/>
  <c r="B235" i="37"/>
  <c r="E235" i="37"/>
  <c r="H235" i="37"/>
  <c r="N235" i="37"/>
  <c r="K235" i="37"/>
  <c r="Q235" i="37"/>
  <c r="A236" i="37"/>
  <c r="U235" i="37"/>
  <c r="B82" i="37"/>
  <c r="E82" i="37"/>
  <c r="H82" i="37"/>
  <c r="N82" i="37"/>
  <c r="K82" i="37"/>
  <c r="Q82" i="37"/>
  <c r="U82" i="37"/>
  <c r="A83" i="37"/>
  <c r="B83" i="37"/>
  <c r="E83" i="37"/>
  <c r="H83" i="37"/>
  <c r="N83" i="37"/>
  <c r="K83" i="37"/>
  <c r="Q83" i="37"/>
  <c r="U83" i="37"/>
  <c r="A84" i="37"/>
  <c r="E236" i="37"/>
  <c r="B236" i="37"/>
  <c r="H236" i="37"/>
  <c r="N236" i="37"/>
  <c r="K236" i="37"/>
  <c r="Q236" i="37"/>
  <c r="A237" i="37"/>
  <c r="U236" i="37"/>
  <c r="B237" i="37"/>
  <c r="E237" i="37"/>
  <c r="H237" i="37"/>
  <c r="N237" i="37"/>
  <c r="K237" i="37"/>
  <c r="Q237" i="37"/>
  <c r="U237" i="37"/>
  <c r="A238" i="37"/>
  <c r="B84" i="37"/>
  <c r="E84" i="37"/>
  <c r="H84" i="37"/>
  <c r="N84" i="37"/>
  <c r="K84" i="37"/>
  <c r="Q84" i="37"/>
  <c r="U84" i="37"/>
  <c r="A85" i="37"/>
  <c r="B85" i="37"/>
  <c r="E85" i="37"/>
  <c r="H85" i="37"/>
  <c r="N85" i="37"/>
  <c r="K85" i="37"/>
  <c r="Q85" i="37"/>
  <c r="A86" i="37"/>
  <c r="U85" i="37"/>
  <c r="B238" i="37"/>
  <c r="E238" i="37"/>
  <c r="H238" i="37"/>
  <c r="N238" i="37"/>
  <c r="K238" i="37"/>
  <c r="Q238" i="37"/>
  <c r="A239" i="37"/>
  <c r="U238" i="37"/>
  <c r="B86" i="37"/>
  <c r="E86" i="37"/>
  <c r="H86" i="37"/>
  <c r="N86" i="37"/>
  <c r="K86" i="37"/>
  <c r="Q86" i="37"/>
  <c r="A87" i="37"/>
  <c r="U86" i="37"/>
  <c r="B239" i="37"/>
  <c r="E239" i="37"/>
  <c r="H239" i="37"/>
  <c r="N239" i="37"/>
  <c r="K239" i="37"/>
  <c r="Q239" i="37"/>
  <c r="U239" i="37"/>
  <c r="A240" i="37"/>
  <c r="B87" i="37"/>
  <c r="E87" i="37"/>
  <c r="N87" i="37"/>
  <c r="H87" i="37"/>
  <c r="K87" i="37"/>
  <c r="Q87" i="37"/>
  <c r="A88" i="37"/>
  <c r="U87" i="37"/>
  <c r="B240" i="37"/>
  <c r="E240" i="37"/>
  <c r="H240" i="37"/>
  <c r="N240" i="37"/>
  <c r="K240" i="37"/>
  <c r="Q240" i="37"/>
  <c r="A241" i="37"/>
  <c r="U240" i="37"/>
  <c r="E88" i="37"/>
  <c r="B88" i="37"/>
  <c r="H88" i="37"/>
  <c r="N88" i="37"/>
  <c r="K88" i="37"/>
  <c r="Q88" i="37"/>
  <c r="U88" i="37"/>
  <c r="A89" i="37"/>
  <c r="B241" i="37"/>
  <c r="E241" i="37"/>
  <c r="H241" i="37"/>
  <c r="N241" i="37"/>
  <c r="K241" i="37"/>
  <c r="Q241" i="37"/>
  <c r="A242" i="37"/>
  <c r="U241" i="37"/>
  <c r="B89" i="37"/>
  <c r="E89" i="37"/>
  <c r="H89" i="37"/>
  <c r="N89" i="37"/>
  <c r="K89" i="37"/>
  <c r="Q89" i="37"/>
  <c r="U89" i="37"/>
  <c r="A90" i="37"/>
  <c r="B242" i="37"/>
  <c r="E242" i="37"/>
  <c r="H242" i="37"/>
  <c r="N242" i="37"/>
  <c r="K242" i="37"/>
  <c r="Q242" i="37"/>
  <c r="A243" i="37"/>
  <c r="U242" i="37"/>
  <c r="B243" i="37"/>
  <c r="E243" i="37"/>
  <c r="H243" i="37"/>
  <c r="N243" i="37"/>
  <c r="K243" i="37"/>
  <c r="Q243" i="37"/>
  <c r="A244" i="37"/>
  <c r="U243" i="37"/>
  <c r="B90" i="37"/>
  <c r="E90" i="37"/>
  <c r="H90" i="37"/>
  <c r="N90" i="37"/>
  <c r="K90" i="37"/>
  <c r="Q90" i="37"/>
  <c r="A91" i="37"/>
  <c r="U90" i="37"/>
  <c r="B91" i="37"/>
  <c r="E91" i="37"/>
  <c r="N91" i="37"/>
  <c r="H91" i="37"/>
  <c r="K91" i="37"/>
  <c r="Q91" i="37"/>
  <c r="A92" i="37"/>
  <c r="U91" i="37"/>
  <c r="B244" i="37"/>
  <c r="E244" i="37"/>
  <c r="H244" i="37"/>
  <c r="N244" i="37"/>
  <c r="K244" i="37"/>
  <c r="Q244" i="37"/>
  <c r="V243" i="37"/>
  <c r="U244" i="37"/>
  <c r="A245" i="37"/>
  <c r="B245" i="37"/>
  <c r="E245" i="37"/>
  <c r="H245" i="37"/>
  <c r="N245" i="37"/>
  <c r="K245" i="37"/>
  <c r="Q245" i="37"/>
  <c r="A246" i="37"/>
  <c r="U245" i="37"/>
  <c r="B92" i="37"/>
  <c r="E92" i="37"/>
  <c r="H92" i="37"/>
  <c r="N92" i="37"/>
  <c r="K92" i="37"/>
  <c r="Q92" i="37"/>
  <c r="A93" i="37"/>
  <c r="U92" i="37"/>
  <c r="B93" i="37"/>
  <c r="E93" i="37"/>
  <c r="H93" i="37"/>
  <c r="N93" i="37"/>
  <c r="K93" i="37"/>
  <c r="Q93" i="37"/>
  <c r="U93" i="37"/>
  <c r="A94" i="37"/>
  <c r="B246" i="37"/>
  <c r="E246" i="37"/>
  <c r="N246" i="37"/>
  <c r="H246" i="37"/>
  <c r="K246" i="37"/>
  <c r="Q246" i="37"/>
  <c r="A247" i="37"/>
  <c r="U246" i="37"/>
  <c r="B247" i="37"/>
  <c r="E247" i="37"/>
  <c r="N247" i="37"/>
  <c r="H247" i="37"/>
  <c r="K247" i="37"/>
  <c r="Q247" i="37"/>
  <c r="A248" i="37"/>
  <c r="U247" i="37"/>
  <c r="B94" i="37"/>
  <c r="N94" i="37"/>
  <c r="H94" i="37"/>
  <c r="E94" i="37"/>
  <c r="K94" i="37"/>
  <c r="Q94" i="37"/>
  <c r="A95" i="37"/>
  <c r="U94" i="37"/>
  <c r="B248" i="37"/>
  <c r="E248" i="37"/>
  <c r="H248" i="37"/>
  <c r="N248" i="37"/>
  <c r="K248" i="37"/>
  <c r="Q248" i="37"/>
  <c r="A249" i="37"/>
  <c r="U248" i="37"/>
  <c r="B95" i="37"/>
  <c r="N95" i="37"/>
  <c r="H95" i="37"/>
  <c r="E95" i="37"/>
  <c r="K95" i="37"/>
  <c r="Q95" i="37"/>
  <c r="A96" i="37"/>
  <c r="U95" i="37"/>
  <c r="B249" i="37"/>
  <c r="E249" i="37"/>
  <c r="H249" i="37"/>
  <c r="N249" i="37"/>
  <c r="K249" i="37"/>
  <c r="Q249" i="37"/>
  <c r="A250" i="37"/>
  <c r="U249" i="37"/>
  <c r="E96" i="37"/>
  <c r="B96" i="37"/>
  <c r="H96" i="37"/>
  <c r="N96" i="37"/>
  <c r="K96" i="37"/>
  <c r="Q96" i="37"/>
  <c r="A97" i="37"/>
  <c r="U96" i="37"/>
  <c r="B250" i="37"/>
  <c r="H250" i="37"/>
  <c r="E250" i="37"/>
  <c r="N250" i="37"/>
  <c r="K250" i="37"/>
  <c r="Q250" i="37"/>
  <c r="U250" i="37"/>
  <c r="A251" i="37"/>
  <c r="B97" i="37"/>
  <c r="E97" i="37"/>
  <c r="H97" i="37"/>
  <c r="N97" i="37"/>
  <c r="K97" i="37"/>
  <c r="Q97" i="37"/>
  <c r="U97" i="37"/>
  <c r="A98" i="37"/>
  <c r="B251" i="37"/>
  <c r="E251" i="37"/>
  <c r="H251" i="37"/>
  <c r="N251" i="37"/>
  <c r="K251" i="37"/>
  <c r="Q251" i="37"/>
  <c r="A252" i="37"/>
  <c r="U251" i="37"/>
  <c r="B98" i="37"/>
  <c r="E98" i="37"/>
  <c r="H98" i="37"/>
  <c r="N98" i="37"/>
  <c r="K98" i="37"/>
  <c r="Q98" i="37"/>
  <c r="U98" i="37"/>
  <c r="A99" i="37"/>
  <c r="B252" i="37"/>
  <c r="E252" i="37"/>
  <c r="H252" i="37"/>
  <c r="N252" i="37"/>
  <c r="K252" i="37"/>
  <c r="Q252" i="37"/>
  <c r="U252" i="37"/>
  <c r="A253" i="37"/>
  <c r="B99" i="37"/>
  <c r="E99" i="37"/>
  <c r="H99" i="37"/>
  <c r="K99" i="37"/>
  <c r="N99" i="37"/>
  <c r="Q99" i="37"/>
  <c r="A100" i="37"/>
  <c r="U99" i="37"/>
  <c r="B100" i="37"/>
  <c r="E100" i="37"/>
  <c r="H100" i="37"/>
  <c r="N100" i="37"/>
  <c r="K100" i="37"/>
  <c r="Q100" i="37"/>
  <c r="U100" i="37"/>
  <c r="A101" i="37"/>
  <c r="B253" i="37"/>
  <c r="E253" i="37"/>
  <c r="H253" i="37"/>
  <c r="N253" i="37"/>
  <c r="K253" i="37"/>
  <c r="Q253" i="37"/>
  <c r="A254" i="37"/>
  <c r="U253" i="37"/>
  <c r="B254" i="37"/>
  <c r="E254" i="37"/>
  <c r="H254" i="37"/>
  <c r="N254" i="37"/>
  <c r="K254" i="37"/>
  <c r="Q254" i="37"/>
  <c r="A255" i="37"/>
  <c r="U254" i="37"/>
  <c r="B101" i="37"/>
  <c r="E101" i="37"/>
  <c r="H101" i="37"/>
  <c r="N101" i="37"/>
  <c r="K101" i="37"/>
  <c r="Q101" i="37"/>
  <c r="U101" i="37"/>
  <c r="A102" i="37"/>
  <c r="B102" i="37"/>
  <c r="E102" i="37"/>
  <c r="H102" i="37"/>
  <c r="N102" i="37"/>
  <c r="K102" i="37"/>
  <c r="Q102" i="37"/>
  <c r="A103" i="37"/>
  <c r="U102" i="37"/>
  <c r="B255" i="37"/>
  <c r="E255" i="37"/>
  <c r="H255" i="37"/>
  <c r="N255" i="37"/>
  <c r="K255" i="37"/>
  <c r="Q255" i="37"/>
  <c r="U255" i="37"/>
  <c r="A256" i="37"/>
  <c r="B256" i="37"/>
  <c r="E256" i="37"/>
  <c r="H256" i="37"/>
  <c r="N256" i="37"/>
  <c r="K256" i="37"/>
  <c r="Q256" i="37"/>
  <c r="U256" i="37"/>
  <c r="A257" i="37"/>
  <c r="B103" i="37"/>
  <c r="E103" i="37"/>
  <c r="N103" i="37"/>
  <c r="H103" i="37"/>
  <c r="K103" i="37"/>
  <c r="Q103" i="37"/>
  <c r="A104" i="37"/>
  <c r="U103" i="37"/>
  <c r="V102" i="37"/>
  <c r="B257" i="37"/>
  <c r="E257" i="37"/>
  <c r="H257" i="37"/>
  <c r="N257" i="37"/>
  <c r="K257" i="37"/>
  <c r="Q257" i="37"/>
  <c r="U257" i="37"/>
  <c r="A258" i="37"/>
  <c r="B104" i="37"/>
  <c r="E104" i="37"/>
  <c r="H104" i="37"/>
  <c r="N104" i="37"/>
  <c r="K104" i="37"/>
  <c r="Q104" i="37"/>
  <c r="A105" i="37"/>
  <c r="U104" i="37"/>
  <c r="B105" i="37"/>
  <c r="E105" i="37"/>
  <c r="H105" i="37"/>
  <c r="N105" i="37"/>
  <c r="K105" i="37"/>
  <c r="Q105" i="37"/>
  <c r="A106" i="37"/>
  <c r="U105" i="37"/>
  <c r="B258" i="37"/>
  <c r="E258" i="37"/>
  <c r="H258" i="37"/>
  <c r="K258" i="37"/>
  <c r="N258" i="37"/>
  <c r="Q258" i="37"/>
  <c r="U258" i="37"/>
  <c r="A259" i="37"/>
  <c r="B106" i="37"/>
  <c r="E106" i="37"/>
  <c r="H106" i="37"/>
  <c r="N106" i="37"/>
  <c r="K106" i="37"/>
  <c r="Q106" i="37"/>
  <c r="A107" i="37"/>
  <c r="U106" i="37"/>
  <c r="B259" i="37"/>
  <c r="E259" i="37"/>
  <c r="H259" i="37"/>
  <c r="K259" i="37"/>
  <c r="N259" i="37"/>
  <c r="Q259" i="37"/>
  <c r="A260" i="37"/>
  <c r="U259" i="37"/>
  <c r="B107" i="37"/>
  <c r="E107" i="37"/>
  <c r="H107" i="37"/>
  <c r="N107" i="37"/>
  <c r="K107" i="37"/>
  <c r="Q107" i="37"/>
  <c r="A108" i="37"/>
  <c r="U107" i="37"/>
  <c r="B260" i="37"/>
  <c r="H260" i="37"/>
  <c r="N260" i="37"/>
  <c r="K260" i="37"/>
  <c r="E260" i="37"/>
  <c r="Q260" i="37"/>
  <c r="V259" i="37"/>
  <c r="A261" i="37"/>
  <c r="U260" i="37"/>
  <c r="B108" i="37"/>
  <c r="E108" i="37"/>
  <c r="H108" i="37"/>
  <c r="N108" i="37"/>
  <c r="K108" i="37"/>
  <c r="Q108" i="37"/>
  <c r="V107" i="37"/>
  <c r="U108" i="37"/>
  <c r="A109" i="37"/>
  <c r="E261" i="37"/>
  <c r="B261" i="37"/>
  <c r="H261" i="37"/>
  <c r="N261" i="37"/>
  <c r="K261" i="37"/>
  <c r="Q261" i="37"/>
  <c r="U261" i="37"/>
  <c r="A262" i="37"/>
  <c r="B262" i="37"/>
  <c r="E262" i="37"/>
  <c r="N262" i="37"/>
  <c r="H262" i="37"/>
  <c r="K262" i="37"/>
  <c r="Q262" i="37"/>
  <c r="A263" i="37"/>
  <c r="U262" i="37"/>
  <c r="B109" i="37"/>
  <c r="E109" i="37"/>
  <c r="H109" i="37"/>
  <c r="N109" i="37"/>
  <c r="K109" i="37"/>
  <c r="Q109" i="37"/>
  <c r="U109" i="37"/>
  <c r="A110" i="37"/>
  <c r="B110" i="37"/>
  <c r="E110" i="37"/>
  <c r="N110" i="37"/>
  <c r="H110" i="37"/>
  <c r="K110" i="37"/>
  <c r="Q110" i="37"/>
  <c r="A111" i="37"/>
  <c r="U110" i="37"/>
  <c r="B263" i="37"/>
  <c r="E263" i="37"/>
  <c r="N263" i="37"/>
  <c r="H263" i="37"/>
  <c r="K263" i="37"/>
  <c r="Q263" i="37"/>
  <c r="U263" i="37"/>
  <c r="A264" i="37"/>
  <c r="B264" i="37"/>
  <c r="E264" i="37"/>
  <c r="H264" i="37"/>
  <c r="N264" i="37"/>
  <c r="K264" i="37"/>
  <c r="Q264" i="37"/>
  <c r="A265" i="37"/>
  <c r="U264" i="37"/>
  <c r="B111" i="37"/>
  <c r="E111" i="37"/>
  <c r="N111" i="37"/>
  <c r="H111" i="37"/>
  <c r="K111" i="37"/>
  <c r="Q111" i="37"/>
  <c r="U111" i="37"/>
  <c r="A112" i="37"/>
  <c r="B112" i="37"/>
  <c r="E112" i="37"/>
  <c r="H112" i="37"/>
  <c r="N112" i="37"/>
  <c r="K112" i="37"/>
  <c r="Q112" i="37"/>
  <c r="U112" i="37"/>
  <c r="A113" i="37"/>
  <c r="B265" i="37"/>
  <c r="E265" i="37"/>
  <c r="H265" i="37"/>
  <c r="N265" i="37"/>
  <c r="K265" i="37"/>
  <c r="Q265" i="37"/>
  <c r="A266" i="37"/>
  <c r="U265" i="37"/>
  <c r="B266" i="37"/>
  <c r="E266" i="37"/>
  <c r="H266" i="37"/>
  <c r="N266" i="37"/>
  <c r="K266" i="37"/>
  <c r="Q266" i="37"/>
  <c r="A267" i="37"/>
  <c r="U266" i="37"/>
  <c r="B113" i="37"/>
  <c r="E113" i="37"/>
  <c r="H113" i="37"/>
  <c r="N113" i="37"/>
  <c r="K113" i="37"/>
  <c r="Q113" i="37"/>
  <c r="U113" i="37"/>
  <c r="A114" i="37"/>
  <c r="B114" i="37"/>
  <c r="E114" i="37"/>
  <c r="H114" i="37"/>
  <c r="N114" i="37"/>
  <c r="K114" i="37"/>
  <c r="Q114" i="37"/>
  <c r="A115" i="37"/>
  <c r="U114" i="37"/>
  <c r="B267" i="37"/>
  <c r="E267" i="37"/>
  <c r="H267" i="37"/>
  <c r="N267" i="37"/>
  <c r="K267" i="37"/>
  <c r="Q267" i="37"/>
  <c r="U267" i="37"/>
  <c r="A268" i="37"/>
  <c r="B115" i="37"/>
  <c r="E115" i="37"/>
  <c r="H115" i="37"/>
  <c r="N115" i="37"/>
  <c r="K115" i="37"/>
  <c r="Q115" i="37"/>
  <c r="U115" i="37"/>
  <c r="A116" i="37"/>
  <c r="B268" i="37"/>
  <c r="E268" i="37"/>
  <c r="H268" i="37"/>
  <c r="N268" i="37"/>
  <c r="K268" i="37"/>
  <c r="Q268" i="37"/>
  <c r="U268" i="37"/>
  <c r="A269" i="37"/>
  <c r="B269" i="37"/>
  <c r="E269" i="37"/>
  <c r="H269" i="37"/>
  <c r="N269" i="37"/>
  <c r="K269" i="37"/>
  <c r="Q269" i="37"/>
  <c r="U269" i="37"/>
  <c r="A270" i="37"/>
  <c r="B116" i="37"/>
  <c r="E116" i="37"/>
  <c r="H116" i="37"/>
  <c r="N116" i="37"/>
  <c r="K116" i="37"/>
  <c r="Q116" i="37"/>
  <c r="A117" i="37"/>
  <c r="U116" i="37"/>
  <c r="E117" i="37"/>
  <c r="B117" i="37"/>
  <c r="H117" i="37"/>
  <c r="N117" i="37"/>
  <c r="K117" i="37"/>
  <c r="Q117" i="37"/>
  <c r="U117" i="37"/>
  <c r="A118" i="37"/>
  <c r="B270" i="37"/>
  <c r="E270" i="37"/>
  <c r="H270" i="37"/>
  <c r="N270" i="37"/>
  <c r="K270" i="37"/>
  <c r="Q270" i="37"/>
  <c r="U270" i="37"/>
  <c r="A271" i="37"/>
  <c r="B271" i="37"/>
  <c r="E271" i="37"/>
  <c r="H271" i="37"/>
  <c r="N271" i="37"/>
  <c r="K271" i="37"/>
  <c r="Q271" i="37"/>
  <c r="A272" i="37"/>
  <c r="U271" i="37"/>
  <c r="B118" i="37"/>
  <c r="E118" i="37"/>
  <c r="H118" i="37"/>
  <c r="N118" i="37"/>
  <c r="K118" i="37"/>
  <c r="Q118" i="37"/>
  <c r="A119" i="37"/>
  <c r="U118" i="37"/>
  <c r="B272" i="37"/>
  <c r="E272" i="37"/>
  <c r="H272" i="37"/>
  <c r="N272" i="37"/>
  <c r="K272" i="37"/>
  <c r="Q272" i="37"/>
  <c r="U272" i="37"/>
  <c r="A273" i="37"/>
  <c r="B119" i="37"/>
  <c r="E119" i="37"/>
  <c r="N119" i="37"/>
  <c r="H119" i="37"/>
  <c r="K119" i="37"/>
  <c r="Q119" i="37"/>
  <c r="U119" i="37"/>
  <c r="A120" i="37"/>
  <c r="B120" i="37"/>
  <c r="E120" i="37"/>
  <c r="H120" i="37"/>
  <c r="N120" i="37"/>
  <c r="K120" i="37"/>
  <c r="Q120" i="37"/>
  <c r="U120" i="37"/>
  <c r="A121" i="37"/>
  <c r="B273" i="37"/>
  <c r="H273" i="37"/>
  <c r="E273" i="37"/>
  <c r="N273" i="37"/>
  <c r="K273" i="37"/>
  <c r="Q273" i="37"/>
  <c r="U273" i="37"/>
  <c r="A274" i="37"/>
  <c r="B274" i="37"/>
  <c r="E274" i="37"/>
  <c r="H274" i="37"/>
  <c r="N274" i="37"/>
  <c r="K274" i="37"/>
  <c r="Q274" i="37"/>
  <c r="U274" i="37"/>
  <c r="A275" i="37"/>
  <c r="B121" i="37"/>
  <c r="E121" i="37"/>
  <c r="H121" i="37"/>
  <c r="N121" i="37"/>
  <c r="K121" i="37"/>
  <c r="Q121" i="37"/>
  <c r="A122" i="37"/>
  <c r="U121" i="37"/>
  <c r="B275" i="37"/>
  <c r="E275" i="37"/>
  <c r="H275" i="37"/>
  <c r="N275" i="37"/>
  <c r="K275" i="37"/>
  <c r="Q275" i="37"/>
  <c r="U275" i="37"/>
  <c r="A276" i="37"/>
  <c r="E122" i="37"/>
  <c r="H122" i="37"/>
  <c r="B122" i="37"/>
  <c r="N122" i="37"/>
  <c r="K122" i="37"/>
  <c r="Q122" i="37"/>
  <c r="A123" i="37"/>
  <c r="U122" i="37"/>
  <c r="B276" i="37"/>
  <c r="E276" i="37"/>
  <c r="H276" i="37"/>
  <c r="N276" i="37"/>
  <c r="K276" i="37"/>
  <c r="Q276" i="37"/>
  <c r="U276" i="37"/>
  <c r="A277" i="37"/>
  <c r="B123" i="37"/>
  <c r="E123" i="37"/>
  <c r="N123" i="37"/>
  <c r="H123" i="37"/>
  <c r="K123" i="37"/>
  <c r="Q123" i="37"/>
  <c r="U123" i="37"/>
  <c r="A124" i="37"/>
  <c r="B124" i="37"/>
  <c r="E124" i="37"/>
  <c r="H124" i="37"/>
  <c r="N124" i="37"/>
  <c r="K124" i="37"/>
  <c r="Q124" i="37"/>
  <c r="V123" i="37"/>
  <c r="U124" i="37"/>
  <c r="A125" i="37"/>
  <c r="B277" i="37"/>
  <c r="E277" i="37"/>
  <c r="H277" i="37"/>
  <c r="N277" i="37"/>
  <c r="K277" i="37"/>
  <c r="Q277" i="37"/>
  <c r="A278" i="37"/>
  <c r="U277" i="37"/>
  <c r="B278" i="37"/>
  <c r="E278" i="37"/>
  <c r="N278" i="37"/>
  <c r="H278" i="37"/>
  <c r="K278" i="37"/>
  <c r="Q278" i="37"/>
  <c r="A279" i="37"/>
  <c r="U278" i="37"/>
  <c r="B125" i="37"/>
  <c r="E125" i="37"/>
  <c r="H125" i="37"/>
  <c r="N125" i="37"/>
  <c r="K125" i="37"/>
  <c r="Q125" i="37"/>
  <c r="U125" i="37"/>
  <c r="A126" i="37"/>
  <c r="B126" i="37"/>
  <c r="E126" i="37"/>
  <c r="N126" i="37"/>
  <c r="H126" i="37"/>
  <c r="K126" i="37"/>
  <c r="Q126" i="37"/>
  <c r="U126" i="37"/>
  <c r="A127" i="37"/>
  <c r="B279" i="37"/>
  <c r="E279" i="37"/>
  <c r="N279" i="37"/>
  <c r="H279" i="37"/>
  <c r="K279" i="37"/>
  <c r="Q279" i="37"/>
  <c r="U279" i="37"/>
  <c r="A280" i="37"/>
  <c r="B280" i="37"/>
  <c r="E280" i="37"/>
  <c r="H280" i="37"/>
  <c r="N280" i="37"/>
  <c r="K280" i="37"/>
  <c r="Q280" i="37"/>
  <c r="A281" i="37"/>
  <c r="U280" i="37"/>
  <c r="B127" i="37"/>
  <c r="E127" i="37"/>
  <c r="N127" i="37"/>
  <c r="H127" i="37"/>
  <c r="K127" i="37"/>
  <c r="Q127" i="37"/>
  <c r="U127" i="37"/>
  <c r="A128" i="37"/>
  <c r="B128" i="37"/>
  <c r="E128" i="37"/>
  <c r="H128" i="37"/>
  <c r="N128" i="37"/>
  <c r="K128" i="37"/>
  <c r="Q128" i="37"/>
  <c r="A129" i="37"/>
  <c r="U128" i="37"/>
  <c r="B281" i="37"/>
  <c r="E281" i="37"/>
  <c r="H281" i="37"/>
  <c r="N281" i="37"/>
  <c r="K281" i="37"/>
  <c r="Q281" i="37"/>
  <c r="A282" i="37"/>
  <c r="U281" i="37"/>
  <c r="B282" i="37"/>
  <c r="E282" i="37"/>
  <c r="H282" i="37"/>
  <c r="N282" i="37"/>
  <c r="K282" i="37"/>
  <c r="Q282" i="37"/>
  <c r="U282" i="37"/>
  <c r="A283" i="37"/>
  <c r="V281" i="37"/>
  <c r="B129" i="37"/>
  <c r="E129" i="37"/>
  <c r="H129" i="37"/>
  <c r="N129" i="37"/>
  <c r="K129" i="37"/>
  <c r="Q129" i="37"/>
  <c r="U129" i="37"/>
  <c r="A130" i="37"/>
  <c r="B130" i="37"/>
  <c r="E130" i="37"/>
  <c r="H130" i="37"/>
  <c r="N130" i="37"/>
  <c r="K130" i="37"/>
  <c r="Q130" i="37"/>
  <c r="A131" i="37"/>
  <c r="U130" i="37"/>
  <c r="B283" i="37"/>
  <c r="E283" i="37"/>
  <c r="H283" i="37"/>
  <c r="N283" i="37"/>
  <c r="K283" i="37"/>
  <c r="Q283" i="37"/>
  <c r="A284" i="37"/>
  <c r="U283" i="37"/>
  <c r="B131" i="37"/>
  <c r="E131" i="37"/>
  <c r="H131" i="37"/>
  <c r="K131" i="37"/>
  <c r="N131" i="37"/>
  <c r="Q131" i="37"/>
  <c r="A132" i="37"/>
  <c r="U131" i="37"/>
  <c r="B284" i="37"/>
  <c r="E284" i="37"/>
  <c r="H284" i="37"/>
  <c r="N284" i="37"/>
  <c r="K284" i="37"/>
  <c r="Q284" i="37"/>
  <c r="U284" i="37"/>
  <c r="A285" i="37"/>
  <c r="B132" i="37"/>
  <c r="E132" i="37"/>
  <c r="H132" i="37"/>
  <c r="N132" i="37"/>
  <c r="K132" i="37"/>
  <c r="Q132" i="37"/>
  <c r="U132" i="37"/>
  <c r="A133" i="37"/>
  <c r="E285" i="37"/>
  <c r="B285" i="37"/>
  <c r="H285" i="37"/>
  <c r="N285" i="37"/>
  <c r="K285" i="37"/>
  <c r="Q285" i="37"/>
  <c r="A286" i="37"/>
  <c r="U285" i="37"/>
  <c r="E286" i="37"/>
  <c r="B286" i="37"/>
  <c r="H286" i="37"/>
  <c r="N286" i="37"/>
  <c r="K286" i="37"/>
  <c r="Q286" i="37"/>
  <c r="U286" i="37"/>
  <c r="A287" i="37"/>
  <c r="E133" i="37"/>
  <c r="B133" i="37"/>
  <c r="H133" i="37"/>
  <c r="N133" i="37"/>
  <c r="K133" i="37"/>
  <c r="Q133" i="37"/>
  <c r="U133" i="37"/>
  <c r="A134" i="37"/>
  <c r="B134" i="37"/>
  <c r="E134" i="37"/>
  <c r="H134" i="37"/>
  <c r="N134" i="37"/>
  <c r="K134" i="37"/>
  <c r="Q134" i="37"/>
  <c r="U134" i="37"/>
  <c r="A135" i="37"/>
  <c r="B287" i="37"/>
  <c r="E287" i="37"/>
  <c r="H287" i="37"/>
  <c r="N287" i="37"/>
  <c r="K287" i="37"/>
  <c r="Q287" i="37"/>
  <c r="A288" i="37"/>
  <c r="U287" i="37"/>
  <c r="B135" i="37"/>
  <c r="E135" i="37"/>
  <c r="N135" i="37"/>
  <c r="H135" i="37"/>
  <c r="K135" i="37"/>
  <c r="Q135" i="37"/>
  <c r="A136" i="37"/>
  <c r="U135" i="37"/>
  <c r="B288" i="37"/>
  <c r="E288" i="37"/>
  <c r="H288" i="37"/>
  <c r="N288" i="37"/>
  <c r="K288" i="37"/>
  <c r="Q288" i="37"/>
  <c r="A289" i="37"/>
  <c r="U288" i="37"/>
  <c r="B136" i="37"/>
  <c r="E136" i="37"/>
  <c r="H136" i="37"/>
  <c r="N136" i="37"/>
  <c r="K136" i="37"/>
  <c r="Q136" i="37"/>
  <c r="A137" i="37"/>
  <c r="U136" i="37"/>
  <c r="B289" i="37"/>
  <c r="E289" i="37"/>
  <c r="H289" i="37"/>
  <c r="N289" i="37"/>
  <c r="K289" i="37"/>
  <c r="Q289" i="37"/>
  <c r="U289" i="37"/>
  <c r="A290" i="37"/>
  <c r="E137" i="37"/>
  <c r="B137" i="37"/>
  <c r="H137" i="37"/>
  <c r="N137" i="37"/>
  <c r="K137" i="37"/>
  <c r="Q137" i="37"/>
  <c r="A138" i="37"/>
  <c r="U137" i="37"/>
  <c r="B290" i="37"/>
  <c r="E290" i="37"/>
  <c r="H290" i="37"/>
  <c r="N290" i="37"/>
  <c r="K290" i="37"/>
  <c r="Q290" i="37"/>
  <c r="U290" i="37"/>
  <c r="A291" i="37"/>
  <c r="B138" i="37"/>
  <c r="E138" i="37"/>
  <c r="H138" i="37"/>
  <c r="N138" i="37"/>
  <c r="K138" i="37"/>
  <c r="Q138" i="37"/>
  <c r="U138" i="37"/>
  <c r="A139" i="37"/>
  <c r="B291" i="37"/>
  <c r="E291" i="37"/>
  <c r="H291" i="37"/>
  <c r="N291" i="37"/>
  <c r="K291" i="37"/>
  <c r="Q291" i="37"/>
  <c r="V290" i="37"/>
  <c r="A292" i="37"/>
  <c r="U291" i="37"/>
  <c r="B292" i="37"/>
  <c r="E292" i="37"/>
  <c r="H292" i="37"/>
  <c r="N292" i="37"/>
  <c r="K292" i="37"/>
  <c r="Q292" i="37"/>
  <c r="V291" i="37"/>
  <c r="A293" i="37"/>
  <c r="U292" i="37"/>
  <c r="B139" i="37"/>
  <c r="E139" i="37"/>
  <c r="H139" i="37"/>
  <c r="N139" i="37"/>
  <c r="K139" i="37"/>
  <c r="Q139" i="37"/>
  <c r="A140" i="37"/>
  <c r="U139" i="37"/>
  <c r="B140" i="37"/>
  <c r="E140" i="37"/>
  <c r="H140" i="37"/>
  <c r="N140" i="37"/>
  <c r="K140" i="37"/>
  <c r="Q140" i="37"/>
  <c r="A141" i="37"/>
  <c r="U140" i="37"/>
  <c r="B293" i="37"/>
  <c r="E293" i="37"/>
  <c r="H293" i="37"/>
  <c r="N293" i="37"/>
  <c r="K293" i="37"/>
  <c r="Q293" i="37"/>
  <c r="A294" i="37"/>
  <c r="U293" i="37"/>
  <c r="B294" i="37"/>
  <c r="E294" i="37"/>
  <c r="N294" i="37"/>
  <c r="H294" i="37"/>
  <c r="K294" i="37"/>
  <c r="Q294" i="37"/>
  <c r="U294" i="37"/>
  <c r="A295" i="37"/>
  <c r="B141" i="37"/>
  <c r="E141" i="37"/>
  <c r="H141" i="37"/>
  <c r="N141" i="37"/>
  <c r="K141" i="37"/>
  <c r="Q141" i="37"/>
  <c r="U141" i="37"/>
  <c r="A142" i="37"/>
  <c r="B142" i="37"/>
  <c r="E142" i="37"/>
  <c r="N142" i="37"/>
  <c r="H142" i="37"/>
  <c r="K142" i="37"/>
  <c r="Q142" i="37"/>
  <c r="U142" i="37"/>
  <c r="A143" i="37"/>
  <c r="B295" i="37"/>
  <c r="E295" i="37"/>
  <c r="N295" i="37"/>
  <c r="H295" i="37"/>
  <c r="K295" i="37"/>
  <c r="Q295" i="37"/>
  <c r="U295" i="37"/>
  <c r="A296" i="37"/>
  <c r="B296" i="37"/>
  <c r="E296" i="37"/>
  <c r="H296" i="37"/>
  <c r="N296" i="37"/>
  <c r="K296" i="37"/>
  <c r="Q296" i="37"/>
  <c r="A297" i="37"/>
  <c r="U296" i="37"/>
  <c r="B143" i="37"/>
  <c r="E143" i="37"/>
  <c r="N143" i="37"/>
  <c r="H143" i="37"/>
  <c r="K143" i="37"/>
  <c r="Q143" i="37"/>
  <c r="U143" i="37"/>
  <c r="A144" i="37"/>
  <c r="B144" i="37"/>
  <c r="E144" i="37"/>
  <c r="H144" i="37"/>
  <c r="N144" i="37"/>
  <c r="K144" i="37"/>
  <c r="Q144" i="37"/>
  <c r="U144" i="37"/>
  <c r="A145" i="37"/>
  <c r="B297" i="37"/>
  <c r="E297" i="37"/>
  <c r="H297" i="37"/>
  <c r="N297" i="37"/>
  <c r="K297" i="37"/>
  <c r="Q297" i="37"/>
  <c r="A298" i="37"/>
  <c r="U297" i="37"/>
  <c r="B145" i="37"/>
  <c r="E145" i="37"/>
  <c r="H145" i="37"/>
  <c r="N145" i="37"/>
  <c r="K145" i="37"/>
  <c r="Q145" i="37"/>
  <c r="A146" i="37"/>
  <c r="U145" i="37"/>
  <c r="B298" i="37"/>
  <c r="E298" i="37"/>
  <c r="H298" i="37"/>
  <c r="N298" i="37"/>
  <c r="K298" i="37"/>
  <c r="Q298" i="37"/>
  <c r="U298" i="37"/>
  <c r="A299" i="37"/>
  <c r="B146" i="37"/>
  <c r="E146" i="37"/>
  <c r="H146" i="37"/>
  <c r="N146" i="37"/>
  <c r="K146" i="37"/>
  <c r="Q146" i="37"/>
  <c r="A147" i="37"/>
  <c r="U146" i="37"/>
  <c r="V145" i="37"/>
  <c r="B299" i="37"/>
  <c r="E299" i="37"/>
  <c r="H299" i="37"/>
  <c r="N299" i="37"/>
  <c r="K299" i="37"/>
  <c r="Q299" i="37"/>
  <c r="V298" i="37"/>
  <c r="A300" i="37"/>
  <c r="U299" i="37"/>
  <c r="B147" i="37"/>
  <c r="E147" i="37"/>
  <c r="H147" i="37"/>
  <c r="N147" i="37"/>
  <c r="K147" i="37"/>
  <c r="Q147" i="37"/>
  <c r="A148" i="37"/>
  <c r="U147" i="37"/>
  <c r="B300" i="37"/>
  <c r="E300" i="37"/>
  <c r="H300" i="37"/>
  <c r="N300" i="37"/>
  <c r="K300" i="37"/>
  <c r="Q300" i="37"/>
  <c r="A301" i="37"/>
  <c r="U300" i="37"/>
  <c r="B301" i="37"/>
  <c r="E301" i="37"/>
  <c r="H301" i="37"/>
  <c r="N301" i="37"/>
  <c r="K301" i="37"/>
  <c r="Q301" i="37"/>
  <c r="U301" i="37"/>
  <c r="A302" i="37"/>
  <c r="E148" i="37"/>
  <c r="B148" i="37"/>
  <c r="H148" i="37"/>
  <c r="N148" i="37"/>
  <c r="K148" i="37"/>
  <c r="Q148" i="37"/>
  <c r="U148" i="37"/>
  <c r="A149" i="37"/>
  <c r="B149" i="37"/>
  <c r="E149" i="37"/>
  <c r="H149" i="37"/>
  <c r="N149" i="37"/>
  <c r="K149" i="37"/>
  <c r="Q149" i="37"/>
  <c r="A150" i="37"/>
  <c r="U149" i="37"/>
  <c r="B302" i="37"/>
  <c r="E302" i="37"/>
  <c r="H302" i="37"/>
  <c r="N302" i="37"/>
  <c r="K302" i="37"/>
  <c r="Q302" i="37"/>
  <c r="U302" i="37"/>
  <c r="A303" i="37"/>
  <c r="B150" i="37"/>
  <c r="E150" i="37"/>
  <c r="H150" i="37"/>
  <c r="N150" i="37"/>
  <c r="K150" i="37"/>
  <c r="Q150" i="37"/>
  <c r="A151" i="37"/>
  <c r="U150" i="37"/>
  <c r="B303" i="37"/>
  <c r="E303" i="37"/>
  <c r="H303" i="37"/>
  <c r="N303" i="37"/>
  <c r="K303" i="37"/>
  <c r="Q303" i="37"/>
  <c r="A304" i="37"/>
  <c r="U303" i="37"/>
  <c r="B304" i="37"/>
  <c r="E304" i="37"/>
  <c r="H304" i="37"/>
  <c r="N304" i="37"/>
  <c r="K304" i="37"/>
  <c r="Q304" i="37"/>
  <c r="U304" i="37"/>
  <c r="A305" i="37"/>
  <c r="B151" i="37"/>
  <c r="E151" i="37"/>
  <c r="N151" i="37"/>
  <c r="H151" i="37"/>
  <c r="K151" i="37"/>
  <c r="Q151" i="37"/>
  <c r="A152" i="37"/>
  <c r="U151" i="37"/>
  <c r="B305" i="37"/>
  <c r="E305" i="37"/>
  <c r="H305" i="37"/>
  <c r="N305" i="37"/>
  <c r="K305" i="37"/>
  <c r="Q305" i="37"/>
  <c r="U305" i="37"/>
  <c r="A306" i="37"/>
  <c r="B152" i="37"/>
  <c r="E152" i="37"/>
  <c r="H152" i="37"/>
  <c r="N152" i="37"/>
  <c r="K152" i="37"/>
  <c r="Q152" i="37"/>
  <c r="A153" i="37"/>
  <c r="U152" i="37"/>
  <c r="B153" i="37"/>
  <c r="E153" i="37"/>
  <c r="H153" i="37"/>
  <c r="N153" i="37"/>
  <c r="K153" i="37"/>
  <c r="Q153" i="37"/>
  <c r="U153" i="37"/>
  <c r="B306" i="37"/>
  <c r="E306" i="37"/>
  <c r="H306" i="37"/>
  <c r="N306" i="37"/>
  <c r="K306" i="37"/>
  <c r="Q306" i="37"/>
  <c r="A307" i="37"/>
  <c r="U306" i="37"/>
  <c r="B307" i="37"/>
  <c r="E307" i="37"/>
  <c r="H307" i="37"/>
  <c r="N307" i="37"/>
  <c r="K307" i="37"/>
  <c r="Q307" i="37"/>
  <c r="U307" i="37"/>
  <c r="A308" i="37"/>
  <c r="B308" i="37"/>
  <c r="E308" i="37"/>
  <c r="H308" i="37"/>
  <c r="N308" i="37"/>
  <c r="K308" i="37"/>
  <c r="Q308" i="37"/>
  <c r="A309" i="37"/>
  <c r="U308" i="37"/>
  <c r="B309" i="37"/>
  <c r="E309" i="37"/>
  <c r="H309" i="37"/>
  <c r="N309" i="37"/>
  <c r="Q309" i="37"/>
  <c r="K309" i="37"/>
  <c r="A310" i="37"/>
  <c r="U309" i="37"/>
  <c r="B310" i="37"/>
  <c r="E310" i="37"/>
  <c r="N310" i="37"/>
  <c r="H310" i="37"/>
  <c r="K310" i="37"/>
  <c r="Q310" i="37"/>
  <c r="A311" i="37"/>
  <c r="U310" i="37"/>
  <c r="B311" i="37"/>
  <c r="E311" i="37"/>
  <c r="N311" i="37"/>
  <c r="H311" i="37"/>
  <c r="K311" i="37"/>
  <c r="Q311" i="37"/>
  <c r="U311" i="37"/>
  <c r="A312" i="37"/>
  <c r="B312" i="37"/>
  <c r="E312" i="37"/>
  <c r="H312" i="37"/>
  <c r="N312" i="37"/>
  <c r="K312" i="37"/>
  <c r="Q312" i="37"/>
  <c r="A313" i="37"/>
  <c r="U312" i="37"/>
  <c r="E313" i="37"/>
  <c r="B313" i="37"/>
  <c r="H313" i="37"/>
  <c r="N313" i="37"/>
  <c r="K313" i="37"/>
  <c r="Q313" i="37"/>
  <c r="U313" i="37"/>
  <c r="A314" i="37"/>
  <c r="B314" i="37"/>
  <c r="E314" i="37"/>
  <c r="H314" i="37"/>
  <c r="N314" i="37"/>
  <c r="K314" i="37"/>
  <c r="Q314" i="37"/>
  <c r="U314" i="37"/>
  <c r="A315" i="37"/>
  <c r="B315" i="37"/>
  <c r="E315" i="37"/>
  <c r="H315" i="37"/>
  <c r="N315" i="37"/>
  <c r="K315" i="37"/>
  <c r="Q315" i="37"/>
  <c r="A316" i="37"/>
  <c r="U315" i="37"/>
  <c r="B316" i="37"/>
  <c r="E316" i="37"/>
  <c r="H316" i="37"/>
  <c r="N316" i="37"/>
  <c r="K316" i="37"/>
  <c r="Q316" i="37"/>
  <c r="A317" i="37"/>
  <c r="U316" i="37"/>
  <c r="B317" i="37"/>
  <c r="E317" i="37"/>
  <c r="H317" i="37"/>
  <c r="N317" i="37"/>
  <c r="K317" i="37"/>
  <c r="Q317" i="37"/>
  <c r="A318" i="37"/>
  <c r="U317" i="37"/>
  <c r="B318" i="37"/>
  <c r="E318" i="37"/>
  <c r="H318" i="37"/>
  <c r="N318" i="37"/>
  <c r="K318" i="37"/>
  <c r="Q318" i="37"/>
  <c r="U318" i="37"/>
  <c r="A319" i="37"/>
  <c r="B319" i="37"/>
  <c r="E319" i="37"/>
  <c r="H319" i="37"/>
  <c r="N319" i="37"/>
  <c r="K319" i="37"/>
  <c r="Q319" i="37"/>
  <c r="A320" i="37"/>
  <c r="U319" i="37"/>
  <c r="B320" i="37"/>
  <c r="E320" i="37"/>
  <c r="H320" i="37"/>
  <c r="N320" i="37"/>
  <c r="K320" i="37"/>
  <c r="Q320" i="37"/>
  <c r="U320" i="37"/>
  <c r="A321" i="37"/>
  <c r="B321" i="37"/>
  <c r="E321" i="37"/>
  <c r="H321" i="37"/>
  <c r="N321" i="37"/>
  <c r="K321" i="37"/>
  <c r="Q321" i="37"/>
  <c r="U321" i="37"/>
  <c r="A322" i="37"/>
  <c r="B322" i="37"/>
  <c r="E322" i="37"/>
  <c r="H322" i="37"/>
  <c r="K322" i="37"/>
  <c r="N322" i="37"/>
  <c r="Q322" i="37"/>
  <c r="A323" i="37"/>
  <c r="U322" i="37"/>
  <c r="B323" i="37"/>
  <c r="E323" i="37"/>
  <c r="H323" i="37"/>
  <c r="K323" i="37"/>
  <c r="N323" i="37"/>
  <c r="Q323" i="37"/>
  <c r="A324" i="37"/>
  <c r="U323" i="37"/>
  <c r="E324" i="37"/>
  <c r="B324" i="37"/>
  <c r="H324" i="37"/>
  <c r="N324" i="37"/>
  <c r="K324" i="37"/>
  <c r="Q324" i="37"/>
  <c r="U324" i="37"/>
  <c r="A325" i="37"/>
  <c r="E325" i="37"/>
  <c r="B325" i="37"/>
  <c r="H325" i="37"/>
  <c r="N325" i="37"/>
  <c r="Q325" i="37"/>
  <c r="K325" i="37"/>
  <c r="U325" i="37"/>
  <c r="A326" i="37"/>
  <c r="B326" i="37"/>
  <c r="E326" i="37"/>
  <c r="N326" i="37"/>
  <c r="H326" i="37"/>
  <c r="K326" i="37"/>
  <c r="Q326" i="37"/>
  <c r="U326" i="37"/>
  <c r="A327" i="37"/>
  <c r="B327" i="37"/>
  <c r="E327" i="37"/>
  <c r="N327" i="37"/>
  <c r="H327" i="37"/>
  <c r="K327" i="37"/>
  <c r="Q327" i="37"/>
  <c r="A328" i="37"/>
  <c r="U327" i="37"/>
  <c r="B328" i="37"/>
  <c r="E328" i="37"/>
  <c r="H328" i="37"/>
  <c r="N328" i="37"/>
  <c r="K328" i="37"/>
  <c r="Q328" i="37"/>
  <c r="A329" i="37"/>
  <c r="U328" i="37"/>
  <c r="B329" i="37"/>
  <c r="E329" i="37"/>
  <c r="H329" i="37"/>
  <c r="N329" i="37"/>
  <c r="K329" i="37"/>
  <c r="Q329" i="37"/>
  <c r="A330" i="37"/>
  <c r="U329" i="37"/>
  <c r="B330" i="37"/>
  <c r="H330" i="37"/>
  <c r="E330" i="37"/>
  <c r="N330" i="37"/>
  <c r="K330" i="37"/>
  <c r="Q330" i="37"/>
  <c r="U330" i="37"/>
  <c r="A331" i="37"/>
  <c r="B331" i="37"/>
  <c r="E331" i="37"/>
  <c r="H331" i="37"/>
  <c r="N331" i="37"/>
  <c r="K331" i="37"/>
  <c r="Q331" i="37"/>
  <c r="U331" i="37"/>
  <c r="A332" i="37"/>
  <c r="B332" i="37"/>
  <c r="E332" i="37"/>
  <c r="H332" i="37"/>
  <c r="N332" i="37"/>
  <c r="K332" i="37"/>
  <c r="Q332" i="37"/>
  <c r="U332" i="37"/>
  <c r="A333" i="37"/>
  <c r="B333" i="37"/>
  <c r="E333" i="37"/>
  <c r="H333" i="37"/>
  <c r="N333" i="37"/>
  <c r="Q333" i="37"/>
  <c r="K333" i="37"/>
  <c r="A334" i="37"/>
  <c r="U333" i="37"/>
  <c r="B334" i="37"/>
  <c r="E334" i="37"/>
  <c r="H334" i="37"/>
  <c r="N334" i="37"/>
  <c r="K334" i="37"/>
  <c r="Q334" i="37"/>
  <c r="A335" i="37"/>
  <c r="U334" i="37"/>
  <c r="B335" i="37"/>
  <c r="H335" i="37"/>
  <c r="N335" i="37"/>
  <c r="E335" i="37"/>
  <c r="K335" i="37"/>
  <c r="Q335" i="37"/>
  <c r="U335" i="37"/>
  <c r="A336" i="37"/>
  <c r="B336" i="37"/>
  <c r="E336" i="37"/>
  <c r="H336" i="37"/>
  <c r="N336" i="37"/>
  <c r="K336" i="37"/>
  <c r="Q336" i="37"/>
  <c r="U336" i="37"/>
  <c r="A337" i="37"/>
  <c r="B337" i="37"/>
  <c r="E337" i="37"/>
  <c r="H337" i="37"/>
  <c r="N337" i="37"/>
  <c r="K337" i="37"/>
  <c r="Q337" i="37"/>
  <c r="U337" i="37"/>
  <c r="A338" i="37"/>
  <c r="B338" i="37"/>
  <c r="E338" i="37"/>
  <c r="H338" i="37"/>
  <c r="N338" i="37"/>
  <c r="K338" i="37"/>
  <c r="Q338" i="37"/>
  <c r="A339" i="37"/>
  <c r="U338" i="37"/>
  <c r="B339" i="37"/>
  <c r="E339" i="37"/>
  <c r="H339" i="37"/>
  <c r="N339" i="37"/>
  <c r="K339" i="37"/>
  <c r="Q339" i="37"/>
  <c r="U339" i="37"/>
  <c r="A340" i="37"/>
  <c r="B340" i="37"/>
  <c r="E340" i="37"/>
  <c r="H340" i="37"/>
  <c r="N340" i="37"/>
  <c r="K340" i="37"/>
  <c r="Q340" i="37"/>
  <c r="A341" i="37"/>
  <c r="U340" i="37"/>
  <c r="B341" i="37"/>
  <c r="E341" i="37"/>
  <c r="H341" i="37"/>
  <c r="N341" i="37"/>
  <c r="Q341" i="37"/>
  <c r="K341" i="37"/>
  <c r="A342" i="37"/>
  <c r="U341" i="37"/>
  <c r="B342" i="37"/>
  <c r="E342" i="37"/>
  <c r="N342" i="37"/>
  <c r="H342" i="37"/>
  <c r="K342" i="37"/>
  <c r="Q342" i="37"/>
  <c r="A343" i="37"/>
  <c r="U342" i="37"/>
  <c r="B343" i="37"/>
  <c r="E343" i="37"/>
  <c r="N343" i="37"/>
  <c r="H343" i="37"/>
  <c r="K343" i="37"/>
  <c r="Q343" i="37"/>
  <c r="U343" i="37"/>
  <c r="A344" i="37"/>
  <c r="B344" i="37"/>
  <c r="E344" i="37"/>
  <c r="H344" i="37"/>
  <c r="N344" i="37"/>
  <c r="K344" i="37"/>
  <c r="Q344" i="37"/>
  <c r="U344" i="37"/>
  <c r="A345" i="37"/>
  <c r="B345" i="37"/>
  <c r="E345" i="37"/>
  <c r="H345" i="37"/>
  <c r="N345" i="37"/>
  <c r="K345" i="37"/>
  <c r="Q345" i="37"/>
  <c r="U345" i="37"/>
  <c r="A346" i="37"/>
  <c r="B346" i="37"/>
  <c r="H346" i="37"/>
  <c r="E346" i="37"/>
  <c r="N346" i="37"/>
  <c r="K346" i="37"/>
  <c r="Q346" i="37"/>
  <c r="A347" i="37"/>
  <c r="U346" i="37"/>
  <c r="B347" i="37"/>
  <c r="E347" i="37"/>
  <c r="H347" i="37"/>
  <c r="N347" i="37"/>
  <c r="K347" i="37"/>
  <c r="Q347" i="37"/>
  <c r="U347" i="37"/>
  <c r="A348" i="37"/>
  <c r="B348" i="37"/>
  <c r="E348" i="37"/>
  <c r="H348" i="37"/>
  <c r="N348" i="37"/>
  <c r="K348" i="37"/>
  <c r="Q348" i="37"/>
  <c r="U348" i="37"/>
  <c r="A349" i="37"/>
  <c r="E349" i="37"/>
  <c r="B349" i="37"/>
  <c r="H349" i="37"/>
  <c r="N349" i="37"/>
  <c r="K349" i="37"/>
  <c r="Q349" i="37"/>
  <c r="U349" i="37"/>
  <c r="A350" i="37"/>
  <c r="B350" i="37"/>
  <c r="E350" i="37"/>
  <c r="H350" i="37"/>
  <c r="N350" i="37"/>
  <c r="K350" i="37"/>
  <c r="Q350" i="37"/>
  <c r="U350" i="37"/>
  <c r="A351" i="37"/>
  <c r="B351" i="37"/>
  <c r="E351" i="37"/>
  <c r="H351" i="37"/>
  <c r="N351" i="37"/>
  <c r="K351" i="37"/>
  <c r="Q351" i="37"/>
  <c r="U351" i="37"/>
  <c r="A352" i="37"/>
  <c r="B352" i="37"/>
  <c r="E352" i="37"/>
  <c r="H352" i="37"/>
  <c r="N352" i="37"/>
  <c r="K352" i="37"/>
  <c r="Q352" i="37"/>
  <c r="A353" i="37"/>
  <c r="U352" i="37"/>
  <c r="B353" i="37"/>
  <c r="E353" i="37"/>
  <c r="H353" i="37"/>
  <c r="N353" i="37"/>
  <c r="K353" i="37"/>
  <c r="Q353" i="37"/>
  <c r="A354" i="37"/>
  <c r="U353" i="37"/>
  <c r="B354" i="37"/>
  <c r="E354" i="37"/>
  <c r="H354" i="37"/>
  <c r="K354" i="37"/>
  <c r="N354" i="37"/>
  <c r="Q354" i="37"/>
  <c r="U354" i="37"/>
  <c r="A355" i="37"/>
  <c r="B355" i="37"/>
  <c r="E355" i="37"/>
  <c r="H355" i="37"/>
  <c r="K355" i="37"/>
  <c r="N355" i="37"/>
  <c r="Q355" i="37"/>
  <c r="U355" i="37"/>
  <c r="A356" i="37"/>
  <c r="B356" i="37"/>
  <c r="E356" i="37"/>
  <c r="H356" i="37"/>
  <c r="N356" i="37"/>
  <c r="K356" i="37"/>
  <c r="Q356" i="37"/>
  <c r="U356" i="37"/>
  <c r="A357" i="37"/>
  <c r="B357" i="37"/>
  <c r="E357" i="37"/>
  <c r="H357" i="37"/>
  <c r="N357" i="37"/>
  <c r="Q357" i="37"/>
  <c r="K357" i="37"/>
  <c r="U357" i="37"/>
  <c r="A358" i="37"/>
  <c r="B358" i="37"/>
  <c r="E358" i="37"/>
  <c r="N358" i="37"/>
  <c r="H358" i="37"/>
  <c r="K358" i="37"/>
  <c r="Q358" i="37"/>
  <c r="A359" i="37"/>
  <c r="U358" i="37"/>
  <c r="B359" i="37"/>
  <c r="E359" i="37"/>
  <c r="N359" i="37"/>
  <c r="H359" i="37"/>
  <c r="K359" i="37"/>
  <c r="Q359" i="37"/>
  <c r="A360" i="37"/>
  <c r="U359" i="37"/>
  <c r="B360" i="37"/>
  <c r="E360" i="37"/>
  <c r="H360" i="37"/>
  <c r="N360" i="37"/>
  <c r="K360" i="37"/>
  <c r="Q360" i="37"/>
  <c r="A361" i="37"/>
  <c r="U360" i="37"/>
  <c r="B361" i="37"/>
  <c r="E361" i="37"/>
  <c r="H361" i="37"/>
  <c r="N361" i="37"/>
  <c r="K361" i="37"/>
  <c r="Q361" i="37"/>
  <c r="U361" i="37"/>
  <c r="A362" i="37"/>
  <c r="B362" i="37"/>
  <c r="H362" i="37"/>
  <c r="E362" i="37"/>
  <c r="N362" i="37"/>
  <c r="K362" i="37"/>
  <c r="Q362" i="37"/>
  <c r="A363" i="37"/>
  <c r="U362" i="37"/>
  <c r="B363" i="37"/>
  <c r="E363" i="37"/>
  <c r="H363" i="37"/>
  <c r="N363" i="37"/>
  <c r="K363" i="37"/>
  <c r="Q363" i="37"/>
  <c r="V362" i="37"/>
  <c r="U363" i="37"/>
  <c r="A364" i="37"/>
  <c r="B364" i="37"/>
  <c r="E364" i="37"/>
  <c r="H364" i="37"/>
  <c r="N364" i="37"/>
  <c r="K364" i="37"/>
  <c r="Q364" i="37"/>
  <c r="V363" i="37"/>
  <c r="U364" i="37"/>
  <c r="A365" i="37"/>
  <c r="B365" i="37"/>
  <c r="E365" i="37"/>
  <c r="H365" i="37"/>
  <c r="N365" i="37"/>
  <c r="Q365" i="37"/>
  <c r="K365" i="37"/>
  <c r="U365" i="37"/>
  <c r="A366" i="37"/>
  <c r="B366" i="37"/>
  <c r="E366" i="37"/>
  <c r="H366" i="37"/>
  <c r="N366" i="37"/>
  <c r="K366" i="37"/>
  <c r="Q366" i="37"/>
  <c r="U366" i="37"/>
  <c r="A367" i="37"/>
  <c r="B367" i="37"/>
  <c r="E367" i="37"/>
  <c r="N367" i="37"/>
  <c r="H367" i="37"/>
  <c r="K367" i="37"/>
  <c r="Q367" i="37"/>
  <c r="A368" i="37"/>
  <c r="U367" i="37"/>
  <c r="B368" i="37"/>
  <c r="E368" i="37"/>
  <c r="H368" i="37"/>
  <c r="N368" i="37"/>
  <c r="K368" i="37"/>
  <c r="Q368" i="37"/>
  <c r="A369" i="37"/>
  <c r="U368" i="37"/>
  <c r="B369" i="37"/>
  <c r="E369" i="37"/>
  <c r="N369" i="37"/>
  <c r="H369" i="37"/>
  <c r="K369" i="37"/>
  <c r="Q369" i="37"/>
  <c r="A370" i="37"/>
  <c r="U369" i="37"/>
  <c r="B370" i="37"/>
  <c r="E370" i="37"/>
  <c r="H370" i="37"/>
  <c r="N370" i="37"/>
  <c r="K370" i="37"/>
  <c r="Q370" i="37"/>
  <c r="A371" i="37"/>
  <c r="U370" i="37"/>
  <c r="B371" i="37"/>
  <c r="E371" i="37"/>
  <c r="H371" i="37"/>
  <c r="N371" i="37"/>
  <c r="K371" i="37"/>
  <c r="Q371" i="37"/>
  <c r="A372" i="37"/>
  <c r="U371" i="37"/>
  <c r="B372" i="37"/>
  <c r="H372" i="37"/>
  <c r="E372" i="37"/>
  <c r="N372" i="37"/>
  <c r="K372" i="37"/>
  <c r="Q372" i="37"/>
  <c r="A373" i="37"/>
  <c r="U372" i="37"/>
  <c r="B373" i="37"/>
  <c r="E373" i="37"/>
  <c r="H373" i="37"/>
  <c r="N373" i="37"/>
  <c r="Q373" i="37"/>
  <c r="K373" i="37"/>
  <c r="U373" i="37"/>
  <c r="A374" i="37"/>
  <c r="E374" i="37"/>
  <c r="B374" i="37"/>
  <c r="H374" i="37"/>
  <c r="N374" i="37"/>
  <c r="K374" i="37"/>
  <c r="Q374" i="37"/>
  <c r="U374" i="37"/>
  <c r="A375" i="37"/>
  <c r="B375" i="37"/>
  <c r="E375" i="37"/>
  <c r="H375" i="37"/>
  <c r="N375" i="37"/>
  <c r="K375" i="37"/>
  <c r="Q375" i="37"/>
  <c r="A376" i="37"/>
  <c r="U375" i="37"/>
  <c r="B376" i="37"/>
  <c r="E376" i="37"/>
  <c r="H376" i="37"/>
  <c r="N376" i="37"/>
  <c r="K376" i="37"/>
  <c r="Q376" i="37"/>
  <c r="A377" i="37"/>
  <c r="U376" i="37"/>
  <c r="B377" i="37"/>
  <c r="E377" i="37"/>
  <c r="N377" i="37"/>
  <c r="K377" i="37"/>
  <c r="H377" i="37"/>
  <c r="Q377" i="37"/>
  <c r="A378" i="37"/>
  <c r="U377" i="37"/>
  <c r="B378" i="37"/>
  <c r="E378" i="37"/>
  <c r="N378" i="37"/>
  <c r="H378" i="37"/>
  <c r="K378" i="37"/>
  <c r="Q378" i="37"/>
  <c r="U378" i="37"/>
  <c r="A379" i="37"/>
  <c r="B379" i="37"/>
  <c r="E379" i="37"/>
  <c r="H379" i="37"/>
  <c r="N379" i="37"/>
  <c r="K379" i="37"/>
  <c r="Q379" i="37"/>
  <c r="U379" i="37"/>
  <c r="A380" i="37"/>
  <c r="B380" i="37"/>
  <c r="E380" i="37"/>
  <c r="H380" i="37"/>
  <c r="N380" i="37"/>
  <c r="K380" i="37"/>
  <c r="Q380" i="37"/>
  <c r="V379" i="37"/>
  <c r="A381" i="37"/>
  <c r="U380" i="37"/>
  <c r="B381" i="37"/>
  <c r="E381" i="37"/>
  <c r="H381" i="37"/>
  <c r="N381" i="37"/>
  <c r="K381" i="37"/>
  <c r="Q381" i="37"/>
  <c r="A382" i="37"/>
  <c r="U381" i="37"/>
  <c r="B382" i="37"/>
  <c r="E382" i="37"/>
  <c r="N382" i="37"/>
  <c r="H382" i="37"/>
  <c r="K382" i="37"/>
  <c r="Q382" i="37"/>
  <c r="A383" i="37"/>
  <c r="U382" i="37"/>
  <c r="B383" i="37"/>
  <c r="E383" i="37"/>
  <c r="N383" i="37"/>
  <c r="H383" i="37"/>
  <c r="K383" i="37"/>
  <c r="Q383" i="37"/>
  <c r="U383" i="37"/>
  <c r="A384" i="37"/>
  <c r="B384" i="37"/>
  <c r="E384" i="37"/>
  <c r="H384" i="37"/>
  <c r="N384" i="37"/>
  <c r="K384" i="37"/>
  <c r="Q384" i="37"/>
  <c r="A385" i="37"/>
  <c r="U384" i="37"/>
  <c r="B385" i="37"/>
  <c r="E385" i="37"/>
  <c r="H385" i="37"/>
  <c r="N385" i="37"/>
  <c r="K385" i="37"/>
  <c r="Q385" i="37"/>
  <c r="U385" i="37"/>
  <c r="A386" i="37"/>
  <c r="B386" i="37"/>
  <c r="E386" i="37"/>
  <c r="H386" i="37"/>
  <c r="K386" i="37"/>
  <c r="N386" i="37"/>
  <c r="Q386" i="37"/>
  <c r="U386" i="37"/>
  <c r="A387" i="37"/>
  <c r="B387" i="37"/>
  <c r="E387" i="37"/>
  <c r="H387" i="37"/>
  <c r="K387" i="37"/>
  <c r="N387" i="37"/>
  <c r="Q387" i="37"/>
  <c r="A388" i="37"/>
  <c r="U387" i="37"/>
  <c r="B388" i="37"/>
  <c r="E388" i="37"/>
  <c r="H388" i="37"/>
  <c r="N388" i="37"/>
  <c r="K388" i="37"/>
  <c r="Q388" i="37"/>
  <c r="A389" i="37"/>
  <c r="U388" i="37"/>
  <c r="E389" i="37"/>
  <c r="B389" i="37"/>
  <c r="H389" i="37"/>
  <c r="N389" i="37"/>
  <c r="Q389" i="37"/>
  <c r="K389" i="37"/>
  <c r="U389" i="37"/>
  <c r="A390" i="37"/>
  <c r="B390" i="37"/>
  <c r="E390" i="37"/>
  <c r="H390" i="37"/>
  <c r="N390" i="37"/>
  <c r="K390" i="37"/>
  <c r="Q390" i="37"/>
  <c r="U390" i="37"/>
  <c r="A391" i="37"/>
  <c r="B391" i="37"/>
  <c r="E391" i="37"/>
  <c r="H391" i="37"/>
  <c r="N391" i="37"/>
  <c r="K391" i="37"/>
  <c r="Q391" i="37"/>
  <c r="A392" i="37"/>
  <c r="U391" i="37"/>
  <c r="B392" i="37"/>
  <c r="E392" i="37"/>
  <c r="H392" i="37"/>
  <c r="N392" i="37"/>
  <c r="K392" i="37"/>
  <c r="Q392" i="37"/>
  <c r="A393" i="37"/>
  <c r="U392" i="37"/>
  <c r="B393" i="37"/>
  <c r="E393" i="37"/>
  <c r="H393" i="37"/>
  <c r="N393" i="37"/>
  <c r="K393" i="37"/>
  <c r="Q393" i="37"/>
  <c r="U393" i="37"/>
  <c r="A394" i="37"/>
  <c r="B394" i="37"/>
  <c r="E394" i="37"/>
  <c r="H394" i="37"/>
  <c r="N394" i="37"/>
  <c r="K394" i="37"/>
  <c r="Q394" i="37"/>
  <c r="U394" i="37"/>
  <c r="A395" i="37"/>
  <c r="B395" i="37"/>
  <c r="E395" i="37"/>
  <c r="H395" i="37"/>
  <c r="N395" i="37"/>
  <c r="K395" i="37"/>
  <c r="Q395" i="37"/>
  <c r="A396" i="37"/>
  <c r="U395" i="37"/>
  <c r="B396" i="37"/>
  <c r="E396" i="37"/>
  <c r="N396" i="37"/>
  <c r="H396" i="37"/>
  <c r="K396" i="37"/>
  <c r="Q396" i="37"/>
  <c r="U396" i="37"/>
  <c r="A397" i="37"/>
  <c r="B397" i="37"/>
  <c r="E397" i="37"/>
  <c r="N397" i="37"/>
  <c r="H397" i="37"/>
  <c r="Q397" i="37"/>
  <c r="K397" i="37"/>
  <c r="A398" i="37"/>
  <c r="U397" i="37"/>
  <c r="B398" i="37"/>
  <c r="E398" i="37"/>
  <c r="H398" i="37"/>
  <c r="N398" i="37"/>
  <c r="K398" i="37"/>
  <c r="Q398" i="37"/>
  <c r="U398" i="37"/>
  <c r="A399" i="37"/>
  <c r="B399" i="37"/>
  <c r="E399" i="37"/>
  <c r="H399" i="37"/>
  <c r="N399" i="37"/>
  <c r="K399" i="37"/>
  <c r="Q399" i="37"/>
  <c r="A400" i="37"/>
  <c r="U399" i="37"/>
  <c r="B400" i="37"/>
  <c r="E400" i="37"/>
  <c r="H400" i="37"/>
  <c r="N400" i="37"/>
  <c r="K400" i="37"/>
  <c r="Q400" i="37"/>
  <c r="A401" i="37"/>
  <c r="U400" i="37"/>
  <c r="B401" i="37"/>
  <c r="H401" i="37"/>
  <c r="N401" i="37"/>
  <c r="E401" i="37"/>
  <c r="K401" i="37"/>
  <c r="Q401" i="37"/>
  <c r="U401" i="37"/>
  <c r="A402" i="37"/>
  <c r="B402" i="37"/>
  <c r="E402" i="37"/>
  <c r="H402" i="37"/>
  <c r="N402" i="37"/>
  <c r="K402" i="37"/>
  <c r="Q402" i="37"/>
  <c r="U402" i="37"/>
  <c r="A403" i="37"/>
  <c r="B403" i="37"/>
  <c r="E403" i="37"/>
  <c r="H403" i="37"/>
  <c r="N403" i="37"/>
  <c r="K403" i="37"/>
  <c r="Q403" i="37"/>
  <c r="U403" i="37"/>
  <c r="A404" i="37"/>
  <c r="B404" i="37"/>
  <c r="E404" i="37"/>
  <c r="H404" i="37"/>
  <c r="N404" i="37"/>
  <c r="K404" i="37"/>
  <c r="Q404" i="37"/>
  <c r="U404" i="37"/>
  <c r="A405" i="37"/>
  <c r="B405" i="37"/>
  <c r="E405" i="37"/>
  <c r="H405" i="37"/>
  <c r="N405" i="37"/>
  <c r="Q405" i="37"/>
  <c r="K405" i="37"/>
  <c r="A406" i="37"/>
  <c r="U405" i="37"/>
  <c r="B406" i="37"/>
  <c r="E406" i="37"/>
  <c r="H406" i="37"/>
  <c r="N406" i="37"/>
  <c r="K406" i="37"/>
  <c r="Q406" i="37"/>
  <c r="A407" i="37"/>
  <c r="U406" i="37"/>
  <c r="B407" i="37"/>
  <c r="E407" i="37"/>
  <c r="H407" i="37"/>
  <c r="N407" i="37"/>
  <c r="K407" i="37"/>
  <c r="Q407" i="37"/>
  <c r="U407" i="37"/>
  <c r="A408" i="37"/>
  <c r="B408" i="37"/>
  <c r="E408" i="37"/>
  <c r="H408" i="37"/>
  <c r="N408" i="37"/>
  <c r="K408" i="37"/>
  <c r="Q408" i="37"/>
  <c r="A409" i="37"/>
  <c r="U408" i="37"/>
  <c r="B409" i="37"/>
  <c r="E409" i="37"/>
  <c r="H409" i="37"/>
  <c r="N409" i="37"/>
  <c r="K409" i="37"/>
  <c r="Q409" i="37"/>
  <c r="A410" i="37"/>
  <c r="U409" i="37"/>
  <c r="B410" i="37"/>
  <c r="E410" i="37"/>
  <c r="H410" i="37"/>
  <c r="N410" i="37"/>
  <c r="K410" i="37"/>
  <c r="Q410" i="37"/>
  <c r="U410" i="37"/>
  <c r="A411" i="37"/>
  <c r="B411" i="37"/>
  <c r="E411" i="37"/>
  <c r="H411" i="37"/>
  <c r="N411" i="37"/>
  <c r="K411" i="37"/>
  <c r="Q411" i="37"/>
  <c r="V410" i="37"/>
  <c r="U411" i="37"/>
  <c r="A412" i="37"/>
  <c r="B412" i="37"/>
  <c r="E412" i="37"/>
  <c r="H412" i="37"/>
  <c r="N412" i="37"/>
  <c r="K412" i="37"/>
  <c r="Q412" i="37"/>
  <c r="V411" i="37"/>
  <c r="A413" i="37"/>
  <c r="U412" i="37"/>
  <c r="B413" i="37"/>
  <c r="E413" i="37"/>
  <c r="H413" i="37"/>
  <c r="N413" i="37"/>
  <c r="K413" i="37"/>
  <c r="Q413" i="37"/>
  <c r="A414" i="37"/>
  <c r="U413" i="37"/>
  <c r="B414" i="37"/>
  <c r="E414" i="37"/>
  <c r="H414" i="37"/>
  <c r="N414" i="37"/>
  <c r="K414" i="37"/>
  <c r="Q414" i="37"/>
  <c r="U414" i="37"/>
  <c r="A415" i="37"/>
  <c r="B415" i="37"/>
  <c r="H415" i="37"/>
  <c r="N415" i="37"/>
  <c r="E415" i="37"/>
  <c r="K415" i="37"/>
  <c r="Q415" i="37"/>
  <c r="U415" i="37"/>
  <c r="A416" i="37"/>
  <c r="B416" i="37"/>
  <c r="E416" i="37"/>
  <c r="H416" i="37"/>
  <c r="N416" i="37"/>
  <c r="K416" i="37"/>
  <c r="Q416" i="37"/>
  <c r="A417" i="37"/>
  <c r="U416" i="37"/>
  <c r="B417" i="37"/>
  <c r="E417" i="37"/>
  <c r="H417" i="37"/>
  <c r="N417" i="37"/>
  <c r="K417" i="37"/>
  <c r="Q417" i="37"/>
  <c r="U417" i="37"/>
  <c r="A418" i="37"/>
  <c r="B418" i="37"/>
  <c r="E418" i="37"/>
  <c r="H418" i="37"/>
  <c r="N418" i="37"/>
  <c r="K418" i="37"/>
  <c r="Q418" i="37"/>
  <c r="A419" i="37"/>
  <c r="U418" i="37"/>
  <c r="B419" i="37"/>
  <c r="E419" i="37"/>
  <c r="H419" i="37"/>
  <c r="N419" i="37"/>
  <c r="K419" i="37"/>
  <c r="Q419" i="37"/>
  <c r="U419" i="37"/>
  <c r="A420" i="37"/>
  <c r="B420" i="37"/>
  <c r="H420" i="37"/>
  <c r="E420" i="37"/>
  <c r="N420" i="37"/>
  <c r="K420" i="37"/>
  <c r="Q420" i="37"/>
  <c r="A421" i="37"/>
  <c r="U420" i="37"/>
  <c r="B421" i="37"/>
  <c r="E421" i="37"/>
  <c r="H421" i="37"/>
  <c r="N421" i="37"/>
  <c r="Q421" i="37"/>
  <c r="K421" i="37"/>
  <c r="A422" i="37"/>
  <c r="U421" i="37"/>
  <c r="B422" i="37"/>
  <c r="E422" i="37"/>
  <c r="H422" i="37"/>
  <c r="N422" i="37"/>
  <c r="K422" i="37"/>
  <c r="Q422" i="37"/>
  <c r="A423" i="37"/>
  <c r="U422" i="37"/>
  <c r="B423" i="37"/>
  <c r="E423" i="37"/>
  <c r="N423" i="37"/>
  <c r="H423" i="37"/>
  <c r="K423" i="37"/>
  <c r="Q423" i="37"/>
  <c r="A424" i="37"/>
  <c r="U423" i="37"/>
  <c r="B424" i="37"/>
  <c r="E424" i="37"/>
  <c r="H424" i="37"/>
  <c r="N424" i="37"/>
  <c r="K424" i="37"/>
  <c r="Q424" i="37"/>
  <c r="A425" i="37"/>
  <c r="U424" i="37"/>
  <c r="B425" i="37"/>
  <c r="E425" i="37"/>
  <c r="N425" i="37"/>
  <c r="H425" i="37"/>
  <c r="K425" i="37"/>
  <c r="Q425" i="37"/>
  <c r="U425" i="37"/>
  <c r="A426" i="37"/>
  <c r="E426" i="37"/>
  <c r="B426" i="37"/>
  <c r="H426" i="37"/>
  <c r="N426" i="37"/>
  <c r="K426" i="37"/>
  <c r="Q426" i="37"/>
  <c r="A427" i="37"/>
  <c r="U426" i="37"/>
  <c r="B427" i="37"/>
  <c r="E427" i="37"/>
  <c r="H427" i="37"/>
  <c r="N427" i="37"/>
  <c r="K427" i="37"/>
  <c r="Q427" i="37"/>
  <c r="U427" i="37"/>
  <c r="A428" i="37"/>
  <c r="B428" i="37"/>
  <c r="E428" i="37"/>
  <c r="H428" i="37"/>
  <c r="N428" i="37"/>
  <c r="K428" i="37"/>
  <c r="Q428" i="37"/>
  <c r="V427" i="37"/>
  <c r="A429" i="37"/>
  <c r="U428" i="37"/>
  <c r="B429" i="37"/>
  <c r="E429" i="37"/>
  <c r="H429" i="37"/>
  <c r="N429" i="37"/>
  <c r="Q429" i="37"/>
  <c r="K429" i="37"/>
  <c r="U429" i="37"/>
  <c r="A430" i="37"/>
  <c r="B430" i="37"/>
  <c r="E430" i="37"/>
  <c r="H430" i="37"/>
  <c r="N430" i="37"/>
  <c r="K430" i="37"/>
  <c r="Q430" i="37"/>
  <c r="U430" i="37"/>
  <c r="A431" i="37"/>
  <c r="B431" i="37"/>
  <c r="H431" i="37"/>
  <c r="E431" i="37"/>
  <c r="N431" i="37"/>
  <c r="K431" i="37"/>
  <c r="Q431" i="37"/>
  <c r="U431" i="37"/>
  <c r="A432" i="37"/>
  <c r="B432" i="37"/>
  <c r="E432" i="37"/>
  <c r="H432" i="37"/>
  <c r="N432" i="37"/>
  <c r="K432" i="37"/>
  <c r="Q432" i="37"/>
  <c r="A433" i="37"/>
  <c r="U432" i="37"/>
  <c r="B433" i="37"/>
  <c r="E433" i="37"/>
  <c r="H433" i="37"/>
  <c r="N433" i="37"/>
  <c r="K433" i="37"/>
  <c r="Q433" i="37"/>
  <c r="U433" i="37"/>
  <c r="A434" i="37"/>
  <c r="B434" i="37"/>
  <c r="E434" i="37"/>
  <c r="H434" i="37"/>
  <c r="N434" i="37"/>
  <c r="K434" i="37"/>
  <c r="Q434" i="37"/>
  <c r="U434" i="37"/>
  <c r="A435" i="37"/>
  <c r="B435" i="37"/>
  <c r="E435" i="37"/>
  <c r="H435" i="37"/>
  <c r="N435" i="37"/>
  <c r="K435" i="37"/>
  <c r="Q435" i="37"/>
  <c r="V434" i="37"/>
  <c r="U435" i="37"/>
  <c r="A436" i="37"/>
  <c r="B436" i="37"/>
  <c r="E436" i="37"/>
  <c r="H436" i="37"/>
  <c r="N436" i="37"/>
  <c r="K436" i="37"/>
  <c r="Q436" i="37"/>
  <c r="U436" i="37"/>
  <c r="A437" i="37"/>
  <c r="B437" i="37"/>
  <c r="E437" i="37"/>
  <c r="H437" i="37"/>
  <c r="N437" i="37"/>
  <c r="Q437" i="37"/>
  <c r="K437" i="37"/>
  <c r="A438" i="37"/>
  <c r="U437" i="37"/>
  <c r="B438" i="37"/>
  <c r="E438" i="37"/>
  <c r="H438" i="37"/>
  <c r="N438" i="37"/>
  <c r="K438" i="37"/>
  <c r="Q438" i="37"/>
  <c r="A439" i="37"/>
  <c r="U438" i="37"/>
  <c r="B439" i="37"/>
  <c r="E439" i="37"/>
  <c r="H439" i="37"/>
  <c r="N439" i="37"/>
  <c r="K439" i="37"/>
  <c r="Q439" i="37"/>
  <c r="U439" i="37"/>
  <c r="A440" i="37"/>
  <c r="B440" i="37"/>
  <c r="E440" i="37"/>
  <c r="H440" i="37"/>
  <c r="N440" i="37"/>
  <c r="K440" i="37"/>
  <c r="Q440" i="37"/>
  <c r="U440" i="37"/>
  <c r="A441" i="37"/>
  <c r="E441" i="37"/>
  <c r="B441" i="37"/>
  <c r="H441" i="37"/>
  <c r="N441" i="37"/>
  <c r="K441" i="37"/>
  <c r="Q441" i="37"/>
  <c r="U441" i="37"/>
  <c r="A442" i="37"/>
  <c r="B442" i="37"/>
  <c r="E442" i="37"/>
  <c r="H442" i="37"/>
  <c r="N442" i="37"/>
  <c r="K442" i="37"/>
  <c r="Q442" i="37"/>
  <c r="A443" i="37"/>
  <c r="U442" i="37"/>
  <c r="B443" i="37"/>
  <c r="H443" i="37"/>
  <c r="E443" i="37"/>
  <c r="N443" i="37"/>
  <c r="K443" i="37"/>
  <c r="Q443" i="37"/>
  <c r="V442" i="37"/>
  <c r="U443" i="37"/>
  <c r="A444" i="37"/>
  <c r="B444" i="37"/>
  <c r="E444" i="37"/>
  <c r="H444" i="37"/>
  <c r="N444" i="37"/>
  <c r="K444" i="37"/>
  <c r="Q444" i="37"/>
  <c r="V443" i="37"/>
  <c r="A445" i="37"/>
  <c r="U444" i="37"/>
  <c r="B445" i="37"/>
  <c r="E445" i="37"/>
  <c r="H445" i="37"/>
  <c r="N445" i="37"/>
  <c r="K445" i="37"/>
  <c r="Q445" i="37"/>
  <c r="U445" i="37"/>
  <c r="A446" i="37"/>
  <c r="B446" i="37"/>
  <c r="E446" i="37"/>
  <c r="H446" i="37"/>
  <c r="N446" i="37"/>
  <c r="K446" i="37"/>
  <c r="Q446" i="37"/>
  <c r="A447" i="37"/>
  <c r="U446" i="37"/>
  <c r="B447" i="37"/>
  <c r="E447" i="37"/>
  <c r="H447" i="37"/>
  <c r="N447" i="37"/>
  <c r="K447" i="37"/>
  <c r="Q447" i="37"/>
  <c r="A448" i="37"/>
  <c r="U447" i="37"/>
  <c r="B448" i="37"/>
  <c r="E448" i="37"/>
  <c r="H448" i="37"/>
  <c r="N448" i="37"/>
  <c r="K448" i="37"/>
  <c r="Q448" i="37"/>
  <c r="U448" i="37"/>
  <c r="A449" i="37"/>
  <c r="B449" i="37"/>
  <c r="E449" i="37"/>
  <c r="H449" i="37"/>
  <c r="N449" i="37"/>
  <c r="K449" i="37"/>
  <c r="Q449" i="37"/>
  <c r="U449" i="37"/>
  <c r="A450" i="37"/>
  <c r="B450" i="37"/>
  <c r="E450" i="37"/>
  <c r="H450" i="37"/>
  <c r="K450" i="37"/>
  <c r="N450" i="37"/>
  <c r="Q450" i="37"/>
  <c r="U450" i="37"/>
  <c r="A451" i="37"/>
  <c r="B451" i="37"/>
  <c r="E451" i="37"/>
  <c r="H451" i="37"/>
  <c r="K451" i="37"/>
  <c r="N451" i="37"/>
  <c r="Q451" i="37"/>
  <c r="U451" i="37"/>
  <c r="A452" i="37"/>
  <c r="B452" i="37"/>
  <c r="E452" i="37"/>
  <c r="N452" i="37"/>
  <c r="H452" i="37"/>
  <c r="K452" i="37"/>
  <c r="Q452" i="37"/>
  <c r="A453" i="37"/>
  <c r="U452" i="37"/>
  <c r="V451" i="37"/>
  <c r="E453" i="37"/>
  <c r="B453" i="37"/>
  <c r="H453" i="37"/>
  <c r="N453" i="37"/>
  <c r="Q453" i="37"/>
  <c r="K453" i="37"/>
  <c r="V452" i="37"/>
  <c r="A454" i="37"/>
  <c r="U453" i="37"/>
  <c r="B454" i="37"/>
  <c r="E454" i="37"/>
  <c r="H454" i="37"/>
  <c r="N454" i="37"/>
  <c r="K454" i="37"/>
  <c r="Q454" i="37"/>
  <c r="A455" i="37"/>
  <c r="U454" i="37"/>
  <c r="B455" i="37"/>
  <c r="E455" i="37"/>
  <c r="H455" i="37"/>
  <c r="N455" i="37"/>
  <c r="K455" i="37"/>
  <c r="Q455" i="37"/>
  <c r="A456" i="37"/>
  <c r="U455" i="37"/>
  <c r="B456" i="37"/>
  <c r="E456" i="37"/>
  <c r="H456" i="37"/>
  <c r="N456" i="37"/>
  <c r="K456" i="37"/>
  <c r="Q456" i="37"/>
  <c r="U456" i="37"/>
  <c r="A457" i="37"/>
  <c r="B457" i="37"/>
  <c r="E457" i="37"/>
  <c r="H457" i="37"/>
  <c r="N457" i="37"/>
  <c r="K457" i="37"/>
  <c r="Q457" i="37"/>
  <c r="A458" i="37"/>
  <c r="U457" i="37"/>
  <c r="B458" i="37"/>
  <c r="H458" i="37"/>
  <c r="E458" i="37"/>
  <c r="N458" i="37"/>
  <c r="K458" i="37"/>
  <c r="Q458" i="37"/>
  <c r="A459" i="37"/>
  <c r="U458" i="37"/>
  <c r="B459" i="37"/>
  <c r="E459" i="37"/>
  <c r="H459" i="37"/>
  <c r="N459" i="37"/>
  <c r="K459" i="37"/>
  <c r="Q459" i="37"/>
  <c r="V458" i="37"/>
  <c r="U459" i="37"/>
  <c r="A460" i="37"/>
  <c r="B460" i="37"/>
  <c r="E460" i="37"/>
  <c r="N460" i="37"/>
  <c r="K460" i="37"/>
  <c r="H460" i="37"/>
  <c r="Q460" i="37"/>
  <c r="A461" i="37"/>
  <c r="U460" i="37"/>
  <c r="B461" i="37"/>
  <c r="E461" i="37"/>
  <c r="N461" i="37"/>
  <c r="H461" i="37"/>
  <c r="Q461" i="37"/>
  <c r="K461" i="37"/>
  <c r="U461" i="37"/>
  <c r="A462" i="37"/>
  <c r="B462" i="37"/>
  <c r="E462" i="37"/>
  <c r="H462" i="37"/>
  <c r="N462" i="37"/>
  <c r="K462" i="37"/>
  <c r="Q462" i="37"/>
  <c r="U462" i="37"/>
  <c r="A463" i="37"/>
  <c r="B463" i="37"/>
  <c r="E463" i="37"/>
  <c r="N463" i="37"/>
  <c r="H463" i="37"/>
  <c r="K463" i="37"/>
  <c r="Q463" i="37"/>
  <c r="U463" i="37"/>
  <c r="A464" i="37"/>
  <c r="B464" i="37"/>
  <c r="E464" i="37"/>
  <c r="H464" i="37"/>
  <c r="N464" i="37"/>
  <c r="K464" i="37"/>
  <c r="Q464" i="37"/>
  <c r="A465" i="37"/>
  <c r="U464" i="37"/>
  <c r="B465" i="37"/>
  <c r="E465" i="37"/>
  <c r="H465" i="37"/>
  <c r="N465" i="37"/>
  <c r="K465" i="37"/>
  <c r="Q465" i="37"/>
  <c r="A466" i="37"/>
  <c r="U465" i="37"/>
  <c r="B466" i="37"/>
  <c r="E466" i="37"/>
  <c r="H466" i="37"/>
  <c r="N466" i="37"/>
  <c r="K466" i="37"/>
  <c r="Q466" i="37"/>
  <c r="U466" i="37"/>
  <c r="A467" i="37"/>
  <c r="B467" i="37"/>
  <c r="E467" i="37"/>
  <c r="H467" i="37"/>
  <c r="N467" i="37"/>
  <c r="K467" i="37"/>
  <c r="Q467" i="37"/>
  <c r="A468" i="37"/>
  <c r="U467" i="37"/>
  <c r="B468" i="37"/>
  <c r="E468" i="37"/>
  <c r="H468" i="37"/>
  <c r="N468" i="37"/>
  <c r="K468" i="37"/>
  <c r="Q468" i="37"/>
  <c r="V467" i="37"/>
  <c r="A469" i="37"/>
  <c r="U468" i="37"/>
  <c r="B469" i="37"/>
  <c r="E469" i="37"/>
  <c r="H469" i="37"/>
  <c r="N469" i="37"/>
  <c r="Q469" i="37"/>
  <c r="K469" i="37"/>
  <c r="A470" i="37"/>
  <c r="U469" i="37"/>
  <c r="B470" i="37"/>
  <c r="E470" i="37"/>
  <c r="H470" i="37"/>
  <c r="N470" i="37"/>
  <c r="K470" i="37"/>
  <c r="Q470" i="37"/>
  <c r="A471" i="37"/>
  <c r="U470" i="37"/>
  <c r="B471" i="37"/>
  <c r="E471" i="37"/>
  <c r="N471" i="37"/>
  <c r="H471" i="37"/>
  <c r="K471" i="37"/>
  <c r="Q471" i="37"/>
  <c r="U471" i="37"/>
  <c r="A472" i="37"/>
  <c r="B472" i="37"/>
  <c r="E472" i="37"/>
  <c r="H472" i="37"/>
  <c r="N472" i="37"/>
  <c r="K472" i="37"/>
  <c r="Q472" i="37"/>
  <c r="A473" i="37"/>
  <c r="U472" i="37"/>
  <c r="B473" i="37"/>
  <c r="E473" i="37"/>
  <c r="N473" i="37"/>
  <c r="H473" i="37"/>
  <c r="K473" i="37"/>
  <c r="Q473" i="37"/>
  <c r="A474" i="37"/>
  <c r="U473" i="37"/>
  <c r="B474" i="37"/>
  <c r="H474" i="37"/>
  <c r="E474" i="37"/>
  <c r="N474" i="37"/>
  <c r="K474" i="37"/>
  <c r="Q474" i="37"/>
  <c r="A475" i="37"/>
  <c r="U474" i="37"/>
  <c r="V473" i="37"/>
  <c r="B475" i="37"/>
  <c r="H475" i="37"/>
  <c r="E475" i="37"/>
  <c r="N475" i="37"/>
  <c r="K475" i="37"/>
  <c r="Q475" i="37"/>
  <c r="A476" i="37"/>
  <c r="U475" i="37"/>
  <c r="B476" i="37"/>
  <c r="E476" i="37"/>
  <c r="H476" i="37"/>
  <c r="N476" i="37"/>
  <c r="K476" i="37"/>
  <c r="Q476" i="37"/>
  <c r="A477" i="37"/>
  <c r="U476" i="37"/>
  <c r="E477" i="37"/>
  <c r="B477" i="37"/>
  <c r="H477" i="37"/>
  <c r="N477" i="37"/>
  <c r="K477" i="37"/>
  <c r="Q477" i="37"/>
  <c r="A478" i="37"/>
  <c r="U477" i="37"/>
  <c r="B478" i="37"/>
  <c r="E478" i="37"/>
  <c r="H478" i="37"/>
  <c r="N478" i="37"/>
  <c r="K478" i="37"/>
  <c r="Q478" i="37"/>
  <c r="A479" i="37"/>
  <c r="U478" i="37"/>
  <c r="B479" i="37"/>
  <c r="E479" i="37"/>
  <c r="H479" i="37"/>
  <c r="N479" i="37"/>
  <c r="K479" i="37"/>
  <c r="Q479" i="37"/>
  <c r="A480" i="37"/>
  <c r="U479" i="37"/>
  <c r="B480" i="37"/>
  <c r="E480" i="37"/>
  <c r="H480" i="37"/>
  <c r="N480" i="37"/>
  <c r="K480" i="37"/>
  <c r="Q480" i="37"/>
  <c r="A481" i="37"/>
  <c r="U480" i="37"/>
  <c r="B481" i="37"/>
  <c r="E481" i="37"/>
  <c r="H481" i="37"/>
  <c r="N481" i="37"/>
  <c r="K481" i="37"/>
  <c r="Q481" i="37"/>
  <c r="A482" i="37"/>
  <c r="U481" i="37"/>
  <c r="B482" i="37"/>
  <c r="E482" i="37"/>
  <c r="H482" i="37"/>
  <c r="K482" i="37"/>
  <c r="N482" i="37"/>
  <c r="Q482" i="37"/>
  <c r="U482" i="37"/>
  <c r="A483" i="37"/>
  <c r="B483" i="37"/>
  <c r="E483" i="37"/>
  <c r="H483" i="37"/>
  <c r="K483" i="37"/>
  <c r="N483" i="37"/>
  <c r="Q483" i="37"/>
  <c r="A484" i="37"/>
  <c r="U483" i="37"/>
  <c r="B484" i="37"/>
  <c r="E484" i="37"/>
  <c r="H484" i="37"/>
  <c r="N484" i="37"/>
  <c r="K484" i="37"/>
  <c r="Q484" i="37"/>
  <c r="V483" i="37"/>
  <c r="A485" i="37"/>
  <c r="U484" i="37"/>
  <c r="B485" i="37"/>
  <c r="E485" i="37"/>
  <c r="H485" i="37"/>
  <c r="N485" i="37"/>
  <c r="Q485" i="37"/>
  <c r="K485" i="37"/>
  <c r="A486" i="37"/>
  <c r="U485" i="37"/>
  <c r="B486" i="37"/>
  <c r="E486" i="37"/>
  <c r="N486" i="37"/>
  <c r="K486" i="37"/>
  <c r="H486" i="37"/>
  <c r="Q486" i="37"/>
  <c r="A487" i="37"/>
  <c r="U486" i="37"/>
  <c r="B487" i="37"/>
  <c r="E487" i="37"/>
  <c r="H487" i="37"/>
  <c r="N487" i="37"/>
  <c r="K487" i="37"/>
  <c r="Q487" i="37"/>
  <c r="U487" i="37"/>
  <c r="A488" i="37"/>
  <c r="B488" i="37"/>
  <c r="E488" i="37"/>
  <c r="H488" i="37"/>
  <c r="N488" i="37"/>
  <c r="K488" i="37"/>
  <c r="Q488" i="37"/>
  <c r="A489" i="37"/>
  <c r="U488" i="37"/>
  <c r="B489" i="37"/>
  <c r="E489" i="37"/>
  <c r="N489" i="37"/>
  <c r="H489" i="37"/>
  <c r="K489" i="37"/>
  <c r="Q489" i="37"/>
  <c r="U489" i="37"/>
  <c r="A490" i="37"/>
  <c r="B490" i="37"/>
  <c r="E490" i="37"/>
  <c r="H490" i="37"/>
  <c r="N490" i="37"/>
  <c r="K490" i="37"/>
  <c r="Q490" i="37"/>
  <c r="A491" i="37"/>
  <c r="U490" i="37"/>
  <c r="B491" i="37"/>
  <c r="E491" i="37"/>
  <c r="H491" i="37"/>
  <c r="N491" i="37"/>
  <c r="K491" i="37"/>
  <c r="Q491" i="37"/>
  <c r="A492" i="37"/>
  <c r="U491" i="37"/>
  <c r="E492" i="37"/>
  <c r="B492" i="37"/>
  <c r="H492" i="37"/>
  <c r="N492" i="37"/>
  <c r="K492" i="37"/>
  <c r="Q492" i="37"/>
  <c r="U492" i="37"/>
  <c r="A493" i="37"/>
  <c r="B493" i="37"/>
  <c r="E493" i="37"/>
  <c r="H493" i="37"/>
  <c r="N493" i="37"/>
  <c r="Q493" i="37"/>
  <c r="K493" i="37"/>
  <c r="U493" i="37"/>
  <c r="A494" i="37"/>
  <c r="B494" i="37"/>
  <c r="E494" i="37"/>
  <c r="H494" i="37"/>
  <c r="N494" i="37"/>
  <c r="K494" i="37"/>
  <c r="Q494" i="37"/>
  <c r="A495" i="37"/>
  <c r="U494" i="37"/>
  <c r="B495" i="37"/>
  <c r="E495" i="37"/>
  <c r="H495" i="37"/>
  <c r="N495" i="37"/>
  <c r="K495" i="37"/>
  <c r="Q495" i="37"/>
  <c r="U495" i="37"/>
  <c r="A496" i="37"/>
  <c r="B496" i="37"/>
  <c r="E496" i="37"/>
  <c r="H496" i="37"/>
  <c r="N496" i="37"/>
  <c r="K496" i="37"/>
  <c r="Q496" i="37"/>
  <c r="U496" i="37"/>
  <c r="A497" i="37"/>
  <c r="B497" i="37"/>
  <c r="E497" i="37"/>
  <c r="N497" i="37"/>
  <c r="H497" i="37"/>
  <c r="K497" i="37"/>
  <c r="Q497" i="37"/>
  <c r="U497" i="37"/>
  <c r="A498" i="37"/>
  <c r="B498" i="37"/>
  <c r="E498" i="37"/>
  <c r="H498" i="37"/>
  <c r="N498" i="37"/>
  <c r="K498" i="37"/>
  <c r="Q498" i="37"/>
  <c r="U498" i="37"/>
  <c r="A499" i="37"/>
  <c r="B499" i="37"/>
  <c r="E499" i="37"/>
  <c r="H499" i="37"/>
  <c r="N499" i="37"/>
  <c r="K499" i="37"/>
  <c r="Q499" i="37"/>
  <c r="A500" i="37"/>
  <c r="U499" i="37"/>
  <c r="B500" i="37"/>
  <c r="E500" i="37"/>
  <c r="H500" i="37"/>
  <c r="N500" i="37"/>
  <c r="K500" i="37"/>
  <c r="Q500" i="37"/>
  <c r="V499" i="37"/>
  <c r="U500" i="37"/>
  <c r="A501" i="37"/>
  <c r="B501" i="37"/>
  <c r="E501" i="37"/>
  <c r="H501" i="37"/>
  <c r="N501" i="37"/>
  <c r="Q501" i="37"/>
  <c r="K501" i="37"/>
  <c r="U501" i="37"/>
  <c r="P18" i="26"/>
  <c r="Q18" i="26"/>
  <c r="P5" i="26"/>
  <c r="Q5" i="26"/>
  <c r="O53" i="25"/>
  <c r="D17" i="19"/>
  <c r="D13" i="19"/>
  <c r="L53" i="25"/>
  <c r="D15" i="19"/>
  <c r="D8" i="19"/>
  <c r="D10" i="19"/>
  <c r="D18" i="19"/>
  <c r="D14" i="19"/>
  <c r="D12" i="19"/>
  <c r="D11" i="19"/>
  <c r="D16" i="19"/>
  <c r="N53" i="25"/>
  <c r="K53" i="25"/>
  <c r="D9" i="19"/>
  <c r="D19" i="19"/>
  <c r="M53" i="25"/>
  <c r="G32" i="32" l="1"/>
  <c r="H32" i="32" s="1"/>
  <c r="G29" i="32"/>
  <c r="A22" i="32"/>
  <c r="H79" i="32"/>
  <c r="E21" i="32"/>
  <c r="D9" i="25"/>
  <c r="C22" i="32"/>
  <c r="H768" i="37"/>
  <c r="K768" i="37"/>
  <c r="Q768" i="37"/>
  <c r="E768" i="37"/>
  <c r="N768" i="37"/>
  <c r="U768" i="37"/>
  <c r="A769" i="37"/>
  <c r="B720" i="37"/>
  <c r="H720" i="37"/>
  <c r="E720" i="37"/>
  <c r="N720" i="37"/>
  <c r="K720" i="37"/>
  <c r="Q720" i="37"/>
  <c r="A721" i="37"/>
  <c r="U720" i="37"/>
  <c r="E775" i="37"/>
  <c r="U775" i="37"/>
  <c r="H775" i="37"/>
  <c r="Q775" i="37"/>
  <c r="N775" i="37"/>
  <c r="A776" i="37"/>
  <c r="H528" i="37"/>
  <c r="K528" i="37"/>
  <c r="A529" i="37"/>
  <c r="A613" i="37"/>
  <c r="V612" i="37" s="1"/>
  <c r="U612" i="37"/>
  <c r="B612" i="37"/>
  <c r="H612" i="37"/>
  <c r="K612" i="37"/>
  <c r="U767" i="37"/>
  <c r="U528" i="37"/>
  <c r="U590" i="37"/>
  <c r="B590" i="37"/>
  <c r="A591" i="37"/>
  <c r="E590" i="37"/>
  <c r="N590" i="37"/>
  <c r="H590" i="37"/>
  <c r="K590" i="37"/>
  <c r="E528" i="37"/>
  <c r="B528" i="37"/>
  <c r="P32" i="25"/>
  <c r="Q32" i="25"/>
  <c r="N612" i="37"/>
  <c r="H767" i="37"/>
  <c r="K767" i="37"/>
  <c r="Q767" i="37"/>
  <c r="E766" i="37"/>
  <c r="N766" i="37"/>
  <c r="K766" i="37"/>
  <c r="U766" i="37"/>
  <c r="A656" i="37"/>
  <c r="V773" i="37"/>
  <c r="V503" i="37"/>
  <c r="M48" i="32"/>
  <c r="V502" i="37"/>
  <c r="N505" i="37"/>
  <c r="A506" i="37"/>
  <c r="E527" i="37"/>
  <c r="E526" i="37"/>
  <c r="N525" i="37"/>
  <c r="E505" i="37"/>
  <c r="V611" i="37"/>
  <c r="H525" i="37"/>
  <c r="M83" i="13"/>
  <c r="V768" i="37"/>
  <c r="V610" i="37"/>
  <c r="V767" i="37"/>
  <c r="Q801" i="37"/>
  <c r="V766" i="37"/>
  <c r="V528" i="37"/>
  <c r="N22" i="13"/>
  <c r="V765" i="37"/>
  <c r="V719" i="37"/>
  <c r="V655" i="37"/>
  <c r="V527" i="37"/>
  <c r="A802" i="37"/>
  <c r="V801" i="37"/>
  <c r="V718" i="37"/>
  <c r="V654" i="37"/>
  <c r="V590" i="37"/>
  <c r="V526" i="37"/>
  <c r="V800" i="37"/>
  <c r="V589" i="37"/>
  <c r="V525" i="37"/>
  <c r="V799" i="37"/>
  <c r="V763" i="37"/>
  <c r="V588" i="37"/>
  <c r="V524" i="37"/>
  <c r="V798" i="37"/>
  <c r="V523" i="37"/>
  <c r="V797" i="37"/>
  <c r="V762" i="37"/>
  <c r="V522" i="37"/>
  <c r="V775" i="37"/>
  <c r="V505" i="37"/>
  <c r="N1405" i="15"/>
  <c r="P67" i="26"/>
  <c r="Q67" i="26" s="1"/>
  <c r="AE70" i="13"/>
  <c r="AP70" i="13" s="1"/>
  <c r="R83" i="25"/>
  <c r="U84" i="25"/>
  <c r="AD66" i="13"/>
  <c r="AL66" i="13" s="1"/>
  <c r="U67" i="25"/>
  <c r="U74" i="25"/>
  <c r="AF87" i="13"/>
  <c r="AQ87" i="13" s="1"/>
  <c r="H32" i="25"/>
  <c r="X71" i="25"/>
  <c r="T81" i="25"/>
  <c r="D34" i="32"/>
  <c r="S76" i="25"/>
  <c r="H30" i="25"/>
  <c r="U79" i="25"/>
  <c r="N33" i="13"/>
  <c r="S79" i="25"/>
  <c r="E18" i="26"/>
  <c r="L163" i="13"/>
  <c r="M66" i="13"/>
  <c r="Q45" i="13"/>
  <c r="G66" i="25"/>
  <c r="Q41" i="13"/>
  <c r="I46" i="32"/>
  <c r="J46" i="32" s="1"/>
  <c r="M46" i="32" s="1"/>
  <c r="I40" i="32"/>
  <c r="J40" i="32" s="1"/>
  <c r="M40" i="32" s="1"/>
  <c r="N9" i="24"/>
  <c r="O9" i="24" s="1"/>
  <c r="W51" i="13"/>
  <c r="Z51" i="13" s="1"/>
  <c r="AA51" i="13" s="1"/>
  <c r="N66" i="25" s="1"/>
  <c r="M73" i="13"/>
  <c r="G14" i="26"/>
  <c r="AR83" i="13"/>
  <c r="N83" i="13"/>
  <c r="X83" i="13" s="1"/>
  <c r="AB83" i="13" s="1"/>
  <c r="AC83" i="13" s="1"/>
  <c r="L43" i="13" s="1"/>
  <c r="P32" i="32" s="1"/>
  <c r="AR51" i="13"/>
  <c r="AC67" i="24"/>
  <c r="AC68" i="24" s="1"/>
  <c r="AO84" i="24"/>
  <c r="AN85" i="24" s="1"/>
  <c r="AO81" i="24"/>
  <c r="AO83" i="24" s="1"/>
  <c r="AN84" i="24" s="1"/>
  <c r="AD87" i="13"/>
  <c r="G6" i="13"/>
  <c r="T77" i="25"/>
  <c r="U77" i="25" s="1"/>
  <c r="U75" i="25"/>
  <c r="N28" i="13"/>
  <c r="N16" i="13"/>
  <c r="W83" i="13"/>
  <c r="Z83" i="13" s="1"/>
  <c r="AA83" i="13" s="1"/>
  <c r="K43" i="13" s="1"/>
  <c r="G30" i="25"/>
  <c r="Y72" i="25"/>
  <c r="K63" i="32"/>
  <c r="K19" i="25" s="1"/>
  <c r="B9" i="25"/>
  <c r="E15" i="25"/>
  <c r="AD73" i="13"/>
  <c r="AL73" i="13" s="1"/>
  <c r="M6" i="24"/>
  <c r="I47" i="32"/>
  <c r="K47" i="32" s="1"/>
  <c r="L47" i="32" s="1"/>
  <c r="V47" i="32" s="1"/>
  <c r="N16" i="24"/>
  <c r="O16" i="24" s="1"/>
  <c r="AH62" i="24"/>
  <c r="AH63" i="24"/>
  <c r="AN82" i="24"/>
  <c r="G16" i="25"/>
  <c r="E79" i="32"/>
  <c r="H190" i="24"/>
  <c r="P66" i="26"/>
  <c r="Q66" i="26" s="1"/>
  <c r="AD67" i="24"/>
  <c r="AD68" i="24" s="1"/>
  <c r="A45" i="24"/>
  <c r="G12" i="25"/>
  <c r="G79" i="32"/>
  <c r="D12" i="25"/>
  <c r="D79" i="32"/>
  <c r="P7" i="26"/>
  <c r="AN98" i="24"/>
  <c r="AO97" i="24" s="1"/>
  <c r="A191" i="24"/>
  <c r="N21" i="13"/>
  <c r="Y66" i="25"/>
  <c r="Q40" i="13"/>
  <c r="L165" i="13"/>
  <c r="F33" i="32"/>
  <c r="X43" i="13"/>
  <c r="N20" i="13"/>
  <c r="U76" i="25"/>
  <c r="S67" i="25"/>
  <c r="T83" i="25"/>
  <c r="U83" i="25" s="1"/>
  <c r="Q44" i="13"/>
  <c r="R66" i="25"/>
  <c r="J42" i="13"/>
  <c r="D32" i="32"/>
  <c r="M32" i="32" s="1"/>
  <c r="W66" i="13"/>
  <c r="Z66" i="13" s="1"/>
  <c r="AA66" i="13" s="1"/>
  <c r="K40" i="13" s="1"/>
  <c r="D31" i="32"/>
  <c r="Q43" i="13"/>
  <c r="T68" i="25"/>
  <c r="U68" i="25" s="1"/>
  <c r="N51" i="13"/>
  <c r="X51" i="13" s="1"/>
  <c r="AB51" i="13" s="1"/>
  <c r="AC51" i="13" s="1"/>
  <c r="O66" i="25" s="1"/>
  <c r="AE87" i="13"/>
  <c r="AP87" i="13" s="1"/>
  <c r="B9" i="13"/>
  <c r="C9" i="13" s="1"/>
  <c r="Q42" i="13"/>
  <c r="S74" i="25"/>
  <c r="R77" i="25"/>
  <c r="X81" i="25"/>
  <c r="R73" i="25"/>
  <c r="W87" i="13"/>
  <c r="Z87" i="13" s="1"/>
  <c r="AA87" i="13" s="1"/>
  <c r="K44" i="13" s="1"/>
  <c r="R44" i="13" s="1"/>
  <c r="S75" i="25"/>
  <c r="M87" i="13"/>
  <c r="R75" i="25"/>
  <c r="Y75" i="25"/>
  <c r="M70" i="13"/>
  <c r="X73" i="25"/>
  <c r="X79" i="25"/>
  <c r="T70" i="25"/>
  <c r="U70" i="25" s="1"/>
  <c r="R81" i="25"/>
  <c r="R79" i="25"/>
  <c r="Y77" i="25"/>
  <c r="AF117" i="13"/>
  <c r="AQ117" i="13" s="1"/>
  <c r="M33" i="32"/>
  <c r="K40" i="32"/>
  <c r="L40" i="32" s="1"/>
  <c r="V40" i="32" s="1"/>
  <c r="AF70" i="13"/>
  <c r="AQ70" i="13" s="1"/>
  <c r="N15" i="24"/>
  <c r="O15" i="24" s="1"/>
  <c r="N66" i="13"/>
  <c r="X66" i="13" s="1"/>
  <c r="AB66" i="13" s="1"/>
  <c r="AC66" i="13" s="1"/>
  <c r="AF83" i="13"/>
  <c r="AQ83" i="13" s="1"/>
  <c r="I44" i="32"/>
  <c r="J44" i="32" s="1"/>
  <c r="M44" i="32" s="1"/>
  <c r="O10" i="24"/>
  <c r="AF73" i="13"/>
  <c r="AQ73" i="13" s="1"/>
  <c r="M167" i="13"/>
  <c r="M168" i="13" s="1"/>
  <c r="N13" i="24"/>
  <c r="O13" i="24" s="1"/>
  <c r="H34" i="32"/>
  <c r="H11" i="25" s="1"/>
  <c r="G11" i="25"/>
  <c r="G9" i="25"/>
  <c r="H29" i="32"/>
  <c r="H9" i="25" s="1"/>
  <c r="H50" i="32"/>
  <c r="H15" i="25" s="1"/>
  <c r="B6" i="25"/>
  <c r="I92" i="32"/>
  <c r="D25" i="25" s="1"/>
  <c r="L25" i="25" s="1"/>
  <c r="N35" i="24"/>
  <c r="M29" i="32"/>
  <c r="G17" i="25"/>
  <c r="A51" i="32"/>
  <c r="C5" i="25"/>
  <c r="B11" i="25"/>
  <c r="J41" i="32"/>
  <c r="M41" i="32" s="1"/>
  <c r="K41" i="32"/>
  <c r="L41" i="32" s="1"/>
  <c r="N5" i="24"/>
  <c r="AE117" i="13"/>
  <c r="AP117" i="13" s="1"/>
  <c r="M51" i="13"/>
  <c r="H66" i="25" s="1"/>
  <c r="AD117" i="13"/>
  <c r="AL117" i="13" s="1"/>
  <c r="I49" i="32"/>
  <c r="J49" i="32" s="1"/>
  <c r="M49" i="32" s="1"/>
  <c r="N8" i="24"/>
  <c r="N14" i="24"/>
  <c r="O14" i="24" s="1"/>
  <c r="AD70" i="13"/>
  <c r="AL70" i="13" s="1"/>
  <c r="M8" i="24"/>
  <c r="I45" i="32"/>
  <c r="J45" i="32" s="1"/>
  <c r="M45" i="32" s="1"/>
  <c r="M5" i="24"/>
  <c r="J39" i="32"/>
  <c r="M39" i="32" s="1"/>
  <c r="K39" i="32"/>
  <c r="L39" i="32" s="1"/>
  <c r="L197" i="24"/>
  <c r="B197" i="24"/>
  <c r="P197" i="24"/>
  <c r="N197" i="24"/>
  <c r="A198" i="24"/>
  <c r="F197" i="24"/>
  <c r="T197" i="24"/>
  <c r="V197" i="24"/>
  <c r="H197" i="24"/>
  <c r="J197" i="24"/>
  <c r="I12" i="25"/>
  <c r="J35" i="32"/>
  <c r="K35" i="32"/>
  <c r="L35" i="32" s="1"/>
  <c r="L12" i="25" s="1"/>
  <c r="B39" i="25" s="1"/>
  <c r="E36" i="24"/>
  <c r="M36" i="24" s="1"/>
  <c r="N36" i="24" s="1"/>
  <c r="AG67" i="24"/>
  <c r="AG68" i="24" s="1"/>
  <c r="AG69" i="24" s="1"/>
  <c r="AG70" i="24" s="1"/>
  <c r="E34" i="24"/>
  <c r="M34" i="24" s="1"/>
  <c r="N34" i="24" s="1"/>
  <c r="AH67" i="24"/>
  <c r="AH68" i="24" s="1"/>
  <c r="AB67" i="24"/>
  <c r="AB66" i="24"/>
  <c r="E30" i="24" s="1"/>
  <c r="M30" i="24" s="1"/>
  <c r="N30" i="24" s="1"/>
  <c r="AI67" i="24"/>
  <c r="AI68" i="24" s="1"/>
  <c r="E37" i="24"/>
  <c r="M37" i="24" s="1"/>
  <c r="N37" i="24" s="1"/>
  <c r="Z67" i="24"/>
  <c r="Z68" i="24" s="1"/>
  <c r="Z69" i="24" s="1"/>
  <c r="Z70" i="24" s="1"/>
  <c r="Z71" i="24" s="1"/>
  <c r="Z72" i="24" s="1"/>
  <c r="Z73" i="24" s="1"/>
  <c r="Z74" i="24" s="1"/>
  <c r="Z75" i="24" s="1"/>
  <c r="Z76" i="24" s="1"/>
  <c r="Z77" i="24" s="1"/>
  <c r="Z78" i="24" s="1"/>
  <c r="Z66" i="24"/>
  <c r="E28" i="24" s="1"/>
  <c r="M28" i="24" s="1"/>
  <c r="N17" i="24"/>
  <c r="O17" i="24" s="1"/>
  <c r="L190" i="24"/>
  <c r="N33" i="24"/>
  <c r="C8" i="37"/>
  <c r="D9" i="37" s="1"/>
  <c r="N73" i="13"/>
  <c r="X73" i="13" s="1"/>
  <c r="AB73" i="13" s="1"/>
  <c r="AC73" i="13" s="1"/>
  <c r="L42" i="13" s="1"/>
  <c r="P31" i="32" s="1"/>
  <c r="AE51" i="13"/>
  <c r="AP51" i="13" s="1"/>
  <c r="R85" i="25"/>
  <c r="U81" i="25"/>
  <c r="J40" i="13"/>
  <c r="M42" i="13" a="1"/>
  <c r="M42" i="13" s="1"/>
  <c r="I31" i="32" s="1"/>
  <c r="S40" i="13"/>
  <c r="N32" i="13"/>
  <c r="U8" i="19"/>
  <c r="V8" i="19"/>
  <c r="Q8" i="19"/>
  <c r="J37" i="32"/>
  <c r="M37" i="32" s="1"/>
  <c r="K37" i="32"/>
  <c r="L37" i="32" s="1"/>
  <c r="K36" i="32"/>
  <c r="L36" i="32" s="1"/>
  <c r="J36" i="32"/>
  <c r="M36" i="32" s="1"/>
  <c r="N87" i="13"/>
  <c r="X87" i="13" s="1"/>
  <c r="I44" i="13" s="1"/>
  <c r="N6" i="24"/>
  <c r="K48" i="32"/>
  <c r="L48" i="32" s="1"/>
  <c r="W73" i="13"/>
  <c r="Z73" i="13" s="1"/>
  <c r="AA73" i="13" s="1"/>
  <c r="K42" i="13" s="1"/>
  <c r="R42" i="13" s="1"/>
  <c r="O18" i="24"/>
  <c r="AL87" i="13"/>
  <c r="O4" i="24"/>
  <c r="U72" i="25"/>
  <c r="Y4" i="24"/>
  <c r="AK58" i="24"/>
  <c r="L166" i="13"/>
  <c r="N166" i="13" s="1"/>
  <c r="J8" i="37"/>
  <c r="AK78" i="24"/>
  <c r="AK60" i="24"/>
  <c r="AK47" i="24"/>
  <c r="AK50" i="24"/>
  <c r="AK65" i="24"/>
  <c r="I43" i="13"/>
  <c r="N32" i="32" s="1"/>
  <c r="O32" i="25"/>
  <c r="M34" i="32"/>
  <c r="T66" i="25"/>
  <c r="S66" i="25"/>
  <c r="M8" i="27"/>
  <c r="P8" i="27" s="1"/>
  <c r="M7" i="27"/>
  <c r="P7" i="27" s="1"/>
  <c r="R67" i="25"/>
  <c r="X67" i="25"/>
  <c r="L162" i="13"/>
  <c r="X82" i="25"/>
  <c r="F18" i="26"/>
  <c r="AD83" i="13"/>
  <c r="AL83" i="13" s="1"/>
  <c r="W70" i="13"/>
  <c r="Z70" i="13" s="1"/>
  <c r="AA70" i="13" s="1"/>
  <c r="K41" i="13" s="1"/>
  <c r="N17" i="13"/>
  <c r="W117" i="13"/>
  <c r="Z117" i="13" s="1"/>
  <c r="AA117" i="13" s="1"/>
  <c r="K45" i="13" s="1"/>
  <c r="T85" i="25"/>
  <c r="U85" i="25" s="1"/>
  <c r="U78" i="25"/>
  <c r="F38" i="25"/>
  <c r="Y76" i="25"/>
  <c r="R69" i="25"/>
  <c r="F39" i="25"/>
  <c r="M117" i="13"/>
  <c r="X69" i="25"/>
  <c r="X68" i="25"/>
  <c r="U73" i="25"/>
  <c r="L30" i="32"/>
  <c r="N29" i="13"/>
  <c r="X39" i="13"/>
  <c r="X45" i="13"/>
  <c r="F9" i="19"/>
  <c r="G9" i="19" s="1"/>
  <c r="X41" i="13"/>
  <c r="B4" i="13"/>
  <c r="M9" i="19"/>
  <c r="U9" i="19" s="1"/>
  <c r="X42" i="13"/>
  <c r="X40" i="13"/>
  <c r="X44" i="13"/>
  <c r="R8" i="19"/>
  <c r="T8" i="19"/>
  <c r="G13" i="26"/>
  <c r="C4" i="25"/>
  <c r="M8" i="37"/>
  <c r="G8" i="37"/>
  <c r="D8" i="37"/>
  <c r="S8" i="37"/>
  <c r="S44" i="24"/>
  <c r="K44" i="24"/>
  <c r="U44" i="24"/>
  <c r="I44" i="24"/>
  <c r="AK59" i="24"/>
  <c r="AK55" i="24"/>
  <c r="AK63" i="24"/>
  <c r="AK53" i="24"/>
  <c r="AK48" i="24"/>
  <c r="AK62" i="24"/>
  <c r="AK56" i="24"/>
  <c r="AK64" i="24"/>
  <c r="AK61" i="24"/>
  <c r="AK45" i="24"/>
  <c r="AK75" i="24"/>
  <c r="AK44" i="24"/>
  <c r="AK46" i="24"/>
  <c r="AK49" i="24"/>
  <c r="AK51" i="24"/>
  <c r="AK52" i="24"/>
  <c r="AK54" i="24"/>
  <c r="AK57" i="24"/>
  <c r="M44" i="24"/>
  <c r="L8" i="37"/>
  <c r="M9" i="37" s="1"/>
  <c r="G44" i="24"/>
  <c r="Q44" i="24"/>
  <c r="C44" i="24"/>
  <c r="O44" i="24"/>
  <c r="W44" i="24"/>
  <c r="G15" i="26"/>
  <c r="I8" i="37"/>
  <c r="J9" i="37" s="1"/>
  <c r="O8" i="37"/>
  <c r="P9" i="37" s="1"/>
  <c r="F8" i="37"/>
  <c r="G9" i="37" s="1"/>
  <c r="R8" i="37"/>
  <c r="E44" i="24"/>
  <c r="M30" i="25"/>
  <c r="I29" i="32"/>
  <c r="I9" i="25" s="1"/>
  <c r="M6" i="27"/>
  <c r="Q30" i="25"/>
  <c r="T69" i="25"/>
  <c r="U69" i="25" s="1"/>
  <c r="N6" i="27"/>
  <c r="D26" i="27" s="1"/>
  <c r="AF51" i="13"/>
  <c r="AQ51" i="13" s="1"/>
  <c r="P522" i="26"/>
  <c r="P223" i="26"/>
  <c r="P318" i="26"/>
  <c r="P187" i="26"/>
  <c r="P214" i="26"/>
  <c r="P355" i="26"/>
  <c r="P172" i="26"/>
  <c r="P157" i="26"/>
  <c r="P327" i="26"/>
  <c r="P240" i="26"/>
  <c r="P103" i="26"/>
  <c r="P65" i="26"/>
  <c r="Q65" i="26" s="1"/>
  <c r="P510" i="26"/>
  <c r="P290" i="26"/>
  <c r="P411" i="26"/>
  <c r="P426" i="26"/>
  <c r="P53" i="26"/>
  <c r="P389" i="26"/>
  <c r="P334" i="26"/>
  <c r="P511" i="26"/>
  <c r="P425" i="26"/>
  <c r="P401" i="26"/>
  <c r="P57" i="26"/>
  <c r="P516" i="26"/>
  <c r="P460" i="26"/>
  <c r="P62" i="26"/>
  <c r="Q62" i="26" s="1"/>
  <c r="P162" i="26"/>
  <c r="P201" i="26"/>
  <c r="P378" i="26"/>
  <c r="P233" i="26"/>
  <c r="P208" i="26"/>
  <c r="P171" i="26"/>
  <c r="P307" i="26"/>
  <c r="P132" i="26"/>
  <c r="P501" i="26"/>
  <c r="P506" i="26"/>
  <c r="P344" i="26"/>
  <c r="P238" i="26"/>
  <c r="P475" i="26"/>
  <c r="P333" i="26"/>
  <c r="P321" i="26"/>
  <c r="P492" i="26"/>
  <c r="P234" i="26"/>
  <c r="P191" i="26"/>
  <c r="P283" i="26"/>
  <c r="P455" i="26"/>
  <c r="P147" i="26"/>
  <c r="P365" i="26"/>
  <c r="P159" i="26"/>
  <c r="P237" i="26"/>
  <c r="P279" i="26"/>
  <c r="P301" i="26"/>
  <c r="P158" i="26"/>
  <c r="P352" i="26"/>
  <c r="P196" i="26"/>
  <c r="P58" i="26"/>
  <c r="P248" i="26"/>
  <c r="P305" i="26"/>
  <c r="P491" i="26"/>
  <c r="P255" i="26"/>
  <c r="P253" i="26"/>
  <c r="P340" i="26"/>
  <c r="P351" i="26"/>
  <c r="P309" i="26"/>
  <c r="P119" i="26"/>
  <c r="P104" i="26"/>
  <c r="P242" i="26"/>
  <c r="P97" i="26"/>
  <c r="P231" i="26"/>
  <c r="P163" i="26"/>
  <c r="P391" i="26"/>
  <c r="P520" i="26"/>
  <c r="P64" i="26"/>
  <c r="Q64" i="26" s="1"/>
  <c r="P296" i="26"/>
  <c r="P442" i="26"/>
  <c r="P229" i="26"/>
  <c r="P374" i="26"/>
  <c r="P118" i="26"/>
  <c r="P102" i="26"/>
  <c r="P323" i="26"/>
  <c r="P345" i="26"/>
  <c r="P366" i="26"/>
  <c r="P456" i="26"/>
  <c r="P63" i="26"/>
  <c r="Q63" i="26" s="1"/>
  <c r="P436" i="26"/>
  <c r="P188" i="26"/>
  <c r="P126" i="26"/>
  <c r="P294" i="26"/>
  <c r="P393" i="26"/>
  <c r="P349" i="26"/>
  <c r="P146" i="26"/>
  <c r="P120" i="26"/>
  <c r="P165" i="26"/>
  <c r="P96" i="26"/>
  <c r="P387" i="26"/>
  <c r="P423" i="26"/>
  <c r="P346" i="26"/>
  <c r="P85" i="26"/>
  <c r="P105" i="26"/>
  <c r="P207" i="26"/>
  <c r="P476" i="26"/>
  <c r="P247" i="26"/>
  <c r="P308" i="26"/>
  <c r="P394" i="26"/>
  <c r="P212" i="26"/>
  <c r="P499" i="26"/>
  <c r="P218" i="26"/>
  <c r="P251" i="26"/>
  <c r="P402" i="26"/>
  <c r="P353" i="26"/>
  <c r="P343" i="26"/>
  <c r="P337" i="26"/>
  <c r="P166" i="26"/>
  <c r="P470" i="26"/>
  <c r="P303" i="26"/>
  <c r="P90" i="26"/>
  <c r="P114" i="26"/>
  <c r="P220" i="26"/>
  <c r="P484" i="26"/>
  <c r="P227" i="26"/>
  <c r="P331" i="26"/>
  <c r="P416" i="26"/>
  <c r="P156" i="26"/>
  <c r="P228" i="26"/>
  <c r="P322" i="26"/>
  <c r="P490" i="26"/>
  <c r="P362" i="26"/>
  <c r="P149" i="26"/>
  <c r="P376" i="26"/>
  <c r="P505" i="26"/>
  <c r="P84" i="26"/>
  <c r="Q84" i="26" s="1"/>
  <c r="F41" i="25"/>
  <c r="L33" i="32"/>
  <c r="V33" i="32" s="1"/>
  <c r="F37" i="25"/>
  <c r="N5" i="27"/>
  <c r="D25" i="27" s="1"/>
  <c r="T86" i="25"/>
  <c r="U86" i="25" s="1"/>
  <c r="P161" i="26"/>
  <c r="P360" i="26"/>
  <c r="P304" i="26"/>
  <c r="P332" i="26"/>
  <c r="P431" i="26"/>
  <c r="P153" i="26"/>
  <c r="P179" i="26"/>
  <c r="P428" i="26"/>
  <c r="P445" i="26"/>
  <c r="P95" i="26"/>
  <c r="P52" i="26"/>
  <c r="P507" i="26"/>
  <c r="P262" i="26"/>
  <c r="P198" i="26"/>
  <c r="P221" i="26"/>
  <c r="P404" i="26"/>
  <c r="P367" i="26"/>
  <c r="P170" i="26"/>
  <c r="P142" i="26"/>
  <c r="P86" i="26"/>
  <c r="P140" i="26"/>
  <c r="P370" i="26"/>
  <c r="P438" i="26"/>
  <c r="P358" i="26"/>
  <c r="P185" i="26"/>
  <c r="P272" i="26"/>
  <c r="M45" i="13" a="1"/>
  <c r="M45" i="13" s="1"/>
  <c r="N34" i="13"/>
  <c r="M5" i="27"/>
  <c r="P54" i="26"/>
  <c r="P267" i="26"/>
  <c r="P254" i="26"/>
  <c r="P497" i="26"/>
  <c r="P457" i="26"/>
  <c r="P277" i="26"/>
  <c r="P199" i="26"/>
  <c r="P178" i="26"/>
  <c r="P433" i="26"/>
  <c r="P364" i="26"/>
  <c r="P259" i="26"/>
  <c r="P125" i="26"/>
  <c r="P135" i="26"/>
  <c r="P100" i="26"/>
  <c r="P381" i="26"/>
  <c r="P361" i="26"/>
  <c r="P421" i="26"/>
  <c r="P244" i="26"/>
  <c r="P217" i="26"/>
  <c r="P232" i="26"/>
  <c r="P216" i="26"/>
  <c r="P493" i="26"/>
  <c r="N7" i="27"/>
  <c r="N4" i="27"/>
  <c r="F40" i="25"/>
  <c r="M4" i="27"/>
  <c r="AD51" i="13"/>
  <c r="AL51" i="13" s="1"/>
  <c r="P372" i="26"/>
  <c r="P449" i="26"/>
  <c r="P143" i="26"/>
  <c r="P205" i="26"/>
  <c r="P450" i="26"/>
  <c r="P236" i="26"/>
  <c r="P111" i="26"/>
  <c r="P299" i="26"/>
  <c r="P495" i="26"/>
  <c r="P113" i="26"/>
  <c r="P298" i="26"/>
  <c r="P417" i="26"/>
  <c r="P300" i="26"/>
  <c r="P338" i="26"/>
  <c r="P369" i="26"/>
  <c r="P288" i="26"/>
  <c r="P169" i="26"/>
  <c r="P258" i="26"/>
  <c r="P515" i="26"/>
  <c r="P403" i="26"/>
  <c r="P385" i="26"/>
  <c r="P500" i="26"/>
  <c r="P55" i="26"/>
  <c r="P379" i="26"/>
  <c r="P197" i="26"/>
  <c r="P224" i="26"/>
  <c r="P245" i="26"/>
  <c r="P48" i="26"/>
  <c r="P285" i="26"/>
  <c r="P137" i="26"/>
  <c r="P151" i="26"/>
  <c r="P46" i="26"/>
  <c r="P177" i="26"/>
  <c r="P61" i="26"/>
  <c r="Q61" i="26" s="1"/>
  <c r="P264" i="26"/>
  <c r="P514" i="26"/>
  <c r="P124" i="26"/>
  <c r="P134" i="26"/>
  <c r="P109" i="26"/>
  <c r="P243" i="26"/>
  <c r="P292" i="26"/>
  <c r="P204" i="26"/>
  <c r="P377" i="26"/>
  <c r="P211" i="26"/>
  <c r="P341" i="26"/>
  <c r="P167" i="26"/>
  <c r="P407" i="26"/>
  <c r="P287" i="26"/>
  <c r="P485" i="26"/>
  <c r="P206" i="26"/>
  <c r="P252" i="26"/>
  <c r="P392" i="26"/>
  <c r="P508" i="26"/>
  <c r="P482" i="26"/>
  <c r="P336" i="26"/>
  <c r="P472" i="26"/>
  <c r="P380" i="26"/>
  <c r="P291" i="26"/>
  <c r="N30" i="13"/>
  <c r="M41" i="13" a="1"/>
  <c r="M41" i="13" s="1"/>
  <c r="I30" i="32" s="1"/>
  <c r="N18" i="13"/>
  <c r="N31" i="13"/>
  <c r="N117" i="13"/>
  <c r="X117" i="13" s="1"/>
  <c r="L167" i="13"/>
  <c r="F32" i="32"/>
  <c r="N70" i="13"/>
  <c r="X70" i="13" s="1"/>
  <c r="M40" i="13" a="1"/>
  <c r="M40" i="13" s="1"/>
  <c r="F53" i="25"/>
  <c r="F58" i="25"/>
  <c r="F57" i="25"/>
  <c r="F54" i="25"/>
  <c r="F60" i="25"/>
  <c r="F55" i="25"/>
  <c r="F59" i="25"/>
  <c r="F56" i="25"/>
  <c r="G5" i="13"/>
  <c r="K29" i="32"/>
  <c r="F10" i="19"/>
  <c r="G10" i="19" s="1"/>
  <c r="F13" i="19"/>
  <c r="G13" i="19" s="1"/>
  <c r="F11" i="19"/>
  <c r="G11" i="19" s="1"/>
  <c r="F14" i="19"/>
  <c r="G14" i="19" s="1"/>
  <c r="F8" i="19"/>
  <c r="G8" i="19" s="1"/>
  <c r="P82" i="26"/>
  <c r="Q82" i="26" s="1"/>
  <c r="B20" i="32"/>
  <c r="D19" i="25"/>
  <c r="N45" i="13"/>
  <c r="K31" i="32"/>
  <c r="S42" i="13"/>
  <c r="J63" i="32"/>
  <c r="J19" i="25" s="1"/>
  <c r="O8" i="19"/>
  <c r="P8" i="19"/>
  <c r="R52" i="15"/>
  <c r="E82" i="32"/>
  <c r="O9" i="19"/>
  <c r="V9" i="19"/>
  <c r="Q9" i="19"/>
  <c r="T9" i="19"/>
  <c r="P77" i="26"/>
  <c r="Q77" i="26" s="1"/>
  <c r="E12" i="19"/>
  <c r="E9" i="19"/>
  <c r="H9" i="19" s="1"/>
  <c r="E19" i="19"/>
  <c r="E58" i="25" s="1"/>
  <c r="E8" i="19"/>
  <c r="E13" i="19"/>
  <c r="H13" i="19" s="1"/>
  <c r="E14" i="19"/>
  <c r="Q53" i="25"/>
  <c r="E18" i="19"/>
  <c r="E57" i="25" s="1"/>
  <c r="E11" i="19"/>
  <c r="H11" i="19" s="1"/>
  <c r="E10" i="19"/>
  <c r="H10" i="19" s="1"/>
  <c r="E15" i="19"/>
  <c r="E59" i="25" s="1"/>
  <c r="E17" i="19"/>
  <c r="E56" i="25" s="1"/>
  <c r="E16" i="19"/>
  <c r="E60" i="25" s="1"/>
  <c r="M31" i="32" l="1"/>
  <c r="K46" i="32"/>
  <c r="L46" i="32" s="1"/>
  <c r="A657" i="37"/>
  <c r="U656" i="37"/>
  <c r="E656" i="37"/>
  <c r="H656" i="37"/>
  <c r="N656" i="37"/>
  <c r="B656" i="37"/>
  <c r="K656" i="37"/>
  <c r="Q656" i="37"/>
  <c r="E721" i="37"/>
  <c r="N721" i="37"/>
  <c r="Q721" i="37"/>
  <c r="A722" i="37"/>
  <c r="H721" i="37"/>
  <c r="U721" i="37"/>
  <c r="B721" i="37"/>
  <c r="K721" i="37"/>
  <c r="O32" i="32"/>
  <c r="H506" i="37"/>
  <c r="E506" i="37"/>
  <c r="N506" i="37"/>
  <c r="K506" i="37"/>
  <c r="Q506" i="37"/>
  <c r="U506" i="37"/>
  <c r="A507" i="37"/>
  <c r="B506" i="37"/>
  <c r="L32" i="32"/>
  <c r="E613" i="37"/>
  <c r="H613" i="37"/>
  <c r="K613" i="37"/>
  <c r="A614" i="37"/>
  <c r="B613" i="37"/>
  <c r="N613" i="37"/>
  <c r="Q613" i="37"/>
  <c r="U613" i="37"/>
  <c r="R41" i="13"/>
  <c r="E529" i="37"/>
  <c r="H529" i="37"/>
  <c r="K529" i="37"/>
  <c r="Q529" i="37"/>
  <c r="A530" i="37"/>
  <c r="U529" i="37"/>
  <c r="B529" i="37"/>
  <c r="N529" i="37"/>
  <c r="D11" i="25"/>
  <c r="B769" i="37"/>
  <c r="E769" i="37"/>
  <c r="H769" i="37"/>
  <c r="N769" i="37"/>
  <c r="K769" i="37"/>
  <c r="U769" i="37"/>
  <c r="Q769" i="37"/>
  <c r="A770" i="37"/>
  <c r="V720" i="37"/>
  <c r="E776" i="37"/>
  <c r="H776" i="37"/>
  <c r="K776" i="37"/>
  <c r="U776" i="37"/>
  <c r="B776" i="37"/>
  <c r="N776" i="37"/>
  <c r="A777" i="37"/>
  <c r="Q776" i="37"/>
  <c r="U591" i="37"/>
  <c r="B591" i="37"/>
  <c r="E591" i="37"/>
  <c r="H591" i="37"/>
  <c r="N591" i="37"/>
  <c r="K591" i="37"/>
  <c r="Q591" i="37"/>
  <c r="A592" i="37"/>
  <c r="N802" i="37"/>
  <c r="E802" i="37"/>
  <c r="K802" i="37"/>
  <c r="U802" i="37"/>
  <c r="B802" i="37"/>
  <c r="H802" i="37"/>
  <c r="A803" i="37"/>
  <c r="Q802" i="37"/>
  <c r="O1405" i="15"/>
  <c r="O1406" i="15" s="1"/>
  <c r="O1407" i="15" s="1"/>
  <c r="O1408" i="15" s="1"/>
  <c r="O1409" i="15" s="1"/>
  <c r="O1410" i="15" s="1"/>
  <c r="O1411" i="15" s="1"/>
  <c r="O1412" i="15" s="1"/>
  <c r="O1413" i="15" s="1"/>
  <c r="O1414" i="15" s="1"/>
  <c r="O1415" i="15" s="1"/>
  <c r="O1416" i="15" s="1"/>
  <c r="O1417" i="15" s="1"/>
  <c r="O1418" i="15" s="1"/>
  <c r="O1419" i="15" s="1"/>
  <c r="O1420" i="15" s="1"/>
  <c r="O1421" i="15" s="1"/>
  <c r="O1422" i="15" s="1"/>
  <c r="O1423" i="15" s="1"/>
  <c r="O1424" i="15" s="1"/>
  <c r="O1425" i="15" s="1"/>
  <c r="O1426" i="15" s="1"/>
  <c r="O1427" i="15" s="1"/>
  <c r="O1428" i="15" s="1"/>
  <c r="O1429" i="15" s="1"/>
  <c r="O1430" i="15" s="1"/>
  <c r="O1431" i="15" s="1"/>
  <c r="O1432" i="15" s="1"/>
  <c r="O1433" i="15" s="1"/>
  <c r="O1434" i="15" s="1"/>
  <c r="O1435" i="15" s="1"/>
  <c r="O1436" i="15" s="1"/>
  <c r="O1437" i="15" s="1"/>
  <c r="O1438" i="15" s="1"/>
  <c r="O1439" i="15" s="1"/>
  <c r="O1440" i="15" s="1"/>
  <c r="O1441" i="15" s="1"/>
  <c r="O1442" i="15" s="1"/>
  <c r="O1443" i="15" s="1"/>
  <c r="O1444" i="15" s="1"/>
  <c r="O1445" i="15" s="1"/>
  <c r="O1446" i="15" s="1"/>
  <c r="O1447" i="15" s="1"/>
  <c r="L63" i="32"/>
  <c r="L31" i="32"/>
  <c r="G18" i="26"/>
  <c r="N161" i="13"/>
  <c r="I79" i="32"/>
  <c r="N167" i="13"/>
  <c r="R43" i="13"/>
  <c r="O6" i="24"/>
  <c r="K66" i="25"/>
  <c r="K49" i="32"/>
  <c r="L49" i="32" s="1"/>
  <c r="L66" i="25"/>
  <c r="AE66" i="25" s="1"/>
  <c r="V35" i="32"/>
  <c r="J47" i="32"/>
  <c r="M47" i="32" s="1"/>
  <c r="K44" i="32"/>
  <c r="L44" i="32" s="1"/>
  <c r="I39" i="13"/>
  <c r="S39" i="13" s="1"/>
  <c r="AK73" i="24"/>
  <c r="AK77" i="24"/>
  <c r="AK67" i="24"/>
  <c r="AK68" i="24"/>
  <c r="AK69" i="24"/>
  <c r="AK72" i="24"/>
  <c r="AK76" i="24"/>
  <c r="AK66" i="24"/>
  <c r="H16" i="32" s="1"/>
  <c r="E19" i="32" s="1"/>
  <c r="AK71" i="24"/>
  <c r="B191" i="24"/>
  <c r="R191" i="24"/>
  <c r="A192" i="24"/>
  <c r="L191" i="24"/>
  <c r="N191" i="24"/>
  <c r="F191" i="24"/>
  <c r="J191" i="24"/>
  <c r="H191" i="24"/>
  <c r="P191" i="24"/>
  <c r="V191" i="24"/>
  <c r="T191" i="24"/>
  <c r="D191" i="24"/>
  <c r="AK70" i="24"/>
  <c r="AK74" i="24"/>
  <c r="T45" i="24"/>
  <c r="U45" i="24" s="1"/>
  <c r="P45" i="24"/>
  <c r="Q45" i="24" s="1"/>
  <c r="D45" i="24"/>
  <c r="E45" i="24" s="1"/>
  <c r="J45" i="24"/>
  <c r="K45" i="24" s="1"/>
  <c r="A46" i="24"/>
  <c r="F45" i="24"/>
  <c r="G45" i="24" s="1"/>
  <c r="R45" i="24"/>
  <c r="S45" i="24" s="1"/>
  <c r="B45" i="24"/>
  <c r="C45" i="24" s="1"/>
  <c r="N45" i="24"/>
  <c r="O45" i="24" s="1"/>
  <c r="H45" i="24"/>
  <c r="I45" i="24" s="1"/>
  <c r="L45" i="24"/>
  <c r="M45" i="24" s="1"/>
  <c r="V45" i="24"/>
  <c r="W45" i="24" s="1"/>
  <c r="S43" i="13"/>
  <c r="I40" i="13"/>
  <c r="J43" i="13"/>
  <c r="U66" i="25"/>
  <c r="N33" i="32"/>
  <c r="O33" i="32" s="1"/>
  <c r="S44" i="13"/>
  <c r="J44" i="13"/>
  <c r="C9" i="37"/>
  <c r="D10" i="37" s="1"/>
  <c r="AB87" i="13"/>
  <c r="AC87" i="13" s="1"/>
  <c r="L44" i="13" s="1"/>
  <c r="P33" i="32" s="1"/>
  <c r="I42" i="13"/>
  <c r="N31" i="32" s="1"/>
  <c r="O31" i="32" s="1"/>
  <c r="E1389" i="15"/>
  <c r="E1390" i="15" s="1"/>
  <c r="E1391" i="15" s="1"/>
  <c r="E1392" i="15" s="1"/>
  <c r="E1393" i="15" s="1"/>
  <c r="E1394" i="15" s="1"/>
  <c r="E1395" i="15" s="1"/>
  <c r="E1396" i="15" s="1"/>
  <c r="E1397" i="15" s="1"/>
  <c r="E1398" i="15" s="1"/>
  <c r="E1399" i="15" s="1"/>
  <c r="E1400" i="15" s="1"/>
  <c r="O8" i="24"/>
  <c r="K12" i="25"/>
  <c r="C81" i="32"/>
  <c r="C82" i="32" s="1"/>
  <c r="L17" i="32" s="1"/>
  <c r="K45" i="32"/>
  <c r="L45" i="32" s="1"/>
  <c r="O5" i="24"/>
  <c r="M35" i="32"/>
  <c r="J12" i="25"/>
  <c r="B198" i="24"/>
  <c r="F198" i="24"/>
  <c r="D198" i="24"/>
  <c r="V198" i="24"/>
  <c r="H198" i="24"/>
  <c r="P198" i="24"/>
  <c r="R198" i="24"/>
  <c r="N198" i="24"/>
  <c r="A199" i="24"/>
  <c r="T198" i="24"/>
  <c r="J198" i="24"/>
  <c r="L198" i="24"/>
  <c r="H15" i="32"/>
  <c r="C80" i="32"/>
  <c r="C83" i="32" s="1"/>
  <c r="O7" i="27"/>
  <c r="O8" i="27"/>
  <c r="L39" i="13"/>
  <c r="P29" i="32" s="1"/>
  <c r="G57" i="25"/>
  <c r="S9" i="19"/>
  <c r="G58" i="25"/>
  <c r="M10" i="19"/>
  <c r="M11" i="19" s="1"/>
  <c r="R9" i="19"/>
  <c r="P9" i="19"/>
  <c r="G60" i="25"/>
  <c r="G56" i="25"/>
  <c r="I9" i="37"/>
  <c r="I10" i="37" s="1"/>
  <c r="J11" i="37" s="1"/>
  <c r="L9" i="37"/>
  <c r="M10" i="37" s="1"/>
  <c r="B80" i="32"/>
  <c r="B83" i="32" s="1"/>
  <c r="N28" i="24"/>
  <c r="B81" i="32" s="1"/>
  <c r="F9" i="37"/>
  <c r="G10" i="37" s="1"/>
  <c r="O9" i="37"/>
  <c r="R9" i="37"/>
  <c r="S9" i="37"/>
  <c r="AB70" i="13"/>
  <c r="AC70" i="13" s="1"/>
  <c r="L41" i="13" s="1"/>
  <c r="P30" i="32" s="1"/>
  <c r="I41" i="13"/>
  <c r="P75" i="26"/>
  <c r="Q75" i="26" s="1"/>
  <c r="F42" i="25"/>
  <c r="G40" i="25" s="1"/>
  <c r="O6" i="27"/>
  <c r="E26" i="27" s="1"/>
  <c r="P6" i="27"/>
  <c r="C26" i="27"/>
  <c r="F26" i="27" s="1"/>
  <c r="M32" i="25"/>
  <c r="I34" i="32"/>
  <c r="I11" i="25" s="1"/>
  <c r="L168" i="13"/>
  <c r="AB117" i="13"/>
  <c r="AC117" i="13" s="1"/>
  <c r="L45" i="13" s="1"/>
  <c r="P34" i="32" s="1"/>
  <c r="I45" i="13"/>
  <c r="S45" i="13" s="1"/>
  <c r="C25" i="27"/>
  <c r="F25" i="27" s="1"/>
  <c r="P5" i="27"/>
  <c r="O5" i="27"/>
  <c r="E25" i="27" s="1"/>
  <c r="O4" i="27"/>
  <c r="E24" i="27" s="1"/>
  <c r="M9" i="27"/>
  <c r="P9" i="27" s="1"/>
  <c r="M3" i="27"/>
  <c r="P3" i="27" s="1"/>
  <c r="C24" i="27"/>
  <c r="P4" i="27"/>
  <c r="D24" i="27"/>
  <c r="D33" i="27" s="1"/>
  <c r="N3" i="27"/>
  <c r="G59" i="25"/>
  <c r="K32" i="25"/>
  <c r="R45" i="13"/>
  <c r="K34" i="32"/>
  <c r="N32" i="25"/>
  <c r="M63" i="32"/>
  <c r="O72" i="25"/>
  <c r="L40" i="13"/>
  <c r="K39" i="13"/>
  <c r="V63" i="32"/>
  <c r="L19" i="25"/>
  <c r="K9" i="25"/>
  <c r="L29" i="32"/>
  <c r="E53" i="25"/>
  <c r="G53" i="25" s="1"/>
  <c r="H8" i="19"/>
  <c r="E55" i="25"/>
  <c r="G55" i="25" s="1"/>
  <c r="H14" i="19"/>
  <c r="H12" i="19"/>
  <c r="E54" i="25"/>
  <c r="G54" i="25" s="1"/>
  <c r="Q30" i="32"/>
  <c r="Q29" i="32"/>
  <c r="Q31" i="32"/>
  <c r="Q34" i="32"/>
  <c r="Q32" i="32"/>
  <c r="Q33" i="32"/>
  <c r="H614" i="37" l="1"/>
  <c r="K614" i="37"/>
  <c r="A615" i="37"/>
  <c r="E614" i="37"/>
  <c r="N614" i="37"/>
  <c r="Q614" i="37"/>
  <c r="U614" i="37"/>
  <c r="B614" i="37"/>
  <c r="V613" i="37"/>
  <c r="B803" i="37"/>
  <c r="K803" i="37"/>
  <c r="E803" i="37"/>
  <c r="Q803" i="37"/>
  <c r="H803" i="37"/>
  <c r="N803" i="37"/>
  <c r="A804" i="37"/>
  <c r="U803" i="37"/>
  <c r="V802" i="37"/>
  <c r="H777" i="37"/>
  <c r="N777" i="37"/>
  <c r="U777" i="37"/>
  <c r="E777" i="37"/>
  <c r="K777" i="37"/>
  <c r="A778" i="37"/>
  <c r="Q777" i="37"/>
  <c r="B777" i="37"/>
  <c r="V776" i="37"/>
  <c r="H722" i="37"/>
  <c r="N722" i="37"/>
  <c r="A723" i="37"/>
  <c r="E722" i="37"/>
  <c r="K722" i="37"/>
  <c r="Q722" i="37"/>
  <c r="U722" i="37"/>
  <c r="B722" i="37"/>
  <c r="V721" i="37"/>
  <c r="A531" i="37"/>
  <c r="B530" i="37"/>
  <c r="E530" i="37"/>
  <c r="N530" i="37"/>
  <c r="K530" i="37"/>
  <c r="Q530" i="37"/>
  <c r="U530" i="37"/>
  <c r="H530" i="37"/>
  <c r="V529" i="37"/>
  <c r="B507" i="37"/>
  <c r="H507" i="37"/>
  <c r="K507" i="37"/>
  <c r="Q507" i="37"/>
  <c r="U507" i="37"/>
  <c r="E507" i="37"/>
  <c r="N507" i="37"/>
  <c r="A508" i="37"/>
  <c r="V506" i="37"/>
  <c r="B592" i="37"/>
  <c r="H592" i="37"/>
  <c r="N592" i="37"/>
  <c r="Q592" i="37"/>
  <c r="U592" i="37"/>
  <c r="A593" i="37"/>
  <c r="E592" i="37"/>
  <c r="K592" i="37"/>
  <c r="V591" i="37"/>
  <c r="E770" i="37"/>
  <c r="N770" i="37"/>
  <c r="A771" i="37"/>
  <c r="Q770" i="37"/>
  <c r="B770" i="37"/>
  <c r="H770" i="37"/>
  <c r="K770" i="37"/>
  <c r="U770" i="37"/>
  <c r="V769" i="37"/>
  <c r="U657" i="37"/>
  <c r="E657" i="37"/>
  <c r="H657" i="37"/>
  <c r="N657" i="37"/>
  <c r="K657" i="37"/>
  <c r="Q657" i="37"/>
  <c r="A658" i="37"/>
  <c r="B657" i="37"/>
  <c r="V656" i="37"/>
  <c r="D1401" i="15"/>
  <c r="C10" i="37"/>
  <c r="C11" i="37" s="1"/>
  <c r="I30" i="25"/>
  <c r="N29" i="32"/>
  <c r="O29" i="32" s="1"/>
  <c r="J39" i="13"/>
  <c r="J30" i="25" s="1"/>
  <c r="D192" i="24"/>
  <c r="H192" i="24"/>
  <c r="R192" i="24"/>
  <c r="N192" i="24"/>
  <c r="F192" i="24"/>
  <c r="T192" i="24"/>
  <c r="A193" i="24"/>
  <c r="J192" i="24"/>
  <c r="L192" i="24"/>
  <c r="P192" i="24"/>
  <c r="B192" i="24"/>
  <c r="V192" i="24"/>
  <c r="T46" i="24"/>
  <c r="U46" i="24" s="1"/>
  <c r="L46" i="24"/>
  <c r="M46" i="24" s="1"/>
  <c r="A47" i="24"/>
  <c r="P46" i="24"/>
  <c r="Q46" i="24" s="1"/>
  <c r="D46" i="24"/>
  <c r="E46" i="24" s="1"/>
  <c r="R46" i="24"/>
  <c r="S46" i="24" s="1"/>
  <c r="F46" i="24"/>
  <c r="G46" i="24" s="1"/>
  <c r="H46" i="24"/>
  <c r="I46" i="24" s="1"/>
  <c r="B46" i="24"/>
  <c r="C46" i="24" s="1"/>
  <c r="N46" i="24"/>
  <c r="O46" i="24" s="1"/>
  <c r="V46" i="24"/>
  <c r="W46" i="24" s="1"/>
  <c r="J46" i="24"/>
  <c r="K46" i="24" s="1"/>
  <c r="S33" i="32"/>
  <c r="J10" i="37"/>
  <c r="F10" i="37"/>
  <c r="F11" i="37" s="1"/>
  <c r="L30" i="25"/>
  <c r="A200" i="24"/>
  <c r="N199" i="24"/>
  <c r="B199" i="24"/>
  <c r="V199" i="24"/>
  <c r="D199" i="24"/>
  <c r="F199" i="24"/>
  <c r="L199" i="24"/>
  <c r="P199" i="24"/>
  <c r="R199" i="24"/>
  <c r="T199" i="24"/>
  <c r="H199" i="24"/>
  <c r="J199" i="24"/>
  <c r="I11" i="37"/>
  <c r="L10" i="37"/>
  <c r="M11" i="37" s="1"/>
  <c r="G37" i="25"/>
  <c r="Q10" i="19"/>
  <c r="T10" i="19"/>
  <c r="R10" i="19"/>
  <c r="O10" i="19"/>
  <c r="U10" i="19"/>
  <c r="S10" i="19"/>
  <c r="V10" i="19"/>
  <c r="P10" i="19"/>
  <c r="I80" i="32"/>
  <c r="O11" i="25" s="1"/>
  <c r="I83" i="32"/>
  <c r="L32" i="25"/>
  <c r="C84" i="32"/>
  <c r="R51" i="15"/>
  <c r="B82" i="32"/>
  <c r="I81" i="32"/>
  <c r="D11" i="37"/>
  <c r="P10" i="37"/>
  <c r="O10" i="37"/>
  <c r="S10" i="37"/>
  <c r="R10" i="37"/>
  <c r="G41" i="25"/>
  <c r="G38" i="25"/>
  <c r="G42" i="25" s="1"/>
  <c r="G39" i="25"/>
  <c r="J45" i="13"/>
  <c r="J32" i="25" s="1"/>
  <c r="I32" i="25"/>
  <c r="N34" i="32"/>
  <c r="O34" i="32" s="1"/>
  <c r="N30" i="32"/>
  <c r="O30" i="32" s="1"/>
  <c r="S41" i="13"/>
  <c r="J41" i="13"/>
  <c r="E33" i="27"/>
  <c r="C33" i="27"/>
  <c r="N8" i="27" s="1"/>
  <c r="N9" i="27" s="1"/>
  <c r="F24" i="27"/>
  <c r="K30" i="25"/>
  <c r="R39" i="13"/>
  <c r="K11" i="25"/>
  <c r="L34" i="32"/>
  <c r="E15" i="32"/>
  <c r="L9" i="25"/>
  <c r="V29" i="32"/>
  <c r="Q11" i="19"/>
  <c r="S11" i="19"/>
  <c r="M12" i="19"/>
  <c r="P11" i="19"/>
  <c r="O11" i="19"/>
  <c r="U11" i="19"/>
  <c r="T11" i="19"/>
  <c r="V11" i="19"/>
  <c r="R11" i="19"/>
  <c r="S34" i="32"/>
  <c r="S31" i="32"/>
  <c r="S30" i="32"/>
  <c r="S32" i="32"/>
  <c r="S29" i="32"/>
  <c r="B658" i="37" l="1"/>
  <c r="E658" i="37"/>
  <c r="K658" i="37"/>
  <c r="Q658" i="37"/>
  <c r="U658" i="37"/>
  <c r="N658" i="37"/>
  <c r="A659" i="37"/>
  <c r="V657" i="37"/>
  <c r="H658" i="37"/>
  <c r="Q804" i="37"/>
  <c r="E804" i="37"/>
  <c r="A805" i="37"/>
  <c r="U804" i="37"/>
  <c r="N804" i="37"/>
  <c r="H804" i="37"/>
  <c r="B804" i="37"/>
  <c r="K804" i="37"/>
  <c r="V803" i="37"/>
  <c r="B723" i="37"/>
  <c r="N723" i="37"/>
  <c r="Q723" i="37"/>
  <c r="A724" i="37"/>
  <c r="K723" i="37"/>
  <c r="U723" i="37"/>
  <c r="E723" i="37"/>
  <c r="H723" i="37"/>
  <c r="V722" i="37"/>
  <c r="U593" i="37"/>
  <c r="B593" i="37"/>
  <c r="E593" i="37"/>
  <c r="N593" i="37"/>
  <c r="Q593" i="37"/>
  <c r="K593" i="37"/>
  <c r="A594" i="37"/>
  <c r="H593" i="37"/>
  <c r="V592" i="37"/>
  <c r="H778" i="37"/>
  <c r="E778" i="37"/>
  <c r="N778" i="37"/>
  <c r="Q778" i="37"/>
  <c r="K778" i="37"/>
  <c r="B778" i="37"/>
  <c r="A779" i="37"/>
  <c r="U778" i="37"/>
  <c r="V777" i="37"/>
  <c r="Q508" i="37"/>
  <c r="U508" i="37"/>
  <c r="E508" i="37"/>
  <c r="N508" i="37"/>
  <c r="K508" i="37"/>
  <c r="A509" i="37"/>
  <c r="B508" i="37"/>
  <c r="H508" i="37"/>
  <c r="V507" i="37"/>
  <c r="K531" i="37"/>
  <c r="N531" i="37"/>
  <c r="Q531" i="37"/>
  <c r="U531" i="37"/>
  <c r="A532" i="37"/>
  <c r="B531" i="37"/>
  <c r="E531" i="37"/>
  <c r="H531" i="37"/>
  <c r="V530" i="37"/>
  <c r="A772" i="37"/>
  <c r="E771" i="37"/>
  <c r="H771" i="37"/>
  <c r="K771" i="37"/>
  <c r="U771" i="37"/>
  <c r="Q771" i="37"/>
  <c r="B771" i="37"/>
  <c r="N771" i="37"/>
  <c r="V770" i="37"/>
  <c r="B615" i="37"/>
  <c r="H615" i="37"/>
  <c r="K615" i="37"/>
  <c r="Q615" i="37"/>
  <c r="E615" i="37"/>
  <c r="A616" i="37"/>
  <c r="U615" i="37"/>
  <c r="N615" i="37"/>
  <c r="V614" i="37"/>
  <c r="D62" i="32"/>
  <c r="E1401" i="15"/>
  <c r="E1402" i="15" s="1"/>
  <c r="E1403" i="15" s="1"/>
  <c r="E1404" i="15" s="1"/>
  <c r="E1405" i="15" s="1"/>
  <c r="E1406" i="15" s="1"/>
  <c r="E1407" i="15" s="1"/>
  <c r="E1408" i="15" s="1"/>
  <c r="E1409" i="15" s="1"/>
  <c r="E1410" i="15" s="1"/>
  <c r="E1411" i="15" s="1"/>
  <c r="E1412" i="15" s="1"/>
  <c r="E1413" i="15" s="1"/>
  <c r="E1414" i="15" s="1"/>
  <c r="E1415" i="15" s="1"/>
  <c r="E1416" i="15" s="1"/>
  <c r="E1417" i="15" s="1"/>
  <c r="E1418" i="15" s="1"/>
  <c r="E1419" i="15" s="1"/>
  <c r="E1420" i="15" s="1"/>
  <c r="E1421" i="15" s="1"/>
  <c r="E1422" i="15" s="1"/>
  <c r="E1423" i="15" s="1"/>
  <c r="E1424" i="15" s="1"/>
  <c r="E1425" i="15" s="1"/>
  <c r="E1426" i="15" s="1"/>
  <c r="E1427" i="15" s="1"/>
  <c r="E1428" i="15" s="1"/>
  <c r="E1429" i="15" s="1"/>
  <c r="E1430" i="15" s="1"/>
  <c r="E1431" i="15" s="1"/>
  <c r="E1432" i="15" s="1"/>
  <c r="E1433" i="15" s="1"/>
  <c r="E1434" i="15" s="1"/>
  <c r="E1435" i="15" s="1"/>
  <c r="E1436" i="15" s="1"/>
  <c r="E1437" i="15" s="1"/>
  <c r="E1438" i="15" s="1"/>
  <c r="E1439" i="15" s="1"/>
  <c r="E1440" i="15" s="1"/>
  <c r="E1441" i="15" s="1"/>
  <c r="E1442" i="15" s="1"/>
  <c r="E1443" i="15" s="1"/>
  <c r="E1444" i="15" s="1"/>
  <c r="E1445" i="15" s="1"/>
  <c r="E1446" i="15" s="1"/>
  <c r="E1447" i="15" s="1"/>
  <c r="T47" i="24"/>
  <c r="U47" i="24" s="1"/>
  <c r="L47" i="24"/>
  <c r="M47" i="24" s="1"/>
  <c r="P47" i="24"/>
  <c r="Q47" i="24" s="1"/>
  <c r="H47" i="24"/>
  <c r="I47" i="24" s="1"/>
  <c r="V47" i="24"/>
  <c r="W47" i="24" s="1"/>
  <c r="D47" i="24"/>
  <c r="E47" i="24" s="1"/>
  <c r="F47" i="24"/>
  <c r="G47" i="24" s="1"/>
  <c r="B47" i="24"/>
  <c r="C47" i="24" s="1"/>
  <c r="R47" i="24"/>
  <c r="S47" i="24" s="1"/>
  <c r="A48" i="24"/>
  <c r="J47" i="24"/>
  <c r="K47" i="24" s="1"/>
  <c r="N47" i="24"/>
  <c r="O47" i="24" s="1"/>
  <c r="D193" i="24"/>
  <c r="F193" i="24"/>
  <c r="B193" i="24"/>
  <c r="L193" i="24"/>
  <c r="J193" i="24"/>
  <c r="R193" i="24"/>
  <c r="V193" i="24"/>
  <c r="N193" i="24"/>
  <c r="T193" i="24"/>
  <c r="H193" i="24"/>
  <c r="P193" i="24"/>
  <c r="G11" i="37"/>
  <c r="L11" i="37"/>
  <c r="L12" i="37" s="1"/>
  <c r="H6" i="32"/>
  <c r="J200" i="24"/>
  <c r="L200" i="24"/>
  <c r="P200" i="24"/>
  <c r="B200" i="24"/>
  <c r="V200" i="24"/>
  <c r="N200" i="24"/>
  <c r="F200" i="24"/>
  <c r="D200" i="24"/>
  <c r="R200" i="24"/>
  <c r="A201" i="24"/>
  <c r="H200" i="24"/>
  <c r="T200" i="24"/>
  <c r="J12" i="37"/>
  <c r="I12" i="37"/>
  <c r="S72" i="32"/>
  <c r="E10" i="32" s="1"/>
  <c r="I82" i="32"/>
  <c r="L16" i="32"/>
  <c r="C12" i="37"/>
  <c r="D12" i="37"/>
  <c r="P11" i="37"/>
  <c r="O11" i="37"/>
  <c r="R11" i="37"/>
  <c r="S11" i="37"/>
  <c r="G12" i="37"/>
  <c r="F12" i="37"/>
  <c r="F33" i="27"/>
  <c r="V34" i="32"/>
  <c r="L11" i="25"/>
  <c r="B38" i="25" s="1"/>
  <c r="Q12" i="19"/>
  <c r="M13" i="19"/>
  <c r="O12" i="19"/>
  <c r="V12" i="19"/>
  <c r="U12" i="19"/>
  <c r="R12" i="19"/>
  <c r="T12" i="19"/>
  <c r="P12" i="19"/>
  <c r="S12" i="19"/>
  <c r="U772" i="37" l="1"/>
  <c r="E772" i="37"/>
  <c r="B772" i="37"/>
  <c r="N772" i="37"/>
  <c r="K772" i="37"/>
  <c r="H772" i="37"/>
  <c r="Q772" i="37"/>
  <c r="V772" i="37"/>
  <c r="V771" i="37"/>
  <c r="A617" i="37"/>
  <c r="B616" i="37"/>
  <c r="E616" i="37"/>
  <c r="H616" i="37"/>
  <c r="N616" i="37"/>
  <c r="Q616" i="37"/>
  <c r="U616" i="37"/>
  <c r="K616" i="37"/>
  <c r="V615" i="37"/>
  <c r="A806" i="37"/>
  <c r="H805" i="37"/>
  <c r="N805" i="37"/>
  <c r="K805" i="37"/>
  <c r="E805" i="37"/>
  <c r="U805" i="37"/>
  <c r="B805" i="37"/>
  <c r="Q805" i="37"/>
  <c r="V804" i="37"/>
  <c r="B532" i="37"/>
  <c r="E532" i="37"/>
  <c r="N532" i="37"/>
  <c r="K532" i="37"/>
  <c r="Q532" i="37"/>
  <c r="V531" i="37"/>
  <c r="A533" i="37"/>
  <c r="H532" i="37"/>
  <c r="U532" i="37"/>
  <c r="B779" i="37"/>
  <c r="E779" i="37"/>
  <c r="K779" i="37"/>
  <c r="A780" i="37"/>
  <c r="U779" i="37"/>
  <c r="Q779" i="37"/>
  <c r="H779" i="37"/>
  <c r="N779" i="37"/>
  <c r="V778" i="37"/>
  <c r="Q659" i="37"/>
  <c r="A660" i="37"/>
  <c r="H659" i="37"/>
  <c r="N659" i="37"/>
  <c r="B659" i="37"/>
  <c r="E659" i="37"/>
  <c r="K659" i="37"/>
  <c r="U659" i="37"/>
  <c r="V658" i="37"/>
  <c r="B724" i="37"/>
  <c r="E724" i="37"/>
  <c r="H724" i="37"/>
  <c r="K724" i="37"/>
  <c r="Q724" i="37"/>
  <c r="A725" i="37"/>
  <c r="U724" i="37"/>
  <c r="N724" i="37"/>
  <c r="V723" i="37"/>
  <c r="H509" i="37"/>
  <c r="K509" i="37"/>
  <c r="U509" i="37"/>
  <c r="A510" i="37"/>
  <c r="B509" i="37"/>
  <c r="E509" i="37"/>
  <c r="N509" i="37"/>
  <c r="Q509" i="37"/>
  <c r="V508" i="37"/>
  <c r="E594" i="37"/>
  <c r="H594" i="37"/>
  <c r="A595" i="37"/>
  <c r="B594" i="37"/>
  <c r="N594" i="37"/>
  <c r="K594" i="37"/>
  <c r="Q594" i="37"/>
  <c r="U594" i="37"/>
  <c r="V593" i="37"/>
  <c r="M12" i="37"/>
  <c r="K62" i="32"/>
  <c r="K18" i="25" s="1"/>
  <c r="D18" i="25"/>
  <c r="J62" i="32"/>
  <c r="J18" i="25" s="1"/>
  <c r="L48" i="24"/>
  <c r="M48" i="24" s="1"/>
  <c r="N48" i="24"/>
  <c r="O48" i="24" s="1"/>
  <c r="A49" i="24"/>
  <c r="V48" i="24"/>
  <c r="W48" i="24" s="1"/>
  <c r="H48" i="24"/>
  <c r="I48" i="24" s="1"/>
  <c r="P48" i="24"/>
  <c r="Q48" i="24" s="1"/>
  <c r="T48" i="24"/>
  <c r="U48" i="24" s="1"/>
  <c r="R48" i="24"/>
  <c r="S48" i="24" s="1"/>
  <c r="B48" i="24"/>
  <c r="C48" i="24" s="1"/>
  <c r="D48" i="24"/>
  <c r="E48" i="24" s="1"/>
  <c r="J48" i="24"/>
  <c r="K48" i="24" s="1"/>
  <c r="F48" i="24"/>
  <c r="G48" i="24" s="1"/>
  <c r="H201" i="24"/>
  <c r="F201" i="24"/>
  <c r="B201" i="24"/>
  <c r="J201" i="24"/>
  <c r="T201" i="24"/>
  <c r="N201" i="24"/>
  <c r="A202" i="24"/>
  <c r="D201" i="24"/>
  <c r="L201" i="24"/>
  <c r="P201" i="24"/>
  <c r="V201" i="24"/>
  <c r="R201" i="24"/>
  <c r="J13" i="37"/>
  <c r="I13" i="37"/>
  <c r="D13" i="37"/>
  <c r="C13" i="37"/>
  <c r="O12" i="37"/>
  <c r="P12" i="37"/>
  <c r="M13" i="37"/>
  <c r="L13" i="37"/>
  <c r="S12" i="37"/>
  <c r="R12" i="37"/>
  <c r="G13" i="37"/>
  <c r="F13" i="37"/>
  <c r="V13" i="19"/>
  <c r="R13" i="19"/>
  <c r="S13" i="19"/>
  <c r="M14" i="19"/>
  <c r="Q13" i="19"/>
  <c r="O13" i="19"/>
  <c r="U13" i="19"/>
  <c r="P13" i="19"/>
  <c r="T13" i="19"/>
  <c r="N660" i="37" l="1"/>
  <c r="Q660" i="37"/>
  <c r="U660" i="37"/>
  <c r="B660" i="37"/>
  <c r="E660" i="37"/>
  <c r="H660" i="37"/>
  <c r="A661" i="37"/>
  <c r="K660" i="37"/>
  <c r="V659" i="37"/>
  <c r="E595" i="37"/>
  <c r="N595" i="37"/>
  <c r="Q595" i="37"/>
  <c r="A596" i="37"/>
  <c r="B595" i="37"/>
  <c r="H595" i="37"/>
  <c r="U595" i="37"/>
  <c r="K595" i="37"/>
  <c r="V594" i="37"/>
  <c r="A726" i="37"/>
  <c r="N725" i="37"/>
  <c r="K725" i="37"/>
  <c r="Q725" i="37"/>
  <c r="U725" i="37"/>
  <c r="B725" i="37"/>
  <c r="E725" i="37"/>
  <c r="H725" i="37"/>
  <c r="V724" i="37"/>
  <c r="E617" i="37"/>
  <c r="B617" i="37"/>
  <c r="H617" i="37"/>
  <c r="N617" i="37"/>
  <c r="K617" i="37"/>
  <c r="U617" i="37"/>
  <c r="A618" i="37"/>
  <c r="Q617" i="37"/>
  <c r="V616" i="37"/>
  <c r="B780" i="37"/>
  <c r="H780" i="37"/>
  <c r="K780" i="37"/>
  <c r="A781" i="37"/>
  <c r="E780" i="37"/>
  <c r="N780" i="37"/>
  <c r="Q780" i="37"/>
  <c r="U780" i="37"/>
  <c r="V779" i="37"/>
  <c r="B510" i="37"/>
  <c r="E510" i="37"/>
  <c r="H510" i="37"/>
  <c r="N510" i="37"/>
  <c r="K510" i="37"/>
  <c r="Q510" i="37"/>
  <c r="A511" i="37"/>
  <c r="U510" i="37"/>
  <c r="V509" i="37"/>
  <c r="K806" i="37"/>
  <c r="N806" i="37"/>
  <c r="E806" i="37"/>
  <c r="A807" i="37"/>
  <c r="Q806" i="37"/>
  <c r="U806" i="37"/>
  <c r="H806" i="37"/>
  <c r="V805" i="37"/>
  <c r="B806" i="37"/>
  <c r="A534" i="37"/>
  <c r="H533" i="37"/>
  <c r="N533" i="37"/>
  <c r="Q533" i="37"/>
  <c r="U533" i="37"/>
  <c r="B533" i="37"/>
  <c r="E533" i="37"/>
  <c r="K533" i="37"/>
  <c r="V532" i="37"/>
  <c r="M62" i="32"/>
  <c r="L62" i="32"/>
  <c r="L49" i="24"/>
  <c r="M49" i="24" s="1"/>
  <c r="P49" i="24"/>
  <c r="Q49" i="24" s="1"/>
  <c r="R49" i="24"/>
  <c r="S49" i="24" s="1"/>
  <c r="F49" i="24"/>
  <c r="G49" i="24" s="1"/>
  <c r="B49" i="24"/>
  <c r="C49" i="24" s="1"/>
  <c r="T49" i="24"/>
  <c r="U49" i="24" s="1"/>
  <c r="N49" i="24"/>
  <c r="O49" i="24" s="1"/>
  <c r="V49" i="24"/>
  <c r="W49" i="24" s="1"/>
  <c r="D49" i="24"/>
  <c r="E49" i="24" s="1"/>
  <c r="H49" i="24"/>
  <c r="I49" i="24" s="1"/>
  <c r="J49" i="24"/>
  <c r="K49" i="24" s="1"/>
  <c r="A50" i="24"/>
  <c r="H202" i="24"/>
  <c r="L202" i="24"/>
  <c r="R202" i="24"/>
  <c r="D202" i="24"/>
  <c r="N202" i="24"/>
  <c r="V202" i="24"/>
  <c r="T202" i="24"/>
  <c r="J202" i="24"/>
  <c r="B202" i="24"/>
  <c r="P202" i="24"/>
  <c r="F202" i="24"/>
  <c r="A203" i="24"/>
  <c r="J14" i="37"/>
  <c r="I14" i="37"/>
  <c r="C14" i="37"/>
  <c r="D14" i="37"/>
  <c r="P13" i="37"/>
  <c r="O13" i="37"/>
  <c r="S13" i="37"/>
  <c r="R13" i="37"/>
  <c r="F14" i="37"/>
  <c r="G14" i="37"/>
  <c r="L14" i="37"/>
  <c r="M14" i="37"/>
  <c r="O14" i="19"/>
  <c r="U14" i="19"/>
  <c r="M15" i="19"/>
  <c r="S14" i="19"/>
  <c r="Q14" i="19"/>
  <c r="R14" i="19"/>
  <c r="V14" i="19"/>
  <c r="P14" i="19"/>
  <c r="T14" i="19"/>
  <c r="B534" i="37" l="1"/>
  <c r="E534" i="37"/>
  <c r="N534" i="37"/>
  <c r="K534" i="37"/>
  <c r="Q534" i="37"/>
  <c r="A535" i="37"/>
  <c r="H534" i="37"/>
  <c r="U534" i="37"/>
  <c r="V533" i="37"/>
  <c r="B596" i="37"/>
  <c r="H596" i="37"/>
  <c r="K596" i="37"/>
  <c r="V595" i="37"/>
  <c r="A597" i="37"/>
  <c r="N596" i="37"/>
  <c r="Q596" i="37"/>
  <c r="U596" i="37"/>
  <c r="E596" i="37"/>
  <c r="U807" i="37"/>
  <c r="E807" i="37"/>
  <c r="A808" i="37"/>
  <c r="B807" i="37"/>
  <c r="H807" i="37"/>
  <c r="N807" i="37"/>
  <c r="K807" i="37"/>
  <c r="Q807" i="37"/>
  <c r="V806" i="37"/>
  <c r="U781" i="37"/>
  <c r="B781" i="37"/>
  <c r="E781" i="37"/>
  <c r="H781" i="37"/>
  <c r="K781" i="37"/>
  <c r="A782" i="37"/>
  <c r="N781" i="37"/>
  <c r="Q781" i="37"/>
  <c r="V780" i="37"/>
  <c r="B661" i="37"/>
  <c r="A662" i="37"/>
  <c r="U661" i="37"/>
  <c r="E661" i="37"/>
  <c r="H661" i="37"/>
  <c r="N661" i="37"/>
  <c r="K661" i="37"/>
  <c r="Q661" i="37"/>
  <c r="V660" i="37"/>
  <c r="E511" i="37"/>
  <c r="N511" i="37"/>
  <c r="Q511" i="37"/>
  <c r="A512" i="37"/>
  <c r="B511" i="37"/>
  <c r="H511" i="37"/>
  <c r="K511" i="37"/>
  <c r="U511" i="37"/>
  <c r="V510" i="37"/>
  <c r="H726" i="37"/>
  <c r="K726" i="37"/>
  <c r="E726" i="37"/>
  <c r="N726" i="37"/>
  <c r="Q726" i="37"/>
  <c r="A727" i="37"/>
  <c r="U726" i="37"/>
  <c r="B726" i="37"/>
  <c r="V725" i="37"/>
  <c r="H618" i="37"/>
  <c r="K618" i="37"/>
  <c r="Q618" i="37"/>
  <c r="A619" i="37"/>
  <c r="U618" i="37"/>
  <c r="B618" i="37"/>
  <c r="E618" i="37"/>
  <c r="N618" i="37"/>
  <c r="V617" i="37"/>
  <c r="V62" i="32"/>
  <c r="L18" i="25"/>
  <c r="F50" i="24"/>
  <c r="G50" i="24" s="1"/>
  <c r="H50" i="24"/>
  <c r="I50" i="24" s="1"/>
  <c r="B50" i="24"/>
  <c r="C50" i="24" s="1"/>
  <c r="A51" i="24"/>
  <c r="T50" i="24"/>
  <c r="U50" i="24" s="1"/>
  <c r="N50" i="24"/>
  <c r="O50" i="24" s="1"/>
  <c r="L50" i="24"/>
  <c r="M50" i="24" s="1"/>
  <c r="J50" i="24"/>
  <c r="K50" i="24" s="1"/>
  <c r="V50" i="24"/>
  <c r="W50" i="24" s="1"/>
  <c r="D50" i="24"/>
  <c r="E50" i="24" s="1"/>
  <c r="P50" i="24"/>
  <c r="Q50" i="24" s="1"/>
  <c r="R50" i="24"/>
  <c r="S50" i="24" s="1"/>
  <c r="B203" i="24"/>
  <c r="N203" i="24"/>
  <c r="H203" i="24"/>
  <c r="V203" i="24"/>
  <c r="D203" i="24"/>
  <c r="L203" i="24"/>
  <c r="F203" i="24"/>
  <c r="J203" i="24"/>
  <c r="T203" i="24"/>
  <c r="R203" i="24"/>
  <c r="P203" i="24"/>
  <c r="A204" i="24"/>
  <c r="I15" i="37"/>
  <c r="J15" i="37"/>
  <c r="C15" i="37"/>
  <c r="D15" i="37"/>
  <c r="P14" i="37"/>
  <c r="O14" i="37"/>
  <c r="G15" i="37"/>
  <c r="F15" i="37"/>
  <c r="M15" i="37"/>
  <c r="L15" i="37"/>
  <c r="S14" i="37"/>
  <c r="R14" i="37"/>
  <c r="R15" i="19"/>
  <c r="T15" i="19"/>
  <c r="M16" i="19"/>
  <c r="S15" i="19"/>
  <c r="Q15" i="19"/>
  <c r="V15" i="19"/>
  <c r="O15" i="19"/>
  <c r="U15" i="19"/>
  <c r="P15" i="19"/>
  <c r="B597" i="37" l="1"/>
  <c r="H597" i="37"/>
  <c r="K597" i="37"/>
  <c r="Q597" i="37"/>
  <c r="N597" i="37"/>
  <c r="A598" i="37"/>
  <c r="U597" i="37"/>
  <c r="E597" i="37"/>
  <c r="V596" i="37"/>
  <c r="B727" i="37"/>
  <c r="E727" i="37"/>
  <c r="H727" i="37"/>
  <c r="K727" i="37"/>
  <c r="Q727" i="37"/>
  <c r="A728" i="37"/>
  <c r="N727" i="37"/>
  <c r="U727" i="37"/>
  <c r="V726" i="37"/>
  <c r="B662" i="37"/>
  <c r="H662" i="37"/>
  <c r="K662" i="37"/>
  <c r="A663" i="37"/>
  <c r="U662" i="37"/>
  <c r="Q662" i="37"/>
  <c r="E662" i="37"/>
  <c r="N662" i="37"/>
  <c r="V661" i="37"/>
  <c r="B535" i="37"/>
  <c r="E535" i="37"/>
  <c r="H535" i="37"/>
  <c r="K535" i="37"/>
  <c r="U535" i="37"/>
  <c r="A536" i="37"/>
  <c r="N535" i="37"/>
  <c r="Q535" i="37"/>
  <c r="V534" i="37"/>
  <c r="A809" i="37"/>
  <c r="U808" i="37"/>
  <c r="Q808" i="37"/>
  <c r="B808" i="37"/>
  <c r="H808" i="37"/>
  <c r="N808" i="37"/>
  <c r="K808" i="37"/>
  <c r="E808" i="37"/>
  <c r="V807" i="37"/>
  <c r="B619" i="37"/>
  <c r="E619" i="37"/>
  <c r="N619" i="37"/>
  <c r="Q619" i="37"/>
  <c r="U619" i="37"/>
  <c r="A620" i="37"/>
  <c r="H619" i="37"/>
  <c r="K619" i="37"/>
  <c r="V618" i="37"/>
  <c r="A513" i="37"/>
  <c r="E512" i="37"/>
  <c r="H512" i="37"/>
  <c r="N512" i="37"/>
  <c r="K512" i="37"/>
  <c r="Q512" i="37"/>
  <c r="U512" i="37"/>
  <c r="B512" i="37"/>
  <c r="V511" i="37"/>
  <c r="A783" i="37"/>
  <c r="N782" i="37"/>
  <c r="K782" i="37"/>
  <c r="Q782" i="37"/>
  <c r="U782" i="37"/>
  <c r="B782" i="37"/>
  <c r="E782" i="37"/>
  <c r="H782" i="37"/>
  <c r="V781" i="37"/>
  <c r="P51" i="24"/>
  <c r="Q51" i="24" s="1"/>
  <c r="V51" i="24"/>
  <c r="W51" i="24" s="1"/>
  <c r="A52" i="24"/>
  <c r="D51" i="24"/>
  <c r="E51" i="24" s="1"/>
  <c r="T51" i="24"/>
  <c r="U51" i="24" s="1"/>
  <c r="B51" i="24"/>
  <c r="C51" i="24" s="1"/>
  <c r="F51" i="24"/>
  <c r="G51" i="24" s="1"/>
  <c r="J51" i="24"/>
  <c r="K51" i="24" s="1"/>
  <c r="H51" i="24"/>
  <c r="I51" i="24" s="1"/>
  <c r="L51" i="24"/>
  <c r="M51" i="24" s="1"/>
  <c r="R51" i="24"/>
  <c r="S51" i="24" s="1"/>
  <c r="N51" i="24"/>
  <c r="O51" i="24" s="1"/>
  <c r="B204" i="24"/>
  <c r="V204" i="24"/>
  <c r="H204" i="24"/>
  <c r="F204" i="24"/>
  <c r="D204" i="24"/>
  <c r="P204" i="24"/>
  <c r="A205" i="24"/>
  <c r="J204" i="24"/>
  <c r="L204" i="24"/>
  <c r="T204" i="24"/>
  <c r="R204" i="24"/>
  <c r="N204" i="24"/>
  <c r="J16" i="37"/>
  <c r="I16" i="37"/>
  <c r="D16" i="37"/>
  <c r="C16" i="37"/>
  <c r="O15" i="37"/>
  <c r="P15" i="37"/>
  <c r="R15" i="37"/>
  <c r="S15" i="37"/>
  <c r="M16" i="37"/>
  <c r="L16" i="37"/>
  <c r="G16" i="37"/>
  <c r="F16" i="37"/>
  <c r="T16" i="19"/>
  <c r="Q16" i="19"/>
  <c r="V16" i="19"/>
  <c r="R16" i="19"/>
  <c r="O16" i="19"/>
  <c r="M17" i="19"/>
  <c r="P16" i="19"/>
  <c r="U16" i="19"/>
  <c r="S16" i="19"/>
  <c r="N783" i="37" l="1"/>
  <c r="U783" i="37"/>
  <c r="B783" i="37"/>
  <c r="E783" i="37"/>
  <c r="H783" i="37"/>
  <c r="A784" i="37"/>
  <c r="K783" i="37"/>
  <c r="Q783" i="37"/>
  <c r="V782" i="37"/>
  <c r="K728" i="37"/>
  <c r="B728" i="37"/>
  <c r="E728" i="37"/>
  <c r="H728" i="37"/>
  <c r="N728" i="37"/>
  <c r="Q728" i="37"/>
  <c r="U728" i="37"/>
  <c r="A729" i="37"/>
  <c r="V727" i="37"/>
  <c r="H513" i="37"/>
  <c r="K513" i="37"/>
  <c r="E513" i="37"/>
  <c r="N513" i="37"/>
  <c r="U513" i="37"/>
  <c r="A514" i="37"/>
  <c r="B513" i="37"/>
  <c r="Q513" i="37"/>
  <c r="V512" i="37"/>
  <c r="B663" i="37"/>
  <c r="N663" i="37"/>
  <c r="K663" i="37"/>
  <c r="Q663" i="37"/>
  <c r="H663" i="37"/>
  <c r="A664" i="37"/>
  <c r="U663" i="37"/>
  <c r="E663" i="37"/>
  <c r="V662" i="37"/>
  <c r="Q598" i="37"/>
  <c r="B598" i="37"/>
  <c r="H598" i="37"/>
  <c r="N598" i="37"/>
  <c r="K598" i="37"/>
  <c r="A599" i="37"/>
  <c r="U598" i="37"/>
  <c r="E598" i="37"/>
  <c r="V597" i="37"/>
  <c r="A810" i="37"/>
  <c r="Q809" i="37"/>
  <c r="B809" i="37"/>
  <c r="H809" i="37"/>
  <c r="N809" i="37"/>
  <c r="K809" i="37"/>
  <c r="E809" i="37"/>
  <c r="U809" i="37"/>
  <c r="V808" i="37"/>
  <c r="B620" i="37"/>
  <c r="H620" i="37"/>
  <c r="N620" i="37"/>
  <c r="Q620" i="37"/>
  <c r="V619" i="37"/>
  <c r="U620" i="37"/>
  <c r="E620" i="37"/>
  <c r="K620" i="37"/>
  <c r="A621" i="37"/>
  <c r="E536" i="37"/>
  <c r="H536" i="37"/>
  <c r="K536" i="37"/>
  <c r="Q536" i="37"/>
  <c r="A537" i="37"/>
  <c r="B536" i="37"/>
  <c r="N536" i="37"/>
  <c r="U536" i="37"/>
  <c r="V535" i="37"/>
  <c r="D52" i="24"/>
  <c r="E52" i="24" s="1"/>
  <c r="F52" i="24"/>
  <c r="G52" i="24" s="1"/>
  <c r="P52" i="24"/>
  <c r="Q52" i="24" s="1"/>
  <c r="A53" i="24"/>
  <c r="T52" i="24"/>
  <c r="U52" i="24" s="1"/>
  <c r="J52" i="24"/>
  <c r="K52" i="24" s="1"/>
  <c r="L52" i="24"/>
  <c r="M52" i="24" s="1"/>
  <c r="N52" i="24"/>
  <c r="O52" i="24" s="1"/>
  <c r="V52" i="24"/>
  <c r="W52" i="24" s="1"/>
  <c r="R52" i="24"/>
  <c r="S52" i="24" s="1"/>
  <c r="B52" i="24"/>
  <c r="C52" i="24" s="1"/>
  <c r="H52" i="24"/>
  <c r="I52" i="24" s="1"/>
  <c r="P205" i="24"/>
  <c r="J205" i="24"/>
  <c r="T205" i="24"/>
  <c r="R205" i="24"/>
  <c r="H205" i="24"/>
  <c r="F205" i="24"/>
  <c r="L205" i="24"/>
  <c r="N205" i="24"/>
  <c r="V205" i="24"/>
  <c r="A206" i="24"/>
  <c r="B205" i="24"/>
  <c r="D205" i="24"/>
  <c r="I17" i="37"/>
  <c r="J17" i="37"/>
  <c r="D17" i="37"/>
  <c r="C17" i="37"/>
  <c r="P16" i="37"/>
  <c r="O16" i="37"/>
  <c r="L17" i="37"/>
  <c r="M17" i="37"/>
  <c r="G17" i="37"/>
  <c r="F17" i="37"/>
  <c r="S16" i="37"/>
  <c r="R16" i="37"/>
  <c r="M18" i="19"/>
  <c r="R17" i="19"/>
  <c r="S17" i="19"/>
  <c r="U17" i="19"/>
  <c r="Q17" i="19"/>
  <c r="T17" i="19"/>
  <c r="O17" i="19"/>
  <c r="V17" i="19"/>
  <c r="P17" i="19"/>
  <c r="B621" i="37" l="1"/>
  <c r="E621" i="37"/>
  <c r="N621" i="37"/>
  <c r="K621" i="37"/>
  <c r="A622" i="37"/>
  <c r="U621" i="37"/>
  <c r="H621" i="37"/>
  <c r="Q621" i="37"/>
  <c r="V620" i="37"/>
  <c r="N810" i="37"/>
  <c r="H810" i="37"/>
  <c r="A811" i="37"/>
  <c r="K810" i="37"/>
  <c r="Q810" i="37"/>
  <c r="B810" i="37"/>
  <c r="E810" i="37"/>
  <c r="U810" i="37"/>
  <c r="V809" i="37"/>
  <c r="N599" i="37"/>
  <c r="A600" i="37"/>
  <c r="B599" i="37"/>
  <c r="E599" i="37"/>
  <c r="H599" i="37"/>
  <c r="K599" i="37"/>
  <c r="Q599" i="37"/>
  <c r="U599" i="37"/>
  <c r="V598" i="37"/>
  <c r="E514" i="37"/>
  <c r="H514" i="37"/>
  <c r="K514" i="37"/>
  <c r="Q514" i="37"/>
  <c r="A515" i="37"/>
  <c r="U514" i="37"/>
  <c r="B514" i="37"/>
  <c r="N514" i="37"/>
  <c r="V513" i="37"/>
  <c r="B784" i="37"/>
  <c r="E784" i="37"/>
  <c r="N784" i="37"/>
  <c r="K784" i="37"/>
  <c r="Q784" i="37"/>
  <c r="U784" i="37"/>
  <c r="H784" i="37"/>
  <c r="A785" i="37"/>
  <c r="V783" i="37"/>
  <c r="B537" i="37"/>
  <c r="E537" i="37"/>
  <c r="N537" i="37"/>
  <c r="K537" i="37"/>
  <c r="Q537" i="37"/>
  <c r="U537" i="37"/>
  <c r="H537" i="37"/>
  <c r="A538" i="37"/>
  <c r="V536" i="37"/>
  <c r="E664" i="37"/>
  <c r="H664" i="37"/>
  <c r="N664" i="37"/>
  <c r="K664" i="37"/>
  <c r="Q664" i="37"/>
  <c r="U664" i="37"/>
  <c r="A665" i="37"/>
  <c r="B664" i="37"/>
  <c r="V663" i="37"/>
  <c r="A730" i="37"/>
  <c r="H729" i="37"/>
  <c r="K729" i="37"/>
  <c r="U729" i="37"/>
  <c r="B729" i="37"/>
  <c r="E729" i="37"/>
  <c r="N729" i="37"/>
  <c r="Q729" i="37"/>
  <c r="V728" i="37"/>
  <c r="P53" i="24"/>
  <c r="Q53" i="24" s="1"/>
  <c r="V53" i="24"/>
  <c r="W53" i="24" s="1"/>
  <c r="L53" i="24"/>
  <c r="M53" i="24" s="1"/>
  <c r="A54" i="24"/>
  <c r="T53" i="24"/>
  <c r="U53" i="24" s="1"/>
  <c r="H53" i="24"/>
  <c r="I53" i="24" s="1"/>
  <c r="N53" i="24"/>
  <c r="O53" i="24" s="1"/>
  <c r="R53" i="24"/>
  <c r="S53" i="24" s="1"/>
  <c r="B53" i="24"/>
  <c r="C53" i="24" s="1"/>
  <c r="D53" i="24"/>
  <c r="E53" i="24" s="1"/>
  <c r="F53" i="24"/>
  <c r="G53" i="24" s="1"/>
  <c r="J53" i="24"/>
  <c r="K53" i="24" s="1"/>
  <c r="T206" i="24"/>
  <c r="N206" i="24"/>
  <c r="B206" i="24"/>
  <c r="F206" i="24"/>
  <c r="D206" i="24"/>
  <c r="V206" i="24"/>
  <c r="L206" i="24"/>
  <c r="J206" i="24"/>
  <c r="P206" i="24"/>
  <c r="R206" i="24"/>
  <c r="A207" i="24"/>
  <c r="H206" i="24"/>
  <c r="J18" i="37"/>
  <c r="I18" i="37"/>
  <c r="C18" i="37"/>
  <c r="D18" i="37"/>
  <c r="O17" i="37"/>
  <c r="P17" i="37"/>
  <c r="S17" i="37"/>
  <c r="R17" i="37"/>
  <c r="M18" i="37"/>
  <c r="L18" i="37"/>
  <c r="F18" i="37"/>
  <c r="G18" i="37"/>
  <c r="S18" i="19"/>
  <c r="O18" i="19"/>
  <c r="Q18" i="19"/>
  <c r="P18" i="19"/>
  <c r="M19" i="19"/>
  <c r="U18" i="19"/>
  <c r="T18" i="19"/>
  <c r="V18" i="19"/>
  <c r="R18" i="19"/>
  <c r="A731" i="37" l="1"/>
  <c r="Q730" i="37"/>
  <c r="U730" i="37"/>
  <c r="B730" i="37"/>
  <c r="H730" i="37"/>
  <c r="E730" i="37"/>
  <c r="N730" i="37"/>
  <c r="K730" i="37"/>
  <c r="V729" i="37"/>
  <c r="E515" i="37"/>
  <c r="H515" i="37"/>
  <c r="K515" i="37"/>
  <c r="Q515" i="37"/>
  <c r="A516" i="37"/>
  <c r="U515" i="37"/>
  <c r="B515" i="37"/>
  <c r="N515" i="37"/>
  <c r="V514" i="37"/>
  <c r="B665" i="37"/>
  <c r="A666" i="37"/>
  <c r="E665" i="37"/>
  <c r="N665" i="37"/>
  <c r="K665" i="37"/>
  <c r="H665" i="37"/>
  <c r="Q665" i="37"/>
  <c r="U665" i="37"/>
  <c r="V664" i="37"/>
  <c r="U785" i="37"/>
  <c r="A786" i="37"/>
  <c r="Q785" i="37"/>
  <c r="E785" i="37"/>
  <c r="H785" i="37"/>
  <c r="N785" i="37"/>
  <c r="B785" i="37"/>
  <c r="K785" i="37"/>
  <c r="V784" i="37"/>
  <c r="A812" i="37"/>
  <c r="U811" i="37"/>
  <c r="Q811" i="37"/>
  <c r="K811" i="37"/>
  <c r="N811" i="37"/>
  <c r="H811" i="37"/>
  <c r="E811" i="37"/>
  <c r="B811" i="37"/>
  <c r="V810" i="37"/>
  <c r="K538" i="37"/>
  <c r="Q538" i="37"/>
  <c r="U538" i="37"/>
  <c r="B538" i="37"/>
  <c r="H538" i="37"/>
  <c r="E538" i="37"/>
  <c r="N538" i="37"/>
  <c r="A539" i="37"/>
  <c r="V537" i="37"/>
  <c r="H622" i="37"/>
  <c r="Q622" i="37"/>
  <c r="U622" i="37"/>
  <c r="A623" i="37"/>
  <c r="B622" i="37"/>
  <c r="E622" i="37"/>
  <c r="N622" i="37"/>
  <c r="K622" i="37"/>
  <c r="V621" i="37"/>
  <c r="B600" i="37"/>
  <c r="E600" i="37"/>
  <c r="H600" i="37"/>
  <c r="K600" i="37"/>
  <c r="Q600" i="37"/>
  <c r="A601" i="37"/>
  <c r="N600" i="37"/>
  <c r="U600" i="37"/>
  <c r="V599" i="37"/>
  <c r="J54" i="24"/>
  <c r="K54" i="24" s="1"/>
  <c r="N54" i="24"/>
  <c r="O54" i="24" s="1"/>
  <c r="P54" i="24"/>
  <c r="Q54" i="24" s="1"/>
  <c r="H54" i="24"/>
  <c r="I54" i="24" s="1"/>
  <c r="B54" i="24"/>
  <c r="C54" i="24" s="1"/>
  <c r="A55" i="24"/>
  <c r="L54" i="24"/>
  <c r="M54" i="24" s="1"/>
  <c r="D54" i="24"/>
  <c r="E54" i="24" s="1"/>
  <c r="R54" i="24"/>
  <c r="S54" i="24" s="1"/>
  <c r="F54" i="24"/>
  <c r="G54" i="24" s="1"/>
  <c r="V54" i="24"/>
  <c r="W54" i="24" s="1"/>
  <c r="T54" i="24"/>
  <c r="U54" i="24" s="1"/>
  <c r="A208" i="24"/>
  <c r="N207" i="24"/>
  <c r="P207" i="24"/>
  <c r="J207" i="24"/>
  <c r="V207" i="24"/>
  <c r="T207" i="24"/>
  <c r="F207" i="24"/>
  <c r="H207" i="24"/>
  <c r="B207" i="24"/>
  <c r="D207" i="24"/>
  <c r="L207" i="24"/>
  <c r="R207" i="24"/>
  <c r="I19" i="37"/>
  <c r="J19" i="37"/>
  <c r="D19" i="37"/>
  <c r="C19" i="37"/>
  <c r="P18" i="37"/>
  <c r="O18" i="37"/>
  <c r="M19" i="37"/>
  <c r="L19" i="37"/>
  <c r="S18" i="37"/>
  <c r="R18" i="37"/>
  <c r="G19" i="37"/>
  <c r="F19" i="37"/>
  <c r="V19" i="19"/>
  <c r="S19" i="19"/>
  <c r="M20" i="19"/>
  <c r="R19" i="19"/>
  <c r="O19" i="19"/>
  <c r="P19" i="19"/>
  <c r="T19" i="19"/>
  <c r="U19" i="19"/>
  <c r="Q19" i="19"/>
  <c r="H786" i="37" l="1"/>
  <c r="A787" i="37"/>
  <c r="Q786" i="37"/>
  <c r="V785" i="37"/>
  <c r="B786" i="37"/>
  <c r="N786" i="37"/>
  <c r="E786" i="37"/>
  <c r="K786" i="37"/>
  <c r="U786" i="37"/>
  <c r="E516" i="37"/>
  <c r="H516" i="37"/>
  <c r="N516" i="37"/>
  <c r="Q516" i="37"/>
  <c r="V515" i="37"/>
  <c r="A517" i="37"/>
  <c r="B516" i="37"/>
  <c r="K516" i="37"/>
  <c r="U516" i="37"/>
  <c r="B623" i="37"/>
  <c r="E623" i="37"/>
  <c r="N623" i="37"/>
  <c r="K623" i="37"/>
  <c r="Q623" i="37"/>
  <c r="A624" i="37"/>
  <c r="H623" i="37"/>
  <c r="U623" i="37"/>
  <c r="V622" i="37"/>
  <c r="K601" i="37"/>
  <c r="A602" i="37"/>
  <c r="U601" i="37"/>
  <c r="B601" i="37"/>
  <c r="E601" i="37"/>
  <c r="N601" i="37"/>
  <c r="H601" i="37"/>
  <c r="Q601" i="37"/>
  <c r="V600" i="37"/>
  <c r="E539" i="37"/>
  <c r="N539" i="37"/>
  <c r="A540" i="37"/>
  <c r="B539" i="37"/>
  <c r="H539" i="37"/>
  <c r="K539" i="37"/>
  <c r="Q539" i="37"/>
  <c r="V538" i="37"/>
  <c r="U539" i="37"/>
  <c r="K812" i="37"/>
  <c r="H812" i="37"/>
  <c r="E812" i="37"/>
  <c r="U812" i="37"/>
  <c r="B812" i="37"/>
  <c r="N812" i="37"/>
  <c r="A813" i="37"/>
  <c r="Q812" i="37"/>
  <c r="V811" i="37"/>
  <c r="B666" i="37"/>
  <c r="E666" i="37"/>
  <c r="K666" i="37"/>
  <c r="N666" i="37"/>
  <c r="A667" i="37"/>
  <c r="U666" i="37"/>
  <c r="H666" i="37"/>
  <c r="Q666" i="37"/>
  <c r="V665" i="37"/>
  <c r="Q731" i="37"/>
  <c r="A732" i="37"/>
  <c r="U731" i="37"/>
  <c r="B731" i="37"/>
  <c r="N731" i="37"/>
  <c r="H731" i="37"/>
  <c r="E731" i="37"/>
  <c r="K731" i="37"/>
  <c r="V730" i="37"/>
  <c r="H55" i="24"/>
  <c r="I55" i="24" s="1"/>
  <c r="J55" i="24"/>
  <c r="K55" i="24" s="1"/>
  <c r="N55" i="24"/>
  <c r="O55" i="24" s="1"/>
  <c r="L55" i="24"/>
  <c r="M55" i="24" s="1"/>
  <c r="B55" i="24"/>
  <c r="C55" i="24" s="1"/>
  <c r="R55" i="24"/>
  <c r="S55" i="24" s="1"/>
  <c r="F55" i="24"/>
  <c r="G55" i="24" s="1"/>
  <c r="V55" i="24"/>
  <c r="W55" i="24" s="1"/>
  <c r="T55" i="24"/>
  <c r="U55" i="24" s="1"/>
  <c r="D55" i="24"/>
  <c r="E55" i="24" s="1"/>
  <c r="P55" i="24"/>
  <c r="Q55" i="24" s="1"/>
  <c r="A56" i="24"/>
  <c r="D208" i="24"/>
  <c r="F208" i="24"/>
  <c r="A209" i="24"/>
  <c r="R208" i="24"/>
  <c r="N208" i="24"/>
  <c r="V208" i="24"/>
  <c r="T208" i="24"/>
  <c r="J208" i="24"/>
  <c r="B208" i="24"/>
  <c r="H208" i="24"/>
  <c r="L208" i="24"/>
  <c r="P208" i="24"/>
  <c r="I20" i="37"/>
  <c r="J20" i="37"/>
  <c r="C20" i="37"/>
  <c r="D20" i="37"/>
  <c r="O19" i="37"/>
  <c r="P19" i="37"/>
  <c r="R19" i="37"/>
  <c r="S19" i="37"/>
  <c r="M20" i="37"/>
  <c r="L20" i="37"/>
  <c r="G20" i="37"/>
  <c r="F20" i="37"/>
  <c r="R20" i="19"/>
  <c r="T20" i="19"/>
  <c r="S20" i="19"/>
  <c r="M21" i="19"/>
  <c r="P20" i="19"/>
  <c r="U20" i="19"/>
  <c r="O20" i="19"/>
  <c r="Q20" i="19"/>
  <c r="V20" i="19"/>
  <c r="E517" i="37" l="1"/>
  <c r="B517" i="37"/>
  <c r="N517" i="37"/>
  <c r="Q517" i="37"/>
  <c r="U517" i="37"/>
  <c r="A518" i="37"/>
  <c r="H517" i="37"/>
  <c r="K517" i="37"/>
  <c r="V516" i="37"/>
  <c r="Q602" i="37"/>
  <c r="A603" i="37"/>
  <c r="B602" i="37"/>
  <c r="H602" i="37"/>
  <c r="E602" i="37"/>
  <c r="N602" i="37"/>
  <c r="K602" i="37"/>
  <c r="U602" i="37"/>
  <c r="V601" i="37"/>
  <c r="E667" i="37"/>
  <c r="H667" i="37"/>
  <c r="N667" i="37"/>
  <c r="Q667" i="37"/>
  <c r="V666" i="37"/>
  <c r="U667" i="37"/>
  <c r="B667" i="37"/>
  <c r="K667" i="37"/>
  <c r="A668" i="37"/>
  <c r="B624" i="37"/>
  <c r="H624" i="37"/>
  <c r="N624" i="37"/>
  <c r="K624" i="37"/>
  <c r="A625" i="37"/>
  <c r="E624" i="37"/>
  <c r="Q624" i="37"/>
  <c r="U624" i="37"/>
  <c r="V623" i="37"/>
  <c r="E540" i="37"/>
  <c r="N540" i="37"/>
  <c r="Q540" i="37"/>
  <c r="H540" i="37"/>
  <c r="K540" i="37"/>
  <c r="U540" i="37"/>
  <c r="A541" i="37"/>
  <c r="B540" i="37"/>
  <c r="V539" i="37"/>
  <c r="B813" i="37"/>
  <c r="N813" i="37"/>
  <c r="E813" i="37"/>
  <c r="A814" i="37"/>
  <c r="U813" i="37"/>
  <c r="Q813" i="37"/>
  <c r="H813" i="37"/>
  <c r="K813" i="37"/>
  <c r="V812" i="37"/>
  <c r="N787" i="37"/>
  <c r="A788" i="37"/>
  <c r="Q787" i="37"/>
  <c r="U787" i="37"/>
  <c r="B787" i="37"/>
  <c r="H787" i="37"/>
  <c r="K787" i="37"/>
  <c r="E787" i="37"/>
  <c r="V786" i="37"/>
  <c r="E732" i="37"/>
  <c r="H732" i="37"/>
  <c r="K732" i="37"/>
  <c r="Q732" i="37"/>
  <c r="A733" i="37"/>
  <c r="B732" i="37"/>
  <c r="N732" i="37"/>
  <c r="U732" i="37"/>
  <c r="V731" i="37"/>
  <c r="J56" i="24"/>
  <c r="K56" i="24" s="1"/>
  <c r="T56" i="24"/>
  <c r="U56" i="24" s="1"/>
  <c r="L56" i="24"/>
  <c r="M56" i="24" s="1"/>
  <c r="A57" i="24"/>
  <c r="P56" i="24"/>
  <c r="Q56" i="24" s="1"/>
  <c r="R56" i="24"/>
  <c r="S56" i="24" s="1"/>
  <c r="B56" i="24"/>
  <c r="C56" i="24" s="1"/>
  <c r="H56" i="24"/>
  <c r="I56" i="24" s="1"/>
  <c r="V56" i="24"/>
  <c r="W56" i="24" s="1"/>
  <c r="N56" i="24"/>
  <c r="O56" i="24" s="1"/>
  <c r="D56" i="24"/>
  <c r="E56" i="24" s="1"/>
  <c r="F56" i="24"/>
  <c r="G56" i="24" s="1"/>
  <c r="B209" i="24"/>
  <c r="V209" i="24"/>
  <c r="D209" i="24"/>
  <c r="F209" i="24"/>
  <c r="H209" i="24"/>
  <c r="R209" i="24"/>
  <c r="J209" i="24"/>
  <c r="L209" i="24"/>
  <c r="P209" i="24"/>
  <c r="N209" i="24"/>
  <c r="T209" i="24"/>
  <c r="A210" i="24"/>
  <c r="I21" i="37"/>
  <c r="J21" i="37"/>
  <c r="D21" i="37"/>
  <c r="C21" i="37"/>
  <c r="O20" i="37"/>
  <c r="P20" i="37"/>
  <c r="F21" i="37"/>
  <c r="G21" i="37"/>
  <c r="L21" i="37"/>
  <c r="M21" i="37"/>
  <c r="S20" i="37"/>
  <c r="R20" i="37"/>
  <c r="O21" i="19"/>
  <c r="U21" i="19"/>
  <c r="P21" i="19"/>
  <c r="T21" i="19"/>
  <c r="V21" i="19"/>
  <c r="R21" i="19"/>
  <c r="M22" i="19"/>
  <c r="Q21" i="19"/>
  <c r="S21" i="19"/>
  <c r="N541" i="37" l="1"/>
  <c r="A542" i="37"/>
  <c r="E541" i="37"/>
  <c r="B541" i="37"/>
  <c r="H541" i="37"/>
  <c r="Q541" i="37"/>
  <c r="K541" i="37"/>
  <c r="U541" i="37"/>
  <c r="V540" i="37"/>
  <c r="B668" i="37"/>
  <c r="H668" i="37"/>
  <c r="N668" i="37"/>
  <c r="Q668" i="37"/>
  <c r="V667" i="37"/>
  <c r="U668" i="37"/>
  <c r="E668" i="37"/>
  <c r="K668" i="37"/>
  <c r="A669" i="37"/>
  <c r="E603" i="37"/>
  <c r="H603" i="37"/>
  <c r="K603" i="37"/>
  <c r="Q603" i="37"/>
  <c r="A604" i="37"/>
  <c r="B603" i="37"/>
  <c r="N603" i="37"/>
  <c r="U603" i="37"/>
  <c r="V602" i="37"/>
  <c r="E625" i="37"/>
  <c r="N625" i="37"/>
  <c r="Q625" i="37"/>
  <c r="A626" i="37"/>
  <c r="B625" i="37"/>
  <c r="H625" i="37"/>
  <c r="K625" i="37"/>
  <c r="U625" i="37"/>
  <c r="V624" i="37"/>
  <c r="H788" i="37"/>
  <c r="K788" i="37"/>
  <c r="A789" i="37"/>
  <c r="Q788" i="37"/>
  <c r="B788" i="37"/>
  <c r="E788" i="37"/>
  <c r="N788" i="37"/>
  <c r="U788" i="37"/>
  <c r="V787" i="37"/>
  <c r="E518" i="37"/>
  <c r="H518" i="37"/>
  <c r="K518" i="37"/>
  <c r="Q518" i="37"/>
  <c r="A519" i="37"/>
  <c r="B518" i="37"/>
  <c r="N518" i="37"/>
  <c r="U518" i="37"/>
  <c r="V517" i="37"/>
  <c r="B733" i="37"/>
  <c r="E733" i="37"/>
  <c r="N733" i="37"/>
  <c r="K733" i="37"/>
  <c r="Q733" i="37"/>
  <c r="A734" i="37"/>
  <c r="H733" i="37"/>
  <c r="U733" i="37"/>
  <c r="V732" i="37"/>
  <c r="H814" i="37"/>
  <c r="E814" i="37"/>
  <c r="K814" i="37"/>
  <c r="B814" i="37"/>
  <c r="N814" i="37"/>
  <c r="A815" i="37"/>
  <c r="Q814" i="37"/>
  <c r="U814" i="37"/>
  <c r="V813" i="37"/>
  <c r="N57" i="24"/>
  <c r="O57" i="24" s="1"/>
  <c r="V57" i="24"/>
  <c r="W57" i="24" s="1"/>
  <c r="H57" i="24"/>
  <c r="I57" i="24" s="1"/>
  <c r="T57" i="24"/>
  <c r="U57" i="24" s="1"/>
  <c r="D57" i="24"/>
  <c r="E57" i="24" s="1"/>
  <c r="A58" i="24"/>
  <c r="R57" i="24"/>
  <c r="S57" i="24" s="1"/>
  <c r="J57" i="24"/>
  <c r="K57" i="24" s="1"/>
  <c r="B57" i="24"/>
  <c r="C57" i="24" s="1"/>
  <c r="L57" i="24"/>
  <c r="M57" i="24" s="1"/>
  <c r="F57" i="24"/>
  <c r="G57" i="24" s="1"/>
  <c r="P57" i="24"/>
  <c r="Q57" i="24" s="1"/>
  <c r="B210" i="24"/>
  <c r="F210" i="24"/>
  <c r="D210" i="24"/>
  <c r="V210" i="24"/>
  <c r="H210" i="24"/>
  <c r="R210" i="24"/>
  <c r="A211" i="24"/>
  <c r="J210" i="24"/>
  <c r="L210" i="24"/>
  <c r="T210" i="24"/>
  <c r="P210" i="24"/>
  <c r="N210" i="24"/>
  <c r="I22" i="37"/>
  <c r="J22" i="37"/>
  <c r="C22" i="37"/>
  <c r="D22" i="37"/>
  <c r="O21" i="37"/>
  <c r="P21" i="37"/>
  <c r="G22" i="37"/>
  <c r="F22" i="37"/>
  <c r="M22" i="37"/>
  <c r="L22" i="37"/>
  <c r="S21" i="37"/>
  <c r="R21" i="37"/>
  <c r="Q22" i="19"/>
  <c r="M23" i="19"/>
  <c r="V22" i="19"/>
  <c r="O22" i="19"/>
  <c r="R22" i="19"/>
  <c r="T22" i="19"/>
  <c r="U22" i="19"/>
  <c r="P22" i="19"/>
  <c r="S22" i="19"/>
  <c r="H626" i="37" l="1"/>
  <c r="N626" i="37"/>
  <c r="Q626" i="37"/>
  <c r="B626" i="37"/>
  <c r="E626" i="37"/>
  <c r="K626" i="37"/>
  <c r="A627" i="37"/>
  <c r="U626" i="37"/>
  <c r="V625" i="37"/>
  <c r="E734" i="37"/>
  <c r="N734" i="37"/>
  <c r="Q734" i="37"/>
  <c r="B734" i="37"/>
  <c r="H734" i="37"/>
  <c r="K734" i="37"/>
  <c r="A735" i="37"/>
  <c r="U734" i="37"/>
  <c r="V733" i="37"/>
  <c r="N789" i="37"/>
  <c r="K789" i="37"/>
  <c r="A790" i="37"/>
  <c r="U789" i="37"/>
  <c r="B789" i="37"/>
  <c r="E789" i="37"/>
  <c r="H789" i="37"/>
  <c r="Q789" i="37"/>
  <c r="V788" i="37"/>
  <c r="K604" i="37"/>
  <c r="Q604" i="37"/>
  <c r="A605" i="37"/>
  <c r="H604" i="37"/>
  <c r="N604" i="37"/>
  <c r="U604" i="37"/>
  <c r="B604" i="37"/>
  <c r="E604" i="37"/>
  <c r="V603" i="37"/>
  <c r="E815" i="37"/>
  <c r="U815" i="37"/>
  <c r="K815" i="37"/>
  <c r="A816" i="37"/>
  <c r="Q815" i="37"/>
  <c r="H815" i="37"/>
  <c r="B815" i="37"/>
  <c r="N815" i="37"/>
  <c r="V814" i="37"/>
  <c r="H519" i="37"/>
  <c r="K519" i="37"/>
  <c r="Q519" i="37"/>
  <c r="A520" i="37"/>
  <c r="E519" i="37"/>
  <c r="N519" i="37"/>
  <c r="U519" i="37"/>
  <c r="B519" i="37"/>
  <c r="V518" i="37"/>
  <c r="N669" i="37"/>
  <c r="Q669" i="37"/>
  <c r="A670" i="37"/>
  <c r="U669" i="37"/>
  <c r="B669" i="37"/>
  <c r="E669" i="37"/>
  <c r="H669" i="37"/>
  <c r="K669" i="37"/>
  <c r="V668" i="37"/>
  <c r="E542" i="37"/>
  <c r="N542" i="37"/>
  <c r="Q542" i="37"/>
  <c r="B542" i="37"/>
  <c r="H542" i="37"/>
  <c r="K542" i="37"/>
  <c r="U542" i="37"/>
  <c r="A543" i="37"/>
  <c r="V541" i="37"/>
  <c r="R58" i="24"/>
  <c r="S58" i="24" s="1"/>
  <c r="L58" i="24"/>
  <c r="M58" i="24" s="1"/>
  <c r="V58" i="24"/>
  <c r="W58" i="24" s="1"/>
  <c r="J58" i="24"/>
  <c r="K58" i="24" s="1"/>
  <c r="H58" i="24"/>
  <c r="I58" i="24" s="1"/>
  <c r="P58" i="24"/>
  <c r="Q58" i="24" s="1"/>
  <c r="B58" i="24"/>
  <c r="C58" i="24" s="1"/>
  <c r="F58" i="24"/>
  <c r="G58" i="24" s="1"/>
  <c r="T58" i="24"/>
  <c r="U58" i="24" s="1"/>
  <c r="A59" i="24"/>
  <c r="N58" i="24"/>
  <c r="O58" i="24" s="1"/>
  <c r="D58" i="24"/>
  <c r="E58" i="24" s="1"/>
  <c r="H211" i="24"/>
  <c r="R211" i="24"/>
  <c r="L211" i="24"/>
  <c r="B211" i="24"/>
  <c r="V211" i="24"/>
  <c r="F211" i="24"/>
  <c r="N211" i="24"/>
  <c r="T211" i="24"/>
  <c r="A212" i="24"/>
  <c r="D211" i="24"/>
  <c r="J211" i="24"/>
  <c r="P211" i="24"/>
  <c r="I23" i="37"/>
  <c r="J23" i="37"/>
  <c r="D23" i="37"/>
  <c r="C23" i="37"/>
  <c r="P22" i="37"/>
  <c r="O22" i="37"/>
  <c r="L23" i="37"/>
  <c r="M23" i="37"/>
  <c r="G23" i="37"/>
  <c r="F23" i="37"/>
  <c r="S22" i="37"/>
  <c r="R22" i="37"/>
  <c r="P23" i="19"/>
  <c r="V23" i="19"/>
  <c r="M24" i="19"/>
  <c r="T23" i="19"/>
  <c r="O23" i="19"/>
  <c r="Q23" i="19"/>
  <c r="S23" i="19"/>
  <c r="U23" i="19"/>
  <c r="R23" i="19"/>
  <c r="E735" i="37" l="1"/>
  <c r="N735" i="37"/>
  <c r="Q735" i="37"/>
  <c r="B735" i="37"/>
  <c r="H735" i="37"/>
  <c r="K735" i="37"/>
  <c r="U735" i="37"/>
  <c r="A736" i="37"/>
  <c r="V734" i="37"/>
  <c r="E605" i="37"/>
  <c r="N605" i="37"/>
  <c r="Q605" i="37"/>
  <c r="B605" i="37"/>
  <c r="H605" i="37"/>
  <c r="K605" i="37"/>
  <c r="A606" i="37"/>
  <c r="U605" i="37"/>
  <c r="V604" i="37"/>
  <c r="K670" i="37"/>
  <c r="Q670" i="37"/>
  <c r="A671" i="37"/>
  <c r="B670" i="37"/>
  <c r="E670" i="37"/>
  <c r="N670" i="37"/>
  <c r="H670" i="37"/>
  <c r="U670" i="37"/>
  <c r="V669" i="37"/>
  <c r="E816" i="37"/>
  <c r="Q816" i="37"/>
  <c r="A817" i="37"/>
  <c r="U816" i="37"/>
  <c r="H816" i="37"/>
  <c r="B816" i="37"/>
  <c r="N816" i="37"/>
  <c r="K816" i="37"/>
  <c r="V815" i="37"/>
  <c r="B627" i="37"/>
  <c r="H627" i="37"/>
  <c r="K627" i="37"/>
  <c r="N627" i="37"/>
  <c r="Q627" i="37"/>
  <c r="U627" i="37"/>
  <c r="A628" i="37"/>
  <c r="E627" i="37"/>
  <c r="V626" i="37"/>
  <c r="A544" i="37"/>
  <c r="B543" i="37"/>
  <c r="E543" i="37"/>
  <c r="H543" i="37"/>
  <c r="N543" i="37"/>
  <c r="K543" i="37"/>
  <c r="Q543" i="37"/>
  <c r="U543" i="37"/>
  <c r="V542" i="37"/>
  <c r="H790" i="37"/>
  <c r="K790" i="37"/>
  <c r="U790" i="37"/>
  <c r="N790" i="37"/>
  <c r="A791" i="37"/>
  <c r="Q790" i="37"/>
  <c r="B790" i="37"/>
  <c r="E790" i="37"/>
  <c r="V789" i="37"/>
  <c r="H520" i="37"/>
  <c r="N520" i="37"/>
  <c r="K520" i="37"/>
  <c r="A521" i="37"/>
  <c r="B520" i="37"/>
  <c r="E520" i="37"/>
  <c r="Q520" i="37"/>
  <c r="U520" i="37"/>
  <c r="V519" i="37"/>
  <c r="R59" i="24"/>
  <c r="S59" i="24" s="1"/>
  <c r="A60" i="24"/>
  <c r="N59" i="24"/>
  <c r="O59" i="24" s="1"/>
  <c r="L59" i="24"/>
  <c r="M59" i="24" s="1"/>
  <c r="B59" i="24"/>
  <c r="C59" i="24" s="1"/>
  <c r="T59" i="24"/>
  <c r="U59" i="24" s="1"/>
  <c r="D59" i="24"/>
  <c r="E59" i="24" s="1"/>
  <c r="F59" i="24"/>
  <c r="G59" i="24" s="1"/>
  <c r="H59" i="24"/>
  <c r="I59" i="24" s="1"/>
  <c r="J59" i="24"/>
  <c r="K59" i="24" s="1"/>
  <c r="V59" i="24"/>
  <c r="W59" i="24" s="1"/>
  <c r="P59" i="24"/>
  <c r="Q59" i="24" s="1"/>
  <c r="N212" i="24"/>
  <c r="T212" i="24"/>
  <c r="P212" i="24"/>
  <c r="A213" i="24"/>
  <c r="V212" i="24"/>
  <c r="J212" i="24"/>
  <c r="L212" i="24"/>
  <c r="R212" i="24"/>
  <c r="B212" i="24"/>
  <c r="F212" i="24"/>
  <c r="H212" i="24"/>
  <c r="D212" i="24"/>
  <c r="I24" i="37"/>
  <c r="J24" i="37"/>
  <c r="D24" i="37"/>
  <c r="C24" i="37"/>
  <c r="O23" i="37"/>
  <c r="P23" i="37"/>
  <c r="M24" i="37"/>
  <c r="L24" i="37"/>
  <c r="R23" i="37"/>
  <c r="S23" i="37"/>
  <c r="F24" i="37"/>
  <c r="G24" i="37"/>
  <c r="M25" i="19"/>
  <c r="U24" i="19"/>
  <c r="T24" i="19"/>
  <c r="V24" i="19"/>
  <c r="Q24" i="19"/>
  <c r="R24" i="19"/>
  <c r="P24" i="19"/>
  <c r="O24" i="19"/>
  <c r="S24" i="19"/>
  <c r="H606" i="37" l="1"/>
  <c r="K606" i="37"/>
  <c r="A607" i="37"/>
  <c r="E606" i="37"/>
  <c r="B606" i="37"/>
  <c r="N606" i="37"/>
  <c r="Q606" i="37"/>
  <c r="U606" i="37"/>
  <c r="V605" i="37"/>
  <c r="E544" i="37"/>
  <c r="N544" i="37"/>
  <c r="Q544" i="37"/>
  <c r="A545" i="37"/>
  <c r="K544" i="37"/>
  <c r="U544" i="37"/>
  <c r="B544" i="37"/>
  <c r="H544" i="37"/>
  <c r="V543" i="37"/>
  <c r="N817" i="37"/>
  <c r="K817" i="37"/>
  <c r="A818" i="37"/>
  <c r="Q817" i="37"/>
  <c r="H817" i="37"/>
  <c r="E817" i="37"/>
  <c r="U817" i="37"/>
  <c r="V816" i="37"/>
  <c r="B817" i="37"/>
  <c r="E628" i="37"/>
  <c r="N628" i="37"/>
  <c r="Q628" i="37"/>
  <c r="B628" i="37"/>
  <c r="H628" i="37"/>
  <c r="K628" i="37"/>
  <c r="A629" i="37"/>
  <c r="U628" i="37"/>
  <c r="V627" i="37"/>
  <c r="A792" i="37"/>
  <c r="U791" i="37"/>
  <c r="B791" i="37"/>
  <c r="E791" i="37"/>
  <c r="H791" i="37"/>
  <c r="N791" i="37"/>
  <c r="K791" i="37"/>
  <c r="Q791" i="37"/>
  <c r="V790" i="37"/>
  <c r="E736" i="37"/>
  <c r="N736" i="37"/>
  <c r="Q736" i="37"/>
  <c r="B736" i="37"/>
  <c r="H736" i="37"/>
  <c r="K736" i="37"/>
  <c r="A737" i="37"/>
  <c r="U736" i="37"/>
  <c r="V735" i="37"/>
  <c r="B671" i="37"/>
  <c r="H671" i="37"/>
  <c r="N671" i="37"/>
  <c r="K671" i="37"/>
  <c r="A672" i="37"/>
  <c r="E671" i="37"/>
  <c r="Q671" i="37"/>
  <c r="U671" i="37"/>
  <c r="V670" i="37"/>
  <c r="B521" i="37"/>
  <c r="H521" i="37"/>
  <c r="K521" i="37"/>
  <c r="E521" i="37"/>
  <c r="N521" i="37"/>
  <c r="Q521" i="37"/>
  <c r="U521" i="37"/>
  <c r="V520" i="37"/>
  <c r="V521" i="37"/>
  <c r="L60" i="24"/>
  <c r="M60" i="24" s="1"/>
  <c r="H60" i="24"/>
  <c r="I60" i="24" s="1"/>
  <c r="N60" i="24"/>
  <c r="O60" i="24" s="1"/>
  <c r="B60" i="24"/>
  <c r="C60" i="24" s="1"/>
  <c r="P60" i="24"/>
  <c r="Q60" i="24" s="1"/>
  <c r="T60" i="24"/>
  <c r="U60" i="24" s="1"/>
  <c r="V60" i="24"/>
  <c r="W60" i="24" s="1"/>
  <c r="R60" i="24"/>
  <c r="S60" i="24" s="1"/>
  <c r="J60" i="24"/>
  <c r="K60" i="24" s="1"/>
  <c r="D60" i="24"/>
  <c r="E60" i="24" s="1"/>
  <c r="F60" i="24"/>
  <c r="G60" i="24" s="1"/>
  <c r="A61" i="24"/>
  <c r="P213" i="24"/>
  <c r="J213" i="24"/>
  <c r="R213" i="24"/>
  <c r="B213" i="24"/>
  <c r="L213" i="24"/>
  <c r="N213" i="24"/>
  <c r="V213" i="24"/>
  <c r="T213" i="24"/>
  <c r="A214" i="24"/>
  <c r="H213" i="24"/>
  <c r="D213" i="24"/>
  <c r="F213" i="24"/>
  <c r="I25" i="37"/>
  <c r="J25" i="37"/>
  <c r="C25" i="37"/>
  <c r="D25" i="37"/>
  <c r="P24" i="37"/>
  <c r="O24" i="37"/>
  <c r="R24" i="37"/>
  <c r="S24" i="37"/>
  <c r="M25" i="37"/>
  <c r="L25" i="37"/>
  <c r="G25" i="37"/>
  <c r="F25" i="37"/>
  <c r="O25" i="19"/>
  <c r="V25" i="19"/>
  <c r="T25" i="19"/>
  <c r="R25" i="19"/>
  <c r="U25" i="19"/>
  <c r="P25" i="19"/>
  <c r="M26" i="19"/>
  <c r="S25" i="19"/>
  <c r="Q25" i="19"/>
  <c r="Q545" i="37" l="1"/>
  <c r="B545" i="37"/>
  <c r="E545" i="37"/>
  <c r="H545" i="37"/>
  <c r="N545" i="37"/>
  <c r="K545" i="37"/>
  <c r="A546" i="37"/>
  <c r="U545" i="37"/>
  <c r="V544" i="37"/>
  <c r="E672" i="37"/>
  <c r="N672" i="37"/>
  <c r="Q672" i="37"/>
  <c r="B672" i="37"/>
  <c r="H672" i="37"/>
  <c r="K672" i="37"/>
  <c r="A673" i="37"/>
  <c r="U672" i="37"/>
  <c r="V671" i="37"/>
  <c r="E792" i="37"/>
  <c r="N792" i="37"/>
  <c r="K792" i="37"/>
  <c r="B792" i="37"/>
  <c r="H792" i="37"/>
  <c r="A793" i="37"/>
  <c r="U792" i="37"/>
  <c r="Q792" i="37"/>
  <c r="V791" i="37"/>
  <c r="U818" i="37"/>
  <c r="B818" i="37"/>
  <c r="N818" i="37"/>
  <c r="H818" i="37"/>
  <c r="E818" i="37"/>
  <c r="A819" i="37"/>
  <c r="K818" i="37"/>
  <c r="Q818" i="37"/>
  <c r="V817" i="37"/>
  <c r="K737" i="37"/>
  <c r="A738" i="37"/>
  <c r="B737" i="37"/>
  <c r="E737" i="37"/>
  <c r="H737" i="37"/>
  <c r="N737" i="37"/>
  <c r="Q737" i="37"/>
  <c r="U737" i="37"/>
  <c r="V736" i="37"/>
  <c r="K607" i="37"/>
  <c r="U607" i="37"/>
  <c r="E607" i="37"/>
  <c r="H607" i="37"/>
  <c r="N607" i="37"/>
  <c r="Q607" i="37"/>
  <c r="A608" i="37"/>
  <c r="B607" i="37"/>
  <c r="V606" i="37"/>
  <c r="E629" i="37"/>
  <c r="N629" i="37"/>
  <c r="Q629" i="37"/>
  <c r="U629" i="37"/>
  <c r="B629" i="37"/>
  <c r="H629" i="37"/>
  <c r="K629" i="37"/>
  <c r="A630" i="37"/>
  <c r="V628" i="37"/>
  <c r="A62" i="24"/>
  <c r="J61" i="24"/>
  <c r="K61" i="24" s="1"/>
  <c r="N61" i="24"/>
  <c r="O61" i="24" s="1"/>
  <c r="P61" i="24"/>
  <c r="Q61" i="24" s="1"/>
  <c r="B61" i="24"/>
  <c r="C61" i="24" s="1"/>
  <c r="T61" i="24"/>
  <c r="U61" i="24" s="1"/>
  <c r="V61" i="24"/>
  <c r="W61" i="24" s="1"/>
  <c r="R61" i="24"/>
  <c r="S61" i="24" s="1"/>
  <c r="D61" i="24"/>
  <c r="E61" i="24" s="1"/>
  <c r="F61" i="24"/>
  <c r="G61" i="24" s="1"/>
  <c r="L61" i="24"/>
  <c r="M61" i="24" s="1"/>
  <c r="H61" i="24"/>
  <c r="I61" i="24" s="1"/>
  <c r="T214" i="24"/>
  <c r="R214" i="24"/>
  <c r="B214" i="24"/>
  <c r="F214" i="24"/>
  <c r="H214" i="24"/>
  <c r="V214" i="24"/>
  <c r="D214" i="24"/>
  <c r="L214" i="24"/>
  <c r="P214" i="24"/>
  <c r="A215" i="24"/>
  <c r="J214" i="24"/>
  <c r="N214" i="24"/>
  <c r="I26" i="37"/>
  <c r="J26" i="37"/>
  <c r="D26" i="37"/>
  <c r="C26" i="37"/>
  <c r="P25" i="37"/>
  <c r="O25" i="37"/>
  <c r="G26" i="37"/>
  <c r="F26" i="37"/>
  <c r="M26" i="37"/>
  <c r="L26" i="37"/>
  <c r="S25" i="37"/>
  <c r="R25" i="37"/>
  <c r="P26" i="19"/>
  <c r="Q26" i="19"/>
  <c r="O26" i="19"/>
  <c r="S26" i="19"/>
  <c r="V26" i="19"/>
  <c r="R26" i="19"/>
  <c r="T26" i="19"/>
  <c r="U26" i="19"/>
  <c r="M27" i="19"/>
  <c r="K673" i="37" l="1"/>
  <c r="U673" i="37"/>
  <c r="Q673" i="37"/>
  <c r="A674" i="37"/>
  <c r="B673" i="37"/>
  <c r="E673" i="37"/>
  <c r="H673" i="37"/>
  <c r="N673" i="37"/>
  <c r="V672" i="37"/>
  <c r="Q630" i="37"/>
  <c r="E630" i="37"/>
  <c r="B630" i="37"/>
  <c r="H630" i="37"/>
  <c r="N630" i="37"/>
  <c r="K630" i="37"/>
  <c r="A631" i="37"/>
  <c r="U630" i="37"/>
  <c r="V629" i="37"/>
  <c r="K793" i="37"/>
  <c r="U793" i="37"/>
  <c r="B793" i="37"/>
  <c r="E793" i="37"/>
  <c r="H793" i="37"/>
  <c r="N793" i="37"/>
  <c r="A794" i="37"/>
  <c r="Q793" i="37"/>
  <c r="V792" i="37"/>
  <c r="Q546" i="37"/>
  <c r="B546" i="37"/>
  <c r="E546" i="37"/>
  <c r="H546" i="37"/>
  <c r="K546" i="37"/>
  <c r="N546" i="37"/>
  <c r="U546" i="37"/>
  <c r="A547" i="37"/>
  <c r="V545" i="37"/>
  <c r="K738" i="37"/>
  <c r="U738" i="37"/>
  <c r="E738" i="37"/>
  <c r="B738" i="37"/>
  <c r="H738" i="37"/>
  <c r="N738" i="37"/>
  <c r="Q738" i="37"/>
  <c r="A739" i="37"/>
  <c r="V737" i="37"/>
  <c r="N608" i="37"/>
  <c r="U608" i="37"/>
  <c r="E608" i="37"/>
  <c r="H608" i="37"/>
  <c r="K608" i="37"/>
  <c r="Q608" i="37"/>
  <c r="B608" i="37"/>
  <c r="V607" i="37"/>
  <c r="V608" i="37"/>
  <c r="A820" i="37"/>
  <c r="K819" i="37"/>
  <c r="E819" i="37"/>
  <c r="U819" i="37"/>
  <c r="Q819" i="37"/>
  <c r="B819" i="37"/>
  <c r="H819" i="37"/>
  <c r="N819" i="37"/>
  <c r="V818" i="37"/>
  <c r="D62" i="24"/>
  <c r="E62" i="24" s="1"/>
  <c r="B62" i="24"/>
  <c r="C62" i="24" s="1"/>
  <c r="T62" i="24"/>
  <c r="U62" i="24" s="1"/>
  <c r="V62" i="24"/>
  <c r="W62" i="24" s="1"/>
  <c r="L62" i="24"/>
  <c r="M62" i="24" s="1"/>
  <c r="H62" i="24"/>
  <c r="I62" i="24" s="1"/>
  <c r="R62" i="24"/>
  <c r="S62" i="24" s="1"/>
  <c r="J62" i="24"/>
  <c r="K62" i="24" s="1"/>
  <c r="N62" i="24"/>
  <c r="O62" i="24" s="1"/>
  <c r="A63" i="24"/>
  <c r="P62" i="24"/>
  <c r="Q62" i="24" s="1"/>
  <c r="F62" i="24"/>
  <c r="G62" i="24" s="1"/>
  <c r="B215" i="24"/>
  <c r="F215" i="24"/>
  <c r="D215" i="24"/>
  <c r="N215" i="24"/>
  <c r="H215" i="24"/>
  <c r="P215" i="24"/>
  <c r="L215" i="24"/>
  <c r="J215" i="24"/>
  <c r="V215" i="24"/>
  <c r="A216" i="24"/>
  <c r="R215" i="24"/>
  <c r="T215" i="24"/>
  <c r="J27" i="37"/>
  <c r="I27" i="37"/>
  <c r="D27" i="37"/>
  <c r="C27" i="37"/>
  <c r="O26" i="37"/>
  <c r="P26" i="37"/>
  <c r="F27" i="37"/>
  <c r="G27" i="37"/>
  <c r="S26" i="37"/>
  <c r="R26" i="37"/>
  <c r="M27" i="37"/>
  <c r="L27" i="37"/>
  <c r="Q27" i="19"/>
  <c r="U27" i="19"/>
  <c r="O27" i="19"/>
  <c r="P27" i="19"/>
  <c r="V27" i="19"/>
  <c r="M28" i="19"/>
  <c r="S27" i="19"/>
  <c r="R27" i="19"/>
  <c r="T27" i="19"/>
  <c r="B631" i="37" l="1"/>
  <c r="N631" i="37"/>
  <c r="A632" i="37"/>
  <c r="E631" i="37"/>
  <c r="H631" i="37"/>
  <c r="K631" i="37"/>
  <c r="Q631" i="37"/>
  <c r="U631" i="37"/>
  <c r="V630" i="37"/>
  <c r="E739" i="37"/>
  <c r="N739" i="37"/>
  <c r="Q739" i="37"/>
  <c r="A740" i="37"/>
  <c r="U739" i="37"/>
  <c r="B739" i="37"/>
  <c r="H739" i="37"/>
  <c r="K739" i="37"/>
  <c r="V738" i="37"/>
  <c r="Q794" i="37"/>
  <c r="B794" i="37"/>
  <c r="U794" i="37"/>
  <c r="V793" i="37"/>
  <c r="E794" i="37"/>
  <c r="N794" i="37"/>
  <c r="H794" i="37"/>
  <c r="A795" i="37"/>
  <c r="K794" i="37"/>
  <c r="N820" i="37"/>
  <c r="H820" i="37"/>
  <c r="U820" i="37"/>
  <c r="Q820" i="37"/>
  <c r="B820" i="37"/>
  <c r="K820" i="37"/>
  <c r="E820" i="37"/>
  <c r="A821" i="37"/>
  <c r="V819" i="37"/>
  <c r="B674" i="37"/>
  <c r="H674" i="37"/>
  <c r="K674" i="37"/>
  <c r="E674" i="37"/>
  <c r="N674" i="37"/>
  <c r="Q674" i="37"/>
  <c r="A675" i="37"/>
  <c r="U674" i="37"/>
  <c r="V673" i="37"/>
  <c r="B547" i="37"/>
  <c r="A548" i="37"/>
  <c r="E547" i="37"/>
  <c r="H547" i="37"/>
  <c r="N547" i="37"/>
  <c r="K547" i="37"/>
  <c r="Q547" i="37"/>
  <c r="U547" i="37"/>
  <c r="V546" i="37"/>
  <c r="A64" i="24"/>
  <c r="J63" i="24"/>
  <c r="K63" i="24" s="1"/>
  <c r="N63" i="24"/>
  <c r="O63" i="24" s="1"/>
  <c r="R63" i="24"/>
  <c r="S63" i="24" s="1"/>
  <c r="D63" i="24"/>
  <c r="E63" i="24" s="1"/>
  <c r="T63" i="24"/>
  <c r="U63" i="24" s="1"/>
  <c r="H63" i="24"/>
  <c r="I63" i="24" s="1"/>
  <c r="V63" i="24"/>
  <c r="W63" i="24" s="1"/>
  <c r="P63" i="24"/>
  <c r="Q63" i="24" s="1"/>
  <c r="F63" i="24"/>
  <c r="G63" i="24" s="1"/>
  <c r="B63" i="24"/>
  <c r="C63" i="24" s="1"/>
  <c r="L63" i="24"/>
  <c r="M63" i="24" s="1"/>
  <c r="H216" i="24"/>
  <c r="J216" i="24"/>
  <c r="L216" i="24"/>
  <c r="T216" i="24"/>
  <c r="N216" i="24"/>
  <c r="A217" i="24"/>
  <c r="D216" i="24"/>
  <c r="P216" i="24"/>
  <c r="R216" i="24"/>
  <c r="B216" i="24"/>
  <c r="V216" i="24"/>
  <c r="F216" i="24"/>
  <c r="I28" i="37"/>
  <c r="J28" i="37"/>
  <c r="D28" i="37"/>
  <c r="C28" i="37"/>
  <c r="O27" i="37"/>
  <c r="P27" i="37"/>
  <c r="S27" i="37"/>
  <c r="R27" i="37"/>
  <c r="M28" i="37"/>
  <c r="L28" i="37"/>
  <c r="G28" i="37"/>
  <c r="F28" i="37"/>
  <c r="T28" i="19"/>
  <c r="U28" i="19"/>
  <c r="R28" i="19"/>
  <c r="O28" i="19"/>
  <c r="V28" i="19"/>
  <c r="M29" i="19"/>
  <c r="S28" i="19"/>
  <c r="Q28" i="19"/>
  <c r="P28" i="19"/>
  <c r="B548" i="37" l="1"/>
  <c r="V547" i="37"/>
  <c r="E548" i="37"/>
  <c r="H548" i="37"/>
  <c r="N548" i="37"/>
  <c r="K548" i="37"/>
  <c r="Q548" i="37"/>
  <c r="A549" i="37"/>
  <c r="U548" i="37"/>
  <c r="K675" i="37"/>
  <c r="U675" i="37"/>
  <c r="B675" i="37"/>
  <c r="E675" i="37"/>
  <c r="H675" i="37"/>
  <c r="N675" i="37"/>
  <c r="Q675" i="37"/>
  <c r="A676" i="37"/>
  <c r="V674" i="37"/>
  <c r="Q795" i="37"/>
  <c r="K795" i="37"/>
  <c r="H795" i="37"/>
  <c r="N795" i="37"/>
  <c r="B795" i="37"/>
  <c r="E795" i="37"/>
  <c r="U795" i="37"/>
  <c r="V795" i="37"/>
  <c r="V794" i="37"/>
  <c r="V739" i="37"/>
  <c r="K740" i="37"/>
  <c r="Q740" i="37"/>
  <c r="A741" i="37"/>
  <c r="U740" i="37"/>
  <c r="B740" i="37"/>
  <c r="E740" i="37"/>
  <c r="H740" i="37"/>
  <c r="N740" i="37"/>
  <c r="U821" i="37"/>
  <c r="A822" i="37"/>
  <c r="V820" i="37"/>
  <c r="Q821" i="37"/>
  <c r="H821" i="37"/>
  <c r="N821" i="37"/>
  <c r="K821" i="37"/>
  <c r="E821" i="37"/>
  <c r="B821" i="37"/>
  <c r="B632" i="37"/>
  <c r="H632" i="37"/>
  <c r="U632" i="37"/>
  <c r="E632" i="37"/>
  <c r="N632" i="37"/>
  <c r="K632" i="37"/>
  <c r="Q632" i="37"/>
  <c r="A633" i="37"/>
  <c r="V631" i="37"/>
  <c r="V64" i="24"/>
  <c r="W64" i="24" s="1"/>
  <c r="A65" i="24"/>
  <c r="D64" i="24"/>
  <c r="E64" i="24" s="1"/>
  <c r="R64" i="24"/>
  <c r="S64" i="24" s="1"/>
  <c r="J64" i="24"/>
  <c r="K64" i="24" s="1"/>
  <c r="N64" i="24"/>
  <c r="O64" i="24" s="1"/>
  <c r="L64" i="24"/>
  <c r="M64" i="24" s="1"/>
  <c r="F64" i="24"/>
  <c r="G64" i="24" s="1"/>
  <c r="B64" i="24"/>
  <c r="C64" i="24" s="1"/>
  <c r="T64" i="24"/>
  <c r="U64" i="24" s="1"/>
  <c r="P64" i="24"/>
  <c r="Q64" i="24" s="1"/>
  <c r="H64" i="24"/>
  <c r="I64" i="24" s="1"/>
  <c r="A218" i="24"/>
  <c r="P217" i="24"/>
  <c r="T217" i="24"/>
  <c r="N217" i="24"/>
  <c r="B217" i="24"/>
  <c r="V217" i="24"/>
  <c r="J217" i="24"/>
  <c r="D217" i="24"/>
  <c r="H217" i="24"/>
  <c r="R217" i="24"/>
  <c r="F217" i="24"/>
  <c r="L217" i="24"/>
  <c r="J29" i="37"/>
  <c r="I29" i="37"/>
  <c r="D29" i="37"/>
  <c r="C29" i="37"/>
  <c r="O28" i="37"/>
  <c r="P28" i="37"/>
  <c r="S28" i="37"/>
  <c r="R28" i="37"/>
  <c r="G29" i="37"/>
  <c r="F29" i="37"/>
  <c r="M29" i="37"/>
  <c r="L29" i="37"/>
  <c r="P29" i="19"/>
  <c r="U29" i="19"/>
  <c r="T29" i="19"/>
  <c r="S29" i="19"/>
  <c r="Q29" i="19"/>
  <c r="M30" i="19"/>
  <c r="R29" i="19"/>
  <c r="V29" i="19"/>
  <c r="O29" i="19"/>
  <c r="Q741" i="37" l="1"/>
  <c r="B741" i="37"/>
  <c r="E741" i="37"/>
  <c r="H741" i="37"/>
  <c r="N741" i="37"/>
  <c r="K741" i="37"/>
  <c r="U741" i="37"/>
  <c r="A742" i="37"/>
  <c r="V740" i="37"/>
  <c r="B549" i="37"/>
  <c r="A550" i="37"/>
  <c r="E549" i="37"/>
  <c r="H549" i="37"/>
  <c r="N549" i="37"/>
  <c r="Q549" i="37"/>
  <c r="K549" i="37"/>
  <c r="U549" i="37"/>
  <c r="V548" i="37"/>
  <c r="U822" i="37"/>
  <c r="V821" i="37"/>
  <c r="B822" i="37"/>
  <c r="H822" i="37"/>
  <c r="N822" i="37"/>
  <c r="E822" i="37"/>
  <c r="A823" i="37"/>
  <c r="K822" i="37"/>
  <c r="Q822" i="37"/>
  <c r="H633" i="37"/>
  <c r="K633" i="37"/>
  <c r="Q633" i="37"/>
  <c r="U633" i="37"/>
  <c r="A634" i="37"/>
  <c r="B633" i="37"/>
  <c r="E633" i="37"/>
  <c r="N633" i="37"/>
  <c r="V632" i="37"/>
  <c r="V675" i="37"/>
  <c r="B676" i="37"/>
  <c r="E676" i="37"/>
  <c r="H676" i="37"/>
  <c r="N676" i="37"/>
  <c r="K676" i="37"/>
  <c r="Q676" i="37"/>
  <c r="A677" i="37"/>
  <c r="U676" i="37"/>
  <c r="L65" i="24"/>
  <c r="M65" i="24" s="1"/>
  <c r="A66" i="24"/>
  <c r="R65" i="24"/>
  <c r="S65" i="24" s="1"/>
  <c r="T65" i="24"/>
  <c r="U65" i="24" s="1"/>
  <c r="H65" i="24"/>
  <c r="I65" i="24" s="1"/>
  <c r="N65" i="24"/>
  <c r="O65" i="24" s="1"/>
  <c r="J65" i="24"/>
  <c r="K65" i="24" s="1"/>
  <c r="D65" i="24"/>
  <c r="E65" i="24" s="1"/>
  <c r="V65" i="24"/>
  <c r="W65" i="24" s="1"/>
  <c r="B65" i="24"/>
  <c r="C65" i="24" s="1"/>
  <c r="F65" i="24"/>
  <c r="G65" i="24" s="1"/>
  <c r="P65" i="24"/>
  <c r="Q65" i="24" s="1"/>
  <c r="J218" i="24"/>
  <c r="L218" i="24"/>
  <c r="R218" i="24"/>
  <c r="B218" i="24"/>
  <c r="F218" i="24"/>
  <c r="A219" i="24"/>
  <c r="D218" i="24"/>
  <c r="P218" i="24"/>
  <c r="N218" i="24"/>
  <c r="V218" i="24"/>
  <c r="T218" i="24"/>
  <c r="H218" i="24"/>
  <c r="J30" i="37"/>
  <c r="I30" i="37"/>
  <c r="D30" i="37"/>
  <c r="C30" i="37"/>
  <c r="P29" i="37"/>
  <c r="O29" i="37"/>
  <c r="S29" i="37"/>
  <c r="R29" i="37"/>
  <c r="G30" i="37"/>
  <c r="F30" i="37"/>
  <c r="M30" i="37"/>
  <c r="L30" i="37"/>
  <c r="R30" i="19"/>
  <c r="V30" i="19"/>
  <c r="P30" i="19"/>
  <c r="Q30" i="19"/>
  <c r="S30" i="19"/>
  <c r="M31" i="19"/>
  <c r="O30" i="19"/>
  <c r="U30" i="19"/>
  <c r="T30" i="19"/>
  <c r="A635" i="37" l="1"/>
  <c r="B634" i="37"/>
  <c r="E634" i="37"/>
  <c r="H634" i="37"/>
  <c r="N634" i="37"/>
  <c r="K634" i="37"/>
  <c r="Q634" i="37"/>
  <c r="U634" i="37"/>
  <c r="V633" i="37"/>
  <c r="B677" i="37"/>
  <c r="H677" i="37"/>
  <c r="K677" i="37"/>
  <c r="A678" i="37"/>
  <c r="E677" i="37"/>
  <c r="N677" i="37"/>
  <c r="Q677" i="37"/>
  <c r="U677" i="37"/>
  <c r="V676" i="37"/>
  <c r="N550" i="37"/>
  <c r="K550" i="37"/>
  <c r="Q550" i="37"/>
  <c r="U550" i="37"/>
  <c r="A551" i="37"/>
  <c r="B550" i="37"/>
  <c r="E550" i="37"/>
  <c r="H550" i="37"/>
  <c r="V549" i="37"/>
  <c r="U823" i="37"/>
  <c r="V822" i="37"/>
  <c r="A824" i="37"/>
  <c r="Q823" i="37"/>
  <c r="B823" i="37"/>
  <c r="H823" i="37"/>
  <c r="K823" i="37"/>
  <c r="N823" i="37"/>
  <c r="E823" i="37"/>
  <c r="Q742" i="37"/>
  <c r="B742" i="37"/>
  <c r="E742" i="37"/>
  <c r="H742" i="37"/>
  <c r="N742" i="37"/>
  <c r="K742" i="37"/>
  <c r="A743" i="37"/>
  <c r="U742" i="37"/>
  <c r="V741" i="37"/>
  <c r="A67" i="24"/>
  <c r="D66" i="24"/>
  <c r="E66" i="24" s="1"/>
  <c r="B66" i="24"/>
  <c r="C66" i="24" s="1"/>
  <c r="P66" i="24"/>
  <c r="Q66" i="24" s="1"/>
  <c r="J66" i="24"/>
  <c r="K66" i="24" s="1"/>
  <c r="V66" i="24"/>
  <c r="W66" i="24" s="1"/>
  <c r="T66" i="24"/>
  <c r="U66" i="24" s="1"/>
  <c r="R66" i="24"/>
  <c r="S66" i="24" s="1"/>
  <c r="N66" i="24"/>
  <c r="O66" i="24" s="1"/>
  <c r="H66" i="24"/>
  <c r="I66" i="24" s="1"/>
  <c r="L66" i="24"/>
  <c r="M66" i="24" s="1"/>
  <c r="F66" i="24"/>
  <c r="G66" i="24" s="1"/>
  <c r="T219" i="24"/>
  <c r="N219" i="24"/>
  <c r="A220" i="24"/>
  <c r="P219" i="24"/>
  <c r="B219" i="24"/>
  <c r="F219" i="24"/>
  <c r="J219" i="24"/>
  <c r="D219" i="24"/>
  <c r="H219" i="24"/>
  <c r="L219" i="24"/>
  <c r="V219" i="24"/>
  <c r="R219" i="24"/>
  <c r="J31" i="37"/>
  <c r="I31" i="37"/>
  <c r="C31" i="37"/>
  <c r="D31" i="37"/>
  <c r="O30" i="37"/>
  <c r="P30" i="37"/>
  <c r="G31" i="37"/>
  <c r="F31" i="37"/>
  <c r="M31" i="37"/>
  <c r="L31" i="37"/>
  <c r="R30" i="37"/>
  <c r="S30" i="37"/>
  <c r="T31" i="19"/>
  <c r="V31" i="19"/>
  <c r="R31" i="19"/>
  <c r="U31" i="19"/>
  <c r="Q31" i="19"/>
  <c r="P31" i="19"/>
  <c r="O31" i="19"/>
  <c r="S31" i="19"/>
  <c r="M32" i="19"/>
  <c r="V823" i="37" l="1"/>
  <c r="B824" i="37"/>
  <c r="U824" i="37"/>
  <c r="H824" i="37"/>
  <c r="N824" i="37"/>
  <c r="K824" i="37"/>
  <c r="E824" i="37"/>
  <c r="A825" i="37"/>
  <c r="Q824" i="37"/>
  <c r="B678" i="37"/>
  <c r="H678" i="37"/>
  <c r="U678" i="37"/>
  <c r="E678" i="37"/>
  <c r="N678" i="37"/>
  <c r="K678" i="37"/>
  <c r="Q678" i="37"/>
  <c r="A679" i="37"/>
  <c r="V677" i="37"/>
  <c r="N743" i="37"/>
  <c r="K743" i="37"/>
  <c r="Q743" i="37"/>
  <c r="U743" i="37"/>
  <c r="A744" i="37"/>
  <c r="B743" i="37"/>
  <c r="E743" i="37"/>
  <c r="H743" i="37"/>
  <c r="V742" i="37"/>
  <c r="E551" i="37"/>
  <c r="N551" i="37"/>
  <c r="H551" i="37"/>
  <c r="K551" i="37"/>
  <c r="Q551" i="37"/>
  <c r="U551" i="37"/>
  <c r="A552" i="37"/>
  <c r="B551" i="37"/>
  <c r="V550" i="37"/>
  <c r="Q635" i="37"/>
  <c r="N635" i="37"/>
  <c r="K635" i="37"/>
  <c r="U635" i="37"/>
  <c r="A636" i="37"/>
  <c r="B635" i="37"/>
  <c r="E635" i="37"/>
  <c r="H635" i="37"/>
  <c r="V634" i="37"/>
  <c r="J67" i="24"/>
  <c r="K67" i="24" s="1"/>
  <c r="T67" i="24"/>
  <c r="U67" i="24" s="1"/>
  <c r="H67" i="24"/>
  <c r="I67" i="24" s="1"/>
  <c r="D67" i="24"/>
  <c r="E67" i="24" s="1"/>
  <c r="R67" i="24"/>
  <c r="S67" i="24" s="1"/>
  <c r="P67" i="24"/>
  <c r="Q67" i="24" s="1"/>
  <c r="A68" i="24"/>
  <c r="B67" i="24"/>
  <c r="C67" i="24" s="1"/>
  <c r="F67" i="24"/>
  <c r="G67" i="24" s="1"/>
  <c r="N67" i="24"/>
  <c r="O67" i="24" s="1"/>
  <c r="L67" i="24"/>
  <c r="M67" i="24" s="1"/>
  <c r="V67" i="24"/>
  <c r="W67" i="24" s="1"/>
  <c r="N220" i="24"/>
  <c r="P220" i="24"/>
  <c r="T220" i="24"/>
  <c r="L220" i="24"/>
  <c r="H220" i="24"/>
  <c r="F220" i="24"/>
  <c r="A221" i="24"/>
  <c r="B220" i="24"/>
  <c r="J220" i="24"/>
  <c r="R220" i="24"/>
  <c r="V220" i="24"/>
  <c r="D220" i="24"/>
  <c r="I32" i="37"/>
  <c r="J32" i="37"/>
  <c r="D32" i="37"/>
  <c r="C32" i="37"/>
  <c r="O31" i="37"/>
  <c r="P31" i="37"/>
  <c r="F32" i="37"/>
  <c r="G32" i="37"/>
  <c r="L32" i="37"/>
  <c r="M32" i="37"/>
  <c r="R31" i="37"/>
  <c r="S31" i="37"/>
  <c r="M33" i="19"/>
  <c r="P32" i="19"/>
  <c r="S32" i="19"/>
  <c r="Q32" i="19"/>
  <c r="U32" i="19"/>
  <c r="O32" i="19"/>
  <c r="R32" i="19"/>
  <c r="V32" i="19"/>
  <c r="T32" i="19"/>
  <c r="B636" i="37" l="1"/>
  <c r="E636" i="37"/>
  <c r="H636" i="37"/>
  <c r="N636" i="37"/>
  <c r="Q636" i="37"/>
  <c r="U636" i="37"/>
  <c r="A637" i="37"/>
  <c r="K636" i="37"/>
  <c r="V635" i="37"/>
  <c r="V824" i="37"/>
  <c r="N825" i="37"/>
  <c r="H825" i="37"/>
  <c r="K825" i="37"/>
  <c r="E825" i="37"/>
  <c r="A826" i="37"/>
  <c r="U825" i="37"/>
  <c r="Q825" i="37"/>
  <c r="B825" i="37"/>
  <c r="Q744" i="37"/>
  <c r="B744" i="37"/>
  <c r="E744" i="37"/>
  <c r="H744" i="37"/>
  <c r="N744" i="37"/>
  <c r="K744" i="37"/>
  <c r="A745" i="37"/>
  <c r="U744" i="37"/>
  <c r="V743" i="37"/>
  <c r="B552" i="37"/>
  <c r="E552" i="37"/>
  <c r="H552" i="37"/>
  <c r="N552" i="37"/>
  <c r="K552" i="37"/>
  <c r="U552" i="37"/>
  <c r="A553" i="37"/>
  <c r="Q552" i="37"/>
  <c r="V551" i="37"/>
  <c r="B679" i="37"/>
  <c r="N679" i="37"/>
  <c r="U679" i="37"/>
  <c r="E679" i="37"/>
  <c r="H679" i="37"/>
  <c r="K679" i="37"/>
  <c r="Q679" i="37"/>
  <c r="A680" i="37"/>
  <c r="V678" i="37"/>
  <c r="A69" i="24"/>
  <c r="P68" i="24"/>
  <c r="Q68" i="24" s="1"/>
  <c r="R68" i="24"/>
  <c r="S68" i="24" s="1"/>
  <c r="D68" i="24"/>
  <c r="E68" i="24" s="1"/>
  <c r="T68" i="24"/>
  <c r="U68" i="24" s="1"/>
  <c r="V68" i="24"/>
  <c r="W68" i="24" s="1"/>
  <c r="N68" i="24"/>
  <c r="O68" i="24" s="1"/>
  <c r="B68" i="24"/>
  <c r="C68" i="24" s="1"/>
  <c r="J68" i="24"/>
  <c r="K68" i="24" s="1"/>
  <c r="F68" i="24"/>
  <c r="G68" i="24" s="1"/>
  <c r="L68" i="24"/>
  <c r="M68" i="24" s="1"/>
  <c r="H68" i="24"/>
  <c r="I68" i="24" s="1"/>
  <c r="J221" i="24"/>
  <c r="P221" i="24"/>
  <c r="L221" i="24"/>
  <c r="B221" i="24"/>
  <c r="N221" i="24"/>
  <c r="V221" i="24"/>
  <c r="F221" i="24"/>
  <c r="T221" i="24"/>
  <c r="A222" i="24"/>
  <c r="H221" i="24"/>
  <c r="R221" i="24"/>
  <c r="D221" i="24"/>
  <c r="I33" i="37"/>
  <c r="J33" i="37"/>
  <c r="C33" i="37"/>
  <c r="D33" i="37"/>
  <c r="O32" i="37"/>
  <c r="P32" i="37"/>
  <c r="F33" i="37"/>
  <c r="G33" i="37"/>
  <c r="R32" i="37"/>
  <c r="S32" i="37"/>
  <c r="L33" i="37"/>
  <c r="M33" i="37"/>
  <c r="O33" i="19"/>
  <c r="U33" i="19"/>
  <c r="V33" i="19"/>
  <c r="Q33" i="19"/>
  <c r="T33" i="19"/>
  <c r="P33" i="19"/>
  <c r="M34" i="19"/>
  <c r="R33" i="19"/>
  <c r="S33" i="19"/>
  <c r="B680" i="37" l="1"/>
  <c r="A681" i="37"/>
  <c r="E680" i="37"/>
  <c r="H680" i="37"/>
  <c r="N680" i="37"/>
  <c r="K680" i="37"/>
  <c r="Q680" i="37"/>
  <c r="U680" i="37"/>
  <c r="V679" i="37"/>
  <c r="B745" i="37"/>
  <c r="U745" i="37"/>
  <c r="E745" i="37"/>
  <c r="H745" i="37"/>
  <c r="N745" i="37"/>
  <c r="K745" i="37"/>
  <c r="Q745" i="37"/>
  <c r="A746" i="37"/>
  <c r="V744" i="37"/>
  <c r="E637" i="37"/>
  <c r="A638" i="37"/>
  <c r="B637" i="37"/>
  <c r="H637" i="37"/>
  <c r="N637" i="37"/>
  <c r="K637" i="37"/>
  <c r="Q637" i="37"/>
  <c r="U637" i="37"/>
  <c r="V636" i="37"/>
  <c r="B553" i="37"/>
  <c r="E553" i="37"/>
  <c r="H553" i="37"/>
  <c r="N553" i="37"/>
  <c r="K553" i="37"/>
  <c r="Q553" i="37"/>
  <c r="A554" i="37"/>
  <c r="U553" i="37"/>
  <c r="V552" i="37"/>
  <c r="V825" i="37"/>
  <c r="B826" i="37"/>
  <c r="N826" i="37"/>
  <c r="H826" i="37"/>
  <c r="E826" i="37"/>
  <c r="K826" i="37"/>
  <c r="Q826" i="37"/>
  <c r="U826" i="37"/>
  <c r="A827" i="37"/>
  <c r="N69" i="24"/>
  <c r="O69" i="24" s="1"/>
  <c r="P69" i="24"/>
  <c r="Q69" i="24" s="1"/>
  <c r="R69" i="24"/>
  <c r="S69" i="24" s="1"/>
  <c r="F69" i="24"/>
  <c r="G69" i="24" s="1"/>
  <c r="H69" i="24"/>
  <c r="I69" i="24" s="1"/>
  <c r="A70" i="24"/>
  <c r="T69" i="24"/>
  <c r="U69" i="24" s="1"/>
  <c r="V69" i="24"/>
  <c r="W69" i="24" s="1"/>
  <c r="J69" i="24"/>
  <c r="K69" i="24" s="1"/>
  <c r="B69" i="24"/>
  <c r="C69" i="24" s="1"/>
  <c r="L69" i="24"/>
  <c r="M69" i="24" s="1"/>
  <c r="D69" i="24"/>
  <c r="E69" i="24" s="1"/>
  <c r="B222" i="24"/>
  <c r="N222" i="24"/>
  <c r="A223" i="24"/>
  <c r="F222" i="24"/>
  <c r="H222" i="24"/>
  <c r="V222" i="24"/>
  <c r="L222" i="24"/>
  <c r="T222" i="24"/>
  <c r="D222" i="24"/>
  <c r="J222" i="24"/>
  <c r="R222" i="24"/>
  <c r="P222" i="24"/>
  <c r="J34" i="37"/>
  <c r="I34" i="37"/>
  <c r="C34" i="37"/>
  <c r="D34" i="37"/>
  <c r="P33" i="37"/>
  <c r="O33" i="37"/>
  <c r="M34" i="37"/>
  <c r="L34" i="37"/>
  <c r="S33" i="37"/>
  <c r="R33" i="37"/>
  <c r="F34" i="37"/>
  <c r="G34" i="37"/>
  <c r="V34" i="19"/>
  <c r="O34" i="19"/>
  <c r="U34" i="19"/>
  <c r="Q34" i="19"/>
  <c r="T34" i="19"/>
  <c r="R34" i="19"/>
  <c r="S34" i="19"/>
  <c r="M35" i="19"/>
  <c r="P34" i="19"/>
  <c r="V826" i="37" l="1"/>
  <c r="N827" i="37"/>
  <c r="H827" i="37"/>
  <c r="B827" i="37"/>
  <c r="K827" i="37"/>
  <c r="E827" i="37"/>
  <c r="A828" i="37"/>
  <c r="U827" i="37"/>
  <c r="Q827" i="37"/>
  <c r="A639" i="37"/>
  <c r="B638" i="37"/>
  <c r="E638" i="37"/>
  <c r="N638" i="37"/>
  <c r="K638" i="37"/>
  <c r="Q638" i="37"/>
  <c r="U638" i="37"/>
  <c r="H638" i="37"/>
  <c r="V637" i="37"/>
  <c r="B554" i="37"/>
  <c r="H554" i="37"/>
  <c r="E554" i="37"/>
  <c r="N554" i="37"/>
  <c r="K554" i="37"/>
  <c r="Q554" i="37"/>
  <c r="A555" i="37"/>
  <c r="U554" i="37"/>
  <c r="V553" i="37"/>
  <c r="Q681" i="37"/>
  <c r="E681" i="37"/>
  <c r="N681" i="37"/>
  <c r="H681" i="37"/>
  <c r="K681" i="37"/>
  <c r="A682" i="37"/>
  <c r="U681" i="37"/>
  <c r="B681" i="37"/>
  <c r="V680" i="37"/>
  <c r="N746" i="37"/>
  <c r="K746" i="37"/>
  <c r="Q746" i="37"/>
  <c r="A747" i="37"/>
  <c r="U746" i="37"/>
  <c r="B746" i="37"/>
  <c r="E746" i="37"/>
  <c r="H746" i="37"/>
  <c r="V745" i="37"/>
  <c r="H70" i="24"/>
  <c r="I70" i="24" s="1"/>
  <c r="P70" i="24"/>
  <c r="Q70" i="24" s="1"/>
  <c r="T70" i="24"/>
  <c r="U70" i="24" s="1"/>
  <c r="J70" i="24"/>
  <c r="K70" i="24" s="1"/>
  <c r="B70" i="24"/>
  <c r="C70" i="24" s="1"/>
  <c r="L70" i="24"/>
  <c r="M70" i="24" s="1"/>
  <c r="V70" i="24"/>
  <c r="W70" i="24" s="1"/>
  <c r="N70" i="24"/>
  <c r="O70" i="24" s="1"/>
  <c r="D70" i="24"/>
  <c r="E70" i="24" s="1"/>
  <c r="A71" i="24"/>
  <c r="R70" i="24"/>
  <c r="S70" i="24" s="1"/>
  <c r="F70" i="24"/>
  <c r="G70" i="24" s="1"/>
  <c r="J223" i="24"/>
  <c r="L223" i="24"/>
  <c r="P223" i="24"/>
  <c r="B223" i="24"/>
  <c r="V223" i="24"/>
  <c r="N223" i="24"/>
  <c r="F223" i="24"/>
  <c r="T223" i="24"/>
  <c r="A224" i="24"/>
  <c r="H223" i="24"/>
  <c r="R223" i="24"/>
  <c r="D223" i="24"/>
  <c r="I35" i="37"/>
  <c r="J35" i="37"/>
  <c r="D35" i="37"/>
  <c r="C35" i="37"/>
  <c r="P34" i="37"/>
  <c r="O34" i="37"/>
  <c r="S34" i="37"/>
  <c r="R34" i="37"/>
  <c r="M35" i="37"/>
  <c r="L35" i="37"/>
  <c r="G35" i="37"/>
  <c r="F35" i="37"/>
  <c r="Q35" i="19"/>
  <c r="U35" i="19"/>
  <c r="O35" i="19"/>
  <c r="P35" i="19"/>
  <c r="R35" i="19"/>
  <c r="T35" i="19"/>
  <c r="M36" i="19"/>
  <c r="S35" i="19"/>
  <c r="V35" i="19"/>
  <c r="B639" i="37" l="1"/>
  <c r="E639" i="37"/>
  <c r="H639" i="37"/>
  <c r="N639" i="37"/>
  <c r="K639" i="37"/>
  <c r="Q639" i="37"/>
  <c r="A640" i="37"/>
  <c r="U639" i="37"/>
  <c r="V638" i="37"/>
  <c r="B555" i="37"/>
  <c r="E555" i="37"/>
  <c r="H555" i="37"/>
  <c r="N555" i="37"/>
  <c r="K555" i="37"/>
  <c r="Q555" i="37"/>
  <c r="V554" i="37"/>
  <c r="A556" i="37"/>
  <c r="U555" i="37"/>
  <c r="B747" i="37"/>
  <c r="E747" i="37"/>
  <c r="N747" i="37"/>
  <c r="H747" i="37"/>
  <c r="K747" i="37"/>
  <c r="U747" i="37"/>
  <c r="A748" i="37"/>
  <c r="Q747" i="37"/>
  <c r="V746" i="37"/>
  <c r="V827" i="37"/>
  <c r="A829" i="37"/>
  <c r="U828" i="37"/>
  <c r="Q828" i="37"/>
  <c r="B828" i="37"/>
  <c r="K828" i="37"/>
  <c r="E828" i="37"/>
  <c r="N828" i="37"/>
  <c r="H828" i="37"/>
  <c r="U682" i="37"/>
  <c r="B682" i="37"/>
  <c r="E682" i="37"/>
  <c r="H682" i="37"/>
  <c r="N682" i="37"/>
  <c r="K682" i="37"/>
  <c r="Q682" i="37"/>
  <c r="A683" i="37"/>
  <c r="V681" i="37"/>
  <c r="D71" i="24"/>
  <c r="E71" i="24" s="1"/>
  <c r="F71" i="24"/>
  <c r="G71" i="24" s="1"/>
  <c r="L71" i="24"/>
  <c r="M71" i="24" s="1"/>
  <c r="H71" i="24"/>
  <c r="I71" i="24" s="1"/>
  <c r="A72" i="24"/>
  <c r="J71" i="24"/>
  <c r="K71" i="24" s="1"/>
  <c r="V71" i="24"/>
  <c r="W71" i="24" s="1"/>
  <c r="R71" i="24"/>
  <c r="S71" i="24" s="1"/>
  <c r="N71" i="24"/>
  <c r="O71" i="24" s="1"/>
  <c r="P71" i="24"/>
  <c r="Q71" i="24" s="1"/>
  <c r="B71" i="24"/>
  <c r="C71" i="24" s="1"/>
  <c r="T71" i="24"/>
  <c r="U71" i="24" s="1"/>
  <c r="B224" i="24"/>
  <c r="V224" i="24"/>
  <c r="D224" i="24"/>
  <c r="F224" i="24"/>
  <c r="H224" i="24"/>
  <c r="P224" i="24"/>
  <c r="T224" i="24"/>
  <c r="J224" i="24"/>
  <c r="L224" i="24"/>
  <c r="N224" i="24"/>
  <c r="A225" i="24"/>
  <c r="R224" i="24"/>
  <c r="J36" i="37"/>
  <c r="I36" i="37"/>
  <c r="D36" i="37"/>
  <c r="C36" i="37"/>
  <c r="P35" i="37"/>
  <c r="O35" i="37"/>
  <c r="F36" i="37"/>
  <c r="G36" i="37"/>
  <c r="M36" i="37"/>
  <c r="L36" i="37"/>
  <c r="S35" i="37"/>
  <c r="R35" i="37"/>
  <c r="T36" i="19"/>
  <c r="O36" i="19"/>
  <c r="V36" i="19"/>
  <c r="M37" i="19"/>
  <c r="S36" i="19"/>
  <c r="R36" i="19"/>
  <c r="U36" i="19"/>
  <c r="P36" i="19"/>
  <c r="Q36" i="19"/>
  <c r="A830" i="37" l="1"/>
  <c r="V828" i="37"/>
  <c r="Q829" i="37"/>
  <c r="U829" i="37"/>
  <c r="B829" i="37"/>
  <c r="K829" i="37"/>
  <c r="E829" i="37"/>
  <c r="H829" i="37"/>
  <c r="N829" i="37"/>
  <c r="E683" i="37"/>
  <c r="A684" i="37"/>
  <c r="B683" i="37"/>
  <c r="H683" i="37"/>
  <c r="N683" i="37"/>
  <c r="K683" i="37"/>
  <c r="Q683" i="37"/>
  <c r="U683" i="37"/>
  <c r="V682" i="37"/>
  <c r="E748" i="37"/>
  <c r="H748" i="37"/>
  <c r="N748" i="37"/>
  <c r="K748" i="37"/>
  <c r="Q748" i="37"/>
  <c r="V747" i="37"/>
  <c r="A749" i="37"/>
  <c r="U748" i="37"/>
  <c r="B748" i="37"/>
  <c r="A641" i="37"/>
  <c r="U640" i="37"/>
  <c r="B640" i="37"/>
  <c r="E640" i="37"/>
  <c r="K640" i="37"/>
  <c r="Q640" i="37"/>
  <c r="H640" i="37"/>
  <c r="N640" i="37"/>
  <c r="V639" i="37"/>
  <c r="H556" i="37"/>
  <c r="N556" i="37"/>
  <c r="K556" i="37"/>
  <c r="Q556" i="37"/>
  <c r="V555" i="37"/>
  <c r="A557" i="37"/>
  <c r="U556" i="37"/>
  <c r="B556" i="37"/>
  <c r="E556" i="37"/>
  <c r="V72" i="24"/>
  <c r="W72" i="24" s="1"/>
  <c r="T72" i="24"/>
  <c r="U72" i="24" s="1"/>
  <c r="A73" i="24"/>
  <c r="H72" i="24"/>
  <c r="I72" i="24" s="1"/>
  <c r="J72" i="24"/>
  <c r="K72" i="24" s="1"/>
  <c r="R72" i="24"/>
  <c r="S72" i="24" s="1"/>
  <c r="B72" i="24"/>
  <c r="C72" i="24" s="1"/>
  <c r="F72" i="24"/>
  <c r="G72" i="24" s="1"/>
  <c r="L72" i="24"/>
  <c r="M72" i="24" s="1"/>
  <c r="N72" i="24"/>
  <c r="O72" i="24" s="1"/>
  <c r="D72" i="24"/>
  <c r="E72" i="24" s="1"/>
  <c r="P72" i="24"/>
  <c r="Q72" i="24" s="1"/>
  <c r="B225" i="24"/>
  <c r="V225" i="24"/>
  <c r="D225" i="24"/>
  <c r="F225" i="24"/>
  <c r="H225" i="24"/>
  <c r="R225" i="24"/>
  <c r="J225" i="24"/>
  <c r="L225" i="24"/>
  <c r="N225" i="24"/>
  <c r="T225" i="24"/>
  <c r="P225" i="24"/>
  <c r="A226" i="24"/>
  <c r="J37" i="37"/>
  <c r="I37" i="37"/>
  <c r="D37" i="37"/>
  <c r="C37" i="37"/>
  <c r="P36" i="37"/>
  <c r="O36" i="37"/>
  <c r="F37" i="37"/>
  <c r="G37" i="37"/>
  <c r="S36" i="37"/>
  <c r="R36" i="37"/>
  <c r="M37" i="37"/>
  <c r="L37" i="37"/>
  <c r="R37" i="19"/>
  <c r="O37" i="19"/>
  <c r="S37" i="19"/>
  <c r="P37" i="19"/>
  <c r="T37" i="19"/>
  <c r="V37" i="19"/>
  <c r="U37" i="19"/>
  <c r="Q37" i="19"/>
  <c r="M38" i="19"/>
  <c r="B641" i="37" l="1"/>
  <c r="E641" i="37"/>
  <c r="H641" i="37"/>
  <c r="N641" i="37"/>
  <c r="K641" i="37"/>
  <c r="Q641" i="37"/>
  <c r="U641" i="37"/>
  <c r="A642" i="37"/>
  <c r="V640" i="37"/>
  <c r="E684" i="37"/>
  <c r="B684" i="37"/>
  <c r="H684" i="37"/>
  <c r="N684" i="37"/>
  <c r="K684" i="37"/>
  <c r="Q684" i="37"/>
  <c r="U684" i="37"/>
  <c r="A685" i="37"/>
  <c r="V683" i="37"/>
  <c r="B557" i="37"/>
  <c r="E557" i="37"/>
  <c r="H557" i="37"/>
  <c r="Q557" i="37"/>
  <c r="U557" i="37"/>
  <c r="N557" i="37"/>
  <c r="K557" i="37"/>
  <c r="A558" i="37"/>
  <c r="V556" i="37"/>
  <c r="A750" i="37"/>
  <c r="B749" i="37"/>
  <c r="E749" i="37"/>
  <c r="H749" i="37"/>
  <c r="N749" i="37"/>
  <c r="Q749" i="37"/>
  <c r="U749" i="37"/>
  <c r="K749" i="37"/>
  <c r="V748" i="37"/>
  <c r="V829" i="37"/>
  <c r="E830" i="37"/>
  <c r="A831" i="37"/>
  <c r="K830" i="37"/>
  <c r="Q830" i="37"/>
  <c r="U830" i="37"/>
  <c r="H830" i="37"/>
  <c r="N830" i="37"/>
  <c r="B830" i="37"/>
  <c r="A74" i="24"/>
  <c r="J73" i="24"/>
  <c r="K73" i="24" s="1"/>
  <c r="P73" i="24"/>
  <c r="Q73" i="24" s="1"/>
  <c r="R73" i="24"/>
  <c r="S73" i="24" s="1"/>
  <c r="B73" i="24"/>
  <c r="C73" i="24" s="1"/>
  <c r="T73" i="24"/>
  <c r="U73" i="24" s="1"/>
  <c r="V73" i="24"/>
  <c r="W73" i="24" s="1"/>
  <c r="N73" i="24"/>
  <c r="O73" i="24" s="1"/>
  <c r="H73" i="24"/>
  <c r="I73" i="24" s="1"/>
  <c r="D73" i="24"/>
  <c r="E73" i="24" s="1"/>
  <c r="F73" i="24"/>
  <c r="G73" i="24" s="1"/>
  <c r="L73" i="24"/>
  <c r="M73" i="24" s="1"/>
  <c r="L226" i="24"/>
  <c r="R226" i="24"/>
  <c r="T226" i="24"/>
  <c r="P226" i="24"/>
  <c r="D226" i="24"/>
  <c r="V226" i="24"/>
  <c r="H226" i="24"/>
  <c r="J226" i="24"/>
  <c r="N226" i="24"/>
  <c r="F226" i="24"/>
  <c r="B226" i="24"/>
  <c r="A227" i="24"/>
  <c r="J38" i="37"/>
  <c r="I38" i="37"/>
  <c r="C38" i="37"/>
  <c r="D38" i="37"/>
  <c r="P37" i="37"/>
  <c r="O37" i="37"/>
  <c r="R37" i="37"/>
  <c r="S37" i="37"/>
  <c r="G38" i="37"/>
  <c r="F38" i="37"/>
  <c r="M38" i="37"/>
  <c r="L38" i="37"/>
  <c r="V38" i="19"/>
  <c r="Q38" i="19"/>
  <c r="S38" i="19"/>
  <c r="P38" i="19"/>
  <c r="M39" i="19"/>
  <c r="T38" i="19"/>
  <c r="U38" i="19"/>
  <c r="O38" i="19"/>
  <c r="R38" i="19"/>
  <c r="B750" i="37" l="1"/>
  <c r="H750" i="37"/>
  <c r="E750" i="37"/>
  <c r="N750" i="37"/>
  <c r="K750" i="37"/>
  <c r="Q750" i="37"/>
  <c r="V749" i="37"/>
  <c r="A751" i="37"/>
  <c r="U750" i="37"/>
  <c r="E558" i="37"/>
  <c r="N558" i="37"/>
  <c r="U558" i="37"/>
  <c r="A559" i="37"/>
  <c r="B558" i="37"/>
  <c r="H558" i="37"/>
  <c r="K558" i="37"/>
  <c r="Q558" i="37"/>
  <c r="V557" i="37"/>
  <c r="H642" i="37"/>
  <c r="N642" i="37"/>
  <c r="K642" i="37"/>
  <c r="Q642" i="37"/>
  <c r="A643" i="37"/>
  <c r="U642" i="37"/>
  <c r="B642" i="37"/>
  <c r="E642" i="37"/>
  <c r="V641" i="37"/>
  <c r="V830" i="37"/>
  <c r="H831" i="37"/>
  <c r="B831" i="37"/>
  <c r="N831" i="37"/>
  <c r="E831" i="37"/>
  <c r="Q831" i="37"/>
  <c r="K831" i="37"/>
  <c r="A832" i="37"/>
  <c r="U831" i="37"/>
  <c r="E685" i="37"/>
  <c r="B685" i="37"/>
  <c r="H685" i="37"/>
  <c r="N685" i="37"/>
  <c r="K685" i="37"/>
  <c r="Q685" i="37"/>
  <c r="U685" i="37"/>
  <c r="A686" i="37"/>
  <c r="V684" i="37"/>
  <c r="D74" i="24"/>
  <c r="E74" i="24" s="1"/>
  <c r="N74" i="24"/>
  <c r="O74" i="24" s="1"/>
  <c r="A75" i="24"/>
  <c r="B74" i="24"/>
  <c r="C74" i="24" s="1"/>
  <c r="R74" i="24"/>
  <c r="S74" i="24" s="1"/>
  <c r="L74" i="24"/>
  <c r="M74" i="24" s="1"/>
  <c r="H74" i="24"/>
  <c r="I74" i="24" s="1"/>
  <c r="F74" i="24"/>
  <c r="G74" i="24" s="1"/>
  <c r="P74" i="24"/>
  <c r="Q74" i="24" s="1"/>
  <c r="J74" i="24"/>
  <c r="K74" i="24" s="1"/>
  <c r="T74" i="24"/>
  <c r="U74" i="24" s="1"/>
  <c r="V74" i="24"/>
  <c r="W74" i="24" s="1"/>
  <c r="J227" i="24"/>
  <c r="R227" i="24"/>
  <c r="L227" i="24"/>
  <c r="B227" i="24"/>
  <c r="V227" i="24"/>
  <c r="N227" i="24"/>
  <c r="F227" i="24"/>
  <c r="T227" i="24"/>
  <c r="A228" i="24"/>
  <c r="H227" i="24"/>
  <c r="P227" i="24"/>
  <c r="D227" i="24"/>
  <c r="J39" i="37"/>
  <c r="I39" i="37"/>
  <c r="C39" i="37"/>
  <c r="D39" i="37"/>
  <c r="P38" i="37"/>
  <c r="O38" i="37"/>
  <c r="G39" i="37"/>
  <c r="F39" i="37"/>
  <c r="M39" i="37"/>
  <c r="L39" i="37"/>
  <c r="S38" i="37"/>
  <c r="R38" i="37"/>
  <c r="U39" i="19"/>
  <c r="O39" i="19"/>
  <c r="V39" i="19"/>
  <c r="Q39" i="19"/>
  <c r="T39" i="19"/>
  <c r="P39" i="19"/>
  <c r="M40" i="19"/>
  <c r="S39" i="19"/>
  <c r="R39" i="19"/>
  <c r="B559" i="37" l="1"/>
  <c r="E559" i="37"/>
  <c r="N559" i="37"/>
  <c r="H559" i="37"/>
  <c r="Q559" i="37"/>
  <c r="U559" i="37"/>
  <c r="A560" i="37"/>
  <c r="K559" i="37"/>
  <c r="V558" i="37"/>
  <c r="B686" i="37"/>
  <c r="E686" i="37"/>
  <c r="H686" i="37"/>
  <c r="N686" i="37"/>
  <c r="K686" i="37"/>
  <c r="Q686" i="37"/>
  <c r="U686" i="37"/>
  <c r="A687" i="37"/>
  <c r="V685" i="37"/>
  <c r="B751" i="37"/>
  <c r="E751" i="37"/>
  <c r="H751" i="37"/>
  <c r="K751" i="37"/>
  <c r="N751" i="37"/>
  <c r="Q751" i="37"/>
  <c r="U751" i="37"/>
  <c r="A752" i="37"/>
  <c r="V750" i="37"/>
  <c r="B643" i="37"/>
  <c r="E643" i="37"/>
  <c r="N643" i="37"/>
  <c r="A644" i="37"/>
  <c r="U643" i="37"/>
  <c r="H643" i="37"/>
  <c r="K643" i="37"/>
  <c r="Q643" i="37"/>
  <c r="V642" i="37"/>
  <c r="V831" i="37"/>
  <c r="H832" i="37"/>
  <c r="B832" i="37"/>
  <c r="N832" i="37"/>
  <c r="K832" i="37"/>
  <c r="E832" i="37"/>
  <c r="A833" i="37"/>
  <c r="U832" i="37"/>
  <c r="Q832" i="37"/>
  <c r="D75" i="24"/>
  <c r="E75" i="24" s="1"/>
  <c r="V75" i="24"/>
  <c r="W75" i="24" s="1"/>
  <c r="F75" i="24"/>
  <c r="G75" i="24" s="1"/>
  <c r="N75" i="24"/>
  <c r="O75" i="24" s="1"/>
  <c r="R75" i="24"/>
  <c r="S75" i="24" s="1"/>
  <c r="A76" i="24"/>
  <c r="P75" i="24"/>
  <c r="Q75" i="24" s="1"/>
  <c r="B75" i="24"/>
  <c r="C75" i="24" s="1"/>
  <c r="L75" i="24"/>
  <c r="M75" i="24" s="1"/>
  <c r="H75" i="24"/>
  <c r="I75" i="24" s="1"/>
  <c r="T75" i="24"/>
  <c r="U75" i="24" s="1"/>
  <c r="J75" i="24"/>
  <c r="K75" i="24" s="1"/>
  <c r="L228" i="24"/>
  <c r="T228" i="24"/>
  <c r="P228" i="24"/>
  <c r="B228" i="24"/>
  <c r="V228" i="24"/>
  <c r="H228" i="24"/>
  <c r="F228" i="24"/>
  <c r="D228" i="24"/>
  <c r="N228" i="24"/>
  <c r="J228" i="24"/>
  <c r="R228" i="24"/>
  <c r="A229" i="24"/>
  <c r="J40" i="37"/>
  <c r="I40" i="37"/>
  <c r="D40" i="37"/>
  <c r="C40" i="37"/>
  <c r="P39" i="37"/>
  <c r="O39" i="37"/>
  <c r="S39" i="37"/>
  <c r="R39" i="37"/>
  <c r="M40" i="37"/>
  <c r="L40" i="37"/>
  <c r="G40" i="37"/>
  <c r="F40" i="37"/>
  <c r="O40" i="19"/>
  <c r="S40" i="19"/>
  <c r="Q40" i="19"/>
  <c r="M41" i="19"/>
  <c r="U40" i="19"/>
  <c r="R40" i="19"/>
  <c r="T40" i="19"/>
  <c r="P40" i="19"/>
  <c r="V40" i="19"/>
  <c r="E644" i="37" l="1"/>
  <c r="B644" i="37"/>
  <c r="H644" i="37"/>
  <c r="N644" i="37"/>
  <c r="K644" i="37"/>
  <c r="Q644" i="37"/>
  <c r="U644" i="37"/>
  <c r="A645" i="37"/>
  <c r="V643" i="37"/>
  <c r="V832" i="37"/>
  <c r="N833" i="37"/>
  <c r="K833" i="37"/>
  <c r="Q833" i="37"/>
  <c r="U833" i="37"/>
  <c r="B833" i="37"/>
  <c r="H833" i="37"/>
  <c r="E833" i="37"/>
  <c r="A834" i="37"/>
  <c r="N752" i="37"/>
  <c r="K752" i="37"/>
  <c r="Q752" i="37"/>
  <c r="A753" i="37"/>
  <c r="U752" i="37"/>
  <c r="E752" i="37"/>
  <c r="H752" i="37"/>
  <c r="B752" i="37"/>
  <c r="V751" i="37"/>
  <c r="B560" i="37"/>
  <c r="E560" i="37"/>
  <c r="H560" i="37"/>
  <c r="N560" i="37"/>
  <c r="Q560" i="37"/>
  <c r="U560" i="37"/>
  <c r="A561" i="37"/>
  <c r="K560" i="37"/>
  <c r="V559" i="37"/>
  <c r="U687" i="37"/>
  <c r="A688" i="37"/>
  <c r="B687" i="37"/>
  <c r="E687" i="37"/>
  <c r="K687" i="37"/>
  <c r="Q687" i="37"/>
  <c r="H687" i="37"/>
  <c r="N687" i="37"/>
  <c r="V686" i="37"/>
  <c r="B76" i="24"/>
  <c r="C76" i="24" s="1"/>
  <c r="A77" i="24"/>
  <c r="V76" i="24"/>
  <c r="W76" i="24" s="1"/>
  <c r="T76" i="24"/>
  <c r="U76" i="24" s="1"/>
  <c r="D76" i="24"/>
  <c r="E76" i="24" s="1"/>
  <c r="P76" i="24"/>
  <c r="Q76" i="24" s="1"/>
  <c r="N76" i="24"/>
  <c r="O76" i="24" s="1"/>
  <c r="F76" i="24"/>
  <c r="G76" i="24" s="1"/>
  <c r="H76" i="24"/>
  <c r="I76" i="24" s="1"/>
  <c r="J76" i="24"/>
  <c r="K76" i="24" s="1"/>
  <c r="L76" i="24"/>
  <c r="M76" i="24" s="1"/>
  <c r="R76" i="24"/>
  <c r="S76" i="24" s="1"/>
  <c r="B229" i="24"/>
  <c r="V229" i="24"/>
  <c r="D229" i="24"/>
  <c r="F229" i="24"/>
  <c r="J229" i="24"/>
  <c r="L229" i="24"/>
  <c r="P229" i="24"/>
  <c r="T229" i="24"/>
  <c r="A230" i="24"/>
  <c r="H229" i="24"/>
  <c r="N229" i="24"/>
  <c r="R229" i="24"/>
  <c r="J41" i="37"/>
  <c r="I41" i="37"/>
  <c r="D41" i="37"/>
  <c r="C41" i="37"/>
  <c r="P40" i="37"/>
  <c r="O40" i="37"/>
  <c r="F41" i="37"/>
  <c r="G41" i="37"/>
  <c r="S40" i="37"/>
  <c r="R40" i="37"/>
  <c r="M41" i="37"/>
  <c r="L41" i="37"/>
  <c r="R41" i="19"/>
  <c r="O41" i="19"/>
  <c r="T41" i="19"/>
  <c r="S41" i="19"/>
  <c r="M42" i="19"/>
  <c r="U41" i="19"/>
  <c r="Q41" i="19"/>
  <c r="V41" i="19"/>
  <c r="P41" i="19"/>
  <c r="B645" i="37" l="1"/>
  <c r="E645" i="37"/>
  <c r="H645" i="37"/>
  <c r="N645" i="37"/>
  <c r="K645" i="37"/>
  <c r="U645" i="37"/>
  <c r="A646" i="37"/>
  <c r="Q645" i="37"/>
  <c r="V644" i="37"/>
  <c r="N688" i="37"/>
  <c r="K688" i="37"/>
  <c r="Q688" i="37"/>
  <c r="U688" i="37"/>
  <c r="A689" i="37"/>
  <c r="E688" i="37"/>
  <c r="H688" i="37"/>
  <c r="B688" i="37"/>
  <c r="V687" i="37"/>
  <c r="E753" i="37"/>
  <c r="B753" i="37"/>
  <c r="N753" i="37"/>
  <c r="H753" i="37"/>
  <c r="K753" i="37"/>
  <c r="Q753" i="37"/>
  <c r="U753" i="37"/>
  <c r="A754" i="37"/>
  <c r="V752" i="37"/>
  <c r="U561" i="37"/>
  <c r="A562" i="37"/>
  <c r="B561" i="37"/>
  <c r="E561" i="37"/>
  <c r="N561" i="37"/>
  <c r="H561" i="37"/>
  <c r="K561" i="37"/>
  <c r="Q561" i="37"/>
  <c r="V560" i="37"/>
  <c r="U834" i="37"/>
  <c r="Q834" i="37"/>
  <c r="B834" i="37"/>
  <c r="N834" i="37"/>
  <c r="H834" i="37"/>
  <c r="E834" i="37"/>
  <c r="A835" i="37"/>
  <c r="K834" i="37"/>
  <c r="V833" i="37"/>
  <c r="A78" i="24"/>
  <c r="J77" i="24"/>
  <c r="K77" i="24" s="1"/>
  <c r="R77" i="24"/>
  <c r="S77" i="24" s="1"/>
  <c r="N77" i="24"/>
  <c r="O77" i="24" s="1"/>
  <c r="B77" i="24"/>
  <c r="C77" i="24" s="1"/>
  <c r="T77" i="24"/>
  <c r="U77" i="24" s="1"/>
  <c r="V77" i="24"/>
  <c r="W77" i="24" s="1"/>
  <c r="L77" i="24"/>
  <c r="M77" i="24" s="1"/>
  <c r="F77" i="24"/>
  <c r="G77" i="24" s="1"/>
  <c r="D77" i="24"/>
  <c r="E77" i="24" s="1"/>
  <c r="H77" i="24"/>
  <c r="I77" i="24" s="1"/>
  <c r="P77" i="24"/>
  <c r="Q77" i="24" s="1"/>
  <c r="H230" i="24"/>
  <c r="L230" i="24"/>
  <c r="T230" i="24"/>
  <c r="N230" i="24"/>
  <c r="A231" i="24"/>
  <c r="R230" i="24"/>
  <c r="B230" i="24"/>
  <c r="F230" i="24"/>
  <c r="J230" i="24"/>
  <c r="P230" i="24"/>
  <c r="V230" i="24"/>
  <c r="D230" i="24"/>
  <c r="J42" i="37"/>
  <c r="I42" i="37"/>
  <c r="C42" i="37"/>
  <c r="D42" i="37"/>
  <c r="P41" i="37"/>
  <c r="O41" i="37"/>
  <c r="L42" i="37"/>
  <c r="M42" i="37"/>
  <c r="S41" i="37"/>
  <c r="R41" i="37"/>
  <c r="G42" i="37"/>
  <c r="F42" i="37"/>
  <c r="U42" i="19"/>
  <c r="R42" i="19"/>
  <c r="Q42" i="19"/>
  <c r="S42" i="19"/>
  <c r="M43" i="19"/>
  <c r="O42" i="19"/>
  <c r="V42" i="19"/>
  <c r="P42" i="19"/>
  <c r="T42" i="19"/>
  <c r="B689" i="37" l="1"/>
  <c r="E689" i="37"/>
  <c r="H689" i="37"/>
  <c r="N689" i="37"/>
  <c r="Q689" i="37"/>
  <c r="K689" i="37"/>
  <c r="A690" i="37"/>
  <c r="U689" i="37"/>
  <c r="V688" i="37"/>
  <c r="U562" i="37"/>
  <c r="Q562" i="37"/>
  <c r="A563" i="37"/>
  <c r="B562" i="37"/>
  <c r="E562" i="37"/>
  <c r="H562" i="37"/>
  <c r="N562" i="37"/>
  <c r="K562" i="37"/>
  <c r="V561" i="37"/>
  <c r="B835" i="37"/>
  <c r="H835" i="37"/>
  <c r="N835" i="37"/>
  <c r="K835" i="37"/>
  <c r="A836" i="37"/>
  <c r="U835" i="37"/>
  <c r="Q835" i="37"/>
  <c r="E835" i="37"/>
  <c r="V834" i="37"/>
  <c r="B754" i="37"/>
  <c r="N754" i="37"/>
  <c r="A755" i="37"/>
  <c r="U754" i="37"/>
  <c r="E754" i="37"/>
  <c r="H754" i="37"/>
  <c r="K754" i="37"/>
  <c r="Q754" i="37"/>
  <c r="V753" i="37"/>
  <c r="B646" i="37"/>
  <c r="E646" i="37"/>
  <c r="H646" i="37"/>
  <c r="N646" i="37"/>
  <c r="Q646" i="37"/>
  <c r="U646" i="37"/>
  <c r="A647" i="37"/>
  <c r="K646" i="37"/>
  <c r="V645" i="37"/>
  <c r="V78" i="24"/>
  <c r="W78" i="24" s="1"/>
  <c r="T78" i="24"/>
  <c r="U78" i="24" s="1"/>
  <c r="H78" i="24"/>
  <c r="I78" i="24" s="1"/>
  <c r="J78" i="24"/>
  <c r="K78" i="24" s="1"/>
  <c r="D78" i="24"/>
  <c r="E78" i="24" s="1"/>
  <c r="R78" i="24"/>
  <c r="S78" i="24" s="1"/>
  <c r="P78" i="24"/>
  <c r="Q78" i="24" s="1"/>
  <c r="F78" i="24"/>
  <c r="G78" i="24" s="1"/>
  <c r="L78" i="24"/>
  <c r="M78" i="24" s="1"/>
  <c r="B78" i="24"/>
  <c r="C78" i="24" s="1"/>
  <c r="A79" i="24"/>
  <c r="N78" i="24"/>
  <c r="O78" i="24" s="1"/>
  <c r="L231" i="24"/>
  <c r="P231" i="24"/>
  <c r="A232" i="24"/>
  <c r="N231" i="24"/>
  <c r="B231" i="24"/>
  <c r="V231" i="24"/>
  <c r="H231" i="24"/>
  <c r="F231" i="24"/>
  <c r="J231" i="24"/>
  <c r="R231" i="24"/>
  <c r="T231" i="24"/>
  <c r="D231" i="24"/>
  <c r="I43" i="37"/>
  <c r="J43" i="37"/>
  <c r="D43" i="37"/>
  <c r="C43" i="37"/>
  <c r="P42" i="37"/>
  <c r="O42" i="37"/>
  <c r="F43" i="37"/>
  <c r="G43" i="37"/>
  <c r="M43" i="37"/>
  <c r="L43" i="37"/>
  <c r="S42" i="37"/>
  <c r="R42" i="37"/>
  <c r="S43" i="19"/>
  <c r="V43" i="19"/>
  <c r="R43" i="19"/>
  <c r="P43" i="19"/>
  <c r="U43" i="19"/>
  <c r="O43" i="19"/>
  <c r="T43" i="19"/>
  <c r="Q43" i="19"/>
  <c r="E755" i="37" l="1"/>
  <c r="N755" i="37"/>
  <c r="A756" i="37"/>
  <c r="U755" i="37"/>
  <c r="B755" i="37"/>
  <c r="H755" i="37"/>
  <c r="K755" i="37"/>
  <c r="Q755" i="37"/>
  <c r="V754" i="37"/>
  <c r="B563" i="37"/>
  <c r="E563" i="37"/>
  <c r="K563" i="37"/>
  <c r="Q563" i="37"/>
  <c r="H563" i="37"/>
  <c r="N563" i="37"/>
  <c r="A564" i="37"/>
  <c r="U563" i="37"/>
  <c r="V562" i="37"/>
  <c r="U647" i="37"/>
  <c r="A648" i="37"/>
  <c r="B647" i="37"/>
  <c r="E647" i="37"/>
  <c r="N647" i="37"/>
  <c r="H647" i="37"/>
  <c r="K647" i="37"/>
  <c r="Q647" i="37"/>
  <c r="V646" i="37"/>
  <c r="B836" i="37"/>
  <c r="K836" i="37"/>
  <c r="A837" i="37"/>
  <c r="Q836" i="37"/>
  <c r="N836" i="37"/>
  <c r="H836" i="37"/>
  <c r="U836" i="37"/>
  <c r="E836" i="37"/>
  <c r="V835" i="37"/>
  <c r="E690" i="37"/>
  <c r="H690" i="37"/>
  <c r="K690" i="37"/>
  <c r="N690" i="37"/>
  <c r="Q690" i="37"/>
  <c r="U690" i="37"/>
  <c r="A691" i="37"/>
  <c r="B690" i="37"/>
  <c r="V689" i="37"/>
  <c r="B79" i="24"/>
  <c r="C79" i="24" s="1"/>
  <c r="V79" i="24"/>
  <c r="W79" i="24" s="1"/>
  <c r="D79" i="24"/>
  <c r="E79" i="24" s="1"/>
  <c r="F79" i="24"/>
  <c r="G79" i="24" s="1"/>
  <c r="P79" i="24"/>
  <c r="Q79" i="24" s="1"/>
  <c r="H79" i="24"/>
  <c r="I79" i="24" s="1"/>
  <c r="R79" i="24"/>
  <c r="S79" i="24" s="1"/>
  <c r="L79" i="24"/>
  <c r="M79" i="24" s="1"/>
  <c r="A80" i="24"/>
  <c r="T79" i="24"/>
  <c r="U79" i="24" s="1"/>
  <c r="N79" i="24"/>
  <c r="O79" i="24" s="1"/>
  <c r="J79" i="24"/>
  <c r="K79" i="24" s="1"/>
  <c r="D232" i="24"/>
  <c r="F232" i="24"/>
  <c r="J232" i="24"/>
  <c r="L232" i="24"/>
  <c r="P232" i="24"/>
  <c r="A233" i="24"/>
  <c r="R232" i="24"/>
  <c r="T232" i="24"/>
  <c r="N232" i="24"/>
  <c r="B232" i="24"/>
  <c r="V232" i="24"/>
  <c r="H232" i="24"/>
  <c r="J44" i="37"/>
  <c r="I44" i="37"/>
  <c r="C44" i="37"/>
  <c r="D44" i="37"/>
  <c r="P43" i="37"/>
  <c r="O43" i="37"/>
  <c r="M44" i="37"/>
  <c r="L44" i="37"/>
  <c r="F44" i="37"/>
  <c r="G44" i="37"/>
  <c r="S43" i="37"/>
  <c r="R43" i="37"/>
  <c r="B564" i="37" l="1"/>
  <c r="E564" i="37"/>
  <c r="K564" i="37"/>
  <c r="Q564" i="37"/>
  <c r="H564" i="37"/>
  <c r="N564" i="37"/>
  <c r="V563" i="37"/>
  <c r="U564" i="37"/>
  <c r="A565" i="37"/>
  <c r="B691" i="37"/>
  <c r="E691" i="37"/>
  <c r="H691" i="37"/>
  <c r="N691" i="37"/>
  <c r="K691" i="37"/>
  <c r="Q691" i="37"/>
  <c r="U691" i="37"/>
  <c r="A692" i="37"/>
  <c r="V690" i="37"/>
  <c r="H837" i="37"/>
  <c r="N837" i="37"/>
  <c r="A838" i="37"/>
  <c r="U837" i="37"/>
  <c r="B837" i="37"/>
  <c r="K837" i="37"/>
  <c r="E837" i="37"/>
  <c r="Q837" i="37"/>
  <c r="V836" i="37"/>
  <c r="A649" i="37"/>
  <c r="Q648" i="37"/>
  <c r="B648" i="37"/>
  <c r="E648" i="37"/>
  <c r="H648" i="37"/>
  <c r="N648" i="37"/>
  <c r="K648" i="37"/>
  <c r="U648" i="37"/>
  <c r="V647" i="37"/>
  <c r="N756" i="37"/>
  <c r="A757" i="37"/>
  <c r="U756" i="37"/>
  <c r="B756" i="37"/>
  <c r="E756" i="37"/>
  <c r="H756" i="37"/>
  <c r="K756" i="37"/>
  <c r="Q756" i="37"/>
  <c r="V755" i="37"/>
  <c r="T80" i="24"/>
  <c r="U80" i="24" s="1"/>
  <c r="R80" i="24"/>
  <c r="S80" i="24" s="1"/>
  <c r="F80" i="24"/>
  <c r="G80" i="24" s="1"/>
  <c r="N80" i="24"/>
  <c r="O80" i="24" s="1"/>
  <c r="B80" i="24"/>
  <c r="C80" i="24" s="1"/>
  <c r="D80" i="24"/>
  <c r="E80" i="24" s="1"/>
  <c r="P80" i="24"/>
  <c r="Q80" i="24" s="1"/>
  <c r="H80" i="24"/>
  <c r="I80" i="24" s="1"/>
  <c r="V80" i="24"/>
  <c r="W80" i="24" s="1"/>
  <c r="J80" i="24"/>
  <c r="K80" i="24" s="1"/>
  <c r="A81" i="24"/>
  <c r="L80" i="24"/>
  <c r="M80" i="24" s="1"/>
  <c r="B233" i="24"/>
  <c r="F233" i="24"/>
  <c r="D233" i="24"/>
  <c r="P233" i="24"/>
  <c r="H233" i="24"/>
  <c r="L233" i="24"/>
  <c r="R233" i="24"/>
  <c r="N233" i="24"/>
  <c r="A234" i="24"/>
  <c r="T233" i="24"/>
  <c r="J233" i="24"/>
  <c r="V233" i="24"/>
  <c r="J45" i="37"/>
  <c r="I45" i="37"/>
  <c r="D45" i="37"/>
  <c r="C45" i="37"/>
  <c r="P44" i="37"/>
  <c r="O44" i="37"/>
  <c r="F45" i="37"/>
  <c r="G45" i="37"/>
  <c r="M45" i="37"/>
  <c r="L45" i="37"/>
  <c r="S44" i="37"/>
  <c r="R44" i="37"/>
  <c r="A650" i="37" l="1"/>
  <c r="Q649" i="37"/>
  <c r="B649" i="37"/>
  <c r="E649" i="37"/>
  <c r="N649" i="37"/>
  <c r="H649" i="37"/>
  <c r="K649" i="37"/>
  <c r="U649" i="37"/>
  <c r="V648" i="37"/>
  <c r="U565" i="37"/>
  <c r="K565" i="37"/>
  <c r="B565" i="37"/>
  <c r="E565" i="37"/>
  <c r="H565" i="37"/>
  <c r="N565" i="37"/>
  <c r="Q565" i="37"/>
  <c r="A566" i="37"/>
  <c r="V564" i="37"/>
  <c r="A758" i="37"/>
  <c r="U757" i="37"/>
  <c r="B757" i="37"/>
  <c r="E757" i="37"/>
  <c r="H757" i="37"/>
  <c r="N757" i="37"/>
  <c r="K757" i="37"/>
  <c r="Q757" i="37"/>
  <c r="V756" i="37"/>
  <c r="K838" i="37"/>
  <c r="Q838" i="37"/>
  <c r="E838" i="37"/>
  <c r="B838" i="37"/>
  <c r="H838" i="37"/>
  <c r="N838" i="37"/>
  <c r="A839" i="37"/>
  <c r="U838" i="37"/>
  <c r="V837" i="37"/>
  <c r="N692" i="37"/>
  <c r="U692" i="37"/>
  <c r="A693" i="37"/>
  <c r="B692" i="37"/>
  <c r="E692" i="37"/>
  <c r="H692" i="37"/>
  <c r="K692" i="37"/>
  <c r="Q692" i="37"/>
  <c r="V691" i="37"/>
  <c r="B81" i="24"/>
  <c r="C81" i="24" s="1"/>
  <c r="N81" i="24"/>
  <c r="O81" i="24" s="1"/>
  <c r="F81" i="24"/>
  <c r="G81" i="24" s="1"/>
  <c r="H81" i="24"/>
  <c r="I81" i="24" s="1"/>
  <c r="D81" i="24"/>
  <c r="E81" i="24" s="1"/>
  <c r="V81" i="24"/>
  <c r="W81" i="24" s="1"/>
  <c r="P81" i="24"/>
  <c r="Q81" i="24" s="1"/>
  <c r="A82" i="24"/>
  <c r="J81" i="24"/>
  <c r="K81" i="24" s="1"/>
  <c r="L81" i="24"/>
  <c r="M81" i="24" s="1"/>
  <c r="T81" i="24"/>
  <c r="U81" i="24" s="1"/>
  <c r="R81" i="24"/>
  <c r="S81" i="24" s="1"/>
  <c r="L234" i="24"/>
  <c r="R234" i="24"/>
  <c r="A235" i="24"/>
  <c r="N234" i="24"/>
  <c r="B234" i="24"/>
  <c r="F234" i="24"/>
  <c r="D234" i="24"/>
  <c r="V234" i="24"/>
  <c r="T234" i="24"/>
  <c r="J234" i="24"/>
  <c r="P234" i="24"/>
  <c r="H234" i="24"/>
  <c r="J46" i="37"/>
  <c r="I46" i="37"/>
  <c r="C46" i="37"/>
  <c r="D46" i="37"/>
  <c r="P45" i="37"/>
  <c r="O45" i="37"/>
  <c r="R45" i="37"/>
  <c r="S45" i="37"/>
  <c r="L46" i="37"/>
  <c r="M46" i="37"/>
  <c r="F46" i="37"/>
  <c r="G46" i="37"/>
  <c r="B693" i="37" l="1"/>
  <c r="E693" i="37"/>
  <c r="H693" i="37"/>
  <c r="N693" i="37"/>
  <c r="Q693" i="37"/>
  <c r="A694" i="37"/>
  <c r="U693" i="37"/>
  <c r="K693" i="37"/>
  <c r="V692" i="37"/>
  <c r="B758" i="37"/>
  <c r="H758" i="37"/>
  <c r="E758" i="37"/>
  <c r="N758" i="37"/>
  <c r="Q758" i="37"/>
  <c r="V757" i="37"/>
  <c r="A759" i="37"/>
  <c r="K758" i="37"/>
  <c r="U758" i="37"/>
  <c r="A840" i="37"/>
  <c r="E839" i="37"/>
  <c r="Q839" i="37"/>
  <c r="U839" i="37"/>
  <c r="B839" i="37"/>
  <c r="H839" i="37"/>
  <c r="N839" i="37"/>
  <c r="K839" i="37"/>
  <c r="V838" i="37"/>
  <c r="U566" i="37"/>
  <c r="B566" i="37"/>
  <c r="E566" i="37"/>
  <c r="H566" i="37"/>
  <c r="N566" i="37"/>
  <c r="K566" i="37"/>
  <c r="A567" i="37"/>
  <c r="Q566" i="37"/>
  <c r="V565" i="37"/>
  <c r="Q650" i="37"/>
  <c r="E650" i="37"/>
  <c r="H650" i="37"/>
  <c r="N650" i="37"/>
  <c r="K650" i="37"/>
  <c r="A651" i="37"/>
  <c r="U650" i="37"/>
  <c r="B650" i="37"/>
  <c r="V649" i="37"/>
  <c r="H82" i="24"/>
  <c r="I82" i="24" s="1"/>
  <c r="L82" i="24"/>
  <c r="M82" i="24" s="1"/>
  <c r="F82" i="24"/>
  <c r="G82" i="24" s="1"/>
  <c r="A83" i="24"/>
  <c r="T82" i="24"/>
  <c r="U82" i="24" s="1"/>
  <c r="R82" i="24"/>
  <c r="S82" i="24" s="1"/>
  <c r="B82" i="24"/>
  <c r="C82" i="24" s="1"/>
  <c r="P82" i="24"/>
  <c r="Q82" i="24" s="1"/>
  <c r="D82" i="24"/>
  <c r="E82" i="24" s="1"/>
  <c r="N82" i="24"/>
  <c r="O82" i="24" s="1"/>
  <c r="J82" i="24"/>
  <c r="K82" i="24" s="1"/>
  <c r="V82" i="24"/>
  <c r="W82" i="24" s="1"/>
  <c r="H235" i="24"/>
  <c r="J235" i="24"/>
  <c r="R235" i="24"/>
  <c r="T235" i="24"/>
  <c r="N235" i="24"/>
  <c r="B235" i="24"/>
  <c r="P235" i="24"/>
  <c r="V235" i="24"/>
  <c r="D235" i="24"/>
  <c r="F235" i="24"/>
  <c r="A236" i="24"/>
  <c r="L235" i="24"/>
  <c r="I47" i="37"/>
  <c r="J47" i="37"/>
  <c r="C47" i="37"/>
  <c r="D47" i="37"/>
  <c r="P46" i="37"/>
  <c r="O46" i="37"/>
  <c r="G47" i="37"/>
  <c r="F47" i="37"/>
  <c r="S46" i="37"/>
  <c r="R46" i="37"/>
  <c r="M47" i="37"/>
  <c r="L47" i="37"/>
  <c r="U651" i="37" l="1"/>
  <c r="K651" i="37"/>
  <c r="B651" i="37"/>
  <c r="E651" i="37"/>
  <c r="H651" i="37"/>
  <c r="N651" i="37"/>
  <c r="Q651" i="37"/>
  <c r="A652" i="37"/>
  <c r="V650" i="37"/>
  <c r="B694" i="37"/>
  <c r="E694" i="37"/>
  <c r="H694" i="37"/>
  <c r="N694" i="37"/>
  <c r="Q694" i="37"/>
  <c r="A695" i="37"/>
  <c r="U694" i="37"/>
  <c r="K694" i="37"/>
  <c r="V693" i="37"/>
  <c r="Q840" i="37"/>
  <c r="U840" i="37"/>
  <c r="B840" i="37"/>
  <c r="H840" i="37"/>
  <c r="N840" i="37"/>
  <c r="K840" i="37"/>
  <c r="A841" i="37"/>
  <c r="E840" i="37"/>
  <c r="V839" i="37"/>
  <c r="B567" i="37"/>
  <c r="E567" i="37"/>
  <c r="H567" i="37"/>
  <c r="N567" i="37"/>
  <c r="K567" i="37"/>
  <c r="Q567" i="37"/>
  <c r="A568" i="37"/>
  <c r="U567" i="37"/>
  <c r="V566" i="37"/>
  <c r="U759" i="37"/>
  <c r="K759" i="37"/>
  <c r="A760" i="37"/>
  <c r="B759" i="37"/>
  <c r="E759" i="37"/>
  <c r="H759" i="37"/>
  <c r="Q759" i="37"/>
  <c r="N759" i="37"/>
  <c r="V758" i="37"/>
  <c r="R83" i="24"/>
  <c r="S83" i="24" s="1"/>
  <c r="T83" i="24"/>
  <c r="U83" i="24" s="1"/>
  <c r="L83" i="24"/>
  <c r="M83" i="24" s="1"/>
  <c r="H83" i="24"/>
  <c r="I83" i="24" s="1"/>
  <c r="V83" i="24"/>
  <c r="W83" i="24" s="1"/>
  <c r="B83" i="24"/>
  <c r="C83" i="24" s="1"/>
  <c r="J83" i="24"/>
  <c r="K83" i="24" s="1"/>
  <c r="F83" i="24"/>
  <c r="G83" i="24" s="1"/>
  <c r="P83" i="24"/>
  <c r="Q83" i="24" s="1"/>
  <c r="A84" i="24"/>
  <c r="N83" i="24"/>
  <c r="O83" i="24" s="1"/>
  <c r="D83" i="24"/>
  <c r="E83" i="24" s="1"/>
  <c r="P236" i="24"/>
  <c r="T236" i="24"/>
  <c r="R236" i="24"/>
  <c r="B236" i="24"/>
  <c r="V236" i="24"/>
  <c r="H236" i="24"/>
  <c r="F236" i="24"/>
  <c r="D236" i="24"/>
  <c r="N236" i="24"/>
  <c r="A237" i="24"/>
  <c r="J236" i="24"/>
  <c r="L236" i="24"/>
  <c r="I48" i="37"/>
  <c r="J48" i="37"/>
  <c r="C48" i="37"/>
  <c r="D48" i="37"/>
  <c r="P47" i="37"/>
  <c r="O47" i="37"/>
  <c r="S47" i="37"/>
  <c r="R47" i="37"/>
  <c r="M48" i="37"/>
  <c r="L48" i="37"/>
  <c r="F48" i="37"/>
  <c r="G48" i="37"/>
  <c r="A696" i="37" l="1"/>
  <c r="Q695" i="37"/>
  <c r="U695" i="37"/>
  <c r="K695" i="37"/>
  <c r="B695" i="37"/>
  <c r="E695" i="37"/>
  <c r="N695" i="37"/>
  <c r="H695" i="37"/>
  <c r="V694" i="37"/>
  <c r="K841" i="37"/>
  <c r="N841" i="37"/>
  <c r="B841" i="37"/>
  <c r="H841" i="37"/>
  <c r="E841" i="37"/>
  <c r="A842" i="37"/>
  <c r="Q841" i="37"/>
  <c r="U841" i="37"/>
  <c r="V840" i="37"/>
  <c r="N652" i="37"/>
  <c r="E652" i="37"/>
  <c r="B652" i="37"/>
  <c r="H652" i="37"/>
  <c r="K652" i="37"/>
  <c r="Q652" i="37"/>
  <c r="V651" i="37"/>
  <c r="U652" i="37"/>
  <c r="V652" i="37"/>
  <c r="B760" i="37"/>
  <c r="N760" i="37"/>
  <c r="K760" i="37"/>
  <c r="E760" i="37"/>
  <c r="H760" i="37"/>
  <c r="Q760" i="37"/>
  <c r="U760" i="37"/>
  <c r="V760" i="37"/>
  <c r="V759" i="37"/>
  <c r="B568" i="37"/>
  <c r="E568" i="37"/>
  <c r="H568" i="37"/>
  <c r="N568" i="37"/>
  <c r="K568" i="37"/>
  <c r="Q568" i="37"/>
  <c r="U568" i="37"/>
  <c r="A569" i="37"/>
  <c r="V567" i="37"/>
  <c r="H84" i="24"/>
  <c r="I84" i="24" s="1"/>
  <c r="L84" i="24"/>
  <c r="M84" i="24" s="1"/>
  <c r="P84" i="24"/>
  <c r="Q84" i="24" s="1"/>
  <c r="N84" i="24"/>
  <c r="O84" i="24" s="1"/>
  <c r="B84" i="24"/>
  <c r="C84" i="24" s="1"/>
  <c r="V84" i="24"/>
  <c r="W84" i="24" s="1"/>
  <c r="R84" i="24"/>
  <c r="S84" i="24" s="1"/>
  <c r="D84" i="24"/>
  <c r="E84" i="24" s="1"/>
  <c r="F84" i="24"/>
  <c r="G84" i="24" s="1"/>
  <c r="A85" i="24"/>
  <c r="J84" i="24"/>
  <c r="K84" i="24" s="1"/>
  <c r="T84" i="24"/>
  <c r="U84" i="24" s="1"/>
  <c r="B237" i="24"/>
  <c r="V237" i="24"/>
  <c r="D237" i="24"/>
  <c r="F237" i="24"/>
  <c r="J237" i="24"/>
  <c r="P237" i="24"/>
  <c r="L237" i="24"/>
  <c r="T237" i="24"/>
  <c r="A238" i="24"/>
  <c r="H237" i="24"/>
  <c r="R237" i="24"/>
  <c r="N237" i="24"/>
  <c r="I49" i="37"/>
  <c r="J49" i="37"/>
  <c r="C49" i="37"/>
  <c r="D49" i="37"/>
  <c r="P48" i="37"/>
  <c r="O48" i="37"/>
  <c r="L49" i="37"/>
  <c r="M49" i="37"/>
  <c r="S48" i="37"/>
  <c r="R48" i="37"/>
  <c r="G49" i="37"/>
  <c r="F49" i="37"/>
  <c r="K569" i="37" l="1"/>
  <c r="Q569" i="37"/>
  <c r="A570" i="37"/>
  <c r="U569" i="37"/>
  <c r="B569" i="37"/>
  <c r="E569" i="37"/>
  <c r="N569" i="37"/>
  <c r="H569" i="37"/>
  <c r="V568" i="37"/>
  <c r="E842" i="37"/>
  <c r="A843" i="37"/>
  <c r="K842" i="37"/>
  <c r="Q842" i="37"/>
  <c r="U842" i="37"/>
  <c r="B842" i="37"/>
  <c r="H842" i="37"/>
  <c r="N842" i="37"/>
  <c r="V841" i="37"/>
  <c r="U696" i="37"/>
  <c r="K696" i="37"/>
  <c r="B696" i="37"/>
  <c r="E696" i="37"/>
  <c r="H696" i="37"/>
  <c r="N696" i="37"/>
  <c r="Q696" i="37"/>
  <c r="A697" i="37"/>
  <c r="V695" i="37"/>
  <c r="D85" i="24"/>
  <c r="E85" i="24" s="1"/>
  <c r="F85" i="24"/>
  <c r="G85" i="24" s="1"/>
  <c r="T85" i="24"/>
  <c r="U85" i="24" s="1"/>
  <c r="H85" i="24"/>
  <c r="I85" i="24" s="1"/>
  <c r="J85" i="24"/>
  <c r="K85" i="24" s="1"/>
  <c r="P85" i="24"/>
  <c r="Q85" i="24" s="1"/>
  <c r="A86" i="24"/>
  <c r="B85" i="24"/>
  <c r="C85" i="24" s="1"/>
  <c r="N85" i="24"/>
  <c r="O85" i="24" s="1"/>
  <c r="V85" i="24"/>
  <c r="W85" i="24" s="1"/>
  <c r="R85" i="24"/>
  <c r="S85" i="24" s="1"/>
  <c r="L85" i="24"/>
  <c r="M85" i="24" s="1"/>
  <c r="P238" i="24"/>
  <c r="T238" i="24"/>
  <c r="R238" i="24"/>
  <c r="B238" i="24"/>
  <c r="F238" i="24"/>
  <c r="D238" i="24"/>
  <c r="V238" i="24"/>
  <c r="H238" i="24"/>
  <c r="J238" i="24"/>
  <c r="L238" i="24"/>
  <c r="A239" i="24"/>
  <c r="N238" i="24"/>
  <c r="J50" i="37"/>
  <c r="I50" i="37"/>
  <c r="D50" i="37"/>
  <c r="C50" i="37"/>
  <c r="P49" i="37"/>
  <c r="O49" i="37"/>
  <c r="G50" i="37"/>
  <c r="F50" i="37"/>
  <c r="S49" i="37"/>
  <c r="R49" i="37"/>
  <c r="M50" i="37"/>
  <c r="L50" i="37"/>
  <c r="E843" i="37" l="1"/>
  <c r="A844" i="37"/>
  <c r="Q843" i="37"/>
  <c r="U843" i="37"/>
  <c r="B843" i="37"/>
  <c r="H843" i="37"/>
  <c r="K843" i="37"/>
  <c r="N843" i="37"/>
  <c r="V842" i="37"/>
  <c r="A698" i="37"/>
  <c r="K697" i="37"/>
  <c r="E697" i="37"/>
  <c r="B697" i="37"/>
  <c r="H697" i="37"/>
  <c r="N697" i="37"/>
  <c r="Q697" i="37"/>
  <c r="U697" i="37"/>
  <c r="V696" i="37"/>
  <c r="K570" i="37"/>
  <c r="Q570" i="37"/>
  <c r="U570" i="37"/>
  <c r="A571" i="37"/>
  <c r="B570" i="37"/>
  <c r="H570" i="37"/>
  <c r="N570" i="37"/>
  <c r="E570" i="37"/>
  <c r="V569" i="37"/>
  <c r="R86" i="24"/>
  <c r="S86" i="24" s="1"/>
  <c r="A87" i="24"/>
  <c r="P86" i="24"/>
  <c r="Q86" i="24" s="1"/>
  <c r="J86" i="24"/>
  <c r="K86" i="24" s="1"/>
  <c r="H86" i="24"/>
  <c r="I86" i="24" s="1"/>
  <c r="N86" i="24"/>
  <c r="O86" i="24" s="1"/>
  <c r="V86" i="24"/>
  <c r="W86" i="24" s="1"/>
  <c r="F86" i="24"/>
  <c r="G86" i="24" s="1"/>
  <c r="L86" i="24"/>
  <c r="M86" i="24" s="1"/>
  <c r="T86" i="24"/>
  <c r="U86" i="24" s="1"/>
  <c r="D86" i="24"/>
  <c r="E86" i="24" s="1"/>
  <c r="B86" i="24"/>
  <c r="C86" i="24" s="1"/>
  <c r="L239" i="24"/>
  <c r="P239" i="24"/>
  <c r="T239" i="24"/>
  <c r="R239" i="24"/>
  <c r="A240" i="24"/>
  <c r="N239" i="24"/>
  <c r="V239" i="24"/>
  <c r="F239" i="24"/>
  <c r="B239" i="24"/>
  <c r="J239" i="24"/>
  <c r="D239" i="24"/>
  <c r="H239" i="24"/>
  <c r="J51" i="37"/>
  <c r="I51" i="37"/>
  <c r="C51" i="37"/>
  <c r="D51" i="37"/>
  <c r="P50" i="37"/>
  <c r="O50" i="37"/>
  <c r="M51" i="37"/>
  <c r="L51" i="37"/>
  <c r="S50" i="37"/>
  <c r="R50" i="37"/>
  <c r="G51" i="37"/>
  <c r="F51" i="37"/>
  <c r="Q698" i="37" l="1"/>
  <c r="V697" i="37"/>
  <c r="B698" i="37"/>
  <c r="E698" i="37"/>
  <c r="H698" i="37"/>
  <c r="K698" i="37"/>
  <c r="N698" i="37"/>
  <c r="A699" i="37"/>
  <c r="U698" i="37"/>
  <c r="K571" i="37"/>
  <c r="N571" i="37"/>
  <c r="Q571" i="37"/>
  <c r="V570" i="37"/>
  <c r="U571" i="37"/>
  <c r="A572" i="37"/>
  <c r="B571" i="37"/>
  <c r="E571" i="37"/>
  <c r="H571" i="37"/>
  <c r="B844" i="37"/>
  <c r="N844" i="37"/>
  <c r="H844" i="37"/>
  <c r="K844" i="37"/>
  <c r="E844" i="37"/>
  <c r="A845" i="37"/>
  <c r="Q844" i="37"/>
  <c r="U844" i="37"/>
  <c r="V843" i="37"/>
  <c r="L87" i="24"/>
  <c r="M87" i="24" s="1"/>
  <c r="B87" i="24"/>
  <c r="C87" i="24" s="1"/>
  <c r="P87" i="24"/>
  <c r="Q87" i="24" s="1"/>
  <c r="T87" i="24"/>
  <c r="U87" i="24" s="1"/>
  <c r="F87" i="24"/>
  <c r="G87" i="24" s="1"/>
  <c r="A88" i="24"/>
  <c r="J87" i="24"/>
  <c r="K87" i="24" s="1"/>
  <c r="N87" i="24"/>
  <c r="O87" i="24" s="1"/>
  <c r="R87" i="24"/>
  <c r="S87" i="24" s="1"/>
  <c r="D87" i="24"/>
  <c r="E87" i="24" s="1"/>
  <c r="V87" i="24"/>
  <c r="W87" i="24" s="1"/>
  <c r="H87" i="24"/>
  <c r="I87" i="24" s="1"/>
  <c r="D240" i="24"/>
  <c r="F240" i="24"/>
  <c r="H240" i="24"/>
  <c r="L240" i="24"/>
  <c r="R240" i="24"/>
  <c r="N240" i="24"/>
  <c r="V240" i="24"/>
  <c r="T240" i="24"/>
  <c r="J240" i="24"/>
  <c r="P240" i="24"/>
  <c r="A241" i="24"/>
  <c r="B240" i="24"/>
  <c r="J52" i="37"/>
  <c r="I52" i="37"/>
  <c r="D52" i="37"/>
  <c r="C52" i="37"/>
  <c r="O51" i="37"/>
  <c r="P51" i="37"/>
  <c r="S51" i="37"/>
  <c r="R51" i="37"/>
  <c r="M52" i="37"/>
  <c r="L52" i="37"/>
  <c r="G52" i="37"/>
  <c r="F52" i="37"/>
  <c r="H572" i="37" l="1"/>
  <c r="N572" i="37"/>
  <c r="K572" i="37"/>
  <c r="Q572" i="37"/>
  <c r="A573" i="37"/>
  <c r="U572" i="37"/>
  <c r="E572" i="37"/>
  <c r="B572" i="37"/>
  <c r="V571" i="37"/>
  <c r="K845" i="37"/>
  <c r="E845" i="37"/>
  <c r="A846" i="37"/>
  <c r="U845" i="37"/>
  <c r="Q845" i="37"/>
  <c r="B845" i="37"/>
  <c r="N845" i="37"/>
  <c r="H845" i="37"/>
  <c r="V844" i="37"/>
  <c r="V698" i="37"/>
  <c r="A700" i="37"/>
  <c r="U699" i="37"/>
  <c r="B699" i="37"/>
  <c r="E699" i="37"/>
  <c r="H699" i="37"/>
  <c r="N699" i="37"/>
  <c r="Q699" i="37"/>
  <c r="K699" i="37"/>
  <c r="P88" i="24"/>
  <c r="Q88" i="24" s="1"/>
  <c r="T88" i="24"/>
  <c r="U88" i="24" s="1"/>
  <c r="A89" i="24"/>
  <c r="B88" i="24"/>
  <c r="C88" i="24" s="1"/>
  <c r="D88" i="24"/>
  <c r="E88" i="24" s="1"/>
  <c r="N88" i="24"/>
  <c r="O88" i="24" s="1"/>
  <c r="F88" i="24"/>
  <c r="G88" i="24" s="1"/>
  <c r="J88" i="24"/>
  <c r="K88" i="24" s="1"/>
  <c r="L88" i="24"/>
  <c r="M88" i="24" s="1"/>
  <c r="V88" i="24"/>
  <c r="W88" i="24" s="1"/>
  <c r="H88" i="24"/>
  <c r="I88" i="24" s="1"/>
  <c r="R88" i="24"/>
  <c r="S88" i="24" s="1"/>
  <c r="J241" i="24"/>
  <c r="L241" i="24"/>
  <c r="T241" i="24"/>
  <c r="N241" i="24"/>
  <c r="H241" i="24"/>
  <c r="R241" i="24"/>
  <c r="P241" i="24"/>
  <c r="D241" i="24"/>
  <c r="V241" i="24"/>
  <c r="A242" i="24"/>
  <c r="B241" i="24"/>
  <c r="F241" i="24"/>
  <c r="J53" i="37"/>
  <c r="I53" i="37"/>
  <c r="D53" i="37"/>
  <c r="C53" i="37"/>
  <c r="O52" i="37"/>
  <c r="P52" i="37"/>
  <c r="S52" i="37"/>
  <c r="R52" i="37"/>
  <c r="G53" i="37"/>
  <c r="F53" i="37"/>
  <c r="M53" i="37"/>
  <c r="L53" i="37"/>
  <c r="B846" i="37" l="1"/>
  <c r="H846" i="37"/>
  <c r="N846" i="37"/>
  <c r="E846" i="37"/>
  <c r="A847" i="37"/>
  <c r="K846" i="37"/>
  <c r="U846" i="37"/>
  <c r="Q846" i="37"/>
  <c r="V845" i="37"/>
  <c r="B573" i="37"/>
  <c r="E573" i="37"/>
  <c r="H573" i="37"/>
  <c r="N573" i="37"/>
  <c r="Q573" i="37"/>
  <c r="K573" i="37"/>
  <c r="U573" i="37"/>
  <c r="A574" i="37"/>
  <c r="V572" i="37"/>
  <c r="N700" i="37"/>
  <c r="E700" i="37"/>
  <c r="H700" i="37"/>
  <c r="K700" i="37"/>
  <c r="Q700" i="37"/>
  <c r="A701" i="37"/>
  <c r="U700" i="37"/>
  <c r="B700" i="37"/>
  <c r="V699" i="37"/>
  <c r="B89" i="24"/>
  <c r="C89" i="24" s="1"/>
  <c r="J89" i="24"/>
  <c r="K89" i="24" s="1"/>
  <c r="L89" i="24"/>
  <c r="M89" i="24" s="1"/>
  <c r="R89" i="24"/>
  <c r="S89" i="24" s="1"/>
  <c r="D89" i="24"/>
  <c r="E89" i="24" s="1"/>
  <c r="P89" i="24"/>
  <c r="Q89" i="24" s="1"/>
  <c r="A90" i="24"/>
  <c r="N89" i="24"/>
  <c r="O89" i="24" s="1"/>
  <c r="V89" i="24"/>
  <c r="W89" i="24" s="1"/>
  <c r="H89" i="24"/>
  <c r="I89" i="24" s="1"/>
  <c r="T89" i="24"/>
  <c r="U89" i="24" s="1"/>
  <c r="F89" i="24"/>
  <c r="G89" i="24" s="1"/>
  <c r="B242" i="24"/>
  <c r="R242" i="24"/>
  <c r="T242" i="24"/>
  <c r="F242" i="24"/>
  <c r="H242" i="24"/>
  <c r="J242" i="24"/>
  <c r="L242" i="24"/>
  <c r="P242" i="24"/>
  <c r="A243" i="24"/>
  <c r="N242" i="24"/>
  <c r="V242" i="24"/>
  <c r="D242" i="24"/>
  <c r="I54" i="37"/>
  <c r="J54" i="37"/>
  <c r="D54" i="37"/>
  <c r="C54" i="37"/>
  <c r="P53" i="37"/>
  <c r="O53" i="37"/>
  <c r="S53" i="37"/>
  <c r="R53" i="37"/>
  <c r="F54" i="37"/>
  <c r="G54" i="37"/>
  <c r="L54" i="37"/>
  <c r="M54" i="37"/>
  <c r="B701" i="37" l="1"/>
  <c r="E701" i="37"/>
  <c r="H701" i="37"/>
  <c r="N701" i="37"/>
  <c r="K701" i="37"/>
  <c r="Q701" i="37"/>
  <c r="U701" i="37"/>
  <c r="A702" i="37"/>
  <c r="V700" i="37"/>
  <c r="H847" i="37"/>
  <c r="B847" i="37"/>
  <c r="N847" i="37"/>
  <c r="K847" i="37"/>
  <c r="E847" i="37"/>
  <c r="A848" i="37"/>
  <c r="U847" i="37"/>
  <c r="Q847" i="37"/>
  <c r="V846" i="37"/>
  <c r="B574" i="37"/>
  <c r="E574" i="37"/>
  <c r="H574" i="37"/>
  <c r="N574" i="37"/>
  <c r="K574" i="37"/>
  <c r="Q574" i="37"/>
  <c r="A575" i="37"/>
  <c r="U574" i="37"/>
  <c r="V573" i="37"/>
  <c r="R90" i="24"/>
  <c r="S90" i="24" s="1"/>
  <c r="D90" i="24"/>
  <c r="E90" i="24" s="1"/>
  <c r="F90" i="24"/>
  <c r="G90" i="24" s="1"/>
  <c r="V90" i="24"/>
  <c r="W90" i="24" s="1"/>
  <c r="T90" i="24"/>
  <c r="U90" i="24" s="1"/>
  <c r="H90" i="24"/>
  <c r="I90" i="24" s="1"/>
  <c r="P90" i="24"/>
  <c r="Q90" i="24" s="1"/>
  <c r="A91" i="24"/>
  <c r="B90" i="24"/>
  <c r="C90" i="24" s="1"/>
  <c r="J90" i="24"/>
  <c r="K90" i="24" s="1"/>
  <c r="L90" i="24"/>
  <c r="M90" i="24" s="1"/>
  <c r="N90" i="24"/>
  <c r="O90" i="24" s="1"/>
  <c r="T243" i="24"/>
  <c r="D243" i="24"/>
  <c r="V243" i="24"/>
  <c r="H243" i="24"/>
  <c r="J243" i="24"/>
  <c r="F243" i="24"/>
  <c r="P243" i="24"/>
  <c r="A244" i="24"/>
  <c r="L243" i="24"/>
  <c r="N243" i="24"/>
  <c r="B243" i="24"/>
  <c r="R243" i="24"/>
  <c r="I55" i="37"/>
  <c r="J55" i="37"/>
  <c r="C55" i="37"/>
  <c r="D55" i="37"/>
  <c r="O54" i="37"/>
  <c r="P54" i="37"/>
  <c r="M55" i="37"/>
  <c r="L55" i="37"/>
  <c r="F55" i="37"/>
  <c r="G55" i="37"/>
  <c r="S54" i="37"/>
  <c r="R54" i="37"/>
  <c r="H848" i="37" l="1"/>
  <c r="N848" i="37"/>
  <c r="B848" i="37"/>
  <c r="K848" i="37"/>
  <c r="E848" i="37"/>
  <c r="A849" i="37"/>
  <c r="U848" i="37"/>
  <c r="Q848" i="37"/>
  <c r="V847" i="37"/>
  <c r="B575" i="37"/>
  <c r="E575" i="37"/>
  <c r="H575" i="37"/>
  <c r="N575" i="37"/>
  <c r="K575" i="37"/>
  <c r="Q575" i="37"/>
  <c r="U575" i="37"/>
  <c r="A576" i="37"/>
  <c r="V574" i="37"/>
  <c r="B702" i="37"/>
  <c r="E702" i="37"/>
  <c r="N702" i="37"/>
  <c r="K702" i="37"/>
  <c r="H702" i="37"/>
  <c r="Q702" i="37"/>
  <c r="U702" i="37"/>
  <c r="A703" i="37"/>
  <c r="V701" i="37"/>
  <c r="A92" i="24"/>
  <c r="H91" i="24"/>
  <c r="I91" i="24" s="1"/>
  <c r="F91" i="24"/>
  <c r="G91" i="24" s="1"/>
  <c r="J91" i="24"/>
  <c r="K91" i="24" s="1"/>
  <c r="P91" i="24"/>
  <c r="Q91" i="24" s="1"/>
  <c r="B91" i="24"/>
  <c r="C91" i="24" s="1"/>
  <c r="T91" i="24"/>
  <c r="U91" i="24" s="1"/>
  <c r="N91" i="24"/>
  <c r="O91" i="24" s="1"/>
  <c r="V91" i="24"/>
  <c r="W91" i="24" s="1"/>
  <c r="D91" i="24"/>
  <c r="E91" i="24" s="1"/>
  <c r="R91" i="24"/>
  <c r="S91" i="24" s="1"/>
  <c r="L91" i="24"/>
  <c r="M91" i="24" s="1"/>
  <c r="L244" i="24"/>
  <c r="T244" i="24"/>
  <c r="P244" i="24"/>
  <c r="A245" i="24"/>
  <c r="V244" i="24"/>
  <c r="H244" i="24"/>
  <c r="D244" i="24"/>
  <c r="F244" i="24"/>
  <c r="B244" i="24"/>
  <c r="R244" i="24"/>
  <c r="J244" i="24"/>
  <c r="N244" i="24"/>
  <c r="I56" i="37"/>
  <c r="J56" i="37"/>
  <c r="D56" i="37"/>
  <c r="C56" i="37"/>
  <c r="O55" i="37"/>
  <c r="P55" i="37"/>
  <c r="M56" i="37"/>
  <c r="L56" i="37"/>
  <c r="G56" i="37"/>
  <c r="F56" i="37"/>
  <c r="S55" i="37"/>
  <c r="R55" i="37"/>
  <c r="K703" i="37" l="1"/>
  <c r="Q703" i="37"/>
  <c r="U703" i="37"/>
  <c r="A704" i="37"/>
  <c r="B703" i="37"/>
  <c r="E703" i="37"/>
  <c r="N703" i="37"/>
  <c r="H703" i="37"/>
  <c r="V702" i="37"/>
  <c r="B849" i="37"/>
  <c r="N849" i="37"/>
  <c r="H849" i="37"/>
  <c r="K849" i="37"/>
  <c r="E849" i="37"/>
  <c r="A850" i="37"/>
  <c r="Q849" i="37"/>
  <c r="U849" i="37"/>
  <c r="V848" i="37"/>
  <c r="B576" i="37"/>
  <c r="E576" i="37"/>
  <c r="H576" i="37"/>
  <c r="N576" i="37"/>
  <c r="K576" i="37"/>
  <c r="Q576" i="37"/>
  <c r="U576" i="37"/>
  <c r="A577" i="37"/>
  <c r="V575" i="37"/>
  <c r="H92" i="24"/>
  <c r="I92" i="24" s="1"/>
  <c r="T92" i="24"/>
  <c r="U92" i="24" s="1"/>
  <c r="D92" i="24"/>
  <c r="E92" i="24" s="1"/>
  <c r="J92" i="24"/>
  <c r="K92" i="24" s="1"/>
  <c r="A93" i="24"/>
  <c r="P92" i="24"/>
  <c r="Q92" i="24" s="1"/>
  <c r="V92" i="24"/>
  <c r="W92" i="24" s="1"/>
  <c r="F92" i="24"/>
  <c r="G92" i="24" s="1"/>
  <c r="N92" i="24"/>
  <c r="O92" i="24" s="1"/>
  <c r="R92" i="24"/>
  <c r="S92" i="24" s="1"/>
  <c r="B92" i="24"/>
  <c r="C92" i="24" s="1"/>
  <c r="L92" i="24"/>
  <c r="M92" i="24" s="1"/>
  <c r="D245" i="24"/>
  <c r="F245" i="24"/>
  <c r="H245" i="24"/>
  <c r="J245" i="24"/>
  <c r="V245" i="24"/>
  <c r="T245" i="24"/>
  <c r="L245" i="24"/>
  <c r="B245" i="24"/>
  <c r="A246" i="24"/>
  <c r="P245" i="24"/>
  <c r="R245" i="24"/>
  <c r="N245" i="24"/>
  <c r="J57" i="37"/>
  <c r="I57" i="37"/>
  <c r="D57" i="37"/>
  <c r="C57" i="37"/>
  <c r="O56" i="37"/>
  <c r="P56" i="37"/>
  <c r="M57" i="37"/>
  <c r="L57" i="37"/>
  <c r="F57" i="37"/>
  <c r="G57" i="37"/>
  <c r="R56" i="37"/>
  <c r="S56" i="37"/>
  <c r="B850" i="37" l="1"/>
  <c r="N850" i="37"/>
  <c r="H850" i="37"/>
  <c r="E850" i="37"/>
  <c r="A851" i="37"/>
  <c r="K850" i="37"/>
  <c r="U850" i="37"/>
  <c r="Q850" i="37"/>
  <c r="V849" i="37"/>
  <c r="B577" i="37"/>
  <c r="E577" i="37"/>
  <c r="N577" i="37"/>
  <c r="H577" i="37"/>
  <c r="K577" i="37"/>
  <c r="Q577" i="37"/>
  <c r="A578" i="37"/>
  <c r="U577" i="37"/>
  <c r="V576" i="37"/>
  <c r="N704" i="37"/>
  <c r="K704" i="37"/>
  <c r="Q704" i="37"/>
  <c r="A705" i="37"/>
  <c r="U704" i="37"/>
  <c r="B704" i="37"/>
  <c r="H704" i="37"/>
  <c r="E704" i="37"/>
  <c r="V703" i="37"/>
  <c r="J93" i="24"/>
  <c r="K93" i="24" s="1"/>
  <c r="T93" i="24"/>
  <c r="U93" i="24" s="1"/>
  <c r="B93" i="24"/>
  <c r="C93" i="24" s="1"/>
  <c r="V93" i="24"/>
  <c r="W93" i="24" s="1"/>
  <c r="A94" i="24"/>
  <c r="R93" i="24"/>
  <c r="S93" i="24" s="1"/>
  <c r="H93" i="24"/>
  <c r="I93" i="24" s="1"/>
  <c r="P93" i="24"/>
  <c r="Q93" i="24" s="1"/>
  <c r="F93" i="24"/>
  <c r="G93" i="24" s="1"/>
  <c r="L93" i="24"/>
  <c r="M93" i="24" s="1"/>
  <c r="D93" i="24"/>
  <c r="E93" i="24" s="1"/>
  <c r="N93" i="24"/>
  <c r="O93" i="24" s="1"/>
  <c r="H246" i="24"/>
  <c r="J246" i="24"/>
  <c r="L246" i="24"/>
  <c r="P246" i="24"/>
  <c r="N246" i="24"/>
  <c r="T246" i="24"/>
  <c r="V246" i="24"/>
  <c r="B246" i="24"/>
  <c r="A247" i="24"/>
  <c r="D246" i="24"/>
  <c r="R246" i="24"/>
  <c r="F246" i="24"/>
  <c r="J58" i="37"/>
  <c r="I58" i="37"/>
  <c r="D58" i="37"/>
  <c r="C58" i="37"/>
  <c r="O57" i="37"/>
  <c r="P57" i="37"/>
  <c r="L58" i="37"/>
  <c r="M58" i="37"/>
  <c r="F58" i="37"/>
  <c r="G58" i="37"/>
  <c r="S57" i="37"/>
  <c r="R57" i="37"/>
  <c r="E705" i="37" l="1"/>
  <c r="H705" i="37"/>
  <c r="N705" i="37"/>
  <c r="K705" i="37"/>
  <c r="Q705" i="37"/>
  <c r="U705" i="37"/>
  <c r="A706" i="37"/>
  <c r="B705" i="37"/>
  <c r="V704" i="37"/>
  <c r="B851" i="37"/>
  <c r="H851" i="37"/>
  <c r="N851" i="37"/>
  <c r="K851" i="37"/>
  <c r="E851" i="37"/>
  <c r="A852" i="37"/>
  <c r="Q851" i="37"/>
  <c r="U851" i="37"/>
  <c r="V850" i="37"/>
  <c r="B578" i="37"/>
  <c r="E578" i="37"/>
  <c r="H578" i="37"/>
  <c r="K578" i="37"/>
  <c r="N578" i="37"/>
  <c r="Q578" i="37"/>
  <c r="A579" i="37"/>
  <c r="U578" i="37"/>
  <c r="V577" i="37"/>
  <c r="B94" i="24"/>
  <c r="C94" i="24" s="1"/>
  <c r="T94" i="24"/>
  <c r="U94" i="24" s="1"/>
  <c r="P94" i="24"/>
  <c r="Q94" i="24" s="1"/>
  <c r="R94" i="24"/>
  <c r="S94" i="24" s="1"/>
  <c r="D94" i="24"/>
  <c r="E94" i="24" s="1"/>
  <c r="F94" i="24"/>
  <c r="G94" i="24" s="1"/>
  <c r="V94" i="24"/>
  <c r="W94" i="24" s="1"/>
  <c r="N94" i="24"/>
  <c r="O94" i="24" s="1"/>
  <c r="J94" i="24"/>
  <c r="K94" i="24" s="1"/>
  <c r="L94" i="24"/>
  <c r="M94" i="24" s="1"/>
  <c r="H94" i="24"/>
  <c r="I94" i="24" s="1"/>
  <c r="A95" i="24"/>
  <c r="D247" i="24"/>
  <c r="F247" i="24"/>
  <c r="H247" i="24"/>
  <c r="N247" i="24"/>
  <c r="B247" i="24"/>
  <c r="J247" i="24"/>
  <c r="P247" i="24"/>
  <c r="T247" i="24"/>
  <c r="R247" i="24"/>
  <c r="L247" i="24"/>
  <c r="V247" i="24"/>
  <c r="A248" i="24"/>
  <c r="I59" i="37"/>
  <c r="J59" i="37"/>
  <c r="D59" i="37"/>
  <c r="C59" i="37"/>
  <c r="P58" i="37"/>
  <c r="O58" i="37"/>
  <c r="F59" i="37"/>
  <c r="G59" i="37"/>
  <c r="M59" i="37"/>
  <c r="L59" i="37"/>
  <c r="S58" i="37"/>
  <c r="R58" i="37"/>
  <c r="B579" i="37" l="1"/>
  <c r="E579" i="37"/>
  <c r="H579" i="37"/>
  <c r="N579" i="37"/>
  <c r="K579" i="37"/>
  <c r="Q579" i="37"/>
  <c r="U579" i="37"/>
  <c r="A580" i="37"/>
  <c r="V578" i="37"/>
  <c r="B706" i="37"/>
  <c r="H706" i="37"/>
  <c r="E706" i="37"/>
  <c r="N706" i="37"/>
  <c r="K706" i="37"/>
  <c r="Q706" i="37"/>
  <c r="U706" i="37"/>
  <c r="A707" i="37"/>
  <c r="V705" i="37"/>
  <c r="N852" i="37"/>
  <c r="B852" i="37"/>
  <c r="H852" i="37"/>
  <c r="K852" i="37"/>
  <c r="E852" i="37"/>
  <c r="A853" i="37"/>
  <c r="Q852" i="37"/>
  <c r="U852" i="37"/>
  <c r="V851" i="37"/>
  <c r="N95" i="24"/>
  <c r="O95" i="24" s="1"/>
  <c r="F95" i="24"/>
  <c r="G95" i="24" s="1"/>
  <c r="D95" i="24"/>
  <c r="E95" i="24" s="1"/>
  <c r="B95" i="24"/>
  <c r="C95" i="24" s="1"/>
  <c r="R95" i="24"/>
  <c r="S95" i="24" s="1"/>
  <c r="P95" i="24"/>
  <c r="Q95" i="24" s="1"/>
  <c r="T95" i="24"/>
  <c r="U95" i="24" s="1"/>
  <c r="V95" i="24"/>
  <c r="W95" i="24" s="1"/>
  <c r="A96" i="24"/>
  <c r="L95" i="24"/>
  <c r="M95" i="24" s="1"/>
  <c r="J95" i="24"/>
  <c r="K95" i="24" s="1"/>
  <c r="H95" i="24"/>
  <c r="I95" i="24" s="1"/>
  <c r="D248" i="24"/>
  <c r="F248" i="24"/>
  <c r="J248" i="24"/>
  <c r="H248" i="24"/>
  <c r="B248" i="24"/>
  <c r="L248" i="24"/>
  <c r="N248" i="24"/>
  <c r="V248" i="24"/>
  <c r="P248" i="24"/>
  <c r="R248" i="24"/>
  <c r="A249" i="24"/>
  <c r="T248" i="24"/>
  <c r="J60" i="37"/>
  <c r="I60" i="37"/>
  <c r="D60" i="37"/>
  <c r="C60" i="37"/>
  <c r="P59" i="37"/>
  <c r="O59" i="37"/>
  <c r="M60" i="37"/>
  <c r="L60" i="37"/>
  <c r="F60" i="37"/>
  <c r="G60" i="37"/>
  <c r="S59" i="37"/>
  <c r="R59" i="37"/>
  <c r="B853" i="37" l="1"/>
  <c r="H853" i="37"/>
  <c r="N853" i="37"/>
  <c r="K853" i="37"/>
  <c r="E853" i="37"/>
  <c r="A854" i="37"/>
  <c r="U853" i="37"/>
  <c r="Q853" i="37"/>
  <c r="V852" i="37"/>
  <c r="B580" i="37"/>
  <c r="E580" i="37"/>
  <c r="H580" i="37"/>
  <c r="N580" i="37"/>
  <c r="K580" i="37"/>
  <c r="Q580" i="37"/>
  <c r="U580" i="37"/>
  <c r="A581" i="37"/>
  <c r="V579" i="37"/>
  <c r="B707" i="37"/>
  <c r="E707" i="37"/>
  <c r="H707" i="37"/>
  <c r="N707" i="37"/>
  <c r="K707" i="37"/>
  <c r="Q707" i="37"/>
  <c r="U707" i="37"/>
  <c r="A708" i="37"/>
  <c r="V706" i="37"/>
  <c r="A97" i="24"/>
  <c r="F96" i="24"/>
  <c r="G96" i="24" s="1"/>
  <c r="D96" i="24"/>
  <c r="E96" i="24" s="1"/>
  <c r="H96" i="24"/>
  <c r="I96" i="24" s="1"/>
  <c r="P96" i="24"/>
  <c r="Q96" i="24" s="1"/>
  <c r="R96" i="24"/>
  <c r="S96" i="24" s="1"/>
  <c r="J96" i="24"/>
  <c r="K96" i="24" s="1"/>
  <c r="T96" i="24"/>
  <c r="U96" i="24" s="1"/>
  <c r="N96" i="24"/>
  <c r="O96" i="24" s="1"/>
  <c r="B96" i="24"/>
  <c r="C96" i="24" s="1"/>
  <c r="V96" i="24"/>
  <c r="W96" i="24" s="1"/>
  <c r="L96" i="24"/>
  <c r="M96" i="24" s="1"/>
  <c r="D249" i="24"/>
  <c r="L249" i="24"/>
  <c r="R249" i="24"/>
  <c r="T249" i="24"/>
  <c r="F249" i="24"/>
  <c r="A250" i="24"/>
  <c r="B249" i="24"/>
  <c r="H249" i="24"/>
  <c r="N249" i="24"/>
  <c r="V249" i="24"/>
  <c r="J249" i="24"/>
  <c r="P249" i="24"/>
  <c r="J61" i="37"/>
  <c r="I61" i="37"/>
  <c r="D61" i="37"/>
  <c r="C61" i="37"/>
  <c r="O60" i="37"/>
  <c r="P60" i="37"/>
  <c r="F61" i="37"/>
  <c r="G61" i="37"/>
  <c r="M61" i="37"/>
  <c r="L61" i="37"/>
  <c r="S60" i="37"/>
  <c r="R60" i="37"/>
  <c r="E708" i="37" l="1"/>
  <c r="B708" i="37"/>
  <c r="H708" i="37"/>
  <c r="N708" i="37"/>
  <c r="K708" i="37"/>
  <c r="Q708" i="37"/>
  <c r="A709" i="37"/>
  <c r="U708" i="37"/>
  <c r="V707" i="37"/>
  <c r="B854" i="37"/>
  <c r="H854" i="37"/>
  <c r="N854" i="37"/>
  <c r="E854" i="37"/>
  <c r="A855" i="37"/>
  <c r="K854" i="37"/>
  <c r="Q854" i="37"/>
  <c r="U854" i="37"/>
  <c r="V853" i="37"/>
  <c r="E581" i="37"/>
  <c r="B581" i="37"/>
  <c r="H581" i="37"/>
  <c r="N581" i="37"/>
  <c r="Q581" i="37"/>
  <c r="K581" i="37"/>
  <c r="U581" i="37"/>
  <c r="A582" i="37"/>
  <c r="V580" i="37"/>
  <c r="H97" i="24"/>
  <c r="I97" i="24" s="1"/>
  <c r="N97" i="24"/>
  <c r="O97" i="24" s="1"/>
  <c r="A98" i="24"/>
  <c r="B97" i="24"/>
  <c r="C97" i="24" s="1"/>
  <c r="P97" i="24"/>
  <c r="Q97" i="24" s="1"/>
  <c r="F97" i="24"/>
  <c r="G97" i="24" s="1"/>
  <c r="L97" i="24"/>
  <c r="M97" i="24" s="1"/>
  <c r="D97" i="24"/>
  <c r="E97" i="24" s="1"/>
  <c r="R97" i="24"/>
  <c r="S97" i="24" s="1"/>
  <c r="J97" i="24"/>
  <c r="K97" i="24" s="1"/>
  <c r="T97" i="24"/>
  <c r="U97" i="24" s="1"/>
  <c r="V97" i="24"/>
  <c r="W97" i="24" s="1"/>
  <c r="R250" i="24"/>
  <c r="T250" i="24"/>
  <c r="P250" i="24"/>
  <c r="L250" i="24"/>
  <c r="N250" i="24"/>
  <c r="B250" i="24"/>
  <c r="H250" i="24"/>
  <c r="F250" i="24"/>
  <c r="V250" i="24"/>
  <c r="D250" i="24"/>
  <c r="J250" i="24"/>
  <c r="A251" i="24"/>
  <c r="J62" i="37"/>
  <c r="I62" i="37"/>
  <c r="D62" i="37"/>
  <c r="C62" i="37"/>
  <c r="P61" i="37"/>
  <c r="O61" i="37"/>
  <c r="S61" i="37"/>
  <c r="R61" i="37"/>
  <c r="G62" i="37"/>
  <c r="F62" i="37"/>
  <c r="M62" i="37"/>
  <c r="L62" i="37"/>
  <c r="B855" i="37" l="1"/>
  <c r="H855" i="37"/>
  <c r="N855" i="37"/>
  <c r="K855" i="37"/>
  <c r="E855" i="37"/>
  <c r="A856" i="37"/>
  <c r="U855" i="37"/>
  <c r="Q855" i="37"/>
  <c r="V854" i="37"/>
  <c r="B582" i="37"/>
  <c r="H582" i="37"/>
  <c r="E582" i="37"/>
  <c r="N582" i="37"/>
  <c r="K582" i="37"/>
  <c r="Q582" i="37"/>
  <c r="U582" i="37"/>
  <c r="A583" i="37"/>
  <c r="V581" i="37"/>
  <c r="E709" i="37"/>
  <c r="B709" i="37"/>
  <c r="H709" i="37"/>
  <c r="N709" i="37"/>
  <c r="K709" i="37"/>
  <c r="Q709" i="37"/>
  <c r="U709" i="37"/>
  <c r="A710" i="37"/>
  <c r="V708" i="37"/>
  <c r="R98" i="24"/>
  <c r="S98" i="24" s="1"/>
  <c r="B98" i="24"/>
  <c r="C98" i="24" s="1"/>
  <c r="T98" i="24"/>
  <c r="U98" i="24" s="1"/>
  <c r="H98" i="24"/>
  <c r="I98" i="24" s="1"/>
  <c r="P98" i="24"/>
  <c r="Q98" i="24" s="1"/>
  <c r="L98" i="24"/>
  <c r="M98" i="24" s="1"/>
  <c r="N98" i="24"/>
  <c r="O98" i="24" s="1"/>
  <c r="A99" i="24"/>
  <c r="V98" i="24"/>
  <c r="W98" i="24" s="1"/>
  <c r="F98" i="24"/>
  <c r="G98" i="24" s="1"/>
  <c r="D98" i="24"/>
  <c r="E98" i="24" s="1"/>
  <c r="J98" i="24"/>
  <c r="K98" i="24" s="1"/>
  <c r="A252" i="24"/>
  <c r="F251" i="24"/>
  <c r="J251" i="24"/>
  <c r="V251" i="24"/>
  <c r="H251" i="24"/>
  <c r="N251" i="24"/>
  <c r="B251" i="24"/>
  <c r="R251" i="24"/>
  <c r="L251" i="24"/>
  <c r="P251" i="24"/>
  <c r="T251" i="24"/>
  <c r="D251" i="24"/>
  <c r="J63" i="37"/>
  <c r="I63" i="37"/>
  <c r="C63" i="37"/>
  <c r="D63" i="37"/>
  <c r="O62" i="37"/>
  <c r="P62" i="37"/>
  <c r="F63" i="37"/>
  <c r="G63" i="37"/>
  <c r="S62" i="37"/>
  <c r="R62" i="37"/>
  <c r="M63" i="37"/>
  <c r="L63" i="37"/>
  <c r="B710" i="37" l="1"/>
  <c r="E710" i="37"/>
  <c r="H710" i="37"/>
  <c r="N710" i="37"/>
  <c r="K710" i="37"/>
  <c r="Q710" i="37"/>
  <c r="A711" i="37"/>
  <c r="U710" i="37"/>
  <c r="V709" i="37"/>
  <c r="B856" i="37"/>
  <c r="H856" i="37"/>
  <c r="N856" i="37"/>
  <c r="K856" i="37"/>
  <c r="E856" i="37"/>
  <c r="A857" i="37"/>
  <c r="U856" i="37"/>
  <c r="Q856" i="37"/>
  <c r="V855" i="37"/>
  <c r="B583" i="37"/>
  <c r="E583" i="37"/>
  <c r="H583" i="37"/>
  <c r="N583" i="37"/>
  <c r="K583" i="37"/>
  <c r="Q583" i="37"/>
  <c r="A584" i="37"/>
  <c r="U583" i="37"/>
  <c r="V582" i="37"/>
  <c r="D99" i="24"/>
  <c r="E99" i="24" s="1"/>
  <c r="V99" i="24"/>
  <c r="W99" i="24" s="1"/>
  <c r="T99" i="24"/>
  <c r="U99" i="24" s="1"/>
  <c r="R99" i="24"/>
  <c r="S99" i="24" s="1"/>
  <c r="B99" i="24"/>
  <c r="C99" i="24" s="1"/>
  <c r="A100" i="24"/>
  <c r="P99" i="24"/>
  <c r="Q99" i="24" s="1"/>
  <c r="F99" i="24"/>
  <c r="G99" i="24" s="1"/>
  <c r="N99" i="24"/>
  <c r="O99" i="24" s="1"/>
  <c r="J99" i="24"/>
  <c r="K99" i="24" s="1"/>
  <c r="H99" i="24"/>
  <c r="I99" i="24" s="1"/>
  <c r="L99" i="24"/>
  <c r="M99" i="24" s="1"/>
  <c r="B252" i="24"/>
  <c r="V252" i="24"/>
  <c r="H252" i="24"/>
  <c r="F252" i="24"/>
  <c r="T252" i="24"/>
  <c r="D252" i="24"/>
  <c r="L252" i="24"/>
  <c r="J252" i="24"/>
  <c r="N252" i="24"/>
  <c r="P252" i="24"/>
  <c r="R252" i="24"/>
  <c r="A253" i="24"/>
  <c r="J64" i="37"/>
  <c r="I64" i="37"/>
  <c r="C64" i="37"/>
  <c r="D64" i="37"/>
  <c r="P63" i="37"/>
  <c r="O63" i="37"/>
  <c r="R63" i="37"/>
  <c r="S63" i="37"/>
  <c r="M64" i="37"/>
  <c r="L64" i="37"/>
  <c r="F64" i="37"/>
  <c r="G64" i="37"/>
  <c r="B857" i="37" l="1"/>
  <c r="N857" i="37"/>
  <c r="H857" i="37"/>
  <c r="K857" i="37"/>
  <c r="E857" i="37"/>
  <c r="A858" i="37"/>
  <c r="U857" i="37"/>
  <c r="Q857" i="37"/>
  <c r="V856" i="37"/>
  <c r="B584" i="37"/>
  <c r="E584" i="37"/>
  <c r="H584" i="37"/>
  <c r="N584" i="37"/>
  <c r="K584" i="37"/>
  <c r="Q584" i="37"/>
  <c r="A585" i="37"/>
  <c r="U584" i="37"/>
  <c r="V583" i="37"/>
  <c r="B711" i="37"/>
  <c r="E711" i="37"/>
  <c r="N711" i="37"/>
  <c r="H711" i="37"/>
  <c r="K711" i="37"/>
  <c r="Q711" i="37"/>
  <c r="A712" i="37"/>
  <c r="U711" i="37"/>
  <c r="V710" i="37"/>
  <c r="D100" i="24"/>
  <c r="E100" i="24" s="1"/>
  <c r="P100" i="24"/>
  <c r="Q100" i="24" s="1"/>
  <c r="H100" i="24"/>
  <c r="I100" i="24" s="1"/>
  <c r="F100" i="24"/>
  <c r="G100" i="24" s="1"/>
  <c r="L100" i="24"/>
  <c r="M100" i="24" s="1"/>
  <c r="J100" i="24"/>
  <c r="K100" i="24" s="1"/>
  <c r="T100" i="24"/>
  <c r="U100" i="24" s="1"/>
  <c r="N100" i="24"/>
  <c r="O100" i="24" s="1"/>
  <c r="V100" i="24"/>
  <c r="W100" i="24" s="1"/>
  <c r="R100" i="24"/>
  <c r="S100" i="24" s="1"/>
  <c r="A101" i="24"/>
  <c r="B100" i="24"/>
  <c r="C100" i="24" s="1"/>
  <c r="B253" i="24"/>
  <c r="V253" i="24"/>
  <c r="D253" i="24"/>
  <c r="F253" i="24"/>
  <c r="A254" i="24"/>
  <c r="H253" i="24"/>
  <c r="P253" i="24"/>
  <c r="R253" i="24"/>
  <c r="N253" i="24"/>
  <c r="J253" i="24"/>
  <c r="T253" i="24"/>
  <c r="L253" i="24"/>
  <c r="J65" i="37"/>
  <c r="I65" i="37"/>
  <c r="D65" i="37"/>
  <c r="C65" i="37"/>
  <c r="P64" i="37"/>
  <c r="O64" i="37"/>
  <c r="S64" i="37"/>
  <c r="R64" i="37"/>
  <c r="M65" i="37"/>
  <c r="L65" i="37"/>
  <c r="G65" i="37"/>
  <c r="F65" i="37"/>
  <c r="B712" i="37" l="1"/>
  <c r="E712" i="37"/>
  <c r="H712" i="37"/>
  <c r="N712" i="37"/>
  <c r="K712" i="37"/>
  <c r="Q712" i="37"/>
  <c r="A713" i="37"/>
  <c r="U712" i="37"/>
  <c r="V711" i="37"/>
  <c r="E585" i="37"/>
  <c r="H585" i="37"/>
  <c r="N585" i="37"/>
  <c r="K585" i="37"/>
  <c r="Q585" i="37"/>
  <c r="A586" i="37"/>
  <c r="U585" i="37"/>
  <c r="B585" i="37"/>
  <c r="V584" i="37"/>
  <c r="B858" i="37"/>
  <c r="N858" i="37"/>
  <c r="H858" i="37"/>
  <c r="E858" i="37"/>
  <c r="A859" i="37"/>
  <c r="K858" i="37"/>
  <c r="U858" i="37"/>
  <c r="Q858" i="37"/>
  <c r="V857" i="37"/>
  <c r="J101" i="24"/>
  <c r="K101" i="24" s="1"/>
  <c r="H101" i="24"/>
  <c r="I101" i="24" s="1"/>
  <c r="L101" i="24"/>
  <c r="M101" i="24" s="1"/>
  <c r="P101" i="24"/>
  <c r="Q101" i="24" s="1"/>
  <c r="N101" i="24"/>
  <c r="O101" i="24" s="1"/>
  <c r="R101" i="24"/>
  <c r="S101" i="24" s="1"/>
  <c r="T101" i="24"/>
  <c r="U101" i="24" s="1"/>
  <c r="F101" i="24"/>
  <c r="G101" i="24" s="1"/>
  <c r="D101" i="24"/>
  <c r="E101" i="24" s="1"/>
  <c r="A102" i="24"/>
  <c r="B101" i="24"/>
  <c r="C101" i="24" s="1"/>
  <c r="V101" i="24"/>
  <c r="W101" i="24" s="1"/>
  <c r="T254" i="24"/>
  <c r="R254" i="24"/>
  <c r="A255" i="24"/>
  <c r="F254" i="24"/>
  <c r="P254" i="24"/>
  <c r="N254" i="24"/>
  <c r="D254" i="24"/>
  <c r="B254" i="24"/>
  <c r="H254" i="24"/>
  <c r="V254" i="24"/>
  <c r="J254" i="24"/>
  <c r="L254" i="24"/>
  <c r="J66" i="37"/>
  <c r="I66" i="37"/>
  <c r="D66" i="37"/>
  <c r="C66" i="37"/>
  <c r="P65" i="37"/>
  <c r="O65" i="37"/>
  <c r="M66" i="37"/>
  <c r="L66" i="37"/>
  <c r="S65" i="37"/>
  <c r="R65" i="37"/>
  <c r="G66" i="37"/>
  <c r="F66" i="37"/>
  <c r="B586" i="37" l="1"/>
  <c r="H586" i="37"/>
  <c r="E586" i="37"/>
  <c r="N586" i="37"/>
  <c r="K586" i="37"/>
  <c r="Q586" i="37"/>
  <c r="A587" i="37"/>
  <c r="U586" i="37"/>
  <c r="V585" i="37"/>
  <c r="H859" i="37"/>
  <c r="K859" i="37"/>
  <c r="N859" i="37"/>
  <c r="E859" i="37"/>
  <c r="A860" i="37"/>
  <c r="U859" i="37"/>
  <c r="Q859" i="37"/>
  <c r="B859" i="37"/>
  <c r="V858" i="37"/>
  <c r="B713" i="37"/>
  <c r="E713" i="37"/>
  <c r="N713" i="37"/>
  <c r="H713" i="37"/>
  <c r="K713" i="37"/>
  <c r="Q713" i="37"/>
  <c r="A714" i="37"/>
  <c r="U713" i="37"/>
  <c r="V712" i="37"/>
  <c r="J102" i="24"/>
  <c r="K102" i="24" s="1"/>
  <c r="D102" i="24"/>
  <c r="E102" i="24" s="1"/>
  <c r="R102" i="24"/>
  <c r="S102" i="24" s="1"/>
  <c r="A103" i="24"/>
  <c r="B102" i="24"/>
  <c r="C102" i="24" s="1"/>
  <c r="N102" i="24"/>
  <c r="O102" i="24" s="1"/>
  <c r="T102" i="24"/>
  <c r="U102" i="24" s="1"/>
  <c r="H102" i="24"/>
  <c r="I102" i="24" s="1"/>
  <c r="V102" i="24"/>
  <c r="W102" i="24" s="1"/>
  <c r="P102" i="24"/>
  <c r="Q102" i="24" s="1"/>
  <c r="L102" i="24"/>
  <c r="M102" i="24" s="1"/>
  <c r="F102" i="24"/>
  <c r="G102" i="24" s="1"/>
  <c r="P255" i="24"/>
  <c r="T255" i="24"/>
  <c r="R255" i="24"/>
  <c r="H255" i="24"/>
  <c r="J255" i="24"/>
  <c r="V255" i="24"/>
  <c r="L255" i="24"/>
  <c r="N255" i="24"/>
  <c r="F255" i="24"/>
  <c r="B255" i="24"/>
  <c r="A256" i="24"/>
  <c r="D255" i="24"/>
  <c r="J67" i="37"/>
  <c r="I67" i="37"/>
  <c r="C67" i="37"/>
  <c r="D67" i="37"/>
  <c r="P66" i="37"/>
  <c r="O66" i="37"/>
  <c r="F67" i="37"/>
  <c r="G67" i="37"/>
  <c r="L67" i="37"/>
  <c r="M67" i="37"/>
  <c r="R66" i="37"/>
  <c r="S66" i="37"/>
  <c r="N860" i="37" l="1"/>
  <c r="H860" i="37"/>
  <c r="K860" i="37"/>
  <c r="E860" i="37"/>
  <c r="A861" i="37"/>
  <c r="Q860" i="37"/>
  <c r="U860" i="37"/>
  <c r="B860" i="37"/>
  <c r="V859" i="37"/>
  <c r="B714" i="37"/>
  <c r="E714" i="37"/>
  <c r="H714" i="37"/>
  <c r="N714" i="37"/>
  <c r="K714" i="37"/>
  <c r="Q714" i="37"/>
  <c r="A715" i="37"/>
  <c r="U714" i="37"/>
  <c r="V713" i="37"/>
  <c r="B587" i="37"/>
  <c r="E587" i="37"/>
  <c r="H587" i="37"/>
  <c r="N587" i="37"/>
  <c r="K587" i="37"/>
  <c r="Q587" i="37"/>
  <c r="U587" i="37"/>
  <c r="V587" i="37"/>
  <c r="V586" i="37"/>
  <c r="J103" i="24"/>
  <c r="K103" i="24" s="1"/>
  <c r="V103" i="24"/>
  <c r="W103" i="24" s="1"/>
  <c r="P103" i="24"/>
  <c r="Q103" i="24" s="1"/>
  <c r="T103" i="24"/>
  <c r="U103" i="24" s="1"/>
  <c r="D103" i="24"/>
  <c r="E103" i="24" s="1"/>
  <c r="F103" i="24"/>
  <c r="G103" i="24" s="1"/>
  <c r="N103" i="24"/>
  <c r="O103" i="24" s="1"/>
  <c r="H103" i="24"/>
  <c r="I103" i="24" s="1"/>
  <c r="A104" i="24"/>
  <c r="R103" i="24"/>
  <c r="S103" i="24" s="1"/>
  <c r="B103" i="24"/>
  <c r="C103" i="24" s="1"/>
  <c r="L103" i="24"/>
  <c r="M103" i="24" s="1"/>
  <c r="P256" i="24"/>
  <c r="T256" i="24"/>
  <c r="R256" i="24"/>
  <c r="B256" i="24"/>
  <c r="D256" i="24"/>
  <c r="L256" i="24"/>
  <c r="A257" i="24"/>
  <c r="H256" i="24"/>
  <c r="J256" i="24"/>
  <c r="F256" i="24"/>
  <c r="V256" i="24"/>
  <c r="N256" i="24"/>
  <c r="J68" i="37"/>
  <c r="I68" i="37"/>
  <c r="D68" i="37"/>
  <c r="C68" i="37"/>
  <c r="O67" i="37"/>
  <c r="P67" i="37"/>
  <c r="M68" i="37"/>
  <c r="L68" i="37"/>
  <c r="G68" i="37"/>
  <c r="F68" i="37"/>
  <c r="S67" i="37"/>
  <c r="R67" i="37"/>
  <c r="B715" i="37" l="1"/>
  <c r="E715" i="37"/>
  <c r="H715" i="37"/>
  <c r="N715" i="37"/>
  <c r="K715" i="37"/>
  <c r="Q715" i="37"/>
  <c r="A716" i="37"/>
  <c r="U715" i="37"/>
  <c r="V714" i="37"/>
  <c r="H861" i="37"/>
  <c r="N861" i="37"/>
  <c r="K861" i="37"/>
  <c r="E861" i="37"/>
  <c r="A862" i="37"/>
  <c r="Q861" i="37"/>
  <c r="U861" i="37"/>
  <c r="B861" i="37"/>
  <c r="V860" i="37"/>
  <c r="J104" i="24"/>
  <c r="K104" i="24" s="1"/>
  <c r="L104" i="24"/>
  <c r="M104" i="24" s="1"/>
  <c r="H104" i="24"/>
  <c r="I104" i="24" s="1"/>
  <c r="B104" i="24"/>
  <c r="C104" i="24" s="1"/>
  <c r="P104" i="24"/>
  <c r="Q104" i="24" s="1"/>
  <c r="T104" i="24"/>
  <c r="U104" i="24" s="1"/>
  <c r="F104" i="24"/>
  <c r="G104" i="24" s="1"/>
  <c r="N104" i="24"/>
  <c r="O104" i="24" s="1"/>
  <c r="A105" i="24"/>
  <c r="V104" i="24"/>
  <c r="W104" i="24" s="1"/>
  <c r="D104" i="24"/>
  <c r="E104" i="24" s="1"/>
  <c r="R104" i="24"/>
  <c r="S104" i="24" s="1"/>
  <c r="R257" i="24"/>
  <c r="T257" i="24"/>
  <c r="P257" i="24"/>
  <c r="V257" i="24"/>
  <c r="A258" i="24"/>
  <c r="F257" i="24"/>
  <c r="H257" i="24"/>
  <c r="N257" i="24"/>
  <c r="J257" i="24"/>
  <c r="L257" i="24"/>
  <c r="B257" i="24"/>
  <c r="D257" i="24"/>
  <c r="J69" i="37"/>
  <c r="I69" i="37"/>
  <c r="D69" i="37"/>
  <c r="C69" i="37"/>
  <c r="P68" i="37"/>
  <c r="O68" i="37"/>
  <c r="R68" i="37"/>
  <c r="S68" i="37"/>
  <c r="M69" i="37"/>
  <c r="L69" i="37"/>
  <c r="G69" i="37"/>
  <c r="F69" i="37"/>
  <c r="N862" i="37" l="1"/>
  <c r="E862" i="37"/>
  <c r="A863" i="37"/>
  <c r="K862" i="37"/>
  <c r="Q862" i="37"/>
  <c r="U862" i="37"/>
  <c r="H862" i="37"/>
  <c r="B862" i="37"/>
  <c r="V861" i="37"/>
  <c r="B716" i="37"/>
  <c r="E716" i="37"/>
  <c r="H716" i="37"/>
  <c r="N716" i="37"/>
  <c r="K716" i="37"/>
  <c r="Q716" i="37"/>
  <c r="A717" i="37"/>
  <c r="U716" i="37"/>
  <c r="V715" i="37"/>
  <c r="L105" i="24"/>
  <c r="M105" i="24" s="1"/>
  <c r="P105" i="24"/>
  <c r="Q105" i="24" s="1"/>
  <c r="R105" i="24"/>
  <c r="S105" i="24" s="1"/>
  <c r="A106" i="24"/>
  <c r="V105" i="24"/>
  <c r="W105" i="24" s="1"/>
  <c r="D105" i="24"/>
  <c r="E105" i="24" s="1"/>
  <c r="H105" i="24"/>
  <c r="I105" i="24" s="1"/>
  <c r="N105" i="24"/>
  <c r="O105" i="24" s="1"/>
  <c r="T105" i="24"/>
  <c r="U105" i="24" s="1"/>
  <c r="B105" i="24"/>
  <c r="C105" i="24" s="1"/>
  <c r="F105" i="24"/>
  <c r="G105" i="24" s="1"/>
  <c r="J105" i="24"/>
  <c r="K105" i="24" s="1"/>
  <c r="J258" i="24"/>
  <c r="D258" i="24"/>
  <c r="H258" i="24"/>
  <c r="L258" i="24"/>
  <c r="F258" i="24"/>
  <c r="T258" i="24"/>
  <c r="A259" i="24"/>
  <c r="B258" i="24"/>
  <c r="N258" i="24"/>
  <c r="P258" i="24"/>
  <c r="V258" i="24"/>
  <c r="R258" i="24"/>
  <c r="J70" i="37"/>
  <c r="I70" i="37"/>
  <c r="D70" i="37"/>
  <c r="C70" i="37"/>
  <c r="P69" i="37"/>
  <c r="O69" i="37"/>
  <c r="M70" i="37"/>
  <c r="L70" i="37"/>
  <c r="F70" i="37"/>
  <c r="G70" i="37"/>
  <c r="S69" i="37"/>
  <c r="R69" i="37"/>
  <c r="B717" i="37" l="1"/>
  <c r="E717" i="37"/>
  <c r="H717" i="37"/>
  <c r="N717" i="37"/>
  <c r="K717" i="37"/>
  <c r="Q717" i="37"/>
  <c r="U717" i="37"/>
  <c r="V716" i="37"/>
  <c r="V717" i="37"/>
  <c r="H863" i="37"/>
  <c r="B863" i="37"/>
  <c r="N863" i="37"/>
  <c r="K863" i="37"/>
  <c r="E863" i="37"/>
  <c r="A864" i="37"/>
  <c r="Q863" i="37"/>
  <c r="U863" i="37"/>
  <c r="V862" i="37"/>
  <c r="D106" i="24"/>
  <c r="E106" i="24" s="1"/>
  <c r="R106" i="24"/>
  <c r="S106" i="24" s="1"/>
  <c r="V106" i="24"/>
  <c r="W106" i="24" s="1"/>
  <c r="A107" i="24"/>
  <c r="J106" i="24"/>
  <c r="K106" i="24" s="1"/>
  <c r="L106" i="24"/>
  <c r="M106" i="24" s="1"/>
  <c r="B106" i="24"/>
  <c r="C106" i="24" s="1"/>
  <c r="F106" i="24"/>
  <c r="G106" i="24" s="1"/>
  <c r="T106" i="24"/>
  <c r="U106" i="24" s="1"/>
  <c r="H106" i="24"/>
  <c r="I106" i="24" s="1"/>
  <c r="P106" i="24"/>
  <c r="Q106" i="24" s="1"/>
  <c r="N106" i="24"/>
  <c r="O106" i="24" s="1"/>
  <c r="T259" i="24"/>
  <c r="L259" i="24"/>
  <c r="A260" i="24"/>
  <c r="F259" i="24"/>
  <c r="H259" i="24"/>
  <c r="R259" i="24"/>
  <c r="V259" i="24"/>
  <c r="B259" i="24"/>
  <c r="D259" i="24"/>
  <c r="P259" i="24"/>
  <c r="J259" i="24"/>
  <c r="N259" i="24"/>
  <c r="I71" i="37"/>
  <c r="J71" i="37"/>
  <c r="C71" i="37"/>
  <c r="D71" i="37"/>
  <c r="O70" i="37"/>
  <c r="P70" i="37"/>
  <c r="G71" i="37"/>
  <c r="F71" i="37"/>
  <c r="S70" i="37"/>
  <c r="R70" i="37"/>
  <c r="M71" i="37"/>
  <c r="L71" i="37"/>
  <c r="B864" i="37" l="1"/>
  <c r="K864" i="37"/>
  <c r="N864" i="37"/>
  <c r="E864" i="37"/>
  <c r="A865" i="37"/>
  <c r="Q864" i="37"/>
  <c r="U864" i="37"/>
  <c r="H864" i="37"/>
  <c r="V863" i="37"/>
  <c r="H107" i="24"/>
  <c r="I107" i="24" s="1"/>
  <c r="L107" i="24"/>
  <c r="M107" i="24" s="1"/>
  <c r="V107" i="24"/>
  <c r="W107" i="24" s="1"/>
  <c r="P107" i="24"/>
  <c r="Q107" i="24" s="1"/>
  <c r="D107" i="24"/>
  <c r="E107" i="24" s="1"/>
  <c r="T107" i="24"/>
  <c r="U107" i="24" s="1"/>
  <c r="N107" i="24"/>
  <c r="O107" i="24" s="1"/>
  <c r="F107" i="24"/>
  <c r="G107" i="24" s="1"/>
  <c r="B107" i="24"/>
  <c r="C107" i="24" s="1"/>
  <c r="A108" i="24"/>
  <c r="R107" i="24"/>
  <c r="S107" i="24" s="1"/>
  <c r="J107" i="24"/>
  <c r="K107" i="24" s="1"/>
  <c r="N260" i="24"/>
  <c r="P260" i="24"/>
  <c r="B260" i="24"/>
  <c r="V260" i="24"/>
  <c r="A261" i="24"/>
  <c r="H260" i="24"/>
  <c r="J260" i="24"/>
  <c r="D260" i="24"/>
  <c r="F260" i="24"/>
  <c r="T260" i="24"/>
  <c r="L260" i="24"/>
  <c r="R260" i="24"/>
  <c r="I72" i="37"/>
  <c r="J72" i="37"/>
  <c r="D72" i="37"/>
  <c r="C72" i="37"/>
  <c r="P71" i="37"/>
  <c r="O71" i="37"/>
  <c r="S71" i="37"/>
  <c r="R71" i="37"/>
  <c r="M72" i="37"/>
  <c r="L72" i="37"/>
  <c r="G72" i="37"/>
  <c r="F72" i="37"/>
  <c r="B865" i="37" l="1"/>
  <c r="N865" i="37"/>
  <c r="H865" i="37"/>
  <c r="K865" i="37"/>
  <c r="E865" i="37"/>
  <c r="A866" i="37"/>
  <c r="U865" i="37"/>
  <c r="Q865" i="37"/>
  <c r="V864" i="37"/>
  <c r="T108" i="24"/>
  <c r="U108" i="24" s="1"/>
  <c r="J108" i="24"/>
  <c r="K108" i="24" s="1"/>
  <c r="R108" i="24"/>
  <c r="S108" i="24" s="1"/>
  <c r="D108" i="24"/>
  <c r="E108" i="24" s="1"/>
  <c r="V108" i="24"/>
  <c r="W108" i="24" s="1"/>
  <c r="A109" i="24"/>
  <c r="B108" i="24"/>
  <c r="C108" i="24" s="1"/>
  <c r="H108" i="24"/>
  <c r="I108" i="24" s="1"/>
  <c r="N108" i="24"/>
  <c r="O108" i="24" s="1"/>
  <c r="P108" i="24"/>
  <c r="Q108" i="24" s="1"/>
  <c r="L108" i="24"/>
  <c r="M108" i="24" s="1"/>
  <c r="F108" i="24"/>
  <c r="G108" i="24" s="1"/>
  <c r="H261" i="24"/>
  <c r="J261" i="24"/>
  <c r="T261" i="24"/>
  <c r="R261" i="24"/>
  <c r="A262" i="24"/>
  <c r="B261" i="24"/>
  <c r="D261" i="24"/>
  <c r="P261" i="24"/>
  <c r="V261" i="24"/>
  <c r="L261" i="24"/>
  <c r="N261" i="24"/>
  <c r="F261" i="24"/>
  <c r="J73" i="37"/>
  <c r="I73" i="37"/>
  <c r="D73" i="37"/>
  <c r="C73" i="37"/>
  <c r="O72" i="37"/>
  <c r="P72" i="37"/>
  <c r="F73" i="37"/>
  <c r="G73" i="37"/>
  <c r="S72" i="37"/>
  <c r="R72" i="37"/>
  <c r="M73" i="37"/>
  <c r="L73" i="37"/>
  <c r="N866" i="37" l="1"/>
  <c r="H866" i="37"/>
  <c r="E866" i="37"/>
  <c r="A867" i="37"/>
  <c r="K866" i="37"/>
  <c r="U866" i="37"/>
  <c r="Q866" i="37"/>
  <c r="B866" i="37"/>
  <c r="V865" i="37"/>
  <c r="A110" i="24"/>
  <c r="F109" i="24"/>
  <c r="G109" i="24" s="1"/>
  <c r="T109" i="24"/>
  <c r="U109" i="24" s="1"/>
  <c r="R109" i="24"/>
  <c r="S109" i="24" s="1"/>
  <c r="B109" i="24"/>
  <c r="C109" i="24" s="1"/>
  <c r="N109" i="24"/>
  <c r="O109" i="24" s="1"/>
  <c r="V109" i="24"/>
  <c r="W109" i="24" s="1"/>
  <c r="H109" i="24"/>
  <c r="I109" i="24" s="1"/>
  <c r="D109" i="24"/>
  <c r="E109" i="24" s="1"/>
  <c r="J109" i="24"/>
  <c r="K109" i="24" s="1"/>
  <c r="L109" i="24"/>
  <c r="M109" i="24" s="1"/>
  <c r="P109" i="24"/>
  <c r="Q109" i="24" s="1"/>
  <c r="B262" i="24"/>
  <c r="F262" i="24"/>
  <c r="D262" i="24"/>
  <c r="V262" i="24"/>
  <c r="L262" i="24"/>
  <c r="R262" i="24"/>
  <c r="T262" i="24"/>
  <c r="A263" i="24"/>
  <c r="P262" i="24"/>
  <c r="H262" i="24"/>
  <c r="J262" i="24"/>
  <c r="N262" i="24"/>
  <c r="J74" i="37"/>
  <c r="I74" i="37"/>
  <c r="D74" i="37"/>
  <c r="C74" i="37"/>
  <c r="P73" i="37"/>
  <c r="O73" i="37"/>
  <c r="S73" i="37"/>
  <c r="R73" i="37"/>
  <c r="G74" i="37"/>
  <c r="F74" i="37"/>
  <c r="M74" i="37"/>
  <c r="L74" i="37"/>
  <c r="B867" i="37" l="1"/>
  <c r="N867" i="37"/>
  <c r="H867" i="37"/>
  <c r="K867" i="37"/>
  <c r="E867" i="37"/>
  <c r="A868" i="37"/>
  <c r="Q867" i="37"/>
  <c r="U867" i="37"/>
  <c r="V866" i="37"/>
  <c r="D110" i="24"/>
  <c r="E110" i="24" s="1"/>
  <c r="P110" i="24"/>
  <c r="Q110" i="24" s="1"/>
  <c r="L110" i="24"/>
  <c r="M110" i="24" s="1"/>
  <c r="H110" i="24"/>
  <c r="I110" i="24" s="1"/>
  <c r="T110" i="24"/>
  <c r="U110" i="24" s="1"/>
  <c r="J110" i="24"/>
  <c r="K110" i="24" s="1"/>
  <c r="F110" i="24"/>
  <c r="G110" i="24" s="1"/>
  <c r="A111" i="24"/>
  <c r="R110" i="24"/>
  <c r="S110" i="24" s="1"/>
  <c r="B110" i="24"/>
  <c r="C110" i="24" s="1"/>
  <c r="N110" i="24"/>
  <c r="O110" i="24" s="1"/>
  <c r="V110" i="24"/>
  <c r="W110" i="24" s="1"/>
  <c r="A264" i="24"/>
  <c r="N263" i="24"/>
  <c r="B263" i="24"/>
  <c r="V263" i="24"/>
  <c r="J263" i="24"/>
  <c r="F263" i="24"/>
  <c r="T263" i="24"/>
  <c r="D263" i="24"/>
  <c r="P263" i="24"/>
  <c r="L263" i="24"/>
  <c r="R263" i="24"/>
  <c r="H263" i="24"/>
  <c r="J75" i="37"/>
  <c r="I75" i="37"/>
  <c r="D75" i="37"/>
  <c r="C75" i="37"/>
  <c r="P74" i="37"/>
  <c r="O74" i="37"/>
  <c r="S74" i="37"/>
  <c r="R74" i="37"/>
  <c r="G75" i="37"/>
  <c r="F75" i="37"/>
  <c r="M75" i="37"/>
  <c r="L75" i="37"/>
  <c r="B868" i="37" l="1"/>
  <c r="H868" i="37"/>
  <c r="K868" i="37"/>
  <c r="E868" i="37"/>
  <c r="A869" i="37"/>
  <c r="Q868" i="37"/>
  <c r="U868" i="37"/>
  <c r="N868" i="37"/>
  <c r="V867" i="37"/>
  <c r="D111" i="24"/>
  <c r="E111" i="24" s="1"/>
  <c r="B111" i="24"/>
  <c r="C111" i="24" s="1"/>
  <c r="H111" i="24"/>
  <c r="I111" i="24" s="1"/>
  <c r="J111" i="24"/>
  <c r="K111" i="24" s="1"/>
  <c r="T111" i="24"/>
  <c r="U111" i="24" s="1"/>
  <c r="V111" i="24"/>
  <c r="W111" i="24" s="1"/>
  <c r="A112" i="24"/>
  <c r="P111" i="24"/>
  <c r="Q111" i="24" s="1"/>
  <c r="R111" i="24"/>
  <c r="S111" i="24" s="1"/>
  <c r="L111" i="24"/>
  <c r="M111" i="24" s="1"/>
  <c r="N111" i="24"/>
  <c r="O111" i="24" s="1"/>
  <c r="F111" i="24"/>
  <c r="G111" i="24" s="1"/>
  <c r="T264" i="24"/>
  <c r="R264" i="24"/>
  <c r="A265" i="24"/>
  <c r="N264" i="24"/>
  <c r="L264" i="24"/>
  <c r="P264" i="24"/>
  <c r="V264" i="24"/>
  <c r="F264" i="24"/>
  <c r="D264" i="24"/>
  <c r="H264" i="24"/>
  <c r="J264" i="24"/>
  <c r="B264" i="24"/>
  <c r="J76" i="37"/>
  <c r="I76" i="37"/>
  <c r="C76" i="37"/>
  <c r="D76" i="37"/>
  <c r="P75" i="37"/>
  <c r="O75" i="37"/>
  <c r="M76" i="37"/>
  <c r="L76" i="37"/>
  <c r="S75" i="37"/>
  <c r="R75" i="37"/>
  <c r="G76" i="37"/>
  <c r="F76" i="37"/>
  <c r="B869" i="37" l="1"/>
  <c r="H869" i="37"/>
  <c r="N869" i="37"/>
  <c r="K869" i="37"/>
  <c r="E869" i="37"/>
  <c r="A870" i="37"/>
  <c r="Q869" i="37"/>
  <c r="U869" i="37"/>
  <c r="V868" i="37"/>
  <c r="N112" i="24"/>
  <c r="O112" i="24" s="1"/>
  <c r="F112" i="24"/>
  <c r="G112" i="24" s="1"/>
  <c r="A113" i="24"/>
  <c r="V112" i="24"/>
  <c r="W112" i="24" s="1"/>
  <c r="R112" i="24"/>
  <c r="S112" i="24" s="1"/>
  <c r="T112" i="24"/>
  <c r="U112" i="24" s="1"/>
  <c r="L112" i="24"/>
  <c r="M112" i="24" s="1"/>
  <c r="J112" i="24"/>
  <c r="K112" i="24" s="1"/>
  <c r="P112" i="24"/>
  <c r="Q112" i="24" s="1"/>
  <c r="D112" i="24"/>
  <c r="E112" i="24" s="1"/>
  <c r="B112" i="24"/>
  <c r="C112" i="24" s="1"/>
  <c r="H112" i="24"/>
  <c r="I112" i="24" s="1"/>
  <c r="T265" i="24"/>
  <c r="N265" i="24"/>
  <c r="A266" i="24"/>
  <c r="V265" i="24"/>
  <c r="B265" i="24"/>
  <c r="J265" i="24"/>
  <c r="L265" i="24"/>
  <c r="R265" i="24"/>
  <c r="D265" i="24"/>
  <c r="H265" i="24"/>
  <c r="F265" i="24"/>
  <c r="P265" i="24"/>
  <c r="I77" i="37"/>
  <c r="J77" i="37"/>
  <c r="D77" i="37"/>
  <c r="C77" i="37"/>
  <c r="P76" i="37"/>
  <c r="O76" i="37"/>
  <c r="S76" i="37"/>
  <c r="R76" i="37"/>
  <c r="F77" i="37"/>
  <c r="G77" i="37"/>
  <c r="L77" i="37"/>
  <c r="M77" i="37"/>
  <c r="B870" i="37" l="1"/>
  <c r="H870" i="37"/>
  <c r="N870" i="37"/>
  <c r="E870" i="37"/>
  <c r="A871" i="37"/>
  <c r="K870" i="37"/>
  <c r="U870" i="37"/>
  <c r="Q870" i="37"/>
  <c r="V869" i="37"/>
  <c r="J113" i="24"/>
  <c r="K113" i="24" s="1"/>
  <c r="R113" i="24"/>
  <c r="S113" i="24" s="1"/>
  <c r="L113" i="24"/>
  <c r="M113" i="24" s="1"/>
  <c r="H113" i="24"/>
  <c r="I113" i="24" s="1"/>
  <c r="T113" i="24"/>
  <c r="U113" i="24" s="1"/>
  <c r="D113" i="24"/>
  <c r="E113" i="24" s="1"/>
  <c r="V113" i="24"/>
  <c r="W113" i="24" s="1"/>
  <c r="P113" i="24"/>
  <c r="Q113" i="24" s="1"/>
  <c r="N113" i="24"/>
  <c r="O113" i="24" s="1"/>
  <c r="F113" i="24"/>
  <c r="G113" i="24" s="1"/>
  <c r="A114" i="24"/>
  <c r="B113" i="24"/>
  <c r="C113" i="24" s="1"/>
  <c r="R266" i="24"/>
  <c r="H266" i="24"/>
  <c r="T266" i="24"/>
  <c r="F266" i="24"/>
  <c r="A267" i="24"/>
  <c r="V266" i="24"/>
  <c r="D266" i="24"/>
  <c r="B266" i="24"/>
  <c r="P266" i="24"/>
  <c r="N266" i="24"/>
  <c r="J266" i="24"/>
  <c r="L266" i="24"/>
  <c r="J78" i="37"/>
  <c r="I78" i="37"/>
  <c r="D78" i="37"/>
  <c r="C78" i="37"/>
  <c r="P77" i="37"/>
  <c r="O77" i="37"/>
  <c r="F78" i="37"/>
  <c r="G78" i="37"/>
  <c r="M78" i="37"/>
  <c r="L78" i="37"/>
  <c r="S77" i="37"/>
  <c r="R77" i="37"/>
  <c r="B871" i="37" l="1"/>
  <c r="H871" i="37"/>
  <c r="N871" i="37"/>
  <c r="K871" i="37"/>
  <c r="E871" i="37"/>
  <c r="A872" i="37"/>
  <c r="Q871" i="37"/>
  <c r="U871" i="37"/>
  <c r="V870" i="37"/>
  <c r="A115" i="24"/>
  <c r="N114" i="24"/>
  <c r="O114" i="24" s="1"/>
  <c r="D114" i="24"/>
  <c r="E114" i="24" s="1"/>
  <c r="P114" i="24"/>
  <c r="Q114" i="24" s="1"/>
  <c r="F114" i="24"/>
  <c r="G114" i="24" s="1"/>
  <c r="H114" i="24"/>
  <c r="I114" i="24" s="1"/>
  <c r="T114" i="24"/>
  <c r="U114" i="24" s="1"/>
  <c r="L114" i="24"/>
  <c r="M114" i="24" s="1"/>
  <c r="R114" i="24"/>
  <c r="S114" i="24" s="1"/>
  <c r="B114" i="24"/>
  <c r="C114" i="24" s="1"/>
  <c r="J114" i="24"/>
  <c r="K114" i="24" s="1"/>
  <c r="V114" i="24"/>
  <c r="W114" i="24" s="1"/>
  <c r="H267" i="24"/>
  <c r="V267" i="24"/>
  <c r="J267" i="24"/>
  <c r="B267" i="24"/>
  <c r="D267" i="24"/>
  <c r="R267" i="24"/>
  <c r="L267" i="24"/>
  <c r="A268" i="24"/>
  <c r="P267" i="24"/>
  <c r="N267" i="24"/>
  <c r="F267" i="24"/>
  <c r="T267" i="24"/>
  <c r="I79" i="37"/>
  <c r="J79" i="37"/>
  <c r="C79" i="37"/>
  <c r="D79" i="37"/>
  <c r="O78" i="37"/>
  <c r="P78" i="37"/>
  <c r="M79" i="37"/>
  <c r="L79" i="37"/>
  <c r="S78" i="37"/>
  <c r="R78" i="37"/>
  <c r="F79" i="37"/>
  <c r="G79" i="37"/>
  <c r="B872" i="37" l="1"/>
  <c r="H872" i="37"/>
  <c r="N872" i="37"/>
  <c r="K872" i="37"/>
  <c r="E872" i="37"/>
  <c r="A873" i="37"/>
  <c r="U872" i="37"/>
  <c r="Q872" i="37"/>
  <c r="V871" i="37"/>
  <c r="P115" i="24"/>
  <c r="Q115" i="24" s="1"/>
  <c r="B115" i="24"/>
  <c r="C115" i="24" s="1"/>
  <c r="F115" i="24"/>
  <c r="G115" i="24" s="1"/>
  <c r="A116" i="24"/>
  <c r="R115" i="24"/>
  <c r="S115" i="24" s="1"/>
  <c r="H115" i="24"/>
  <c r="I115" i="24" s="1"/>
  <c r="V115" i="24"/>
  <c r="W115" i="24" s="1"/>
  <c r="L115" i="24"/>
  <c r="M115" i="24" s="1"/>
  <c r="D115" i="24"/>
  <c r="E115" i="24" s="1"/>
  <c r="T115" i="24"/>
  <c r="U115" i="24" s="1"/>
  <c r="J115" i="24"/>
  <c r="K115" i="24" s="1"/>
  <c r="N115" i="24"/>
  <c r="O115" i="24" s="1"/>
  <c r="T268" i="24"/>
  <c r="P268" i="24"/>
  <c r="A269" i="24"/>
  <c r="R268" i="24"/>
  <c r="N268" i="24"/>
  <c r="L268" i="24"/>
  <c r="V268" i="24"/>
  <c r="F268" i="24"/>
  <c r="D268" i="24"/>
  <c r="B268" i="24"/>
  <c r="J268" i="24"/>
  <c r="H268" i="24"/>
  <c r="I80" i="37"/>
  <c r="J80" i="37"/>
  <c r="D80" i="37"/>
  <c r="C80" i="37"/>
  <c r="O79" i="37"/>
  <c r="P79" i="37"/>
  <c r="L80" i="37"/>
  <c r="M80" i="37"/>
  <c r="R79" i="37"/>
  <c r="S79" i="37"/>
  <c r="G80" i="37"/>
  <c r="F80" i="37"/>
  <c r="B873" i="37" l="1"/>
  <c r="N873" i="37"/>
  <c r="H873" i="37"/>
  <c r="K873" i="37"/>
  <c r="E873" i="37"/>
  <c r="A874" i="37"/>
  <c r="Q873" i="37"/>
  <c r="U873" i="37"/>
  <c r="V872" i="37"/>
  <c r="B116" i="24"/>
  <c r="C116" i="24" s="1"/>
  <c r="L116" i="24"/>
  <c r="M116" i="24" s="1"/>
  <c r="A117" i="24"/>
  <c r="R116" i="24"/>
  <c r="S116" i="24" s="1"/>
  <c r="N116" i="24"/>
  <c r="O116" i="24" s="1"/>
  <c r="D116" i="24"/>
  <c r="E116" i="24" s="1"/>
  <c r="V116" i="24"/>
  <c r="W116" i="24" s="1"/>
  <c r="F116" i="24"/>
  <c r="G116" i="24" s="1"/>
  <c r="P116" i="24"/>
  <c r="Q116" i="24" s="1"/>
  <c r="T116" i="24"/>
  <c r="U116" i="24" s="1"/>
  <c r="J116" i="24"/>
  <c r="K116" i="24" s="1"/>
  <c r="H116" i="24"/>
  <c r="I116" i="24" s="1"/>
  <c r="L269" i="24"/>
  <c r="P269" i="24"/>
  <c r="B269" i="24"/>
  <c r="D269" i="24"/>
  <c r="H269" i="24"/>
  <c r="J269" i="24"/>
  <c r="N269" i="24"/>
  <c r="V269" i="24"/>
  <c r="F269" i="24"/>
  <c r="T269" i="24"/>
  <c r="R269" i="24"/>
  <c r="A270" i="24"/>
  <c r="J81" i="37"/>
  <c r="I81" i="37"/>
  <c r="D81" i="37"/>
  <c r="C81" i="37"/>
  <c r="P80" i="37"/>
  <c r="O80" i="37"/>
  <c r="G81" i="37"/>
  <c r="F81" i="37"/>
  <c r="S80" i="37"/>
  <c r="R80" i="37"/>
  <c r="M81" i="37"/>
  <c r="L81" i="37"/>
  <c r="B874" i="37" l="1"/>
  <c r="N874" i="37"/>
  <c r="H874" i="37"/>
  <c r="E874" i="37"/>
  <c r="K874" i="37"/>
  <c r="A875" i="37"/>
  <c r="Q874" i="37"/>
  <c r="U874" i="37"/>
  <c r="V873" i="37"/>
  <c r="L117" i="24"/>
  <c r="M117" i="24" s="1"/>
  <c r="V117" i="24"/>
  <c r="W117" i="24" s="1"/>
  <c r="T117" i="24"/>
  <c r="U117" i="24" s="1"/>
  <c r="D117" i="24"/>
  <c r="E117" i="24" s="1"/>
  <c r="P117" i="24"/>
  <c r="Q117" i="24" s="1"/>
  <c r="R117" i="24"/>
  <c r="S117" i="24" s="1"/>
  <c r="B117" i="24"/>
  <c r="C117" i="24" s="1"/>
  <c r="F117" i="24"/>
  <c r="G117" i="24" s="1"/>
  <c r="H117" i="24"/>
  <c r="I117" i="24" s="1"/>
  <c r="J117" i="24"/>
  <c r="K117" i="24" s="1"/>
  <c r="A118" i="24"/>
  <c r="N117" i="24"/>
  <c r="O117" i="24" s="1"/>
  <c r="L270" i="24"/>
  <c r="P270" i="24"/>
  <c r="F270" i="24"/>
  <c r="A271" i="24"/>
  <c r="V270" i="24"/>
  <c r="T270" i="24"/>
  <c r="N270" i="24"/>
  <c r="B270" i="24"/>
  <c r="D270" i="24"/>
  <c r="J270" i="24"/>
  <c r="H270" i="24"/>
  <c r="R270" i="24"/>
  <c r="J82" i="37"/>
  <c r="I82" i="37"/>
  <c r="C82" i="37"/>
  <c r="D82" i="37"/>
  <c r="O81" i="37"/>
  <c r="P81" i="37"/>
  <c r="S81" i="37"/>
  <c r="R81" i="37"/>
  <c r="M82" i="37"/>
  <c r="L82" i="37"/>
  <c r="G82" i="37"/>
  <c r="F82" i="37"/>
  <c r="B875" i="37" l="1"/>
  <c r="N875" i="37"/>
  <c r="H875" i="37"/>
  <c r="K875" i="37"/>
  <c r="E875" i="37"/>
  <c r="A876" i="37"/>
  <c r="U875" i="37"/>
  <c r="Q875" i="37"/>
  <c r="V874" i="37"/>
  <c r="A119" i="24"/>
  <c r="T118" i="24"/>
  <c r="U118" i="24" s="1"/>
  <c r="F118" i="24"/>
  <c r="G118" i="24" s="1"/>
  <c r="R118" i="24"/>
  <c r="S118" i="24" s="1"/>
  <c r="P118" i="24"/>
  <c r="Q118" i="24" s="1"/>
  <c r="V118" i="24"/>
  <c r="W118" i="24" s="1"/>
  <c r="J118" i="24"/>
  <c r="K118" i="24" s="1"/>
  <c r="L118" i="24"/>
  <c r="M118" i="24" s="1"/>
  <c r="N118" i="24"/>
  <c r="O118" i="24" s="1"/>
  <c r="B118" i="24"/>
  <c r="C118" i="24" s="1"/>
  <c r="H118" i="24"/>
  <c r="I118" i="24" s="1"/>
  <c r="D118" i="24"/>
  <c r="E118" i="24" s="1"/>
  <c r="A272" i="24"/>
  <c r="N271" i="24"/>
  <c r="B271" i="24"/>
  <c r="V271" i="24"/>
  <c r="R271" i="24"/>
  <c r="J271" i="24"/>
  <c r="F271" i="24"/>
  <c r="T271" i="24"/>
  <c r="H271" i="24"/>
  <c r="P271" i="24"/>
  <c r="D271" i="24"/>
  <c r="L271" i="24"/>
  <c r="I83" i="37"/>
  <c r="J83" i="37"/>
  <c r="C83" i="37"/>
  <c r="D83" i="37"/>
  <c r="P82" i="37"/>
  <c r="O82" i="37"/>
  <c r="G83" i="37"/>
  <c r="F83" i="37"/>
  <c r="M83" i="37"/>
  <c r="L83" i="37"/>
  <c r="S82" i="37"/>
  <c r="R82" i="37"/>
  <c r="B876" i="37" l="1"/>
  <c r="N876" i="37"/>
  <c r="H876" i="37"/>
  <c r="K876" i="37"/>
  <c r="E876" i="37"/>
  <c r="A877" i="37"/>
  <c r="U876" i="37"/>
  <c r="Q876" i="37"/>
  <c r="V875" i="37"/>
  <c r="H119" i="24"/>
  <c r="I119" i="24" s="1"/>
  <c r="D119" i="24"/>
  <c r="E119" i="24" s="1"/>
  <c r="R119" i="24"/>
  <c r="S119" i="24" s="1"/>
  <c r="J119" i="24"/>
  <c r="K119" i="24" s="1"/>
  <c r="F119" i="24"/>
  <c r="G119" i="24" s="1"/>
  <c r="N119" i="24"/>
  <c r="O119" i="24" s="1"/>
  <c r="L119" i="24"/>
  <c r="M119" i="24" s="1"/>
  <c r="V119" i="24"/>
  <c r="W119" i="24" s="1"/>
  <c r="A120" i="24"/>
  <c r="P119" i="24"/>
  <c r="Q119" i="24" s="1"/>
  <c r="B119" i="24"/>
  <c r="C119" i="24" s="1"/>
  <c r="T119" i="24"/>
  <c r="U119" i="24" s="1"/>
  <c r="T272" i="24"/>
  <c r="R272" i="24"/>
  <c r="A273" i="24"/>
  <c r="N272" i="24"/>
  <c r="H272" i="24"/>
  <c r="J272" i="24"/>
  <c r="L272" i="24"/>
  <c r="P272" i="24"/>
  <c r="V272" i="24"/>
  <c r="F272" i="24"/>
  <c r="B272" i="24"/>
  <c r="D272" i="24"/>
  <c r="J84" i="37"/>
  <c r="I84" i="37"/>
  <c r="C84" i="37"/>
  <c r="D84" i="37"/>
  <c r="P83" i="37"/>
  <c r="O83" i="37"/>
  <c r="F84" i="37"/>
  <c r="G84" i="37"/>
  <c r="S83" i="37"/>
  <c r="R83" i="37"/>
  <c r="M84" i="37"/>
  <c r="L84" i="37"/>
  <c r="B877" i="37" l="1"/>
  <c r="H877" i="37"/>
  <c r="N877" i="37"/>
  <c r="K877" i="37"/>
  <c r="A878" i="37"/>
  <c r="E877" i="37"/>
  <c r="Q877" i="37"/>
  <c r="U877" i="37"/>
  <c r="V876" i="37"/>
  <c r="F120" i="24"/>
  <c r="G120" i="24" s="1"/>
  <c r="B120" i="24"/>
  <c r="C120" i="24" s="1"/>
  <c r="J120" i="24"/>
  <c r="K120" i="24" s="1"/>
  <c r="T120" i="24"/>
  <c r="U120" i="24" s="1"/>
  <c r="P120" i="24"/>
  <c r="Q120" i="24" s="1"/>
  <c r="D120" i="24"/>
  <c r="E120" i="24" s="1"/>
  <c r="A121" i="24"/>
  <c r="L120" i="24"/>
  <c r="M120" i="24" s="1"/>
  <c r="H120" i="24"/>
  <c r="I120" i="24" s="1"/>
  <c r="V120" i="24"/>
  <c r="W120" i="24" s="1"/>
  <c r="R120" i="24"/>
  <c r="S120" i="24" s="1"/>
  <c r="N120" i="24"/>
  <c r="O120" i="24" s="1"/>
  <c r="H273" i="24"/>
  <c r="J273" i="24"/>
  <c r="T273" i="24"/>
  <c r="V273" i="24"/>
  <c r="A274" i="24"/>
  <c r="F273" i="24"/>
  <c r="B273" i="24"/>
  <c r="D273" i="24"/>
  <c r="R273" i="24"/>
  <c r="L273" i="24"/>
  <c r="N273" i="24"/>
  <c r="P273" i="24"/>
  <c r="J85" i="37"/>
  <c r="I85" i="37"/>
  <c r="C85" i="37"/>
  <c r="D85" i="37"/>
  <c r="O84" i="37"/>
  <c r="P84" i="37"/>
  <c r="S84" i="37"/>
  <c r="R84" i="37"/>
  <c r="F85" i="37"/>
  <c r="G85" i="37"/>
  <c r="M85" i="37"/>
  <c r="L85" i="37"/>
  <c r="B878" i="37" l="1"/>
  <c r="H878" i="37"/>
  <c r="N878" i="37"/>
  <c r="E878" i="37"/>
  <c r="K878" i="37"/>
  <c r="A879" i="37"/>
  <c r="Q878" i="37"/>
  <c r="U878" i="37"/>
  <c r="V877" i="37"/>
  <c r="V121" i="24"/>
  <c r="W121" i="24" s="1"/>
  <c r="T121" i="24"/>
  <c r="U121" i="24" s="1"/>
  <c r="A122" i="24"/>
  <c r="P121" i="24"/>
  <c r="Q121" i="24" s="1"/>
  <c r="D121" i="24"/>
  <c r="E121" i="24" s="1"/>
  <c r="B121" i="24"/>
  <c r="C121" i="24" s="1"/>
  <c r="R121" i="24"/>
  <c r="S121" i="24" s="1"/>
  <c r="J121" i="24"/>
  <c r="K121" i="24" s="1"/>
  <c r="N121" i="24"/>
  <c r="O121" i="24" s="1"/>
  <c r="F121" i="24"/>
  <c r="G121" i="24" s="1"/>
  <c r="L121" i="24"/>
  <c r="M121" i="24" s="1"/>
  <c r="H121" i="24"/>
  <c r="I121" i="24" s="1"/>
  <c r="B274" i="24"/>
  <c r="F274" i="24"/>
  <c r="D274" i="24"/>
  <c r="V274" i="24"/>
  <c r="H274" i="24"/>
  <c r="J274" i="24"/>
  <c r="L274" i="24"/>
  <c r="R274" i="24"/>
  <c r="T274" i="24"/>
  <c r="A275" i="24"/>
  <c r="P274" i="24"/>
  <c r="N274" i="24"/>
  <c r="I86" i="37"/>
  <c r="J86" i="37"/>
  <c r="D86" i="37"/>
  <c r="C86" i="37"/>
  <c r="P85" i="37"/>
  <c r="O85" i="37"/>
  <c r="G86" i="37"/>
  <c r="F86" i="37"/>
  <c r="M86" i="37"/>
  <c r="L86" i="37"/>
  <c r="S85" i="37"/>
  <c r="R85" i="37"/>
  <c r="U879" i="37" l="1"/>
  <c r="B879" i="37"/>
  <c r="H879" i="37"/>
  <c r="N879" i="37"/>
  <c r="K879" i="37"/>
  <c r="E879" i="37"/>
  <c r="Q879" i="37"/>
  <c r="A880" i="37"/>
  <c r="V878" i="37"/>
  <c r="H122" i="24"/>
  <c r="I122" i="24" s="1"/>
  <c r="N122" i="24"/>
  <c r="O122" i="24" s="1"/>
  <c r="J122" i="24"/>
  <c r="K122" i="24" s="1"/>
  <c r="P122" i="24"/>
  <c r="Q122" i="24" s="1"/>
  <c r="B122" i="24"/>
  <c r="C122" i="24" s="1"/>
  <c r="V122" i="24"/>
  <c r="W122" i="24" s="1"/>
  <c r="D122" i="24"/>
  <c r="E122" i="24" s="1"/>
  <c r="T122" i="24"/>
  <c r="U122" i="24" s="1"/>
  <c r="L122" i="24"/>
  <c r="M122" i="24" s="1"/>
  <c r="R122" i="24"/>
  <c r="S122" i="24" s="1"/>
  <c r="A123" i="24"/>
  <c r="F122" i="24"/>
  <c r="G122" i="24" s="1"/>
  <c r="L275" i="24"/>
  <c r="T275" i="24"/>
  <c r="N275" i="24"/>
  <c r="F275" i="24"/>
  <c r="P275" i="24"/>
  <c r="B275" i="24"/>
  <c r="V275" i="24"/>
  <c r="D275" i="24"/>
  <c r="H275" i="24"/>
  <c r="R275" i="24"/>
  <c r="A276" i="24"/>
  <c r="J275" i="24"/>
  <c r="J87" i="37"/>
  <c r="I87" i="37"/>
  <c r="D87" i="37"/>
  <c r="C87" i="37"/>
  <c r="P86" i="37"/>
  <c r="O86" i="37"/>
  <c r="M87" i="37"/>
  <c r="L87" i="37"/>
  <c r="S86" i="37"/>
  <c r="R86" i="37"/>
  <c r="G87" i="37"/>
  <c r="F87" i="37"/>
  <c r="H880" i="37" l="1"/>
  <c r="B880" i="37"/>
  <c r="K880" i="37"/>
  <c r="N880" i="37"/>
  <c r="E880" i="37"/>
  <c r="A881" i="37"/>
  <c r="U880" i="37"/>
  <c r="Q880" i="37"/>
  <c r="V879" i="37"/>
  <c r="B123" i="24"/>
  <c r="C123" i="24" s="1"/>
  <c r="H123" i="24"/>
  <c r="I123" i="24" s="1"/>
  <c r="J123" i="24"/>
  <c r="K123" i="24" s="1"/>
  <c r="D123" i="24"/>
  <c r="E123" i="24" s="1"/>
  <c r="T123" i="24"/>
  <c r="U123" i="24" s="1"/>
  <c r="R123" i="24"/>
  <c r="S123" i="24" s="1"/>
  <c r="A124" i="24"/>
  <c r="N123" i="24"/>
  <c r="O123" i="24" s="1"/>
  <c r="P123" i="24"/>
  <c r="Q123" i="24" s="1"/>
  <c r="V123" i="24"/>
  <c r="W123" i="24" s="1"/>
  <c r="F123" i="24"/>
  <c r="G123" i="24" s="1"/>
  <c r="L123" i="24"/>
  <c r="M123" i="24" s="1"/>
  <c r="T276" i="24"/>
  <c r="P276" i="24"/>
  <c r="H276" i="24"/>
  <c r="R276" i="24"/>
  <c r="D276" i="24"/>
  <c r="J276" i="24"/>
  <c r="L276" i="24"/>
  <c r="N276" i="24"/>
  <c r="B276" i="24"/>
  <c r="F276" i="24"/>
  <c r="V276" i="24"/>
  <c r="A277" i="24"/>
  <c r="J88" i="37"/>
  <c r="I88" i="37"/>
  <c r="C88" i="37"/>
  <c r="D88" i="37"/>
  <c r="P87" i="37"/>
  <c r="O87" i="37"/>
  <c r="G88" i="37"/>
  <c r="F88" i="37"/>
  <c r="S87" i="37"/>
  <c r="R87" i="37"/>
  <c r="L88" i="37"/>
  <c r="M88" i="37"/>
  <c r="Q881" i="37" l="1"/>
  <c r="B881" i="37"/>
  <c r="N881" i="37"/>
  <c r="H881" i="37"/>
  <c r="K881" i="37"/>
  <c r="E881" i="37"/>
  <c r="U881" i="37"/>
  <c r="A882" i="37"/>
  <c r="V880" i="37"/>
  <c r="R124" i="24"/>
  <c r="S124" i="24" s="1"/>
  <c r="N124" i="24"/>
  <c r="O124" i="24" s="1"/>
  <c r="T124" i="24"/>
  <c r="U124" i="24" s="1"/>
  <c r="J124" i="24"/>
  <c r="K124" i="24" s="1"/>
  <c r="B124" i="24"/>
  <c r="C124" i="24" s="1"/>
  <c r="D124" i="24"/>
  <c r="E124" i="24" s="1"/>
  <c r="P124" i="24"/>
  <c r="Q124" i="24" s="1"/>
  <c r="F124" i="24"/>
  <c r="G124" i="24" s="1"/>
  <c r="L124" i="24"/>
  <c r="M124" i="24" s="1"/>
  <c r="A125" i="24"/>
  <c r="H124" i="24"/>
  <c r="I124" i="24" s="1"/>
  <c r="V124" i="24"/>
  <c r="W124" i="24" s="1"/>
  <c r="J277" i="24"/>
  <c r="R277" i="24"/>
  <c r="L277" i="24"/>
  <c r="V277" i="24"/>
  <c r="T277" i="24"/>
  <c r="N277" i="24"/>
  <c r="B277" i="24"/>
  <c r="F277" i="24"/>
  <c r="D277" i="24"/>
  <c r="P277" i="24"/>
  <c r="H277" i="24"/>
  <c r="A278" i="24"/>
  <c r="J89" i="37"/>
  <c r="I89" i="37"/>
  <c r="D89" i="37"/>
  <c r="C89" i="37"/>
  <c r="O88" i="37"/>
  <c r="P88" i="37"/>
  <c r="R88" i="37"/>
  <c r="S88" i="37"/>
  <c r="M89" i="37"/>
  <c r="L89" i="37"/>
  <c r="G89" i="37"/>
  <c r="F89" i="37"/>
  <c r="U882" i="37" l="1"/>
  <c r="B882" i="37"/>
  <c r="N882" i="37"/>
  <c r="H882" i="37"/>
  <c r="E882" i="37"/>
  <c r="K882" i="37"/>
  <c r="Q882" i="37"/>
  <c r="A883" i="37"/>
  <c r="V881" i="37"/>
  <c r="D125" i="24"/>
  <c r="E125" i="24" s="1"/>
  <c r="L125" i="24"/>
  <c r="M125" i="24" s="1"/>
  <c r="F125" i="24"/>
  <c r="G125" i="24" s="1"/>
  <c r="P125" i="24"/>
  <c r="Q125" i="24" s="1"/>
  <c r="H125" i="24"/>
  <c r="I125" i="24" s="1"/>
  <c r="R125" i="24"/>
  <c r="S125" i="24" s="1"/>
  <c r="N125" i="24"/>
  <c r="O125" i="24" s="1"/>
  <c r="J125" i="24"/>
  <c r="K125" i="24" s="1"/>
  <c r="A126" i="24"/>
  <c r="V125" i="24"/>
  <c r="W125" i="24" s="1"/>
  <c r="T125" i="24"/>
  <c r="U125" i="24" s="1"/>
  <c r="B125" i="24"/>
  <c r="C125" i="24" s="1"/>
  <c r="D278" i="24"/>
  <c r="L278" i="24"/>
  <c r="H278" i="24"/>
  <c r="J278" i="24"/>
  <c r="P278" i="24"/>
  <c r="N278" i="24"/>
  <c r="T278" i="24"/>
  <c r="B278" i="24"/>
  <c r="F278" i="24"/>
  <c r="A279" i="24"/>
  <c r="V278" i="24"/>
  <c r="R278" i="24"/>
  <c r="J90" i="37"/>
  <c r="I90" i="37"/>
  <c r="C90" i="37"/>
  <c r="D90" i="37"/>
  <c r="O89" i="37"/>
  <c r="P89" i="37"/>
  <c r="G90" i="37"/>
  <c r="F90" i="37"/>
  <c r="M90" i="37"/>
  <c r="L90" i="37"/>
  <c r="S89" i="37"/>
  <c r="R89" i="37"/>
  <c r="B883" i="37" l="1"/>
  <c r="H883" i="37"/>
  <c r="N883" i="37"/>
  <c r="K883" i="37"/>
  <c r="E883" i="37"/>
  <c r="A884" i="37"/>
  <c r="Q883" i="37"/>
  <c r="U883" i="37"/>
  <c r="V882" i="37"/>
  <c r="L126" i="24"/>
  <c r="M126" i="24" s="1"/>
  <c r="T126" i="24"/>
  <c r="U126" i="24" s="1"/>
  <c r="R126" i="24"/>
  <c r="S126" i="24" s="1"/>
  <c r="D126" i="24"/>
  <c r="E126" i="24" s="1"/>
  <c r="P126" i="24"/>
  <c r="Q126" i="24" s="1"/>
  <c r="N126" i="24"/>
  <c r="O126" i="24" s="1"/>
  <c r="H126" i="24"/>
  <c r="I126" i="24" s="1"/>
  <c r="F126" i="24"/>
  <c r="G126" i="24" s="1"/>
  <c r="B126" i="24"/>
  <c r="C126" i="24" s="1"/>
  <c r="A127" i="24"/>
  <c r="J126" i="24"/>
  <c r="K126" i="24" s="1"/>
  <c r="V126" i="24"/>
  <c r="W126" i="24" s="1"/>
  <c r="T279" i="24"/>
  <c r="R279" i="24"/>
  <c r="A280" i="24"/>
  <c r="N279" i="24"/>
  <c r="V279" i="24"/>
  <c r="F279" i="24"/>
  <c r="B279" i="24"/>
  <c r="D279" i="24"/>
  <c r="J279" i="24"/>
  <c r="P279" i="24"/>
  <c r="H279" i="24"/>
  <c r="L279" i="24"/>
  <c r="J91" i="37"/>
  <c r="I91" i="37"/>
  <c r="D91" i="37"/>
  <c r="C91" i="37"/>
  <c r="P90" i="37"/>
  <c r="O90" i="37"/>
  <c r="L91" i="37"/>
  <c r="M91" i="37"/>
  <c r="G91" i="37"/>
  <c r="F91" i="37"/>
  <c r="S90" i="37"/>
  <c r="R90" i="37"/>
  <c r="U884" i="37" l="1"/>
  <c r="N884" i="37"/>
  <c r="B884" i="37"/>
  <c r="H884" i="37"/>
  <c r="K884" i="37"/>
  <c r="Q884" i="37"/>
  <c r="E884" i="37"/>
  <c r="A885" i="37"/>
  <c r="V883" i="37"/>
  <c r="D127" i="24"/>
  <c r="E127" i="24" s="1"/>
  <c r="T127" i="24"/>
  <c r="U127" i="24" s="1"/>
  <c r="V127" i="24"/>
  <c r="W127" i="24" s="1"/>
  <c r="L127" i="24"/>
  <c r="M127" i="24" s="1"/>
  <c r="H127" i="24"/>
  <c r="I127" i="24" s="1"/>
  <c r="A128" i="24"/>
  <c r="F127" i="24"/>
  <c r="G127" i="24" s="1"/>
  <c r="B127" i="24"/>
  <c r="C127" i="24" s="1"/>
  <c r="N127" i="24"/>
  <c r="O127" i="24" s="1"/>
  <c r="P127" i="24"/>
  <c r="Q127" i="24" s="1"/>
  <c r="R127" i="24"/>
  <c r="S127" i="24" s="1"/>
  <c r="J127" i="24"/>
  <c r="K127" i="24" s="1"/>
  <c r="D280" i="24"/>
  <c r="F280" i="24"/>
  <c r="H280" i="24"/>
  <c r="P280" i="24"/>
  <c r="R280" i="24"/>
  <c r="N280" i="24"/>
  <c r="T280" i="24"/>
  <c r="V280" i="24"/>
  <c r="J280" i="24"/>
  <c r="L280" i="24"/>
  <c r="A281" i="24"/>
  <c r="B280" i="24"/>
  <c r="J92" i="37"/>
  <c r="I92" i="37"/>
  <c r="D92" i="37"/>
  <c r="C92" i="37"/>
  <c r="P91" i="37"/>
  <c r="O91" i="37"/>
  <c r="G92" i="37"/>
  <c r="F92" i="37"/>
  <c r="S91" i="37"/>
  <c r="R91" i="37"/>
  <c r="M92" i="37"/>
  <c r="L92" i="37"/>
  <c r="B885" i="37" l="1"/>
  <c r="H885" i="37"/>
  <c r="N885" i="37"/>
  <c r="K885" i="37"/>
  <c r="E885" i="37"/>
  <c r="A886" i="37"/>
  <c r="Q885" i="37"/>
  <c r="U885" i="37"/>
  <c r="V884" i="37"/>
  <c r="A129" i="24"/>
  <c r="F128" i="24"/>
  <c r="G128" i="24" s="1"/>
  <c r="N128" i="24"/>
  <c r="O128" i="24" s="1"/>
  <c r="T128" i="24"/>
  <c r="U128" i="24" s="1"/>
  <c r="J128" i="24"/>
  <c r="K128" i="24" s="1"/>
  <c r="L128" i="24"/>
  <c r="M128" i="24" s="1"/>
  <c r="B128" i="24"/>
  <c r="C128" i="24" s="1"/>
  <c r="P128" i="24"/>
  <c r="Q128" i="24" s="1"/>
  <c r="V128" i="24"/>
  <c r="W128" i="24" s="1"/>
  <c r="R128" i="24"/>
  <c r="S128" i="24" s="1"/>
  <c r="D128" i="24"/>
  <c r="E128" i="24" s="1"/>
  <c r="H128" i="24"/>
  <c r="I128" i="24" s="1"/>
  <c r="L281" i="24"/>
  <c r="R281" i="24"/>
  <c r="B281" i="24"/>
  <c r="D281" i="24"/>
  <c r="H281" i="24"/>
  <c r="J281" i="24"/>
  <c r="T281" i="24"/>
  <c r="A282" i="24"/>
  <c r="V281" i="24"/>
  <c r="F281" i="24"/>
  <c r="N281" i="24"/>
  <c r="P281" i="24"/>
  <c r="J93" i="37"/>
  <c r="I93" i="37"/>
  <c r="C93" i="37"/>
  <c r="D93" i="37"/>
  <c r="O92" i="37"/>
  <c r="P92" i="37"/>
  <c r="M93" i="37"/>
  <c r="L93" i="37"/>
  <c r="S92" i="37"/>
  <c r="R92" i="37"/>
  <c r="G93" i="37"/>
  <c r="F93" i="37"/>
  <c r="Q886" i="37" l="1"/>
  <c r="B886" i="37"/>
  <c r="H886" i="37"/>
  <c r="N886" i="37"/>
  <c r="E886" i="37"/>
  <c r="U886" i="37"/>
  <c r="A887" i="37"/>
  <c r="K886" i="37"/>
  <c r="V885" i="37"/>
  <c r="A130" i="24"/>
  <c r="F129" i="24"/>
  <c r="G129" i="24" s="1"/>
  <c r="D129" i="24"/>
  <c r="E129" i="24" s="1"/>
  <c r="H129" i="24"/>
  <c r="I129" i="24" s="1"/>
  <c r="P129" i="24"/>
  <c r="Q129" i="24" s="1"/>
  <c r="B129" i="24"/>
  <c r="C129" i="24" s="1"/>
  <c r="V129" i="24"/>
  <c r="W129" i="24" s="1"/>
  <c r="N129" i="24"/>
  <c r="O129" i="24" s="1"/>
  <c r="J129" i="24"/>
  <c r="K129" i="24" s="1"/>
  <c r="L129" i="24"/>
  <c r="M129" i="24" s="1"/>
  <c r="T129" i="24"/>
  <c r="U129" i="24" s="1"/>
  <c r="R129" i="24"/>
  <c r="S129" i="24" s="1"/>
  <c r="H282" i="24"/>
  <c r="J282" i="24"/>
  <c r="P282" i="24"/>
  <c r="N282" i="24"/>
  <c r="T282" i="24"/>
  <c r="F282" i="24"/>
  <c r="A283" i="24"/>
  <c r="V282" i="24"/>
  <c r="R282" i="24"/>
  <c r="B282" i="24"/>
  <c r="D282" i="24"/>
  <c r="L282" i="24"/>
  <c r="J94" i="37"/>
  <c r="I94" i="37"/>
  <c r="C94" i="37"/>
  <c r="D94" i="37"/>
  <c r="P93" i="37"/>
  <c r="O93" i="37"/>
  <c r="S93" i="37"/>
  <c r="R93" i="37"/>
  <c r="G94" i="37"/>
  <c r="F94" i="37"/>
  <c r="L94" i="37"/>
  <c r="M94" i="37"/>
  <c r="Q887" i="37" l="1"/>
  <c r="B887" i="37"/>
  <c r="H887" i="37"/>
  <c r="N887" i="37"/>
  <c r="K887" i="37"/>
  <c r="U887" i="37"/>
  <c r="E887" i="37"/>
  <c r="A888" i="37"/>
  <c r="V886" i="37"/>
  <c r="L130" i="24"/>
  <c r="M130" i="24" s="1"/>
  <c r="N130" i="24"/>
  <c r="O130" i="24" s="1"/>
  <c r="F130" i="24"/>
  <c r="G130" i="24" s="1"/>
  <c r="B130" i="24"/>
  <c r="C130" i="24" s="1"/>
  <c r="D130" i="24"/>
  <c r="E130" i="24" s="1"/>
  <c r="V130" i="24"/>
  <c r="W130" i="24" s="1"/>
  <c r="R130" i="24"/>
  <c r="S130" i="24" s="1"/>
  <c r="J130" i="24"/>
  <c r="K130" i="24" s="1"/>
  <c r="P130" i="24"/>
  <c r="Q130" i="24" s="1"/>
  <c r="T130" i="24"/>
  <c r="U130" i="24" s="1"/>
  <c r="A131" i="24"/>
  <c r="H130" i="24"/>
  <c r="I130" i="24" s="1"/>
  <c r="A284" i="24"/>
  <c r="F283" i="24"/>
  <c r="B283" i="24"/>
  <c r="N283" i="24"/>
  <c r="V283" i="24"/>
  <c r="T283" i="24"/>
  <c r="D283" i="24"/>
  <c r="H283" i="24"/>
  <c r="J283" i="24"/>
  <c r="R283" i="24"/>
  <c r="P283" i="24"/>
  <c r="L283" i="24"/>
  <c r="J95" i="37"/>
  <c r="I95" i="37"/>
  <c r="D95" i="37"/>
  <c r="C95" i="37"/>
  <c r="O94" i="37"/>
  <c r="P94" i="37"/>
  <c r="M95" i="37"/>
  <c r="L95" i="37"/>
  <c r="F95" i="37"/>
  <c r="G95" i="37"/>
  <c r="S94" i="37"/>
  <c r="R94" i="37"/>
  <c r="H888" i="37" l="1"/>
  <c r="N888" i="37"/>
  <c r="K888" i="37"/>
  <c r="E888" i="37"/>
  <c r="A889" i="37"/>
  <c r="U888" i="37"/>
  <c r="Q888" i="37"/>
  <c r="B888" i="37"/>
  <c r="V887" i="37"/>
  <c r="D131" i="24"/>
  <c r="E131" i="24" s="1"/>
  <c r="J131" i="24"/>
  <c r="K131" i="24" s="1"/>
  <c r="R131" i="24"/>
  <c r="S131" i="24" s="1"/>
  <c r="L131" i="24"/>
  <c r="M131" i="24" s="1"/>
  <c r="B131" i="24"/>
  <c r="C131" i="24" s="1"/>
  <c r="N131" i="24"/>
  <c r="O131" i="24" s="1"/>
  <c r="F131" i="24"/>
  <c r="G131" i="24" s="1"/>
  <c r="T131" i="24"/>
  <c r="U131" i="24" s="1"/>
  <c r="H131" i="24"/>
  <c r="I131" i="24" s="1"/>
  <c r="A132" i="24"/>
  <c r="V131" i="24"/>
  <c r="W131" i="24" s="1"/>
  <c r="P131" i="24"/>
  <c r="Q131" i="24" s="1"/>
  <c r="N284" i="24"/>
  <c r="P284" i="24"/>
  <c r="D284" i="24"/>
  <c r="J284" i="24"/>
  <c r="L284" i="24"/>
  <c r="R284" i="24"/>
  <c r="V284" i="24"/>
  <c r="F284" i="24"/>
  <c r="A285" i="24"/>
  <c r="T284" i="24"/>
  <c r="H284" i="24"/>
  <c r="B284" i="24"/>
  <c r="I96" i="37"/>
  <c r="J96" i="37"/>
  <c r="C96" i="37"/>
  <c r="D96" i="37"/>
  <c r="P95" i="37"/>
  <c r="O95" i="37"/>
  <c r="R95" i="37"/>
  <c r="S95" i="37"/>
  <c r="M96" i="37"/>
  <c r="L96" i="37"/>
  <c r="F96" i="37"/>
  <c r="G96" i="37"/>
  <c r="Q889" i="37" l="1"/>
  <c r="B889" i="37"/>
  <c r="N889" i="37"/>
  <c r="H889" i="37"/>
  <c r="K889" i="37"/>
  <c r="U889" i="37"/>
  <c r="E889" i="37"/>
  <c r="A890" i="37"/>
  <c r="V888" i="37"/>
  <c r="V132" i="24"/>
  <c r="W132" i="24" s="1"/>
  <c r="F132" i="24"/>
  <c r="G132" i="24" s="1"/>
  <c r="B132" i="24"/>
  <c r="C132" i="24" s="1"/>
  <c r="J132" i="24"/>
  <c r="K132" i="24" s="1"/>
  <c r="T132" i="24"/>
  <c r="U132" i="24" s="1"/>
  <c r="H132" i="24"/>
  <c r="I132" i="24" s="1"/>
  <c r="R132" i="24"/>
  <c r="S132" i="24" s="1"/>
  <c r="P132" i="24"/>
  <c r="Q132" i="24" s="1"/>
  <c r="N132" i="24"/>
  <c r="O132" i="24" s="1"/>
  <c r="D132" i="24"/>
  <c r="E132" i="24" s="1"/>
  <c r="A133" i="24"/>
  <c r="L132" i="24"/>
  <c r="M132" i="24" s="1"/>
  <c r="J285" i="24"/>
  <c r="H285" i="24"/>
  <c r="T285" i="24"/>
  <c r="V285" i="24"/>
  <c r="A286" i="24"/>
  <c r="F285" i="24"/>
  <c r="B285" i="24"/>
  <c r="D285" i="24"/>
  <c r="P285" i="24"/>
  <c r="L285" i="24"/>
  <c r="R285" i="24"/>
  <c r="N285" i="24"/>
  <c r="I97" i="37"/>
  <c r="J97" i="37"/>
  <c r="C97" i="37"/>
  <c r="D97" i="37"/>
  <c r="O96" i="37"/>
  <c r="P96" i="37"/>
  <c r="S96" i="37"/>
  <c r="R96" i="37"/>
  <c r="G97" i="37"/>
  <c r="F97" i="37"/>
  <c r="M97" i="37"/>
  <c r="L97" i="37"/>
  <c r="N890" i="37" l="1"/>
  <c r="H890" i="37"/>
  <c r="E890" i="37"/>
  <c r="K890" i="37"/>
  <c r="A891" i="37"/>
  <c r="U890" i="37"/>
  <c r="Q890" i="37"/>
  <c r="V889" i="37"/>
  <c r="B890" i="37"/>
  <c r="J133" i="24"/>
  <c r="K133" i="24" s="1"/>
  <c r="P133" i="24"/>
  <c r="Q133" i="24" s="1"/>
  <c r="L133" i="24"/>
  <c r="M133" i="24" s="1"/>
  <c r="D133" i="24"/>
  <c r="E133" i="24" s="1"/>
  <c r="H133" i="24"/>
  <c r="I133" i="24" s="1"/>
  <c r="R133" i="24"/>
  <c r="S133" i="24" s="1"/>
  <c r="A134" i="24"/>
  <c r="N133" i="24"/>
  <c r="O133" i="24" s="1"/>
  <c r="F133" i="24"/>
  <c r="G133" i="24" s="1"/>
  <c r="T133" i="24"/>
  <c r="U133" i="24" s="1"/>
  <c r="B133" i="24"/>
  <c r="C133" i="24" s="1"/>
  <c r="V133" i="24"/>
  <c r="W133" i="24" s="1"/>
  <c r="H286" i="24"/>
  <c r="V286" i="24"/>
  <c r="D286" i="24"/>
  <c r="L286" i="24"/>
  <c r="P286" i="24"/>
  <c r="N286" i="24"/>
  <c r="R286" i="24"/>
  <c r="T286" i="24"/>
  <c r="A287" i="24"/>
  <c r="F286" i="24"/>
  <c r="J286" i="24"/>
  <c r="B286" i="24"/>
  <c r="I98" i="37"/>
  <c r="J98" i="37"/>
  <c r="D98" i="37"/>
  <c r="C98" i="37"/>
  <c r="P97" i="37"/>
  <c r="O97" i="37"/>
  <c r="G98" i="37"/>
  <c r="F98" i="37"/>
  <c r="S97" i="37"/>
  <c r="R97" i="37"/>
  <c r="L98" i="37"/>
  <c r="M98" i="37"/>
  <c r="E891" i="37" l="1"/>
  <c r="Q891" i="37"/>
  <c r="N891" i="37"/>
  <c r="B891" i="37"/>
  <c r="A892" i="37"/>
  <c r="U891" i="37"/>
  <c r="H891" i="37"/>
  <c r="K891" i="37"/>
  <c r="V890" i="37"/>
  <c r="V134" i="24"/>
  <c r="W134" i="24" s="1"/>
  <c r="T134" i="24"/>
  <c r="U134" i="24" s="1"/>
  <c r="P134" i="24"/>
  <c r="Q134" i="24" s="1"/>
  <c r="R134" i="24"/>
  <c r="S134" i="24" s="1"/>
  <c r="B134" i="24"/>
  <c r="C134" i="24" s="1"/>
  <c r="A135" i="24"/>
  <c r="D134" i="24"/>
  <c r="E134" i="24" s="1"/>
  <c r="H134" i="24"/>
  <c r="I134" i="24" s="1"/>
  <c r="N134" i="24"/>
  <c r="O134" i="24" s="1"/>
  <c r="J134" i="24"/>
  <c r="K134" i="24" s="1"/>
  <c r="L134" i="24"/>
  <c r="M134" i="24" s="1"/>
  <c r="F134" i="24"/>
  <c r="G134" i="24" s="1"/>
  <c r="H287" i="24"/>
  <c r="F287" i="24"/>
  <c r="D287" i="24"/>
  <c r="A288" i="24"/>
  <c r="J287" i="24"/>
  <c r="L287" i="24"/>
  <c r="P287" i="24"/>
  <c r="R287" i="24"/>
  <c r="T287" i="24"/>
  <c r="B287" i="24"/>
  <c r="N287" i="24"/>
  <c r="V287" i="24"/>
  <c r="J99" i="37"/>
  <c r="I99" i="37"/>
  <c r="D99" i="37"/>
  <c r="C99" i="37"/>
  <c r="P98" i="37"/>
  <c r="O98" i="37"/>
  <c r="F99" i="37"/>
  <c r="G99" i="37"/>
  <c r="M99" i="37"/>
  <c r="L99" i="37"/>
  <c r="R98" i="37"/>
  <c r="S98" i="37"/>
  <c r="B892" i="37" l="1"/>
  <c r="N892" i="37"/>
  <c r="H892" i="37"/>
  <c r="K892" i="37"/>
  <c r="E892" i="37"/>
  <c r="A893" i="37"/>
  <c r="U892" i="37"/>
  <c r="Q892" i="37"/>
  <c r="V891" i="37"/>
  <c r="B135" i="24"/>
  <c r="C135" i="24" s="1"/>
  <c r="D135" i="24"/>
  <c r="E135" i="24" s="1"/>
  <c r="H135" i="24"/>
  <c r="I135" i="24" s="1"/>
  <c r="F135" i="24"/>
  <c r="G135" i="24" s="1"/>
  <c r="L135" i="24"/>
  <c r="M135" i="24" s="1"/>
  <c r="T135" i="24"/>
  <c r="U135" i="24" s="1"/>
  <c r="P135" i="24"/>
  <c r="Q135" i="24" s="1"/>
  <c r="R135" i="24"/>
  <c r="S135" i="24" s="1"/>
  <c r="J135" i="24"/>
  <c r="K135" i="24" s="1"/>
  <c r="A136" i="24"/>
  <c r="V135" i="24"/>
  <c r="W135" i="24" s="1"/>
  <c r="N135" i="24"/>
  <c r="O135" i="24" s="1"/>
  <c r="A289" i="24"/>
  <c r="N288" i="24"/>
  <c r="B288" i="24"/>
  <c r="V288" i="24"/>
  <c r="P288" i="24"/>
  <c r="R288" i="24"/>
  <c r="F288" i="24"/>
  <c r="T288" i="24"/>
  <c r="L288" i="24"/>
  <c r="H288" i="24"/>
  <c r="D288" i="24"/>
  <c r="J288" i="24"/>
  <c r="J100" i="37"/>
  <c r="I100" i="37"/>
  <c r="D100" i="37"/>
  <c r="C100" i="37"/>
  <c r="P99" i="37"/>
  <c r="O99" i="37"/>
  <c r="M100" i="37"/>
  <c r="L100" i="37"/>
  <c r="G100" i="37"/>
  <c r="F100" i="37"/>
  <c r="S99" i="37"/>
  <c r="R99" i="37"/>
  <c r="A894" i="37" l="1"/>
  <c r="Q893" i="37"/>
  <c r="B893" i="37"/>
  <c r="H893" i="37"/>
  <c r="E893" i="37"/>
  <c r="N893" i="37"/>
  <c r="K893" i="37"/>
  <c r="U893" i="37"/>
  <c r="V892" i="37"/>
  <c r="N136" i="24"/>
  <c r="O136" i="24" s="1"/>
  <c r="B136" i="24"/>
  <c r="C136" i="24" s="1"/>
  <c r="V136" i="24"/>
  <c r="W136" i="24" s="1"/>
  <c r="F136" i="24"/>
  <c r="G136" i="24" s="1"/>
  <c r="T136" i="24"/>
  <c r="U136" i="24" s="1"/>
  <c r="P136" i="24"/>
  <c r="Q136" i="24" s="1"/>
  <c r="L136" i="24"/>
  <c r="M136" i="24" s="1"/>
  <c r="A137" i="24"/>
  <c r="R136" i="24"/>
  <c r="S136" i="24" s="1"/>
  <c r="D136" i="24"/>
  <c r="E136" i="24" s="1"/>
  <c r="H136" i="24"/>
  <c r="I136" i="24" s="1"/>
  <c r="J136" i="24"/>
  <c r="K136" i="24" s="1"/>
  <c r="A290" i="24"/>
  <c r="P289" i="24"/>
  <c r="B289" i="24"/>
  <c r="V289" i="24"/>
  <c r="H289" i="24"/>
  <c r="L289" i="24"/>
  <c r="R289" i="24"/>
  <c r="N289" i="24"/>
  <c r="D289" i="24"/>
  <c r="J289" i="24"/>
  <c r="F289" i="24"/>
  <c r="T289" i="24"/>
  <c r="I101" i="37"/>
  <c r="J101" i="37"/>
  <c r="D101" i="37"/>
  <c r="C101" i="37"/>
  <c r="P100" i="37"/>
  <c r="O100" i="37"/>
  <c r="R100" i="37"/>
  <c r="S100" i="37"/>
  <c r="F101" i="37"/>
  <c r="G101" i="37"/>
  <c r="M101" i="37"/>
  <c r="L101" i="37"/>
  <c r="A895" i="37" l="1"/>
  <c r="U894" i="37"/>
  <c r="B894" i="37"/>
  <c r="H894" i="37"/>
  <c r="K894" i="37"/>
  <c r="Q894" i="37"/>
  <c r="N894" i="37"/>
  <c r="E894" i="37"/>
  <c r="V893" i="37"/>
  <c r="R137" i="24"/>
  <c r="S137" i="24" s="1"/>
  <c r="V137" i="24"/>
  <c r="W137" i="24" s="1"/>
  <c r="A138" i="24"/>
  <c r="F137" i="24"/>
  <c r="G137" i="24" s="1"/>
  <c r="J137" i="24"/>
  <c r="K137" i="24" s="1"/>
  <c r="T137" i="24"/>
  <c r="U137" i="24" s="1"/>
  <c r="N137" i="24"/>
  <c r="O137" i="24" s="1"/>
  <c r="D137" i="24"/>
  <c r="E137" i="24" s="1"/>
  <c r="H137" i="24"/>
  <c r="I137" i="24" s="1"/>
  <c r="P137" i="24"/>
  <c r="Q137" i="24" s="1"/>
  <c r="L137" i="24"/>
  <c r="M137" i="24" s="1"/>
  <c r="B137" i="24"/>
  <c r="C137" i="24" s="1"/>
  <c r="R290" i="24"/>
  <c r="T290" i="24"/>
  <c r="P290" i="24"/>
  <c r="A291" i="24"/>
  <c r="N290" i="24"/>
  <c r="B290" i="24"/>
  <c r="D290" i="24"/>
  <c r="H290" i="24"/>
  <c r="J290" i="24"/>
  <c r="V290" i="24"/>
  <c r="F290" i="24"/>
  <c r="L290" i="24"/>
  <c r="J102" i="37"/>
  <c r="I102" i="37"/>
  <c r="C102" i="37"/>
  <c r="D102" i="37"/>
  <c r="P101" i="37"/>
  <c r="O101" i="37"/>
  <c r="G102" i="37"/>
  <c r="F102" i="37"/>
  <c r="M102" i="37"/>
  <c r="L102" i="37"/>
  <c r="S101" i="37"/>
  <c r="R101" i="37"/>
  <c r="E895" i="37" l="1"/>
  <c r="Q895" i="37"/>
  <c r="U895" i="37"/>
  <c r="B895" i="37"/>
  <c r="K895" i="37"/>
  <c r="N895" i="37"/>
  <c r="H895" i="37"/>
  <c r="A896" i="37"/>
  <c r="V894" i="37"/>
  <c r="L138" i="24"/>
  <c r="M138" i="24" s="1"/>
  <c r="D138" i="24"/>
  <c r="E138" i="24" s="1"/>
  <c r="H138" i="24"/>
  <c r="I138" i="24" s="1"/>
  <c r="P138" i="24"/>
  <c r="Q138" i="24" s="1"/>
  <c r="F138" i="24"/>
  <c r="G138" i="24" s="1"/>
  <c r="R138" i="24"/>
  <c r="S138" i="24" s="1"/>
  <c r="B138" i="24"/>
  <c r="C138" i="24" s="1"/>
  <c r="T138" i="24"/>
  <c r="U138" i="24" s="1"/>
  <c r="J138" i="24"/>
  <c r="K138" i="24" s="1"/>
  <c r="N138" i="24"/>
  <c r="O138" i="24" s="1"/>
  <c r="A139" i="24"/>
  <c r="V138" i="24"/>
  <c r="W138" i="24" s="1"/>
  <c r="H291" i="24"/>
  <c r="J291" i="24"/>
  <c r="R291" i="24"/>
  <c r="L291" i="24"/>
  <c r="F291" i="24"/>
  <c r="P291" i="24"/>
  <c r="D291" i="24"/>
  <c r="N291" i="24"/>
  <c r="V291" i="24"/>
  <c r="T291" i="24"/>
  <c r="A292" i="24"/>
  <c r="B291" i="24"/>
  <c r="I103" i="37"/>
  <c r="J103" i="37"/>
  <c r="C103" i="37"/>
  <c r="D103" i="37"/>
  <c r="P102" i="37"/>
  <c r="O102" i="37"/>
  <c r="F103" i="37"/>
  <c r="G103" i="37"/>
  <c r="M103" i="37"/>
  <c r="L103" i="37"/>
  <c r="R102" i="37"/>
  <c r="S102" i="37"/>
  <c r="H896" i="37" l="1"/>
  <c r="B896" i="37"/>
  <c r="N896" i="37"/>
  <c r="K896" i="37"/>
  <c r="E896" i="37"/>
  <c r="A897" i="37"/>
  <c r="U896" i="37"/>
  <c r="Q896" i="37"/>
  <c r="V895" i="37"/>
  <c r="L139" i="24"/>
  <c r="M139" i="24" s="1"/>
  <c r="N139" i="24"/>
  <c r="O139" i="24" s="1"/>
  <c r="T139" i="24"/>
  <c r="U139" i="24" s="1"/>
  <c r="A140" i="24"/>
  <c r="D139" i="24"/>
  <c r="E139" i="24" s="1"/>
  <c r="J139" i="24"/>
  <c r="K139" i="24" s="1"/>
  <c r="F139" i="24"/>
  <c r="G139" i="24" s="1"/>
  <c r="V139" i="24"/>
  <c r="W139" i="24" s="1"/>
  <c r="R139" i="24"/>
  <c r="S139" i="24" s="1"/>
  <c r="B139" i="24"/>
  <c r="C139" i="24" s="1"/>
  <c r="P139" i="24"/>
  <c r="Q139" i="24" s="1"/>
  <c r="H139" i="24"/>
  <c r="I139" i="24" s="1"/>
  <c r="A293" i="24"/>
  <c r="V292" i="24"/>
  <c r="B292" i="24"/>
  <c r="F292" i="24"/>
  <c r="L292" i="24"/>
  <c r="P292" i="24"/>
  <c r="R292" i="24"/>
  <c r="T292" i="24"/>
  <c r="H292" i="24"/>
  <c r="N292" i="24"/>
  <c r="D292" i="24"/>
  <c r="J292" i="24"/>
  <c r="I104" i="37"/>
  <c r="J104" i="37"/>
  <c r="D104" i="37"/>
  <c r="C104" i="37"/>
  <c r="P103" i="37"/>
  <c r="O103" i="37"/>
  <c r="S103" i="37"/>
  <c r="R103" i="37"/>
  <c r="M104" i="37"/>
  <c r="L104" i="37"/>
  <c r="G104" i="37"/>
  <c r="F104" i="37"/>
  <c r="K897" i="37" l="1"/>
  <c r="A898" i="37"/>
  <c r="Q897" i="37"/>
  <c r="U897" i="37"/>
  <c r="H897" i="37"/>
  <c r="E897" i="37"/>
  <c r="B897" i="37"/>
  <c r="N897" i="37"/>
  <c r="V896" i="37"/>
  <c r="D140" i="24"/>
  <c r="E140" i="24" s="1"/>
  <c r="V140" i="24"/>
  <c r="W140" i="24" s="1"/>
  <c r="A141" i="24"/>
  <c r="P140" i="24"/>
  <c r="Q140" i="24" s="1"/>
  <c r="F140" i="24"/>
  <c r="G140" i="24" s="1"/>
  <c r="J140" i="24"/>
  <c r="K140" i="24" s="1"/>
  <c r="L140" i="24"/>
  <c r="M140" i="24" s="1"/>
  <c r="T140" i="24"/>
  <c r="U140" i="24" s="1"/>
  <c r="R140" i="24"/>
  <c r="S140" i="24" s="1"/>
  <c r="B140" i="24"/>
  <c r="C140" i="24" s="1"/>
  <c r="H140" i="24"/>
  <c r="I140" i="24" s="1"/>
  <c r="N140" i="24"/>
  <c r="O140" i="24" s="1"/>
  <c r="P293" i="24"/>
  <c r="T293" i="24"/>
  <c r="R293" i="24"/>
  <c r="B293" i="24"/>
  <c r="H293" i="24"/>
  <c r="J293" i="24"/>
  <c r="L293" i="24"/>
  <c r="V293" i="24"/>
  <c r="F293" i="24"/>
  <c r="A294" i="24"/>
  <c r="D293" i="24"/>
  <c r="N293" i="24"/>
  <c r="J105" i="37"/>
  <c r="I105" i="37"/>
  <c r="D105" i="37"/>
  <c r="C105" i="37"/>
  <c r="P104" i="37"/>
  <c r="O104" i="37"/>
  <c r="S104" i="37"/>
  <c r="R104" i="37"/>
  <c r="M105" i="37"/>
  <c r="L105" i="37"/>
  <c r="G105" i="37"/>
  <c r="F105" i="37"/>
  <c r="B898" i="37" l="1"/>
  <c r="N898" i="37"/>
  <c r="H898" i="37"/>
  <c r="E898" i="37"/>
  <c r="K898" i="37"/>
  <c r="A899" i="37"/>
  <c r="Q898" i="37"/>
  <c r="U898" i="37"/>
  <c r="V897" i="37"/>
  <c r="T141" i="24"/>
  <c r="U141" i="24" s="1"/>
  <c r="B141" i="24"/>
  <c r="C141" i="24" s="1"/>
  <c r="R141" i="24"/>
  <c r="S141" i="24" s="1"/>
  <c r="D141" i="24"/>
  <c r="E141" i="24" s="1"/>
  <c r="A142" i="24"/>
  <c r="J141" i="24"/>
  <c r="K141" i="24" s="1"/>
  <c r="N141" i="24"/>
  <c r="O141" i="24" s="1"/>
  <c r="H141" i="24"/>
  <c r="I141" i="24" s="1"/>
  <c r="P141" i="24"/>
  <c r="Q141" i="24" s="1"/>
  <c r="L141" i="24"/>
  <c r="M141" i="24" s="1"/>
  <c r="F141" i="24"/>
  <c r="G141" i="24" s="1"/>
  <c r="V141" i="24"/>
  <c r="W141" i="24" s="1"/>
  <c r="L294" i="24"/>
  <c r="P294" i="24"/>
  <c r="T294" i="24"/>
  <c r="F294" i="24"/>
  <c r="A295" i="24"/>
  <c r="V294" i="24"/>
  <c r="B294" i="24"/>
  <c r="H294" i="24"/>
  <c r="J294" i="24"/>
  <c r="R294" i="24"/>
  <c r="N294" i="24"/>
  <c r="D294" i="24"/>
  <c r="J106" i="37"/>
  <c r="I106" i="37"/>
  <c r="D106" i="37"/>
  <c r="C106" i="37"/>
  <c r="P105" i="37"/>
  <c r="O105" i="37"/>
  <c r="S105" i="37"/>
  <c r="R105" i="37"/>
  <c r="M106" i="37"/>
  <c r="L106" i="37"/>
  <c r="G106" i="37"/>
  <c r="F106" i="37"/>
  <c r="K899" i="37" l="1"/>
  <c r="A900" i="37"/>
  <c r="U899" i="37"/>
  <c r="Q899" i="37"/>
  <c r="H899" i="37"/>
  <c r="N899" i="37"/>
  <c r="E899" i="37"/>
  <c r="B899" i="37"/>
  <c r="V898" i="37"/>
  <c r="J142" i="24"/>
  <c r="K142" i="24" s="1"/>
  <c r="R142" i="24"/>
  <c r="S142" i="24" s="1"/>
  <c r="L142" i="24"/>
  <c r="M142" i="24" s="1"/>
  <c r="N142" i="24"/>
  <c r="O142" i="24" s="1"/>
  <c r="F142" i="24"/>
  <c r="G142" i="24" s="1"/>
  <c r="D142" i="24"/>
  <c r="E142" i="24" s="1"/>
  <c r="T142" i="24"/>
  <c r="U142" i="24" s="1"/>
  <c r="P142" i="24"/>
  <c r="Q142" i="24" s="1"/>
  <c r="A143" i="24"/>
  <c r="H142" i="24"/>
  <c r="I142" i="24" s="1"/>
  <c r="V142" i="24"/>
  <c r="W142" i="24" s="1"/>
  <c r="B142" i="24"/>
  <c r="C142" i="24" s="1"/>
  <c r="L295" i="24"/>
  <c r="P295" i="24"/>
  <c r="R295" i="24"/>
  <c r="N295" i="24"/>
  <c r="T295" i="24"/>
  <c r="V295" i="24"/>
  <c r="A296" i="24"/>
  <c r="F295" i="24"/>
  <c r="H295" i="24"/>
  <c r="D295" i="24"/>
  <c r="J295" i="24"/>
  <c r="B295" i="24"/>
  <c r="I107" i="37"/>
  <c r="J107" i="37"/>
  <c r="D107" i="37"/>
  <c r="C107" i="37"/>
  <c r="P106" i="37"/>
  <c r="O106" i="37"/>
  <c r="M107" i="37"/>
  <c r="L107" i="37"/>
  <c r="R106" i="37"/>
  <c r="S106" i="37"/>
  <c r="F107" i="37"/>
  <c r="G107" i="37"/>
  <c r="N900" i="37" l="1"/>
  <c r="B900" i="37"/>
  <c r="H900" i="37"/>
  <c r="K900" i="37"/>
  <c r="A901" i="37"/>
  <c r="E900" i="37"/>
  <c r="U900" i="37"/>
  <c r="Q900" i="37"/>
  <c r="V899" i="37"/>
  <c r="D143" i="24"/>
  <c r="E143" i="24" s="1"/>
  <c r="A144" i="24"/>
  <c r="F143" i="24"/>
  <c r="G143" i="24" s="1"/>
  <c r="B143" i="24"/>
  <c r="C143" i="24" s="1"/>
  <c r="J143" i="24"/>
  <c r="K143" i="24" s="1"/>
  <c r="N143" i="24"/>
  <c r="O143" i="24" s="1"/>
  <c r="L143" i="24"/>
  <c r="M143" i="24" s="1"/>
  <c r="H143" i="24"/>
  <c r="I143" i="24" s="1"/>
  <c r="V143" i="24"/>
  <c r="W143" i="24" s="1"/>
  <c r="T143" i="24"/>
  <c r="U143" i="24" s="1"/>
  <c r="R143" i="24"/>
  <c r="S143" i="24" s="1"/>
  <c r="P143" i="24"/>
  <c r="Q143" i="24" s="1"/>
  <c r="H296" i="24"/>
  <c r="J296" i="24"/>
  <c r="B296" i="24"/>
  <c r="D296" i="24"/>
  <c r="L296" i="24"/>
  <c r="P296" i="24"/>
  <c r="T296" i="24"/>
  <c r="A297" i="24"/>
  <c r="V296" i="24"/>
  <c r="R296" i="24"/>
  <c r="N296" i="24"/>
  <c r="F296" i="24"/>
  <c r="J108" i="37"/>
  <c r="I108" i="37"/>
  <c r="D108" i="37"/>
  <c r="C108" i="37"/>
  <c r="P107" i="37"/>
  <c r="O107" i="37"/>
  <c r="G108" i="37"/>
  <c r="F108" i="37"/>
  <c r="L108" i="37"/>
  <c r="M108" i="37"/>
  <c r="R107" i="37"/>
  <c r="S107" i="37"/>
  <c r="K901" i="37" l="1"/>
  <c r="A902" i="37"/>
  <c r="Q901" i="37"/>
  <c r="U901" i="37"/>
  <c r="N901" i="37"/>
  <c r="B901" i="37"/>
  <c r="H901" i="37"/>
  <c r="E901" i="37"/>
  <c r="V900" i="37"/>
  <c r="B144" i="24"/>
  <c r="C144" i="24" s="1"/>
  <c r="R144" i="24"/>
  <c r="S144" i="24" s="1"/>
  <c r="V144" i="24"/>
  <c r="W144" i="24" s="1"/>
  <c r="L144" i="24"/>
  <c r="M144" i="24" s="1"/>
  <c r="D144" i="24"/>
  <c r="E144" i="24" s="1"/>
  <c r="P144" i="24"/>
  <c r="Q144" i="24" s="1"/>
  <c r="F144" i="24"/>
  <c r="G144" i="24" s="1"/>
  <c r="N144" i="24"/>
  <c r="O144" i="24" s="1"/>
  <c r="H144" i="24"/>
  <c r="I144" i="24" s="1"/>
  <c r="T144" i="24"/>
  <c r="U144" i="24" s="1"/>
  <c r="A145" i="24"/>
  <c r="J144" i="24"/>
  <c r="K144" i="24" s="1"/>
  <c r="J297" i="24"/>
  <c r="L297" i="24"/>
  <c r="T297" i="24"/>
  <c r="V297" i="24"/>
  <c r="A298" i="24"/>
  <c r="F297" i="24"/>
  <c r="H297" i="24"/>
  <c r="D297" i="24"/>
  <c r="N297" i="24"/>
  <c r="R297" i="24"/>
  <c r="P297" i="24"/>
  <c r="B297" i="24"/>
  <c r="J109" i="37"/>
  <c r="I109" i="37"/>
  <c r="D109" i="37"/>
  <c r="C109" i="37"/>
  <c r="O108" i="37"/>
  <c r="P108" i="37"/>
  <c r="G109" i="37"/>
  <c r="F109" i="37"/>
  <c r="S108" i="37"/>
  <c r="R108" i="37"/>
  <c r="M109" i="37"/>
  <c r="L109" i="37"/>
  <c r="E902" i="37" l="1"/>
  <c r="A903" i="37"/>
  <c r="U902" i="37"/>
  <c r="Q902" i="37"/>
  <c r="N902" i="37"/>
  <c r="H902" i="37"/>
  <c r="B902" i="37"/>
  <c r="K902" i="37"/>
  <c r="V901" i="37"/>
  <c r="N145" i="24"/>
  <c r="O145" i="24" s="1"/>
  <c r="V145" i="24"/>
  <c r="W145" i="24" s="1"/>
  <c r="T145" i="24"/>
  <c r="U145" i="24" s="1"/>
  <c r="A146" i="24"/>
  <c r="B145" i="24"/>
  <c r="C145" i="24" s="1"/>
  <c r="L145" i="24"/>
  <c r="M145" i="24" s="1"/>
  <c r="F145" i="24"/>
  <c r="G145" i="24" s="1"/>
  <c r="H145" i="24"/>
  <c r="I145" i="24" s="1"/>
  <c r="D145" i="24"/>
  <c r="E145" i="24" s="1"/>
  <c r="R145" i="24"/>
  <c r="S145" i="24" s="1"/>
  <c r="P145" i="24"/>
  <c r="Q145" i="24" s="1"/>
  <c r="J145" i="24"/>
  <c r="K145" i="24" s="1"/>
  <c r="B298" i="24"/>
  <c r="F298" i="24"/>
  <c r="D298" i="24"/>
  <c r="V298" i="24"/>
  <c r="H298" i="24"/>
  <c r="J298" i="24"/>
  <c r="L298" i="24"/>
  <c r="R298" i="24"/>
  <c r="A299" i="24"/>
  <c r="P298" i="24"/>
  <c r="N298" i="24"/>
  <c r="T298" i="24"/>
  <c r="J110" i="37"/>
  <c r="I110" i="37"/>
  <c r="D110" i="37"/>
  <c r="C110" i="37"/>
  <c r="P109" i="37"/>
  <c r="O109" i="37"/>
  <c r="M110" i="37"/>
  <c r="L110" i="37"/>
  <c r="G110" i="37"/>
  <c r="F110" i="37"/>
  <c r="S109" i="37"/>
  <c r="R109" i="37"/>
  <c r="N903" i="37" l="1"/>
  <c r="A904" i="37"/>
  <c r="U903" i="37"/>
  <c r="Q903" i="37"/>
  <c r="K903" i="37"/>
  <c r="B903" i="37"/>
  <c r="H903" i="37"/>
  <c r="E903" i="37"/>
  <c r="V902" i="37"/>
  <c r="H146" i="24"/>
  <c r="I146" i="24" s="1"/>
  <c r="J146" i="24"/>
  <c r="K146" i="24" s="1"/>
  <c r="L146" i="24"/>
  <c r="M146" i="24" s="1"/>
  <c r="R146" i="24"/>
  <c r="S146" i="24" s="1"/>
  <c r="T146" i="24"/>
  <c r="U146" i="24" s="1"/>
  <c r="V146" i="24"/>
  <c r="W146" i="24" s="1"/>
  <c r="P146" i="24"/>
  <c r="Q146" i="24" s="1"/>
  <c r="D146" i="24"/>
  <c r="E146" i="24" s="1"/>
  <c r="F146" i="24"/>
  <c r="G146" i="24" s="1"/>
  <c r="N146" i="24"/>
  <c r="O146" i="24" s="1"/>
  <c r="A147" i="24"/>
  <c r="B146" i="24"/>
  <c r="C146" i="24" s="1"/>
  <c r="R299" i="24"/>
  <c r="T299" i="24"/>
  <c r="N299" i="24"/>
  <c r="P299" i="24"/>
  <c r="F299" i="24"/>
  <c r="A300" i="24"/>
  <c r="V299" i="24"/>
  <c r="B299" i="24"/>
  <c r="D299" i="24"/>
  <c r="L299" i="24"/>
  <c r="J299" i="24"/>
  <c r="H299" i="24"/>
  <c r="J111" i="37"/>
  <c r="I111" i="37"/>
  <c r="D111" i="37"/>
  <c r="C111" i="37"/>
  <c r="P110" i="37"/>
  <c r="O110" i="37"/>
  <c r="G111" i="37"/>
  <c r="F111" i="37"/>
  <c r="M111" i="37"/>
  <c r="L111" i="37"/>
  <c r="S110" i="37"/>
  <c r="R110" i="37"/>
  <c r="B904" i="37" l="1"/>
  <c r="H904" i="37"/>
  <c r="N904" i="37"/>
  <c r="K904" i="37"/>
  <c r="E904" i="37"/>
  <c r="A905" i="37"/>
  <c r="U904" i="37"/>
  <c r="Q904" i="37"/>
  <c r="V903" i="37"/>
  <c r="T147" i="24"/>
  <c r="U147" i="24" s="1"/>
  <c r="L147" i="24"/>
  <c r="M147" i="24" s="1"/>
  <c r="P147" i="24"/>
  <c r="Q147" i="24" s="1"/>
  <c r="N147" i="24"/>
  <c r="O147" i="24" s="1"/>
  <c r="V147" i="24"/>
  <c r="W147" i="24" s="1"/>
  <c r="F147" i="24"/>
  <c r="G147" i="24" s="1"/>
  <c r="R147" i="24"/>
  <c r="S147" i="24" s="1"/>
  <c r="D147" i="24"/>
  <c r="E147" i="24" s="1"/>
  <c r="A148" i="24"/>
  <c r="B147" i="24"/>
  <c r="C147" i="24" s="1"/>
  <c r="H147" i="24"/>
  <c r="I147" i="24" s="1"/>
  <c r="J147" i="24"/>
  <c r="K147" i="24" s="1"/>
  <c r="T300" i="24"/>
  <c r="A301" i="24"/>
  <c r="L300" i="24"/>
  <c r="B300" i="24"/>
  <c r="V300" i="24"/>
  <c r="H300" i="24"/>
  <c r="F300" i="24"/>
  <c r="J300" i="24"/>
  <c r="N300" i="24"/>
  <c r="P300" i="24"/>
  <c r="R300" i="24"/>
  <c r="D300" i="24"/>
  <c r="J112" i="37"/>
  <c r="I112" i="37"/>
  <c r="D112" i="37"/>
  <c r="C112" i="37"/>
  <c r="P111" i="37"/>
  <c r="O111" i="37"/>
  <c r="R111" i="37"/>
  <c r="S111" i="37"/>
  <c r="G112" i="37"/>
  <c r="F112" i="37"/>
  <c r="L112" i="37"/>
  <c r="M112" i="37"/>
  <c r="K905" i="37" l="1"/>
  <c r="A906" i="37"/>
  <c r="Q905" i="37"/>
  <c r="U905" i="37"/>
  <c r="H905" i="37"/>
  <c r="B905" i="37"/>
  <c r="N905" i="37"/>
  <c r="E905" i="37"/>
  <c r="V904" i="37"/>
  <c r="P148" i="24"/>
  <c r="Q148" i="24" s="1"/>
  <c r="F148" i="24"/>
  <c r="G148" i="24" s="1"/>
  <c r="H148" i="24"/>
  <c r="I148" i="24" s="1"/>
  <c r="D148" i="24"/>
  <c r="E148" i="24" s="1"/>
  <c r="J148" i="24"/>
  <c r="K148" i="24" s="1"/>
  <c r="B148" i="24"/>
  <c r="C148" i="24" s="1"/>
  <c r="T148" i="24"/>
  <c r="U148" i="24" s="1"/>
  <c r="L148" i="24"/>
  <c r="M148" i="24" s="1"/>
  <c r="V148" i="24"/>
  <c r="W148" i="24" s="1"/>
  <c r="N148" i="24"/>
  <c r="O148" i="24" s="1"/>
  <c r="R148" i="24"/>
  <c r="S148" i="24" s="1"/>
  <c r="A149" i="24"/>
  <c r="L301" i="24"/>
  <c r="T301" i="24"/>
  <c r="R301" i="24"/>
  <c r="A302" i="24"/>
  <c r="N301" i="24"/>
  <c r="H301" i="24"/>
  <c r="P301" i="24"/>
  <c r="J301" i="24"/>
  <c r="D301" i="24"/>
  <c r="V301" i="24"/>
  <c r="F301" i="24"/>
  <c r="B301" i="24"/>
  <c r="J113" i="37"/>
  <c r="I113" i="37"/>
  <c r="D113" i="37"/>
  <c r="C113" i="37"/>
  <c r="P112" i="37"/>
  <c r="O112" i="37"/>
  <c r="G113" i="37"/>
  <c r="F113" i="37"/>
  <c r="S112" i="37"/>
  <c r="R112" i="37"/>
  <c r="M113" i="37"/>
  <c r="L113" i="37"/>
  <c r="B906" i="37" l="1"/>
  <c r="N906" i="37"/>
  <c r="H906" i="37"/>
  <c r="E906" i="37"/>
  <c r="K906" i="37"/>
  <c r="A907" i="37"/>
  <c r="Q906" i="37"/>
  <c r="U906" i="37"/>
  <c r="V905" i="37"/>
  <c r="A150" i="24"/>
  <c r="V149" i="24"/>
  <c r="W149" i="24" s="1"/>
  <c r="T149" i="24"/>
  <c r="U149" i="24" s="1"/>
  <c r="B149" i="24"/>
  <c r="C149" i="24" s="1"/>
  <c r="D149" i="24"/>
  <c r="E149" i="24" s="1"/>
  <c r="P149" i="24"/>
  <c r="Q149" i="24" s="1"/>
  <c r="F149" i="24"/>
  <c r="G149" i="24" s="1"/>
  <c r="R149" i="24"/>
  <c r="S149" i="24" s="1"/>
  <c r="H149" i="24"/>
  <c r="I149" i="24" s="1"/>
  <c r="J149" i="24"/>
  <c r="K149" i="24" s="1"/>
  <c r="N149" i="24"/>
  <c r="O149" i="24" s="1"/>
  <c r="L149" i="24"/>
  <c r="M149" i="24" s="1"/>
  <c r="L302" i="24"/>
  <c r="P302" i="24"/>
  <c r="T302" i="24"/>
  <c r="R302" i="24"/>
  <c r="H302" i="24"/>
  <c r="J302" i="24"/>
  <c r="N302" i="24"/>
  <c r="B302" i="24"/>
  <c r="A303" i="24"/>
  <c r="V302" i="24"/>
  <c r="D302" i="24"/>
  <c r="F302" i="24"/>
  <c r="J114" i="37"/>
  <c r="I114" i="37"/>
  <c r="D114" i="37"/>
  <c r="C114" i="37"/>
  <c r="O113" i="37"/>
  <c r="P113" i="37"/>
  <c r="G114" i="37"/>
  <c r="F114" i="37"/>
  <c r="L114" i="37"/>
  <c r="M114" i="37"/>
  <c r="R113" i="37"/>
  <c r="S113" i="37"/>
  <c r="K907" i="37" l="1"/>
  <c r="A908" i="37"/>
  <c r="U907" i="37"/>
  <c r="Q907" i="37"/>
  <c r="N907" i="37"/>
  <c r="E907" i="37"/>
  <c r="H907" i="37"/>
  <c r="B907" i="37"/>
  <c r="V906" i="37"/>
  <c r="L150" i="24"/>
  <c r="M150" i="24" s="1"/>
  <c r="D150" i="24"/>
  <c r="E150" i="24" s="1"/>
  <c r="P150" i="24"/>
  <c r="Q150" i="24" s="1"/>
  <c r="R150" i="24"/>
  <c r="S150" i="24" s="1"/>
  <c r="B150" i="24"/>
  <c r="C150" i="24" s="1"/>
  <c r="H150" i="24"/>
  <c r="I150" i="24" s="1"/>
  <c r="A151" i="24"/>
  <c r="F150" i="24"/>
  <c r="G150" i="24" s="1"/>
  <c r="T150" i="24"/>
  <c r="U150" i="24" s="1"/>
  <c r="N150" i="24"/>
  <c r="O150" i="24" s="1"/>
  <c r="J150" i="24"/>
  <c r="K150" i="24" s="1"/>
  <c r="V150" i="24"/>
  <c r="W150" i="24" s="1"/>
  <c r="P303" i="24"/>
  <c r="J303" i="24"/>
  <c r="T303" i="24"/>
  <c r="R303" i="24"/>
  <c r="L303" i="24"/>
  <c r="V303" i="24"/>
  <c r="F303" i="24"/>
  <c r="B303" i="24"/>
  <c r="D303" i="24"/>
  <c r="A304" i="24"/>
  <c r="H303" i="24"/>
  <c r="N303" i="24"/>
  <c r="J115" i="37"/>
  <c r="I115" i="37"/>
  <c r="C115" i="37"/>
  <c r="D115" i="37"/>
  <c r="P114" i="37"/>
  <c r="O114" i="37"/>
  <c r="M115" i="37"/>
  <c r="L115" i="37"/>
  <c r="G115" i="37"/>
  <c r="F115" i="37"/>
  <c r="S114" i="37"/>
  <c r="R114" i="37"/>
  <c r="N908" i="37" l="1"/>
  <c r="H908" i="37"/>
  <c r="K908" i="37"/>
  <c r="E908" i="37"/>
  <c r="A909" i="37"/>
  <c r="U908" i="37"/>
  <c r="Q908" i="37"/>
  <c r="B908" i="37"/>
  <c r="V907" i="37"/>
  <c r="B151" i="24"/>
  <c r="C151" i="24" s="1"/>
  <c r="L151" i="24"/>
  <c r="M151" i="24" s="1"/>
  <c r="P151" i="24"/>
  <c r="Q151" i="24" s="1"/>
  <c r="V151" i="24"/>
  <c r="W151" i="24" s="1"/>
  <c r="H151" i="24"/>
  <c r="I151" i="24" s="1"/>
  <c r="A152" i="24"/>
  <c r="D151" i="24"/>
  <c r="E151" i="24" s="1"/>
  <c r="R151" i="24"/>
  <c r="S151" i="24" s="1"/>
  <c r="J151" i="24"/>
  <c r="K151" i="24" s="1"/>
  <c r="N151" i="24"/>
  <c r="O151" i="24" s="1"/>
  <c r="F151" i="24"/>
  <c r="G151" i="24" s="1"/>
  <c r="T151" i="24"/>
  <c r="U151" i="24" s="1"/>
  <c r="H304" i="24"/>
  <c r="J304" i="24"/>
  <c r="L304" i="24"/>
  <c r="P304" i="24"/>
  <c r="R304" i="24"/>
  <c r="N304" i="24"/>
  <c r="A305" i="24"/>
  <c r="T304" i="24"/>
  <c r="B304" i="24"/>
  <c r="D304" i="24"/>
  <c r="V304" i="24"/>
  <c r="F304" i="24"/>
  <c r="J116" i="37"/>
  <c r="I116" i="37"/>
  <c r="D116" i="37"/>
  <c r="C116" i="37"/>
  <c r="P115" i="37"/>
  <c r="O115" i="37"/>
  <c r="F116" i="37"/>
  <c r="G116" i="37"/>
  <c r="M116" i="37"/>
  <c r="L116" i="37"/>
  <c r="S115" i="37"/>
  <c r="R115" i="37"/>
  <c r="K909" i="37" l="1"/>
  <c r="U909" i="37"/>
  <c r="Q909" i="37"/>
  <c r="N909" i="37"/>
  <c r="B909" i="37"/>
  <c r="H909" i="37"/>
  <c r="A910" i="37"/>
  <c r="E909" i="37"/>
  <c r="V908" i="37"/>
  <c r="H152" i="24"/>
  <c r="I152" i="24" s="1"/>
  <c r="J152" i="24"/>
  <c r="K152" i="24" s="1"/>
  <c r="L152" i="24"/>
  <c r="M152" i="24" s="1"/>
  <c r="B152" i="24"/>
  <c r="C152" i="24" s="1"/>
  <c r="P152" i="24"/>
  <c r="Q152" i="24" s="1"/>
  <c r="A153" i="24"/>
  <c r="V152" i="24"/>
  <c r="W152" i="24" s="1"/>
  <c r="T152" i="24"/>
  <c r="U152" i="24" s="1"/>
  <c r="D152" i="24"/>
  <c r="E152" i="24" s="1"/>
  <c r="R152" i="24"/>
  <c r="S152" i="24" s="1"/>
  <c r="F152" i="24"/>
  <c r="G152" i="24" s="1"/>
  <c r="N152" i="24"/>
  <c r="O152" i="24" s="1"/>
  <c r="J305" i="24"/>
  <c r="H305" i="24"/>
  <c r="L305" i="24"/>
  <c r="P305" i="24"/>
  <c r="V305" i="24"/>
  <c r="B305" i="24"/>
  <c r="T305" i="24"/>
  <c r="A306" i="24"/>
  <c r="D305" i="24"/>
  <c r="R305" i="24"/>
  <c r="N305" i="24"/>
  <c r="F305" i="24"/>
  <c r="J117" i="37"/>
  <c r="I117" i="37"/>
  <c r="C117" i="37"/>
  <c r="D117" i="37"/>
  <c r="O116" i="37"/>
  <c r="P116" i="37"/>
  <c r="R116" i="37"/>
  <c r="S116" i="37"/>
  <c r="L117" i="37"/>
  <c r="M117" i="37"/>
  <c r="G117" i="37"/>
  <c r="F117" i="37"/>
  <c r="B910" i="37" l="1"/>
  <c r="H910" i="37"/>
  <c r="N910" i="37"/>
  <c r="E910" i="37"/>
  <c r="K910" i="37"/>
  <c r="A911" i="37"/>
  <c r="U910" i="37"/>
  <c r="Q910" i="37"/>
  <c r="V909" i="37"/>
  <c r="D153" i="24"/>
  <c r="E153" i="24" s="1"/>
  <c r="L153" i="24"/>
  <c r="M153" i="24" s="1"/>
  <c r="R153" i="24"/>
  <c r="S153" i="24" s="1"/>
  <c r="N153" i="24"/>
  <c r="O153" i="24" s="1"/>
  <c r="B153" i="24"/>
  <c r="C153" i="24" s="1"/>
  <c r="T153" i="24"/>
  <c r="U153" i="24" s="1"/>
  <c r="P153" i="24"/>
  <c r="Q153" i="24" s="1"/>
  <c r="V153" i="24"/>
  <c r="W153" i="24" s="1"/>
  <c r="F153" i="24"/>
  <c r="G153" i="24" s="1"/>
  <c r="J153" i="24"/>
  <c r="K153" i="24" s="1"/>
  <c r="H153" i="24"/>
  <c r="I153" i="24" s="1"/>
  <c r="A154" i="24"/>
  <c r="B306" i="24"/>
  <c r="F306" i="24"/>
  <c r="D306" i="24"/>
  <c r="V306" i="24"/>
  <c r="J306" i="24"/>
  <c r="H306" i="24"/>
  <c r="R306" i="24"/>
  <c r="P306" i="24"/>
  <c r="T306" i="24"/>
  <c r="A307" i="24"/>
  <c r="L306" i="24"/>
  <c r="N306" i="24"/>
  <c r="J118" i="37"/>
  <c r="I118" i="37"/>
  <c r="C118" i="37"/>
  <c r="D118" i="37"/>
  <c r="P117" i="37"/>
  <c r="O117" i="37"/>
  <c r="M118" i="37"/>
  <c r="L118" i="37"/>
  <c r="G118" i="37"/>
  <c r="F118" i="37"/>
  <c r="S117" i="37"/>
  <c r="R117" i="37"/>
  <c r="H911" i="37" l="1"/>
  <c r="A912" i="37"/>
  <c r="Q911" i="37"/>
  <c r="N911" i="37"/>
  <c r="B911" i="37"/>
  <c r="K911" i="37"/>
  <c r="E911" i="37"/>
  <c r="U911" i="37"/>
  <c r="V910" i="37"/>
  <c r="B154" i="24"/>
  <c r="C154" i="24" s="1"/>
  <c r="F154" i="24"/>
  <c r="G154" i="24" s="1"/>
  <c r="H154" i="24"/>
  <c r="I154" i="24" s="1"/>
  <c r="L154" i="24"/>
  <c r="M154" i="24" s="1"/>
  <c r="A155" i="24"/>
  <c r="R154" i="24"/>
  <c r="S154" i="24" s="1"/>
  <c r="P154" i="24"/>
  <c r="Q154" i="24" s="1"/>
  <c r="D154" i="24"/>
  <c r="E154" i="24" s="1"/>
  <c r="T154" i="24"/>
  <c r="U154" i="24" s="1"/>
  <c r="J154" i="24"/>
  <c r="K154" i="24" s="1"/>
  <c r="N154" i="24"/>
  <c r="O154" i="24" s="1"/>
  <c r="V154" i="24"/>
  <c r="W154" i="24" s="1"/>
  <c r="L307" i="24"/>
  <c r="T307" i="24"/>
  <c r="N307" i="24"/>
  <c r="A308" i="24"/>
  <c r="F307" i="24"/>
  <c r="D307" i="24"/>
  <c r="J307" i="24"/>
  <c r="P307" i="24"/>
  <c r="R307" i="24"/>
  <c r="V307" i="24"/>
  <c r="B307" i="24"/>
  <c r="H307" i="24"/>
  <c r="J119" i="37"/>
  <c r="I119" i="37"/>
  <c r="D119" i="37"/>
  <c r="C119" i="37"/>
  <c r="P118" i="37"/>
  <c r="O118" i="37"/>
  <c r="S118" i="37"/>
  <c r="R118" i="37"/>
  <c r="M119" i="37"/>
  <c r="L119" i="37"/>
  <c r="G119" i="37"/>
  <c r="F119" i="37"/>
  <c r="H912" i="37" l="1"/>
  <c r="N912" i="37"/>
  <c r="B912" i="37"/>
  <c r="K912" i="37"/>
  <c r="E912" i="37"/>
  <c r="A913" i="37"/>
  <c r="U912" i="37"/>
  <c r="Q912" i="37"/>
  <c r="V911" i="37"/>
  <c r="T155" i="24"/>
  <c r="U155" i="24" s="1"/>
  <c r="H155" i="24"/>
  <c r="I155" i="24" s="1"/>
  <c r="D155" i="24"/>
  <c r="E155" i="24" s="1"/>
  <c r="A156" i="24"/>
  <c r="P155" i="24"/>
  <c r="Q155" i="24" s="1"/>
  <c r="J155" i="24"/>
  <c r="K155" i="24" s="1"/>
  <c r="V155" i="24"/>
  <c r="W155" i="24" s="1"/>
  <c r="F155" i="24"/>
  <c r="G155" i="24" s="1"/>
  <c r="R155" i="24"/>
  <c r="S155" i="24" s="1"/>
  <c r="B155" i="24"/>
  <c r="C155" i="24" s="1"/>
  <c r="L155" i="24"/>
  <c r="M155" i="24" s="1"/>
  <c r="N155" i="24"/>
  <c r="O155" i="24" s="1"/>
  <c r="D308" i="24"/>
  <c r="J308" i="24"/>
  <c r="N308" i="24"/>
  <c r="H308" i="24"/>
  <c r="A309" i="24"/>
  <c r="P308" i="24"/>
  <c r="R308" i="24"/>
  <c r="T308" i="24"/>
  <c r="B308" i="24"/>
  <c r="L308" i="24"/>
  <c r="V308" i="24"/>
  <c r="F308" i="24"/>
  <c r="J120" i="37"/>
  <c r="I120" i="37"/>
  <c r="C120" i="37"/>
  <c r="D120" i="37"/>
  <c r="P119" i="37"/>
  <c r="O119" i="37"/>
  <c r="M120" i="37"/>
  <c r="L120" i="37"/>
  <c r="G120" i="37"/>
  <c r="F120" i="37"/>
  <c r="S119" i="37"/>
  <c r="R119" i="37"/>
  <c r="N913" i="37" l="1"/>
  <c r="E913" i="37"/>
  <c r="A914" i="37"/>
  <c r="Q913" i="37"/>
  <c r="B913" i="37"/>
  <c r="K913" i="37"/>
  <c r="U913" i="37"/>
  <c r="H913" i="37"/>
  <c r="V912" i="37"/>
  <c r="L156" i="24"/>
  <c r="M156" i="24" s="1"/>
  <c r="D156" i="24"/>
  <c r="E156" i="24" s="1"/>
  <c r="P156" i="24"/>
  <c r="Q156" i="24" s="1"/>
  <c r="N156" i="24"/>
  <c r="O156" i="24" s="1"/>
  <c r="T156" i="24"/>
  <c r="U156" i="24" s="1"/>
  <c r="V156" i="24"/>
  <c r="W156" i="24" s="1"/>
  <c r="A157" i="24"/>
  <c r="R156" i="24"/>
  <c r="S156" i="24" s="1"/>
  <c r="B156" i="24"/>
  <c r="C156" i="24" s="1"/>
  <c r="J156" i="24"/>
  <c r="K156" i="24" s="1"/>
  <c r="H156" i="24"/>
  <c r="I156" i="24" s="1"/>
  <c r="F156" i="24"/>
  <c r="G156" i="24" s="1"/>
  <c r="B309" i="24"/>
  <c r="N309" i="24"/>
  <c r="D309" i="24"/>
  <c r="F309" i="24"/>
  <c r="H309" i="24"/>
  <c r="V309" i="24"/>
  <c r="J309" i="24"/>
  <c r="R309" i="24"/>
  <c r="P309" i="24"/>
  <c r="A310" i="24"/>
  <c r="T309" i="24"/>
  <c r="L309" i="24"/>
  <c r="J121" i="37"/>
  <c r="I121" i="37"/>
  <c r="C121" i="37"/>
  <c r="D121" i="37"/>
  <c r="P120" i="37"/>
  <c r="O120" i="37"/>
  <c r="S120" i="37"/>
  <c r="R120" i="37"/>
  <c r="F121" i="37"/>
  <c r="G121" i="37"/>
  <c r="M121" i="37"/>
  <c r="L121" i="37"/>
  <c r="B914" i="37" l="1"/>
  <c r="N914" i="37"/>
  <c r="E914" i="37"/>
  <c r="K914" i="37"/>
  <c r="A915" i="37"/>
  <c r="V913" i="37"/>
  <c r="H914" i="37"/>
  <c r="Q914" i="37"/>
  <c r="U914" i="37"/>
  <c r="T157" i="24"/>
  <c r="U157" i="24" s="1"/>
  <c r="B157" i="24"/>
  <c r="C157" i="24" s="1"/>
  <c r="N157" i="24"/>
  <c r="O157" i="24" s="1"/>
  <c r="L157" i="24"/>
  <c r="M157" i="24" s="1"/>
  <c r="H157" i="24"/>
  <c r="I157" i="24" s="1"/>
  <c r="A158" i="24"/>
  <c r="D157" i="24"/>
  <c r="E157" i="24" s="1"/>
  <c r="J157" i="24"/>
  <c r="K157" i="24" s="1"/>
  <c r="F157" i="24"/>
  <c r="G157" i="24" s="1"/>
  <c r="R157" i="24"/>
  <c r="S157" i="24" s="1"/>
  <c r="P157" i="24"/>
  <c r="Q157" i="24" s="1"/>
  <c r="V157" i="24"/>
  <c r="W157" i="24" s="1"/>
  <c r="T310" i="24"/>
  <c r="R310" i="24"/>
  <c r="B310" i="24"/>
  <c r="F310" i="24"/>
  <c r="D310" i="24"/>
  <c r="V310" i="24"/>
  <c r="N310" i="24"/>
  <c r="H310" i="24"/>
  <c r="L310" i="24"/>
  <c r="J310" i="24"/>
  <c r="P310" i="24"/>
  <c r="A311" i="24"/>
  <c r="J122" i="37"/>
  <c r="I122" i="37"/>
  <c r="C122" i="37"/>
  <c r="D122" i="37"/>
  <c r="P121" i="37"/>
  <c r="O121" i="37"/>
  <c r="G122" i="37"/>
  <c r="F122" i="37"/>
  <c r="S121" i="37"/>
  <c r="R121" i="37"/>
  <c r="M122" i="37"/>
  <c r="L122" i="37"/>
  <c r="B915" i="37" l="1"/>
  <c r="H915" i="37"/>
  <c r="E915" i="37"/>
  <c r="U915" i="37"/>
  <c r="Q915" i="37"/>
  <c r="N915" i="37"/>
  <c r="K915" i="37"/>
  <c r="A916" i="37"/>
  <c r="V914" i="37"/>
  <c r="B158" i="24"/>
  <c r="C158" i="24" s="1"/>
  <c r="N158" i="24"/>
  <c r="O158" i="24" s="1"/>
  <c r="R158" i="24"/>
  <c r="S158" i="24" s="1"/>
  <c r="D158" i="24"/>
  <c r="E158" i="24" s="1"/>
  <c r="T158" i="24"/>
  <c r="U158" i="24" s="1"/>
  <c r="J158" i="24"/>
  <c r="K158" i="24" s="1"/>
  <c r="L158" i="24"/>
  <c r="M158" i="24" s="1"/>
  <c r="F158" i="24"/>
  <c r="G158" i="24" s="1"/>
  <c r="A159" i="24"/>
  <c r="V158" i="24"/>
  <c r="W158" i="24" s="1"/>
  <c r="P158" i="24"/>
  <c r="Q158" i="24" s="1"/>
  <c r="H158" i="24"/>
  <c r="I158" i="24" s="1"/>
  <c r="L311" i="24"/>
  <c r="J311" i="24"/>
  <c r="P311" i="24"/>
  <c r="V311" i="24"/>
  <c r="T311" i="24"/>
  <c r="F311" i="24"/>
  <c r="D311" i="24"/>
  <c r="A312" i="24"/>
  <c r="B311" i="24"/>
  <c r="H311" i="24"/>
  <c r="R311" i="24"/>
  <c r="N311" i="24"/>
  <c r="J123" i="37"/>
  <c r="I123" i="37"/>
  <c r="C123" i="37"/>
  <c r="D123" i="37"/>
  <c r="P122" i="37"/>
  <c r="O122" i="37"/>
  <c r="L123" i="37"/>
  <c r="M123" i="37"/>
  <c r="F123" i="37"/>
  <c r="G123" i="37"/>
  <c r="S122" i="37"/>
  <c r="R122" i="37"/>
  <c r="N916" i="37" l="1"/>
  <c r="H916" i="37"/>
  <c r="K916" i="37"/>
  <c r="E916" i="37"/>
  <c r="U916" i="37"/>
  <c r="B916" i="37"/>
  <c r="A917" i="37"/>
  <c r="Q916" i="37"/>
  <c r="V915" i="37"/>
  <c r="P159" i="24"/>
  <c r="Q159" i="24" s="1"/>
  <c r="A160" i="24"/>
  <c r="R159" i="24"/>
  <c r="S159" i="24" s="1"/>
  <c r="B159" i="24"/>
  <c r="C159" i="24" s="1"/>
  <c r="T159" i="24"/>
  <c r="U159" i="24" s="1"/>
  <c r="L159" i="24"/>
  <c r="M159" i="24" s="1"/>
  <c r="V159" i="24"/>
  <c r="W159" i="24" s="1"/>
  <c r="F159" i="24"/>
  <c r="G159" i="24" s="1"/>
  <c r="J159" i="24"/>
  <c r="K159" i="24" s="1"/>
  <c r="N159" i="24"/>
  <c r="O159" i="24" s="1"/>
  <c r="H159" i="24"/>
  <c r="I159" i="24" s="1"/>
  <c r="D159" i="24"/>
  <c r="E159" i="24" s="1"/>
  <c r="D312" i="24"/>
  <c r="F312" i="24"/>
  <c r="H312" i="24"/>
  <c r="J312" i="24"/>
  <c r="N312" i="24"/>
  <c r="V312" i="24"/>
  <c r="B312" i="24"/>
  <c r="L312" i="24"/>
  <c r="R312" i="24"/>
  <c r="T312" i="24"/>
  <c r="A313" i="24"/>
  <c r="P312" i="24"/>
  <c r="J124" i="37"/>
  <c r="I124" i="37"/>
  <c r="D124" i="37"/>
  <c r="C124" i="37"/>
  <c r="O123" i="37"/>
  <c r="P123" i="37"/>
  <c r="R123" i="37"/>
  <c r="S123" i="37"/>
  <c r="F124" i="37"/>
  <c r="G124" i="37"/>
  <c r="L124" i="37"/>
  <c r="M124" i="37"/>
  <c r="N917" i="37" l="1"/>
  <c r="K917" i="37"/>
  <c r="A918" i="37"/>
  <c r="Q917" i="37"/>
  <c r="V916" i="37"/>
  <c r="B917" i="37"/>
  <c r="E917" i="37"/>
  <c r="H917" i="37"/>
  <c r="U917" i="37"/>
  <c r="P160" i="24"/>
  <c r="Q160" i="24" s="1"/>
  <c r="R160" i="24"/>
  <c r="S160" i="24" s="1"/>
  <c r="V160" i="24"/>
  <c r="W160" i="24" s="1"/>
  <c r="N160" i="24"/>
  <c r="O160" i="24" s="1"/>
  <c r="F160" i="24"/>
  <c r="G160" i="24" s="1"/>
  <c r="B160" i="24"/>
  <c r="C160" i="24" s="1"/>
  <c r="A161" i="24"/>
  <c r="T160" i="24"/>
  <c r="U160" i="24" s="1"/>
  <c r="J160" i="24"/>
  <c r="K160" i="24" s="1"/>
  <c r="D160" i="24"/>
  <c r="E160" i="24" s="1"/>
  <c r="L160" i="24"/>
  <c r="M160" i="24" s="1"/>
  <c r="H160" i="24"/>
  <c r="I160" i="24" s="1"/>
  <c r="H313" i="24"/>
  <c r="F313" i="24"/>
  <c r="D313" i="24"/>
  <c r="J313" i="24"/>
  <c r="V313" i="24"/>
  <c r="T313" i="24"/>
  <c r="A314" i="24"/>
  <c r="R313" i="24"/>
  <c r="N313" i="24"/>
  <c r="P313" i="24"/>
  <c r="B313" i="24"/>
  <c r="L313" i="24"/>
  <c r="J125" i="37"/>
  <c r="I125" i="37"/>
  <c r="D125" i="37"/>
  <c r="C125" i="37"/>
  <c r="O124" i="37"/>
  <c r="P124" i="37"/>
  <c r="G125" i="37"/>
  <c r="F125" i="37"/>
  <c r="S124" i="37"/>
  <c r="R124" i="37"/>
  <c r="L125" i="37"/>
  <c r="M125" i="37"/>
  <c r="H918" i="37" l="1"/>
  <c r="N918" i="37"/>
  <c r="K918" i="37"/>
  <c r="A919" i="37"/>
  <c r="Q918" i="37"/>
  <c r="B918" i="37"/>
  <c r="E918" i="37"/>
  <c r="U918" i="37"/>
  <c r="V917" i="37"/>
  <c r="A162" i="24"/>
  <c r="L161" i="24"/>
  <c r="M161" i="24" s="1"/>
  <c r="N161" i="24"/>
  <c r="O161" i="24" s="1"/>
  <c r="R161" i="24"/>
  <c r="S161" i="24" s="1"/>
  <c r="B161" i="24"/>
  <c r="C161" i="24" s="1"/>
  <c r="P161" i="24"/>
  <c r="Q161" i="24" s="1"/>
  <c r="J161" i="24"/>
  <c r="K161" i="24" s="1"/>
  <c r="V161" i="24"/>
  <c r="W161" i="24" s="1"/>
  <c r="T161" i="24"/>
  <c r="U161" i="24" s="1"/>
  <c r="D161" i="24"/>
  <c r="E161" i="24" s="1"/>
  <c r="H161" i="24"/>
  <c r="I161" i="24" s="1"/>
  <c r="F161" i="24"/>
  <c r="G161" i="24" s="1"/>
  <c r="A315" i="24"/>
  <c r="N314" i="24"/>
  <c r="B314" i="24"/>
  <c r="F314" i="24"/>
  <c r="D314" i="24"/>
  <c r="V314" i="24"/>
  <c r="J314" i="24"/>
  <c r="T314" i="24"/>
  <c r="H314" i="24"/>
  <c r="L314" i="24"/>
  <c r="R314" i="24"/>
  <c r="P314" i="24"/>
  <c r="J126" i="37"/>
  <c r="I126" i="37"/>
  <c r="D126" i="37"/>
  <c r="C126" i="37"/>
  <c r="P125" i="37"/>
  <c r="O125" i="37"/>
  <c r="R125" i="37"/>
  <c r="S125" i="37"/>
  <c r="G126" i="37"/>
  <c r="F126" i="37"/>
  <c r="M126" i="37"/>
  <c r="L126" i="37"/>
  <c r="Q919" i="37" l="1"/>
  <c r="N919" i="37"/>
  <c r="A920" i="37"/>
  <c r="E919" i="37"/>
  <c r="B919" i="37"/>
  <c r="K919" i="37"/>
  <c r="H919" i="37"/>
  <c r="U919" i="37"/>
  <c r="V918" i="37"/>
  <c r="R162" i="24"/>
  <c r="S162" i="24" s="1"/>
  <c r="D162" i="24"/>
  <c r="E162" i="24" s="1"/>
  <c r="T162" i="24"/>
  <c r="U162" i="24" s="1"/>
  <c r="J162" i="24"/>
  <c r="K162" i="24" s="1"/>
  <c r="B162" i="24"/>
  <c r="C162" i="24" s="1"/>
  <c r="P162" i="24"/>
  <c r="Q162" i="24" s="1"/>
  <c r="L162" i="24"/>
  <c r="M162" i="24" s="1"/>
  <c r="A163" i="24"/>
  <c r="N162" i="24"/>
  <c r="O162" i="24" s="1"/>
  <c r="F162" i="24"/>
  <c r="G162" i="24" s="1"/>
  <c r="V162" i="24"/>
  <c r="W162" i="24" s="1"/>
  <c r="H162" i="24"/>
  <c r="I162" i="24" s="1"/>
  <c r="R315" i="24"/>
  <c r="L315" i="24"/>
  <c r="T315" i="24"/>
  <c r="P315" i="24"/>
  <c r="D315" i="24"/>
  <c r="F315" i="24"/>
  <c r="J315" i="24"/>
  <c r="A316" i="24"/>
  <c r="H315" i="24"/>
  <c r="N315" i="24"/>
  <c r="V315" i="24"/>
  <c r="B315" i="24"/>
  <c r="I127" i="37"/>
  <c r="J127" i="37"/>
  <c r="D127" i="37"/>
  <c r="C127" i="37"/>
  <c r="P126" i="37"/>
  <c r="O126" i="37"/>
  <c r="G127" i="37"/>
  <c r="F127" i="37"/>
  <c r="M127" i="37"/>
  <c r="L127" i="37"/>
  <c r="S126" i="37"/>
  <c r="R126" i="37"/>
  <c r="U920" i="37" l="1"/>
  <c r="H920" i="37"/>
  <c r="A921" i="37"/>
  <c r="B920" i="37"/>
  <c r="N920" i="37"/>
  <c r="K920" i="37"/>
  <c r="E920" i="37"/>
  <c r="Q920" i="37"/>
  <c r="V919" i="37"/>
  <c r="L163" i="24"/>
  <c r="M163" i="24" s="1"/>
  <c r="D163" i="24"/>
  <c r="E163" i="24" s="1"/>
  <c r="T163" i="24"/>
  <c r="U163" i="24" s="1"/>
  <c r="R163" i="24"/>
  <c r="S163" i="24" s="1"/>
  <c r="F163" i="24"/>
  <c r="G163" i="24" s="1"/>
  <c r="N163" i="24"/>
  <c r="O163" i="24" s="1"/>
  <c r="B163" i="24"/>
  <c r="C163" i="24" s="1"/>
  <c r="V163" i="24"/>
  <c r="W163" i="24" s="1"/>
  <c r="P163" i="24"/>
  <c r="Q163" i="24" s="1"/>
  <c r="H163" i="24"/>
  <c r="I163" i="24" s="1"/>
  <c r="A164" i="24"/>
  <c r="J163" i="24"/>
  <c r="K163" i="24" s="1"/>
  <c r="B316" i="24"/>
  <c r="V316" i="24"/>
  <c r="H316" i="24"/>
  <c r="F316" i="24"/>
  <c r="L316" i="24"/>
  <c r="N316" i="24"/>
  <c r="P316" i="24"/>
  <c r="R316" i="24"/>
  <c r="A317" i="24"/>
  <c r="D316" i="24"/>
  <c r="J316" i="24"/>
  <c r="T316" i="24"/>
  <c r="J128" i="37"/>
  <c r="I128" i="37"/>
  <c r="C128" i="37"/>
  <c r="D128" i="37"/>
  <c r="P127" i="37"/>
  <c r="O127" i="37"/>
  <c r="M128" i="37"/>
  <c r="L128" i="37"/>
  <c r="S127" i="37"/>
  <c r="R127" i="37"/>
  <c r="G128" i="37"/>
  <c r="F128" i="37"/>
  <c r="E921" i="37" l="1"/>
  <c r="A922" i="37"/>
  <c r="U921" i="37"/>
  <c r="K921" i="37"/>
  <c r="Q921" i="37"/>
  <c r="N921" i="37"/>
  <c r="B921" i="37"/>
  <c r="H921" i="37"/>
  <c r="V920" i="37"/>
  <c r="F164" i="24"/>
  <c r="G164" i="24" s="1"/>
  <c r="A165" i="24"/>
  <c r="V164" i="24"/>
  <c r="W164" i="24" s="1"/>
  <c r="D164" i="24"/>
  <c r="E164" i="24" s="1"/>
  <c r="J164" i="24"/>
  <c r="K164" i="24" s="1"/>
  <c r="H164" i="24"/>
  <c r="I164" i="24" s="1"/>
  <c r="P164" i="24"/>
  <c r="Q164" i="24" s="1"/>
  <c r="N164" i="24"/>
  <c r="O164" i="24" s="1"/>
  <c r="L164" i="24"/>
  <c r="M164" i="24" s="1"/>
  <c r="R164" i="24"/>
  <c r="S164" i="24" s="1"/>
  <c r="T164" i="24"/>
  <c r="U164" i="24" s="1"/>
  <c r="B164" i="24"/>
  <c r="C164" i="24" s="1"/>
  <c r="H317" i="24"/>
  <c r="J317" i="24"/>
  <c r="A318" i="24"/>
  <c r="F317" i="24"/>
  <c r="L317" i="24"/>
  <c r="P317" i="24"/>
  <c r="R317" i="24"/>
  <c r="N317" i="24"/>
  <c r="V317" i="24"/>
  <c r="B317" i="24"/>
  <c r="T317" i="24"/>
  <c r="D317" i="24"/>
  <c r="I129" i="37"/>
  <c r="J129" i="37"/>
  <c r="D129" i="37"/>
  <c r="C129" i="37"/>
  <c r="P128" i="37"/>
  <c r="O128" i="37"/>
  <c r="F129" i="37"/>
  <c r="G129" i="37"/>
  <c r="S128" i="37"/>
  <c r="R128" i="37"/>
  <c r="M129" i="37"/>
  <c r="L129" i="37"/>
  <c r="Q922" i="37" l="1"/>
  <c r="N922" i="37"/>
  <c r="A923" i="37"/>
  <c r="B922" i="37"/>
  <c r="H922" i="37"/>
  <c r="E922" i="37"/>
  <c r="K922" i="37"/>
  <c r="U922" i="37"/>
  <c r="V921" i="37"/>
  <c r="T165" i="24"/>
  <c r="U165" i="24" s="1"/>
  <c r="A166" i="24"/>
  <c r="L165" i="24"/>
  <c r="M165" i="24" s="1"/>
  <c r="V165" i="24"/>
  <c r="W165" i="24" s="1"/>
  <c r="B165" i="24"/>
  <c r="C165" i="24" s="1"/>
  <c r="F165" i="24"/>
  <c r="G165" i="24" s="1"/>
  <c r="J165" i="24"/>
  <c r="K165" i="24" s="1"/>
  <c r="D165" i="24"/>
  <c r="E165" i="24" s="1"/>
  <c r="P165" i="24"/>
  <c r="Q165" i="24" s="1"/>
  <c r="H165" i="24"/>
  <c r="I165" i="24" s="1"/>
  <c r="R165" i="24"/>
  <c r="S165" i="24" s="1"/>
  <c r="N165" i="24"/>
  <c r="O165" i="24" s="1"/>
  <c r="D318" i="24"/>
  <c r="F318" i="24"/>
  <c r="H318" i="24"/>
  <c r="V318" i="24"/>
  <c r="J318" i="24"/>
  <c r="T318" i="24"/>
  <c r="A319" i="24"/>
  <c r="B318" i="24"/>
  <c r="L318" i="24"/>
  <c r="N318" i="24"/>
  <c r="R318" i="24"/>
  <c r="P318" i="24"/>
  <c r="J130" i="37"/>
  <c r="I130" i="37"/>
  <c r="C130" i="37"/>
  <c r="D130" i="37"/>
  <c r="P129" i="37"/>
  <c r="O129" i="37"/>
  <c r="R129" i="37"/>
  <c r="S129" i="37"/>
  <c r="L130" i="37"/>
  <c r="M130" i="37"/>
  <c r="G130" i="37"/>
  <c r="F130" i="37"/>
  <c r="U923" i="37" l="1"/>
  <c r="H923" i="37"/>
  <c r="E923" i="37"/>
  <c r="N923" i="37"/>
  <c r="K923" i="37"/>
  <c r="A924" i="37"/>
  <c r="Q923" i="37"/>
  <c r="B923" i="37"/>
  <c r="V922" i="37"/>
  <c r="N166" i="24"/>
  <c r="O166" i="24" s="1"/>
  <c r="R166" i="24"/>
  <c r="S166" i="24" s="1"/>
  <c r="A167" i="24"/>
  <c r="V166" i="24"/>
  <c r="W166" i="24" s="1"/>
  <c r="L166" i="24"/>
  <c r="M166" i="24" s="1"/>
  <c r="T166" i="24"/>
  <c r="U166" i="24" s="1"/>
  <c r="P166" i="24"/>
  <c r="Q166" i="24" s="1"/>
  <c r="H166" i="24"/>
  <c r="I166" i="24" s="1"/>
  <c r="F166" i="24"/>
  <c r="G166" i="24" s="1"/>
  <c r="B166" i="24"/>
  <c r="C166" i="24" s="1"/>
  <c r="J166" i="24"/>
  <c r="K166" i="24" s="1"/>
  <c r="D166" i="24"/>
  <c r="E166" i="24" s="1"/>
  <c r="A320" i="24"/>
  <c r="V319" i="24"/>
  <c r="D319" i="24"/>
  <c r="F319" i="24"/>
  <c r="B319" i="24"/>
  <c r="T319" i="24"/>
  <c r="H319" i="24"/>
  <c r="J319" i="24"/>
  <c r="L319" i="24"/>
  <c r="R319" i="24"/>
  <c r="N319" i="24"/>
  <c r="P319" i="24"/>
  <c r="J131" i="37"/>
  <c r="I131" i="37"/>
  <c r="C131" i="37"/>
  <c r="D131" i="37"/>
  <c r="P130" i="37"/>
  <c r="O130" i="37"/>
  <c r="G131" i="37"/>
  <c r="F131" i="37"/>
  <c r="L131" i="37"/>
  <c r="M131" i="37"/>
  <c r="S130" i="37"/>
  <c r="R130" i="37"/>
  <c r="E924" i="37" l="1"/>
  <c r="A925" i="37"/>
  <c r="Q924" i="37"/>
  <c r="B924" i="37"/>
  <c r="N924" i="37"/>
  <c r="H924" i="37"/>
  <c r="K924" i="37"/>
  <c r="U924" i="37"/>
  <c r="V923" i="37"/>
  <c r="T167" i="24"/>
  <c r="U167" i="24" s="1"/>
  <c r="V167" i="24"/>
  <c r="W167" i="24" s="1"/>
  <c r="R167" i="24"/>
  <c r="S167" i="24" s="1"/>
  <c r="B167" i="24"/>
  <c r="C167" i="24" s="1"/>
  <c r="A168" i="24"/>
  <c r="D167" i="24"/>
  <c r="E167" i="24" s="1"/>
  <c r="N167" i="24"/>
  <c r="O167" i="24" s="1"/>
  <c r="F167" i="24"/>
  <c r="G167" i="24" s="1"/>
  <c r="P167" i="24"/>
  <c r="Q167" i="24" s="1"/>
  <c r="H167" i="24"/>
  <c r="I167" i="24" s="1"/>
  <c r="L167" i="24"/>
  <c r="M167" i="24" s="1"/>
  <c r="J167" i="24"/>
  <c r="K167" i="24" s="1"/>
  <c r="T320" i="24"/>
  <c r="R320" i="24"/>
  <c r="A321" i="24"/>
  <c r="N320" i="24"/>
  <c r="P320" i="24"/>
  <c r="F320" i="24"/>
  <c r="B320" i="24"/>
  <c r="D320" i="24"/>
  <c r="H320" i="24"/>
  <c r="J320" i="24"/>
  <c r="L320" i="24"/>
  <c r="V320" i="24"/>
  <c r="I132" i="37"/>
  <c r="J132" i="37"/>
  <c r="D132" i="37"/>
  <c r="C132" i="37"/>
  <c r="O131" i="37"/>
  <c r="P131" i="37"/>
  <c r="S131" i="37"/>
  <c r="R131" i="37"/>
  <c r="M132" i="37"/>
  <c r="L132" i="37"/>
  <c r="G132" i="37"/>
  <c r="F132" i="37"/>
  <c r="E925" i="37" l="1"/>
  <c r="A926" i="37"/>
  <c r="U925" i="37"/>
  <c r="B925" i="37"/>
  <c r="H925" i="37"/>
  <c r="N925" i="37"/>
  <c r="K925" i="37"/>
  <c r="Q925" i="37"/>
  <c r="V924" i="37"/>
  <c r="L168" i="24"/>
  <c r="M168" i="24" s="1"/>
  <c r="R168" i="24"/>
  <c r="S168" i="24" s="1"/>
  <c r="P168" i="24"/>
  <c r="Q168" i="24" s="1"/>
  <c r="N168" i="24"/>
  <c r="O168" i="24" s="1"/>
  <c r="V168" i="24"/>
  <c r="W168" i="24" s="1"/>
  <c r="T168" i="24"/>
  <c r="U168" i="24" s="1"/>
  <c r="B168" i="24"/>
  <c r="C168" i="24" s="1"/>
  <c r="J168" i="24"/>
  <c r="K168" i="24" s="1"/>
  <c r="F168" i="24"/>
  <c r="G168" i="24" s="1"/>
  <c r="D168" i="24"/>
  <c r="E168" i="24" s="1"/>
  <c r="H168" i="24"/>
  <c r="I168" i="24" s="1"/>
  <c r="A169" i="24"/>
  <c r="R321" i="24"/>
  <c r="T321" i="24"/>
  <c r="N321" i="24"/>
  <c r="J321" i="24"/>
  <c r="V321" i="24"/>
  <c r="F321" i="24"/>
  <c r="A322" i="24"/>
  <c r="B321" i="24"/>
  <c r="D321" i="24"/>
  <c r="H321" i="24"/>
  <c r="L321" i="24"/>
  <c r="P321" i="24"/>
  <c r="J133" i="37"/>
  <c r="I133" i="37"/>
  <c r="D133" i="37"/>
  <c r="C133" i="37"/>
  <c r="O132" i="37"/>
  <c r="P132" i="37"/>
  <c r="M133" i="37"/>
  <c r="L133" i="37"/>
  <c r="S132" i="37"/>
  <c r="R132" i="37"/>
  <c r="G133" i="37"/>
  <c r="F133" i="37"/>
  <c r="A927" i="37" l="1"/>
  <c r="B926" i="37"/>
  <c r="K926" i="37"/>
  <c r="H926" i="37"/>
  <c r="N926" i="37"/>
  <c r="E926" i="37"/>
  <c r="U926" i="37"/>
  <c r="Q926" i="37"/>
  <c r="V925" i="37"/>
  <c r="H169" i="24"/>
  <c r="I169" i="24" s="1"/>
  <c r="D169" i="24"/>
  <c r="E169" i="24" s="1"/>
  <c r="J169" i="24"/>
  <c r="K169" i="24" s="1"/>
  <c r="T169" i="24"/>
  <c r="U169" i="24" s="1"/>
  <c r="L169" i="24"/>
  <c r="M169" i="24" s="1"/>
  <c r="N169" i="24"/>
  <c r="O169" i="24" s="1"/>
  <c r="R169" i="24"/>
  <c r="S169" i="24" s="1"/>
  <c r="V169" i="24"/>
  <c r="W169" i="24" s="1"/>
  <c r="B169" i="24"/>
  <c r="C169" i="24" s="1"/>
  <c r="F169" i="24"/>
  <c r="G169" i="24" s="1"/>
  <c r="A170" i="24"/>
  <c r="P169" i="24"/>
  <c r="Q169" i="24" s="1"/>
  <c r="D322" i="24"/>
  <c r="L322" i="24"/>
  <c r="T322" i="24"/>
  <c r="F322" i="24"/>
  <c r="P322" i="24"/>
  <c r="N322" i="24"/>
  <c r="V322" i="24"/>
  <c r="A323" i="24"/>
  <c r="B322" i="24"/>
  <c r="H322" i="24"/>
  <c r="J322" i="24"/>
  <c r="R322" i="24"/>
  <c r="J134" i="37"/>
  <c r="I134" i="37"/>
  <c r="C134" i="37"/>
  <c r="D134" i="37"/>
  <c r="P133" i="37"/>
  <c r="O133" i="37"/>
  <c r="R133" i="37"/>
  <c r="S133" i="37"/>
  <c r="L134" i="37"/>
  <c r="M134" i="37"/>
  <c r="G134" i="37"/>
  <c r="F134" i="37"/>
  <c r="N927" i="37" l="1"/>
  <c r="K927" i="37"/>
  <c r="E927" i="37"/>
  <c r="U927" i="37"/>
  <c r="Q927" i="37"/>
  <c r="H927" i="37"/>
  <c r="B927" i="37"/>
  <c r="A928" i="37"/>
  <c r="V926" i="37"/>
  <c r="J170" i="24"/>
  <c r="K170" i="24" s="1"/>
  <c r="F170" i="24"/>
  <c r="G170" i="24" s="1"/>
  <c r="V170" i="24"/>
  <c r="W170" i="24" s="1"/>
  <c r="P170" i="24"/>
  <c r="Q170" i="24" s="1"/>
  <c r="T170" i="24"/>
  <c r="U170" i="24" s="1"/>
  <c r="N170" i="24"/>
  <c r="O170" i="24" s="1"/>
  <c r="B170" i="24"/>
  <c r="C170" i="24" s="1"/>
  <c r="H170" i="24"/>
  <c r="I170" i="24" s="1"/>
  <c r="A171" i="24"/>
  <c r="D170" i="24"/>
  <c r="E170" i="24" s="1"/>
  <c r="L170" i="24"/>
  <c r="M170" i="24" s="1"/>
  <c r="R170" i="24"/>
  <c r="S170" i="24" s="1"/>
  <c r="A324" i="24"/>
  <c r="V323" i="24"/>
  <c r="D323" i="24"/>
  <c r="P323" i="24"/>
  <c r="B323" i="24"/>
  <c r="J323" i="24"/>
  <c r="H323" i="24"/>
  <c r="R323" i="24"/>
  <c r="L323" i="24"/>
  <c r="F323" i="24"/>
  <c r="N323" i="24"/>
  <c r="T323" i="24"/>
  <c r="J135" i="37"/>
  <c r="I135" i="37"/>
  <c r="D135" i="37"/>
  <c r="C135" i="37"/>
  <c r="P134" i="37"/>
  <c r="O134" i="37"/>
  <c r="S134" i="37"/>
  <c r="R134" i="37"/>
  <c r="G135" i="37"/>
  <c r="F135" i="37"/>
  <c r="M135" i="37"/>
  <c r="L135" i="37"/>
  <c r="N928" i="37" l="1"/>
  <c r="H928" i="37"/>
  <c r="B928" i="37"/>
  <c r="K928" i="37"/>
  <c r="E928" i="37"/>
  <c r="A929" i="37"/>
  <c r="U928" i="37"/>
  <c r="Q928" i="37"/>
  <c r="V927" i="37"/>
  <c r="N171" i="24"/>
  <c r="O171" i="24" s="1"/>
  <c r="T171" i="24"/>
  <c r="U171" i="24" s="1"/>
  <c r="A172" i="24"/>
  <c r="H171" i="24"/>
  <c r="I171" i="24" s="1"/>
  <c r="P171" i="24"/>
  <c r="Q171" i="24" s="1"/>
  <c r="V171" i="24"/>
  <c r="W171" i="24" s="1"/>
  <c r="B171" i="24"/>
  <c r="C171" i="24" s="1"/>
  <c r="D171" i="24"/>
  <c r="E171" i="24" s="1"/>
  <c r="J171" i="24"/>
  <c r="K171" i="24" s="1"/>
  <c r="F171" i="24"/>
  <c r="G171" i="24" s="1"/>
  <c r="R171" i="24"/>
  <c r="S171" i="24" s="1"/>
  <c r="L171" i="24"/>
  <c r="M171" i="24" s="1"/>
  <c r="P324" i="24"/>
  <c r="T324" i="24"/>
  <c r="L324" i="24"/>
  <c r="N324" i="24"/>
  <c r="R324" i="24"/>
  <c r="A325" i="24"/>
  <c r="B324" i="24"/>
  <c r="H324" i="24"/>
  <c r="J324" i="24"/>
  <c r="D324" i="24"/>
  <c r="V324" i="24"/>
  <c r="F324" i="24"/>
  <c r="I136" i="37"/>
  <c r="J136" i="37"/>
  <c r="C136" i="37"/>
  <c r="D136" i="37"/>
  <c r="P135" i="37"/>
  <c r="O135" i="37"/>
  <c r="S135" i="37"/>
  <c r="R135" i="37"/>
  <c r="M136" i="37"/>
  <c r="L136" i="37"/>
  <c r="F136" i="37"/>
  <c r="G136" i="37"/>
  <c r="K929" i="37" l="1"/>
  <c r="B929" i="37"/>
  <c r="N929" i="37"/>
  <c r="H929" i="37"/>
  <c r="E929" i="37"/>
  <c r="A930" i="37"/>
  <c r="Q929" i="37"/>
  <c r="U929" i="37"/>
  <c r="V928" i="37"/>
  <c r="B172" i="24"/>
  <c r="C172" i="24" s="1"/>
  <c r="L172" i="24"/>
  <c r="M172" i="24" s="1"/>
  <c r="T172" i="24"/>
  <c r="U172" i="24" s="1"/>
  <c r="V172" i="24"/>
  <c r="W172" i="24" s="1"/>
  <c r="D172" i="24"/>
  <c r="E172" i="24" s="1"/>
  <c r="P172" i="24"/>
  <c r="Q172" i="24" s="1"/>
  <c r="R172" i="24"/>
  <c r="S172" i="24" s="1"/>
  <c r="F172" i="24"/>
  <c r="G172" i="24" s="1"/>
  <c r="A173" i="24"/>
  <c r="J172" i="24"/>
  <c r="K172" i="24" s="1"/>
  <c r="H172" i="24"/>
  <c r="I172" i="24" s="1"/>
  <c r="N172" i="24"/>
  <c r="O172" i="24" s="1"/>
  <c r="H325" i="24"/>
  <c r="P325" i="24"/>
  <c r="D325" i="24"/>
  <c r="N325" i="24"/>
  <c r="V325" i="24"/>
  <c r="T325" i="24"/>
  <c r="F325" i="24"/>
  <c r="A326" i="24"/>
  <c r="B325" i="24"/>
  <c r="L325" i="24"/>
  <c r="J325" i="24"/>
  <c r="R325" i="24"/>
  <c r="J137" i="37"/>
  <c r="I137" i="37"/>
  <c r="D137" i="37"/>
  <c r="C137" i="37"/>
  <c r="P136" i="37"/>
  <c r="O136" i="37"/>
  <c r="L137" i="37"/>
  <c r="M137" i="37"/>
  <c r="R136" i="37"/>
  <c r="S136" i="37"/>
  <c r="F137" i="37"/>
  <c r="G137" i="37"/>
  <c r="E930" i="37" l="1"/>
  <c r="N930" i="37"/>
  <c r="H930" i="37"/>
  <c r="K930" i="37"/>
  <c r="A931" i="37"/>
  <c r="Q930" i="37"/>
  <c r="U930" i="37"/>
  <c r="B930" i="37"/>
  <c r="V929" i="37"/>
  <c r="L173" i="24"/>
  <c r="M173" i="24" s="1"/>
  <c r="A174" i="24"/>
  <c r="P173" i="24"/>
  <c r="Q173" i="24" s="1"/>
  <c r="V173" i="24"/>
  <c r="W173" i="24" s="1"/>
  <c r="D173" i="24"/>
  <c r="E173" i="24" s="1"/>
  <c r="F173" i="24"/>
  <c r="G173" i="24" s="1"/>
  <c r="B173" i="24"/>
  <c r="C173" i="24" s="1"/>
  <c r="N173" i="24"/>
  <c r="O173" i="24" s="1"/>
  <c r="J173" i="24"/>
  <c r="K173" i="24" s="1"/>
  <c r="H173" i="24"/>
  <c r="I173" i="24" s="1"/>
  <c r="R173" i="24"/>
  <c r="S173" i="24" s="1"/>
  <c r="T173" i="24"/>
  <c r="U173" i="24" s="1"/>
  <c r="H326" i="24"/>
  <c r="J326" i="24"/>
  <c r="R326" i="24"/>
  <c r="P326" i="24"/>
  <c r="N326" i="24"/>
  <c r="F326" i="24"/>
  <c r="T326" i="24"/>
  <c r="V326" i="24"/>
  <c r="A327" i="24"/>
  <c r="B326" i="24"/>
  <c r="D326" i="24"/>
  <c r="L326" i="24"/>
  <c r="J138" i="37"/>
  <c r="I138" i="37"/>
  <c r="D138" i="37"/>
  <c r="C138" i="37"/>
  <c r="P137" i="37"/>
  <c r="O137" i="37"/>
  <c r="S137" i="37"/>
  <c r="R137" i="37"/>
  <c r="M138" i="37"/>
  <c r="L138" i="37"/>
  <c r="G138" i="37"/>
  <c r="F138" i="37"/>
  <c r="H931" i="37" l="1"/>
  <c r="K931" i="37"/>
  <c r="U931" i="37"/>
  <c r="B931" i="37"/>
  <c r="N931" i="37"/>
  <c r="E931" i="37"/>
  <c r="A932" i="37"/>
  <c r="Q931" i="37"/>
  <c r="V930" i="37"/>
  <c r="A175" i="24"/>
  <c r="T174" i="24"/>
  <c r="U174" i="24" s="1"/>
  <c r="B174" i="24"/>
  <c r="C174" i="24" s="1"/>
  <c r="D174" i="24"/>
  <c r="E174" i="24" s="1"/>
  <c r="P174" i="24"/>
  <c r="Q174" i="24" s="1"/>
  <c r="V174" i="24"/>
  <c r="W174" i="24" s="1"/>
  <c r="R174" i="24"/>
  <c r="S174" i="24" s="1"/>
  <c r="L174" i="24"/>
  <c r="M174" i="24" s="1"/>
  <c r="H174" i="24"/>
  <c r="I174" i="24" s="1"/>
  <c r="J174" i="24"/>
  <c r="K174" i="24" s="1"/>
  <c r="N174" i="24"/>
  <c r="O174" i="24" s="1"/>
  <c r="F174" i="24"/>
  <c r="G174" i="24" s="1"/>
  <c r="H327" i="24"/>
  <c r="J327" i="24"/>
  <c r="P327" i="24"/>
  <c r="R327" i="24"/>
  <c r="N327" i="24"/>
  <c r="V327" i="24"/>
  <c r="T327" i="24"/>
  <c r="F327" i="24"/>
  <c r="L327" i="24"/>
  <c r="D327" i="24"/>
  <c r="A328" i="24"/>
  <c r="B327" i="24"/>
  <c r="I139" i="37"/>
  <c r="J139" i="37"/>
  <c r="D139" i="37"/>
  <c r="C139" i="37"/>
  <c r="O138" i="37"/>
  <c r="P138" i="37"/>
  <c r="G139" i="37"/>
  <c r="F139" i="37"/>
  <c r="S138" i="37"/>
  <c r="R138" i="37"/>
  <c r="M139" i="37"/>
  <c r="L139" i="37"/>
  <c r="K932" i="37" l="1"/>
  <c r="U932" i="37"/>
  <c r="Q932" i="37"/>
  <c r="A933" i="37"/>
  <c r="N932" i="37"/>
  <c r="B932" i="37"/>
  <c r="H932" i="37"/>
  <c r="E932" i="37"/>
  <c r="V931" i="37"/>
  <c r="A176" i="24"/>
  <c r="B175" i="24"/>
  <c r="C175" i="24" s="1"/>
  <c r="N175" i="24"/>
  <c r="O175" i="24" s="1"/>
  <c r="L175" i="24"/>
  <c r="M175" i="24" s="1"/>
  <c r="H175" i="24"/>
  <c r="I175" i="24" s="1"/>
  <c r="P175" i="24"/>
  <c r="Q175" i="24" s="1"/>
  <c r="D175" i="24"/>
  <c r="E175" i="24" s="1"/>
  <c r="J175" i="24"/>
  <c r="K175" i="24" s="1"/>
  <c r="V175" i="24"/>
  <c r="W175" i="24" s="1"/>
  <c r="R175" i="24"/>
  <c r="S175" i="24" s="1"/>
  <c r="F175" i="24"/>
  <c r="G175" i="24" s="1"/>
  <c r="T175" i="24"/>
  <c r="U175" i="24" s="1"/>
  <c r="D328" i="24"/>
  <c r="F328" i="24"/>
  <c r="H328" i="24"/>
  <c r="A329" i="24"/>
  <c r="L328" i="24"/>
  <c r="P328" i="24"/>
  <c r="R328" i="24"/>
  <c r="N328" i="24"/>
  <c r="V328" i="24"/>
  <c r="T328" i="24"/>
  <c r="B328" i="24"/>
  <c r="J328" i="24"/>
  <c r="J140" i="37"/>
  <c r="I140" i="37"/>
  <c r="D140" i="37"/>
  <c r="C140" i="37"/>
  <c r="P139" i="37"/>
  <c r="O139" i="37"/>
  <c r="F140" i="37"/>
  <c r="G140" i="37"/>
  <c r="M140" i="37"/>
  <c r="L140" i="37"/>
  <c r="R139" i="37"/>
  <c r="S139" i="37"/>
  <c r="N933" i="37" l="1"/>
  <c r="Q933" i="37"/>
  <c r="E933" i="37"/>
  <c r="V932" i="37"/>
  <c r="U933" i="37"/>
  <c r="B933" i="37"/>
  <c r="H933" i="37"/>
  <c r="K933" i="37"/>
  <c r="A934" i="37"/>
  <c r="R176" i="24"/>
  <c r="S176" i="24" s="1"/>
  <c r="D176" i="24"/>
  <c r="E176" i="24" s="1"/>
  <c r="T176" i="24"/>
  <c r="U176" i="24" s="1"/>
  <c r="H176" i="24"/>
  <c r="I176" i="24" s="1"/>
  <c r="N176" i="24"/>
  <c r="O176" i="24" s="1"/>
  <c r="J176" i="24"/>
  <c r="K176" i="24" s="1"/>
  <c r="L176" i="24"/>
  <c r="M176" i="24" s="1"/>
  <c r="F176" i="24"/>
  <c r="G176" i="24" s="1"/>
  <c r="P176" i="24"/>
  <c r="Q176" i="24" s="1"/>
  <c r="V176" i="24"/>
  <c r="W176" i="24" s="1"/>
  <c r="B176" i="24"/>
  <c r="C176" i="24" s="1"/>
  <c r="A177" i="24"/>
  <c r="D329" i="24"/>
  <c r="P329" i="24"/>
  <c r="H329" i="24"/>
  <c r="V329" i="24"/>
  <c r="L329" i="24"/>
  <c r="R329" i="24"/>
  <c r="N329" i="24"/>
  <c r="F329" i="24"/>
  <c r="B329" i="24"/>
  <c r="J329" i="24"/>
  <c r="T329" i="24"/>
  <c r="A330" i="24"/>
  <c r="J141" i="37"/>
  <c r="I141" i="37"/>
  <c r="D141" i="37"/>
  <c r="C141" i="37"/>
  <c r="P140" i="37"/>
  <c r="O140" i="37"/>
  <c r="S140" i="37"/>
  <c r="R140" i="37"/>
  <c r="M141" i="37"/>
  <c r="L141" i="37"/>
  <c r="F141" i="37"/>
  <c r="G141" i="37"/>
  <c r="B934" i="37" l="1"/>
  <c r="A935" i="37"/>
  <c r="Q934" i="37"/>
  <c r="U934" i="37"/>
  <c r="E934" i="37"/>
  <c r="H934" i="37"/>
  <c r="N934" i="37"/>
  <c r="K934" i="37"/>
  <c r="V933" i="37"/>
  <c r="R177" i="24"/>
  <c r="S177" i="24" s="1"/>
  <c r="L177" i="24"/>
  <c r="M177" i="24" s="1"/>
  <c r="V177" i="24"/>
  <c r="W177" i="24" s="1"/>
  <c r="F177" i="24"/>
  <c r="G177" i="24" s="1"/>
  <c r="A178" i="24"/>
  <c r="B177" i="24"/>
  <c r="C177" i="24" s="1"/>
  <c r="N177" i="24"/>
  <c r="O177" i="24" s="1"/>
  <c r="H177" i="24"/>
  <c r="I177" i="24" s="1"/>
  <c r="T177" i="24"/>
  <c r="U177" i="24" s="1"/>
  <c r="D177" i="24"/>
  <c r="E177" i="24" s="1"/>
  <c r="P177" i="24"/>
  <c r="Q177" i="24" s="1"/>
  <c r="J177" i="24"/>
  <c r="K177" i="24" s="1"/>
  <c r="A331" i="24"/>
  <c r="N330" i="24"/>
  <c r="B330" i="24"/>
  <c r="F330" i="24"/>
  <c r="J330" i="24"/>
  <c r="D330" i="24"/>
  <c r="H330" i="24"/>
  <c r="L330" i="24"/>
  <c r="R330" i="24"/>
  <c r="P330" i="24"/>
  <c r="V330" i="24"/>
  <c r="T330" i="24"/>
  <c r="J142" i="37"/>
  <c r="I142" i="37"/>
  <c r="D142" i="37"/>
  <c r="C142" i="37"/>
  <c r="P141" i="37"/>
  <c r="O141" i="37"/>
  <c r="G142" i="37"/>
  <c r="F142" i="37"/>
  <c r="S141" i="37"/>
  <c r="R141" i="37"/>
  <c r="M142" i="37"/>
  <c r="L142" i="37"/>
  <c r="E935" i="37" l="1"/>
  <c r="B935" i="37"/>
  <c r="N935" i="37"/>
  <c r="K935" i="37"/>
  <c r="H935" i="37"/>
  <c r="A936" i="37"/>
  <c r="U935" i="37"/>
  <c r="Q935" i="37"/>
  <c r="V934" i="37"/>
  <c r="J178" i="24"/>
  <c r="K178" i="24" s="1"/>
  <c r="L178" i="24"/>
  <c r="M178" i="24" s="1"/>
  <c r="F178" i="24"/>
  <c r="G178" i="24" s="1"/>
  <c r="V178" i="24"/>
  <c r="W178" i="24" s="1"/>
  <c r="R178" i="24"/>
  <c r="S178" i="24" s="1"/>
  <c r="A179" i="24"/>
  <c r="T178" i="24"/>
  <c r="U178" i="24" s="1"/>
  <c r="B178" i="24"/>
  <c r="C178" i="24" s="1"/>
  <c r="P178" i="24"/>
  <c r="Q178" i="24" s="1"/>
  <c r="H178" i="24"/>
  <c r="I178" i="24" s="1"/>
  <c r="D178" i="24"/>
  <c r="E178" i="24" s="1"/>
  <c r="N178" i="24"/>
  <c r="O178" i="24" s="1"/>
  <c r="R331" i="24"/>
  <c r="L331" i="24"/>
  <c r="P331" i="24"/>
  <c r="T331" i="24"/>
  <c r="N331" i="24"/>
  <c r="A332" i="24"/>
  <c r="B331" i="24"/>
  <c r="H331" i="24"/>
  <c r="J331" i="24"/>
  <c r="D331" i="24"/>
  <c r="V331" i="24"/>
  <c r="F331" i="24"/>
  <c r="J143" i="37"/>
  <c r="I143" i="37"/>
  <c r="D143" i="37"/>
  <c r="C143" i="37"/>
  <c r="P142" i="37"/>
  <c r="O142" i="37"/>
  <c r="L143" i="37"/>
  <c r="M143" i="37"/>
  <c r="S142" i="37"/>
  <c r="R142" i="37"/>
  <c r="F143" i="37"/>
  <c r="G143" i="37"/>
  <c r="B936" i="37" l="1"/>
  <c r="Q936" i="37"/>
  <c r="H936" i="37"/>
  <c r="A937" i="37"/>
  <c r="N936" i="37"/>
  <c r="K936" i="37"/>
  <c r="E936" i="37"/>
  <c r="U936" i="37"/>
  <c r="V935" i="37"/>
  <c r="V179" i="24"/>
  <c r="W179" i="24" s="1"/>
  <c r="J179" i="24"/>
  <c r="K179" i="24" s="1"/>
  <c r="L179" i="24"/>
  <c r="M179" i="24" s="1"/>
  <c r="F179" i="24"/>
  <c r="G179" i="24" s="1"/>
  <c r="R179" i="24"/>
  <c r="S179" i="24" s="1"/>
  <c r="N179" i="24"/>
  <c r="O179" i="24" s="1"/>
  <c r="T179" i="24"/>
  <c r="U179" i="24" s="1"/>
  <c r="B179" i="24"/>
  <c r="C179" i="24" s="1"/>
  <c r="P179" i="24"/>
  <c r="Q179" i="24" s="1"/>
  <c r="H179" i="24"/>
  <c r="I179" i="24" s="1"/>
  <c r="A180" i="24"/>
  <c r="D179" i="24"/>
  <c r="E179" i="24" s="1"/>
  <c r="H332" i="24"/>
  <c r="F332" i="24"/>
  <c r="D332" i="24"/>
  <c r="A333" i="24"/>
  <c r="L332" i="24"/>
  <c r="P332" i="24"/>
  <c r="R332" i="24"/>
  <c r="V332" i="24"/>
  <c r="T332" i="24"/>
  <c r="B332" i="24"/>
  <c r="J332" i="24"/>
  <c r="N332" i="24"/>
  <c r="I144" i="37"/>
  <c r="J144" i="37"/>
  <c r="D144" i="37"/>
  <c r="C144" i="37"/>
  <c r="P143" i="37"/>
  <c r="O143" i="37"/>
  <c r="R143" i="37"/>
  <c r="S143" i="37"/>
  <c r="G144" i="37"/>
  <c r="F144" i="37"/>
  <c r="M144" i="37"/>
  <c r="L144" i="37"/>
  <c r="E937" i="37" l="1"/>
  <c r="B937" i="37"/>
  <c r="N937" i="37"/>
  <c r="H937" i="37"/>
  <c r="K937" i="37"/>
  <c r="A938" i="37"/>
  <c r="U937" i="37"/>
  <c r="Q937" i="37"/>
  <c r="V936" i="37"/>
  <c r="D180" i="24"/>
  <c r="E180" i="24" s="1"/>
  <c r="N180" i="24"/>
  <c r="O180" i="24" s="1"/>
  <c r="A181" i="24"/>
  <c r="J180" i="24"/>
  <c r="K180" i="24" s="1"/>
  <c r="T180" i="24"/>
  <c r="U180" i="24" s="1"/>
  <c r="V180" i="24"/>
  <c r="W180" i="24" s="1"/>
  <c r="L180" i="24"/>
  <c r="M180" i="24" s="1"/>
  <c r="P180" i="24"/>
  <c r="Q180" i="24" s="1"/>
  <c r="F180" i="24"/>
  <c r="G180" i="24" s="1"/>
  <c r="H180" i="24"/>
  <c r="I180" i="24" s="1"/>
  <c r="R180" i="24"/>
  <c r="S180" i="24" s="1"/>
  <c r="B180" i="24"/>
  <c r="C180" i="24" s="1"/>
  <c r="A334" i="24"/>
  <c r="V333" i="24"/>
  <c r="B333" i="24"/>
  <c r="N333" i="24"/>
  <c r="T333" i="24"/>
  <c r="H333" i="24"/>
  <c r="D333" i="24"/>
  <c r="J333" i="24"/>
  <c r="L333" i="24"/>
  <c r="P333" i="24"/>
  <c r="R333" i="24"/>
  <c r="F333" i="24"/>
  <c r="J145" i="37"/>
  <c r="I145" i="37"/>
  <c r="C145" i="37"/>
  <c r="D145" i="37"/>
  <c r="P144" i="37"/>
  <c r="O144" i="37"/>
  <c r="S144" i="37"/>
  <c r="R144" i="37"/>
  <c r="M145" i="37"/>
  <c r="L145" i="37"/>
  <c r="G145" i="37"/>
  <c r="F145" i="37"/>
  <c r="N938" i="37" l="1"/>
  <c r="U938" i="37"/>
  <c r="H938" i="37"/>
  <c r="B938" i="37"/>
  <c r="E938" i="37"/>
  <c r="K938" i="37"/>
  <c r="A939" i="37"/>
  <c r="Q938" i="37"/>
  <c r="V937" i="37"/>
  <c r="V181" i="24"/>
  <c r="W181" i="24" s="1"/>
  <c r="P181" i="24"/>
  <c r="Q181" i="24" s="1"/>
  <c r="D181" i="24"/>
  <c r="E181" i="24" s="1"/>
  <c r="H181" i="24"/>
  <c r="I181" i="24" s="1"/>
  <c r="F181" i="24"/>
  <c r="G181" i="24" s="1"/>
  <c r="L181" i="24"/>
  <c r="M181" i="24" s="1"/>
  <c r="N181" i="24"/>
  <c r="O181" i="24" s="1"/>
  <c r="T181" i="24"/>
  <c r="U181" i="24" s="1"/>
  <c r="A182" i="24"/>
  <c r="J181" i="24"/>
  <c r="K181" i="24" s="1"/>
  <c r="R181" i="24"/>
  <c r="S181" i="24" s="1"/>
  <c r="B181" i="24"/>
  <c r="C181" i="24" s="1"/>
  <c r="A335" i="24"/>
  <c r="N334" i="24"/>
  <c r="T334" i="24"/>
  <c r="R334" i="24"/>
  <c r="P334" i="24"/>
  <c r="V334" i="24"/>
  <c r="F334" i="24"/>
  <c r="B334" i="24"/>
  <c r="D334" i="24"/>
  <c r="H334" i="24"/>
  <c r="J334" i="24"/>
  <c r="L334" i="24"/>
  <c r="J146" i="37"/>
  <c r="I146" i="37"/>
  <c r="D146" i="37"/>
  <c r="C146" i="37"/>
  <c r="P145" i="37"/>
  <c r="O145" i="37"/>
  <c r="M146" i="37"/>
  <c r="L146" i="37"/>
  <c r="G146" i="37"/>
  <c r="F146" i="37"/>
  <c r="S145" i="37"/>
  <c r="R145" i="37"/>
  <c r="Q939" i="37" l="1"/>
  <c r="B939" i="37"/>
  <c r="N939" i="37"/>
  <c r="H939" i="37"/>
  <c r="K939" i="37"/>
  <c r="E939" i="37"/>
  <c r="A940" i="37"/>
  <c r="U939" i="37"/>
  <c r="V938" i="37"/>
  <c r="L182" i="24"/>
  <c r="M182" i="24" s="1"/>
  <c r="N182" i="24"/>
  <c r="O182" i="24" s="1"/>
  <c r="F182" i="24"/>
  <c r="G182" i="24" s="1"/>
  <c r="V182" i="24"/>
  <c r="W182" i="24" s="1"/>
  <c r="P182" i="24"/>
  <c r="Q182" i="24" s="1"/>
  <c r="T182" i="24"/>
  <c r="U182" i="24" s="1"/>
  <c r="A183" i="24"/>
  <c r="B182" i="24"/>
  <c r="C182" i="24" s="1"/>
  <c r="R182" i="24"/>
  <c r="S182" i="24" s="1"/>
  <c r="H182" i="24"/>
  <c r="I182" i="24" s="1"/>
  <c r="D182" i="24"/>
  <c r="E182" i="24" s="1"/>
  <c r="J182" i="24"/>
  <c r="K182" i="24" s="1"/>
  <c r="T335" i="24"/>
  <c r="R335" i="24"/>
  <c r="A336" i="24"/>
  <c r="V335" i="24"/>
  <c r="L335" i="24"/>
  <c r="J335" i="24"/>
  <c r="P335" i="24"/>
  <c r="N335" i="24"/>
  <c r="B335" i="24"/>
  <c r="D335" i="24"/>
  <c r="H335" i="24"/>
  <c r="F335" i="24"/>
  <c r="J147" i="37"/>
  <c r="I147" i="37"/>
  <c r="D147" i="37"/>
  <c r="C147" i="37"/>
  <c r="P146" i="37"/>
  <c r="O146" i="37"/>
  <c r="L147" i="37"/>
  <c r="M147" i="37"/>
  <c r="S146" i="37"/>
  <c r="R146" i="37"/>
  <c r="G147" i="37"/>
  <c r="F147" i="37"/>
  <c r="U940" i="37" l="1"/>
  <c r="B940" i="37"/>
  <c r="N940" i="37"/>
  <c r="H940" i="37"/>
  <c r="K940" i="37"/>
  <c r="E940" i="37"/>
  <c r="A941" i="37"/>
  <c r="Q940" i="37"/>
  <c r="V939" i="37"/>
  <c r="H183" i="24"/>
  <c r="I183" i="24" s="1"/>
  <c r="P183" i="24"/>
  <c r="Q183" i="24" s="1"/>
  <c r="T183" i="24"/>
  <c r="U183" i="24" s="1"/>
  <c r="A184" i="24"/>
  <c r="J183" i="24"/>
  <c r="K183" i="24" s="1"/>
  <c r="R183" i="24"/>
  <c r="S183" i="24" s="1"/>
  <c r="L183" i="24"/>
  <c r="M183" i="24" s="1"/>
  <c r="N183" i="24"/>
  <c r="O183" i="24" s="1"/>
  <c r="B183" i="24"/>
  <c r="C183" i="24" s="1"/>
  <c r="V183" i="24"/>
  <c r="W183" i="24" s="1"/>
  <c r="D183" i="24"/>
  <c r="E183" i="24" s="1"/>
  <c r="F183" i="24"/>
  <c r="G183" i="24" s="1"/>
  <c r="P336" i="24"/>
  <c r="T336" i="24"/>
  <c r="R336" i="24"/>
  <c r="B336" i="24"/>
  <c r="D336" i="24"/>
  <c r="H336" i="24"/>
  <c r="J336" i="24"/>
  <c r="F336" i="24"/>
  <c r="A337" i="24"/>
  <c r="L336" i="24"/>
  <c r="N336" i="24"/>
  <c r="V336" i="24"/>
  <c r="J148" i="37"/>
  <c r="I148" i="37"/>
  <c r="D148" i="37"/>
  <c r="C148" i="37"/>
  <c r="P147" i="37"/>
  <c r="O147" i="37"/>
  <c r="G148" i="37"/>
  <c r="F148" i="37"/>
  <c r="S147" i="37"/>
  <c r="R147" i="37"/>
  <c r="M148" i="37"/>
  <c r="L148" i="37"/>
  <c r="V940" i="37" l="1"/>
  <c r="N941" i="37"/>
  <c r="H941" i="37"/>
  <c r="K941" i="37"/>
  <c r="A942" i="37"/>
  <c r="E941" i="37"/>
  <c r="U941" i="37"/>
  <c r="Q941" i="37"/>
  <c r="B941" i="37"/>
  <c r="H184" i="24"/>
  <c r="I184" i="24" s="1"/>
  <c r="R184" i="24"/>
  <c r="S184" i="24" s="1"/>
  <c r="P184" i="24"/>
  <c r="Q184" i="24" s="1"/>
  <c r="J184" i="24"/>
  <c r="K184" i="24" s="1"/>
  <c r="L184" i="24"/>
  <c r="M184" i="24" s="1"/>
  <c r="D184" i="24"/>
  <c r="E184" i="24" s="1"/>
  <c r="N184" i="24"/>
  <c r="O184" i="24" s="1"/>
  <c r="A185" i="24"/>
  <c r="T184" i="24"/>
  <c r="U184" i="24" s="1"/>
  <c r="V184" i="24"/>
  <c r="W184" i="24" s="1"/>
  <c r="B184" i="24"/>
  <c r="C184" i="24" s="1"/>
  <c r="F184" i="24"/>
  <c r="G184" i="24" s="1"/>
  <c r="L337" i="24"/>
  <c r="R337" i="24"/>
  <c r="P337" i="24"/>
  <c r="T337" i="24"/>
  <c r="F337" i="24"/>
  <c r="A338" i="24"/>
  <c r="V337" i="24"/>
  <c r="B337" i="24"/>
  <c r="J337" i="24"/>
  <c r="N337" i="24"/>
  <c r="H337" i="24"/>
  <c r="D337" i="24"/>
  <c r="J149" i="37"/>
  <c r="I149" i="37"/>
  <c r="D149" i="37"/>
  <c r="C149" i="37"/>
  <c r="P148" i="37"/>
  <c r="O148" i="37"/>
  <c r="S148" i="37"/>
  <c r="R148" i="37"/>
  <c r="G149" i="37"/>
  <c r="F149" i="37"/>
  <c r="M149" i="37"/>
  <c r="L149" i="37"/>
  <c r="Q942" i="37" l="1"/>
  <c r="B942" i="37"/>
  <c r="E942" i="37"/>
  <c r="K942" i="37"/>
  <c r="A943" i="37"/>
  <c r="U942" i="37"/>
  <c r="H942" i="37"/>
  <c r="N942" i="37"/>
  <c r="V941" i="37"/>
  <c r="D185" i="24"/>
  <c r="E185" i="24" s="1"/>
  <c r="F185" i="24"/>
  <c r="G185" i="24" s="1"/>
  <c r="A186" i="24"/>
  <c r="R185" i="24"/>
  <c r="S185" i="24" s="1"/>
  <c r="V185" i="24"/>
  <c r="W185" i="24" s="1"/>
  <c r="T185" i="24"/>
  <c r="U185" i="24" s="1"/>
  <c r="J185" i="24"/>
  <c r="K185" i="24" s="1"/>
  <c r="H185" i="24"/>
  <c r="I185" i="24" s="1"/>
  <c r="L185" i="24"/>
  <c r="M185" i="24" s="1"/>
  <c r="B185" i="24"/>
  <c r="C185" i="24" s="1"/>
  <c r="N185" i="24"/>
  <c r="O185" i="24" s="1"/>
  <c r="P185" i="24"/>
  <c r="Q185" i="24" s="1"/>
  <c r="H338" i="24"/>
  <c r="J338" i="24"/>
  <c r="B338" i="24"/>
  <c r="D338" i="24"/>
  <c r="L338" i="24"/>
  <c r="R338" i="24"/>
  <c r="A339" i="24"/>
  <c r="T338" i="24"/>
  <c r="P338" i="24"/>
  <c r="V338" i="24"/>
  <c r="F338" i="24"/>
  <c r="N338" i="24"/>
  <c r="J150" i="37"/>
  <c r="I150" i="37"/>
  <c r="D150" i="37"/>
  <c r="C150" i="37"/>
  <c r="P149" i="37"/>
  <c r="O149" i="37"/>
  <c r="R149" i="37"/>
  <c r="S149" i="37"/>
  <c r="L150" i="37"/>
  <c r="M150" i="37"/>
  <c r="F150" i="37"/>
  <c r="G150" i="37"/>
  <c r="U943" i="37" l="1"/>
  <c r="K943" i="37"/>
  <c r="H943" i="37"/>
  <c r="E943" i="37"/>
  <c r="A944" i="37"/>
  <c r="Q943" i="37"/>
  <c r="B943" i="37"/>
  <c r="N943" i="37"/>
  <c r="V942" i="37"/>
  <c r="B186" i="24"/>
  <c r="C186" i="24" s="1"/>
  <c r="A187" i="24"/>
  <c r="H186" i="24"/>
  <c r="I186" i="24" s="1"/>
  <c r="L186" i="24"/>
  <c r="M186" i="24" s="1"/>
  <c r="R186" i="24"/>
  <c r="S186" i="24" s="1"/>
  <c r="D186" i="24"/>
  <c r="E186" i="24" s="1"/>
  <c r="V186" i="24"/>
  <c r="W186" i="24" s="1"/>
  <c r="J186" i="24"/>
  <c r="K186" i="24" s="1"/>
  <c r="T186" i="24"/>
  <c r="U186" i="24" s="1"/>
  <c r="P186" i="24"/>
  <c r="Q186" i="24" s="1"/>
  <c r="F186" i="24"/>
  <c r="G186" i="24" s="1"/>
  <c r="N186" i="24"/>
  <c r="O186" i="24" s="1"/>
  <c r="L339" i="24"/>
  <c r="H339" i="24"/>
  <c r="V339" i="24"/>
  <c r="N339" i="24"/>
  <c r="T339" i="24"/>
  <c r="F339" i="24"/>
  <c r="A340" i="24"/>
  <c r="P339" i="24"/>
  <c r="B339" i="24"/>
  <c r="D339" i="24"/>
  <c r="J339" i="24"/>
  <c r="R339" i="24"/>
  <c r="J151" i="37"/>
  <c r="I151" i="37"/>
  <c r="D151" i="37"/>
  <c r="C151" i="37"/>
  <c r="P150" i="37"/>
  <c r="O150" i="37"/>
  <c r="M151" i="37"/>
  <c r="L151" i="37"/>
  <c r="F151" i="37"/>
  <c r="G151" i="37"/>
  <c r="S150" i="37"/>
  <c r="R150" i="37"/>
  <c r="U944" i="37" l="1"/>
  <c r="E944" i="37"/>
  <c r="K944" i="37"/>
  <c r="A945" i="37"/>
  <c r="Q944" i="37"/>
  <c r="B944" i="37"/>
  <c r="H944" i="37"/>
  <c r="N944" i="37"/>
  <c r="V943" i="37"/>
  <c r="V187" i="24"/>
  <c r="W187" i="24" s="1"/>
  <c r="R187" i="24"/>
  <c r="S187" i="24" s="1"/>
  <c r="H187" i="24"/>
  <c r="I187" i="24" s="1"/>
  <c r="P187" i="24"/>
  <c r="Q187" i="24" s="1"/>
  <c r="N187" i="24"/>
  <c r="O187" i="24" s="1"/>
  <c r="L187" i="24"/>
  <c r="M187" i="24" s="1"/>
  <c r="F187" i="24"/>
  <c r="G187" i="24" s="1"/>
  <c r="T187" i="24"/>
  <c r="U187" i="24" s="1"/>
  <c r="A188" i="24"/>
  <c r="J187" i="24"/>
  <c r="K187" i="24" s="1"/>
  <c r="B187" i="24"/>
  <c r="C187" i="24" s="1"/>
  <c r="D187" i="24"/>
  <c r="E187" i="24" s="1"/>
  <c r="T340" i="24"/>
  <c r="P340" i="24"/>
  <c r="A341" i="24"/>
  <c r="R340" i="24"/>
  <c r="J340" i="24"/>
  <c r="D340" i="24"/>
  <c r="L340" i="24"/>
  <c r="N340" i="24"/>
  <c r="B340" i="24"/>
  <c r="V340" i="24"/>
  <c r="F340" i="24"/>
  <c r="H340" i="24"/>
  <c r="J152" i="37"/>
  <c r="I152" i="37"/>
  <c r="C152" i="37"/>
  <c r="D152" i="37"/>
  <c r="P151" i="37"/>
  <c r="O151" i="37"/>
  <c r="R151" i="37"/>
  <c r="S151" i="37"/>
  <c r="F152" i="37"/>
  <c r="G152" i="37"/>
  <c r="L152" i="37"/>
  <c r="M152" i="37"/>
  <c r="Q945" i="37" l="1"/>
  <c r="A946" i="37"/>
  <c r="K945" i="37"/>
  <c r="U945" i="37"/>
  <c r="N945" i="37"/>
  <c r="B945" i="37"/>
  <c r="H945" i="37"/>
  <c r="E945" i="37"/>
  <c r="V944" i="37"/>
  <c r="H188" i="24"/>
  <c r="I188" i="24" s="1"/>
  <c r="I189" i="24" s="1"/>
  <c r="I190" i="24" s="1"/>
  <c r="I191" i="24" s="1"/>
  <c r="I192" i="24" s="1"/>
  <c r="I193" i="24" s="1"/>
  <c r="I194" i="24" s="1"/>
  <c r="I195" i="24" s="1"/>
  <c r="I196" i="24" s="1"/>
  <c r="I197" i="24" s="1"/>
  <c r="I198" i="24" s="1"/>
  <c r="I199" i="24" s="1"/>
  <c r="I200" i="24" s="1"/>
  <c r="I201" i="24" s="1"/>
  <c r="I202" i="24" s="1"/>
  <c r="I203" i="24" s="1"/>
  <c r="I204" i="24" s="1"/>
  <c r="I205" i="24" s="1"/>
  <c r="I206" i="24" s="1"/>
  <c r="I207" i="24" s="1"/>
  <c r="I208" i="24" s="1"/>
  <c r="I209" i="24" s="1"/>
  <c r="I210" i="24" s="1"/>
  <c r="I211" i="24" s="1"/>
  <c r="I212" i="24" s="1"/>
  <c r="I213" i="24" s="1"/>
  <c r="I214" i="24" s="1"/>
  <c r="I215" i="24" s="1"/>
  <c r="I216" i="24" s="1"/>
  <c r="I217" i="24" s="1"/>
  <c r="I218" i="24" s="1"/>
  <c r="I219" i="24" s="1"/>
  <c r="I220" i="24" s="1"/>
  <c r="I221" i="24" s="1"/>
  <c r="I222" i="24" s="1"/>
  <c r="I223" i="24" s="1"/>
  <c r="I224" i="24" s="1"/>
  <c r="I225" i="24" s="1"/>
  <c r="I226" i="24" s="1"/>
  <c r="I227" i="24" s="1"/>
  <c r="I228" i="24" s="1"/>
  <c r="I229" i="24" s="1"/>
  <c r="I230" i="24" s="1"/>
  <c r="I231" i="24" s="1"/>
  <c r="I232" i="24" s="1"/>
  <c r="I233" i="24" s="1"/>
  <c r="I234" i="24" s="1"/>
  <c r="I235" i="24" s="1"/>
  <c r="I236" i="24" s="1"/>
  <c r="I237" i="24" s="1"/>
  <c r="I238" i="24" s="1"/>
  <c r="I239" i="24" s="1"/>
  <c r="I240" i="24" s="1"/>
  <c r="I241" i="24" s="1"/>
  <c r="I242" i="24" s="1"/>
  <c r="I243" i="24" s="1"/>
  <c r="I244" i="24" s="1"/>
  <c r="I245" i="24" s="1"/>
  <c r="I246" i="24" s="1"/>
  <c r="I247" i="24" s="1"/>
  <c r="I248" i="24" s="1"/>
  <c r="I249" i="24" s="1"/>
  <c r="I250" i="24" s="1"/>
  <c r="I251" i="24" s="1"/>
  <c r="I252" i="24" s="1"/>
  <c r="I253" i="24" s="1"/>
  <c r="I254" i="24" s="1"/>
  <c r="I255" i="24" s="1"/>
  <c r="I256" i="24" s="1"/>
  <c r="I257" i="24" s="1"/>
  <c r="I258" i="24" s="1"/>
  <c r="I259" i="24" s="1"/>
  <c r="I260" i="24" s="1"/>
  <c r="I261" i="24" s="1"/>
  <c r="I262" i="24" s="1"/>
  <c r="I263" i="24" s="1"/>
  <c r="I264" i="24" s="1"/>
  <c r="I265" i="24" s="1"/>
  <c r="I266" i="24" s="1"/>
  <c r="I267" i="24" s="1"/>
  <c r="I268" i="24" s="1"/>
  <c r="I269" i="24" s="1"/>
  <c r="I270" i="24" s="1"/>
  <c r="I271" i="24" s="1"/>
  <c r="I272" i="24" s="1"/>
  <c r="I273" i="24" s="1"/>
  <c r="I274" i="24" s="1"/>
  <c r="I275" i="24" s="1"/>
  <c r="I276" i="24" s="1"/>
  <c r="I277" i="24" s="1"/>
  <c r="I278" i="24" s="1"/>
  <c r="I279" i="24" s="1"/>
  <c r="I280" i="24" s="1"/>
  <c r="I281" i="24" s="1"/>
  <c r="I282" i="24" s="1"/>
  <c r="I283" i="24" s="1"/>
  <c r="I284" i="24" s="1"/>
  <c r="I285" i="24" s="1"/>
  <c r="I286" i="24" s="1"/>
  <c r="I287" i="24" s="1"/>
  <c r="I288" i="24" s="1"/>
  <c r="I289" i="24" s="1"/>
  <c r="I290" i="24" s="1"/>
  <c r="I291" i="24" s="1"/>
  <c r="I292" i="24" s="1"/>
  <c r="I293" i="24" s="1"/>
  <c r="I294" i="24" s="1"/>
  <c r="I295" i="24" s="1"/>
  <c r="I296" i="24" s="1"/>
  <c r="I297" i="24" s="1"/>
  <c r="I298" i="24" s="1"/>
  <c r="I299" i="24" s="1"/>
  <c r="I300" i="24" s="1"/>
  <c r="I301" i="24" s="1"/>
  <c r="I302" i="24" s="1"/>
  <c r="I303" i="24" s="1"/>
  <c r="I304" i="24" s="1"/>
  <c r="I305" i="24" s="1"/>
  <c r="I306" i="24" s="1"/>
  <c r="I307" i="24" s="1"/>
  <c r="I308" i="24" s="1"/>
  <c r="I309" i="24" s="1"/>
  <c r="I310" i="24" s="1"/>
  <c r="I311" i="24" s="1"/>
  <c r="I312" i="24" s="1"/>
  <c r="I313" i="24" s="1"/>
  <c r="I314" i="24" s="1"/>
  <c r="I315" i="24" s="1"/>
  <c r="I316" i="24" s="1"/>
  <c r="I317" i="24" s="1"/>
  <c r="I318" i="24" s="1"/>
  <c r="I319" i="24" s="1"/>
  <c r="I320" i="24" s="1"/>
  <c r="I321" i="24" s="1"/>
  <c r="I322" i="24" s="1"/>
  <c r="I323" i="24" s="1"/>
  <c r="I324" i="24" s="1"/>
  <c r="I325" i="24" s="1"/>
  <c r="I326" i="24" s="1"/>
  <c r="I327" i="24" s="1"/>
  <c r="I328" i="24" s="1"/>
  <c r="I329" i="24" s="1"/>
  <c r="I330" i="24" s="1"/>
  <c r="I331" i="24" s="1"/>
  <c r="I332" i="24" s="1"/>
  <c r="I333" i="24" s="1"/>
  <c r="I334" i="24" s="1"/>
  <c r="I335" i="24" s="1"/>
  <c r="I336" i="24" s="1"/>
  <c r="I337" i="24" s="1"/>
  <c r="I338" i="24" s="1"/>
  <c r="I339" i="24" s="1"/>
  <c r="I340" i="24" s="1"/>
  <c r="L188" i="24"/>
  <c r="M188" i="24" s="1"/>
  <c r="M189" i="24" s="1"/>
  <c r="M190" i="24" s="1"/>
  <c r="M191" i="24" s="1"/>
  <c r="M192" i="24" s="1"/>
  <c r="M193" i="24" s="1"/>
  <c r="M194" i="24" s="1"/>
  <c r="M195" i="24" s="1"/>
  <c r="M196" i="24" s="1"/>
  <c r="M197" i="24" s="1"/>
  <c r="M198" i="24" s="1"/>
  <c r="M199" i="24" s="1"/>
  <c r="M200" i="24" s="1"/>
  <c r="M201" i="24" s="1"/>
  <c r="M202" i="24" s="1"/>
  <c r="M203" i="24" s="1"/>
  <c r="M204" i="24" s="1"/>
  <c r="M205" i="24" s="1"/>
  <c r="M206" i="24" s="1"/>
  <c r="M207" i="24" s="1"/>
  <c r="M208" i="24" s="1"/>
  <c r="M209" i="24" s="1"/>
  <c r="M210" i="24" s="1"/>
  <c r="M211" i="24" s="1"/>
  <c r="M212" i="24" s="1"/>
  <c r="M213" i="24" s="1"/>
  <c r="M214" i="24" s="1"/>
  <c r="M215" i="24" s="1"/>
  <c r="M216" i="24" s="1"/>
  <c r="M217" i="24" s="1"/>
  <c r="M218" i="24" s="1"/>
  <c r="M219" i="24" s="1"/>
  <c r="M220" i="24" s="1"/>
  <c r="M221" i="24" s="1"/>
  <c r="M222" i="24" s="1"/>
  <c r="M223" i="24" s="1"/>
  <c r="M224" i="24" s="1"/>
  <c r="M225" i="24" s="1"/>
  <c r="M226" i="24" s="1"/>
  <c r="M227" i="24" s="1"/>
  <c r="M228" i="24" s="1"/>
  <c r="M229" i="24" s="1"/>
  <c r="M230" i="24" s="1"/>
  <c r="M231" i="24" s="1"/>
  <c r="M232" i="24" s="1"/>
  <c r="M233" i="24" s="1"/>
  <c r="M234" i="24" s="1"/>
  <c r="M235" i="24" s="1"/>
  <c r="M236" i="24" s="1"/>
  <c r="M237" i="24" s="1"/>
  <c r="M238" i="24" s="1"/>
  <c r="M239" i="24" s="1"/>
  <c r="M240" i="24" s="1"/>
  <c r="M241" i="24" s="1"/>
  <c r="M242" i="24" s="1"/>
  <c r="M243" i="24" s="1"/>
  <c r="M244" i="24" s="1"/>
  <c r="M245" i="24" s="1"/>
  <c r="M246" i="24" s="1"/>
  <c r="M247" i="24" s="1"/>
  <c r="M248" i="24" s="1"/>
  <c r="M249" i="24" s="1"/>
  <c r="M250" i="24" s="1"/>
  <c r="M251" i="24" s="1"/>
  <c r="M252" i="24" s="1"/>
  <c r="M253" i="24" s="1"/>
  <c r="M254" i="24" s="1"/>
  <c r="M255" i="24" s="1"/>
  <c r="M256" i="24" s="1"/>
  <c r="M257" i="24" s="1"/>
  <c r="M258" i="24" s="1"/>
  <c r="M259" i="24" s="1"/>
  <c r="M260" i="24" s="1"/>
  <c r="M261" i="24" s="1"/>
  <c r="M262" i="24" s="1"/>
  <c r="M263" i="24" s="1"/>
  <c r="M264" i="24" s="1"/>
  <c r="M265" i="24" s="1"/>
  <c r="M266" i="24" s="1"/>
  <c r="M267" i="24" s="1"/>
  <c r="M268" i="24" s="1"/>
  <c r="M269" i="24" s="1"/>
  <c r="M270" i="24" s="1"/>
  <c r="M271" i="24" s="1"/>
  <c r="M272" i="24" s="1"/>
  <c r="M273" i="24" s="1"/>
  <c r="M274" i="24" s="1"/>
  <c r="M275" i="24" s="1"/>
  <c r="M276" i="24" s="1"/>
  <c r="M277" i="24" s="1"/>
  <c r="M278" i="24" s="1"/>
  <c r="M279" i="24" s="1"/>
  <c r="M280" i="24" s="1"/>
  <c r="M281" i="24" s="1"/>
  <c r="M282" i="24" s="1"/>
  <c r="M283" i="24" s="1"/>
  <c r="M284" i="24" s="1"/>
  <c r="M285" i="24" s="1"/>
  <c r="M286" i="24" s="1"/>
  <c r="M287" i="24" s="1"/>
  <c r="M288" i="24" s="1"/>
  <c r="M289" i="24" s="1"/>
  <c r="M290" i="24" s="1"/>
  <c r="M291" i="24" s="1"/>
  <c r="M292" i="24" s="1"/>
  <c r="M293" i="24" s="1"/>
  <c r="M294" i="24" s="1"/>
  <c r="M295" i="24" s="1"/>
  <c r="M296" i="24" s="1"/>
  <c r="M297" i="24" s="1"/>
  <c r="M298" i="24" s="1"/>
  <c r="M299" i="24" s="1"/>
  <c r="M300" i="24" s="1"/>
  <c r="M301" i="24" s="1"/>
  <c r="M302" i="24" s="1"/>
  <c r="M303" i="24" s="1"/>
  <c r="M304" i="24" s="1"/>
  <c r="M305" i="24" s="1"/>
  <c r="M306" i="24" s="1"/>
  <c r="M307" i="24" s="1"/>
  <c r="M308" i="24" s="1"/>
  <c r="M309" i="24" s="1"/>
  <c r="M310" i="24" s="1"/>
  <c r="M311" i="24" s="1"/>
  <c r="M312" i="24" s="1"/>
  <c r="M313" i="24" s="1"/>
  <c r="M314" i="24" s="1"/>
  <c r="M315" i="24" s="1"/>
  <c r="M316" i="24" s="1"/>
  <c r="M317" i="24" s="1"/>
  <c r="M318" i="24" s="1"/>
  <c r="M319" i="24" s="1"/>
  <c r="M320" i="24" s="1"/>
  <c r="M321" i="24" s="1"/>
  <c r="M322" i="24" s="1"/>
  <c r="M323" i="24" s="1"/>
  <c r="M324" i="24" s="1"/>
  <c r="M325" i="24" s="1"/>
  <c r="M326" i="24" s="1"/>
  <c r="M327" i="24" s="1"/>
  <c r="M328" i="24" s="1"/>
  <c r="M329" i="24" s="1"/>
  <c r="M330" i="24" s="1"/>
  <c r="M331" i="24" s="1"/>
  <c r="M332" i="24" s="1"/>
  <c r="M333" i="24" s="1"/>
  <c r="M334" i="24" s="1"/>
  <c r="M335" i="24" s="1"/>
  <c r="M336" i="24" s="1"/>
  <c r="M337" i="24" s="1"/>
  <c r="M338" i="24" s="1"/>
  <c r="M339" i="24" s="1"/>
  <c r="M340" i="24" s="1"/>
  <c r="P188" i="24"/>
  <c r="Q188" i="24" s="1"/>
  <c r="Q189" i="24" s="1"/>
  <c r="Q190" i="24" s="1"/>
  <c r="Q191" i="24" s="1"/>
  <c r="Q192" i="24" s="1"/>
  <c r="Q193" i="24" s="1"/>
  <c r="Q194" i="24" s="1"/>
  <c r="Q195" i="24" s="1"/>
  <c r="Q196" i="24" s="1"/>
  <c r="Q197" i="24" s="1"/>
  <c r="Q198" i="24" s="1"/>
  <c r="Q199" i="24" s="1"/>
  <c r="Q200" i="24" s="1"/>
  <c r="Q201" i="24" s="1"/>
  <c r="Q202" i="24" s="1"/>
  <c r="Q203" i="24" s="1"/>
  <c r="Q204" i="24" s="1"/>
  <c r="Q205" i="24" s="1"/>
  <c r="Q206" i="24" s="1"/>
  <c r="Q207" i="24" s="1"/>
  <c r="Q208" i="24" s="1"/>
  <c r="Q209" i="24" s="1"/>
  <c r="Q210" i="24" s="1"/>
  <c r="Q211" i="24" s="1"/>
  <c r="Q212" i="24" s="1"/>
  <c r="Q213" i="24" s="1"/>
  <c r="Q214" i="24" s="1"/>
  <c r="Q215" i="24" s="1"/>
  <c r="Q216" i="24" s="1"/>
  <c r="Q217" i="24" s="1"/>
  <c r="Q218" i="24" s="1"/>
  <c r="Q219" i="24" s="1"/>
  <c r="Q220" i="24" s="1"/>
  <c r="Q221" i="24" s="1"/>
  <c r="Q222" i="24" s="1"/>
  <c r="Q223" i="24" s="1"/>
  <c r="Q224" i="24" s="1"/>
  <c r="Q225" i="24" s="1"/>
  <c r="Q226" i="24" s="1"/>
  <c r="Q227" i="24" s="1"/>
  <c r="Q228" i="24" s="1"/>
  <c r="Q229" i="24" s="1"/>
  <c r="Q230" i="24" s="1"/>
  <c r="Q231" i="24" s="1"/>
  <c r="Q232" i="24" s="1"/>
  <c r="Q233" i="24" s="1"/>
  <c r="Q234" i="24" s="1"/>
  <c r="Q235" i="24" s="1"/>
  <c r="Q236" i="24" s="1"/>
  <c r="Q237" i="24" s="1"/>
  <c r="Q238" i="24" s="1"/>
  <c r="Q239" i="24" s="1"/>
  <c r="Q240" i="24" s="1"/>
  <c r="Q241" i="24" s="1"/>
  <c r="Q242" i="24" s="1"/>
  <c r="Q243" i="24" s="1"/>
  <c r="Q244" i="24" s="1"/>
  <c r="Q245" i="24" s="1"/>
  <c r="Q246" i="24" s="1"/>
  <c r="Q247" i="24" s="1"/>
  <c r="Q248" i="24" s="1"/>
  <c r="Q249" i="24" s="1"/>
  <c r="Q250" i="24" s="1"/>
  <c r="Q251" i="24" s="1"/>
  <c r="Q252" i="24" s="1"/>
  <c r="Q253" i="24" s="1"/>
  <c r="Q254" i="24" s="1"/>
  <c r="Q255" i="24" s="1"/>
  <c r="Q256" i="24" s="1"/>
  <c r="Q257" i="24" s="1"/>
  <c r="Q258" i="24" s="1"/>
  <c r="Q259" i="24" s="1"/>
  <c r="Q260" i="24" s="1"/>
  <c r="Q261" i="24" s="1"/>
  <c r="Q262" i="24" s="1"/>
  <c r="Q263" i="24" s="1"/>
  <c r="Q264" i="24" s="1"/>
  <c r="Q265" i="24" s="1"/>
  <c r="Q266" i="24" s="1"/>
  <c r="Q267" i="24" s="1"/>
  <c r="Q268" i="24" s="1"/>
  <c r="Q269" i="24" s="1"/>
  <c r="Q270" i="24" s="1"/>
  <c r="Q271" i="24" s="1"/>
  <c r="Q272" i="24" s="1"/>
  <c r="Q273" i="24" s="1"/>
  <c r="Q274" i="24" s="1"/>
  <c r="Q275" i="24" s="1"/>
  <c r="Q276" i="24" s="1"/>
  <c r="Q277" i="24" s="1"/>
  <c r="Q278" i="24" s="1"/>
  <c r="Q279" i="24" s="1"/>
  <c r="Q280" i="24" s="1"/>
  <c r="Q281" i="24" s="1"/>
  <c r="Q282" i="24" s="1"/>
  <c r="Q283" i="24" s="1"/>
  <c r="Q284" i="24" s="1"/>
  <c r="Q285" i="24" s="1"/>
  <c r="Q286" i="24" s="1"/>
  <c r="Q287" i="24" s="1"/>
  <c r="Q288" i="24" s="1"/>
  <c r="Q289" i="24" s="1"/>
  <c r="Q290" i="24" s="1"/>
  <c r="Q291" i="24" s="1"/>
  <c r="Q292" i="24" s="1"/>
  <c r="Q293" i="24" s="1"/>
  <c r="Q294" i="24" s="1"/>
  <c r="Q295" i="24" s="1"/>
  <c r="Q296" i="24" s="1"/>
  <c r="Q297" i="24" s="1"/>
  <c r="Q298" i="24" s="1"/>
  <c r="Q299" i="24" s="1"/>
  <c r="Q300" i="24" s="1"/>
  <c r="Q301" i="24" s="1"/>
  <c r="Q302" i="24" s="1"/>
  <c r="Q303" i="24" s="1"/>
  <c r="Q304" i="24" s="1"/>
  <c r="Q305" i="24" s="1"/>
  <c r="Q306" i="24" s="1"/>
  <c r="Q307" i="24" s="1"/>
  <c r="Q308" i="24" s="1"/>
  <c r="Q309" i="24" s="1"/>
  <c r="Q310" i="24" s="1"/>
  <c r="Q311" i="24" s="1"/>
  <c r="Q312" i="24" s="1"/>
  <c r="Q313" i="24" s="1"/>
  <c r="Q314" i="24" s="1"/>
  <c r="Q315" i="24" s="1"/>
  <c r="Q316" i="24" s="1"/>
  <c r="Q317" i="24" s="1"/>
  <c r="Q318" i="24" s="1"/>
  <c r="Q319" i="24" s="1"/>
  <c r="Q320" i="24" s="1"/>
  <c r="Q321" i="24" s="1"/>
  <c r="Q322" i="24" s="1"/>
  <c r="Q323" i="24" s="1"/>
  <c r="Q324" i="24" s="1"/>
  <c r="Q325" i="24" s="1"/>
  <c r="Q326" i="24" s="1"/>
  <c r="Q327" i="24" s="1"/>
  <c r="Q328" i="24" s="1"/>
  <c r="Q329" i="24" s="1"/>
  <c r="Q330" i="24" s="1"/>
  <c r="Q331" i="24" s="1"/>
  <c r="Q332" i="24" s="1"/>
  <c r="Q333" i="24" s="1"/>
  <c r="Q334" i="24" s="1"/>
  <c r="Q335" i="24" s="1"/>
  <c r="Q336" i="24" s="1"/>
  <c r="Q337" i="24" s="1"/>
  <c r="Q338" i="24" s="1"/>
  <c r="Q339" i="24" s="1"/>
  <c r="Q340" i="24" s="1"/>
  <c r="F188" i="24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R188" i="24"/>
  <c r="S188" i="24" s="1"/>
  <c r="S189" i="24" s="1"/>
  <c r="S190" i="24" s="1"/>
  <c r="S191" i="24" s="1"/>
  <c r="S192" i="24" s="1"/>
  <c r="S193" i="24" s="1"/>
  <c r="S194" i="24" s="1"/>
  <c r="S195" i="24" s="1"/>
  <c r="S196" i="24" s="1"/>
  <c r="S197" i="24" s="1"/>
  <c r="S198" i="24" s="1"/>
  <c r="S199" i="24" s="1"/>
  <c r="S200" i="24" s="1"/>
  <c r="S201" i="24" s="1"/>
  <c r="S202" i="24" s="1"/>
  <c r="S203" i="24" s="1"/>
  <c r="S204" i="24" s="1"/>
  <c r="S205" i="24" s="1"/>
  <c r="S206" i="24" s="1"/>
  <c r="S207" i="24" s="1"/>
  <c r="S208" i="24" s="1"/>
  <c r="S209" i="24" s="1"/>
  <c r="S210" i="24" s="1"/>
  <c r="S211" i="24" s="1"/>
  <c r="S212" i="24" s="1"/>
  <c r="S213" i="24" s="1"/>
  <c r="S214" i="24" s="1"/>
  <c r="S215" i="24" s="1"/>
  <c r="S216" i="24" s="1"/>
  <c r="S217" i="24" s="1"/>
  <c r="S218" i="24" s="1"/>
  <c r="S219" i="24" s="1"/>
  <c r="S220" i="24" s="1"/>
  <c r="S221" i="24" s="1"/>
  <c r="S222" i="24" s="1"/>
  <c r="S223" i="24" s="1"/>
  <c r="S224" i="24" s="1"/>
  <c r="S225" i="24" s="1"/>
  <c r="S226" i="24" s="1"/>
  <c r="S227" i="24" s="1"/>
  <c r="S228" i="24" s="1"/>
  <c r="S229" i="24" s="1"/>
  <c r="S230" i="24" s="1"/>
  <c r="S231" i="24" s="1"/>
  <c r="S232" i="24" s="1"/>
  <c r="S233" i="24" s="1"/>
  <c r="S234" i="24" s="1"/>
  <c r="S235" i="24" s="1"/>
  <c r="S236" i="24" s="1"/>
  <c r="S237" i="24" s="1"/>
  <c r="S238" i="24" s="1"/>
  <c r="S239" i="24" s="1"/>
  <c r="S240" i="24" s="1"/>
  <c r="S241" i="24" s="1"/>
  <c r="S242" i="24" s="1"/>
  <c r="S243" i="24" s="1"/>
  <c r="S244" i="24" s="1"/>
  <c r="S245" i="24" s="1"/>
  <c r="S246" i="24" s="1"/>
  <c r="S247" i="24" s="1"/>
  <c r="S248" i="24" s="1"/>
  <c r="S249" i="24" s="1"/>
  <c r="S250" i="24" s="1"/>
  <c r="S251" i="24" s="1"/>
  <c r="S252" i="24" s="1"/>
  <c r="S253" i="24" s="1"/>
  <c r="S254" i="24" s="1"/>
  <c r="S255" i="24" s="1"/>
  <c r="S256" i="24" s="1"/>
  <c r="S257" i="24" s="1"/>
  <c r="S258" i="24" s="1"/>
  <c r="S259" i="24" s="1"/>
  <c r="S260" i="24" s="1"/>
  <c r="S261" i="24" s="1"/>
  <c r="S262" i="24" s="1"/>
  <c r="S263" i="24" s="1"/>
  <c r="S264" i="24" s="1"/>
  <c r="S265" i="24" s="1"/>
  <c r="S266" i="24" s="1"/>
  <c r="S267" i="24" s="1"/>
  <c r="S268" i="24" s="1"/>
  <c r="S269" i="24" s="1"/>
  <c r="S270" i="24" s="1"/>
  <c r="S271" i="24" s="1"/>
  <c r="S272" i="24" s="1"/>
  <c r="S273" i="24" s="1"/>
  <c r="S274" i="24" s="1"/>
  <c r="S275" i="24" s="1"/>
  <c r="S276" i="24" s="1"/>
  <c r="S277" i="24" s="1"/>
  <c r="S278" i="24" s="1"/>
  <c r="S279" i="24" s="1"/>
  <c r="S280" i="24" s="1"/>
  <c r="S281" i="24" s="1"/>
  <c r="S282" i="24" s="1"/>
  <c r="S283" i="24" s="1"/>
  <c r="S284" i="24" s="1"/>
  <c r="S285" i="24" s="1"/>
  <c r="S286" i="24" s="1"/>
  <c r="S287" i="24" s="1"/>
  <c r="S288" i="24" s="1"/>
  <c r="S289" i="24" s="1"/>
  <c r="S290" i="24" s="1"/>
  <c r="S291" i="24" s="1"/>
  <c r="S292" i="24" s="1"/>
  <c r="S293" i="24" s="1"/>
  <c r="S294" i="24" s="1"/>
  <c r="S295" i="24" s="1"/>
  <c r="S296" i="24" s="1"/>
  <c r="S297" i="24" s="1"/>
  <c r="S298" i="24" s="1"/>
  <c r="S299" i="24" s="1"/>
  <c r="S300" i="24" s="1"/>
  <c r="S301" i="24" s="1"/>
  <c r="S302" i="24" s="1"/>
  <c r="S303" i="24" s="1"/>
  <c r="S304" i="24" s="1"/>
  <c r="S305" i="24" s="1"/>
  <c r="S306" i="24" s="1"/>
  <c r="S307" i="24" s="1"/>
  <c r="S308" i="24" s="1"/>
  <c r="S309" i="24" s="1"/>
  <c r="S310" i="24" s="1"/>
  <c r="S311" i="24" s="1"/>
  <c r="S312" i="24" s="1"/>
  <c r="S313" i="24" s="1"/>
  <c r="S314" i="24" s="1"/>
  <c r="S315" i="24" s="1"/>
  <c r="S316" i="24" s="1"/>
  <c r="S317" i="24" s="1"/>
  <c r="S318" i="24" s="1"/>
  <c r="S319" i="24" s="1"/>
  <c r="S320" i="24" s="1"/>
  <c r="S321" i="24" s="1"/>
  <c r="S322" i="24" s="1"/>
  <c r="S323" i="24" s="1"/>
  <c r="S324" i="24" s="1"/>
  <c r="S325" i="24" s="1"/>
  <c r="S326" i="24" s="1"/>
  <c r="S327" i="24" s="1"/>
  <c r="S328" i="24" s="1"/>
  <c r="S329" i="24" s="1"/>
  <c r="S330" i="24" s="1"/>
  <c r="S331" i="24" s="1"/>
  <c r="S332" i="24" s="1"/>
  <c r="S333" i="24" s="1"/>
  <c r="S334" i="24" s="1"/>
  <c r="S335" i="24" s="1"/>
  <c r="S336" i="24" s="1"/>
  <c r="S337" i="24" s="1"/>
  <c r="S338" i="24" s="1"/>
  <c r="S339" i="24" s="1"/>
  <c r="S340" i="24" s="1"/>
  <c r="V188" i="24"/>
  <c r="W188" i="24" s="1"/>
  <c r="W189" i="24" s="1"/>
  <c r="W190" i="24" s="1"/>
  <c r="W191" i="24" s="1"/>
  <c r="W192" i="24" s="1"/>
  <c r="W193" i="24" s="1"/>
  <c r="W194" i="24" s="1"/>
  <c r="W195" i="24" s="1"/>
  <c r="W196" i="24" s="1"/>
  <c r="W197" i="24" s="1"/>
  <c r="W198" i="24" s="1"/>
  <c r="W199" i="24" s="1"/>
  <c r="W200" i="24" s="1"/>
  <c r="W201" i="24" s="1"/>
  <c r="W202" i="24" s="1"/>
  <c r="W203" i="24" s="1"/>
  <c r="W204" i="24" s="1"/>
  <c r="W205" i="24" s="1"/>
  <c r="W206" i="24" s="1"/>
  <c r="W207" i="24" s="1"/>
  <c r="W208" i="24" s="1"/>
  <c r="W209" i="24" s="1"/>
  <c r="W210" i="24" s="1"/>
  <c r="W211" i="24" s="1"/>
  <c r="W212" i="24" s="1"/>
  <c r="W213" i="24" s="1"/>
  <c r="W214" i="24" s="1"/>
  <c r="W215" i="24" s="1"/>
  <c r="W216" i="24" s="1"/>
  <c r="W217" i="24" s="1"/>
  <c r="W218" i="24" s="1"/>
  <c r="W219" i="24" s="1"/>
  <c r="W220" i="24" s="1"/>
  <c r="W221" i="24" s="1"/>
  <c r="W222" i="24" s="1"/>
  <c r="W223" i="24" s="1"/>
  <c r="W224" i="24" s="1"/>
  <c r="W225" i="24" s="1"/>
  <c r="W226" i="24" s="1"/>
  <c r="W227" i="24" s="1"/>
  <c r="W228" i="24" s="1"/>
  <c r="W229" i="24" s="1"/>
  <c r="W230" i="24" s="1"/>
  <c r="W231" i="24" s="1"/>
  <c r="W232" i="24" s="1"/>
  <c r="W233" i="24" s="1"/>
  <c r="W234" i="24" s="1"/>
  <c r="W235" i="24" s="1"/>
  <c r="W236" i="24" s="1"/>
  <c r="W237" i="24" s="1"/>
  <c r="W238" i="24" s="1"/>
  <c r="W239" i="24" s="1"/>
  <c r="W240" i="24" s="1"/>
  <c r="W241" i="24" s="1"/>
  <c r="W242" i="24" s="1"/>
  <c r="W243" i="24" s="1"/>
  <c r="W244" i="24" s="1"/>
  <c r="W245" i="24" s="1"/>
  <c r="W246" i="24" s="1"/>
  <c r="W247" i="24" s="1"/>
  <c r="W248" i="24" s="1"/>
  <c r="W249" i="24" s="1"/>
  <c r="W250" i="24" s="1"/>
  <c r="W251" i="24" s="1"/>
  <c r="W252" i="24" s="1"/>
  <c r="W253" i="24" s="1"/>
  <c r="W254" i="24" s="1"/>
  <c r="W255" i="24" s="1"/>
  <c r="W256" i="24" s="1"/>
  <c r="W257" i="24" s="1"/>
  <c r="W258" i="24" s="1"/>
  <c r="W259" i="24" s="1"/>
  <c r="W260" i="24" s="1"/>
  <c r="W261" i="24" s="1"/>
  <c r="W262" i="24" s="1"/>
  <c r="W263" i="24" s="1"/>
  <c r="W264" i="24" s="1"/>
  <c r="W265" i="24" s="1"/>
  <c r="W266" i="24" s="1"/>
  <c r="W267" i="24" s="1"/>
  <c r="W268" i="24" s="1"/>
  <c r="W269" i="24" s="1"/>
  <c r="W270" i="24" s="1"/>
  <c r="W271" i="24" s="1"/>
  <c r="W272" i="24" s="1"/>
  <c r="W273" i="24" s="1"/>
  <c r="W274" i="24" s="1"/>
  <c r="W275" i="24" s="1"/>
  <c r="W276" i="24" s="1"/>
  <c r="W277" i="24" s="1"/>
  <c r="W278" i="24" s="1"/>
  <c r="W279" i="24" s="1"/>
  <c r="W280" i="24" s="1"/>
  <c r="W281" i="24" s="1"/>
  <c r="W282" i="24" s="1"/>
  <c r="W283" i="24" s="1"/>
  <c r="W284" i="24" s="1"/>
  <c r="W285" i="24" s="1"/>
  <c r="W286" i="24" s="1"/>
  <c r="W287" i="24" s="1"/>
  <c r="W288" i="24" s="1"/>
  <c r="W289" i="24" s="1"/>
  <c r="W290" i="24" s="1"/>
  <c r="W291" i="24" s="1"/>
  <c r="W292" i="24" s="1"/>
  <c r="W293" i="24" s="1"/>
  <c r="W294" i="24" s="1"/>
  <c r="W295" i="24" s="1"/>
  <c r="W296" i="24" s="1"/>
  <c r="W297" i="24" s="1"/>
  <c r="W298" i="24" s="1"/>
  <c r="W299" i="24" s="1"/>
  <c r="W300" i="24" s="1"/>
  <c r="W301" i="24" s="1"/>
  <c r="W302" i="24" s="1"/>
  <c r="W303" i="24" s="1"/>
  <c r="W304" i="24" s="1"/>
  <c r="W305" i="24" s="1"/>
  <c r="W306" i="24" s="1"/>
  <c r="W307" i="24" s="1"/>
  <c r="W308" i="24" s="1"/>
  <c r="W309" i="24" s="1"/>
  <c r="W310" i="24" s="1"/>
  <c r="W311" i="24" s="1"/>
  <c r="W312" i="24" s="1"/>
  <c r="W313" i="24" s="1"/>
  <c r="W314" i="24" s="1"/>
  <c r="W315" i="24" s="1"/>
  <c r="W316" i="24" s="1"/>
  <c r="W317" i="24" s="1"/>
  <c r="W318" i="24" s="1"/>
  <c r="W319" i="24" s="1"/>
  <c r="W320" i="24" s="1"/>
  <c r="W321" i="24" s="1"/>
  <c r="W322" i="24" s="1"/>
  <c r="W323" i="24" s="1"/>
  <c r="W324" i="24" s="1"/>
  <c r="W325" i="24" s="1"/>
  <c r="W326" i="24" s="1"/>
  <c r="W327" i="24" s="1"/>
  <c r="W328" i="24" s="1"/>
  <c r="W329" i="24" s="1"/>
  <c r="W330" i="24" s="1"/>
  <c r="W331" i="24" s="1"/>
  <c r="W332" i="24" s="1"/>
  <c r="W333" i="24" s="1"/>
  <c r="W334" i="24" s="1"/>
  <c r="W335" i="24" s="1"/>
  <c r="W336" i="24" s="1"/>
  <c r="W337" i="24" s="1"/>
  <c r="W338" i="24" s="1"/>
  <c r="W339" i="24" s="1"/>
  <c r="W340" i="24" s="1"/>
  <c r="T188" i="24"/>
  <c r="U188" i="24" s="1"/>
  <c r="U189" i="24" s="1"/>
  <c r="U190" i="24" s="1"/>
  <c r="U191" i="24" s="1"/>
  <c r="U192" i="24" s="1"/>
  <c r="U193" i="24" s="1"/>
  <c r="U194" i="24" s="1"/>
  <c r="U195" i="24" s="1"/>
  <c r="U196" i="24" s="1"/>
  <c r="U197" i="24" s="1"/>
  <c r="U198" i="24" s="1"/>
  <c r="U199" i="24" s="1"/>
  <c r="U200" i="24" s="1"/>
  <c r="U201" i="24" s="1"/>
  <c r="U202" i="24" s="1"/>
  <c r="U203" i="24" s="1"/>
  <c r="U204" i="24" s="1"/>
  <c r="U205" i="24" s="1"/>
  <c r="U206" i="24" s="1"/>
  <c r="U207" i="24" s="1"/>
  <c r="U208" i="24" s="1"/>
  <c r="U209" i="24" s="1"/>
  <c r="U210" i="24" s="1"/>
  <c r="U211" i="24" s="1"/>
  <c r="U212" i="24" s="1"/>
  <c r="U213" i="24" s="1"/>
  <c r="U214" i="24" s="1"/>
  <c r="U215" i="24" s="1"/>
  <c r="U216" i="24" s="1"/>
  <c r="U217" i="24" s="1"/>
  <c r="U218" i="24" s="1"/>
  <c r="U219" i="24" s="1"/>
  <c r="U220" i="24" s="1"/>
  <c r="U221" i="24" s="1"/>
  <c r="U222" i="24" s="1"/>
  <c r="U223" i="24" s="1"/>
  <c r="U224" i="24" s="1"/>
  <c r="U225" i="24" s="1"/>
  <c r="U226" i="24" s="1"/>
  <c r="U227" i="24" s="1"/>
  <c r="U228" i="24" s="1"/>
  <c r="U229" i="24" s="1"/>
  <c r="U230" i="24" s="1"/>
  <c r="U231" i="24" s="1"/>
  <c r="U232" i="24" s="1"/>
  <c r="U233" i="24" s="1"/>
  <c r="U234" i="24" s="1"/>
  <c r="U235" i="24" s="1"/>
  <c r="U236" i="24" s="1"/>
  <c r="U237" i="24" s="1"/>
  <c r="U238" i="24" s="1"/>
  <c r="U239" i="24" s="1"/>
  <c r="U240" i="24" s="1"/>
  <c r="U241" i="24" s="1"/>
  <c r="U242" i="24" s="1"/>
  <c r="U243" i="24" s="1"/>
  <c r="U244" i="24" s="1"/>
  <c r="U245" i="24" s="1"/>
  <c r="U246" i="24" s="1"/>
  <c r="U247" i="24" s="1"/>
  <c r="U248" i="24" s="1"/>
  <c r="U249" i="24" s="1"/>
  <c r="U250" i="24" s="1"/>
  <c r="U251" i="24" s="1"/>
  <c r="U252" i="24" s="1"/>
  <c r="U253" i="24" s="1"/>
  <c r="U254" i="24" s="1"/>
  <c r="U255" i="24" s="1"/>
  <c r="U256" i="24" s="1"/>
  <c r="U257" i="24" s="1"/>
  <c r="U258" i="24" s="1"/>
  <c r="U259" i="24" s="1"/>
  <c r="U260" i="24" s="1"/>
  <c r="U261" i="24" s="1"/>
  <c r="U262" i="24" s="1"/>
  <c r="U263" i="24" s="1"/>
  <c r="U264" i="24" s="1"/>
  <c r="U265" i="24" s="1"/>
  <c r="U266" i="24" s="1"/>
  <c r="U267" i="24" s="1"/>
  <c r="U268" i="24" s="1"/>
  <c r="U269" i="24" s="1"/>
  <c r="U270" i="24" s="1"/>
  <c r="U271" i="24" s="1"/>
  <c r="U272" i="24" s="1"/>
  <c r="U273" i="24" s="1"/>
  <c r="U274" i="24" s="1"/>
  <c r="U275" i="24" s="1"/>
  <c r="U276" i="24" s="1"/>
  <c r="U277" i="24" s="1"/>
  <c r="U278" i="24" s="1"/>
  <c r="U279" i="24" s="1"/>
  <c r="U280" i="24" s="1"/>
  <c r="U281" i="24" s="1"/>
  <c r="U282" i="24" s="1"/>
  <c r="U283" i="24" s="1"/>
  <c r="U284" i="24" s="1"/>
  <c r="U285" i="24" s="1"/>
  <c r="U286" i="24" s="1"/>
  <c r="U287" i="24" s="1"/>
  <c r="U288" i="24" s="1"/>
  <c r="U289" i="24" s="1"/>
  <c r="U290" i="24" s="1"/>
  <c r="U291" i="24" s="1"/>
  <c r="U292" i="24" s="1"/>
  <c r="U293" i="24" s="1"/>
  <c r="U294" i="24" s="1"/>
  <c r="U295" i="24" s="1"/>
  <c r="U296" i="24" s="1"/>
  <c r="U297" i="24" s="1"/>
  <c r="U298" i="24" s="1"/>
  <c r="U299" i="24" s="1"/>
  <c r="U300" i="24" s="1"/>
  <c r="U301" i="24" s="1"/>
  <c r="U302" i="24" s="1"/>
  <c r="U303" i="24" s="1"/>
  <c r="U304" i="24" s="1"/>
  <c r="U305" i="24" s="1"/>
  <c r="U306" i="24" s="1"/>
  <c r="U307" i="24" s="1"/>
  <c r="U308" i="24" s="1"/>
  <c r="U309" i="24" s="1"/>
  <c r="U310" i="24" s="1"/>
  <c r="U311" i="24" s="1"/>
  <c r="U312" i="24" s="1"/>
  <c r="U313" i="24" s="1"/>
  <c r="U314" i="24" s="1"/>
  <c r="U315" i="24" s="1"/>
  <c r="U316" i="24" s="1"/>
  <c r="U317" i="24" s="1"/>
  <c r="U318" i="24" s="1"/>
  <c r="U319" i="24" s="1"/>
  <c r="U320" i="24" s="1"/>
  <c r="U321" i="24" s="1"/>
  <c r="U322" i="24" s="1"/>
  <c r="U323" i="24" s="1"/>
  <c r="U324" i="24" s="1"/>
  <c r="U325" i="24" s="1"/>
  <c r="U326" i="24" s="1"/>
  <c r="U327" i="24" s="1"/>
  <c r="U328" i="24" s="1"/>
  <c r="U329" i="24" s="1"/>
  <c r="U330" i="24" s="1"/>
  <c r="U331" i="24" s="1"/>
  <c r="U332" i="24" s="1"/>
  <c r="U333" i="24" s="1"/>
  <c r="U334" i="24" s="1"/>
  <c r="U335" i="24" s="1"/>
  <c r="U336" i="24" s="1"/>
  <c r="U337" i="24" s="1"/>
  <c r="U338" i="24" s="1"/>
  <c r="U339" i="24" s="1"/>
  <c r="U340" i="24" s="1"/>
  <c r="B188" i="24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290" i="24" s="1"/>
  <c r="C291" i="24" s="1"/>
  <c r="C292" i="24" s="1"/>
  <c r="C293" i="24" s="1"/>
  <c r="C294" i="24" s="1"/>
  <c r="C295" i="24" s="1"/>
  <c r="C296" i="24" s="1"/>
  <c r="C297" i="24" s="1"/>
  <c r="C298" i="24" s="1"/>
  <c r="C299" i="24" s="1"/>
  <c r="C300" i="24" s="1"/>
  <c r="C301" i="24" s="1"/>
  <c r="C302" i="24" s="1"/>
  <c r="C303" i="24" s="1"/>
  <c r="C304" i="24" s="1"/>
  <c r="C305" i="24" s="1"/>
  <c r="C306" i="24" s="1"/>
  <c r="C307" i="24" s="1"/>
  <c r="C308" i="24" s="1"/>
  <c r="C309" i="24" s="1"/>
  <c r="C310" i="24" s="1"/>
  <c r="C311" i="24" s="1"/>
  <c r="C312" i="24" s="1"/>
  <c r="C313" i="24" s="1"/>
  <c r="C314" i="24" s="1"/>
  <c r="C315" i="24" s="1"/>
  <c r="C316" i="24" s="1"/>
  <c r="C317" i="24" s="1"/>
  <c r="C318" i="24" s="1"/>
  <c r="C319" i="24" s="1"/>
  <c r="C320" i="24" s="1"/>
  <c r="C321" i="24" s="1"/>
  <c r="C322" i="24" s="1"/>
  <c r="C323" i="24" s="1"/>
  <c r="C324" i="24" s="1"/>
  <c r="C325" i="24" s="1"/>
  <c r="C326" i="24" s="1"/>
  <c r="C327" i="24" s="1"/>
  <c r="C328" i="24" s="1"/>
  <c r="C329" i="24" s="1"/>
  <c r="C330" i="24" s="1"/>
  <c r="C331" i="24" s="1"/>
  <c r="C332" i="24" s="1"/>
  <c r="C333" i="24" s="1"/>
  <c r="C334" i="24" s="1"/>
  <c r="C335" i="24" s="1"/>
  <c r="C336" i="24" s="1"/>
  <c r="C337" i="24" s="1"/>
  <c r="C338" i="24" s="1"/>
  <c r="C339" i="24" s="1"/>
  <c r="C340" i="24" s="1"/>
  <c r="N188" i="24"/>
  <c r="O188" i="24" s="1"/>
  <c r="O189" i="24" s="1"/>
  <c r="O190" i="24" s="1"/>
  <c r="O191" i="24" s="1"/>
  <c r="O192" i="24" s="1"/>
  <c r="O193" i="24" s="1"/>
  <c r="O194" i="24" s="1"/>
  <c r="O195" i="24" s="1"/>
  <c r="O196" i="24" s="1"/>
  <c r="O197" i="24" s="1"/>
  <c r="O198" i="24" s="1"/>
  <c r="O199" i="24" s="1"/>
  <c r="O200" i="24" s="1"/>
  <c r="O201" i="24" s="1"/>
  <c r="O202" i="24" s="1"/>
  <c r="O203" i="24" s="1"/>
  <c r="O204" i="24" s="1"/>
  <c r="O205" i="24" s="1"/>
  <c r="O206" i="24" s="1"/>
  <c r="O207" i="24" s="1"/>
  <c r="O208" i="24" s="1"/>
  <c r="O209" i="24" s="1"/>
  <c r="O210" i="24" s="1"/>
  <c r="O211" i="24" s="1"/>
  <c r="O212" i="24" s="1"/>
  <c r="O213" i="24" s="1"/>
  <c r="O214" i="24" s="1"/>
  <c r="O215" i="24" s="1"/>
  <c r="O216" i="24" s="1"/>
  <c r="O217" i="24" s="1"/>
  <c r="O218" i="24" s="1"/>
  <c r="O219" i="24" s="1"/>
  <c r="O220" i="24" s="1"/>
  <c r="O221" i="24" s="1"/>
  <c r="O222" i="24" s="1"/>
  <c r="O223" i="24" s="1"/>
  <c r="O224" i="24" s="1"/>
  <c r="O225" i="24" s="1"/>
  <c r="O226" i="24" s="1"/>
  <c r="O227" i="24" s="1"/>
  <c r="O228" i="24" s="1"/>
  <c r="O229" i="24" s="1"/>
  <c r="O230" i="24" s="1"/>
  <c r="O231" i="24" s="1"/>
  <c r="O232" i="24" s="1"/>
  <c r="O233" i="24" s="1"/>
  <c r="O234" i="24" s="1"/>
  <c r="O235" i="24" s="1"/>
  <c r="O236" i="24" s="1"/>
  <c r="O237" i="24" s="1"/>
  <c r="O238" i="24" s="1"/>
  <c r="O239" i="24" s="1"/>
  <c r="O240" i="24" s="1"/>
  <c r="O241" i="24" s="1"/>
  <c r="O242" i="24" s="1"/>
  <c r="O243" i="24" s="1"/>
  <c r="O244" i="24" s="1"/>
  <c r="O245" i="24" s="1"/>
  <c r="O246" i="24" s="1"/>
  <c r="O247" i="24" s="1"/>
  <c r="O248" i="24" s="1"/>
  <c r="O249" i="24" s="1"/>
  <c r="O250" i="24" s="1"/>
  <c r="O251" i="24" s="1"/>
  <c r="O252" i="24" s="1"/>
  <c r="O253" i="24" s="1"/>
  <c r="O254" i="24" s="1"/>
  <c r="O255" i="24" s="1"/>
  <c r="O256" i="24" s="1"/>
  <c r="O257" i="24" s="1"/>
  <c r="O258" i="24" s="1"/>
  <c r="O259" i="24" s="1"/>
  <c r="O260" i="24" s="1"/>
  <c r="O261" i="24" s="1"/>
  <c r="O262" i="24" s="1"/>
  <c r="O263" i="24" s="1"/>
  <c r="O264" i="24" s="1"/>
  <c r="O265" i="24" s="1"/>
  <c r="O266" i="24" s="1"/>
  <c r="O267" i="24" s="1"/>
  <c r="O268" i="24" s="1"/>
  <c r="O269" i="24" s="1"/>
  <c r="O270" i="24" s="1"/>
  <c r="O271" i="24" s="1"/>
  <c r="O272" i="24" s="1"/>
  <c r="O273" i="24" s="1"/>
  <c r="O274" i="24" s="1"/>
  <c r="O275" i="24" s="1"/>
  <c r="O276" i="24" s="1"/>
  <c r="O277" i="24" s="1"/>
  <c r="O278" i="24" s="1"/>
  <c r="O279" i="24" s="1"/>
  <c r="O280" i="24" s="1"/>
  <c r="O281" i="24" s="1"/>
  <c r="O282" i="24" s="1"/>
  <c r="O283" i="24" s="1"/>
  <c r="O284" i="24" s="1"/>
  <c r="O285" i="24" s="1"/>
  <c r="O286" i="24" s="1"/>
  <c r="O287" i="24" s="1"/>
  <c r="O288" i="24" s="1"/>
  <c r="O289" i="24" s="1"/>
  <c r="O290" i="24" s="1"/>
  <c r="O291" i="24" s="1"/>
  <c r="O292" i="24" s="1"/>
  <c r="O293" i="24" s="1"/>
  <c r="O294" i="24" s="1"/>
  <c r="O295" i="24" s="1"/>
  <c r="O296" i="24" s="1"/>
  <c r="O297" i="24" s="1"/>
  <c r="O298" i="24" s="1"/>
  <c r="O299" i="24" s="1"/>
  <c r="O300" i="24" s="1"/>
  <c r="O301" i="24" s="1"/>
  <c r="O302" i="24" s="1"/>
  <c r="O303" i="24" s="1"/>
  <c r="O304" i="24" s="1"/>
  <c r="O305" i="24" s="1"/>
  <c r="O306" i="24" s="1"/>
  <c r="O307" i="24" s="1"/>
  <c r="O308" i="24" s="1"/>
  <c r="O309" i="24" s="1"/>
  <c r="O310" i="24" s="1"/>
  <c r="O311" i="24" s="1"/>
  <c r="O312" i="24" s="1"/>
  <c r="O313" i="24" s="1"/>
  <c r="O314" i="24" s="1"/>
  <c r="O315" i="24" s="1"/>
  <c r="O316" i="24" s="1"/>
  <c r="O317" i="24" s="1"/>
  <c r="O318" i="24" s="1"/>
  <c r="O319" i="24" s="1"/>
  <c r="O320" i="24" s="1"/>
  <c r="O321" i="24" s="1"/>
  <c r="O322" i="24" s="1"/>
  <c r="O323" i="24" s="1"/>
  <c r="O324" i="24" s="1"/>
  <c r="O325" i="24" s="1"/>
  <c r="O326" i="24" s="1"/>
  <c r="O327" i="24" s="1"/>
  <c r="O328" i="24" s="1"/>
  <c r="O329" i="24" s="1"/>
  <c r="O330" i="24" s="1"/>
  <c r="O331" i="24" s="1"/>
  <c r="O332" i="24" s="1"/>
  <c r="O333" i="24" s="1"/>
  <c r="O334" i="24" s="1"/>
  <c r="O335" i="24" s="1"/>
  <c r="O336" i="24" s="1"/>
  <c r="O337" i="24" s="1"/>
  <c r="O338" i="24" s="1"/>
  <c r="O339" i="24" s="1"/>
  <c r="O340" i="24" s="1"/>
  <c r="D188" i="24"/>
  <c r="E188" i="24" s="1"/>
  <c r="E189" i="24" s="1"/>
  <c r="E190" i="24" s="1"/>
  <c r="E191" i="24" s="1"/>
  <c r="E192" i="24" s="1"/>
  <c r="E193" i="24" s="1"/>
  <c r="E194" i="24" s="1"/>
  <c r="E195" i="24" s="1"/>
  <c r="E196" i="24" s="1"/>
  <c r="E197" i="24" s="1"/>
  <c r="E198" i="24" s="1"/>
  <c r="E199" i="24" s="1"/>
  <c r="E200" i="24" s="1"/>
  <c r="E201" i="24" s="1"/>
  <c r="E202" i="24" s="1"/>
  <c r="E203" i="24" s="1"/>
  <c r="E204" i="24" s="1"/>
  <c r="E205" i="24" s="1"/>
  <c r="E206" i="24" s="1"/>
  <c r="E207" i="24" s="1"/>
  <c r="E208" i="24" s="1"/>
  <c r="E209" i="24" s="1"/>
  <c r="E210" i="24" s="1"/>
  <c r="E211" i="24" s="1"/>
  <c r="E212" i="24" s="1"/>
  <c r="E213" i="24" s="1"/>
  <c r="E214" i="24" s="1"/>
  <c r="E215" i="24" s="1"/>
  <c r="E216" i="24" s="1"/>
  <c r="E217" i="24" s="1"/>
  <c r="E218" i="24" s="1"/>
  <c r="E219" i="24" s="1"/>
  <c r="E220" i="24" s="1"/>
  <c r="E221" i="24" s="1"/>
  <c r="E222" i="24" s="1"/>
  <c r="E223" i="24" s="1"/>
  <c r="E224" i="24" s="1"/>
  <c r="E225" i="24" s="1"/>
  <c r="E226" i="24" s="1"/>
  <c r="E227" i="24" s="1"/>
  <c r="E228" i="24" s="1"/>
  <c r="E229" i="24" s="1"/>
  <c r="E230" i="24" s="1"/>
  <c r="E231" i="24" s="1"/>
  <c r="E232" i="24" s="1"/>
  <c r="E233" i="24" s="1"/>
  <c r="E234" i="24" s="1"/>
  <c r="E235" i="24" s="1"/>
  <c r="E236" i="24" s="1"/>
  <c r="E237" i="24" s="1"/>
  <c r="E238" i="24" s="1"/>
  <c r="E239" i="24" s="1"/>
  <c r="E240" i="24" s="1"/>
  <c r="E241" i="24" s="1"/>
  <c r="E242" i="24" s="1"/>
  <c r="E243" i="24" s="1"/>
  <c r="E244" i="24" s="1"/>
  <c r="E245" i="24" s="1"/>
  <c r="E246" i="24" s="1"/>
  <c r="E247" i="24" s="1"/>
  <c r="E248" i="24" s="1"/>
  <c r="E249" i="24" s="1"/>
  <c r="E250" i="24" s="1"/>
  <c r="E251" i="24" s="1"/>
  <c r="E252" i="24" s="1"/>
  <c r="E253" i="24" s="1"/>
  <c r="E254" i="24" s="1"/>
  <c r="E255" i="24" s="1"/>
  <c r="E256" i="24" s="1"/>
  <c r="E257" i="24" s="1"/>
  <c r="E258" i="24" s="1"/>
  <c r="E259" i="24" s="1"/>
  <c r="E260" i="24" s="1"/>
  <c r="E261" i="24" s="1"/>
  <c r="E262" i="24" s="1"/>
  <c r="E263" i="24" s="1"/>
  <c r="E264" i="24" s="1"/>
  <c r="E265" i="24" s="1"/>
  <c r="E266" i="24" s="1"/>
  <c r="E267" i="24" s="1"/>
  <c r="E268" i="24" s="1"/>
  <c r="E269" i="24" s="1"/>
  <c r="E270" i="24" s="1"/>
  <c r="E271" i="24" s="1"/>
  <c r="E272" i="24" s="1"/>
  <c r="E273" i="24" s="1"/>
  <c r="E274" i="24" s="1"/>
  <c r="E275" i="24" s="1"/>
  <c r="E276" i="24" s="1"/>
  <c r="E277" i="24" s="1"/>
  <c r="E278" i="24" s="1"/>
  <c r="E279" i="24" s="1"/>
  <c r="E280" i="24" s="1"/>
  <c r="E281" i="24" s="1"/>
  <c r="E282" i="24" s="1"/>
  <c r="E283" i="24" s="1"/>
  <c r="E284" i="24" s="1"/>
  <c r="E285" i="24" s="1"/>
  <c r="E286" i="24" s="1"/>
  <c r="E287" i="24" s="1"/>
  <c r="E288" i="24" s="1"/>
  <c r="E289" i="24" s="1"/>
  <c r="E290" i="24" s="1"/>
  <c r="E291" i="24" s="1"/>
  <c r="E292" i="24" s="1"/>
  <c r="E293" i="24" s="1"/>
  <c r="E294" i="24" s="1"/>
  <c r="E295" i="24" s="1"/>
  <c r="E296" i="24" s="1"/>
  <c r="E297" i="24" s="1"/>
  <c r="E298" i="24" s="1"/>
  <c r="E299" i="24" s="1"/>
  <c r="E300" i="24" s="1"/>
  <c r="E301" i="24" s="1"/>
  <c r="E302" i="24" s="1"/>
  <c r="E303" i="24" s="1"/>
  <c r="E304" i="24" s="1"/>
  <c r="E305" i="24" s="1"/>
  <c r="E306" i="24" s="1"/>
  <c r="E307" i="24" s="1"/>
  <c r="E308" i="24" s="1"/>
  <c r="E309" i="24" s="1"/>
  <c r="E310" i="24" s="1"/>
  <c r="E311" i="24" s="1"/>
  <c r="E312" i="24" s="1"/>
  <c r="E313" i="24" s="1"/>
  <c r="E314" i="24" s="1"/>
  <c r="E315" i="24" s="1"/>
  <c r="E316" i="24" s="1"/>
  <c r="E317" i="24" s="1"/>
  <c r="E318" i="24" s="1"/>
  <c r="E319" i="24" s="1"/>
  <c r="E320" i="24" s="1"/>
  <c r="E321" i="24" s="1"/>
  <c r="E322" i="24" s="1"/>
  <c r="E323" i="24" s="1"/>
  <c r="E324" i="24" s="1"/>
  <c r="E325" i="24" s="1"/>
  <c r="E326" i="24" s="1"/>
  <c r="E327" i="24" s="1"/>
  <c r="E328" i="24" s="1"/>
  <c r="E329" i="24" s="1"/>
  <c r="E330" i="24" s="1"/>
  <c r="E331" i="24" s="1"/>
  <c r="E332" i="24" s="1"/>
  <c r="E333" i="24" s="1"/>
  <c r="E334" i="24" s="1"/>
  <c r="E335" i="24" s="1"/>
  <c r="E336" i="24" s="1"/>
  <c r="E337" i="24" s="1"/>
  <c r="E338" i="24" s="1"/>
  <c r="E339" i="24" s="1"/>
  <c r="E340" i="24" s="1"/>
  <c r="J188" i="24"/>
  <c r="K188" i="24" s="1"/>
  <c r="K189" i="24" s="1"/>
  <c r="K190" i="24" s="1"/>
  <c r="K191" i="24" s="1"/>
  <c r="K192" i="24" s="1"/>
  <c r="K193" i="24" s="1"/>
  <c r="K194" i="24" s="1"/>
  <c r="K195" i="24" s="1"/>
  <c r="K196" i="24" s="1"/>
  <c r="K197" i="24" s="1"/>
  <c r="K198" i="24" s="1"/>
  <c r="K199" i="24" s="1"/>
  <c r="K200" i="24" s="1"/>
  <c r="K201" i="24" s="1"/>
  <c r="K202" i="24" s="1"/>
  <c r="K203" i="24" s="1"/>
  <c r="K204" i="24" s="1"/>
  <c r="K205" i="24" s="1"/>
  <c r="K206" i="24" s="1"/>
  <c r="K207" i="24" s="1"/>
  <c r="K208" i="24" s="1"/>
  <c r="K209" i="24" s="1"/>
  <c r="K210" i="24" s="1"/>
  <c r="K211" i="24" s="1"/>
  <c r="K212" i="24" s="1"/>
  <c r="K213" i="24" s="1"/>
  <c r="K214" i="24" s="1"/>
  <c r="K215" i="24" s="1"/>
  <c r="K216" i="24" s="1"/>
  <c r="K217" i="24" s="1"/>
  <c r="K218" i="24" s="1"/>
  <c r="K219" i="24" s="1"/>
  <c r="K220" i="24" s="1"/>
  <c r="K221" i="24" s="1"/>
  <c r="K222" i="24" s="1"/>
  <c r="K223" i="24" s="1"/>
  <c r="K224" i="24" s="1"/>
  <c r="K225" i="24" s="1"/>
  <c r="K226" i="24" s="1"/>
  <c r="K227" i="24" s="1"/>
  <c r="K228" i="24" s="1"/>
  <c r="K229" i="24" s="1"/>
  <c r="K230" i="24" s="1"/>
  <c r="K231" i="24" s="1"/>
  <c r="K232" i="24" s="1"/>
  <c r="K233" i="24" s="1"/>
  <c r="K234" i="24" s="1"/>
  <c r="K235" i="24" s="1"/>
  <c r="K236" i="24" s="1"/>
  <c r="K237" i="24" s="1"/>
  <c r="K238" i="24" s="1"/>
  <c r="K239" i="24" s="1"/>
  <c r="K240" i="24" s="1"/>
  <c r="K241" i="24" s="1"/>
  <c r="K242" i="24" s="1"/>
  <c r="K243" i="24" s="1"/>
  <c r="K244" i="24" s="1"/>
  <c r="K245" i="24" s="1"/>
  <c r="K246" i="24" s="1"/>
  <c r="K247" i="24" s="1"/>
  <c r="K248" i="24" s="1"/>
  <c r="K249" i="24" s="1"/>
  <c r="K250" i="24" s="1"/>
  <c r="K251" i="24" s="1"/>
  <c r="K252" i="24" s="1"/>
  <c r="K253" i="24" s="1"/>
  <c r="K254" i="24" s="1"/>
  <c r="K255" i="24" s="1"/>
  <c r="K256" i="24" s="1"/>
  <c r="K257" i="24" s="1"/>
  <c r="K258" i="24" s="1"/>
  <c r="K259" i="24" s="1"/>
  <c r="K260" i="24" s="1"/>
  <c r="K261" i="24" s="1"/>
  <c r="K262" i="24" s="1"/>
  <c r="K263" i="24" s="1"/>
  <c r="K264" i="24" s="1"/>
  <c r="K265" i="24" s="1"/>
  <c r="K266" i="24" s="1"/>
  <c r="K267" i="24" s="1"/>
  <c r="K268" i="24" s="1"/>
  <c r="K269" i="24" s="1"/>
  <c r="K270" i="24" s="1"/>
  <c r="K271" i="24" s="1"/>
  <c r="K272" i="24" s="1"/>
  <c r="K273" i="24" s="1"/>
  <c r="K274" i="24" s="1"/>
  <c r="K275" i="24" s="1"/>
  <c r="K276" i="24" s="1"/>
  <c r="K277" i="24" s="1"/>
  <c r="K278" i="24" s="1"/>
  <c r="K279" i="24" s="1"/>
  <c r="K280" i="24" s="1"/>
  <c r="K281" i="24" s="1"/>
  <c r="K282" i="24" s="1"/>
  <c r="K283" i="24" s="1"/>
  <c r="K284" i="24" s="1"/>
  <c r="K285" i="24" s="1"/>
  <c r="K286" i="24" s="1"/>
  <c r="K287" i="24" s="1"/>
  <c r="K288" i="24" s="1"/>
  <c r="K289" i="24" s="1"/>
  <c r="K290" i="24" s="1"/>
  <c r="K291" i="24" s="1"/>
  <c r="K292" i="24" s="1"/>
  <c r="K293" i="24" s="1"/>
  <c r="K294" i="24" s="1"/>
  <c r="K295" i="24" s="1"/>
  <c r="K296" i="24" s="1"/>
  <c r="K297" i="24" s="1"/>
  <c r="K298" i="24" s="1"/>
  <c r="K299" i="24" s="1"/>
  <c r="K300" i="24" s="1"/>
  <c r="K301" i="24" s="1"/>
  <c r="K302" i="24" s="1"/>
  <c r="K303" i="24" s="1"/>
  <c r="K304" i="24" s="1"/>
  <c r="K305" i="24" s="1"/>
  <c r="K306" i="24" s="1"/>
  <c r="K307" i="24" s="1"/>
  <c r="K308" i="24" s="1"/>
  <c r="K309" i="24" s="1"/>
  <c r="K310" i="24" s="1"/>
  <c r="K311" i="24" s="1"/>
  <c r="K312" i="24" s="1"/>
  <c r="K313" i="24" s="1"/>
  <c r="K314" i="24" s="1"/>
  <c r="K315" i="24" s="1"/>
  <c r="K316" i="24" s="1"/>
  <c r="K317" i="24" s="1"/>
  <c r="K318" i="24" s="1"/>
  <c r="K319" i="24" s="1"/>
  <c r="K320" i="24" s="1"/>
  <c r="K321" i="24" s="1"/>
  <c r="K322" i="24" s="1"/>
  <c r="K323" i="24" s="1"/>
  <c r="K324" i="24" s="1"/>
  <c r="K325" i="24" s="1"/>
  <c r="K326" i="24" s="1"/>
  <c r="K327" i="24" s="1"/>
  <c r="K328" i="24" s="1"/>
  <c r="K329" i="24" s="1"/>
  <c r="K330" i="24" s="1"/>
  <c r="K331" i="24" s="1"/>
  <c r="K332" i="24" s="1"/>
  <c r="K333" i="24" s="1"/>
  <c r="K334" i="24" s="1"/>
  <c r="K335" i="24" s="1"/>
  <c r="K336" i="24" s="1"/>
  <c r="K337" i="24" s="1"/>
  <c r="K338" i="24" s="1"/>
  <c r="K339" i="24" s="1"/>
  <c r="K340" i="24" s="1"/>
  <c r="H341" i="24"/>
  <c r="F341" i="24"/>
  <c r="D341" i="24"/>
  <c r="A342" i="24"/>
  <c r="B341" i="24"/>
  <c r="J341" i="24"/>
  <c r="P341" i="24"/>
  <c r="V341" i="24"/>
  <c r="T341" i="24"/>
  <c r="R341" i="24"/>
  <c r="L341" i="24"/>
  <c r="N341" i="24"/>
  <c r="J153" i="37"/>
  <c r="I153" i="37"/>
  <c r="D153" i="37"/>
  <c r="C153" i="37"/>
  <c r="P152" i="37"/>
  <c r="O152" i="37"/>
  <c r="G153" i="37"/>
  <c r="F153" i="37"/>
  <c r="M153" i="37"/>
  <c r="L153" i="37"/>
  <c r="R152" i="37"/>
  <c r="S152" i="37"/>
  <c r="Q946" i="37" l="1"/>
  <c r="U946" i="37"/>
  <c r="K946" i="37"/>
  <c r="N946" i="37"/>
  <c r="H946" i="37"/>
  <c r="B946" i="37"/>
  <c r="E946" i="37"/>
  <c r="A947" i="37"/>
  <c r="V945" i="37"/>
  <c r="I341" i="24"/>
  <c r="C341" i="24"/>
  <c r="W341" i="24"/>
  <c r="G341" i="24"/>
  <c r="Q341" i="24"/>
  <c r="M341" i="24"/>
  <c r="U341" i="24"/>
  <c r="K341" i="24"/>
  <c r="S341" i="24"/>
  <c r="E341" i="24"/>
  <c r="O341" i="24"/>
  <c r="P342" i="24"/>
  <c r="A343" i="24"/>
  <c r="N342" i="24"/>
  <c r="O342" i="24" s="1"/>
  <c r="T342" i="24"/>
  <c r="U342" i="24" s="1"/>
  <c r="F342" i="24"/>
  <c r="G342" i="24" s="1"/>
  <c r="B342" i="24"/>
  <c r="C342" i="24" s="1"/>
  <c r="D342" i="24"/>
  <c r="E342" i="24" s="1"/>
  <c r="H342" i="24"/>
  <c r="I342" i="24" s="1"/>
  <c r="J342" i="24"/>
  <c r="L342" i="24"/>
  <c r="M342" i="24" s="1"/>
  <c r="R342" i="24"/>
  <c r="S342" i="24" s="1"/>
  <c r="V342" i="24"/>
  <c r="W342" i="24" s="1"/>
  <c r="J154" i="37"/>
  <c r="I154" i="37"/>
  <c r="C154" i="37"/>
  <c r="D154" i="37"/>
  <c r="O153" i="37"/>
  <c r="P153" i="37"/>
  <c r="S153" i="37"/>
  <c r="R153" i="37"/>
  <c r="F154" i="37"/>
  <c r="G154" i="37"/>
  <c r="L154" i="37"/>
  <c r="M154" i="37"/>
  <c r="Q947" i="37" l="1"/>
  <c r="B947" i="37"/>
  <c r="H947" i="37"/>
  <c r="N947" i="37"/>
  <c r="K947" i="37"/>
  <c r="A948" i="37"/>
  <c r="E947" i="37"/>
  <c r="U947" i="37"/>
  <c r="V946" i="37"/>
  <c r="Q342" i="24"/>
  <c r="K342" i="24"/>
  <c r="D343" i="24"/>
  <c r="E343" i="24" s="1"/>
  <c r="F343" i="24"/>
  <c r="G343" i="24" s="1"/>
  <c r="L343" i="24"/>
  <c r="M343" i="24" s="1"/>
  <c r="V343" i="24"/>
  <c r="W343" i="24" s="1"/>
  <c r="T343" i="24"/>
  <c r="U343" i="24" s="1"/>
  <c r="N343" i="24"/>
  <c r="O343" i="24" s="1"/>
  <c r="A344" i="24"/>
  <c r="B343" i="24"/>
  <c r="C343" i="24" s="1"/>
  <c r="R343" i="24"/>
  <c r="S343" i="24" s="1"/>
  <c r="P343" i="24"/>
  <c r="Q343" i="24" s="1"/>
  <c r="J343" i="24"/>
  <c r="K343" i="24" s="1"/>
  <c r="H343" i="24"/>
  <c r="I343" i="24" s="1"/>
  <c r="J155" i="37"/>
  <c r="I155" i="37"/>
  <c r="D155" i="37"/>
  <c r="C155" i="37"/>
  <c r="O154" i="37"/>
  <c r="P154" i="37"/>
  <c r="F155" i="37"/>
  <c r="G155" i="37"/>
  <c r="L155" i="37"/>
  <c r="M155" i="37"/>
  <c r="S154" i="37"/>
  <c r="R154" i="37"/>
  <c r="Q948" i="37" l="1"/>
  <c r="U948" i="37"/>
  <c r="B948" i="37"/>
  <c r="N948" i="37"/>
  <c r="H948" i="37"/>
  <c r="K948" i="37"/>
  <c r="E948" i="37"/>
  <c r="A949" i="37"/>
  <c r="V947" i="37"/>
  <c r="L344" i="24"/>
  <c r="M344" i="24" s="1"/>
  <c r="P344" i="24"/>
  <c r="Q344" i="24" s="1"/>
  <c r="J344" i="24"/>
  <c r="K344" i="24" s="1"/>
  <c r="R344" i="24"/>
  <c r="S344" i="24" s="1"/>
  <c r="N344" i="24"/>
  <c r="O344" i="24" s="1"/>
  <c r="T344" i="24"/>
  <c r="U344" i="24" s="1"/>
  <c r="V344" i="24"/>
  <c r="W344" i="24" s="1"/>
  <c r="A345" i="24"/>
  <c r="B344" i="24"/>
  <c r="C344" i="24" s="1"/>
  <c r="D344" i="24"/>
  <c r="E344" i="24" s="1"/>
  <c r="H344" i="24"/>
  <c r="I344" i="24" s="1"/>
  <c r="F344" i="24"/>
  <c r="G344" i="24" s="1"/>
  <c r="I156" i="37"/>
  <c r="J156" i="37"/>
  <c r="C156" i="37"/>
  <c r="D156" i="37"/>
  <c r="O155" i="37"/>
  <c r="P155" i="37"/>
  <c r="L156" i="37"/>
  <c r="M156" i="37"/>
  <c r="R155" i="37"/>
  <c r="S155" i="37"/>
  <c r="G156" i="37"/>
  <c r="F156" i="37"/>
  <c r="U949" i="37" l="1"/>
  <c r="H949" i="37"/>
  <c r="B949" i="37"/>
  <c r="N949" i="37"/>
  <c r="K949" i="37"/>
  <c r="E949" i="37"/>
  <c r="A950" i="37"/>
  <c r="Q949" i="37"/>
  <c r="V948" i="37"/>
  <c r="A346" i="24"/>
  <c r="F345" i="24"/>
  <c r="G345" i="24" s="1"/>
  <c r="D345" i="24"/>
  <c r="E345" i="24" s="1"/>
  <c r="V345" i="24"/>
  <c r="W345" i="24" s="1"/>
  <c r="J345" i="24"/>
  <c r="K345" i="24" s="1"/>
  <c r="L345" i="24"/>
  <c r="M345" i="24" s="1"/>
  <c r="R345" i="24"/>
  <c r="S345" i="24" s="1"/>
  <c r="N345" i="24"/>
  <c r="O345" i="24" s="1"/>
  <c r="B345" i="24"/>
  <c r="C345" i="24" s="1"/>
  <c r="H345" i="24"/>
  <c r="I345" i="24" s="1"/>
  <c r="P345" i="24"/>
  <c r="Q345" i="24" s="1"/>
  <c r="T345" i="24"/>
  <c r="U345" i="24" s="1"/>
  <c r="I157" i="37"/>
  <c r="J157" i="37"/>
  <c r="C157" i="37"/>
  <c r="D157" i="37"/>
  <c r="O156" i="37"/>
  <c r="P156" i="37"/>
  <c r="S156" i="37"/>
  <c r="R156" i="37"/>
  <c r="G157" i="37"/>
  <c r="F157" i="37"/>
  <c r="M157" i="37"/>
  <c r="L157" i="37"/>
  <c r="Q950" i="37" l="1"/>
  <c r="H950" i="37"/>
  <c r="N950" i="37"/>
  <c r="B950" i="37"/>
  <c r="E950" i="37"/>
  <c r="K950" i="37"/>
  <c r="A951" i="37"/>
  <c r="U950" i="37"/>
  <c r="V949" i="37"/>
  <c r="H346" i="24"/>
  <c r="I346" i="24" s="1"/>
  <c r="J346" i="24"/>
  <c r="K346" i="24" s="1"/>
  <c r="B346" i="24"/>
  <c r="C346" i="24" s="1"/>
  <c r="F346" i="24"/>
  <c r="G346" i="24" s="1"/>
  <c r="A347" i="24"/>
  <c r="D346" i="24"/>
  <c r="E346" i="24" s="1"/>
  <c r="L346" i="24"/>
  <c r="M346" i="24" s="1"/>
  <c r="N346" i="24"/>
  <c r="O346" i="24" s="1"/>
  <c r="V346" i="24"/>
  <c r="W346" i="24" s="1"/>
  <c r="T346" i="24"/>
  <c r="U346" i="24" s="1"/>
  <c r="R346" i="24"/>
  <c r="S346" i="24" s="1"/>
  <c r="P346" i="24"/>
  <c r="Q346" i="24" s="1"/>
  <c r="I158" i="37"/>
  <c r="J158" i="37"/>
  <c r="D158" i="37"/>
  <c r="C158" i="37"/>
  <c r="O157" i="37"/>
  <c r="P157" i="37"/>
  <c r="M158" i="37"/>
  <c r="L158" i="37"/>
  <c r="F158" i="37"/>
  <c r="G158" i="37"/>
  <c r="S157" i="37"/>
  <c r="R157" i="37"/>
  <c r="U951" i="37" l="1"/>
  <c r="B951" i="37"/>
  <c r="H951" i="37"/>
  <c r="K951" i="37"/>
  <c r="N951" i="37"/>
  <c r="E951" i="37"/>
  <c r="A952" i="37"/>
  <c r="Q951" i="37"/>
  <c r="V950" i="37"/>
  <c r="R347" i="24"/>
  <c r="S347" i="24" s="1"/>
  <c r="L347" i="24"/>
  <c r="M347" i="24" s="1"/>
  <c r="J347" i="24"/>
  <c r="K347" i="24" s="1"/>
  <c r="P347" i="24"/>
  <c r="Q347" i="24" s="1"/>
  <c r="V347" i="24"/>
  <c r="W347" i="24" s="1"/>
  <c r="T347" i="24"/>
  <c r="U347" i="24" s="1"/>
  <c r="F347" i="24"/>
  <c r="G347" i="24" s="1"/>
  <c r="N347" i="24"/>
  <c r="O347" i="24" s="1"/>
  <c r="H347" i="24"/>
  <c r="I347" i="24" s="1"/>
  <c r="A348" i="24"/>
  <c r="B347" i="24"/>
  <c r="C347" i="24" s="1"/>
  <c r="D347" i="24"/>
  <c r="E347" i="24" s="1"/>
  <c r="I159" i="37"/>
  <c r="J159" i="37"/>
  <c r="D159" i="37"/>
  <c r="C159" i="37"/>
  <c r="O158" i="37"/>
  <c r="P158" i="37"/>
  <c r="G159" i="37"/>
  <c r="F159" i="37"/>
  <c r="M159" i="37"/>
  <c r="L159" i="37"/>
  <c r="S158" i="37"/>
  <c r="R158" i="37"/>
  <c r="U952" i="37" l="1"/>
  <c r="B952" i="37"/>
  <c r="H952" i="37"/>
  <c r="N952" i="37"/>
  <c r="K952" i="37"/>
  <c r="E952" i="37"/>
  <c r="A953" i="37"/>
  <c r="Q952" i="37"/>
  <c r="V951" i="37"/>
  <c r="T348" i="24"/>
  <c r="U348" i="24" s="1"/>
  <c r="L348" i="24"/>
  <c r="M348" i="24" s="1"/>
  <c r="A349" i="24"/>
  <c r="R348" i="24"/>
  <c r="S348" i="24" s="1"/>
  <c r="H348" i="24"/>
  <c r="I348" i="24" s="1"/>
  <c r="D348" i="24"/>
  <c r="E348" i="24" s="1"/>
  <c r="J348" i="24"/>
  <c r="K348" i="24" s="1"/>
  <c r="N348" i="24"/>
  <c r="O348" i="24" s="1"/>
  <c r="B348" i="24"/>
  <c r="C348" i="24" s="1"/>
  <c r="P348" i="24"/>
  <c r="Q348" i="24" s="1"/>
  <c r="F348" i="24"/>
  <c r="G348" i="24" s="1"/>
  <c r="V348" i="24"/>
  <c r="W348" i="24" s="1"/>
  <c r="I160" i="37"/>
  <c r="J160" i="37"/>
  <c r="D160" i="37"/>
  <c r="C160" i="37"/>
  <c r="O159" i="37"/>
  <c r="P159" i="37"/>
  <c r="L160" i="37"/>
  <c r="M160" i="37"/>
  <c r="F160" i="37"/>
  <c r="G160" i="37"/>
  <c r="R159" i="37"/>
  <c r="S159" i="37"/>
  <c r="Q953" i="37" l="1"/>
  <c r="N953" i="37"/>
  <c r="B953" i="37"/>
  <c r="H953" i="37"/>
  <c r="K953" i="37"/>
  <c r="E953" i="37"/>
  <c r="A954" i="37"/>
  <c r="U953" i="37"/>
  <c r="V952" i="37"/>
  <c r="T349" i="24"/>
  <c r="U349" i="24" s="1"/>
  <c r="R349" i="24"/>
  <c r="S349" i="24" s="1"/>
  <c r="A350" i="24"/>
  <c r="V349" i="24"/>
  <c r="W349" i="24" s="1"/>
  <c r="B349" i="24"/>
  <c r="C349" i="24" s="1"/>
  <c r="F349" i="24"/>
  <c r="G349" i="24" s="1"/>
  <c r="D349" i="24"/>
  <c r="E349" i="24" s="1"/>
  <c r="N349" i="24"/>
  <c r="O349" i="24" s="1"/>
  <c r="H349" i="24"/>
  <c r="I349" i="24" s="1"/>
  <c r="J349" i="24"/>
  <c r="K349" i="24" s="1"/>
  <c r="P349" i="24"/>
  <c r="Q349" i="24" s="1"/>
  <c r="L349" i="24"/>
  <c r="M349" i="24" s="1"/>
  <c r="J161" i="37"/>
  <c r="I161" i="37"/>
  <c r="C161" i="37"/>
  <c r="D161" i="37"/>
  <c r="P160" i="37"/>
  <c r="O160" i="37"/>
  <c r="G161" i="37"/>
  <c r="F161" i="37"/>
  <c r="M161" i="37"/>
  <c r="L161" i="37"/>
  <c r="R160" i="37"/>
  <c r="S160" i="37"/>
  <c r="U954" i="37" l="1"/>
  <c r="Q954" i="37"/>
  <c r="N954" i="37"/>
  <c r="H954" i="37"/>
  <c r="E954" i="37"/>
  <c r="K954" i="37"/>
  <c r="B954" i="37"/>
  <c r="A955" i="37"/>
  <c r="V953" i="37"/>
  <c r="D350" i="24"/>
  <c r="E350" i="24" s="1"/>
  <c r="J350" i="24"/>
  <c r="K350" i="24" s="1"/>
  <c r="L350" i="24"/>
  <c r="M350" i="24" s="1"/>
  <c r="P350" i="24"/>
  <c r="Q350" i="24" s="1"/>
  <c r="N350" i="24"/>
  <c r="O350" i="24" s="1"/>
  <c r="R350" i="24"/>
  <c r="S350" i="24" s="1"/>
  <c r="V350" i="24"/>
  <c r="W350" i="24" s="1"/>
  <c r="F350" i="24"/>
  <c r="G350" i="24" s="1"/>
  <c r="A351" i="24"/>
  <c r="H350" i="24"/>
  <c r="I350" i="24" s="1"/>
  <c r="B350" i="24"/>
  <c r="C350" i="24" s="1"/>
  <c r="T350" i="24"/>
  <c r="U350" i="24" s="1"/>
  <c r="J162" i="37"/>
  <c r="I162" i="37"/>
  <c r="D162" i="37"/>
  <c r="C162" i="37"/>
  <c r="O161" i="37"/>
  <c r="P161" i="37"/>
  <c r="L162" i="37"/>
  <c r="M162" i="37"/>
  <c r="F162" i="37"/>
  <c r="G162" i="37"/>
  <c r="R161" i="37"/>
  <c r="S161" i="37"/>
  <c r="U955" i="37" l="1"/>
  <c r="B955" i="37"/>
  <c r="N955" i="37"/>
  <c r="H955" i="37"/>
  <c r="K955" i="37"/>
  <c r="A956" i="37"/>
  <c r="E955" i="37"/>
  <c r="Q955" i="37"/>
  <c r="V954" i="37"/>
  <c r="T351" i="24"/>
  <c r="U351" i="24" s="1"/>
  <c r="D351" i="24"/>
  <c r="E351" i="24" s="1"/>
  <c r="A352" i="24"/>
  <c r="V351" i="24"/>
  <c r="W351" i="24" s="1"/>
  <c r="B351" i="24"/>
  <c r="C351" i="24" s="1"/>
  <c r="N351" i="24"/>
  <c r="O351" i="24" s="1"/>
  <c r="H351" i="24"/>
  <c r="I351" i="24" s="1"/>
  <c r="F351" i="24"/>
  <c r="G351" i="24" s="1"/>
  <c r="J351" i="24"/>
  <c r="K351" i="24" s="1"/>
  <c r="R351" i="24"/>
  <c r="S351" i="24" s="1"/>
  <c r="L351" i="24"/>
  <c r="M351" i="24" s="1"/>
  <c r="P351" i="24"/>
  <c r="Q351" i="24" s="1"/>
  <c r="J163" i="37"/>
  <c r="I163" i="37"/>
  <c r="D163" i="37"/>
  <c r="C163" i="37"/>
  <c r="O162" i="37"/>
  <c r="P162" i="37"/>
  <c r="G163" i="37"/>
  <c r="F163" i="37"/>
  <c r="L163" i="37"/>
  <c r="M163" i="37"/>
  <c r="S162" i="37"/>
  <c r="R162" i="37"/>
  <c r="Q956" i="37" l="1"/>
  <c r="B956" i="37"/>
  <c r="N956" i="37"/>
  <c r="H956" i="37"/>
  <c r="K956" i="37"/>
  <c r="E956" i="37"/>
  <c r="A957" i="37"/>
  <c r="U956" i="37"/>
  <c r="V955" i="37"/>
  <c r="D352" i="24"/>
  <c r="E352" i="24" s="1"/>
  <c r="F352" i="24"/>
  <c r="G352" i="24" s="1"/>
  <c r="H352" i="24"/>
  <c r="I352" i="24" s="1"/>
  <c r="J352" i="24"/>
  <c r="K352" i="24" s="1"/>
  <c r="L352" i="24"/>
  <c r="M352" i="24" s="1"/>
  <c r="T352" i="24"/>
  <c r="U352" i="24" s="1"/>
  <c r="A353" i="24"/>
  <c r="B352" i="24"/>
  <c r="C352" i="24" s="1"/>
  <c r="P352" i="24"/>
  <c r="Q352" i="24" s="1"/>
  <c r="R352" i="24"/>
  <c r="S352" i="24" s="1"/>
  <c r="N352" i="24"/>
  <c r="O352" i="24" s="1"/>
  <c r="V352" i="24"/>
  <c r="W352" i="24" s="1"/>
  <c r="J164" i="37"/>
  <c r="I164" i="37"/>
  <c r="C164" i="37"/>
  <c r="D164" i="37"/>
  <c r="P163" i="37"/>
  <c r="O163" i="37"/>
  <c r="M164" i="37"/>
  <c r="L164" i="37"/>
  <c r="G164" i="37"/>
  <c r="F164" i="37"/>
  <c r="S163" i="37"/>
  <c r="R163" i="37"/>
  <c r="Q957" i="37" l="1"/>
  <c r="H957" i="37"/>
  <c r="B957" i="37"/>
  <c r="N957" i="37"/>
  <c r="K957" i="37"/>
  <c r="E957" i="37"/>
  <c r="A958" i="37"/>
  <c r="U957" i="37"/>
  <c r="V956" i="37"/>
  <c r="R353" i="24"/>
  <c r="S353" i="24" s="1"/>
  <c r="T353" i="24"/>
  <c r="U353" i="24" s="1"/>
  <c r="N353" i="24"/>
  <c r="O353" i="24" s="1"/>
  <c r="A354" i="24"/>
  <c r="P353" i="24"/>
  <c r="Q353" i="24" s="1"/>
  <c r="B353" i="24"/>
  <c r="C353" i="24" s="1"/>
  <c r="F353" i="24"/>
  <c r="G353" i="24" s="1"/>
  <c r="D353" i="24"/>
  <c r="E353" i="24" s="1"/>
  <c r="H353" i="24"/>
  <c r="I353" i="24" s="1"/>
  <c r="J353" i="24"/>
  <c r="K353" i="24" s="1"/>
  <c r="L353" i="24"/>
  <c r="M353" i="24" s="1"/>
  <c r="V353" i="24"/>
  <c r="W353" i="24" s="1"/>
  <c r="J165" i="37"/>
  <c r="I165" i="37"/>
  <c r="C165" i="37"/>
  <c r="D165" i="37"/>
  <c r="P164" i="37"/>
  <c r="O164" i="37"/>
  <c r="F165" i="37"/>
  <c r="G165" i="37"/>
  <c r="R164" i="37"/>
  <c r="S164" i="37"/>
  <c r="M165" i="37"/>
  <c r="L165" i="37"/>
  <c r="Q958" i="37" l="1"/>
  <c r="N958" i="37"/>
  <c r="B958" i="37"/>
  <c r="E958" i="37"/>
  <c r="K958" i="37"/>
  <c r="A959" i="37"/>
  <c r="U958" i="37"/>
  <c r="H958" i="37"/>
  <c r="V957" i="37"/>
  <c r="A355" i="24"/>
  <c r="N354" i="24"/>
  <c r="O354" i="24" s="1"/>
  <c r="B354" i="24"/>
  <c r="C354" i="24" s="1"/>
  <c r="V354" i="24"/>
  <c r="W354" i="24" s="1"/>
  <c r="D354" i="24"/>
  <c r="E354" i="24" s="1"/>
  <c r="F354" i="24"/>
  <c r="G354" i="24" s="1"/>
  <c r="H354" i="24"/>
  <c r="I354" i="24" s="1"/>
  <c r="J354" i="24"/>
  <c r="K354" i="24" s="1"/>
  <c r="L354" i="24"/>
  <c r="M354" i="24" s="1"/>
  <c r="R354" i="24"/>
  <c r="S354" i="24" s="1"/>
  <c r="P354" i="24"/>
  <c r="Q354" i="24" s="1"/>
  <c r="T354" i="24"/>
  <c r="U354" i="24" s="1"/>
  <c r="J166" i="37"/>
  <c r="I166" i="37"/>
  <c r="C166" i="37"/>
  <c r="D166" i="37"/>
  <c r="O165" i="37"/>
  <c r="P165" i="37"/>
  <c r="R165" i="37"/>
  <c r="S165" i="37"/>
  <c r="M166" i="37"/>
  <c r="L166" i="37"/>
  <c r="F166" i="37"/>
  <c r="G166" i="37"/>
  <c r="U959" i="37" l="1"/>
  <c r="H959" i="37"/>
  <c r="K959" i="37"/>
  <c r="E959" i="37"/>
  <c r="A960" i="37"/>
  <c r="Q959" i="37"/>
  <c r="B959" i="37"/>
  <c r="N959" i="37"/>
  <c r="V958" i="37"/>
  <c r="D355" i="24"/>
  <c r="E355" i="24" s="1"/>
  <c r="P355" i="24"/>
  <c r="Q355" i="24" s="1"/>
  <c r="H355" i="24"/>
  <c r="I355" i="24" s="1"/>
  <c r="J355" i="24"/>
  <c r="K355" i="24" s="1"/>
  <c r="R355" i="24"/>
  <c r="S355" i="24" s="1"/>
  <c r="B355" i="24"/>
  <c r="C355" i="24" s="1"/>
  <c r="L355" i="24"/>
  <c r="M355" i="24" s="1"/>
  <c r="V355" i="24"/>
  <c r="W355" i="24" s="1"/>
  <c r="F355" i="24"/>
  <c r="G355" i="24" s="1"/>
  <c r="T355" i="24"/>
  <c r="U355" i="24" s="1"/>
  <c r="A356" i="24"/>
  <c r="N355" i="24"/>
  <c r="O355" i="24" s="1"/>
  <c r="J167" i="37"/>
  <c r="I167" i="37"/>
  <c r="C167" i="37"/>
  <c r="D167" i="37"/>
  <c r="P166" i="37"/>
  <c r="O166" i="37"/>
  <c r="G167" i="37"/>
  <c r="F167" i="37"/>
  <c r="M167" i="37"/>
  <c r="L167" i="37"/>
  <c r="R166" i="37"/>
  <c r="S166" i="37"/>
  <c r="U960" i="37" l="1"/>
  <c r="K960" i="37"/>
  <c r="E960" i="37"/>
  <c r="A961" i="37"/>
  <c r="Q960" i="37"/>
  <c r="H960" i="37"/>
  <c r="B960" i="37"/>
  <c r="N960" i="37"/>
  <c r="V959" i="37"/>
  <c r="J356" i="24"/>
  <c r="K356" i="24" s="1"/>
  <c r="N356" i="24"/>
  <c r="O356" i="24" s="1"/>
  <c r="L356" i="24"/>
  <c r="M356" i="24" s="1"/>
  <c r="T356" i="24"/>
  <c r="U356" i="24" s="1"/>
  <c r="P356" i="24"/>
  <c r="Q356" i="24" s="1"/>
  <c r="B356" i="24"/>
  <c r="C356" i="24" s="1"/>
  <c r="H356" i="24"/>
  <c r="I356" i="24" s="1"/>
  <c r="D356" i="24"/>
  <c r="E356" i="24" s="1"/>
  <c r="R356" i="24"/>
  <c r="S356" i="24" s="1"/>
  <c r="V356" i="24"/>
  <c r="W356" i="24" s="1"/>
  <c r="F356" i="24"/>
  <c r="G356" i="24" s="1"/>
  <c r="A357" i="24"/>
  <c r="J168" i="37"/>
  <c r="I168" i="37"/>
  <c r="D168" i="37"/>
  <c r="C168" i="37"/>
  <c r="O167" i="37"/>
  <c r="P167" i="37"/>
  <c r="L168" i="37"/>
  <c r="M168" i="37"/>
  <c r="S167" i="37"/>
  <c r="R167" i="37"/>
  <c r="F168" i="37"/>
  <c r="G168" i="37"/>
  <c r="Q961" i="37" l="1"/>
  <c r="E961" i="37"/>
  <c r="A962" i="37"/>
  <c r="U961" i="37"/>
  <c r="H961" i="37"/>
  <c r="N961" i="37"/>
  <c r="B961" i="37"/>
  <c r="K961" i="37"/>
  <c r="V960" i="37"/>
  <c r="T357" i="24"/>
  <c r="U357" i="24" s="1"/>
  <c r="R357" i="24"/>
  <c r="S357" i="24" s="1"/>
  <c r="A358" i="24"/>
  <c r="N357" i="24"/>
  <c r="O357" i="24" s="1"/>
  <c r="D357" i="24"/>
  <c r="E357" i="24" s="1"/>
  <c r="V357" i="24"/>
  <c r="W357" i="24" s="1"/>
  <c r="B357" i="24"/>
  <c r="C357" i="24" s="1"/>
  <c r="F357" i="24"/>
  <c r="G357" i="24" s="1"/>
  <c r="J357" i="24"/>
  <c r="K357" i="24" s="1"/>
  <c r="L357" i="24"/>
  <c r="M357" i="24" s="1"/>
  <c r="P357" i="24"/>
  <c r="Q357" i="24" s="1"/>
  <c r="H357" i="24"/>
  <c r="I357" i="24" s="1"/>
  <c r="I169" i="37"/>
  <c r="J169" i="37"/>
  <c r="C169" i="37"/>
  <c r="D169" i="37"/>
  <c r="P168" i="37"/>
  <c r="O168" i="37"/>
  <c r="S168" i="37"/>
  <c r="R168" i="37"/>
  <c r="F169" i="37"/>
  <c r="G169" i="37"/>
  <c r="M169" i="37"/>
  <c r="L169" i="37"/>
  <c r="U962" i="37" l="1"/>
  <c r="A963" i="37"/>
  <c r="Q962" i="37"/>
  <c r="K962" i="37"/>
  <c r="N962" i="37"/>
  <c r="H962" i="37"/>
  <c r="E962" i="37"/>
  <c r="B962" i="37"/>
  <c r="V961" i="37"/>
  <c r="J358" i="24"/>
  <c r="K358" i="24" s="1"/>
  <c r="H358" i="24"/>
  <c r="I358" i="24" s="1"/>
  <c r="L358" i="24"/>
  <c r="M358" i="24" s="1"/>
  <c r="P358" i="24"/>
  <c r="Q358" i="24" s="1"/>
  <c r="R358" i="24"/>
  <c r="S358" i="24" s="1"/>
  <c r="V358" i="24"/>
  <c r="W358" i="24" s="1"/>
  <c r="F358" i="24"/>
  <c r="G358" i="24" s="1"/>
  <c r="T358" i="24"/>
  <c r="U358" i="24" s="1"/>
  <c r="D358" i="24"/>
  <c r="E358" i="24" s="1"/>
  <c r="N358" i="24"/>
  <c r="O358" i="24" s="1"/>
  <c r="B358" i="24"/>
  <c r="C358" i="24" s="1"/>
  <c r="A359" i="24"/>
  <c r="I170" i="37"/>
  <c r="J170" i="37"/>
  <c r="C170" i="37"/>
  <c r="D170" i="37"/>
  <c r="P169" i="37"/>
  <c r="O169" i="37"/>
  <c r="R169" i="37"/>
  <c r="S169" i="37"/>
  <c r="M170" i="37"/>
  <c r="L170" i="37"/>
  <c r="F170" i="37"/>
  <c r="G170" i="37"/>
  <c r="Q963" i="37" l="1"/>
  <c r="U963" i="37"/>
  <c r="E963" i="37"/>
  <c r="B963" i="37"/>
  <c r="N963" i="37"/>
  <c r="H963" i="37"/>
  <c r="K963" i="37"/>
  <c r="A964" i="37"/>
  <c r="V962" i="37"/>
  <c r="T359" i="24"/>
  <c r="U359" i="24" s="1"/>
  <c r="R359" i="24"/>
  <c r="S359" i="24" s="1"/>
  <c r="A360" i="24"/>
  <c r="V359" i="24"/>
  <c r="W359" i="24" s="1"/>
  <c r="B359" i="24"/>
  <c r="C359" i="24" s="1"/>
  <c r="N359" i="24"/>
  <c r="O359" i="24" s="1"/>
  <c r="H359" i="24"/>
  <c r="I359" i="24" s="1"/>
  <c r="F359" i="24"/>
  <c r="G359" i="24" s="1"/>
  <c r="D359" i="24"/>
  <c r="E359" i="24" s="1"/>
  <c r="J359" i="24"/>
  <c r="K359" i="24" s="1"/>
  <c r="L359" i="24"/>
  <c r="M359" i="24" s="1"/>
  <c r="P359" i="24"/>
  <c r="Q359" i="24" s="1"/>
  <c r="J171" i="37"/>
  <c r="I171" i="37"/>
  <c r="C171" i="37"/>
  <c r="D171" i="37"/>
  <c r="O170" i="37"/>
  <c r="P170" i="37"/>
  <c r="M171" i="37"/>
  <c r="L171" i="37"/>
  <c r="F171" i="37"/>
  <c r="G171" i="37"/>
  <c r="R170" i="37"/>
  <c r="S170" i="37"/>
  <c r="U964" i="37" l="1"/>
  <c r="B964" i="37"/>
  <c r="N964" i="37"/>
  <c r="H964" i="37"/>
  <c r="K964" i="37"/>
  <c r="A965" i="37"/>
  <c r="E964" i="37"/>
  <c r="Q964" i="37"/>
  <c r="V963" i="37"/>
  <c r="D360" i="24"/>
  <c r="E360" i="24" s="1"/>
  <c r="F360" i="24"/>
  <c r="G360" i="24" s="1"/>
  <c r="J360" i="24"/>
  <c r="K360" i="24" s="1"/>
  <c r="H360" i="24"/>
  <c r="I360" i="24" s="1"/>
  <c r="L360" i="24"/>
  <c r="M360" i="24" s="1"/>
  <c r="T360" i="24"/>
  <c r="U360" i="24" s="1"/>
  <c r="A361" i="24"/>
  <c r="B360" i="24"/>
  <c r="C360" i="24" s="1"/>
  <c r="P360" i="24"/>
  <c r="Q360" i="24" s="1"/>
  <c r="V360" i="24"/>
  <c r="W360" i="24" s="1"/>
  <c r="R360" i="24"/>
  <c r="S360" i="24" s="1"/>
  <c r="N360" i="24"/>
  <c r="O360" i="24" s="1"/>
  <c r="J172" i="37"/>
  <c r="I172" i="37"/>
  <c r="C172" i="37"/>
  <c r="D172" i="37"/>
  <c r="O171" i="37"/>
  <c r="P171" i="37"/>
  <c r="M172" i="37"/>
  <c r="L172" i="37"/>
  <c r="S171" i="37"/>
  <c r="R171" i="37"/>
  <c r="G172" i="37"/>
  <c r="F172" i="37"/>
  <c r="U965" i="37" l="1"/>
  <c r="H965" i="37"/>
  <c r="Q965" i="37"/>
  <c r="B965" i="37"/>
  <c r="N965" i="37"/>
  <c r="K965" i="37"/>
  <c r="E965" i="37"/>
  <c r="A966" i="37"/>
  <c r="V964" i="37"/>
  <c r="N361" i="24"/>
  <c r="O361" i="24" s="1"/>
  <c r="T361" i="24"/>
  <c r="U361" i="24" s="1"/>
  <c r="D361" i="24"/>
  <c r="E361" i="24" s="1"/>
  <c r="A362" i="24"/>
  <c r="P361" i="24"/>
  <c r="Q361" i="24" s="1"/>
  <c r="B361" i="24"/>
  <c r="C361" i="24" s="1"/>
  <c r="F361" i="24"/>
  <c r="G361" i="24" s="1"/>
  <c r="L361" i="24"/>
  <c r="M361" i="24" s="1"/>
  <c r="H361" i="24"/>
  <c r="I361" i="24" s="1"/>
  <c r="R361" i="24"/>
  <c r="S361" i="24" s="1"/>
  <c r="V361" i="24"/>
  <c r="W361" i="24" s="1"/>
  <c r="J361" i="24"/>
  <c r="K361" i="24" s="1"/>
  <c r="I173" i="37"/>
  <c r="J173" i="37"/>
  <c r="C173" i="37"/>
  <c r="D173" i="37"/>
  <c r="P172" i="37"/>
  <c r="O172" i="37"/>
  <c r="S172" i="37"/>
  <c r="R172" i="37"/>
  <c r="L173" i="37"/>
  <c r="M173" i="37"/>
  <c r="G173" i="37"/>
  <c r="F173" i="37"/>
  <c r="U966" i="37" l="1"/>
  <c r="H966" i="37"/>
  <c r="N966" i="37"/>
  <c r="B966" i="37"/>
  <c r="E966" i="37"/>
  <c r="K966" i="37"/>
  <c r="A967" i="37"/>
  <c r="Q966" i="37"/>
  <c r="V965" i="37"/>
  <c r="A363" i="24"/>
  <c r="N362" i="24"/>
  <c r="O362" i="24" s="1"/>
  <c r="B362" i="24"/>
  <c r="C362" i="24" s="1"/>
  <c r="V362" i="24"/>
  <c r="W362" i="24" s="1"/>
  <c r="D362" i="24"/>
  <c r="E362" i="24" s="1"/>
  <c r="F362" i="24"/>
  <c r="G362" i="24" s="1"/>
  <c r="J362" i="24"/>
  <c r="K362" i="24" s="1"/>
  <c r="L362" i="24"/>
  <c r="M362" i="24" s="1"/>
  <c r="R362" i="24"/>
  <c r="S362" i="24" s="1"/>
  <c r="P362" i="24"/>
  <c r="Q362" i="24" s="1"/>
  <c r="T362" i="24"/>
  <c r="U362" i="24" s="1"/>
  <c r="H362" i="24"/>
  <c r="I362" i="24" s="1"/>
  <c r="I174" i="37"/>
  <c r="J174" i="37"/>
  <c r="C174" i="37"/>
  <c r="D174" i="37"/>
  <c r="O173" i="37"/>
  <c r="P173" i="37"/>
  <c r="L174" i="37"/>
  <c r="M174" i="37"/>
  <c r="S173" i="37"/>
  <c r="R173" i="37"/>
  <c r="F174" i="37"/>
  <c r="G174" i="37"/>
  <c r="U967" i="37" l="1"/>
  <c r="B967" i="37"/>
  <c r="H967" i="37"/>
  <c r="K967" i="37"/>
  <c r="N967" i="37"/>
  <c r="E967" i="37"/>
  <c r="A968" i="37"/>
  <c r="Q967" i="37"/>
  <c r="V966" i="37"/>
  <c r="D363" i="24"/>
  <c r="E363" i="24" s="1"/>
  <c r="N363" i="24"/>
  <c r="O363" i="24" s="1"/>
  <c r="H363" i="24"/>
  <c r="I363" i="24" s="1"/>
  <c r="J363" i="24"/>
  <c r="K363" i="24" s="1"/>
  <c r="L363" i="24"/>
  <c r="M363" i="24" s="1"/>
  <c r="R363" i="24"/>
  <c r="S363" i="24" s="1"/>
  <c r="V363" i="24"/>
  <c r="W363" i="24" s="1"/>
  <c r="P363" i="24"/>
  <c r="Q363" i="24" s="1"/>
  <c r="F363" i="24"/>
  <c r="G363" i="24" s="1"/>
  <c r="B363" i="24"/>
  <c r="C363" i="24" s="1"/>
  <c r="A364" i="24"/>
  <c r="T363" i="24"/>
  <c r="U363" i="24" s="1"/>
  <c r="I175" i="37"/>
  <c r="J175" i="37"/>
  <c r="D175" i="37"/>
  <c r="C175" i="37"/>
  <c r="O174" i="37"/>
  <c r="P174" i="37"/>
  <c r="S174" i="37"/>
  <c r="R174" i="37"/>
  <c r="G175" i="37"/>
  <c r="F175" i="37"/>
  <c r="M175" i="37"/>
  <c r="L175" i="37"/>
  <c r="Q968" i="37" l="1"/>
  <c r="B968" i="37"/>
  <c r="H968" i="37"/>
  <c r="N968" i="37"/>
  <c r="K968" i="37"/>
  <c r="E968" i="37"/>
  <c r="A969" i="37"/>
  <c r="U968" i="37"/>
  <c r="V967" i="37"/>
  <c r="J364" i="24"/>
  <c r="K364" i="24" s="1"/>
  <c r="N364" i="24"/>
  <c r="O364" i="24" s="1"/>
  <c r="P364" i="24"/>
  <c r="Q364" i="24" s="1"/>
  <c r="T364" i="24"/>
  <c r="U364" i="24" s="1"/>
  <c r="R364" i="24"/>
  <c r="S364" i="24" s="1"/>
  <c r="H364" i="24"/>
  <c r="I364" i="24" s="1"/>
  <c r="D364" i="24"/>
  <c r="E364" i="24" s="1"/>
  <c r="V364" i="24"/>
  <c r="W364" i="24" s="1"/>
  <c r="L364" i="24"/>
  <c r="M364" i="24" s="1"/>
  <c r="A365" i="24"/>
  <c r="B364" i="24"/>
  <c r="C364" i="24" s="1"/>
  <c r="F364" i="24"/>
  <c r="G364" i="24" s="1"/>
  <c r="I176" i="37"/>
  <c r="J176" i="37"/>
  <c r="D176" i="37"/>
  <c r="C176" i="37"/>
  <c r="O175" i="37"/>
  <c r="P175" i="37"/>
  <c r="S175" i="37"/>
  <c r="R175" i="37"/>
  <c r="M176" i="37"/>
  <c r="L176" i="37"/>
  <c r="F176" i="37"/>
  <c r="G176" i="37"/>
  <c r="U969" i="37" l="1"/>
  <c r="N969" i="37"/>
  <c r="B969" i="37"/>
  <c r="H969" i="37"/>
  <c r="K969" i="37"/>
  <c r="E969" i="37"/>
  <c r="A970" i="37"/>
  <c r="Q969" i="37"/>
  <c r="V968" i="37"/>
  <c r="T365" i="24"/>
  <c r="U365" i="24" s="1"/>
  <c r="J365" i="24"/>
  <c r="K365" i="24" s="1"/>
  <c r="A366" i="24"/>
  <c r="V365" i="24"/>
  <c r="W365" i="24" s="1"/>
  <c r="B365" i="24"/>
  <c r="C365" i="24" s="1"/>
  <c r="F365" i="24"/>
  <c r="G365" i="24" s="1"/>
  <c r="D365" i="24"/>
  <c r="E365" i="24" s="1"/>
  <c r="N365" i="24"/>
  <c r="O365" i="24" s="1"/>
  <c r="L365" i="24"/>
  <c r="M365" i="24" s="1"/>
  <c r="R365" i="24"/>
  <c r="S365" i="24" s="1"/>
  <c r="P365" i="24"/>
  <c r="Q365" i="24" s="1"/>
  <c r="H365" i="24"/>
  <c r="I365" i="24" s="1"/>
  <c r="J177" i="37"/>
  <c r="I177" i="37"/>
  <c r="D177" i="37"/>
  <c r="C177" i="37"/>
  <c r="P176" i="37"/>
  <c r="O176" i="37"/>
  <c r="S176" i="37"/>
  <c r="R176" i="37"/>
  <c r="M177" i="37"/>
  <c r="L177" i="37"/>
  <c r="G177" i="37"/>
  <c r="F177" i="37"/>
  <c r="Q970" i="37" l="1"/>
  <c r="N970" i="37"/>
  <c r="H970" i="37"/>
  <c r="B970" i="37"/>
  <c r="E970" i="37"/>
  <c r="K970" i="37"/>
  <c r="A971" i="37"/>
  <c r="U970" i="37"/>
  <c r="V969" i="37"/>
  <c r="D366" i="24"/>
  <c r="E366" i="24" s="1"/>
  <c r="F366" i="24"/>
  <c r="G366" i="24" s="1"/>
  <c r="H366" i="24"/>
  <c r="I366" i="24" s="1"/>
  <c r="J366" i="24"/>
  <c r="K366" i="24" s="1"/>
  <c r="L366" i="24"/>
  <c r="M366" i="24" s="1"/>
  <c r="R366" i="24"/>
  <c r="S366" i="24" s="1"/>
  <c r="V366" i="24"/>
  <c r="W366" i="24" s="1"/>
  <c r="T366" i="24"/>
  <c r="U366" i="24" s="1"/>
  <c r="A367" i="24"/>
  <c r="B366" i="24"/>
  <c r="C366" i="24" s="1"/>
  <c r="P366" i="24"/>
  <c r="Q366" i="24" s="1"/>
  <c r="N366" i="24"/>
  <c r="O366" i="24" s="1"/>
  <c r="J178" i="37"/>
  <c r="I178" i="37"/>
  <c r="D178" i="37"/>
  <c r="C178" i="37"/>
  <c r="O177" i="37"/>
  <c r="P177" i="37"/>
  <c r="F178" i="37"/>
  <c r="G178" i="37"/>
  <c r="R177" i="37"/>
  <c r="S177" i="37"/>
  <c r="L178" i="37"/>
  <c r="M178" i="37"/>
  <c r="Q971" i="37" l="1"/>
  <c r="B971" i="37"/>
  <c r="H971" i="37"/>
  <c r="N971" i="37"/>
  <c r="K971" i="37"/>
  <c r="E971" i="37"/>
  <c r="A972" i="37"/>
  <c r="U971" i="37"/>
  <c r="V970" i="37"/>
  <c r="R367" i="24"/>
  <c r="S367" i="24" s="1"/>
  <c r="T367" i="24"/>
  <c r="U367" i="24" s="1"/>
  <c r="J367" i="24"/>
  <c r="K367" i="24" s="1"/>
  <c r="A368" i="24"/>
  <c r="V367" i="24"/>
  <c r="W367" i="24" s="1"/>
  <c r="B367" i="24"/>
  <c r="C367" i="24" s="1"/>
  <c r="N367" i="24"/>
  <c r="O367" i="24" s="1"/>
  <c r="H367" i="24"/>
  <c r="I367" i="24" s="1"/>
  <c r="D367" i="24"/>
  <c r="E367" i="24" s="1"/>
  <c r="F367" i="24"/>
  <c r="G367" i="24" s="1"/>
  <c r="L367" i="24"/>
  <c r="M367" i="24" s="1"/>
  <c r="P367" i="24"/>
  <c r="Q367" i="24" s="1"/>
  <c r="J179" i="37"/>
  <c r="I179" i="37"/>
  <c r="D179" i="37"/>
  <c r="C179" i="37"/>
  <c r="O178" i="37"/>
  <c r="P178" i="37"/>
  <c r="L179" i="37"/>
  <c r="M179" i="37"/>
  <c r="F179" i="37"/>
  <c r="G179" i="37"/>
  <c r="R178" i="37"/>
  <c r="S178" i="37"/>
  <c r="Q972" i="37" l="1"/>
  <c r="B972" i="37"/>
  <c r="N972" i="37"/>
  <c r="H972" i="37"/>
  <c r="K972" i="37"/>
  <c r="E972" i="37"/>
  <c r="A973" i="37"/>
  <c r="U972" i="37"/>
  <c r="V971" i="37"/>
  <c r="B368" i="24"/>
  <c r="C368" i="24" s="1"/>
  <c r="V368" i="24"/>
  <c r="W368" i="24" s="1"/>
  <c r="D368" i="24"/>
  <c r="E368" i="24" s="1"/>
  <c r="F368" i="24"/>
  <c r="G368" i="24" s="1"/>
  <c r="H368" i="24"/>
  <c r="I368" i="24" s="1"/>
  <c r="J368" i="24"/>
  <c r="K368" i="24" s="1"/>
  <c r="T368" i="24"/>
  <c r="U368" i="24" s="1"/>
  <c r="A369" i="24"/>
  <c r="L368" i="24"/>
  <c r="M368" i="24" s="1"/>
  <c r="P368" i="24"/>
  <c r="Q368" i="24" s="1"/>
  <c r="R368" i="24"/>
  <c r="S368" i="24" s="1"/>
  <c r="N368" i="24"/>
  <c r="O368" i="24" s="1"/>
  <c r="J180" i="37"/>
  <c r="I180" i="37"/>
  <c r="D180" i="37"/>
  <c r="C180" i="37"/>
  <c r="P179" i="37"/>
  <c r="O179" i="37"/>
  <c r="G180" i="37"/>
  <c r="F180" i="37"/>
  <c r="S179" i="37"/>
  <c r="R179" i="37"/>
  <c r="M180" i="37"/>
  <c r="L180" i="37"/>
  <c r="Q973" i="37" l="1"/>
  <c r="H973" i="37"/>
  <c r="B973" i="37"/>
  <c r="N973" i="37"/>
  <c r="K973" i="37"/>
  <c r="A974" i="37"/>
  <c r="E973" i="37"/>
  <c r="U973" i="37"/>
  <c r="V972" i="37"/>
  <c r="L369" i="24"/>
  <c r="M369" i="24" s="1"/>
  <c r="R369" i="24"/>
  <c r="S369" i="24" s="1"/>
  <c r="T369" i="24"/>
  <c r="U369" i="24" s="1"/>
  <c r="N369" i="24"/>
  <c r="O369" i="24" s="1"/>
  <c r="A370" i="24"/>
  <c r="P369" i="24"/>
  <c r="Q369" i="24" s="1"/>
  <c r="H369" i="24"/>
  <c r="I369" i="24" s="1"/>
  <c r="J369" i="24"/>
  <c r="K369" i="24" s="1"/>
  <c r="F369" i="24"/>
  <c r="G369" i="24" s="1"/>
  <c r="V369" i="24"/>
  <c r="W369" i="24" s="1"/>
  <c r="B369" i="24"/>
  <c r="C369" i="24" s="1"/>
  <c r="D369" i="24"/>
  <c r="E369" i="24" s="1"/>
  <c r="I181" i="37"/>
  <c r="J181" i="37"/>
  <c r="D181" i="37"/>
  <c r="C181" i="37"/>
  <c r="P180" i="37"/>
  <c r="O180" i="37"/>
  <c r="S180" i="37"/>
  <c r="R180" i="37"/>
  <c r="M181" i="37"/>
  <c r="L181" i="37"/>
  <c r="G181" i="37"/>
  <c r="F181" i="37"/>
  <c r="Q974" i="37" l="1"/>
  <c r="N974" i="37"/>
  <c r="B974" i="37"/>
  <c r="E974" i="37"/>
  <c r="K974" i="37"/>
  <c r="A975" i="37"/>
  <c r="U974" i="37"/>
  <c r="H974" i="37"/>
  <c r="V973" i="37"/>
  <c r="T370" i="24"/>
  <c r="U370" i="24" s="1"/>
  <c r="P370" i="24"/>
  <c r="Q370" i="24" s="1"/>
  <c r="A371" i="24"/>
  <c r="N370" i="24"/>
  <c r="O370" i="24" s="1"/>
  <c r="B370" i="24"/>
  <c r="C370" i="24" s="1"/>
  <c r="V370" i="24"/>
  <c r="W370" i="24" s="1"/>
  <c r="H370" i="24"/>
  <c r="I370" i="24" s="1"/>
  <c r="F370" i="24"/>
  <c r="G370" i="24" s="1"/>
  <c r="L370" i="24"/>
  <c r="M370" i="24" s="1"/>
  <c r="R370" i="24"/>
  <c r="S370" i="24" s="1"/>
  <c r="J370" i="24"/>
  <c r="K370" i="24" s="1"/>
  <c r="D370" i="24"/>
  <c r="E370" i="24" s="1"/>
  <c r="J182" i="37"/>
  <c r="I182" i="37"/>
  <c r="D182" i="37"/>
  <c r="C182" i="37"/>
  <c r="O181" i="37"/>
  <c r="P181" i="37"/>
  <c r="M182" i="37"/>
  <c r="L182" i="37"/>
  <c r="G182" i="37"/>
  <c r="F182" i="37"/>
  <c r="R181" i="37"/>
  <c r="S181" i="37"/>
  <c r="U975" i="37" l="1"/>
  <c r="H975" i="37"/>
  <c r="K975" i="37"/>
  <c r="E975" i="37"/>
  <c r="A976" i="37"/>
  <c r="Q975" i="37"/>
  <c r="B975" i="37"/>
  <c r="N975" i="37"/>
  <c r="V974" i="37"/>
  <c r="B371" i="24"/>
  <c r="C371" i="24" s="1"/>
  <c r="P371" i="24"/>
  <c r="Q371" i="24" s="1"/>
  <c r="D371" i="24"/>
  <c r="E371" i="24" s="1"/>
  <c r="N371" i="24"/>
  <c r="O371" i="24" s="1"/>
  <c r="H371" i="24"/>
  <c r="I371" i="24" s="1"/>
  <c r="J371" i="24"/>
  <c r="K371" i="24" s="1"/>
  <c r="V371" i="24"/>
  <c r="W371" i="24" s="1"/>
  <c r="F371" i="24"/>
  <c r="G371" i="24" s="1"/>
  <c r="R371" i="24"/>
  <c r="S371" i="24" s="1"/>
  <c r="A372" i="24"/>
  <c r="T371" i="24"/>
  <c r="U371" i="24" s="1"/>
  <c r="L371" i="24"/>
  <c r="M371" i="24" s="1"/>
  <c r="J183" i="37"/>
  <c r="I183" i="37"/>
  <c r="C183" i="37"/>
  <c r="D183" i="37"/>
  <c r="P182" i="37"/>
  <c r="O182" i="37"/>
  <c r="L183" i="37"/>
  <c r="M183" i="37"/>
  <c r="R182" i="37"/>
  <c r="S182" i="37"/>
  <c r="F183" i="37"/>
  <c r="G183" i="37"/>
  <c r="U976" i="37" l="1"/>
  <c r="K976" i="37"/>
  <c r="E976" i="37"/>
  <c r="A977" i="37"/>
  <c r="Q976" i="37"/>
  <c r="H976" i="37"/>
  <c r="B976" i="37"/>
  <c r="N976" i="37"/>
  <c r="V975" i="37"/>
  <c r="D372" i="24"/>
  <c r="E372" i="24" s="1"/>
  <c r="J372" i="24"/>
  <c r="K372" i="24" s="1"/>
  <c r="N372" i="24"/>
  <c r="O372" i="24" s="1"/>
  <c r="L372" i="24"/>
  <c r="M372" i="24" s="1"/>
  <c r="P372" i="24"/>
  <c r="Q372" i="24" s="1"/>
  <c r="V372" i="24"/>
  <c r="W372" i="24" s="1"/>
  <c r="F372" i="24"/>
  <c r="G372" i="24" s="1"/>
  <c r="R372" i="24"/>
  <c r="S372" i="24" s="1"/>
  <c r="T372" i="24"/>
  <c r="U372" i="24" s="1"/>
  <c r="A373" i="24"/>
  <c r="H372" i="24"/>
  <c r="I372" i="24" s="1"/>
  <c r="B372" i="24"/>
  <c r="C372" i="24" s="1"/>
  <c r="I184" i="37"/>
  <c r="J184" i="37"/>
  <c r="D184" i="37"/>
  <c r="C184" i="37"/>
  <c r="O183" i="37"/>
  <c r="P183" i="37"/>
  <c r="S183" i="37"/>
  <c r="R183" i="37"/>
  <c r="F184" i="37"/>
  <c r="G184" i="37"/>
  <c r="L184" i="37"/>
  <c r="M184" i="37"/>
  <c r="Q977" i="37" l="1"/>
  <c r="E977" i="37"/>
  <c r="A978" i="37"/>
  <c r="U977" i="37"/>
  <c r="H977" i="37"/>
  <c r="N977" i="37"/>
  <c r="B977" i="37"/>
  <c r="K977" i="37"/>
  <c r="V976" i="37"/>
  <c r="J373" i="24"/>
  <c r="K373" i="24" s="1"/>
  <c r="T373" i="24"/>
  <c r="U373" i="24" s="1"/>
  <c r="R373" i="24"/>
  <c r="S373" i="24" s="1"/>
  <c r="A374" i="24"/>
  <c r="N373" i="24"/>
  <c r="O373" i="24" s="1"/>
  <c r="B373" i="24"/>
  <c r="C373" i="24" s="1"/>
  <c r="V373" i="24"/>
  <c r="W373" i="24" s="1"/>
  <c r="P373" i="24"/>
  <c r="Q373" i="24" s="1"/>
  <c r="F373" i="24"/>
  <c r="G373" i="24" s="1"/>
  <c r="H373" i="24"/>
  <c r="I373" i="24" s="1"/>
  <c r="L373" i="24"/>
  <c r="M373" i="24" s="1"/>
  <c r="D373" i="24"/>
  <c r="E373" i="24" s="1"/>
  <c r="J185" i="37"/>
  <c r="I185" i="37"/>
  <c r="D185" i="37"/>
  <c r="C185" i="37"/>
  <c r="O184" i="37"/>
  <c r="P184" i="37"/>
  <c r="M185" i="37"/>
  <c r="L185" i="37"/>
  <c r="R184" i="37"/>
  <c r="S184" i="37"/>
  <c r="F185" i="37"/>
  <c r="G185" i="37"/>
  <c r="Q978" i="37" l="1"/>
  <c r="A979" i="37"/>
  <c r="U978" i="37"/>
  <c r="V977" i="37"/>
  <c r="E978" i="37"/>
  <c r="N978" i="37"/>
  <c r="H978" i="37"/>
  <c r="B978" i="37"/>
  <c r="K978" i="37"/>
  <c r="D374" i="24"/>
  <c r="E374" i="24" s="1"/>
  <c r="R374" i="24"/>
  <c r="S374" i="24" s="1"/>
  <c r="H374" i="24"/>
  <c r="I374" i="24" s="1"/>
  <c r="J374" i="24"/>
  <c r="K374" i="24" s="1"/>
  <c r="L374" i="24"/>
  <c r="M374" i="24" s="1"/>
  <c r="F374" i="24"/>
  <c r="G374" i="24" s="1"/>
  <c r="A375" i="24"/>
  <c r="T374" i="24"/>
  <c r="U374" i="24" s="1"/>
  <c r="B374" i="24"/>
  <c r="C374" i="24" s="1"/>
  <c r="P374" i="24"/>
  <c r="Q374" i="24" s="1"/>
  <c r="N374" i="24"/>
  <c r="O374" i="24" s="1"/>
  <c r="V374" i="24"/>
  <c r="W374" i="24" s="1"/>
  <c r="J186" i="37"/>
  <c r="I186" i="37"/>
  <c r="C186" i="37"/>
  <c r="D186" i="37"/>
  <c r="O185" i="37"/>
  <c r="P185" i="37"/>
  <c r="R185" i="37"/>
  <c r="S185" i="37"/>
  <c r="L186" i="37"/>
  <c r="M186" i="37"/>
  <c r="F186" i="37"/>
  <c r="G186" i="37"/>
  <c r="U979" i="37" l="1"/>
  <c r="A980" i="37"/>
  <c r="Q979" i="37"/>
  <c r="K979" i="37"/>
  <c r="B979" i="37"/>
  <c r="N979" i="37"/>
  <c r="H979" i="37"/>
  <c r="E979" i="37"/>
  <c r="V978" i="37"/>
  <c r="J375" i="24"/>
  <c r="K375" i="24" s="1"/>
  <c r="P375" i="24"/>
  <c r="Q375" i="24" s="1"/>
  <c r="T375" i="24"/>
  <c r="U375" i="24" s="1"/>
  <c r="R375" i="24"/>
  <c r="S375" i="24" s="1"/>
  <c r="A376" i="24"/>
  <c r="V375" i="24"/>
  <c r="W375" i="24" s="1"/>
  <c r="B375" i="24"/>
  <c r="C375" i="24" s="1"/>
  <c r="D375" i="24"/>
  <c r="E375" i="24" s="1"/>
  <c r="L375" i="24"/>
  <c r="M375" i="24" s="1"/>
  <c r="N375" i="24"/>
  <c r="O375" i="24" s="1"/>
  <c r="F375" i="24"/>
  <c r="G375" i="24" s="1"/>
  <c r="H375" i="24"/>
  <c r="I375" i="24" s="1"/>
  <c r="J187" i="37"/>
  <c r="I187" i="37"/>
  <c r="D187" i="37"/>
  <c r="C187" i="37"/>
  <c r="O186" i="37"/>
  <c r="P186" i="37"/>
  <c r="S186" i="37"/>
  <c r="R186" i="37"/>
  <c r="G187" i="37"/>
  <c r="F187" i="37"/>
  <c r="M187" i="37"/>
  <c r="L187" i="37"/>
  <c r="Q980" i="37" l="1"/>
  <c r="U980" i="37"/>
  <c r="E980" i="37"/>
  <c r="B980" i="37"/>
  <c r="N980" i="37"/>
  <c r="H980" i="37"/>
  <c r="K980" i="37"/>
  <c r="A981" i="37"/>
  <c r="V979" i="37"/>
  <c r="A377" i="24"/>
  <c r="N376" i="24"/>
  <c r="O376" i="24" s="1"/>
  <c r="B376" i="24"/>
  <c r="C376" i="24" s="1"/>
  <c r="V376" i="24"/>
  <c r="W376" i="24" s="1"/>
  <c r="D376" i="24"/>
  <c r="E376" i="24" s="1"/>
  <c r="F376" i="24"/>
  <c r="G376" i="24" s="1"/>
  <c r="J376" i="24"/>
  <c r="K376" i="24" s="1"/>
  <c r="T376" i="24"/>
  <c r="U376" i="24" s="1"/>
  <c r="H376" i="24"/>
  <c r="I376" i="24" s="1"/>
  <c r="L376" i="24"/>
  <c r="M376" i="24" s="1"/>
  <c r="P376" i="24"/>
  <c r="Q376" i="24" s="1"/>
  <c r="R376" i="24"/>
  <c r="S376" i="24" s="1"/>
  <c r="J188" i="37"/>
  <c r="I188" i="37"/>
  <c r="C188" i="37"/>
  <c r="D188" i="37"/>
  <c r="O187" i="37"/>
  <c r="P187" i="37"/>
  <c r="L188" i="37"/>
  <c r="M188" i="37"/>
  <c r="F188" i="37"/>
  <c r="G188" i="37"/>
  <c r="S187" i="37"/>
  <c r="R187" i="37"/>
  <c r="Q981" i="37" l="1"/>
  <c r="A982" i="37"/>
  <c r="H981" i="37"/>
  <c r="B981" i="37"/>
  <c r="N981" i="37"/>
  <c r="K981" i="37"/>
  <c r="E981" i="37"/>
  <c r="U981" i="37"/>
  <c r="V980" i="37"/>
  <c r="J377" i="24"/>
  <c r="K377" i="24" s="1"/>
  <c r="L377" i="24"/>
  <c r="M377" i="24" s="1"/>
  <c r="R377" i="24"/>
  <c r="S377" i="24" s="1"/>
  <c r="T377" i="24"/>
  <c r="U377" i="24" s="1"/>
  <c r="N377" i="24"/>
  <c r="O377" i="24" s="1"/>
  <c r="H377" i="24"/>
  <c r="I377" i="24" s="1"/>
  <c r="D377" i="24"/>
  <c r="E377" i="24" s="1"/>
  <c r="P377" i="24"/>
  <c r="Q377" i="24" s="1"/>
  <c r="F377" i="24"/>
  <c r="G377" i="24" s="1"/>
  <c r="V377" i="24"/>
  <c r="W377" i="24" s="1"/>
  <c r="B377" i="24"/>
  <c r="C377" i="24" s="1"/>
  <c r="A378" i="24"/>
  <c r="J189" i="37"/>
  <c r="I189" i="37"/>
  <c r="C189" i="37"/>
  <c r="D189" i="37"/>
  <c r="O188" i="37"/>
  <c r="P188" i="37"/>
  <c r="M189" i="37"/>
  <c r="L189" i="37"/>
  <c r="S188" i="37"/>
  <c r="R188" i="37"/>
  <c r="F189" i="37"/>
  <c r="G189" i="37"/>
  <c r="Q982" i="37" l="1"/>
  <c r="H982" i="37"/>
  <c r="U982" i="37"/>
  <c r="N982" i="37"/>
  <c r="B982" i="37"/>
  <c r="E982" i="37"/>
  <c r="K982" i="37"/>
  <c r="A983" i="37"/>
  <c r="V981" i="37"/>
  <c r="R378" i="24"/>
  <c r="S378" i="24" s="1"/>
  <c r="T378" i="24"/>
  <c r="U378" i="24" s="1"/>
  <c r="P378" i="24"/>
  <c r="Q378" i="24" s="1"/>
  <c r="A379" i="24"/>
  <c r="N378" i="24"/>
  <c r="O378" i="24" s="1"/>
  <c r="B378" i="24"/>
  <c r="C378" i="24" s="1"/>
  <c r="V378" i="24"/>
  <c r="W378" i="24" s="1"/>
  <c r="J378" i="24"/>
  <c r="K378" i="24" s="1"/>
  <c r="H378" i="24"/>
  <c r="I378" i="24" s="1"/>
  <c r="L378" i="24"/>
  <c r="M378" i="24" s="1"/>
  <c r="F378" i="24"/>
  <c r="G378" i="24" s="1"/>
  <c r="D378" i="24"/>
  <c r="E378" i="24" s="1"/>
  <c r="I190" i="37"/>
  <c r="J190" i="37"/>
  <c r="D190" i="37"/>
  <c r="C190" i="37"/>
  <c r="P189" i="37"/>
  <c r="O189" i="37"/>
  <c r="R189" i="37"/>
  <c r="S189" i="37"/>
  <c r="M190" i="37"/>
  <c r="L190" i="37"/>
  <c r="F190" i="37"/>
  <c r="G190" i="37"/>
  <c r="Q983" i="37" l="1"/>
  <c r="B983" i="37"/>
  <c r="N983" i="37"/>
  <c r="K983" i="37"/>
  <c r="H983" i="37"/>
  <c r="E983" i="37"/>
  <c r="A984" i="37"/>
  <c r="U983" i="37"/>
  <c r="V982" i="37"/>
  <c r="A380" i="24"/>
  <c r="V379" i="24"/>
  <c r="W379" i="24" s="1"/>
  <c r="B379" i="24"/>
  <c r="C379" i="24" s="1"/>
  <c r="F379" i="24"/>
  <c r="G379" i="24" s="1"/>
  <c r="D379" i="24"/>
  <c r="E379" i="24" s="1"/>
  <c r="N379" i="24"/>
  <c r="O379" i="24" s="1"/>
  <c r="J379" i="24"/>
  <c r="K379" i="24" s="1"/>
  <c r="R379" i="24"/>
  <c r="S379" i="24" s="1"/>
  <c r="L379" i="24"/>
  <c r="M379" i="24" s="1"/>
  <c r="P379" i="24"/>
  <c r="Q379" i="24" s="1"/>
  <c r="T379" i="24"/>
  <c r="U379" i="24" s="1"/>
  <c r="H379" i="24"/>
  <c r="I379" i="24" s="1"/>
  <c r="J191" i="37"/>
  <c r="I191" i="37"/>
  <c r="C191" i="37"/>
  <c r="D191" i="37"/>
  <c r="O190" i="37"/>
  <c r="P190" i="37"/>
  <c r="M191" i="37"/>
  <c r="L191" i="37"/>
  <c r="S190" i="37"/>
  <c r="R190" i="37"/>
  <c r="G191" i="37"/>
  <c r="F191" i="37"/>
  <c r="Q984" i="37" l="1"/>
  <c r="B984" i="37"/>
  <c r="H984" i="37"/>
  <c r="N984" i="37"/>
  <c r="K984" i="37"/>
  <c r="E984" i="37"/>
  <c r="A985" i="37"/>
  <c r="U984" i="37"/>
  <c r="V983" i="37"/>
  <c r="H380" i="24"/>
  <c r="I380" i="24" s="1"/>
  <c r="F380" i="24"/>
  <c r="G380" i="24" s="1"/>
  <c r="D380" i="24"/>
  <c r="E380" i="24" s="1"/>
  <c r="J380" i="24"/>
  <c r="K380" i="24" s="1"/>
  <c r="N380" i="24"/>
  <c r="O380" i="24" s="1"/>
  <c r="L380" i="24"/>
  <c r="M380" i="24" s="1"/>
  <c r="P380" i="24"/>
  <c r="Q380" i="24" s="1"/>
  <c r="R380" i="24"/>
  <c r="S380" i="24" s="1"/>
  <c r="V380" i="24"/>
  <c r="W380" i="24" s="1"/>
  <c r="T380" i="24"/>
  <c r="U380" i="24" s="1"/>
  <c r="A381" i="24"/>
  <c r="B380" i="24"/>
  <c r="C380" i="24" s="1"/>
  <c r="J192" i="37"/>
  <c r="I192" i="37"/>
  <c r="D192" i="37"/>
  <c r="C192" i="37"/>
  <c r="O191" i="37"/>
  <c r="P191" i="37"/>
  <c r="G192" i="37"/>
  <c r="F192" i="37"/>
  <c r="R191" i="37"/>
  <c r="S191" i="37"/>
  <c r="L192" i="37"/>
  <c r="M192" i="37"/>
  <c r="Q985" i="37" l="1"/>
  <c r="N985" i="37"/>
  <c r="B985" i="37"/>
  <c r="H985" i="37"/>
  <c r="K985" i="37"/>
  <c r="E985" i="37"/>
  <c r="A986" i="37"/>
  <c r="U985" i="37"/>
  <c r="V984" i="37"/>
  <c r="L381" i="24"/>
  <c r="M381" i="24" s="1"/>
  <c r="P381" i="24"/>
  <c r="Q381" i="24" s="1"/>
  <c r="T381" i="24"/>
  <c r="U381" i="24" s="1"/>
  <c r="R381" i="24"/>
  <c r="S381" i="24" s="1"/>
  <c r="A382" i="24"/>
  <c r="V381" i="24"/>
  <c r="W381" i="24" s="1"/>
  <c r="J381" i="24"/>
  <c r="K381" i="24" s="1"/>
  <c r="N381" i="24"/>
  <c r="O381" i="24" s="1"/>
  <c r="F381" i="24"/>
  <c r="G381" i="24" s="1"/>
  <c r="H381" i="24"/>
  <c r="I381" i="24" s="1"/>
  <c r="D381" i="24"/>
  <c r="E381" i="24" s="1"/>
  <c r="B381" i="24"/>
  <c r="C381" i="24" s="1"/>
  <c r="I193" i="37"/>
  <c r="J193" i="37"/>
  <c r="D193" i="37"/>
  <c r="C193" i="37"/>
  <c r="P192" i="37"/>
  <c r="O192" i="37"/>
  <c r="G193" i="37"/>
  <c r="F193" i="37"/>
  <c r="R192" i="37"/>
  <c r="S192" i="37"/>
  <c r="L193" i="37"/>
  <c r="M193" i="37"/>
  <c r="U986" i="37" l="1"/>
  <c r="N986" i="37"/>
  <c r="H986" i="37"/>
  <c r="E986" i="37"/>
  <c r="K986" i="37"/>
  <c r="B986" i="37"/>
  <c r="A987" i="37"/>
  <c r="Q986" i="37"/>
  <c r="V985" i="37"/>
  <c r="D382" i="24"/>
  <c r="E382" i="24" s="1"/>
  <c r="V382" i="24"/>
  <c r="W382" i="24" s="1"/>
  <c r="H382" i="24"/>
  <c r="I382" i="24" s="1"/>
  <c r="F382" i="24"/>
  <c r="G382" i="24" s="1"/>
  <c r="B382" i="24"/>
  <c r="C382" i="24" s="1"/>
  <c r="J382" i="24"/>
  <c r="K382" i="24" s="1"/>
  <c r="R382" i="24"/>
  <c r="S382" i="24" s="1"/>
  <c r="T382" i="24"/>
  <c r="U382" i="24" s="1"/>
  <c r="A383" i="24"/>
  <c r="L382" i="24"/>
  <c r="M382" i="24" s="1"/>
  <c r="P382" i="24"/>
  <c r="Q382" i="24" s="1"/>
  <c r="N382" i="24"/>
  <c r="O382" i="24" s="1"/>
  <c r="J194" i="37"/>
  <c r="I194" i="37"/>
  <c r="C194" i="37"/>
  <c r="D194" i="37"/>
  <c r="O193" i="37"/>
  <c r="P193" i="37"/>
  <c r="L194" i="37"/>
  <c r="M194" i="37"/>
  <c r="S193" i="37"/>
  <c r="R193" i="37"/>
  <c r="G194" i="37"/>
  <c r="F194" i="37"/>
  <c r="E987" i="37" l="1"/>
  <c r="B987" i="37"/>
  <c r="H987" i="37"/>
  <c r="N987" i="37"/>
  <c r="K987" i="37"/>
  <c r="A988" i="37"/>
  <c r="Q987" i="37"/>
  <c r="U987" i="37"/>
  <c r="V986" i="37"/>
  <c r="J383" i="24"/>
  <c r="K383" i="24" s="1"/>
  <c r="L383" i="24"/>
  <c r="M383" i="24" s="1"/>
  <c r="P383" i="24"/>
  <c r="Q383" i="24" s="1"/>
  <c r="T383" i="24"/>
  <c r="U383" i="24" s="1"/>
  <c r="R383" i="24"/>
  <c r="S383" i="24" s="1"/>
  <c r="F383" i="24"/>
  <c r="G383" i="24" s="1"/>
  <c r="A384" i="24"/>
  <c r="B383" i="24"/>
  <c r="C383" i="24" s="1"/>
  <c r="V383" i="24"/>
  <c r="W383" i="24" s="1"/>
  <c r="N383" i="24"/>
  <c r="O383" i="24" s="1"/>
  <c r="D383" i="24"/>
  <c r="E383" i="24" s="1"/>
  <c r="H383" i="24"/>
  <c r="I383" i="24" s="1"/>
  <c r="J195" i="37"/>
  <c r="I195" i="37"/>
  <c r="D195" i="37"/>
  <c r="C195" i="37"/>
  <c r="P194" i="37"/>
  <c r="O194" i="37"/>
  <c r="R194" i="37"/>
  <c r="S194" i="37"/>
  <c r="M195" i="37"/>
  <c r="L195" i="37"/>
  <c r="F195" i="37"/>
  <c r="G195" i="37"/>
  <c r="A989" i="37" l="1"/>
  <c r="B988" i="37"/>
  <c r="N988" i="37"/>
  <c r="H988" i="37"/>
  <c r="K988" i="37"/>
  <c r="E988" i="37"/>
  <c r="Q988" i="37"/>
  <c r="U988" i="37"/>
  <c r="V987" i="37"/>
  <c r="T384" i="24"/>
  <c r="U384" i="24" s="1"/>
  <c r="R384" i="24"/>
  <c r="S384" i="24" s="1"/>
  <c r="A385" i="24"/>
  <c r="N384" i="24"/>
  <c r="O384" i="24" s="1"/>
  <c r="B384" i="24"/>
  <c r="C384" i="24" s="1"/>
  <c r="V384" i="24"/>
  <c r="W384" i="24" s="1"/>
  <c r="D384" i="24"/>
  <c r="E384" i="24" s="1"/>
  <c r="F384" i="24"/>
  <c r="G384" i="24" s="1"/>
  <c r="H384" i="24"/>
  <c r="I384" i="24" s="1"/>
  <c r="J384" i="24"/>
  <c r="K384" i="24" s="1"/>
  <c r="L384" i="24"/>
  <c r="M384" i="24" s="1"/>
  <c r="P384" i="24"/>
  <c r="Q384" i="24" s="1"/>
  <c r="J196" i="37"/>
  <c r="I196" i="37"/>
  <c r="C196" i="37"/>
  <c r="D196" i="37"/>
  <c r="P195" i="37"/>
  <c r="O195" i="37"/>
  <c r="M196" i="37"/>
  <c r="L196" i="37"/>
  <c r="S195" i="37"/>
  <c r="R195" i="37"/>
  <c r="G196" i="37"/>
  <c r="F196" i="37"/>
  <c r="A990" i="37" l="1"/>
  <c r="H989" i="37"/>
  <c r="B989" i="37"/>
  <c r="N989" i="37"/>
  <c r="K989" i="37"/>
  <c r="E989" i="37"/>
  <c r="U989" i="37"/>
  <c r="Q989" i="37"/>
  <c r="V988" i="37"/>
  <c r="H385" i="24"/>
  <c r="I385" i="24" s="1"/>
  <c r="J385" i="24"/>
  <c r="K385" i="24" s="1"/>
  <c r="L385" i="24"/>
  <c r="M385" i="24" s="1"/>
  <c r="R385" i="24"/>
  <c r="S385" i="24" s="1"/>
  <c r="B385" i="24"/>
  <c r="C385" i="24" s="1"/>
  <c r="D385" i="24"/>
  <c r="E385" i="24" s="1"/>
  <c r="N385" i="24"/>
  <c r="O385" i="24" s="1"/>
  <c r="P385" i="24"/>
  <c r="Q385" i="24" s="1"/>
  <c r="V385" i="24"/>
  <c r="W385" i="24" s="1"/>
  <c r="A386" i="24"/>
  <c r="F385" i="24"/>
  <c r="G385" i="24" s="1"/>
  <c r="T385" i="24"/>
  <c r="U385" i="24" s="1"/>
  <c r="J197" i="37"/>
  <c r="I197" i="37"/>
  <c r="C197" i="37"/>
  <c r="D197" i="37"/>
  <c r="P196" i="37"/>
  <c r="O196" i="37"/>
  <c r="R196" i="37"/>
  <c r="S196" i="37"/>
  <c r="G197" i="37"/>
  <c r="F197" i="37"/>
  <c r="M197" i="37"/>
  <c r="L197" i="37"/>
  <c r="U990" i="37" l="1"/>
  <c r="B990" i="37"/>
  <c r="N990" i="37"/>
  <c r="E990" i="37"/>
  <c r="H990" i="37"/>
  <c r="K990" i="37"/>
  <c r="Q990" i="37"/>
  <c r="V990" i="37"/>
  <c r="V989" i="37"/>
  <c r="I64" i="32"/>
  <c r="L386" i="24"/>
  <c r="M386" i="24" s="1"/>
  <c r="R386" i="24"/>
  <c r="S386" i="24" s="1"/>
  <c r="T386" i="24"/>
  <c r="U386" i="24" s="1"/>
  <c r="P386" i="24"/>
  <c r="Q386" i="24" s="1"/>
  <c r="A387" i="24"/>
  <c r="N386" i="24"/>
  <c r="O386" i="24" s="1"/>
  <c r="B386" i="24"/>
  <c r="C386" i="24" s="1"/>
  <c r="H386" i="24"/>
  <c r="I386" i="24" s="1"/>
  <c r="D386" i="24"/>
  <c r="E386" i="24" s="1"/>
  <c r="J386" i="24"/>
  <c r="K386" i="24" s="1"/>
  <c r="V386" i="24"/>
  <c r="W386" i="24" s="1"/>
  <c r="F386" i="24"/>
  <c r="G386" i="24" s="1"/>
  <c r="J198" i="37"/>
  <c r="I198" i="37"/>
  <c r="D198" i="37"/>
  <c r="C198" i="37"/>
  <c r="P197" i="37"/>
  <c r="O197" i="37"/>
  <c r="G198" i="37"/>
  <c r="F198" i="37"/>
  <c r="L198" i="37"/>
  <c r="M198" i="37"/>
  <c r="R197" i="37"/>
  <c r="S197" i="37"/>
  <c r="I20" i="25" l="1"/>
  <c r="I66" i="32"/>
  <c r="T387" i="24"/>
  <c r="U387" i="24" s="1"/>
  <c r="P387" i="24"/>
  <c r="Q387" i="24" s="1"/>
  <c r="B387" i="24"/>
  <c r="C387" i="24" s="1"/>
  <c r="F387" i="24"/>
  <c r="G387" i="24" s="1"/>
  <c r="A388" i="24"/>
  <c r="L387" i="24"/>
  <c r="M387" i="24" s="1"/>
  <c r="D387" i="24"/>
  <c r="E387" i="24" s="1"/>
  <c r="N387" i="24"/>
  <c r="O387" i="24" s="1"/>
  <c r="J387" i="24"/>
  <c r="K387" i="24" s="1"/>
  <c r="H387" i="24"/>
  <c r="I387" i="24" s="1"/>
  <c r="R387" i="24"/>
  <c r="S387" i="24" s="1"/>
  <c r="V387" i="24"/>
  <c r="W387" i="24" s="1"/>
  <c r="I199" i="37"/>
  <c r="J199" i="37"/>
  <c r="D199" i="37"/>
  <c r="C199" i="37"/>
  <c r="O198" i="37"/>
  <c r="P198" i="37"/>
  <c r="R198" i="37"/>
  <c r="S198" i="37"/>
  <c r="L199" i="37"/>
  <c r="M199" i="37"/>
  <c r="G199" i="37"/>
  <c r="F199" i="37"/>
  <c r="I67" i="32" l="1"/>
  <c r="I23" i="25" s="1"/>
  <c r="I22" i="25"/>
  <c r="A389" i="24"/>
  <c r="R388" i="24"/>
  <c r="S388" i="24" s="1"/>
  <c r="H388" i="24"/>
  <c r="I388" i="24" s="1"/>
  <c r="F388" i="24"/>
  <c r="G388" i="24" s="1"/>
  <c r="J388" i="24"/>
  <c r="K388" i="24" s="1"/>
  <c r="N388" i="24"/>
  <c r="O388" i="24" s="1"/>
  <c r="D388" i="24"/>
  <c r="E388" i="24" s="1"/>
  <c r="P388" i="24"/>
  <c r="Q388" i="24" s="1"/>
  <c r="L388" i="24"/>
  <c r="M388" i="24" s="1"/>
  <c r="V388" i="24"/>
  <c r="W388" i="24" s="1"/>
  <c r="T388" i="24"/>
  <c r="U388" i="24" s="1"/>
  <c r="B388" i="24"/>
  <c r="C388" i="24" s="1"/>
  <c r="I200" i="37"/>
  <c r="J200" i="37"/>
  <c r="C200" i="37"/>
  <c r="D200" i="37"/>
  <c r="P199" i="37"/>
  <c r="O199" i="37"/>
  <c r="F200" i="37"/>
  <c r="G200" i="37"/>
  <c r="M200" i="37"/>
  <c r="L200" i="37"/>
  <c r="S199" i="37"/>
  <c r="R199" i="37"/>
  <c r="J389" i="24" l="1"/>
  <c r="K389" i="24" s="1"/>
  <c r="P389" i="24"/>
  <c r="Q389" i="24" s="1"/>
  <c r="L389" i="24"/>
  <c r="M389" i="24" s="1"/>
  <c r="T389" i="24"/>
  <c r="U389" i="24" s="1"/>
  <c r="R389" i="24"/>
  <c r="S389" i="24" s="1"/>
  <c r="H389" i="24"/>
  <c r="I389" i="24" s="1"/>
  <c r="N389" i="24"/>
  <c r="O389" i="24" s="1"/>
  <c r="V389" i="24"/>
  <c r="W389" i="24" s="1"/>
  <c r="F389" i="24"/>
  <c r="G389" i="24" s="1"/>
  <c r="D389" i="24"/>
  <c r="E389" i="24" s="1"/>
  <c r="A390" i="24"/>
  <c r="B389" i="24"/>
  <c r="C389" i="24" s="1"/>
  <c r="J201" i="37"/>
  <c r="I201" i="37"/>
  <c r="C201" i="37"/>
  <c r="D201" i="37"/>
  <c r="P200" i="37"/>
  <c r="O200" i="37"/>
  <c r="R200" i="37"/>
  <c r="S200" i="37"/>
  <c r="M201" i="37"/>
  <c r="L201" i="37"/>
  <c r="F201" i="37"/>
  <c r="G201" i="37"/>
  <c r="B390" i="24" l="1"/>
  <c r="C390" i="24" s="1"/>
  <c r="R390" i="24"/>
  <c r="S390" i="24" s="1"/>
  <c r="A391" i="24"/>
  <c r="V390" i="24"/>
  <c r="W390" i="24" s="1"/>
  <c r="D390" i="24"/>
  <c r="E390" i="24" s="1"/>
  <c r="F390" i="24"/>
  <c r="G390" i="24" s="1"/>
  <c r="H390" i="24"/>
  <c r="I390" i="24" s="1"/>
  <c r="N390" i="24"/>
  <c r="O390" i="24" s="1"/>
  <c r="J390" i="24"/>
  <c r="K390" i="24" s="1"/>
  <c r="L390" i="24"/>
  <c r="M390" i="24" s="1"/>
  <c r="P390" i="24"/>
  <c r="Q390" i="24" s="1"/>
  <c r="T390" i="24"/>
  <c r="U390" i="24" s="1"/>
  <c r="J202" i="37"/>
  <c r="I202" i="37"/>
  <c r="D202" i="37"/>
  <c r="C202" i="37"/>
  <c r="O201" i="37"/>
  <c r="P201" i="37"/>
  <c r="S201" i="37"/>
  <c r="R201" i="37"/>
  <c r="L202" i="37"/>
  <c r="M202" i="37"/>
  <c r="G202" i="37"/>
  <c r="F202" i="37"/>
  <c r="J391" i="24" l="1"/>
  <c r="K391" i="24" s="1"/>
  <c r="L391" i="24"/>
  <c r="M391" i="24" s="1"/>
  <c r="P391" i="24"/>
  <c r="Q391" i="24" s="1"/>
  <c r="T391" i="24"/>
  <c r="U391" i="24" s="1"/>
  <c r="R391" i="24"/>
  <c r="S391" i="24" s="1"/>
  <c r="A392" i="24"/>
  <c r="B391" i="24"/>
  <c r="C391" i="24" s="1"/>
  <c r="D391" i="24"/>
  <c r="E391" i="24" s="1"/>
  <c r="H391" i="24"/>
  <c r="I391" i="24" s="1"/>
  <c r="F391" i="24"/>
  <c r="G391" i="24" s="1"/>
  <c r="V391" i="24"/>
  <c r="W391" i="24" s="1"/>
  <c r="N391" i="24"/>
  <c r="O391" i="24" s="1"/>
  <c r="J203" i="37"/>
  <c r="I203" i="37"/>
  <c r="C203" i="37"/>
  <c r="D203" i="37"/>
  <c r="O202" i="37"/>
  <c r="P202" i="37"/>
  <c r="M203" i="37"/>
  <c r="L203" i="37"/>
  <c r="G203" i="37"/>
  <c r="F203" i="37"/>
  <c r="S202" i="37"/>
  <c r="R202" i="37"/>
  <c r="T392" i="24" l="1"/>
  <c r="U392" i="24" s="1"/>
  <c r="R392" i="24"/>
  <c r="S392" i="24" s="1"/>
  <c r="A393" i="24"/>
  <c r="N392" i="24"/>
  <c r="O392" i="24" s="1"/>
  <c r="B392" i="24"/>
  <c r="C392" i="24" s="1"/>
  <c r="V392" i="24"/>
  <c r="W392" i="24" s="1"/>
  <c r="D392" i="24"/>
  <c r="E392" i="24" s="1"/>
  <c r="F392" i="24"/>
  <c r="G392" i="24" s="1"/>
  <c r="H392" i="24"/>
  <c r="I392" i="24" s="1"/>
  <c r="J392" i="24"/>
  <c r="K392" i="24" s="1"/>
  <c r="L392" i="24"/>
  <c r="M392" i="24" s="1"/>
  <c r="P392" i="24"/>
  <c r="Q392" i="24" s="1"/>
  <c r="J204" i="37"/>
  <c r="I204" i="37"/>
  <c r="C204" i="37"/>
  <c r="D204" i="37"/>
  <c r="O203" i="37"/>
  <c r="P203" i="37"/>
  <c r="F204" i="37"/>
  <c r="G204" i="37"/>
  <c r="L204" i="37"/>
  <c r="M204" i="37"/>
  <c r="R203" i="37"/>
  <c r="S203" i="37"/>
  <c r="D393" i="24" l="1"/>
  <c r="E393" i="24" s="1"/>
  <c r="V393" i="24"/>
  <c r="W393" i="24" s="1"/>
  <c r="H393" i="24"/>
  <c r="I393" i="24" s="1"/>
  <c r="J393" i="24"/>
  <c r="K393" i="24" s="1"/>
  <c r="L393" i="24"/>
  <c r="M393" i="24" s="1"/>
  <c r="B393" i="24"/>
  <c r="C393" i="24" s="1"/>
  <c r="R393" i="24"/>
  <c r="S393" i="24" s="1"/>
  <c r="N393" i="24"/>
  <c r="O393" i="24" s="1"/>
  <c r="F393" i="24"/>
  <c r="G393" i="24" s="1"/>
  <c r="T393" i="24"/>
  <c r="U393" i="24" s="1"/>
  <c r="A394" i="24"/>
  <c r="P393" i="24"/>
  <c r="Q393" i="24" s="1"/>
  <c r="J205" i="37"/>
  <c r="I205" i="37"/>
  <c r="D205" i="37"/>
  <c r="C205" i="37"/>
  <c r="P204" i="37"/>
  <c r="O204" i="37"/>
  <c r="S204" i="37"/>
  <c r="R204" i="37"/>
  <c r="M205" i="37"/>
  <c r="L205" i="37"/>
  <c r="F205" i="37"/>
  <c r="G205" i="37"/>
  <c r="L394" i="24" l="1"/>
  <c r="M394" i="24" s="1"/>
  <c r="R394" i="24"/>
  <c r="S394" i="24" s="1"/>
  <c r="T394" i="24"/>
  <c r="U394" i="24" s="1"/>
  <c r="P394" i="24"/>
  <c r="Q394" i="24" s="1"/>
  <c r="A395" i="24"/>
  <c r="N394" i="24"/>
  <c r="O394" i="24" s="1"/>
  <c r="J394" i="24"/>
  <c r="K394" i="24" s="1"/>
  <c r="H394" i="24"/>
  <c r="I394" i="24" s="1"/>
  <c r="V394" i="24"/>
  <c r="W394" i="24" s="1"/>
  <c r="F394" i="24"/>
  <c r="G394" i="24" s="1"/>
  <c r="B394" i="24"/>
  <c r="C394" i="24" s="1"/>
  <c r="D394" i="24"/>
  <c r="E394" i="24" s="1"/>
  <c r="J206" i="37"/>
  <c r="I206" i="37"/>
  <c r="C206" i="37"/>
  <c r="D206" i="37"/>
  <c r="P205" i="37"/>
  <c r="O205" i="37"/>
  <c r="L206" i="37"/>
  <c r="M206" i="37"/>
  <c r="G206" i="37"/>
  <c r="F206" i="37"/>
  <c r="R205" i="37"/>
  <c r="S205" i="37"/>
  <c r="T395" i="24" l="1"/>
  <c r="U395" i="24" s="1"/>
  <c r="P395" i="24"/>
  <c r="Q395" i="24" s="1"/>
  <c r="B395" i="24"/>
  <c r="C395" i="24" s="1"/>
  <c r="F395" i="24"/>
  <c r="G395" i="24" s="1"/>
  <c r="H395" i="24"/>
  <c r="I395" i="24" s="1"/>
  <c r="N395" i="24"/>
  <c r="O395" i="24" s="1"/>
  <c r="J395" i="24"/>
  <c r="K395" i="24" s="1"/>
  <c r="L395" i="24"/>
  <c r="M395" i="24" s="1"/>
  <c r="V395" i="24"/>
  <c r="W395" i="24" s="1"/>
  <c r="A396" i="24"/>
  <c r="D395" i="24"/>
  <c r="E395" i="24" s="1"/>
  <c r="R395" i="24"/>
  <c r="S395" i="24" s="1"/>
  <c r="J207" i="37"/>
  <c r="I207" i="37"/>
  <c r="C207" i="37"/>
  <c r="D207" i="37"/>
  <c r="O206" i="37"/>
  <c r="P206" i="37"/>
  <c r="M207" i="37"/>
  <c r="L207" i="37"/>
  <c r="F207" i="37"/>
  <c r="G207" i="37"/>
  <c r="S206" i="37"/>
  <c r="R206" i="37"/>
  <c r="D396" i="24" l="1"/>
  <c r="E396" i="24" s="1"/>
  <c r="J396" i="24"/>
  <c r="K396" i="24" s="1"/>
  <c r="N396" i="24"/>
  <c r="O396" i="24" s="1"/>
  <c r="L396" i="24"/>
  <c r="M396" i="24" s="1"/>
  <c r="R396" i="24"/>
  <c r="S396" i="24" s="1"/>
  <c r="V396" i="24"/>
  <c r="W396" i="24" s="1"/>
  <c r="F396" i="24"/>
  <c r="G396" i="24" s="1"/>
  <c r="T396" i="24"/>
  <c r="U396" i="24" s="1"/>
  <c r="P396" i="24"/>
  <c r="Q396" i="24" s="1"/>
  <c r="B396" i="24"/>
  <c r="C396" i="24" s="1"/>
  <c r="A397" i="24"/>
  <c r="H396" i="24"/>
  <c r="I396" i="24" s="1"/>
  <c r="I208" i="37"/>
  <c r="J208" i="37"/>
  <c r="C208" i="37"/>
  <c r="D208" i="37"/>
  <c r="O207" i="37"/>
  <c r="P207" i="37"/>
  <c r="S207" i="37"/>
  <c r="R207" i="37"/>
  <c r="L208" i="37"/>
  <c r="M208" i="37"/>
  <c r="F208" i="37"/>
  <c r="G208" i="37"/>
  <c r="J397" i="24" l="1"/>
  <c r="K397" i="24" s="1"/>
  <c r="T397" i="24"/>
  <c r="U397" i="24" s="1"/>
  <c r="L397" i="24"/>
  <c r="M397" i="24" s="1"/>
  <c r="P397" i="24"/>
  <c r="Q397" i="24" s="1"/>
  <c r="R397" i="24"/>
  <c r="S397" i="24" s="1"/>
  <c r="V397" i="24"/>
  <c r="W397" i="24" s="1"/>
  <c r="A398" i="24"/>
  <c r="B397" i="24"/>
  <c r="C397" i="24" s="1"/>
  <c r="N397" i="24"/>
  <c r="O397" i="24" s="1"/>
  <c r="H397" i="24"/>
  <c r="I397" i="24" s="1"/>
  <c r="D397" i="24"/>
  <c r="E397" i="24" s="1"/>
  <c r="F397" i="24"/>
  <c r="G397" i="24" s="1"/>
  <c r="J209" i="37"/>
  <c r="I209" i="37"/>
  <c r="C209" i="37"/>
  <c r="D209" i="37"/>
  <c r="O208" i="37"/>
  <c r="P208" i="37"/>
  <c r="R208" i="37"/>
  <c r="S208" i="37"/>
  <c r="F209" i="37"/>
  <c r="G209" i="37"/>
  <c r="M209" i="37"/>
  <c r="L209" i="37"/>
  <c r="B398" i="24" l="1"/>
  <c r="C398" i="24" s="1"/>
  <c r="V398" i="24"/>
  <c r="W398" i="24" s="1"/>
  <c r="D398" i="24"/>
  <c r="E398" i="24" s="1"/>
  <c r="F398" i="24"/>
  <c r="G398" i="24" s="1"/>
  <c r="J398" i="24"/>
  <c r="K398" i="24" s="1"/>
  <c r="L398" i="24"/>
  <c r="M398" i="24" s="1"/>
  <c r="A399" i="24"/>
  <c r="T398" i="24"/>
  <c r="U398" i="24" s="1"/>
  <c r="H398" i="24"/>
  <c r="I398" i="24" s="1"/>
  <c r="P398" i="24"/>
  <c r="Q398" i="24" s="1"/>
  <c r="R398" i="24"/>
  <c r="S398" i="24" s="1"/>
  <c r="N398" i="24"/>
  <c r="O398" i="24" s="1"/>
  <c r="J210" i="37"/>
  <c r="I210" i="37"/>
  <c r="D210" i="37"/>
  <c r="C210" i="37"/>
  <c r="O209" i="37"/>
  <c r="P209" i="37"/>
  <c r="M210" i="37"/>
  <c r="L210" i="37"/>
  <c r="S209" i="37"/>
  <c r="R209" i="37"/>
  <c r="F210" i="37"/>
  <c r="G210" i="37"/>
  <c r="P399" i="24" l="1"/>
  <c r="Q399" i="24" s="1"/>
  <c r="J399" i="24"/>
  <c r="K399" i="24" s="1"/>
  <c r="T399" i="24"/>
  <c r="U399" i="24" s="1"/>
  <c r="R399" i="24"/>
  <c r="S399" i="24" s="1"/>
  <c r="A400" i="24"/>
  <c r="V399" i="24"/>
  <c r="W399" i="24" s="1"/>
  <c r="H399" i="24"/>
  <c r="I399" i="24" s="1"/>
  <c r="L399" i="24"/>
  <c r="M399" i="24" s="1"/>
  <c r="N399" i="24"/>
  <c r="O399" i="24" s="1"/>
  <c r="F399" i="24"/>
  <c r="G399" i="24" s="1"/>
  <c r="B399" i="24"/>
  <c r="C399" i="24" s="1"/>
  <c r="D399" i="24"/>
  <c r="E399" i="24" s="1"/>
  <c r="J211" i="37"/>
  <c r="I211" i="37"/>
  <c r="D211" i="37"/>
  <c r="C211" i="37"/>
  <c r="P210" i="37"/>
  <c r="O210" i="37"/>
  <c r="G211" i="37"/>
  <c r="F211" i="37"/>
  <c r="S210" i="37"/>
  <c r="R210" i="37"/>
  <c r="L211" i="37"/>
  <c r="M211" i="37"/>
  <c r="A401" i="24" l="1"/>
  <c r="N400" i="24"/>
  <c r="O400" i="24" s="1"/>
  <c r="B400" i="24"/>
  <c r="C400" i="24" s="1"/>
  <c r="V400" i="24"/>
  <c r="W400" i="24" s="1"/>
  <c r="D400" i="24"/>
  <c r="E400" i="24" s="1"/>
  <c r="F400" i="24"/>
  <c r="G400" i="24" s="1"/>
  <c r="H400" i="24"/>
  <c r="I400" i="24" s="1"/>
  <c r="P400" i="24"/>
  <c r="Q400" i="24" s="1"/>
  <c r="R400" i="24"/>
  <c r="S400" i="24" s="1"/>
  <c r="J400" i="24"/>
  <c r="K400" i="24" s="1"/>
  <c r="L400" i="24"/>
  <c r="M400" i="24" s="1"/>
  <c r="T400" i="24"/>
  <c r="U400" i="24" s="1"/>
  <c r="I212" i="37"/>
  <c r="J212" i="37"/>
  <c r="D212" i="37"/>
  <c r="C212" i="37"/>
  <c r="P211" i="37"/>
  <c r="O211" i="37"/>
  <c r="R211" i="37"/>
  <c r="S211" i="37"/>
  <c r="G212" i="37"/>
  <c r="F212" i="37"/>
  <c r="L212" i="37"/>
  <c r="M212" i="37"/>
  <c r="J401" i="24" l="1"/>
  <c r="K401" i="24" s="1"/>
  <c r="L401" i="24"/>
  <c r="M401" i="24" s="1"/>
  <c r="R401" i="24"/>
  <c r="S401" i="24" s="1"/>
  <c r="T401" i="24"/>
  <c r="U401" i="24" s="1"/>
  <c r="N401" i="24"/>
  <c r="O401" i="24" s="1"/>
  <c r="V401" i="24"/>
  <c r="W401" i="24" s="1"/>
  <c r="A402" i="24"/>
  <c r="B401" i="24"/>
  <c r="C401" i="24" s="1"/>
  <c r="P401" i="24"/>
  <c r="Q401" i="24" s="1"/>
  <c r="D401" i="24"/>
  <c r="E401" i="24" s="1"/>
  <c r="H401" i="24"/>
  <c r="I401" i="24" s="1"/>
  <c r="F401" i="24"/>
  <c r="G401" i="24" s="1"/>
  <c r="I213" i="37"/>
  <c r="J213" i="37"/>
  <c r="D213" i="37"/>
  <c r="C213" i="37"/>
  <c r="O212" i="37"/>
  <c r="P212" i="37"/>
  <c r="M213" i="37"/>
  <c r="L213" i="37"/>
  <c r="R212" i="37"/>
  <c r="S212" i="37"/>
  <c r="G213" i="37"/>
  <c r="F213" i="37"/>
  <c r="T402" i="24" l="1"/>
  <c r="U402" i="24" s="1"/>
  <c r="P402" i="24"/>
  <c r="Q402" i="24" s="1"/>
  <c r="A403" i="24"/>
  <c r="N402" i="24"/>
  <c r="O402" i="24" s="1"/>
  <c r="B402" i="24"/>
  <c r="C402" i="24" s="1"/>
  <c r="V402" i="24"/>
  <c r="W402" i="24" s="1"/>
  <c r="D402" i="24"/>
  <c r="E402" i="24" s="1"/>
  <c r="F402" i="24"/>
  <c r="G402" i="24" s="1"/>
  <c r="H402" i="24"/>
  <c r="I402" i="24" s="1"/>
  <c r="J402" i="24"/>
  <c r="K402" i="24" s="1"/>
  <c r="L402" i="24"/>
  <c r="M402" i="24" s="1"/>
  <c r="R402" i="24"/>
  <c r="S402" i="24" s="1"/>
  <c r="I214" i="37"/>
  <c r="J214" i="37"/>
  <c r="D214" i="37"/>
  <c r="C214" i="37"/>
  <c r="O213" i="37"/>
  <c r="P213" i="37"/>
  <c r="S213" i="37"/>
  <c r="R213" i="37"/>
  <c r="G214" i="37"/>
  <c r="F214" i="37"/>
  <c r="L214" i="37"/>
  <c r="M214" i="37"/>
  <c r="D403" i="24" l="1"/>
  <c r="E403" i="24" s="1"/>
  <c r="P403" i="24"/>
  <c r="Q403" i="24" s="1"/>
  <c r="J403" i="24"/>
  <c r="K403" i="24" s="1"/>
  <c r="H403" i="24"/>
  <c r="I403" i="24" s="1"/>
  <c r="R403" i="24"/>
  <c r="S403" i="24" s="1"/>
  <c r="B403" i="24"/>
  <c r="C403" i="24" s="1"/>
  <c r="A404" i="24"/>
  <c r="L403" i="24"/>
  <c r="M403" i="24" s="1"/>
  <c r="V403" i="24"/>
  <c r="W403" i="24" s="1"/>
  <c r="T403" i="24"/>
  <c r="U403" i="24" s="1"/>
  <c r="N403" i="24"/>
  <c r="O403" i="24" s="1"/>
  <c r="F403" i="24"/>
  <c r="G403" i="24" s="1"/>
  <c r="I215" i="37"/>
  <c r="J215" i="37"/>
  <c r="D215" i="37"/>
  <c r="C215" i="37"/>
  <c r="P214" i="37"/>
  <c r="O214" i="37"/>
  <c r="G215" i="37"/>
  <c r="F215" i="37"/>
  <c r="S214" i="37"/>
  <c r="R214" i="37"/>
  <c r="M215" i="37"/>
  <c r="L215" i="37"/>
  <c r="L404" i="24" l="1"/>
  <c r="M404" i="24" s="1"/>
  <c r="N404" i="24"/>
  <c r="O404" i="24" s="1"/>
  <c r="T404" i="24"/>
  <c r="U404" i="24" s="1"/>
  <c r="P404" i="24"/>
  <c r="Q404" i="24" s="1"/>
  <c r="A405" i="24"/>
  <c r="V404" i="24"/>
  <c r="W404" i="24" s="1"/>
  <c r="J404" i="24"/>
  <c r="K404" i="24" s="1"/>
  <c r="B404" i="24"/>
  <c r="C404" i="24" s="1"/>
  <c r="D404" i="24"/>
  <c r="E404" i="24" s="1"/>
  <c r="R404" i="24"/>
  <c r="S404" i="24" s="1"/>
  <c r="H404" i="24"/>
  <c r="I404" i="24" s="1"/>
  <c r="F404" i="24"/>
  <c r="G404" i="24" s="1"/>
  <c r="J216" i="37"/>
  <c r="I216" i="37"/>
  <c r="D216" i="37"/>
  <c r="C216" i="37"/>
  <c r="P215" i="37"/>
  <c r="O215" i="37"/>
  <c r="L216" i="37"/>
  <c r="M216" i="37"/>
  <c r="R215" i="37"/>
  <c r="S215" i="37"/>
  <c r="G216" i="37"/>
  <c r="F216" i="37"/>
  <c r="A406" i="24" l="1"/>
  <c r="V405" i="24"/>
  <c r="W405" i="24" s="1"/>
  <c r="B405" i="24"/>
  <c r="C405" i="24" s="1"/>
  <c r="L405" i="24"/>
  <c r="M405" i="24" s="1"/>
  <c r="H405" i="24"/>
  <c r="I405" i="24" s="1"/>
  <c r="F405" i="24"/>
  <c r="G405" i="24" s="1"/>
  <c r="D405" i="24"/>
  <c r="E405" i="24" s="1"/>
  <c r="P405" i="24"/>
  <c r="Q405" i="24" s="1"/>
  <c r="R405" i="24"/>
  <c r="S405" i="24" s="1"/>
  <c r="N405" i="24"/>
  <c r="O405" i="24" s="1"/>
  <c r="T405" i="24"/>
  <c r="U405" i="24" s="1"/>
  <c r="J405" i="24"/>
  <c r="K405" i="24" s="1"/>
  <c r="I217" i="37"/>
  <c r="J217" i="37"/>
  <c r="D217" i="37"/>
  <c r="C217" i="37"/>
  <c r="P216" i="37"/>
  <c r="O216" i="37"/>
  <c r="G217" i="37"/>
  <c r="F217" i="37"/>
  <c r="M217" i="37"/>
  <c r="L217" i="37"/>
  <c r="R216" i="37"/>
  <c r="S216" i="37"/>
  <c r="J406" i="24" l="1"/>
  <c r="K406" i="24" s="1"/>
  <c r="L406" i="24"/>
  <c r="M406" i="24" s="1"/>
  <c r="P406" i="24"/>
  <c r="Q406" i="24" s="1"/>
  <c r="T406" i="24"/>
  <c r="U406" i="24" s="1"/>
  <c r="R406" i="24"/>
  <c r="S406" i="24" s="1"/>
  <c r="V406" i="24"/>
  <c r="W406" i="24" s="1"/>
  <c r="F406" i="24"/>
  <c r="G406" i="24" s="1"/>
  <c r="A407" i="24"/>
  <c r="D406" i="24"/>
  <c r="E406" i="24" s="1"/>
  <c r="B406" i="24"/>
  <c r="C406" i="24" s="1"/>
  <c r="H406" i="24"/>
  <c r="I406" i="24" s="1"/>
  <c r="N406" i="24"/>
  <c r="O406" i="24" s="1"/>
  <c r="I218" i="37"/>
  <c r="J218" i="37"/>
  <c r="D218" i="37"/>
  <c r="C218" i="37"/>
  <c r="P217" i="37"/>
  <c r="O217" i="37"/>
  <c r="L218" i="37"/>
  <c r="M218" i="37"/>
  <c r="G218" i="37"/>
  <c r="F218" i="37"/>
  <c r="R217" i="37"/>
  <c r="S217" i="37"/>
  <c r="A408" i="24" l="1"/>
  <c r="V407" i="24"/>
  <c r="W407" i="24" s="1"/>
  <c r="B407" i="24"/>
  <c r="C407" i="24" s="1"/>
  <c r="N407" i="24"/>
  <c r="O407" i="24" s="1"/>
  <c r="D407" i="24"/>
  <c r="E407" i="24" s="1"/>
  <c r="F407" i="24"/>
  <c r="G407" i="24" s="1"/>
  <c r="H407" i="24"/>
  <c r="I407" i="24" s="1"/>
  <c r="T407" i="24"/>
  <c r="U407" i="24" s="1"/>
  <c r="L407" i="24"/>
  <c r="M407" i="24" s="1"/>
  <c r="R407" i="24"/>
  <c r="S407" i="24" s="1"/>
  <c r="P407" i="24"/>
  <c r="Q407" i="24" s="1"/>
  <c r="J407" i="24"/>
  <c r="K407" i="24" s="1"/>
  <c r="I219" i="37"/>
  <c r="J219" i="37"/>
  <c r="D219" i="37"/>
  <c r="C219" i="37"/>
  <c r="P218" i="37"/>
  <c r="O218" i="37"/>
  <c r="S218" i="37"/>
  <c r="R218" i="37"/>
  <c r="G219" i="37"/>
  <c r="F219" i="37"/>
  <c r="L219" i="37"/>
  <c r="M219" i="37"/>
  <c r="H408" i="24" l="1"/>
  <c r="I408" i="24" s="1"/>
  <c r="J408" i="24"/>
  <c r="K408" i="24" s="1"/>
  <c r="L408" i="24"/>
  <c r="M408" i="24" s="1"/>
  <c r="P408" i="24"/>
  <c r="Q408" i="24" s="1"/>
  <c r="T408" i="24"/>
  <c r="U408" i="24" s="1"/>
  <c r="A409" i="24"/>
  <c r="B408" i="24"/>
  <c r="C408" i="24" s="1"/>
  <c r="D408" i="24"/>
  <c r="E408" i="24" s="1"/>
  <c r="V408" i="24"/>
  <c r="W408" i="24" s="1"/>
  <c r="R408" i="24"/>
  <c r="S408" i="24" s="1"/>
  <c r="F408" i="24"/>
  <c r="G408" i="24" s="1"/>
  <c r="N408" i="24"/>
  <c r="O408" i="24" s="1"/>
  <c r="I220" i="37"/>
  <c r="J220" i="37"/>
  <c r="D220" i="37"/>
  <c r="C220" i="37"/>
  <c r="P219" i="37"/>
  <c r="O219" i="37"/>
  <c r="S219" i="37"/>
  <c r="R219" i="37"/>
  <c r="L220" i="37"/>
  <c r="M220" i="37"/>
  <c r="G220" i="37"/>
  <c r="F220" i="37"/>
  <c r="T409" i="24" l="1"/>
  <c r="U409" i="24" s="1"/>
  <c r="N409" i="24"/>
  <c r="O409" i="24" s="1"/>
  <c r="A410" i="24"/>
  <c r="P409" i="24"/>
  <c r="Q409" i="24" s="1"/>
  <c r="B409" i="24"/>
  <c r="C409" i="24" s="1"/>
  <c r="V409" i="24"/>
  <c r="W409" i="24" s="1"/>
  <c r="D409" i="24"/>
  <c r="E409" i="24" s="1"/>
  <c r="F409" i="24"/>
  <c r="G409" i="24" s="1"/>
  <c r="H409" i="24"/>
  <c r="I409" i="24" s="1"/>
  <c r="J409" i="24"/>
  <c r="K409" i="24" s="1"/>
  <c r="L409" i="24"/>
  <c r="M409" i="24" s="1"/>
  <c r="R409" i="24"/>
  <c r="S409" i="24" s="1"/>
  <c r="J221" i="37"/>
  <c r="I221" i="37"/>
  <c r="D221" i="37"/>
  <c r="C221" i="37"/>
  <c r="O220" i="37"/>
  <c r="P220" i="37"/>
  <c r="R220" i="37"/>
  <c r="S220" i="37"/>
  <c r="F221" i="37"/>
  <c r="G221" i="37"/>
  <c r="M221" i="37"/>
  <c r="L221" i="37"/>
  <c r="D410" i="24" l="1"/>
  <c r="E410" i="24" s="1"/>
  <c r="F410" i="24"/>
  <c r="G410" i="24" s="1"/>
  <c r="H410" i="24"/>
  <c r="I410" i="24" s="1"/>
  <c r="J410" i="24"/>
  <c r="K410" i="24" s="1"/>
  <c r="L410" i="24"/>
  <c r="M410" i="24" s="1"/>
  <c r="R410" i="24"/>
  <c r="S410" i="24" s="1"/>
  <c r="P410" i="24"/>
  <c r="Q410" i="24" s="1"/>
  <c r="N410" i="24"/>
  <c r="O410" i="24" s="1"/>
  <c r="V410" i="24"/>
  <c r="W410" i="24" s="1"/>
  <c r="A411" i="24"/>
  <c r="T410" i="24"/>
  <c r="U410" i="24" s="1"/>
  <c r="B410" i="24"/>
  <c r="C410" i="24" s="1"/>
  <c r="I222" i="37"/>
  <c r="J222" i="37"/>
  <c r="D222" i="37"/>
  <c r="C222" i="37"/>
  <c r="P221" i="37"/>
  <c r="O221" i="37"/>
  <c r="G222" i="37"/>
  <c r="F222" i="37"/>
  <c r="S221" i="37"/>
  <c r="R221" i="37"/>
  <c r="L222" i="37"/>
  <c r="M222" i="37"/>
  <c r="R411" i="24" l="1"/>
  <c r="S411" i="24" s="1"/>
  <c r="L411" i="24"/>
  <c r="M411" i="24" s="1"/>
  <c r="T411" i="24"/>
  <c r="U411" i="24" s="1"/>
  <c r="P411" i="24"/>
  <c r="Q411" i="24" s="1"/>
  <c r="A412" i="24"/>
  <c r="V411" i="24"/>
  <c r="W411" i="24" s="1"/>
  <c r="J411" i="24"/>
  <c r="K411" i="24" s="1"/>
  <c r="F411" i="24"/>
  <c r="G411" i="24" s="1"/>
  <c r="N411" i="24"/>
  <c r="O411" i="24" s="1"/>
  <c r="D411" i="24"/>
  <c r="E411" i="24" s="1"/>
  <c r="B411" i="24"/>
  <c r="C411" i="24" s="1"/>
  <c r="H411" i="24"/>
  <c r="I411" i="24" s="1"/>
  <c r="I223" i="37"/>
  <c r="J223" i="37"/>
  <c r="C223" i="37"/>
  <c r="D223" i="37"/>
  <c r="O222" i="37"/>
  <c r="P222" i="37"/>
  <c r="S222" i="37"/>
  <c r="R222" i="37"/>
  <c r="F223" i="37"/>
  <c r="G223" i="37"/>
  <c r="M223" i="37"/>
  <c r="L223" i="37"/>
  <c r="A413" i="24" l="1"/>
  <c r="R412" i="24"/>
  <c r="S412" i="24" s="1"/>
  <c r="B412" i="24"/>
  <c r="C412" i="24" s="1"/>
  <c r="F412" i="24"/>
  <c r="G412" i="24" s="1"/>
  <c r="H412" i="24"/>
  <c r="I412" i="24" s="1"/>
  <c r="V412" i="24"/>
  <c r="W412" i="24" s="1"/>
  <c r="D412" i="24"/>
  <c r="E412" i="24" s="1"/>
  <c r="L412" i="24"/>
  <c r="M412" i="24" s="1"/>
  <c r="N412" i="24"/>
  <c r="O412" i="24" s="1"/>
  <c r="T412" i="24"/>
  <c r="U412" i="24" s="1"/>
  <c r="J412" i="24"/>
  <c r="K412" i="24" s="1"/>
  <c r="P412" i="24"/>
  <c r="Q412" i="24" s="1"/>
  <c r="I224" i="37"/>
  <c r="J224" i="37"/>
  <c r="D224" i="37"/>
  <c r="C224" i="37"/>
  <c r="O223" i="37"/>
  <c r="P223" i="37"/>
  <c r="F224" i="37"/>
  <c r="G224" i="37"/>
  <c r="M224" i="37"/>
  <c r="L224" i="37"/>
  <c r="R223" i="37"/>
  <c r="S223" i="37"/>
  <c r="J413" i="24" l="1"/>
  <c r="K413" i="24" s="1"/>
  <c r="P413" i="24"/>
  <c r="Q413" i="24" s="1"/>
  <c r="L413" i="24"/>
  <c r="M413" i="24" s="1"/>
  <c r="R413" i="24"/>
  <c r="S413" i="24" s="1"/>
  <c r="F413" i="24"/>
  <c r="G413" i="24" s="1"/>
  <c r="H413" i="24"/>
  <c r="I413" i="24" s="1"/>
  <c r="T413" i="24"/>
  <c r="U413" i="24" s="1"/>
  <c r="A414" i="24"/>
  <c r="V413" i="24"/>
  <c r="W413" i="24" s="1"/>
  <c r="B413" i="24"/>
  <c r="C413" i="24" s="1"/>
  <c r="D413" i="24"/>
  <c r="E413" i="24" s="1"/>
  <c r="N413" i="24"/>
  <c r="O413" i="24" s="1"/>
  <c r="J225" i="37"/>
  <c r="I225" i="37"/>
  <c r="C225" i="37"/>
  <c r="D225" i="37"/>
  <c r="O224" i="37"/>
  <c r="P224" i="37"/>
  <c r="L225" i="37"/>
  <c r="M225" i="37"/>
  <c r="G225" i="37"/>
  <c r="F225" i="37"/>
  <c r="R224" i="37"/>
  <c r="S224" i="37"/>
  <c r="T414" i="24" l="1"/>
  <c r="U414" i="24" s="1"/>
  <c r="R414" i="24"/>
  <c r="S414" i="24" s="1"/>
  <c r="A415" i="24"/>
  <c r="N414" i="24"/>
  <c r="O414" i="24" s="1"/>
  <c r="B414" i="24"/>
  <c r="C414" i="24" s="1"/>
  <c r="V414" i="24"/>
  <c r="W414" i="24" s="1"/>
  <c r="H414" i="24"/>
  <c r="I414" i="24" s="1"/>
  <c r="F414" i="24"/>
  <c r="G414" i="24" s="1"/>
  <c r="D414" i="24"/>
  <c r="E414" i="24" s="1"/>
  <c r="J414" i="24"/>
  <c r="K414" i="24" s="1"/>
  <c r="P414" i="24"/>
  <c r="Q414" i="24" s="1"/>
  <c r="L414" i="24"/>
  <c r="M414" i="24" s="1"/>
  <c r="J226" i="37"/>
  <c r="I226" i="37"/>
  <c r="D226" i="37"/>
  <c r="C226" i="37"/>
  <c r="P225" i="37"/>
  <c r="O225" i="37"/>
  <c r="G226" i="37"/>
  <c r="F226" i="37"/>
  <c r="S225" i="37"/>
  <c r="R225" i="37"/>
  <c r="L226" i="37"/>
  <c r="M226" i="37"/>
  <c r="H415" i="24" l="1"/>
  <c r="I415" i="24" s="1"/>
  <c r="J415" i="24"/>
  <c r="K415" i="24" s="1"/>
  <c r="L415" i="24"/>
  <c r="M415" i="24" s="1"/>
  <c r="P415" i="24"/>
  <c r="Q415" i="24" s="1"/>
  <c r="B415" i="24"/>
  <c r="C415" i="24" s="1"/>
  <c r="D415" i="24"/>
  <c r="E415" i="24" s="1"/>
  <c r="R415" i="24"/>
  <c r="S415" i="24" s="1"/>
  <c r="V415" i="24"/>
  <c r="W415" i="24" s="1"/>
  <c r="T415" i="24"/>
  <c r="U415" i="24" s="1"/>
  <c r="A416" i="24"/>
  <c r="N415" i="24"/>
  <c r="O415" i="24" s="1"/>
  <c r="F415" i="24"/>
  <c r="G415" i="24" s="1"/>
  <c r="J227" i="37"/>
  <c r="I227" i="37"/>
  <c r="D227" i="37"/>
  <c r="C227" i="37"/>
  <c r="O226" i="37"/>
  <c r="P226" i="37"/>
  <c r="M227" i="37"/>
  <c r="L227" i="37"/>
  <c r="R226" i="37"/>
  <c r="S226" i="37"/>
  <c r="G227" i="37"/>
  <c r="F227" i="37"/>
  <c r="P416" i="24" l="1"/>
  <c r="Q416" i="24" s="1"/>
  <c r="T416" i="24"/>
  <c r="U416" i="24" s="1"/>
  <c r="R416" i="24"/>
  <c r="S416" i="24" s="1"/>
  <c r="A417" i="24"/>
  <c r="N416" i="24"/>
  <c r="O416" i="24" s="1"/>
  <c r="B416" i="24"/>
  <c r="C416" i="24" s="1"/>
  <c r="F416" i="24"/>
  <c r="G416" i="24" s="1"/>
  <c r="H416" i="24"/>
  <c r="I416" i="24" s="1"/>
  <c r="J416" i="24"/>
  <c r="K416" i="24" s="1"/>
  <c r="L416" i="24"/>
  <c r="M416" i="24" s="1"/>
  <c r="V416" i="24"/>
  <c r="W416" i="24" s="1"/>
  <c r="D416" i="24"/>
  <c r="E416" i="24" s="1"/>
  <c r="J228" i="37"/>
  <c r="I228" i="37"/>
  <c r="C228" i="37"/>
  <c r="D228" i="37"/>
  <c r="O227" i="37"/>
  <c r="P227" i="37"/>
  <c r="L228" i="37"/>
  <c r="M228" i="37"/>
  <c r="F228" i="37"/>
  <c r="G228" i="37"/>
  <c r="R227" i="37"/>
  <c r="S227" i="37"/>
  <c r="D417" i="24" l="1"/>
  <c r="E417" i="24" s="1"/>
  <c r="V417" i="24"/>
  <c r="W417" i="24" s="1"/>
  <c r="J417" i="24"/>
  <c r="K417" i="24" s="1"/>
  <c r="L417" i="24"/>
  <c r="M417" i="24" s="1"/>
  <c r="R417" i="24"/>
  <c r="S417" i="24" s="1"/>
  <c r="H417" i="24"/>
  <c r="I417" i="24" s="1"/>
  <c r="P417" i="24"/>
  <c r="Q417" i="24" s="1"/>
  <c r="F417" i="24"/>
  <c r="G417" i="24" s="1"/>
  <c r="B417" i="24"/>
  <c r="C417" i="24" s="1"/>
  <c r="T417" i="24"/>
  <c r="U417" i="24" s="1"/>
  <c r="N417" i="24"/>
  <c r="O417" i="24" s="1"/>
  <c r="A418" i="24"/>
  <c r="I229" i="37"/>
  <c r="J229" i="37"/>
  <c r="C229" i="37"/>
  <c r="D229" i="37"/>
  <c r="P228" i="37"/>
  <c r="O228" i="37"/>
  <c r="G229" i="37"/>
  <c r="F229" i="37"/>
  <c r="R228" i="37"/>
  <c r="S228" i="37"/>
  <c r="M229" i="37"/>
  <c r="L229" i="37"/>
  <c r="L418" i="24" l="1"/>
  <c r="M418" i="24" s="1"/>
  <c r="R418" i="24"/>
  <c r="S418" i="24" s="1"/>
  <c r="T418" i="24"/>
  <c r="U418" i="24" s="1"/>
  <c r="P418" i="24"/>
  <c r="Q418" i="24" s="1"/>
  <c r="A419" i="24"/>
  <c r="N418" i="24"/>
  <c r="O418" i="24" s="1"/>
  <c r="V418" i="24"/>
  <c r="W418" i="24" s="1"/>
  <c r="F418" i="24"/>
  <c r="G418" i="24" s="1"/>
  <c r="H418" i="24"/>
  <c r="I418" i="24" s="1"/>
  <c r="J418" i="24"/>
  <c r="K418" i="24" s="1"/>
  <c r="B418" i="24"/>
  <c r="C418" i="24" s="1"/>
  <c r="D418" i="24"/>
  <c r="E418" i="24" s="1"/>
  <c r="I230" i="37"/>
  <c r="J230" i="37"/>
  <c r="C230" i="37"/>
  <c r="D230" i="37"/>
  <c r="P229" i="37"/>
  <c r="O229" i="37"/>
  <c r="L230" i="37"/>
  <c r="M230" i="37"/>
  <c r="F230" i="37"/>
  <c r="G230" i="37"/>
  <c r="S229" i="37"/>
  <c r="R229" i="37"/>
  <c r="A420" i="24" l="1"/>
  <c r="F419" i="24"/>
  <c r="G419" i="24" s="1"/>
  <c r="B419" i="24"/>
  <c r="C419" i="24" s="1"/>
  <c r="N419" i="24"/>
  <c r="O419" i="24" s="1"/>
  <c r="D419" i="24"/>
  <c r="E419" i="24" s="1"/>
  <c r="P419" i="24"/>
  <c r="Q419" i="24" s="1"/>
  <c r="H419" i="24"/>
  <c r="I419" i="24" s="1"/>
  <c r="T419" i="24"/>
  <c r="U419" i="24" s="1"/>
  <c r="L419" i="24"/>
  <c r="M419" i="24" s="1"/>
  <c r="J419" i="24"/>
  <c r="K419" i="24" s="1"/>
  <c r="V419" i="24"/>
  <c r="W419" i="24" s="1"/>
  <c r="R419" i="24"/>
  <c r="S419" i="24" s="1"/>
  <c r="J231" i="37"/>
  <c r="I231" i="37"/>
  <c r="C231" i="37"/>
  <c r="D231" i="37"/>
  <c r="P230" i="37"/>
  <c r="O230" i="37"/>
  <c r="F231" i="37"/>
  <c r="G231" i="37"/>
  <c r="S230" i="37"/>
  <c r="R230" i="37"/>
  <c r="M231" i="37"/>
  <c r="L231" i="37"/>
  <c r="D420" i="24" l="1"/>
  <c r="E420" i="24" s="1"/>
  <c r="J420" i="24"/>
  <c r="K420" i="24" s="1"/>
  <c r="N420" i="24"/>
  <c r="O420" i="24" s="1"/>
  <c r="L420" i="24"/>
  <c r="M420" i="24" s="1"/>
  <c r="F420" i="24"/>
  <c r="G420" i="24" s="1"/>
  <c r="T420" i="24"/>
  <c r="U420" i="24" s="1"/>
  <c r="B420" i="24"/>
  <c r="C420" i="24" s="1"/>
  <c r="H420" i="24"/>
  <c r="I420" i="24" s="1"/>
  <c r="R420" i="24"/>
  <c r="S420" i="24" s="1"/>
  <c r="V420" i="24"/>
  <c r="W420" i="24" s="1"/>
  <c r="A421" i="24"/>
  <c r="P420" i="24"/>
  <c r="Q420" i="24" s="1"/>
  <c r="J232" i="37"/>
  <c r="I232" i="37"/>
  <c r="C232" i="37"/>
  <c r="D232" i="37"/>
  <c r="O231" i="37"/>
  <c r="P231" i="37"/>
  <c r="S231" i="37"/>
  <c r="R231" i="37"/>
  <c r="L232" i="37"/>
  <c r="M232" i="37"/>
  <c r="G232" i="37"/>
  <c r="F232" i="37"/>
  <c r="P421" i="24" l="1"/>
  <c r="Q421" i="24" s="1"/>
  <c r="T421" i="24"/>
  <c r="U421" i="24" s="1"/>
  <c r="R421" i="24"/>
  <c r="S421" i="24" s="1"/>
  <c r="A422" i="24"/>
  <c r="N421" i="24"/>
  <c r="O421" i="24" s="1"/>
  <c r="B421" i="24"/>
  <c r="C421" i="24" s="1"/>
  <c r="V421" i="24"/>
  <c r="W421" i="24" s="1"/>
  <c r="D421" i="24"/>
  <c r="E421" i="24" s="1"/>
  <c r="H421" i="24"/>
  <c r="I421" i="24" s="1"/>
  <c r="F421" i="24"/>
  <c r="G421" i="24" s="1"/>
  <c r="J421" i="24"/>
  <c r="K421" i="24" s="1"/>
  <c r="L421" i="24"/>
  <c r="M421" i="24" s="1"/>
  <c r="I233" i="37"/>
  <c r="J233" i="37"/>
  <c r="C233" i="37"/>
  <c r="D233" i="37"/>
  <c r="P232" i="37"/>
  <c r="O232" i="37"/>
  <c r="G233" i="37"/>
  <c r="F233" i="37"/>
  <c r="M233" i="37"/>
  <c r="L233" i="37"/>
  <c r="S232" i="37"/>
  <c r="R232" i="37"/>
  <c r="D422" i="24" l="1"/>
  <c r="E422" i="24" s="1"/>
  <c r="F422" i="24"/>
  <c r="G422" i="24" s="1"/>
  <c r="H422" i="24"/>
  <c r="I422" i="24" s="1"/>
  <c r="J422" i="24"/>
  <c r="K422" i="24" s="1"/>
  <c r="L422" i="24"/>
  <c r="M422" i="24" s="1"/>
  <c r="A423" i="24"/>
  <c r="B422" i="24"/>
  <c r="C422" i="24" s="1"/>
  <c r="P422" i="24"/>
  <c r="Q422" i="24" s="1"/>
  <c r="R422" i="24"/>
  <c r="S422" i="24" s="1"/>
  <c r="T422" i="24"/>
  <c r="U422" i="24" s="1"/>
  <c r="N422" i="24"/>
  <c r="O422" i="24" s="1"/>
  <c r="V422" i="24"/>
  <c r="W422" i="24" s="1"/>
  <c r="I234" i="37"/>
  <c r="J234" i="37"/>
  <c r="D234" i="37"/>
  <c r="C234" i="37"/>
  <c r="O233" i="37"/>
  <c r="P233" i="37"/>
  <c r="M234" i="37"/>
  <c r="L234" i="37"/>
  <c r="R233" i="37"/>
  <c r="S233" i="37"/>
  <c r="F234" i="37"/>
  <c r="G234" i="37"/>
  <c r="P423" i="24" l="1"/>
  <c r="Q423" i="24" s="1"/>
  <c r="T423" i="24"/>
  <c r="U423" i="24" s="1"/>
  <c r="R423" i="24"/>
  <c r="S423" i="24" s="1"/>
  <c r="A424" i="24"/>
  <c r="V423" i="24"/>
  <c r="W423" i="24" s="1"/>
  <c r="B423" i="24"/>
  <c r="C423" i="24" s="1"/>
  <c r="N423" i="24"/>
  <c r="O423" i="24" s="1"/>
  <c r="J423" i="24"/>
  <c r="K423" i="24" s="1"/>
  <c r="L423" i="24"/>
  <c r="M423" i="24" s="1"/>
  <c r="F423" i="24"/>
  <c r="G423" i="24" s="1"/>
  <c r="H423" i="24"/>
  <c r="I423" i="24" s="1"/>
  <c r="D423" i="24"/>
  <c r="E423" i="24" s="1"/>
  <c r="J235" i="37"/>
  <c r="I235" i="37"/>
  <c r="D235" i="37"/>
  <c r="C235" i="37"/>
  <c r="O234" i="37"/>
  <c r="P234" i="37"/>
  <c r="G235" i="37"/>
  <c r="F235" i="37"/>
  <c r="L235" i="37"/>
  <c r="M235" i="37"/>
  <c r="R234" i="37"/>
  <c r="S234" i="37"/>
  <c r="B424" i="24" l="1"/>
  <c r="C424" i="24" s="1"/>
  <c r="V424" i="24"/>
  <c r="W424" i="24" s="1"/>
  <c r="D424" i="24"/>
  <c r="E424" i="24" s="1"/>
  <c r="F424" i="24"/>
  <c r="G424" i="24" s="1"/>
  <c r="H424" i="24"/>
  <c r="I424" i="24" s="1"/>
  <c r="J424" i="24"/>
  <c r="K424" i="24" s="1"/>
  <c r="R424" i="24"/>
  <c r="S424" i="24" s="1"/>
  <c r="N424" i="24"/>
  <c r="O424" i="24" s="1"/>
  <c r="L424" i="24"/>
  <c r="M424" i="24" s="1"/>
  <c r="T424" i="24"/>
  <c r="U424" i="24" s="1"/>
  <c r="A425" i="24"/>
  <c r="P424" i="24"/>
  <c r="Q424" i="24" s="1"/>
  <c r="I236" i="37"/>
  <c r="J236" i="37"/>
  <c r="C236" i="37"/>
  <c r="D236" i="37"/>
  <c r="P235" i="37"/>
  <c r="O235" i="37"/>
  <c r="S235" i="37"/>
  <c r="R235" i="37"/>
  <c r="G236" i="37"/>
  <c r="F236" i="37"/>
  <c r="L236" i="37"/>
  <c r="M236" i="37"/>
  <c r="D425" i="24" l="1"/>
  <c r="E425" i="24" s="1"/>
  <c r="R425" i="24"/>
  <c r="S425" i="24" s="1"/>
  <c r="T425" i="24"/>
  <c r="U425" i="24" s="1"/>
  <c r="N425" i="24"/>
  <c r="O425" i="24" s="1"/>
  <c r="A426" i="24"/>
  <c r="V425" i="24"/>
  <c r="W425" i="24" s="1"/>
  <c r="B425" i="24"/>
  <c r="C425" i="24" s="1"/>
  <c r="H425" i="24"/>
  <c r="I425" i="24" s="1"/>
  <c r="F425" i="24"/>
  <c r="G425" i="24" s="1"/>
  <c r="J425" i="24"/>
  <c r="K425" i="24" s="1"/>
  <c r="L425" i="24"/>
  <c r="M425" i="24" s="1"/>
  <c r="P425" i="24"/>
  <c r="Q425" i="24" s="1"/>
  <c r="I237" i="37"/>
  <c r="J237" i="37"/>
  <c r="D237" i="37"/>
  <c r="C237" i="37"/>
  <c r="P236" i="37"/>
  <c r="O236" i="37"/>
  <c r="M237" i="37"/>
  <c r="L237" i="37"/>
  <c r="F237" i="37"/>
  <c r="G237" i="37"/>
  <c r="S236" i="37"/>
  <c r="R236" i="37"/>
  <c r="A427" i="24" l="1"/>
  <c r="N426" i="24"/>
  <c r="O426" i="24" s="1"/>
  <c r="B426" i="24"/>
  <c r="C426" i="24" s="1"/>
  <c r="V426" i="24"/>
  <c r="W426" i="24" s="1"/>
  <c r="D426" i="24"/>
  <c r="E426" i="24" s="1"/>
  <c r="F426" i="24"/>
  <c r="G426" i="24" s="1"/>
  <c r="H426" i="24"/>
  <c r="I426" i="24" s="1"/>
  <c r="T426" i="24"/>
  <c r="U426" i="24" s="1"/>
  <c r="J426" i="24"/>
  <c r="K426" i="24" s="1"/>
  <c r="L426" i="24"/>
  <c r="M426" i="24" s="1"/>
  <c r="R426" i="24"/>
  <c r="S426" i="24" s="1"/>
  <c r="P426" i="24"/>
  <c r="Q426" i="24" s="1"/>
  <c r="J238" i="37"/>
  <c r="I238" i="37"/>
  <c r="C238" i="37"/>
  <c r="D238" i="37"/>
  <c r="O237" i="37"/>
  <c r="P237" i="37"/>
  <c r="R237" i="37"/>
  <c r="S237" i="37"/>
  <c r="F238" i="37"/>
  <c r="G238" i="37"/>
  <c r="M238" i="37"/>
  <c r="L238" i="37"/>
  <c r="H427" i="24" l="1"/>
  <c r="I427" i="24" s="1"/>
  <c r="J427" i="24"/>
  <c r="K427" i="24" s="1"/>
  <c r="L427" i="24"/>
  <c r="M427" i="24" s="1"/>
  <c r="R427" i="24"/>
  <c r="S427" i="24" s="1"/>
  <c r="B427" i="24"/>
  <c r="C427" i="24" s="1"/>
  <c r="A428" i="24"/>
  <c r="D427" i="24"/>
  <c r="E427" i="24" s="1"/>
  <c r="V427" i="24"/>
  <c r="W427" i="24" s="1"/>
  <c r="F427" i="24"/>
  <c r="G427" i="24" s="1"/>
  <c r="P427" i="24"/>
  <c r="Q427" i="24" s="1"/>
  <c r="T427" i="24"/>
  <c r="U427" i="24" s="1"/>
  <c r="N427" i="24"/>
  <c r="O427" i="24" s="1"/>
  <c r="I239" i="37"/>
  <c r="J239" i="37"/>
  <c r="C239" i="37"/>
  <c r="D239" i="37"/>
  <c r="O238" i="37"/>
  <c r="P238" i="37"/>
  <c r="G239" i="37"/>
  <c r="F239" i="37"/>
  <c r="L239" i="37"/>
  <c r="M239" i="37"/>
  <c r="S238" i="37"/>
  <c r="R238" i="37"/>
  <c r="P428" i="24" l="1"/>
  <c r="Q428" i="24" s="1"/>
  <c r="T428" i="24"/>
  <c r="U428" i="24" s="1"/>
  <c r="L428" i="24"/>
  <c r="M428" i="24" s="1"/>
  <c r="A429" i="24"/>
  <c r="R428" i="24"/>
  <c r="S428" i="24" s="1"/>
  <c r="B428" i="24"/>
  <c r="C428" i="24" s="1"/>
  <c r="V428" i="24"/>
  <c r="W428" i="24" s="1"/>
  <c r="H428" i="24"/>
  <c r="I428" i="24" s="1"/>
  <c r="D428" i="24"/>
  <c r="E428" i="24" s="1"/>
  <c r="J428" i="24"/>
  <c r="K428" i="24" s="1"/>
  <c r="N428" i="24"/>
  <c r="O428" i="24" s="1"/>
  <c r="F428" i="24"/>
  <c r="G428" i="24" s="1"/>
  <c r="J240" i="37"/>
  <c r="I240" i="37"/>
  <c r="D240" i="37"/>
  <c r="C240" i="37"/>
  <c r="P239" i="37"/>
  <c r="O239" i="37"/>
  <c r="R239" i="37"/>
  <c r="S239" i="37"/>
  <c r="G240" i="37"/>
  <c r="F240" i="37"/>
  <c r="L240" i="37"/>
  <c r="M240" i="37"/>
  <c r="A430" i="24" l="1"/>
  <c r="N429" i="24"/>
  <c r="O429" i="24" s="1"/>
  <c r="D429" i="24"/>
  <c r="E429" i="24" s="1"/>
  <c r="F429" i="24"/>
  <c r="G429" i="24" s="1"/>
  <c r="H429" i="24"/>
  <c r="I429" i="24" s="1"/>
  <c r="J429" i="24"/>
  <c r="K429" i="24" s="1"/>
  <c r="P429" i="24"/>
  <c r="Q429" i="24" s="1"/>
  <c r="L429" i="24"/>
  <c r="M429" i="24" s="1"/>
  <c r="R429" i="24"/>
  <c r="S429" i="24" s="1"/>
  <c r="V429" i="24"/>
  <c r="W429" i="24" s="1"/>
  <c r="T429" i="24"/>
  <c r="U429" i="24" s="1"/>
  <c r="B429" i="24"/>
  <c r="C429" i="24" s="1"/>
  <c r="J241" i="37"/>
  <c r="I241" i="37"/>
  <c r="D241" i="37"/>
  <c r="C241" i="37"/>
  <c r="P240" i="37"/>
  <c r="O240" i="37"/>
  <c r="L241" i="37"/>
  <c r="M241" i="37"/>
  <c r="G241" i="37"/>
  <c r="F241" i="37"/>
  <c r="R240" i="37"/>
  <c r="S240" i="37"/>
  <c r="L430" i="24" l="1"/>
  <c r="M430" i="24" s="1"/>
  <c r="P430" i="24"/>
  <c r="Q430" i="24" s="1"/>
  <c r="T430" i="24"/>
  <c r="U430" i="24" s="1"/>
  <c r="R430" i="24"/>
  <c r="S430" i="24" s="1"/>
  <c r="A431" i="24"/>
  <c r="N430" i="24"/>
  <c r="O430" i="24" s="1"/>
  <c r="V430" i="24"/>
  <c r="W430" i="24" s="1"/>
  <c r="F430" i="24"/>
  <c r="G430" i="24" s="1"/>
  <c r="H430" i="24"/>
  <c r="I430" i="24" s="1"/>
  <c r="B430" i="24"/>
  <c r="C430" i="24" s="1"/>
  <c r="J430" i="24"/>
  <c r="K430" i="24" s="1"/>
  <c r="D430" i="24"/>
  <c r="E430" i="24" s="1"/>
  <c r="I242" i="37"/>
  <c r="J242" i="37"/>
  <c r="C242" i="37"/>
  <c r="D242" i="37"/>
  <c r="O241" i="37"/>
  <c r="P241" i="37"/>
  <c r="S241" i="37"/>
  <c r="R241" i="37"/>
  <c r="F242" i="37"/>
  <c r="G242" i="37"/>
  <c r="L242" i="37"/>
  <c r="M242" i="37"/>
  <c r="B431" i="24" l="1"/>
  <c r="C431" i="24" s="1"/>
  <c r="N431" i="24"/>
  <c r="O431" i="24" s="1"/>
  <c r="H431" i="24"/>
  <c r="I431" i="24" s="1"/>
  <c r="F431" i="24"/>
  <c r="G431" i="24" s="1"/>
  <c r="D431" i="24"/>
  <c r="E431" i="24" s="1"/>
  <c r="L431" i="24"/>
  <c r="M431" i="24" s="1"/>
  <c r="T431" i="24"/>
  <c r="U431" i="24" s="1"/>
  <c r="A432" i="24"/>
  <c r="R431" i="24"/>
  <c r="S431" i="24" s="1"/>
  <c r="J431" i="24"/>
  <c r="K431" i="24" s="1"/>
  <c r="P431" i="24"/>
  <c r="Q431" i="24" s="1"/>
  <c r="V431" i="24"/>
  <c r="W431" i="24" s="1"/>
  <c r="J243" i="37"/>
  <c r="I243" i="37"/>
  <c r="C243" i="37"/>
  <c r="D243" i="37"/>
  <c r="O242" i="37"/>
  <c r="P242" i="37"/>
  <c r="M243" i="37"/>
  <c r="L243" i="37"/>
  <c r="S242" i="37"/>
  <c r="R242" i="37"/>
  <c r="F243" i="37"/>
  <c r="G243" i="37"/>
  <c r="J432" i="24" l="1"/>
  <c r="K432" i="24" s="1"/>
  <c r="L432" i="24"/>
  <c r="M432" i="24" s="1"/>
  <c r="P432" i="24"/>
  <c r="Q432" i="24" s="1"/>
  <c r="T432" i="24"/>
  <c r="U432" i="24" s="1"/>
  <c r="R432" i="24"/>
  <c r="S432" i="24" s="1"/>
  <c r="A433" i="24"/>
  <c r="B432" i="24"/>
  <c r="C432" i="24" s="1"/>
  <c r="D432" i="24"/>
  <c r="E432" i="24" s="1"/>
  <c r="V432" i="24"/>
  <c r="W432" i="24" s="1"/>
  <c r="H432" i="24"/>
  <c r="I432" i="24" s="1"/>
  <c r="N432" i="24"/>
  <c r="O432" i="24" s="1"/>
  <c r="F432" i="24"/>
  <c r="G432" i="24" s="1"/>
  <c r="J244" i="37"/>
  <c r="I244" i="37"/>
  <c r="D244" i="37"/>
  <c r="C244" i="37"/>
  <c r="O243" i="37"/>
  <c r="P243" i="37"/>
  <c r="S243" i="37"/>
  <c r="R243" i="37"/>
  <c r="M244" i="37"/>
  <c r="L244" i="37"/>
  <c r="F244" i="37"/>
  <c r="G244" i="37"/>
  <c r="A434" i="24" l="1"/>
  <c r="P433" i="24"/>
  <c r="Q433" i="24" s="1"/>
  <c r="B433" i="24"/>
  <c r="C433" i="24" s="1"/>
  <c r="F433" i="24"/>
  <c r="G433" i="24" s="1"/>
  <c r="D433" i="24"/>
  <c r="E433" i="24" s="1"/>
  <c r="V433" i="24"/>
  <c r="W433" i="24" s="1"/>
  <c r="H433" i="24"/>
  <c r="I433" i="24" s="1"/>
  <c r="T433" i="24"/>
  <c r="U433" i="24" s="1"/>
  <c r="J433" i="24"/>
  <c r="K433" i="24" s="1"/>
  <c r="L433" i="24"/>
  <c r="M433" i="24" s="1"/>
  <c r="R433" i="24"/>
  <c r="S433" i="24" s="1"/>
  <c r="N433" i="24"/>
  <c r="O433" i="24" s="1"/>
  <c r="I245" i="37"/>
  <c r="J245" i="37"/>
  <c r="C245" i="37"/>
  <c r="D245" i="37"/>
  <c r="P244" i="37"/>
  <c r="O244" i="37"/>
  <c r="L245" i="37"/>
  <c r="M245" i="37"/>
  <c r="S244" i="37"/>
  <c r="R244" i="37"/>
  <c r="G245" i="37"/>
  <c r="F245" i="37"/>
  <c r="J434" i="24" l="1"/>
  <c r="K434" i="24" s="1"/>
  <c r="L434" i="24"/>
  <c r="M434" i="24" s="1"/>
  <c r="D434" i="24"/>
  <c r="E434" i="24" s="1"/>
  <c r="R434" i="24"/>
  <c r="S434" i="24" s="1"/>
  <c r="B434" i="24"/>
  <c r="C434" i="24" s="1"/>
  <c r="H434" i="24"/>
  <c r="I434" i="24" s="1"/>
  <c r="P434" i="24"/>
  <c r="Q434" i="24" s="1"/>
  <c r="N434" i="24"/>
  <c r="O434" i="24" s="1"/>
  <c r="T434" i="24"/>
  <c r="U434" i="24" s="1"/>
  <c r="F434" i="24"/>
  <c r="G434" i="24" s="1"/>
  <c r="V434" i="24"/>
  <c r="W434" i="24" s="1"/>
  <c r="A435" i="24"/>
  <c r="J246" i="37"/>
  <c r="I246" i="37"/>
  <c r="C246" i="37"/>
  <c r="D246" i="37"/>
  <c r="O245" i="37"/>
  <c r="P245" i="37"/>
  <c r="R245" i="37"/>
  <c r="S245" i="37"/>
  <c r="M246" i="37"/>
  <c r="L246" i="37"/>
  <c r="F246" i="37"/>
  <c r="G246" i="37"/>
  <c r="L435" i="24" l="1"/>
  <c r="M435" i="24" s="1"/>
  <c r="T435" i="24"/>
  <c r="U435" i="24" s="1"/>
  <c r="V435" i="24"/>
  <c r="W435" i="24" s="1"/>
  <c r="A436" i="24"/>
  <c r="F435" i="24"/>
  <c r="G435" i="24" s="1"/>
  <c r="B435" i="24"/>
  <c r="C435" i="24" s="1"/>
  <c r="N435" i="24"/>
  <c r="O435" i="24" s="1"/>
  <c r="J435" i="24"/>
  <c r="K435" i="24" s="1"/>
  <c r="H435" i="24"/>
  <c r="I435" i="24" s="1"/>
  <c r="R435" i="24"/>
  <c r="S435" i="24" s="1"/>
  <c r="P435" i="24"/>
  <c r="Q435" i="24" s="1"/>
  <c r="D435" i="24"/>
  <c r="E435" i="24" s="1"/>
  <c r="I247" i="37"/>
  <c r="J247" i="37"/>
  <c r="D247" i="37"/>
  <c r="C247" i="37"/>
  <c r="P246" i="37"/>
  <c r="O246" i="37"/>
  <c r="F247" i="37"/>
  <c r="G247" i="37"/>
  <c r="M247" i="37"/>
  <c r="L247" i="37"/>
  <c r="S246" i="37"/>
  <c r="R246" i="37"/>
  <c r="B436" i="24" l="1"/>
  <c r="C436" i="24" s="1"/>
  <c r="F436" i="24"/>
  <c r="G436" i="24" s="1"/>
  <c r="D436" i="24"/>
  <c r="E436" i="24" s="1"/>
  <c r="J436" i="24"/>
  <c r="K436" i="24" s="1"/>
  <c r="N436" i="24"/>
  <c r="O436" i="24" s="1"/>
  <c r="L436" i="24"/>
  <c r="M436" i="24" s="1"/>
  <c r="P436" i="24"/>
  <c r="Q436" i="24" s="1"/>
  <c r="R436" i="24"/>
  <c r="S436" i="24" s="1"/>
  <c r="A437" i="24"/>
  <c r="T436" i="24"/>
  <c r="U436" i="24" s="1"/>
  <c r="H436" i="24"/>
  <c r="I436" i="24" s="1"/>
  <c r="V436" i="24"/>
  <c r="W436" i="24" s="1"/>
  <c r="J248" i="37"/>
  <c r="I248" i="37"/>
  <c r="D248" i="37"/>
  <c r="C248" i="37"/>
  <c r="O247" i="37"/>
  <c r="P247" i="37"/>
  <c r="L248" i="37"/>
  <c r="M248" i="37"/>
  <c r="S247" i="37"/>
  <c r="R247" i="37"/>
  <c r="G248" i="37"/>
  <c r="F248" i="37"/>
  <c r="P437" i="24" l="1"/>
  <c r="Q437" i="24" s="1"/>
  <c r="R437" i="24"/>
  <c r="S437" i="24" s="1"/>
  <c r="T437" i="24"/>
  <c r="U437" i="24" s="1"/>
  <c r="J437" i="24"/>
  <c r="K437" i="24" s="1"/>
  <c r="D437" i="24"/>
  <c r="E437" i="24" s="1"/>
  <c r="H437" i="24"/>
  <c r="I437" i="24" s="1"/>
  <c r="L437" i="24"/>
  <c r="M437" i="24" s="1"/>
  <c r="N437" i="24"/>
  <c r="O437" i="24" s="1"/>
  <c r="A438" i="24"/>
  <c r="B437" i="24"/>
  <c r="C437" i="24" s="1"/>
  <c r="V437" i="24"/>
  <c r="W437" i="24" s="1"/>
  <c r="F437" i="24"/>
  <c r="G437" i="24" s="1"/>
  <c r="I249" i="37"/>
  <c r="J249" i="37"/>
  <c r="C249" i="37"/>
  <c r="D249" i="37"/>
  <c r="O248" i="37"/>
  <c r="P248" i="37"/>
  <c r="F249" i="37"/>
  <c r="G249" i="37"/>
  <c r="S248" i="37"/>
  <c r="R248" i="37"/>
  <c r="M249" i="37"/>
  <c r="L249" i="37"/>
  <c r="B438" i="24" l="1"/>
  <c r="C438" i="24" s="1"/>
  <c r="V438" i="24"/>
  <c r="W438" i="24" s="1"/>
  <c r="D438" i="24"/>
  <c r="E438" i="24" s="1"/>
  <c r="F438" i="24"/>
  <c r="G438" i="24" s="1"/>
  <c r="H438" i="24"/>
  <c r="I438" i="24" s="1"/>
  <c r="J438" i="24"/>
  <c r="K438" i="24" s="1"/>
  <c r="L438" i="24"/>
  <c r="M438" i="24" s="1"/>
  <c r="P438" i="24"/>
  <c r="Q438" i="24" s="1"/>
  <c r="R438" i="24"/>
  <c r="S438" i="24" s="1"/>
  <c r="T438" i="24"/>
  <c r="U438" i="24" s="1"/>
  <c r="N438" i="24"/>
  <c r="O438" i="24" s="1"/>
  <c r="A439" i="24"/>
  <c r="I250" i="37"/>
  <c r="J250" i="37"/>
  <c r="D250" i="37"/>
  <c r="C250" i="37"/>
  <c r="O249" i="37"/>
  <c r="P249" i="37"/>
  <c r="R249" i="37"/>
  <c r="S249" i="37"/>
  <c r="L250" i="37"/>
  <c r="M250" i="37"/>
  <c r="G250" i="37"/>
  <c r="F250" i="37"/>
  <c r="J439" i="24" l="1"/>
  <c r="K439" i="24" s="1"/>
  <c r="P439" i="24"/>
  <c r="Q439" i="24" s="1"/>
  <c r="T439" i="24"/>
  <c r="U439" i="24" s="1"/>
  <c r="R439" i="24"/>
  <c r="S439" i="24" s="1"/>
  <c r="H439" i="24"/>
  <c r="I439" i="24" s="1"/>
  <c r="L439" i="24"/>
  <c r="M439" i="24" s="1"/>
  <c r="V439" i="24"/>
  <c r="W439" i="24" s="1"/>
  <c r="N439" i="24"/>
  <c r="O439" i="24" s="1"/>
  <c r="B439" i="24"/>
  <c r="C439" i="24" s="1"/>
  <c r="F439" i="24"/>
  <c r="G439" i="24" s="1"/>
  <c r="A440" i="24"/>
  <c r="D439" i="24"/>
  <c r="E439" i="24" s="1"/>
  <c r="J251" i="37"/>
  <c r="I251" i="37"/>
  <c r="D251" i="37"/>
  <c r="C251" i="37"/>
  <c r="P250" i="37"/>
  <c r="O250" i="37"/>
  <c r="G251" i="37"/>
  <c r="F251" i="37"/>
  <c r="R250" i="37"/>
  <c r="S250" i="37"/>
  <c r="L251" i="37"/>
  <c r="M251" i="37"/>
  <c r="A441" i="24" l="1"/>
  <c r="N440" i="24"/>
  <c r="O440" i="24" s="1"/>
  <c r="B440" i="24"/>
  <c r="C440" i="24" s="1"/>
  <c r="V440" i="24"/>
  <c r="W440" i="24" s="1"/>
  <c r="D440" i="24"/>
  <c r="E440" i="24" s="1"/>
  <c r="F440" i="24"/>
  <c r="G440" i="24" s="1"/>
  <c r="H440" i="24"/>
  <c r="I440" i="24" s="1"/>
  <c r="L440" i="24"/>
  <c r="M440" i="24" s="1"/>
  <c r="P440" i="24"/>
  <c r="Q440" i="24" s="1"/>
  <c r="R440" i="24"/>
  <c r="S440" i="24" s="1"/>
  <c r="T440" i="24"/>
  <c r="U440" i="24" s="1"/>
  <c r="J440" i="24"/>
  <c r="K440" i="24" s="1"/>
  <c r="I252" i="37"/>
  <c r="J252" i="37"/>
  <c r="C252" i="37"/>
  <c r="D252" i="37"/>
  <c r="P251" i="37"/>
  <c r="O251" i="37"/>
  <c r="F252" i="37"/>
  <c r="G252" i="37"/>
  <c r="S251" i="37"/>
  <c r="R251" i="37"/>
  <c r="M252" i="37"/>
  <c r="L252" i="37"/>
  <c r="D441" i="24" l="1"/>
  <c r="E441" i="24" s="1"/>
  <c r="L441" i="24"/>
  <c r="M441" i="24" s="1"/>
  <c r="R441" i="24"/>
  <c r="S441" i="24" s="1"/>
  <c r="J441" i="24"/>
  <c r="K441" i="24" s="1"/>
  <c r="N441" i="24"/>
  <c r="O441" i="24" s="1"/>
  <c r="P441" i="24"/>
  <c r="Q441" i="24" s="1"/>
  <c r="F441" i="24"/>
  <c r="G441" i="24" s="1"/>
  <c r="A442" i="24"/>
  <c r="T441" i="24"/>
  <c r="U441" i="24" s="1"/>
  <c r="H441" i="24"/>
  <c r="I441" i="24" s="1"/>
  <c r="B441" i="24"/>
  <c r="C441" i="24" s="1"/>
  <c r="V441" i="24"/>
  <c r="W441" i="24" s="1"/>
  <c r="J253" i="37"/>
  <c r="I253" i="37"/>
  <c r="D253" i="37"/>
  <c r="C253" i="37"/>
  <c r="O252" i="37"/>
  <c r="P252" i="37"/>
  <c r="S252" i="37"/>
  <c r="R252" i="37"/>
  <c r="M253" i="37"/>
  <c r="L253" i="37"/>
  <c r="G253" i="37"/>
  <c r="F253" i="37"/>
  <c r="T442" i="24" l="1"/>
  <c r="U442" i="24" s="1"/>
  <c r="P442" i="24"/>
  <c r="Q442" i="24" s="1"/>
  <c r="A443" i="24"/>
  <c r="N442" i="24"/>
  <c r="O442" i="24" s="1"/>
  <c r="B442" i="24"/>
  <c r="C442" i="24" s="1"/>
  <c r="V442" i="24"/>
  <c r="W442" i="24" s="1"/>
  <c r="L442" i="24"/>
  <c r="M442" i="24" s="1"/>
  <c r="H442" i="24"/>
  <c r="I442" i="24" s="1"/>
  <c r="R442" i="24"/>
  <c r="S442" i="24" s="1"/>
  <c r="F442" i="24"/>
  <c r="G442" i="24" s="1"/>
  <c r="D442" i="24"/>
  <c r="E442" i="24" s="1"/>
  <c r="J442" i="24"/>
  <c r="K442" i="24" s="1"/>
  <c r="J254" i="37"/>
  <c r="I254" i="37"/>
  <c r="C254" i="37"/>
  <c r="D254" i="37"/>
  <c r="P253" i="37"/>
  <c r="O253" i="37"/>
  <c r="L254" i="37"/>
  <c r="M254" i="37"/>
  <c r="S253" i="37"/>
  <c r="R253" i="37"/>
  <c r="G254" i="37"/>
  <c r="F254" i="37"/>
  <c r="H443" i="24" l="1"/>
  <c r="I443" i="24" s="1"/>
  <c r="N443" i="24"/>
  <c r="O443" i="24" s="1"/>
  <c r="J443" i="24"/>
  <c r="K443" i="24" s="1"/>
  <c r="D443" i="24"/>
  <c r="E443" i="24" s="1"/>
  <c r="R443" i="24"/>
  <c r="S443" i="24" s="1"/>
  <c r="L443" i="24"/>
  <c r="M443" i="24" s="1"/>
  <c r="P443" i="24"/>
  <c r="Q443" i="24" s="1"/>
  <c r="V443" i="24"/>
  <c r="W443" i="24" s="1"/>
  <c r="B443" i="24"/>
  <c r="C443" i="24" s="1"/>
  <c r="T443" i="24"/>
  <c r="U443" i="24" s="1"/>
  <c r="A444" i="24"/>
  <c r="F443" i="24"/>
  <c r="G443" i="24" s="1"/>
  <c r="I255" i="37"/>
  <c r="J255" i="37"/>
  <c r="C255" i="37"/>
  <c r="D255" i="37"/>
  <c r="P254" i="37"/>
  <c r="O254" i="37"/>
  <c r="L255" i="37"/>
  <c r="M255" i="37"/>
  <c r="S254" i="37"/>
  <c r="R254" i="37"/>
  <c r="G255" i="37"/>
  <c r="F255" i="37"/>
  <c r="N444" i="24" l="1"/>
  <c r="O444" i="24" s="1"/>
  <c r="L444" i="24"/>
  <c r="M444" i="24" s="1"/>
  <c r="T444" i="24"/>
  <c r="U444" i="24" s="1"/>
  <c r="P444" i="24"/>
  <c r="Q444" i="24" s="1"/>
  <c r="H444" i="24"/>
  <c r="I444" i="24" s="1"/>
  <c r="D444" i="24"/>
  <c r="E444" i="24" s="1"/>
  <c r="J444" i="24"/>
  <c r="K444" i="24" s="1"/>
  <c r="R444" i="24"/>
  <c r="S444" i="24" s="1"/>
  <c r="A445" i="24"/>
  <c r="B444" i="24"/>
  <c r="C444" i="24" s="1"/>
  <c r="F444" i="24"/>
  <c r="G444" i="24" s="1"/>
  <c r="V444" i="24"/>
  <c r="W444" i="24" s="1"/>
  <c r="I256" i="37"/>
  <c r="J256" i="37"/>
  <c r="C256" i="37"/>
  <c r="D256" i="37"/>
  <c r="O255" i="37"/>
  <c r="P255" i="37"/>
  <c r="G256" i="37"/>
  <c r="F256" i="37"/>
  <c r="R255" i="37"/>
  <c r="S255" i="37"/>
  <c r="M256" i="37"/>
  <c r="L256" i="37"/>
  <c r="A446" i="24" l="1"/>
  <c r="V445" i="24"/>
  <c r="W445" i="24" s="1"/>
  <c r="B445" i="24"/>
  <c r="C445" i="24" s="1"/>
  <c r="N445" i="24"/>
  <c r="O445" i="24" s="1"/>
  <c r="D445" i="24"/>
  <c r="E445" i="24" s="1"/>
  <c r="F445" i="24"/>
  <c r="G445" i="24" s="1"/>
  <c r="H445" i="24"/>
  <c r="I445" i="24" s="1"/>
  <c r="J445" i="24"/>
  <c r="K445" i="24" s="1"/>
  <c r="L445" i="24"/>
  <c r="M445" i="24" s="1"/>
  <c r="P445" i="24"/>
  <c r="Q445" i="24" s="1"/>
  <c r="T445" i="24"/>
  <c r="U445" i="24" s="1"/>
  <c r="R445" i="24"/>
  <c r="S445" i="24" s="1"/>
  <c r="I257" i="37"/>
  <c r="J257" i="37"/>
  <c r="C257" i="37"/>
  <c r="D257" i="37"/>
  <c r="P256" i="37"/>
  <c r="O256" i="37"/>
  <c r="S256" i="37"/>
  <c r="R256" i="37"/>
  <c r="L257" i="37"/>
  <c r="M257" i="37"/>
  <c r="G257" i="37"/>
  <c r="F257" i="37"/>
  <c r="J446" i="24" l="1"/>
  <c r="K446" i="24" s="1"/>
  <c r="L446" i="24"/>
  <c r="M446" i="24" s="1"/>
  <c r="P446" i="24"/>
  <c r="Q446" i="24" s="1"/>
  <c r="D446" i="24"/>
  <c r="E446" i="24" s="1"/>
  <c r="H446" i="24"/>
  <c r="I446" i="24" s="1"/>
  <c r="R446" i="24"/>
  <c r="S446" i="24" s="1"/>
  <c r="N446" i="24"/>
  <c r="O446" i="24" s="1"/>
  <c r="A447" i="24"/>
  <c r="B446" i="24"/>
  <c r="C446" i="24" s="1"/>
  <c r="T446" i="24"/>
  <c r="U446" i="24" s="1"/>
  <c r="V446" i="24"/>
  <c r="W446" i="24" s="1"/>
  <c r="F446" i="24"/>
  <c r="G446" i="24" s="1"/>
  <c r="I258" i="37"/>
  <c r="J258" i="37"/>
  <c r="D258" i="37"/>
  <c r="C258" i="37"/>
  <c r="O257" i="37"/>
  <c r="P257" i="37"/>
  <c r="S257" i="37"/>
  <c r="R257" i="37"/>
  <c r="F258" i="37"/>
  <c r="G258" i="37"/>
  <c r="M258" i="37"/>
  <c r="L258" i="37"/>
  <c r="A448" i="24" l="1"/>
  <c r="V447" i="24"/>
  <c r="W447" i="24" s="1"/>
  <c r="B447" i="24"/>
  <c r="C447" i="24" s="1"/>
  <c r="N447" i="24"/>
  <c r="O447" i="24" s="1"/>
  <c r="D447" i="24"/>
  <c r="E447" i="24" s="1"/>
  <c r="F447" i="24"/>
  <c r="G447" i="24" s="1"/>
  <c r="J447" i="24"/>
  <c r="K447" i="24" s="1"/>
  <c r="L447" i="24"/>
  <c r="M447" i="24" s="1"/>
  <c r="P447" i="24"/>
  <c r="Q447" i="24" s="1"/>
  <c r="R447" i="24"/>
  <c r="S447" i="24" s="1"/>
  <c r="T447" i="24"/>
  <c r="U447" i="24" s="1"/>
  <c r="H447" i="24"/>
  <c r="I447" i="24" s="1"/>
  <c r="J259" i="37"/>
  <c r="I259" i="37"/>
  <c r="D259" i="37"/>
  <c r="C259" i="37"/>
  <c r="O258" i="37"/>
  <c r="P258" i="37"/>
  <c r="S258" i="37"/>
  <c r="R258" i="37"/>
  <c r="M259" i="37"/>
  <c r="L259" i="37"/>
  <c r="G259" i="37"/>
  <c r="F259" i="37"/>
  <c r="H448" i="24" l="1"/>
  <c r="I448" i="24" s="1"/>
  <c r="J448" i="24"/>
  <c r="K448" i="24" s="1"/>
  <c r="L448" i="24"/>
  <c r="M448" i="24" s="1"/>
  <c r="D448" i="24"/>
  <c r="E448" i="24" s="1"/>
  <c r="P448" i="24"/>
  <c r="Q448" i="24" s="1"/>
  <c r="R448" i="24"/>
  <c r="S448" i="24" s="1"/>
  <c r="N448" i="24"/>
  <c r="O448" i="24" s="1"/>
  <c r="A449" i="24"/>
  <c r="T448" i="24"/>
  <c r="U448" i="24" s="1"/>
  <c r="B448" i="24"/>
  <c r="C448" i="24" s="1"/>
  <c r="F448" i="24"/>
  <c r="G448" i="24" s="1"/>
  <c r="V448" i="24"/>
  <c r="W448" i="24" s="1"/>
  <c r="I260" i="37"/>
  <c r="J260" i="37"/>
  <c r="C260" i="37"/>
  <c r="D260" i="37"/>
  <c r="O259" i="37"/>
  <c r="P259" i="37"/>
  <c r="R259" i="37"/>
  <c r="S259" i="37"/>
  <c r="L260" i="37"/>
  <c r="M260" i="37"/>
  <c r="F260" i="37"/>
  <c r="G260" i="37"/>
  <c r="T449" i="24" l="1"/>
  <c r="U449" i="24" s="1"/>
  <c r="N449" i="24"/>
  <c r="O449" i="24" s="1"/>
  <c r="A450" i="24"/>
  <c r="P449" i="24"/>
  <c r="Q449" i="24" s="1"/>
  <c r="B449" i="24"/>
  <c r="C449" i="24" s="1"/>
  <c r="V449" i="24"/>
  <c r="W449" i="24" s="1"/>
  <c r="J449" i="24"/>
  <c r="K449" i="24" s="1"/>
  <c r="L449" i="24"/>
  <c r="M449" i="24" s="1"/>
  <c r="R449" i="24"/>
  <c r="S449" i="24" s="1"/>
  <c r="F449" i="24"/>
  <c r="G449" i="24" s="1"/>
  <c r="D449" i="24"/>
  <c r="E449" i="24" s="1"/>
  <c r="H449" i="24"/>
  <c r="I449" i="24" s="1"/>
  <c r="I261" i="37"/>
  <c r="J261" i="37"/>
  <c r="D261" i="37"/>
  <c r="C261" i="37"/>
  <c r="P260" i="37"/>
  <c r="O260" i="37"/>
  <c r="L261" i="37"/>
  <c r="M261" i="37"/>
  <c r="S260" i="37"/>
  <c r="R260" i="37"/>
  <c r="G261" i="37"/>
  <c r="F261" i="37"/>
  <c r="H450" i="24" l="1"/>
  <c r="I450" i="24" s="1"/>
  <c r="F450" i="24"/>
  <c r="G450" i="24" s="1"/>
  <c r="D450" i="24"/>
  <c r="E450" i="24" s="1"/>
  <c r="J450" i="24"/>
  <c r="K450" i="24" s="1"/>
  <c r="L450" i="24"/>
  <c r="M450" i="24" s="1"/>
  <c r="R450" i="24"/>
  <c r="S450" i="24" s="1"/>
  <c r="P450" i="24"/>
  <c r="Q450" i="24" s="1"/>
  <c r="N450" i="24"/>
  <c r="O450" i="24" s="1"/>
  <c r="B450" i="24"/>
  <c r="C450" i="24" s="1"/>
  <c r="A451" i="24"/>
  <c r="V450" i="24"/>
  <c r="W450" i="24" s="1"/>
  <c r="T450" i="24"/>
  <c r="U450" i="24" s="1"/>
  <c r="J262" i="37"/>
  <c r="I262" i="37"/>
  <c r="C262" i="37"/>
  <c r="D262" i="37"/>
  <c r="P261" i="37"/>
  <c r="O261" i="37"/>
  <c r="G262" i="37"/>
  <c r="F262" i="37"/>
  <c r="R261" i="37"/>
  <c r="S261" i="37"/>
  <c r="M262" i="37"/>
  <c r="L262" i="37"/>
  <c r="V451" i="24" l="1"/>
  <c r="W451" i="24" s="1"/>
  <c r="F451" i="24"/>
  <c r="G451" i="24" s="1"/>
  <c r="T451" i="24"/>
  <c r="U451" i="24" s="1"/>
  <c r="L451" i="24"/>
  <c r="M451" i="24" s="1"/>
  <c r="J451" i="24"/>
  <c r="K451" i="24" s="1"/>
  <c r="H451" i="24"/>
  <c r="I451" i="24" s="1"/>
  <c r="R451" i="24"/>
  <c r="S451" i="24" s="1"/>
  <c r="P451" i="24"/>
  <c r="Q451" i="24" s="1"/>
  <c r="B451" i="24"/>
  <c r="C451" i="24" s="1"/>
  <c r="N451" i="24"/>
  <c r="O451" i="24" s="1"/>
  <c r="A452" i="24"/>
  <c r="D451" i="24"/>
  <c r="E451" i="24" s="1"/>
  <c r="I263" i="37"/>
  <c r="J263" i="37"/>
  <c r="D263" i="37"/>
  <c r="C263" i="37"/>
  <c r="O262" i="37"/>
  <c r="P262" i="37"/>
  <c r="S262" i="37"/>
  <c r="R262" i="37"/>
  <c r="M263" i="37"/>
  <c r="L263" i="37"/>
  <c r="F263" i="37"/>
  <c r="G263" i="37"/>
  <c r="B452" i="24" l="1"/>
  <c r="C452" i="24" s="1"/>
  <c r="R452" i="24"/>
  <c r="S452" i="24" s="1"/>
  <c r="A453" i="24"/>
  <c r="V452" i="24"/>
  <c r="W452" i="24" s="1"/>
  <c r="H452" i="24"/>
  <c r="I452" i="24" s="1"/>
  <c r="F452" i="24"/>
  <c r="G452" i="24" s="1"/>
  <c r="J452" i="24"/>
  <c r="K452" i="24" s="1"/>
  <c r="D452" i="24"/>
  <c r="E452" i="24" s="1"/>
  <c r="N452" i="24"/>
  <c r="O452" i="24" s="1"/>
  <c r="P452" i="24"/>
  <c r="Q452" i="24" s="1"/>
  <c r="L452" i="24"/>
  <c r="M452" i="24" s="1"/>
  <c r="T452" i="24"/>
  <c r="U452" i="24" s="1"/>
  <c r="J264" i="37"/>
  <c r="I264" i="37"/>
  <c r="D264" i="37"/>
  <c r="C264" i="37"/>
  <c r="P263" i="37"/>
  <c r="O263" i="37"/>
  <c r="G264" i="37"/>
  <c r="F264" i="37"/>
  <c r="M264" i="37"/>
  <c r="L264" i="37"/>
  <c r="R263" i="37"/>
  <c r="S263" i="37"/>
  <c r="H453" i="24" l="1"/>
  <c r="I453" i="24" s="1"/>
  <c r="J453" i="24"/>
  <c r="K453" i="24" s="1"/>
  <c r="P453" i="24"/>
  <c r="Q453" i="24" s="1"/>
  <c r="B453" i="24"/>
  <c r="C453" i="24" s="1"/>
  <c r="D453" i="24"/>
  <c r="E453" i="24" s="1"/>
  <c r="L453" i="24"/>
  <c r="M453" i="24" s="1"/>
  <c r="R453" i="24"/>
  <c r="S453" i="24" s="1"/>
  <c r="T453" i="24"/>
  <c r="U453" i="24" s="1"/>
  <c r="F453" i="24"/>
  <c r="G453" i="24" s="1"/>
  <c r="A454" i="24"/>
  <c r="V453" i="24"/>
  <c r="W453" i="24" s="1"/>
  <c r="N453" i="24"/>
  <c r="O453" i="24" s="1"/>
  <c r="I265" i="37"/>
  <c r="J265" i="37"/>
  <c r="D265" i="37"/>
  <c r="C265" i="37"/>
  <c r="P264" i="37"/>
  <c r="O264" i="37"/>
  <c r="L265" i="37"/>
  <c r="M265" i="37"/>
  <c r="G265" i="37"/>
  <c r="F265" i="37"/>
  <c r="R264" i="37"/>
  <c r="S264" i="37"/>
  <c r="T454" i="24" l="1"/>
  <c r="U454" i="24" s="1"/>
  <c r="R454" i="24"/>
  <c r="S454" i="24" s="1"/>
  <c r="A455" i="24"/>
  <c r="N454" i="24"/>
  <c r="O454" i="24" s="1"/>
  <c r="B454" i="24"/>
  <c r="C454" i="24" s="1"/>
  <c r="V454" i="24"/>
  <c r="W454" i="24" s="1"/>
  <c r="H454" i="24"/>
  <c r="I454" i="24" s="1"/>
  <c r="J454" i="24"/>
  <c r="K454" i="24" s="1"/>
  <c r="L454" i="24"/>
  <c r="M454" i="24" s="1"/>
  <c r="P454" i="24"/>
  <c r="Q454" i="24" s="1"/>
  <c r="D454" i="24"/>
  <c r="E454" i="24" s="1"/>
  <c r="F454" i="24"/>
  <c r="G454" i="24" s="1"/>
  <c r="J266" i="37"/>
  <c r="I266" i="37"/>
  <c r="C266" i="37"/>
  <c r="D266" i="37"/>
  <c r="P265" i="37"/>
  <c r="O265" i="37"/>
  <c r="S265" i="37"/>
  <c r="R265" i="37"/>
  <c r="F266" i="37"/>
  <c r="G266" i="37"/>
  <c r="L266" i="37"/>
  <c r="M266" i="37"/>
  <c r="H455" i="24" l="1"/>
  <c r="I455" i="24" s="1"/>
  <c r="J455" i="24"/>
  <c r="K455" i="24" s="1"/>
  <c r="L455" i="24"/>
  <c r="M455" i="24" s="1"/>
  <c r="D455" i="24"/>
  <c r="E455" i="24" s="1"/>
  <c r="P455" i="24"/>
  <c r="Q455" i="24" s="1"/>
  <c r="R455" i="24"/>
  <c r="S455" i="24" s="1"/>
  <c r="V455" i="24"/>
  <c r="W455" i="24" s="1"/>
  <c r="A456" i="24"/>
  <c r="B455" i="24"/>
  <c r="C455" i="24" s="1"/>
  <c r="N455" i="24"/>
  <c r="O455" i="24" s="1"/>
  <c r="F455" i="24"/>
  <c r="G455" i="24" s="1"/>
  <c r="T455" i="24"/>
  <c r="U455" i="24" s="1"/>
  <c r="I267" i="37"/>
  <c r="J267" i="37"/>
  <c r="C267" i="37"/>
  <c r="D267" i="37"/>
  <c r="P266" i="37"/>
  <c r="O266" i="37"/>
  <c r="L267" i="37"/>
  <c r="M267" i="37"/>
  <c r="R266" i="37"/>
  <c r="S266" i="37"/>
  <c r="F267" i="37"/>
  <c r="G267" i="37"/>
  <c r="P456" i="24" l="1"/>
  <c r="Q456" i="24" s="1"/>
  <c r="T456" i="24"/>
  <c r="U456" i="24" s="1"/>
  <c r="R456" i="24"/>
  <c r="S456" i="24" s="1"/>
  <c r="A457" i="24"/>
  <c r="N456" i="24"/>
  <c r="O456" i="24" s="1"/>
  <c r="D456" i="24"/>
  <c r="E456" i="24" s="1"/>
  <c r="H456" i="24"/>
  <c r="I456" i="24" s="1"/>
  <c r="J456" i="24"/>
  <c r="K456" i="24" s="1"/>
  <c r="L456" i="24"/>
  <c r="M456" i="24" s="1"/>
  <c r="B456" i="24"/>
  <c r="C456" i="24" s="1"/>
  <c r="F456" i="24"/>
  <c r="G456" i="24" s="1"/>
  <c r="V456" i="24"/>
  <c r="W456" i="24" s="1"/>
  <c r="I268" i="37"/>
  <c r="J268" i="37"/>
  <c r="C268" i="37"/>
  <c r="D268" i="37"/>
  <c r="O267" i="37"/>
  <c r="P267" i="37"/>
  <c r="F268" i="37"/>
  <c r="G268" i="37"/>
  <c r="S267" i="37"/>
  <c r="R267" i="37"/>
  <c r="L268" i="37"/>
  <c r="M268" i="37"/>
  <c r="B457" i="24" l="1"/>
  <c r="C457" i="24" s="1"/>
  <c r="F457" i="24"/>
  <c r="G457" i="24" s="1"/>
  <c r="D457" i="24"/>
  <c r="E457" i="24" s="1"/>
  <c r="V457" i="24"/>
  <c r="W457" i="24" s="1"/>
  <c r="H457" i="24"/>
  <c r="I457" i="24" s="1"/>
  <c r="A458" i="24"/>
  <c r="J457" i="24"/>
  <c r="K457" i="24" s="1"/>
  <c r="L457" i="24"/>
  <c r="M457" i="24" s="1"/>
  <c r="R457" i="24"/>
  <c r="S457" i="24" s="1"/>
  <c r="T457" i="24"/>
  <c r="U457" i="24" s="1"/>
  <c r="N457" i="24"/>
  <c r="O457" i="24" s="1"/>
  <c r="P457" i="24"/>
  <c r="Q457" i="24" s="1"/>
  <c r="I269" i="37"/>
  <c r="J269" i="37"/>
  <c r="C269" i="37"/>
  <c r="D269" i="37"/>
  <c r="O268" i="37"/>
  <c r="P268" i="37"/>
  <c r="S268" i="37"/>
  <c r="R268" i="37"/>
  <c r="M269" i="37"/>
  <c r="L269" i="37"/>
  <c r="F269" i="37"/>
  <c r="G269" i="37"/>
  <c r="J458" i="24" l="1"/>
  <c r="K458" i="24" s="1"/>
  <c r="L458" i="24"/>
  <c r="M458" i="24" s="1"/>
  <c r="R458" i="24"/>
  <c r="S458" i="24" s="1"/>
  <c r="A459" i="24"/>
  <c r="B458" i="24"/>
  <c r="C458" i="24" s="1"/>
  <c r="D458" i="24"/>
  <c r="E458" i="24" s="1"/>
  <c r="H458" i="24"/>
  <c r="I458" i="24" s="1"/>
  <c r="V458" i="24"/>
  <c r="W458" i="24" s="1"/>
  <c r="T458" i="24"/>
  <c r="U458" i="24" s="1"/>
  <c r="P458" i="24"/>
  <c r="Q458" i="24" s="1"/>
  <c r="N458" i="24"/>
  <c r="O458" i="24" s="1"/>
  <c r="F458" i="24"/>
  <c r="G458" i="24" s="1"/>
  <c r="I270" i="37"/>
  <c r="J270" i="37"/>
  <c r="D270" i="37"/>
  <c r="C270" i="37"/>
  <c r="P269" i="37"/>
  <c r="O269" i="37"/>
  <c r="L270" i="37"/>
  <c r="M270" i="37"/>
  <c r="R269" i="37"/>
  <c r="S269" i="37"/>
  <c r="G270" i="37"/>
  <c r="F270" i="37"/>
  <c r="A460" i="24" l="1"/>
  <c r="V459" i="24"/>
  <c r="W459" i="24" s="1"/>
  <c r="B459" i="24"/>
  <c r="C459" i="24" s="1"/>
  <c r="P459" i="24"/>
  <c r="Q459" i="24" s="1"/>
  <c r="T459" i="24"/>
  <c r="U459" i="24" s="1"/>
  <c r="F459" i="24"/>
  <c r="G459" i="24" s="1"/>
  <c r="H459" i="24"/>
  <c r="I459" i="24" s="1"/>
  <c r="D459" i="24"/>
  <c r="E459" i="24" s="1"/>
  <c r="J459" i="24"/>
  <c r="K459" i="24" s="1"/>
  <c r="N459" i="24"/>
  <c r="O459" i="24" s="1"/>
  <c r="R459" i="24"/>
  <c r="S459" i="24" s="1"/>
  <c r="L459" i="24"/>
  <c r="M459" i="24" s="1"/>
  <c r="J271" i="37"/>
  <c r="I271" i="37"/>
  <c r="D271" i="37"/>
  <c r="C271" i="37"/>
  <c r="P270" i="37"/>
  <c r="O270" i="37"/>
  <c r="G271" i="37"/>
  <c r="F271" i="37"/>
  <c r="R270" i="37"/>
  <c r="S270" i="37"/>
  <c r="L271" i="37"/>
  <c r="M271" i="37"/>
  <c r="H460" i="24" l="1"/>
  <c r="I460" i="24" s="1"/>
  <c r="F460" i="24"/>
  <c r="G460" i="24" s="1"/>
  <c r="D460" i="24"/>
  <c r="E460" i="24" s="1"/>
  <c r="J460" i="24"/>
  <c r="K460" i="24" s="1"/>
  <c r="T460" i="24"/>
  <c r="U460" i="24" s="1"/>
  <c r="A461" i="24"/>
  <c r="B460" i="24"/>
  <c r="C460" i="24" s="1"/>
  <c r="N460" i="24"/>
  <c r="O460" i="24" s="1"/>
  <c r="R460" i="24"/>
  <c r="S460" i="24" s="1"/>
  <c r="L460" i="24"/>
  <c r="M460" i="24" s="1"/>
  <c r="P460" i="24"/>
  <c r="Q460" i="24" s="1"/>
  <c r="V460" i="24"/>
  <c r="W460" i="24" s="1"/>
  <c r="J272" i="37"/>
  <c r="I272" i="37"/>
  <c r="D272" i="37"/>
  <c r="C272" i="37"/>
  <c r="O271" i="37"/>
  <c r="P271" i="37"/>
  <c r="S271" i="37"/>
  <c r="R271" i="37"/>
  <c r="M272" i="37"/>
  <c r="L272" i="37"/>
  <c r="G272" i="37"/>
  <c r="F272" i="37"/>
  <c r="P461" i="24" l="1"/>
  <c r="Q461" i="24" s="1"/>
  <c r="J461" i="24"/>
  <c r="K461" i="24" s="1"/>
  <c r="T461" i="24"/>
  <c r="U461" i="24" s="1"/>
  <c r="R461" i="24"/>
  <c r="S461" i="24" s="1"/>
  <c r="F461" i="24"/>
  <c r="G461" i="24" s="1"/>
  <c r="B461" i="24"/>
  <c r="C461" i="24" s="1"/>
  <c r="A462" i="24"/>
  <c r="D461" i="24"/>
  <c r="E461" i="24" s="1"/>
  <c r="V461" i="24"/>
  <c r="W461" i="24" s="1"/>
  <c r="H461" i="24"/>
  <c r="I461" i="24" s="1"/>
  <c r="L461" i="24"/>
  <c r="M461" i="24" s="1"/>
  <c r="N461" i="24"/>
  <c r="O461" i="24" s="1"/>
  <c r="I273" i="37"/>
  <c r="J273" i="37"/>
  <c r="D273" i="37"/>
  <c r="C273" i="37"/>
  <c r="O272" i="37"/>
  <c r="P272" i="37"/>
  <c r="S272" i="37"/>
  <c r="R272" i="37"/>
  <c r="L273" i="37"/>
  <c r="M273" i="37"/>
  <c r="F273" i="37"/>
  <c r="G273" i="37"/>
  <c r="B462" i="24" l="1"/>
  <c r="C462" i="24" s="1"/>
  <c r="V462" i="24"/>
  <c r="W462" i="24" s="1"/>
  <c r="D462" i="24"/>
  <c r="E462" i="24" s="1"/>
  <c r="F462" i="24"/>
  <c r="G462" i="24" s="1"/>
  <c r="H462" i="24"/>
  <c r="I462" i="24" s="1"/>
  <c r="T462" i="24"/>
  <c r="U462" i="24" s="1"/>
  <c r="A463" i="24"/>
  <c r="J462" i="24"/>
  <c r="K462" i="24" s="1"/>
  <c r="R462" i="24"/>
  <c r="S462" i="24" s="1"/>
  <c r="P462" i="24"/>
  <c r="Q462" i="24" s="1"/>
  <c r="L462" i="24"/>
  <c r="M462" i="24" s="1"/>
  <c r="N462" i="24"/>
  <c r="O462" i="24" s="1"/>
  <c r="J274" i="37"/>
  <c r="I274" i="37"/>
  <c r="D274" i="37"/>
  <c r="C274" i="37"/>
  <c r="O273" i="37"/>
  <c r="P273" i="37"/>
  <c r="S273" i="37"/>
  <c r="R273" i="37"/>
  <c r="F274" i="37"/>
  <c r="G274" i="37"/>
  <c r="L274" i="37"/>
  <c r="M274" i="37"/>
  <c r="P463" i="24" l="1"/>
  <c r="Q463" i="24" s="1"/>
  <c r="R463" i="24"/>
  <c r="S463" i="24" s="1"/>
  <c r="T463" i="24"/>
  <c r="U463" i="24" s="1"/>
  <c r="J463" i="24"/>
  <c r="K463" i="24" s="1"/>
  <c r="A464" i="24"/>
  <c r="B463" i="24"/>
  <c r="C463" i="24" s="1"/>
  <c r="D463" i="24"/>
  <c r="E463" i="24" s="1"/>
  <c r="H463" i="24"/>
  <c r="I463" i="24" s="1"/>
  <c r="N463" i="24"/>
  <c r="O463" i="24" s="1"/>
  <c r="F463" i="24"/>
  <c r="G463" i="24" s="1"/>
  <c r="V463" i="24"/>
  <c r="W463" i="24" s="1"/>
  <c r="L463" i="24"/>
  <c r="M463" i="24" s="1"/>
  <c r="I275" i="37"/>
  <c r="J275" i="37"/>
  <c r="C275" i="37"/>
  <c r="D275" i="37"/>
  <c r="P274" i="37"/>
  <c r="O274" i="37"/>
  <c r="R274" i="37"/>
  <c r="S274" i="37"/>
  <c r="M275" i="37"/>
  <c r="L275" i="37"/>
  <c r="G275" i="37"/>
  <c r="F275" i="37"/>
  <c r="A465" i="24" l="1"/>
  <c r="N464" i="24"/>
  <c r="O464" i="24" s="1"/>
  <c r="B464" i="24"/>
  <c r="C464" i="24" s="1"/>
  <c r="V464" i="24"/>
  <c r="W464" i="24" s="1"/>
  <c r="D464" i="24"/>
  <c r="E464" i="24" s="1"/>
  <c r="F464" i="24"/>
  <c r="G464" i="24" s="1"/>
  <c r="T464" i="24"/>
  <c r="U464" i="24" s="1"/>
  <c r="H464" i="24"/>
  <c r="I464" i="24" s="1"/>
  <c r="J464" i="24"/>
  <c r="K464" i="24" s="1"/>
  <c r="R464" i="24"/>
  <c r="S464" i="24" s="1"/>
  <c r="L464" i="24"/>
  <c r="M464" i="24" s="1"/>
  <c r="P464" i="24"/>
  <c r="Q464" i="24" s="1"/>
  <c r="I276" i="37"/>
  <c r="J276" i="37"/>
  <c r="C276" i="37"/>
  <c r="D276" i="37"/>
  <c r="O275" i="37"/>
  <c r="P275" i="37"/>
  <c r="F276" i="37"/>
  <c r="G276" i="37"/>
  <c r="L276" i="37"/>
  <c r="M276" i="37"/>
  <c r="S275" i="37"/>
  <c r="R275" i="37"/>
  <c r="J465" i="24" l="1"/>
  <c r="K465" i="24" s="1"/>
  <c r="L465" i="24"/>
  <c r="M465" i="24" s="1"/>
  <c r="R465" i="24"/>
  <c r="S465" i="24" s="1"/>
  <c r="A466" i="24"/>
  <c r="B465" i="24"/>
  <c r="C465" i="24" s="1"/>
  <c r="D465" i="24"/>
  <c r="E465" i="24" s="1"/>
  <c r="H465" i="24"/>
  <c r="I465" i="24" s="1"/>
  <c r="F465" i="24"/>
  <c r="G465" i="24" s="1"/>
  <c r="T465" i="24"/>
  <c r="U465" i="24" s="1"/>
  <c r="N465" i="24"/>
  <c r="O465" i="24" s="1"/>
  <c r="P465" i="24"/>
  <c r="Q465" i="24" s="1"/>
  <c r="V465" i="24"/>
  <c r="W465" i="24" s="1"/>
  <c r="I277" i="37"/>
  <c r="J277" i="37"/>
  <c r="D277" i="37"/>
  <c r="C277" i="37"/>
  <c r="P276" i="37"/>
  <c r="O276" i="37"/>
  <c r="L277" i="37"/>
  <c r="M277" i="37"/>
  <c r="R276" i="37"/>
  <c r="S276" i="37"/>
  <c r="G277" i="37"/>
  <c r="F277" i="37"/>
  <c r="A467" i="24" l="1"/>
  <c r="P466" i="24"/>
  <c r="Q466" i="24" s="1"/>
  <c r="T466" i="24"/>
  <c r="U466" i="24" s="1"/>
  <c r="N466" i="24"/>
  <c r="O466" i="24" s="1"/>
  <c r="B466" i="24"/>
  <c r="C466" i="24" s="1"/>
  <c r="V466" i="24"/>
  <c r="W466" i="24" s="1"/>
  <c r="D466" i="24"/>
  <c r="E466" i="24" s="1"/>
  <c r="H466" i="24"/>
  <c r="I466" i="24" s="1"/>
  <c r="J466" i="24"/>
  <c r="K466" i="24" s="1"/>
  <c r="F466" i="24"/>
  <c r="G466" i="24" s="1"/>
  <c r="L466" i="24"/>
  <c r="M466" i="24" s="1"/>
  <c r="R466" i="24"/>
  <c r="S466" i="24" s="1"/>
  <c r="I278" i="37"/>
  <c r="J278" i="37"/>
  <c r="C278" i="37"/>
  <c r="D278" i="37"/>
  <c r="O277" i="37"/>
  <c r="P277" i="37"/>
  <c r="G278" i="37"/>
  <c r="F278" i="37"/>
  <c r="R277" i="37"/>
  <c r="S277" i="37"/>
  <c r="M278" i="37"/>
  <c r="L278" i="37"/>
  <c r="D467" i="24" l="1"/>
  <c r="E467" i="24" s="1"/>
  <c r="F467" i="24"/>
  <c r="G467" i="24" s="1"/>
  <c r="J467" i="24"/>
  <c r="K467" i="24" s="1"/>
  <c r="H467" i="24"/>
  <c r="I467" i="24" s="1"/>
  <c r="T467" i="24"/>
  <c r="U467" i="24" s="1"/>
  <c r="B467" i="24"/>
  <c r="C467" i="24" s="1"/>
  <c r="A468" i="24"/>
  <c r="R467" i="24"/>
  <c r="S467" i="24" s="1"/>
  <c r="P467" i="24"/>
  <c r="Q467" i="24" s="1"/>
  <c r="L467" i="24"/>
  <c r="M467" i="24" s="1"/>
  <c r="V467" i="24"/>
  <c r="W467" i="24" s="1"/>
  <c r="N467" i="24"/>
  <c r="O467" i="24" s="1"/>
  <c r="I279" i="37"/>
  <c r="J279" i="37"/>
  <c r="D279" i="37"/>
  <c r="C279" i="37"/>
  <c r="P278" i="37"/>
  <c r="O278" i="37"/>
  <c r="S278" i="37"/>
  <c r="R278" i="37"/>
  <c r="G279" i="37"/>
  <c r="F279" i="37"/>
  <c r="L279" i="37"/>
  <c r="M279" i="37"/>
  <c r="L468" i="24" l="1"/>
  <c r="M468" i="24" s="1"/>
  <c r="N468" i="24"/>
  <c r="O468" i="24" s="1"/>
  <c r="T468" i="24"/>
  <c r="U468" i="24" s="1"/>
  <c r="P468" i="24"/>
  <c r="Q468" i="24" s="1"/>
  <c r="F468" i="24"/>
  <c r="G468" i="24" s="1"/>
  <c r="A469" i="24"/>
  <c r="H468" i="24"/>
  <c r="I468" i="24" s="1"/>
  <c r="B468" i="24"/>
  <c r="C468" i="24" s="1"/>
  <c r="R468" i="24"/>
  <c r="S468" i="24" s="1"/>
  <c r="J468" i="24"/>
  <c r="K468" i="24" s="1"/>
  <c r="D468" i="24"/>
  <c r="E468" i="24" s="1"/>
  <c r="V468" i="24"/>
  <c r="W468" i="24" s="1"/>
  <c r="J280" i="37"/>
  <c r="I280" i="37"/>
  <c r="C280" i="37"/>
  <c r="D280" i="37"/>
  <c r="O279" i="37"/>
  <c r="P279" i="37"/>
  <c r="G280" i="37"/>
  <c r="F280" i="37"/>
  <c r="R279" i="37"/>
  <c r="S279" i="37"/>
  <c r="M280" i="37"/>
  <c r="L280" i="37"/>
  <c r="A470" i="24" l="1"/>
  <c r="N469" i="24"/>
  <c r="O469" i="24" s="1"/>
  <c r="B469" i="24"/>
  <c r="C469" i="24" s="1"/>
  <c r="V469" i="24"/>
  <c r="W469" i="24" s="1"/>
  <c r="H469" i="24"/>
  <c r="I469" i="24" s="1"/>
  <c r="F469" i="24"/>
  <c r="G469" i="24" s="1"/>
  <c r="T469" i="24"/>
  <c r="U469" i="24" s="1"/>
  <c r="D469" i="24"/>
  <c r="E469" i="24" s="1"/>
  <c r="R469" i="24"/>
  <c r="S469" i="24" s="1"/>
  <c r="P469" i="24"/>
  <c r="Q469" i="24" s="1"/>
  <c r="J469" i="24"/>
  <c r="K469" i="24" s="1"/>
  <c r="L469" i="24"/>
  <c r="M469" i="24" s="1"/>
  <c r="I281" i="37"/>
  <c r="J281" i="37"/>
  <c r="C281" i="37"/>
  <c r="D281" i="37"/>
  <c r="O280" i="37"/>
  <c r="P280" i="37"/>
  <c r="L281" i="37"/>
  <c r="M281" i="37"/>
  <c r="R280" i="37"/>
  <c r="S280" i="37"/>
  <c r="G281" i="37"/>
  <c r="F281" i="37"/>
  <c r="D470" i="24" l="1"/>
  <c r="E470" i="24" s="1"/>
  <c r="L470" i="24"/>
  <c r="M470" i="24" s="1"/>
  <c r="P470" i="24"/>
  <c r="Q470" i="24" s="1"/>
  <c r="T470" i="24"/>
  <c r="U470" i="24" s="1"/>
  <c r="F470" i="24"/>
  <c r="G470" i="24" s="1"/>
  <c r="A471" i="24"/>
  <c r="B470" i="24"/>
  <c r="C470" i="24" s="1"/>
  <c r="H470" i="24"/>
  <c r="I470" i="24" s="1"/>
  <c r="N470" i="24"/>
  <c r="O470" i="24" s="1"/>
  <c r="R470" i="24"/>
  <c r="S470" i="24" s="1"/>
  <c r="V470" i="24"/>
  <c r="W470" i="24" s="1"/>
  <c r="J470" i="24"/>
  <c r="K470" i="24" s="1"/>
  <c r="J282" i="37"/>
  <c r="I282" i="37"/>
  <c r="D282" i="37"/>
  <c r="C282" i="37"/>
  <c r="O281" i="37"/>
  <c r="P281" i="37"/>
  <c r="L282" i="37"/>
  <c r="M282" i="37"/>
  <c r="S281" i="37"/>
  <c r="R281" i="37"/>
  <c r="F282" i="37"/>
  <c r="G282" i="37"/>
  <c r="B471" i="24" l="1"/>
  <c r="C471" i="24" s="1"/>
  <c r="V471" i="24"/>
  <c r="W471" i="24" s="1"/>
  <c r="A472" i="24"/>
  <c r="N471" i="24"/>
  <c r="O471" i="24" s="1"/>
  <c r="D471" i="24"/>
  <c r="E471" i="24" s="1"/>
  <c r="F471" i="24"/>
  <c r="G471" i="24" s="1"/>
  <c r="T471" i="24"/>
  <c r="U471" i="24" s="1"/>
  <c r="H471" i="24"/>
  <c r="I471" i="24" s="1"/>
  <c r="L471" i="24"/>
  <c r="M471" i="24" s="1"/>
  <c r="R471" i="24"/>
  <c r="S471" i="24" s="1"/>
  <c r="J471" i="24"/>
  <c r="K471" i="24" s="1"/>
  <c r="P471" i="24"/>
  <c r="Q471" i="24" s="1"/>
  <c r="J283" i="37"/>
  <c r="I283" i="37"/>
  <c r="C283" i="37"/>
  <c r="D283" i="37"/>
  <c r="P282" i="37"/>
  <c r="O282" i="37"/>
  <c r="S282" i="37"/>
  <c r="R282" i="37"/>
  <c r="G283" i="37"/>
  <c r="F283" i="37"/>
  <c r="L283" i="37"/>
  <c r="M283" i="37"/>
  <c r="H472" i="24" l="1"/>
  <c r="I472" i="24" s="1"/>
  <c r="J472" i="24"/>
  <c r="K472" i="24" s="1"/>
  <c r="L472" i="24"/>
  <c r="M472" i="24" s="1"/>
  <c r="T472" i="24"/>
  <c r="U472" i="24" s="1"/>
  <c r="F472" i="24"/>
  <c r="G472" i="24" s="1"/>
  <c r="A473" i="24"/>
  <c r="B472" i="24"/>
  <c r="C472" i="24" s="1"/>
  <c r="D472" i="24"/>
  <c r="E472" i="24" s="1"/>
  <c r="N472" i="24"/>
  <c r="O472" i="24" s="1"/>
  <c r="P472" i="24"/>
  <c r="Q472" i="24" s="1"/>
  <c r="R472" i="24"/>
  <c r="S472" i="24" s="1"/>
  <c r="V472" i="24"/>
  <c r="W472" i="24" s="1"/>
  <c r="I284" i="37"/>
  <c r="J284" i="37"/>
  <c r="C284" i="37"/>
  <c r="D284" i="37"/>
  <c r="P283" i="37"/>
  <c r="O283" i="37"/>
  <c r="R283" i="37"/>
  <c r="S283" i="37"/>
  <c r="M284" i="37"/>
  <c r="L284" i="37"/>
  <c r="F284" i="37"/>
  <c r="G284" i="37"/>
  <c r="T473" i="24" l="1"/>
  <c r="U473" i="24" s="1"/>
  <c r="N473" i="24"/>
  <c r="O473" i="24" s="1"/>
  <c r="A474" i="24"/>
  <c r="P473" i="24"/>
  <c r="Q473" i="24" s="1"/>
  <c r="B473" i="24"/>
  <c r="C473" i="24" s="1"/>
  <c r="V473" i="24"/>
  <c r="W473" i="24" s="1"/>
  <c r="D473" i="24"/>
  <c r="E473" i="24" s="1"/>
  <c r="H473" i="24"/>
  <c r="I473" i="24" s="1"/>
  <c r="J473" i="24"/>
  <c r="K473" i="24" s="1"/>
  <c r="F473" i="24"/>
  <c r="G473" i="24" s="1"/>
  <c r="L473" i="24"/>
  <c r="M473" i="24" s="1"/>
  <c r="R473" i="24"/>
  <c r="S473" i="24" s="1"/>
  <c r="I285" i="37"/>
  <c r="J285" i="37"/>
  <c r="D285" i="37"/>
  <c r="C285" i="37"/>
  <c r="P284" i="37"/>
  <c r="O284" i="37"/>
  <c r="G285" i="37"/>
  <c r="F285" i="37"/>
  <c r="R284" i="37"/>
  <c r="S284" i="37"/>
  <c r="M285" i="37"/>
  <c r="L285" i="37"/>
  <c r="D474" i="24" l="1"/>
  <c r="E474" i="24" s="1"/>
  <c r="F474" i="24"/>
  <c r="G474" i="24" s="1"/>
  <c r="H474" i="24"/>
  <c r="I474" i="24" s="1"/>
  <c r="J474" i="24"/>
  <c r="K474" i="24" s="1"/>
  <c r="T474" i="24"/>
  <c r="U474" i="24" s="1"/>
  <c r="A475" i="24"/>
  <c r="B474" i="24"/>
  <c r="C474" i="24" s="1"/>
  <c r="L474" i="24"/>
  <c r="M474" i="24" s="1"/>
  <c r="N474" i="24"/>
  <c r="O474" i="24" s="1"/>
  <c r="P474" i="24"/>
  <c r="Q474" i="24" s="1"/>
  <c r="R474" i="24"/>
  <c r="S474" i="24" s="1"/>
  <c r="V474" i="24"/>
  <c r="W474" i="24" s="1"/>
  <c r="I286" i="37"/>
  <c r="J286" i="37"/>
  <c r="C286" i="37"/>
  <c r="D286" i="37"/>
  <c r="O285" i="37"/>
  <c r="P285" i="37"/>
  <c r="M286" i="37"/>
  <c r="L286" i="37"/>
  <c r="R285" i="37"/>
  <c r="S285" i="37"/>
  <c r="G286" i="37"/>
  <c r="F286" i="37"/>
  <c r="R475" i="24" l="1"/>
  <c r="S475" i="24" s="1"/>
  <c r="L475" i="24"/>
  <c r="M475" i="24" s="1"/>
  <c r="T475" i="24"/>
  <c r="U475" i="24" s="1"/>
  <c r="P475" i="24"/>
  <c r="Q475" i="24" s="1"/>
  <c r="N475" i="24"/>
  <c r="O475" i="24" s="1"/>
  <c r="A476" i="24"/>
  <c r="B475" i="24"/>
  <c r="C475" i="24" s="1"/>
  <c r="D475" i="24"/>
  <c r="E475" i="24" s="1"/>
  <c r="V475" i="24"/>
  <c r="W475" i="24" s="1"/>
  <c r="J475" i="24"/>
  <c r="K475" i="24" s="1"/>
  <c r="F475" i="24"/>
  <c r="G475" i="24" s="1"/>
  <c r="H475" i="24"/>
  <c r="I475" i="24" s="1"/>
  <c r="J287" i="37"/>
  <c r="I287" i="37"/>
  <c r="D287" i="37"/>
  <c r="C287" i="37"/>
  <c r="P286" i="37"/>
  <c r="O286" i="37"/>
  <c r="G287" i="37"/>
  <c r="F287" i="37"/>
  <c r="S286" i="37"/>
  <c r="R286" i="37"/>
  <c r="L287" i="37"/>
  <c r="M287" i="37"/>
  <c r="B476" i="24" l="1"/>
  <c r="C476" i="24" s="1"/>
  <c r="R476" i="24"/>
  <c r="S476" i="24" s="1"/>
  <c r="H476" i="24"/>
  <c r="I476" i="24" s="1"/>
  <c r="F476" i="24"/>
  <c r="G476" i="24" s="1"/>
  <c r="D476" i="24"/>
  <c r="E476" i="24" s="1"/>
  <c r="V476" i="24"/>
  <c r="W476" i="24" s="1"/>
  <c r="T476" i="24"/>
  <c r="U476" i="24" s="1"/>
  <c r="A477" i="24"/>
  <c r="P476" i="24"/>
  <c r="Q476" i="24" s="1"/>
  <c r="N476" i="24"/>
  <c r="O476" i="24" s="1"/>
  <c r="J476" i="24"/>
  <c r="K476" i="24" s="1"/>
  <c r="L476" i="24"/>
  <c r="M476" i="24" s="1"/>
  <c r="I288" i="37"/>
  <c r="J288" i="37"/>
  <c r="D288" i="37"/>
  <c r="C288" i="37"/>
  <c r="P287" i="37"/>
  <c r="O287" i="37"/>
  <c r="R287" i="37"/>
  <c r="S287" i="37"/>
  <c r="L288" i="37"/>
  <c r="M288" i="37"/>
  <c r="G288" i="37"/>
  <c r="F288" i="37"/>
  <c r="D477" i="24" l="1"/>
  <c r="E477" i="24" s="1"/>
  <c r="J477" i="24"/>
  <c r="K477" i="24" s="1"/>
  <c r="P477" i="24"/>
  <c r="Q477" i="24" s="1"/>
  <c r="F477" i="24"/>
  <c r="G477" i="24" s="1"/>
  <c r="T477" i="24"/>
  <c r="U477" i="24" s="1"/>
  <c r="N477" i="24"/>
  <c r="O477" i="24" s="1"/>
  <c r="A478" i="24"/>
  <c r="B477" i="24"/>
  <c r="C477" i="24" s="1"/>
  <c r="R477" i="24"/>
  <c r="S477" i="24" s="1"/>
  <c r="L477" i="24"/>
  <c r="M477" i="24" s="1"/>
  <c r="V477" i="24"/>
  <c r="W477" i="24" s="1"/>
  <c r="H477" i="24"/>
  <c r="I477" i="24" s="1"/>
  <c r="J289" i="37"/>
  <c r="I289" i="37"/>
  <c r="D289" i="37"/>
  <c r="C289" i="37"/>
  <c r="P288" i="37"/>
  <c r="O288" i="37"/>
  <c r="M289" i="37"/>
  <c r="L289" i="37"/>
  <c r="G289" i="37"/>
  <c r="F289" i="37"/>
  <c r="S288" i="37"/>
  <c r="R288" i="37"/>
  <c r="T478" i="24" l="1"/>
  <c r="U478" i="24" s="1"/>
  <c r="R478" i="24"/>
  <c r="S478" i="24" s="1"/>
  <c r="A479" i="24"/>
  <c r="N478" i="24"/>
  <c r="O478" i="24" s="1"/>
  <c r="B478" i="24"/>
  <c r="C478" i="24" s="1"/>
  <c r="V478" i="24"/>
  <c r="W478" i="24" s="1"/>
  <c r="H478" i="24"/>
  <c r="I478" i="24" s="1"/>
  <c r="D478" i="24"/>
  <c r="E478" i="24" s="1"/>
  <c r="P478" i="24"/>
  <c r="Q478" i="24" s="1"/>
  <c r="J478" i="24"/>
  <c r="K478" i="24" s="1"/>
  <c r="F478" i="24"/>
  <c r="G478" i="24" s="1"/>
  <c r="L478" i="24"/>
  <c r="M478" i="24" s="1"/>
  <c r="J290" i="37"/>
  <c r="I290" i="37"/>
  <c r="C290" i="37"/>
  <c r="D290" i="37"/>
  <c r="P289" i="37"/>
  <c r="O289" i="37"/>
  <c r="G290" i="37"/>
  <c r="F290" i="37"/>
  <c r="L290" i="37"/>
  <c r="M290" i="37"/>
  <c r="R289" i="37"/>
  <c r="S289" i="37"/>
  <c r="H479" i="24" l="1"/>
  <c r="I479" i="24" s="1"/>
  <c r="F479" i="24"/>
  <c r="G479" i="24" s="1"/>
  <c r="D479" i="24"/>
  <c r="E479" i="24" s="1"/>
  <c r="J479" i="24"/>
  <c r="K479" i="24" s="1"/>
  <c r="N479" i="24"/>
  <c r="O479" i="24" s="1"/>
  <c r="T479" i="24"/>
  <c r="U479" i="24" s="1"/>
  <c r="A480" i="24"/>
  <c r="B479" i="24"/>
  <c r="C479" i="24" s="1"/>
  <c r="R479" i="24"/>
  <c r="S479" i="24" s="1"/>
  <c r="V479" i="24"/>
  <c r="W479" i="24" s="1"/>
  <c r="L479" i="24"/>
  <c r="M479" i="24" s="1"/>
  <c r="P479" i="24"/>
  <c r="Q479" i="24" s="1"/>
  <c r="J291" i="37"/>
  <c r="I291" i="37"/>
  <c r="C291" i="37"/>
  <c r="D291" i="37"/>
  <c r="O290" i="37"/>
  <c r="P290" i="37"/>
  <c r="G291" i="37"/>
  <c r="F291" i="37"/>
  <c r="R290" i="37"/>
  <c r="S290" i="37"/>
  <c r="M291" i="37"/>
  <c r="L291" i="37"/>
  <c r="L480" i="24" l="1"/>
  <c r="M480" i="24" s="1"/>
  <c r="P480" i="24"/>
  <c r="Q480" i="24" s="1"/>
  <c r="T480" i="24"/>
  <c r="U480" i="24" s="1"/>
  <c r="R480" i="24"/>
  <c r="S480" i="24" s="1"/>
  <c r="V480" i="24"/>
  <c r="W480" i="24" s="1"/>
  <c r="F480" i="24"/>
  <c r="G480" i="24" s="1"/>
  <c r="A481" i="24"/>
  <c r="B480" i="24"/>
  <c r="C480" i="24" s="1"/>
  <c r="J480" i="24"/>
  <c r="K480" i="24" s="1"/>
  <c r="D480" i="24"/>
  <c r="E480" i="24" s="1"/>
  <c r="N480" i="24"/>
  <c r="O480" i="24" s="1"/>
  <c r="H480" i="24"/>
  <c r="I480" i="24" s="1"/>
  <c r="I292" i="37"/>
  <c r="J292" i="37"/>
  <c r="D292" i="37"/>
  <c r="C292" i="37"/>
  <c r="O291" i="37"/>
  <c r="P291" i="37"/>
  <c r="R291" i="37"/>
  <c r="S291" i="37"/>
  <c r="L292" i="37"/>
  <c r="M292" i="37"/>
  <c r="F292" i="37"/>
  <c r="G292" i="37"/>
  <c r="B481" i="24" l="1"/>
  <c r="C481" i="24" s="1"/>
  <c r="F481" i="24"/>
  <c r="G481" i="24" s="1"/>
  <c r="D481" i="24"/>
  <c r="E481" i="24" s="1"/>
  <c r="V481" i="24"/>
  <c r="W481" i="24" s="1"/>
  <c r="H481" i="24"/>
  <c r="I481" i="24" s="1"/>
  <c r="P481" i="24"/>
  <c r="Q481" i="24" s="1"/>
  <c r="T481" i="24"/>
  <c r="U481" i="24" s="1"/>
  <c r="A482" i="24"/>
  <c r="R481" i="24"/>
  <c r="S481" i="24" s="1"/>
  <c r="J481" i="24"/>
  <c r="K481" i="24" s="1"/>
  <c r="L481" i="24"/>
  <c r="M481" i="24" s="1"/>
  <c r="N481" i="24"/>
  <c r="O481" i="24" s="1"/>
  <c r="I293" i="37"/>
  <c r="J293" i="37"/>
  <c r="D293" i="37"/>
  <c r="C293" i="37"/>
  <c r="O292" i="37"/>
  <c r="P292" i="37"/>
  <c r="G293" i="37"/>
  <c r="F293" i="37"/>
  <c r="S292" i="37"/>
  <c r="R292" i="37"/>
  <c r="L293" i="37"/>
  <c r="M293" i="37"/>
  <c r="J482" i="24" l="1"/>
  <c r="K482" i="24" s="1"/>
  <c r="L482" i="24"/>
  <c r="M482" i="24" s="1"/>
  <c r="R482" i="24"/>
  <c r="S482" i="24" s="1"/>
  <c r="N482" i="24"/>
  <c r="O482" i="24" s="1"/>
  <c r="V482" i="24"/>
  <c r="W482" i="24" s="1"/>
  <c r="T482" i="24"/>
  <c r="U482" i="24" s="1"/>
  <c r="F482" i="24"/>
  <c r="G482" i="24" s="1"/>
  <c r="A483" i="24"/>
  <c r="H482" i="24"/>
  <c r="I482" i="24" s="1"/>
  <c r="B482" i="24"/>
  <c r="C482" i="24" s="1"/>
  <c r="D482" i="24"/>
  <c r="E482" i="24" s="1"/>
  <c r="P482" i="24"/>
  <c r="Q482" i="24" s="1"/>
  <c r="I294" i="37"/>
  <c r="J294" i="37"/>
  <c r="C294" i="37"/>
  <c r="D294" i="37"/>
  <c r="P293" i="37"/>
  <c r="O293" i="37"/>
  <c r="G294" i="37"/>
  <c r="F294" i="37"/>
  <c r="S293" i="37"/>
  <c r="R293" i="37"/>
  <c r="L294" i="37"/>
  <c r="M294" i="37"/>
  <c r="T483" i="24" l="1"/>
  <c r="U483" i="24" s="1"/>
  <c r="V483" i="24"/>
  <c r="W483" i="24" s="1"/>
  <c r="B483" i="24"/>
  <c r="C483" i="24" s="1"/>
  <c r="F483" i="24"/>
  <c r="G483" i="24" s="1"/>
  <c r="A484" i="24"/>
  <c r="N483" i="24"/>
  <c r="O483" i="24" s="1"/>
  <c r="L483" i="24"/>
  <c r="M483" i="24" s="1"/>
  <c r="P483" i="24"/>
  <c r="Q483" i="24" s="1"/>
  <c r="J483" i="24"/>
  <c r="K483" i="24" s="1"/>
  <c r="D483" i="24"/>
  <c r="E483" i="24" s="1"/>
  <c r="H483" i="24"/>
  <c r="I483" i="24" s="1"/>
  <c r="R483" i="24"/>
  <c r="S483" i="24" s="1"/>
  <c r="J295" i="37"/>
  <c r="I295" i="37"/>
  <c r="D295" i="37"/>
  <c r="C295" i="37"/>
  <c r="O294" i="37"/>
  <c r="P294" i="37"/>
  <c r="L295" i="37"/>
  <c r="M295" i="37"/>
  <c r="R294" i="37"/>
  <c r="S294" i="37"/>
  <c r="F295" i="37"/>
  <c r="G295" i="37"/>
  <c r="H484" i="24" l="1"/>
  <c r="I484" i="24" s="1"/>
  <c r="F484" i="24"/>
  <c r="G484" i="24" s="1"/>
  <c r="D484" i="24"/>
  <c r="E484" i="24" s="1"/>
  <c r="J484" i="24"/>
  <c r="K484" i="24" s="1"/>
  <c r="P484" i="24"/>
  <c r="Q484" i="24" s="1"/>
  <c r="R484" i="24"/>
  <c r="S484" i="24" s="1"/>
  <c r="V484" i="24"/>
  <c r="W484" i="24" s="1"/>
  <c r="T484" i="24"/>
  <c r="U484" i="24" s="1"/>
  <c r="N484" i="24"/>
  <c r="O484" i="24" s="1"/>
  <c r="A485" i="24"/>
  <c r="B484" i="24"/>
  <c r="C484" i="24" s="1"/>
  <c r="L484" i="24"/>
  <c r="M484" i="24" s="1"/>
  <c r="J296" i="37"/>
  <c r="I296" i="37"/>
  <c r="C296" i="37"/>
  <c r="D296" i="37"/>
  <c r="P295" i="37"/>
  <c r="O295" i="37"/>
  <c r="G296" i="37"/>
  <c r="F296" i="37"/>
  <c r="S295" i="37"/>
  <c r="R295" i="37"/>
  <c r="L296" i="37"/>
  <c r="M296" i="37"/>
  <c r="L485" i="24" l="1"/>
  <c r="M485" i="24" s="1"/>
  <c r="P485" i="24"/>
  <c r="Q485" i="24" s="1"/>
  <c r="T485" i="24"/>
  <c r="U485" i="24" s="1"/>
  <c r="R485" i="24"/>
  <c r="S485" i="24" s="1"/>
  <c r="J485" i="24"/>
  <c r="K485" i="24" s="1"/>
  <c r="N485" i="24"/>
  <c r="O485" i="24" s="1"/>
  <c r="V485" i="24"/>
  <c r="W485" i="24" s="1"/>
  <c r="F485" i="24"/>
  <c r="G485" i="24" s="1"/>
  <c r="D485" i="24"/>
  <c r="E485" i="24" s="1"/>
  <c r="A486" i="24"/>
  <c r="B485" i="24"/>
  <c r="C485" i="24" s="1"/>
  <c r="H485" i="24"/>
  <c r="I485" i="24" s="1"/>
  <c r="I297" i="37"/>
  <c r="J297" i="37"/>
  <c r="D297" i="37"/>
  <c r="C297" i="37"/>
  <c r="P296" i="37"/>
  <c r="O296" i="37"/>
  <c r="G297" i="37"/>
  <c r="F297" i="37"/>
  <c r="L297" i="37"/>
  <c r="M297" i="37"/>
  <c r="S296" i="37"/>
  <c r="R296" i="37"/>
  <c r="B486" i="24" l="1"/>
  <c r="C486" i="24" s="1"/>
  <c r="V486" i="24"/>
  <c r="W486" i="24" s="1"/>
  <c r="D486" i="24"/>
  <c r="E486" i="24" s="1"/>
  <c r="F486" i="24"/>
  <c r="G486" i="24" s="1"/>
  <c r="J486" i="24"/>
  <c r="K486" i="24" s="1"/>
  <c r="P486" i="24"/>
  <c r="Q486" i="24" s="1"/>
  <c r="R486" i="24"/>
  <c r="S486" i="24" s="1"/>
  <c r="N486" i="24"/>
  <c r="O486" i="24" s="1"/>
  <c r="H486" i="24"/>
  <c r="I486" i="24" s="1"/>
  <c r="T486" i="24"/>
  <c r="U486" i="24" s="1"/>
  <c r="A487" i="24"/>
  <c r="L486" i="24"/>
  <c r="M486" i="24" s="1"/>
  <c r="I298" i="37"/>
  <c r="J298" i="37"/>
  <c r="C298" i="37"/>
  <c r="D298" i="37"/>
  <c r="P297" i="37"/>
  <c r="O297" i="37"/>
  <c r="L298" i="37"/>
  <c r="M298" i="37"/>
  <c r="G298" i="37"/>
  <c r="F298" i="37"/>
  <c r="S297" i="37"/>
  <c r="R297" i="37"/>
  <c r="L487" i="24" l="1"/>
  <c r="M487" i="24" s="1"/>
  <c r="P487" i="24"/>
  <c r="Q487" i="24" s="1"/>
  <c r="T487" i="24"/>
  <c r="U487" i="24" s="1"/>
  <c r="R487" i="24"/>
  <c r="S487" i="24" s="1"/>
  <c r="V487" i="24"/>
  <c r="W487" i="24" s="1"/>
  <c r="N487" i="24"/>
  <c r="O487" i="24" s="1"/>
  <c r="F487" i="24"/>
  <c r="G487" i="24" s="1"/>
  <c r="A488" i="24"/>
  <c r="D487" i="24"/>
  <c r="E487" i="24" s="1"/>
  <c r="H487" i="24"/>
  <c r="I487" i="24" s="1"/>
  <c r="B487" i="24"/>
  <c r="C487" i="24" s="1"/>
  <c r="J487" i="24"/>
  <c r="K487" i="24" s="1"/>
  <c r="J299" i="37"/>
  <c r="I299" i="37"/>
  <c r="D299" i="37"/>
  <c r="C299" i="37"/>
  <c r="O298" i="37"/>
  <c r="P298" i="37"/>
  <c r="G299" i="37"/>
  <c r="F299" i="37"/>
  <c r="R298" i="37"/>
  <c r="S298" i="37"/>
  <c r="M299" i="37"/>
  <c r="L299" i="37"/>
  <c r="A489" i="24" l="1"/>
  <c r="N488" i="24"/>
  <c r="O488" i="24" s="1"/>
  <c r="B488" i="24"/>
  <c r="C488" i="24" s="1"/>
  <c r="V488" i="24"/>
  <c r="W488" i="24" s="1"/>
  <c r="D488" i="24"/>
  <c r="E488" i="24" s="1"/>
  <c r="F488" i="24"/>
  <c r="G488" i="24" s="1"/>
  <c r="P488" i="24"/>
  <c r="Q488" i="24" s="1"/>
  <c r="R488" i="24"/>
  <c r="S488" i="24" s="1"/>
  <c r="H488" i="24"/>
  <c r="I488" i="24" s="1"/>
  <c r="J488" i="24"/>
  <c r="K488" i="24" s="1"/>
  <c r="L488" i="24"/>
  <c r="M488" i="24" s="1"/>
  <c r="T488" i="24"/>
  <c r="U488" i="24" s="1"/>
  <c r="J300" i="37"/>
  <c r="I300" i="37"/>
  <c r="D300" i="37"/>
  <c r="C300" i="37"/>
  <c r="O299" i="37"/>
  <c r="P299" i="37"/>
  <c r="M300" i="37"/>
  <c r="L300" i="37"/>
  <c r="R299" i="37"/>
  <c r="S299" i="37"/>
  <c r="F300" i="37"/>
  <c r="G300" i="37"/>
  <c r="J489" i="24" l="1"/>
  <c r="K489" i="24" s="1"/>
  <c r="L489" i="24"/>
  <c r="M489" i="24" s="1"/>
  <c r="R489" i="24"/>
  <c r="S489" i="24" s="1"/>
  <c r="V489" i="24"/>
  <c r="W489" i="24" s="1"/>
  <c r="F489" i="24"/>
  <c r="G489" i="24" s="1"/>
  <c r="T489" i="24"/>
  <c r="U489" i="24" s="1"/>
  <c r="P489" i="24"/>
  <c r="Q489" i="24" s="1"/>
  <c r="A490" i="24"/>
  <c r="D489" i="24"/>
  <c r="E489" i="24" s="1"/>
  <c r="H489" i="24"/>
  <c r="I489" i="24" s="1"/>
  <c r="N489" i="24"/>
  <c r="O489" i="24" s="1"/>
  <c r="B489" i="24"/>
  <c r="C489" i="24" s="1"/>
  <c r="J301" i="37"/>
  <c r="I301" i="37"/>
  <c r="D301" i="37"/>
  <c r="C301" i="37"/>
  <c r="P300" i="37"/>
  <c r="O300" i="37"/>
  <c r="R300" i="37"/>
  <c r="S300" i="37"/>
  <c r="L301" i="37"/>
  <c r="M301" i="37"/>
  <c r="G301" i="37"/>
  <c r="F301" i="37"/>
  <c r="T490" i="24" l="1"/>
  <c r="U490" i="24" s="1"/>
  <c r="P490" i="24"/>
  <c r="Q490" i="24" s="1"/>
  <c r="A491" i="24"/>
  <c r="N490" i="24"/>
  <c r="O490" i="24" s="1"/>
  <c r="B490" i="24"/>
  <c r="C490" i="24" s="1"/>
  <c r="V490" i="24"/>
  <c r="W490" i="24" s="1"/>
  <c r="H490" i="24"/>
  <c r="I490" i="24" s="1"/>
  <c r="F490" i="24"/>
  <c r="G490" i="24" s="1"/>
  <c r="L490" i="24"/>
  <c r="M490" i="24" s="1"/>
  <c r="R490" i="24"/>
  <c r="S490" i="24" s="1"/>
  <c r="D490" i="24"/>
  <c r="E490" i="24" s="1"/>
  <c r="J490" i="24"/>
  <c r="K490" i="24" s="1"/>
  <c r="I302" i="37"/>
  <c r="J302" i="37"/>
  <c r="C302" i="37"/>
  <c r="D302" i="37"/>
  <c r="O301" i="37"/>
  <c r="P301" i="37"/>
  <c r="L302" i="37"/>
  <c r="M302" i="37"/>
  <c r="G302" i="37"/>
  <c r="F302" i="37"/>
  <c r="S301" i="37"/>
  <c r="R301" i="37"/>
  <c r="D491" i="24" l="1"/>
  <c r="E491" i="24" s="1"/>
  <c r="N491" i="24"/>
  <c r="O491" i="24" s="1"/>
  <c r="H491" i="24"/>
  <c r="I491" i="24" s="1"/>
  <c r="J491" i="24"/>
  <c r="K491" i="24" s="1"/>
  <c r="V491" i="24"/>
  <c r="W491" i="24" s="1"/>
  <c r="P491" i="24"/>
  <c r="Q491" i="24" s="1"/>
  <c r="F491" i="24"/>
  <c r="G491" i="24" s="1"/>
  <c r="T491" i="24"/>
  <c r="U491" i="24" s="1"/>
  <c r="L491" i="24"/>
  <c r="M491" i="24" s="1"/>
  <c r="A492" i="24"/>
  <c r="R491" i="24"/>
  <c r="S491" i="24" s="1"/>
  <c r="B491" i="24"/>
  <c r="C491" i="24" s="1"/>
  <c r="J303" i="37"/>
  <c r="I303" i="37"/>
  <c r="C303" i="37"/>
  <c r="D303" i="37"/>
  <c r="O302" i="37"/>
  <c r="P302" i="37"/>
  <c r="L303" i="37"/>
  <c r="M303" i="37"/>
  <c r="F303" i="37"/>
  <c r="G303" i="37"/>
  <c r="R302" i="37"/>
  <c r="S302" i="37"/>
  <c r="N492" i="24" l="1"/>
  <c r="O492" i="24" s="1"/>
  <c r="P492" i="24"/>
  <c r="Q492" i="24" s="1"/>
  <c r="T492" i="24"/>
  <c r="U492" i="24" s="1"/>
  <c r="L492" i="24"/>
  <c r="M492" i="24" s="1"/>
  <c r="J492" i="24"/>
  <c r="K492" i="24" s="1"/>
  <c r="R492" i="24"/>
  <c r="S492" i="24" s="1"/>
  <c r="V492" i="24"/>
  <c r="W492" i="24" s="1"/>
  <c r="F492" i="24"/>
  <c r="G492" i="24" s="1"/>
  <c r="H492" i="24"/>
  <c r="I492" i="24" s="1"/>
  <c r="D492" i="24"/>
  <c r="E492" i="24" s="1"/>
  <c r="A493" i="24"/>
  <c r="B492" i="24"/>
  <c r="C492" i="24" s="1"/>
  <c r="I304" i="37"/>
  <c r="J304" i="37"/>
  <c r="C304" i="37"/>
  <c r="D304" i="37"/>
  <c r="O303" i="37"/>
  <c r="P303" i="37"/>
  <c r="R303" i="37"/>
  <c r="S303" i="37"/>
  <c r="F304" i="37"/>
  <c r="G304" i="37"/>
  <c r="L304" i="37"/>
  <c r="M304" i="37"/>
  <c r="A494" i="24" l="1"/>
  <c r="V493" i="24"/>
  <c r="W493" i="24" s="1"/>
  <c r="B493" i="24"/>
  <c r="C493" i="24" s="1"/>
  <c r="F493" i="24"/>
  <c r="G493" i="24" s="1"/>
  <c r="D493" i="24"/>
  <c r="E493" i="24" s="1"/>
  <c r="N493" i="24"/>
  <c r="O493" i="24" s="1"/>
  <c r="P493" i="24"/>
  <c r="Q493" i="24" s="1"/>
  <c r="L493" i="24"/>
  <c r="M493" i="24" s="1"/>
  <c r="R493" i="24"/>
  <c r="S493" i="24" s="1"/>
  <c r="H493" i="24"/>
  <c r="I493" i="24" s="1"/>
  <c r="T493" i="24"/>
  <c r="U493" i="24" s="1"/>
  <c r="J493" i="24"/>
  <c r="K493" i="24" s="1"/>
  <c r="I305" i="37"/>
  <c r="J305" i="37"/>
  <c r="C305" i="37"/>
  <c r="D305" i="37"/>
  <c r="P304" i="37"/>
  <c r="O304" i="37"/>
  <c r="R304" i="37"/>
  <c r="S304" i="37"/>
  <c r="L305" i="37"/>
  <c r="M305" i="37"/>
  <c r="F305" i="37"/>
  <c r="G305" i="37"/>
  <c r="J494" i="24" l="1"/>
  <c r="K494" i="24" s="1"/>
  <c r="L494" i="24"/>
  <c r="M494" i="24" s="1"/>
  <c r="P494" i="24"/>
  <c r="Q494" i="24" s="1"/>
  <c r="R494" i="24"/>
  <c r="S494" i="24" s="1"/>
  <c r="N494" i="24"/>
  <c r="O494" i="24" s="1"/>
  <c r="V494" i="24"/>
  <c r="W494" i="24" s="1"/>
  <c r="T494" i="24"/>
  <c r="U494" i="24" s="1"/>
  <c r="F494" i="24"/>
  <c r="G494" i="24" s="1"/>
  <c r="D494" i="24"/>
  <c r="E494" i="24" s="1"/>
  <c r="B494" i="24"/>
  <c r="C494" i="24" s="1"/>
  <c r="A495" i="24"/>
  <c r="H494" i="24"/>
  <c r="I494" i="24" s="1"/>
  <c r="I306" i="37"/>
  <c r="J306" i="37"/>
  <c r="C306" i="37"/>
  <c r="D306" i="37"/>
  <c r="P305" i="37"/>
  <c r="O305" i="37"/>
  <c r="M306" i="37"/>
  <c r="L306" i="37"/>
  <c r="S305" i="37"/>
  <c r="R305" i="37"/>
  <c r="G306" i="37"/>
  <c r="F306" i="37"/>
  <c r="A496" i="24" l="1"/>
  <c r="V495" i="24"/>
  <c r="W495" i="24" s="1"/>
  <c r="B495" i="24"/>
  <c r="C495" i="24" s="1"/>
  <c r="N495" i="24"/>
  <c r="O495" i="24" s="1"/>
  <c r="D495" i="24"/>
  <c r="E495" i="24" s="1"/>
  <c r="F495" i="24"/>
  <c r="G495" i="24" s="1"/>
  <c r="J495" i="24"/>
  <c r="K495" i="24" s="1"/>
  <c r="R495" i="24"/>
  <c r="S495" i="24" s="1"/>
  <c r="L495" i="24"/>
  <c r="M495" i="24" s="1"/>
  <c r="H495" i="24"/>
  <c r="I495" i="24" s="1"/>
  <c r="P495" i="24"/>
  <c r="Q495" i="24" s="1"/>
  <c r="T495" i="24"/>
  <c r="U495" i="24" s="1"/>
  <c r="I307" i="37"/>
  <c r="J307" i="37"/>
  <c r="C307" i="37"/>
  <c r="D307" i="37"/>
  <c r="P306" i="37"/>
  <c r="O306" i="37"/>
  <c r="R306" i="37"/>
  <c r="S306" i="37"/>
  <c r="G307" i="37"/>
  <c r="F307" i="37"/>
  <c r="M307" i="37"/>
  <c r="L307" i="37"/>
  <c r="H496" i="24" l="1"/>
  <c r="I496" i="24" s="1"/>
  <c r="J496" i="24"/>
  <c r="K496" i="24" s="1"/>
  <c r="L496" i="24"/>
  <c r="M496" i="24" s="1"/>
  <c r="R496" i="24"/>
  <c r="S496" i="24" s="1"/>
  <c r="N496" i="24"/>
  <c r="O496" i="24" s="1"/>
  <c r="V496" i="24"/>
  <c r="W496" i="24" s="1"/>
  <c r="T496" i="24"/>
  <c r="U496" i="24" s="1"/>
  <c r="F496" i="24"/>
  <c r="G496" i="24" s="1"/>
  <c r="D496" i="24"/>
  <c r="E496" i="24" s="1"/>
  <c r="B496" i="24"/>
  <c r="C496" i="24" s="1"/>
  <c r="P496" i="24"/>
  <c r="Q496" i="24" s="1"/>
  <c r="A497" i="24"/>
  <c r="J308" i="37"/>
  <c r="I308" i="37"/>
  <c r="D308" i="37"/>
  <c r="C308" i="37"/>
  <c r="O307" i="37"/>
  <c r="P307" i="37"/>
  <c r="L308" i="37"/>
  <c r="M308" i="37"/>
  <c r="F308" i="37"/>
  <c r="G308" i="37"/>
  <c r="R307" i="37"/>
  <c r="S307" i="37"/>
  <c r="T497" i="24" l="1"/>
  <c r="U497" i="24" s="1"/>
  <c r="N497" i="24"/>
  <c r="O497" i="24" s="1"/>
  <c r="A498" i="24"/>
  <c r="P497" i="24"/>
  <c r="Q497" i="24" s="1"/>
  <c r="B497" i="24"/>
  <c r="C497" i="24" s="1"/>
  <c r="F497" i="24"/>
  <c r="G497" i="24" s="1"/>
  <c r="R497" i="24"/>
  <c r="S497" i="24" s="1"/>
  <c r="V497" i="24"/>
  <c r="W497" i="24" s="1"/>
  <c r="J497" i="24"/>
  <c r="K497" i="24" s="1"/>
  <c r="L497" i="24"/>
  <c r="M497" i="24" s="1"/>
  <c r="D497" i="24"/>
  <c r="E497" i="24" s="1"/>
  <c r="H497" i="24"/>
  <c r="I497" i="24" s="1"/>
  <c r="J309" i="37"/>
  <c r="I309" i="37"/>
  <c r="C309" i="37"/>
  <c r="D309" i="37"/>
  <c r="O308" i="37"/>
  <c r="P308" i="37"/>
  <c r="F309" i="37"/>
  <c r="G309" i="37"/>
  <c r="S308" i="37"/>
  <c r="R308" i="37"/>
  <c r="M309" i="37"/>
  <c r="L309" i="37"/>
  <c r="H498" i="24" l="1"/>
  <c r="I498" i="24" s="1"/>
  <c r="F498" i="24"/>
  <c r="G498" i="24" s="1"/>
  <c r="J498" i="24"/>
  <c r="K498" i="24" s="1"/>
  <c r="L498" i="24"/>
  <c r="M498" i="24" s="1"/>
  <c r="P498" i="24"/>
  <c r="Q498" i="24" s="1"/>
  <c r="N498" i="24"/>
  <c r="O498" i="24" s="1"/>
  <c r="V498" i="24"/>
  <c r="W498" i="24" s="1"/>
  <c r="T498" i="24"/>
  <c r="U498" i="24" s="1"/>
  <c r="R498" i="24"/>
  <c r="S498" i="24" s="1"/>
  <c r="A499" i="24"/>
  <c r="D498" i="24"/>
  <c r="E498" i="24" s="1"/>
  <c r="B498" i="24"/>
  <c r="C498" i="24" s="1"/>
  <c r="J310" i="37"/>
  <c r="I310" i="37"/>
  <c r="C310" i="37"/>
  <c r="D310" i="37"/>
  <c r="P309" i="37"/>
  <c r="O309" i="37"/>
  <c r="S309" i="37"/>
  <c r="R309" i="37"/>
  <c r="L310" i="37"/>
  <c r="M310" i="37"/>
  <c r="F310" i="37"/>
  <c r="G310" i="37"/>
  <c r="R499" i="24" l="1"/>
  <c r="S499" i="24" s="1"/>
  <c r="L499" i="24"/>
  <c r="M499" i="24" s="1"/>
  <c r="T499" i="24"/>
  <c r="U499" i="24" s="1"/>
  <c r="V499" i="24"/>
  <c r="W499" i="24" s="1"/>
  <c r="H499" i="24"/>
  <c r="I499" i="24" s="1"/>
  <c r="F499" i="24"/>
  <c r="G499" i="24" s="1"/>
  <c r="N499" i="24"/>
  <c r="O499" i="24" s="1"/>
  <c r="P499" i="24"/>
  <c r="Q499" i="24" s="1"/>
  <c r="D499" i="24"/>
  <c r="E499" i="24" s="1"/>
  <c r="J499" i="24"/>
  <c r="K499" i="24" s="1"/>
  <c r="A500" i="24"/>
  <c r="B499" i="24"/>
  <c r="C499" i="24" s="1"/>
  <c r="J311" i="37"/>
  <c r="I311" i="37"/>
  <c r="D311" i="37"/>
  <c r="C311" i="37"/>
  <c r="O310" i="37"/>
  <c r="P310" i="37"/>
  <c r="F311" i="37"/>
  <c r="G311" i="37"/>
  <c r="R310" i="37"/>
  <c r="S310" i="37"/>
  <c r="L311" i="37"/>
  <c r="M311" i="37"/>
  <c r="A501" i="24" l="1"/>
  <c r="R500" i="24"/>
  <c r="S500" i="24" s="1"/>
  <c r="H500" i="24"/>
  <c r="I500" i="24" s="1"/>
  <c r="F500" i="24"/>
  <c r="G500" i="24" s="1"/>
  <c r="B500" i="24"/>
  <c r="C500" i="24" s="1"/>
  <c r="V500" i="24"/>
  <c r="W500" i="24" s="1"/>
  <c r="N500" i="24"/>
  <c r="O500" i="24" s="1"/>
  <c r="L500" i="24"/>
  <c r="M500" i="24" s="1"/>
  <c r="P500" i="24"/>
  <c r="Q500" i="24" s="1"/>
  <c r="D500" i="24"/>
  <c r="E500" i="24" s="1"/>
  <c r="T500" i="24"/>
  <c r="U500" i="24" s="1"/>
  <c r="J500" i="24"/>
  <c r="K500" i="24" s="1"/>
  <c r="J312" i="37"/>
  <c r="I312" i="37"/>
  <c r="D312" i="37"/>
  <c r="C312" i="37"/>
  <c r="O311" i="37"/>
  <c r="P311" i="37"/>
  <c r="G312" i="37"/>
  <c r="F312" i="37"/>
  <c r="S311" i="37"/>
  <c r="R311" i="37"/>
  <c r="M312" i="37"/>
  <c r="L312" i="37"/>
  <c r="H501" i="24" l="1"/>
  <c r="I501" i="24" s="1"/>
  <c r="J501" i="24"/>
  <c r="K501" i="24" s="1"/>
  <c r="L501" i="24"/>
  <c r="M501" i="24" s="1"/>
  <c r="P501" i="24"/>
  <c r="Q501" i="24" s="1"/>
  <c r="R501" i="24"/>
  <c r="S501" i="24" s="1"/>
  <c r="N501" i="24"/>
  <c r="O501" i="24" s="1"/>
  <c r="V501" i="24"/>
  <c r="W501" i="24" s="1"/>
  <c r="B501" i="24"/>
  <c r="C501" i="24" s="1"/>
  <c r="F501" i="24"/>
  <c r="G501" i="24" s="1"/>
  <c r="T501" i="24"/>
  <c r="U501" i="24" s="1"/>
  <c r="A502" i="24"/>
  <c r="D501" i="24"/>
  <c r="E501" i="24" s="1"/>
  <c r="J313" i="37"/>
  <c r="I313" i="37"/>
  <c r="D313" i="37"/>
  <c r="C313" i="37"/>
  <c r="P312" i="37"/>
  <c r="O312" i="37"/>
  <c r="M313" i="37"/>
  <c r="L313" i="37"/>
  <c r="R312" i="37"/>
  <c r="S312" i="37"/>
  <c r="F313" i="37"/>
  <c r="G313" i="37"/>
  <c r="A503" i="24" l="1"/>
  <c r="R502" i="24"/>
  <c r="S502" i="24" s="1"/>
  <c r="T502" i="24"/>
  <c r="U502" i="24" s="1"/>
  <c r="N502" i="24"/>
  <c r="O502" i="24" s="1"/>
  <c r="B502" i="24"/>
  <c r="C502" i="24" s="1"/>
  <c r="V502" i="24"/>
  <c r="W502" i="24" s="1"/>
  <c r="L502" i="24"/>
  <c r="M502" i="24" s="1"/>
  <c r="P502" i="24"/>
  <c r="Q502" i="24" s="1"/>
  <c r="F502" i="24"/>
  <c r="G502" i="24" s="1"/>
  <c r="H502" i="24"/>
  <c r="I502" i="24" s="1"/>
  <c r="D502" i="24"/>
  <c r="E502" i="24" s="1"/>
  <c r="J502" i="24"/>
  <c r="K502" i="24" s="1"/>
  <c r="J314" i="37"/>
  <c r="I314" i="37"/>
  <c r="C314" i="37"/>
  <c r="D314" i="37"/>
  <c r="P313" i="37"/>
  <c r="O313" i="37"/>
  <c r="F314" i="37"/>
  <c r="G314" i="37"/>
  <c r="S313" i="37"/>
  <c r="R313" i="37"/>
  <c r="L314" i="37"/>
  <c r="M314" i="37"/>
  <c r="H503" i="24" l="1"/>
  <c r="I503" i="24" s="1"/>
  <c r="L503" i="24"/>
  <c r="M503" i="24" s="1"/>
  <c r="J503" i="24"/>
  <c r="K503" i="24" s="1"/>
  <c r="R503" i="24"/>
  <c r="S503" i="24" s="1"/>
  <c r="V503" i="24"/>
  <c r="W503" i="24" s="1"/>
  <c r="N503" i="24"/>
  <c r="O503" i="24" s="1"/>
  <c r="T503" i="24"/>
  <c r="U503" i="24" s="1"/>
  <c r="F503" i="24"/>
  <c r="G503" i="24" s="1"/>
  <c r="D503" i="24"/>
  <c r="E503" i="24" s="1"/>
  <c r="A504" i="24"/>
  <c r="B503" i="24"/>
  <c r="C503" i="24" s="1"/>
  <c r="P503" i="24"/>
  <c r="Q503" i="24" s="1"/>
  <c r="J315" i="37"/>
  <c r="I315" i="37"/>
  <c r="D315" i="37"/>
  <c r="C315" i="37"/>
  <c r="O314" i="37"/>
  <c r="P314" i="37"/>
  <c r="S314" i="37"/>
  <c r="R314" i="37"/>
  <c r="M315" i="37"/>
  <c r="L315" i="37"/>
  <c r="G315" i="37"/>
  <c r="F315" i="37"/>
  <c r="P504" i="24" l="1"/>
  <c r="Q504" i="24" s="1"/>
  <c r="T504" i="24"/>
  <c r="U504" i="24" s="1"/>
  <c r="R504" i="24"/>
  <c r="S504" i="24" s="1"/>
  <c r="A505" i="24"/>
  <c r="N504" i="24"/>
  <c r="O504" i="24" s="1"/>
  <c r="J504" i="24"/>
  <c r="K504" i="24" s="1"/>
  <c r="L504" i="24"/>
  <c r="M504" i="24" s="1"/>
  <c r="V504" i="24"/>
  <c r="W504" i="24" s="1"/>
  <c r="F504" i="24"/>
  <c r="G504" i="24" s="1"/>
  <c r="D504" i="24"/>
  <c r="E504" i="24" s="1"/>
  <c r="H504" i="24"/>
  <c r="I504" i="24" s="1"/>
  <c r="B504" i="24"/>
  <c r="C504" i="24" s="1"/>
  <c r="J316" i="37"/>
  <c r="I316" i="37"/>
  <c r="D316" i="37"/>
  <c r="C316" i="37"/>
  <c r="P315" i="37"/>
  <c r="O315" i="37"/>
  <c r="M316" i="37"/>
  <c r="L316" i="37"/>
  <c r="F316" i="37"/>
  <c r="G316" i="37"/>
  <c r="S315" i="37"/>
  <c r="R315" i="37"/>
  <c r="A506" i="24" l="1"/>
  <c r="F505" i="24"/>
  <c r="G505" i="24" s="1"/>
  <c r="H505" i="24"/>
  <c r="I505" i="24" s="1"/>
  <c r="V505" i="24"/>
  <c r="W505" i="24" s="1"/>
  <c r="J505" i="24"/>
  <c r="K505" i="24" s="1"/>
  <c r="L505" i="24"/>
  <c r="M505" i="24" s="1"/>
  <c r="R505" i="24"/>
  <c r="S505" i="24" s="1"/>
  <c r="N505" i="24"/>
  <c r="O505" i="24" s="1"/>
  <c r="P505" i="24"/>
  <c r="Q505" i="24" s="1"/>
  <c r="B505" i="24"/>
  <c r="C505" i="24" s="1"/>
  <c r="T505" i="24"/>
  <c r="U505" i="24" s="1"/>
  <c r="D505" i="24"/>
  <c r="E505" i="24" s="1"/>
  <c r="I317" i="37"/>
  <c r="J317" i="37"/>
  <c r="C317" i="37"/>
  <c r="D317" i="37"/>
  <c r="O316" i="37"/>
  <c r="P316" i="37"/>
  <c r="S316" i="37"/>
  <c r="R316" i="37"/>
  <c r="L317" i="37"/>
  <c r="M317" i="37"/>
  <c r="F317" i="37"/>
  <c r="G317" i="37"/>
  <c r="J506" i="24" l="1"/>
  <c r="K506" i="24" s="1"/>
  <c r="L506" i="24"/>
  <c r="M506" i="24" s="1"/>
  <c r="R506" i="24"/>
  <c r="S506" i="24" s="1"/>
  <c r="D506" i="24"/>
  <c r="E506" i="24" s="1"/>
  <c r="H506" i="24"/>
  <c r="I506" i="24" s="1"/>
  <c r="P506" i="24"/>
  <c r="Q506" i="24" s="1"/>
  <c r="N506" i="24"/>
  <c r="O506" i="24" s="1"/>
  <c r="A507" i="24"/>
  <c r="F506" i="24"/>
  <c r="G506" i="24" s="1"/>
  <c r="T506" i="24"/>
  <c r="U506" i="24" s="1"/>
  <c r="B506" i="24"/>
  <c r="C506" i="24" s="1"/>
  <c r="V506" i="24"/>
  <c r="W506" i="24" s="1"/>
  <c r="J318" i="37"/>
  <c r="I318" i="37"/>
  <c r="D318" i="37"/>
  <c r="C318" i="37"/>
  <c r="P317" i="37"/>
  <c r="O317" i="37"/>
  <c r="G318" i="37"/>
  <c r="F318" i="37"/>
  <c r="R317" i="37"/>
  <c r="S317" i="37"/>
  <c r="M318" i="37"/>
  <c r="L318" i="37"/>
  <c r="T507" i="24" l="1"/>
  <c r="U507" i="24" s="1"/>
  <c r="P507" i="24"/>
  <c r="Q507" i="24" s="1"/>
  <c r="A508" i="24"/>
  <c r="V507" i="24"/>
  <c r="W507" i="24" s="1"/>
  <c r="B507" i="24"/>
  <c r="C507" i="24" s="1"/>
  <c r="F507" i="24"/>
  <c r="G507" i="24" s="1"/>
  <c r="J507" i="24"/>
  <c r="K507" i="24" s="1"/>
  <c r="R507" i="24"/>
  <c r="S507" i="24" s="1"/>
  <c r="D507" i="24"/>
  <c r="E507" i="24" s="1"/>
  <c r="L507" i="24"/>
  <c r="M507" i="24" s="1"/>
  <c r="H507" i="24"/>
  <c r="I507" i="24" s="1"/>
  <c r="N507" i="24"/>
  <c r="O507" i="24" s="1"/>
  <c r="J319" i="37"/>
  <c r="I319" i="37"/>
  <c r="C319" i="37"/>
  <c r="D319" i="37"/>
  <c r="P318" i="37"/>
  <c r="O318" i="37"/>
  <c r="S318" i="37"/>
  <c r="R318" i="37"/>
  <c r="M319" i="37"/>
  <c r="L319" i="37"/>
  <c r="F319" i="37"/>
  <c r="G319" i="37"/>
  <c r="H508" i="24" l="1"/>
  <c r="I508" i="24" s="1"/>
  <c r="V508" i="24"/>
  <c r="W508" i="24" s="1"/>
  <c r="D508" i="24"/>
  <c r="E508" i="24" s="1"/>
  <c r="J508" i="24"/>
  <c r="K508" i="24" s="1"/>
  <c r="B508" i="24"/>
  <c r="C508" i="24" s="1"/>
  <c r="N508" i="24"/>
  <c r="O508" i="24" s="1"/>
  <c r="L508" i="24"/>
  <c r="M508" i="24" s="1"/>
  <c r="P508" i="24"/>
  <c r="Q508" i="24" s="1"/>
  <c r="T508" i="24"/>
  <c r="U508" i="24" s="1"/>
  <c r="A509" i="24"/>
  <c r="R508" i="24"/>
  <c r="S508" i="24" s="1"/>
  <c r="F508" i="24"/>
  <c r="G508" i="24" s="1"/>
  <c r="I320" i="37"/>
  <c r="J320" i="37"/>
  <c r="C320" i="37"/>
  <c r="D320" i="37"/>
  <c r="O319" i="37"/>
  <c r="P319" i="37"/>
  <c r="S319" i="37"/>
  <c r="R319" i="37"/>
  <c r="F320" i="37"/>
  <c r="G320" i="37"/>
  <c r="L320" i="37"/>
  <c r="M320" i="37"/>
  <c r="P509" i="24" l="1"/>
  <c r="Q509" i="24" s="1"/>
  <c r="H509" i="24"/>
  <c r="I509" i="24" s="1"/>
  <c r="T509" i="24"/>
  <c r="U509" i="24" s="1"/>
  <c r="R509" i="24"/>
  <c r="S509" i="24" s="1"/>
  <c r="B509" i="24"/>
  <c r="C509" i="24" s="1"/>
  <c r="D509" i="24"/>
  <c r="E509" i="24" s="1"/>
  <c r="J509" i="24"/>
  <c r="K509" i="24" s="1"/>
  <c r="L509" i="24"/>
  <c r="M509" i="24" s="1"/>
  <c r="F509" i="24"/>
  <c r="G509" i="24" s="1"/>
  <c r="A510" i="24"/>
  <c r="V509" i="24"/>
  <c r="W509" i="24" s="1"/>
  <c r="N509" i="24"/>
  <c r="O509" i="24" s="1"/>
  <c r="I321" i="37"/>
  <c r="J321" i="37"/>
  <c r="D321" i="37"/>
  <c r="C321" i="37"/>
  <c r="O320" i="37"/>
  <c r="P320" i="37"/>
  <c r="S320" i="37"/>
  <c r="R320" i="37"/>
  <c r="L321" i="37"/>
  <c r="M321" i="37"/>
  <c r="G321" i="37"/>
  <c r="F321" i="37"/>
  <c r="B510" i="24" l="1"/>
  <c r="C510" i="24" s="1"/>
  <c r="V510" i="24"/>
  <c r="W510" i="24" s="1"/>
  <c r="D510" i="24"/>
  <c r="E510" i="24" s="1"/>
  <c r="F510" i="24"/>
  <c r="G510" i="24" s="1"/>
  <c r="H510" i="24"/>
  <c r="I510" i="24" s="1"/>
  <c r="A511" i="24"/>
  <c r="J510" i="24"/>
  <c r="K510" i="24" s="1"/>
  <c r="L510" i="24"/>
  <c r="M510" i="24" s="1"/>
  <c r="P510" i="24"/>
  <c r="Q510" i="24" s="1"/>
  <c r="T510" i="24"/>
  <c r="U510" i="24" s="1"/>
  <c r="N510" i="24"/>
  <c r="O510" i="24" s="1"/>
  <c r="R510" i="24"/>
  <c r="S510" i="24" s="1"/>
  <c r="J322" i="37"/>
  <c r="I322" i="37"/>
  <c r="C322" i="37"/>
  <c r="D322" i="37"/>
  <c r="O321" i="37"/>
  <c r="P321" i="37"/>
  <c r="L322" i="37"/>
  <c r="M322" i="37"/>
  <c r="S321" i="37"/>
  <c r="R321" i="37"/>
  <c r="F322" i="37"/>
  <c r="G322" i="37"/>
  <c r="L511" i="24" l="1"/>
  <c r="M511" i="24" s="1"/>
  <c r="P511" i="24"/>
  <c r="Q511" i="24" s="1"/>
  <c r="T511" i="24"/>
  <c r="U511" i="24" s="1"/>
  <c r="R511" i="24"/>
  <c r="S511" i="24" s="1"/>
  <c r="D511" i="24"/>
  <c r="E511" i="24" s="1"/>
  <c r="H511" i="24"/>
  <c r="I511" i="24" s="1"/>
  <c r="J511" i="24"/>
  <c r="K511" i="24" s="1"/>
  <c r="V511" i="24"/>
  <c r="W511" i="24" s="1"/>
  <c r="A512" i="24"/>
  <c r="N511" i="24"/>
  <c r="O511" i="24" s="1"/>
  <c r="F511" i="24"/>
  <c r="G511" i="24" s="1"/>
  <c r="B511" i="24"/>
  <c r="C511" i="24" s="1"/>
  <c r="J323" i="37"/>
  <c r="I323" i="37"/>
  <c r="D323" i="37"/>
  <c r="C323" i="37"/>
  <c r="O322" i="37"/>
  <c r="P322" i="37"/>
  <c r="R322" i="37"/>
  <c r="S322" i="37"/>
  <c r="L323" i="37"/>
  <c r="M323" i="37"/>
  <c r="G323" i="37"/>
  <c r="F323" i="37"/>
  <c r="A513" i="24" l="1"/>
  <c r="N512" i="24"/>
  <c r="O512" i="24" s="1"/>
  <c r="B512" i="24"/>
  <c r="C512" i="24" s="1"/>
  <c r="V512" i="24"/>
  <c r="W512" i="24" s="1"/>
  <c r="D512" i="24"/>
  <c r="E512" i="24" s="1"/>
  <c r="F512" i="24"/>
  <c r="G512" i="24" s="1"/>
  <c r="H512" i="24"/>
  <c r="I512" i="24" s="1"/>
  <c r="J512" i="24"/>
  <c r="K512" i="24" s="1"/>
  <c r="L512" i="24"/>
  <c r="M512" i="24" s="1"/>
  <c r="P512" i="24"/>
  <c r="Q512" i="24" s="1"/>
  <c r="R512" i="24"/>
  <c r="S512" i="24" s="1"/>
  <c r="T512" i="24"/>
  <c r="U512" i="24" s="1"/>
  <c r="J324" i="37"/>
  <c r="I324" i="37"/>
  <c r="C324" i="37"/>
  <c r="D324" i="37"/>
  <c r="O323" i="37"/>
  <c r="P323" i="37"/>
  <c r="G324" i="37"/>
  <c r="F324" i="37"/>
  <c r="L324" i="37"/>
  <c r="M324" i="37"/>
  <c r="S323" i="37"/>
  <c r="R323" i="37"/>
  <c r="H513" i="24" l="1"/>
  <c r="I513" i="24" s="1"/>
  <c r="L513" i="24"/>
  <c r="M513" i="24" s="1"/>
  <c r="R513" i="24"/>
  <c r="S513" i="24" s="1"/>
  <c r="D513" i="24"/>
  <c r="E513" i="24" s="1"/>
  <c r="J513" i="24"/>
  <c r="K513" i="24" s="1"/>
  <c r="N513" i="24"/>
  <c r="O513" i="24" s="1"/>
  <c r="P513" i="24"/>
  <c r="Q513" i="24" s="1"/>
  <c r="A514" i="24"/>
  <c r="F513" i="24"/>
  <c r="G513" i="24" s="1"/>
  <c r="T513" i="24"/>
  <c r="U513" i="24" s="1"/>
  <c r="B513" i="24"/>
  <c r="C513" i="24" s="1"/>
  <c r="V513" i="24"/>
  <c r="W513" i="24" s="1"/>
  <c r="I325" i="37"/>
  <c r="J325" i="37"/>
  <c r="C325" i="37"/>
  <c r="D325" i="37"/>
  <c r="P324" i="37"/>
  <c r="O324" i="37"/>
  <c r="S324" i="37"/>
  <c r="R324" i="37"/>
  <c r="G325" i="37"/>
  <c r="F325" i="37"/>
  <c r="M325" i="37"/>
  <c r="L325" i="37"/>
  <c r="T514" i="24" l="1"/>
  <c r="U514" i="24" s="1"/>
  <c r="P514" i="24"/>
  <c r="Q514" i="24" s="1"/>
  <c r="B514" i="24"/>
  <c r="C514" i="24" s="1"/>
  <c r="N514" i="24"/>
  <c r="O514" i="24" s="1"/>
  <c r="A515" i="24"/>
  <c r="V514" i="24"/>
  <c r="W514" i="24" s="1"/>
  <c r="J514" i="24"/>
  <c r="K514" i="24" s="1"/>
  <c r="D514" i="24"/>
  <c r="E514" i="24" s="1"/>
  <c r="L514" i="24"/>
  <c r="M514" i="24" s="1"/>
  <c r="R514" i="24"/>
  <c r="S514" i="24" s="1"/>
  <c r="H514" i="24"/>
  <c r="I514" i="24" s="1"/>
  <c r="F514" i="24"/>
  <c r="G514" i="24" s="1"/>
  <c r="J326" i="37"/>
  <c r="I326" i="37"/>
  <c r="D326" i="37"/>
  <c r="C326" i="37"/>
  <c r="P325" i="37"/>
  <c r="O325" i="37"/>
  <c r="L326" i="37"/>
  <c r="M326" i="37"/>
  <c r="G326" i="37"/>
  <c r="F326" i="37"/>
  <c r="R325" i="37"/>
  <c r="S325" i="37"/>
  <c r="D515" i="24" l="1"/>
  <c r="E515" i="24" s="1"/>
  <c r="N515" i="24"/>
  <c r="O515" i="24" s="1"/>
  <c r="J515" i="24"/>
  <c r="K515" i="24" s="1"/>
  <c r="R515" i="24"/>
  <c r="S515" i="24" s="1"/>
  <c r="A516" i="24"/>
  <c r="H515" i="24"/>
  <c r="I515" i="24" s="1"/>
  <c r="L515" i="24"/>
  <c r="M515" i="24" s="1"/>
  <c r="V515" i="24"/>
  <c r="W515" i="24" s="1"/>
  <c r="T515" i="24"/>
  <c r="U515" i="24" s="1"/>
  <c r="B515" i="24"/>
  <c r="C515" i="24" s="1"/>
  <c r="F515" i="24"/>
  <c r="G515" i="24" s="1"/>
  <c r="P515" i="24"/>
  <c r="Q515" i="24" s="1"/>
  <c r="J327" i="37"/>
  <c r="I327" i="37"/>
  <c r="C327" i="37"/>
  <c r="D327" i="37"/>
  <c r="P326" i="37"/>
  <c r="O326" i="37"/>
  <c r="F327" i="37"/>
  <c r="G327" i="37"/>
  <c r="R326" i="37"/>
  <c r="S326" i="37"/>
  <c r="M327" i="37"/>
  <c r="L327" i="37"/>
  <c r="N516" i="24" l="1"/>
  <c r="O516" i="24" s="1"/>
  <c r="P516" i="24"/>
  <c r="Q516" i="24" s="1"/>
  <c r="T516" i="24"/>
  <c r="U516" i="24" s="1"/>
  <c r="L516" i="24"/>
  <c r="M516" i="24" s="1"/>
  <c r="B516" i="24"/>
  <c r="C516" i="24" s="1"/>
  <c r="H516" i="24"/>
  <c r="I516" i="24" s="1"/>
  <c r="J516" i="24"/>
  <c r="K516" i="24" s="1"/>
  <c r="D516" i="24"/>
  <c r="E516" i="24" s="1"/>
  <c r="F516" i="24"/>
  <c r="G516" i="24" s="1"/>
  <c r="A517" i="24"/>
  <c r="R516" i="24"/>
  <c r="S516" i="24" s="1"/>
  <c r="V516" i="24"/>
  <c r="W516" i="24" s="1"/>
  <c r="J328" i="37"/>
  <c r="I328" i="37"/>
  <c r="D328" i="37"/>
  <c r="C328" i="37"/>
  <c r="P327" i="37"/>
  <c r="O327" i="37"/>
  <c r="L328" i="37"/>
  <c r="M328" i="37"/>
  <c r="G328" i="37"/>
  <c r="F328" i="37"/>
  <c r="S327" i="37"/>
  <c r="R327" i="37"/>
  <c r="A518" i="24" l="1"/>
  <c r="N517" i="24"/>
  <c r="O517" i="24" s="1"/>
  <c r="B517" i="24"/>
  <c r="C517" i="24" s="1"/>
  <c r="V517" i="24"/>
  <c r="W517" i="24" s="1"/>
  <c r="D517" i="24"/>
  <c r="E517" i="24" s="1"/>
  <c r="F517" i="24"/>
  <c r="G517" i="24" s="1"/>
  <c r="T517" i="24"/>
  <c r="U517" i="24" s="1"/>
  <c r="H517" i="24"/>
  <c r="I517" i="24" s="1"/>
  <c r="J517" i="24"/>
  <c r="K517" i="24" s="1"/>
  <c r="P517" i="24"/>
  <c r="Q517" i="24" s="1"/>
  <c r="L517" i="24"/>
  <c r="M517" i="24" s="1"/>
  <c r="R517" i="24"/>
  <c r="S517" i="24" s="1"/>
  <c r="I329" i="37"/>
  <c r="J329" i="37"/>
  <c r="C329" i="37"/>
  <c r="D329" i="37"/>
  <c r="O328" i="37"/>
  <c r="P328" i="37"/>
  <c r="R328" i="37"/>
  <c r="S328" i="37"/>
  <c r="G329" i="37"/>
  <c r="F329" i="37"/>
  <c r="M329" i="37"/>
  <c r="L329" i="37"/>
  <c r="J518" i="24" l="1"/>
  <c r="K518" i="24" s="1"/>
  <c r="L518" i="24"/>
  <c r="M518" i="24" s="1"/>
  <c r="P518" i="24"/>
  <c r="Q518" i="24" s="1"/>
  <c r="B518" i="24"/>
  <c r="C518" i="24" s="1"/>
  <c r="D518" i="24"/>
  <c r="E518" i="24" s="1"/>
  <c r="H518" i="24"/>
  <c r="I518" i="24" s="1"/>
  <c r="R518" i="24"/>
  <c r="S518" i="24" s="1"/>
  <c r="T518" i="24"/>
  <c r="U518" i="24" s="1"/>
  <c r="F518" i="24"/>
  <c r="G518" i="24" s="1"/>
  <c r="N518" i="24"/>
  <c r="O518" i="24" s="1"/>
  <c r="V518" i="24"/>
  <c r="W518" i="24" s="1"/>
  <c r="A519" i="24"/>
  <c r="J330" i="37"/>
  <c r="I330" i="37"/>
  <c r="C330" i="37"/>
  <c r="D330" i="37"/>
  <c r="P329" i="37"/>
  <c r="O329" i="37"/>
  <c r="S329" i="37"/>
  <c r="R329" i="37"/>
  <c r="G330" i="37"/>
  <c r="F330" i="37"/>
  <c r="L330" i="37"/>
  <c r="M330" i="37"/>
  <c r="A520" i="24" l="1"/>
  <c r="V519" i="24"/>
  <c r="W519" i="24" s="1"/>
  <c r="D519" i="24"/>
  <c r="E519" i="24" s="1"/>
  <c r="N519" i="24"/>
  <c r="O519" i="24" s="1"/>
  <c r="H519" i="24"/>
  <c r="I519" i="24" s="1"/>
  <c r="F519" i="24"/>
  <c r="G519" i="24" s="1"/>
  <c r="B519" i="24"/>
  <c r="C519" i="24" s="1"/>
  <c r="J519" i="24"/>
  <c r="K519" i="24" s="1"/>
  <c r="L519" i="24"/>
  <c r="M519" i="24" s="1"/>
  <c r="P519" i="24"/>
  <c r="Q519" i="24" s="1"/>
  <c r="T519" i="24"/>
  <c r="U519" i="24" s="1"/>
  <c r="R519" i="24"/>
  <c r="S519" i="24" s="1"/>
  <c r="J331" i="37"/>
  <c r="I331" i="37"/>
  <c r="C331" i="37"/>
  <c r="D331" i="37"/>
  <c r="P330" i="37"/>
  <c r="O330" i="37"/>
  <c r="L331" i="37"/>
  <c r="M331" i="37"/>
  <c r="G331" i="37"/>
  <c r="F331" i="37"/>
  <c r="S330" i="37"/>
  <c r="R330" i="37"/>
  <c r="H520" i="24" l="1"/>
  <c r="I520" i="24" s="1"/>
  <c r="J520" i="24"/>
  <c r="L520" i="24"/>
  <c r="M520" i="24" s="1"/>
  <c r="B520" i="24"/>
  <c r="C520" i="24" s="1"/>
  <c r="D520" i="24"/>
  <c r="E520" i="24" s="1"/>
  <c r="P520" i="24"/>
  <c r="Q520" i="24" s="1"/>
  <c r="R520" i="24"/>
  <c r="S520" i="24" s="1"/>
  <c r="T520" i="24"/>
  <c r="U520" i="24" s="1"/>
  <c r="V520" i="24"/>
  <c r="W520" i="24" s="1"/>
  <c r="A521" i="24"/>
  <c r="N520" i="24"/>
  <c r="O520" i="24" s="1"/>
  <c r="F520" i="24"/>
  <c r="G520" i="24" s="1"/>
  <c r="K520" i="24"/>
  <c r="J332" i="37"/>
  <c r="I332" i="37"/>
  <c r="D332" i="37"/>
  <c r="C332" i="37"/>
  <c r="O331" i="37"/>
  <c r="P331" i="37"/>
  <c r="F332" i="37"/>
  <c r="G332" i="37"/>
  <c r="S331" i="37"/>
  <c r="R331" i="37"/>
  <c r="M332" i="37"/>
  <c r="L332" i="37"/>
  <c r="T521" i="24" l="1"/>
  <c r="U521" i="24" s="1"/>
  <c r="N521" i="24"/>
  <c r="O521" i="24" s="1"/>
  <c r="A522" i="24"/>
  <c r="F521" i="24"/>
  <c r="G521" i="24" s="1"/>
  <c r="B521" i="24"/>
  <c r="C521" i="24" s="1"/>
  <c r="V521" i="24"/>
  <c r="W521" i="24" s="1"/>
  <c r="H521" i="24"/>
  <c r="I521" i="24" s="1"/>
  <c r="J521" i="24"/>
  <c r="K521" i="24" s="1"/>
  <c r="L521" i="24"/>
  <c r="M521" i="24" s="1"/>
  <c r="R521" i="24"/>
  <c r="S521" i="24" s="1"/>
  <c r="D521" i="24"/>
  <c r="E521" i="24" s="1"/>
  <c r="P521" i="24"/>
  <c r="Q521" i="24" s="1"/>
  <c r="I333" i="37"/>
  <c r="J333" i="37"/>
  <c r="D333" i="37"/>
  <c r="C333" i="37"/>
  <c r="P332" i="37"/>
  <c r="O332" i="37"/>
  <c r="S332" i="37"/>
  <c r="R332" i="37"/>
  <c r="M333" i="37"/>
  <c r="L333" i="37"/>
  <c r="G333" i="37"/>
  <c r="F333" i="37"/>
  <c r="D522" i="24" l="1"/>
  <c r="E522" i="24" s="1"/>
  <c r="F522" i="24"/>
  <c r="G522" i="24" s="1"/>
  <c r="J522" i="24"/>
  <c r="K522" i="24" s="1"/>
  <c r="H522" i="24"/>
  <c r="I522" i="24" s="1"/>
  <c r="B522" i="24"/>
  <c r="C522" i="24" s="1"/>
  <c r="L522" i="24"/>
  <c r="M522" i="24" s="1"/>
  <c r="R522" i="24"/>
  <c r="S522" i="24" s="1"/>
  <c r="P522" i="24"/>
  <c r="Q522" i="24" s="1"/>
  <c r="T522" i="24"/>
  <c r="U522" i="24" s="1"/>
  <c r="N522" i="24"/>
  <c r="O522" i="24" s="1"/>
  <c r="A523" i="24"/>
  <c r="V522" i="24"/>
  <c r="W522" i="24" s="1"/>
  <c r="I334" i="37"/>
  <c r="J334" i="37"/>
  <c r="D334" i="37"/>
  <c r="C334" i="37"/>
  <c r="P333" i="37"/>
  <c r="O333" i="37"/>
  <c r="S333" i="37"/>
  <c r="R333" i="37"/>
  <c r="G334" i="37"/>
  <c r="F334" i="37"/>
  <c r="L334" i="37"/>
  <c r="M334" i="37"/>
  <c r="R523" i="24" l="1"/>
  <c r="S523" i="24" s="1"/>
  <c r="L523" i="24"/>
  <c r="M523" i="24" s="1"/>
  <c r="T523" i="24"/>
  <c r="U523" i="24" s="1"/>
  <c r="V523" i="24"/>
  <c r="W523" i="24" s="1"/>
  <c r="B523" i="24"/>
  <c r="C523" i="24" s="1"/>
  <c r="H523" i="24"/>
  <c r="I523" i="24" s="1"/>
  <c r="J523" i="24"/>
  <c r="K523" i="24" s="1"/>
  <c r="D523" i="24"/>
  <c r="E523" i="24" s="1"/>
  <c r="N523" i="24"/>
  <c r="O523" i="24" s="1"/>
  <c r="P523" i="24"/>
  <c r="Q523" i="24" s="1"/>
  <c r="F523" i="24"/>
  <c r="G523" i="24" s="1"/>
  <c r="A524" i="24"/>
  <c r="J335" i="37"/>
  <c r="I335" i="37"/>
  <c r="D335" i="37"/>
  <c r="C335" i="37"/>
  <c r="P334" i="37"/>
  <c r="O334" i="37"/>
  <c r="R334" i="37"/>
  <c r="S334" i="37"/>
  <c r="F335" i="37"/>
  <c r="G335" i="37"/>
  <c r="M335" i="37"/>
  <c r="L335" i="37"/>
  <c r="A525" i="24" l="1"/>
  <c r="R524" i="24"/>
  <c r="S524" i="24" s="1"/>
  <c r="B524" i="24"/>
  <c r="C524" i="24" s="1"/>
  <c r="V524" i="24"/>
  <c r="W524" i="24" s="1"/>
  <c r="H524" i="24"/>
  <c r="I524" i="24" s="1"/>
  <c r="F524" i="24"/>
  <c r="G524" i="24" s="1"/>
  <c r="T524" i="24"/>
  <c r="U524" i="24" s="1"/>
  <c r="D524" i="24"/>
  <c r="E524" i="24" s="1"/>
  <c r="J524" i="24"/>
  <c r="K524" i="24" s="1"/>
  <c r="N524" i="24"/>
  <c r="O524" i="24" s="1"/>
  <c r="P524" i="24"/>
  <c r="Q524" i="24" s="1"/>
  <c r="L524" i="24"/>
  <c r="M524" i="24" s="1"/>
  <c r="J336" i="37"/>
  <c r="I336" i="37"/>
  <c r="D336" i="37"/>
  <c r="C336" i="37"/>
  <c r="P335" i="37"/>
  <c r="O335" i="37"/>
  <c r="F336" i="37"/>
  <c r="G336" i="37"/>
  <c r="S335" i="37"/>
  <c r="R335" i="37"/>
  <c r="M336" i="37"/>
  <c r="L336" i="37"/>
  <c r="H525" i="24" l="1"/>
  <c r="I525" i="24" s="1"/>
  <c r="J525" i="24"/>
  <c r="K525" i="24" s="1"/>
  <c r="L525" i="24"/>
  <c r="M525" i="24" s="1"/>
  <c r="A526" i="24"/>
  <c r="B525" i="24"/>
  <c r="C525" i="24" s="1"/>
  <c r="D525" i="24"/>
  <c r="E525" i="24" s="1"/>
  <c r="P525" i="24"/>
  <c r="Q525" i="24" s="1"/>
  <c r="N525" i="24"/>
  <c r="O525" i="24" s="1"/>
  <c r="V525" i="24"/>
  <c r="W525" i="24" s="1"/>
  <c r="F525" i="24"/>
  <c r="G525" i="24" s="1"/>
  <c r="T525" i="24"/>
  <c r="U525" i="24" s="1"/>
  <c r="R525" i="24"/>
  <c r="S525" i="24" s="1"/>
  <c r="I337" i="37"/>
  <c r="J337" i="37"/>
  <c r="C337" i="37"/>
  <c r="D337" i="37"/>
  <c r="O336" i="37"/>
  <c r="P336" i="37"/>
  <c r="M337" i="37"/>
  <c r="L337" i="37"/>
  <c r="R336" i="37"/>
  <c r="S336" i="37"/>
  <c r="G337" i="37"/>
  <c r="F337" i="37"/>
  <c r="T526" i="24" l="1"/>
  <c r="U526" i="24" s="1"/>
  <c r="R526" i="24"/>
  <c r="S526" i="24" s="1"/>
  <c r="B526" i="24"/>
  <c r="C526" i="24" s="1"/>
  <c r="N526" i="24"/>
  <c r="O526" i="24" s="1"/>
  <c r="A527" i="24"/>
  <c r="V526" i="24"/>
  <c r="W526" i="24" s="1"/>
  <c r="D526" i="24"/>
  <c r="E526" i="24" s="1"/>
  <c r="H526" i="24"/>
  <c r="I526" i="24" s="1"/>
  <c r="J526" i="24"/>
  <c r="K526" i="24" s="1"/>
  <c r="L526" i="24"/>
  <c r="M526" i="24" s="1"/>
  <c r="P526" i="24"/>
  <c r="Q526" i="24" s="1"/>
  <c r="F526" i="24"/>
  <c r="G526" i="24" s="1"/>
  <c r="J338" i="37"/>
  <c r="I338" i="37"/>
  <c r="D338" i="37"/>
  <c r="C338" i="37"/>
  <c r="P337" i="37"/>
  <c r="O337" i="37"/>
  <c r="S337" i="37"/>
  <c r="R337" i="37"/>
  <c r="F338" i="37"/>
  <c r="G338" i="37"/>
  <c r="M338" i="37"/>
  <c r="L338" i="37"/>
  <c r="H527" i="24" l="1"/>
  <c r="I527" i="24" s="1"/>
  <c r="L527" i="24"/>
  <c r="M527" i="24" s="1"/>
  <c r="P527" i="24"/>
  <c r="Q527" i="24" s="1"/>
  <c r="B527" i="24"/>
  <c r="C527" i="24" s="1"/>
  <c r="A528" i="24"/>
  <c r="R527" i="24"/>
  <c r="S527" i="24" s="1"/>
  <c r="V527" i="24"/>
  <c r="W527" i="24" s="1"/>
  <c r="T527" i="24"/>
  <c r="U527" i="24" s="1"/>
  <c r="J527" i="24"/>
  <c r="K527" i="24" s="1"/>
  <c r="D527" i="24"/>
  <c r="E527" i="24" s="1"/>
  <c r="N527" i="24"/>
  <c r="O527" i="24" s="1"/>
  <c r="F527" i="24"/>
  <c r="G527" i="24" s="1"/>
  <c r="J339" i="37"/>
  <c r="I339" i="37"/>
  <c r="D339" i="37"/>
  <c r="C339" i="37"/>
  <c r="P338" i="37"/>
  <c r="O338" i="37"/>
  <c r="G339" i="37"/>
  <c r="F339" i="37"/>
  <c r="L339" i="37"/>
  <c r="M339" i="37"/>
  <c r="R338" i="37"/>
  <c r="S338" i="37"/>
  <c r="P528" i="24" l="1"/>
  <c r="Q528" i="24" s="1"/>
  <c r="T528" i="24"/>
  <c r="U528" i="24" s="1"/>
  <c r="R528" i="24"/>
  <c r="S528" i="24" s="1"/>
  <c r="A529" i="24"/>
  <c r="N528" i="24"/>
  <c r="O528" i="24" s="1"/>
  <c r="B528" i="24"/>
  <c r="C528" i="24" s="1"/>
  <c r="D528" i="24"/>
  <c r="E528" i="24" s="1"/>
  <c r="H528" i="24"/>
  <c r="I528" i="24" s="1"/>
  <c r="J528" i="24"/>
  <c r="K528" i="24" s="1"/>
  <c r="F528" i="24"/>
  <c r="G528" i="24" s="1"/>
  <c r="L528" i="24"/>
  <c r="M528" i="24" s="1"/>
  <c r="V528" i="24"/>
  <c r="W528" i="24" s="1"/>
  <c r="I340" i="37"/>
  <c r="J340" i="37"/>
  <c r="D340" i="37"/>
  <c r="C340" i="37"/>
  <c r="P339" i="37"/>
  <c r="O339" i="37"/>
  <c r="M340" i="37"/>
  <c r="L340" i="37"/>
  <c r="S339" i="37"/>
  <c r="R339" i="37"/>
  <c r="F340" i="37"/>
  <c r="G340" i="37"/>
  <c r="D529" i="24" l="1"/>
  <c r="E529" i="24" s="1"/>
  <c r="V529" i="24"/>
  <c r="W529" i="24" s="1"/>
  <c r="H529" i="24"/>
  <c r="I529" i="24" s="1"/>
  <c r="J529" i="24"/>
  <c r="K529" i="24" s="1"/>
  <c r="A530" i="24"/>
  <c r="B529" i="24"/>
  <c r="C529" i="24" s="1"/>
  <c r="L529" i="24"/>
  <c r="M529" i="24" s="1"/>
  <c r="R529" i="24"/>
  <c r="S529" i="24" s="1"/>
  <c r="F529" i="24"/>
  <c r="G529" i="24" s="1"/>
  <c r="T529" i="24"/>
  <c r="U529" i="24" s="1"/>
  <c r="P529" i="24"/>
  <c r="Q529" i="24" s="1"/>
  <c r="N529" i="24"/>
  <c r="O529" i="24" s="1"/>
  <c r="I341" i="37"/>
  <c r="J341" i="37"/>
  <c r="C341" i="37"/>
  <c r="D341" i="37"/>
  <c r="P340" i="37"/>
  <c r="O340" i="37"/>
  <c r="G341" i="37"/>
  <c r="F341" i="37"/>
  <c r="S340" i="37"/>
  <c r="R340" i="37"/>
  <c r="L341" i="37"/>
  <c r="M341" i="37"/>
  <c r="L530" i="24" l="1"/>
  <c r="M530" i="24" s="1"/>
  <c r="R530" i="24"/>
  <c r="S530" i="24" s="1"/>
  <c r="A531" i="24"/>
  <c r="P530" i="24"/>
  <c r="Q530" i="24" s="1"/>
  <c r="T530" i="24"/>
  <c r="U530" i="24" s="1"/>
  <c r="D530" i="24"/>
  <c r="E530" i="24" s="1"/>
  <c r="B530" i="24"/>
  <c r="C530" i="24" s="1"/>
  <c r="H530" i="24"/>
  <c r="I530" i="24" s="1"/>
  <c r="V530" i="24"/>
  <c r="W530" i="24" s="1"/>
  <c r="F530" i="24"/>
  <c r="G530" i="24" s="1"/>
  <c r="J530" i="24"/>
  <c r="K530" i="24" s="1"/>
  <c r="N530" i="24"/>
  <c r="O530" i="24" s="1"/>
  <c r="I342" i="37"/>
  <c r="J342" i="37"/>
  <c r="C342" i="37"/>
  <c r="D342" i="37"/>
  <c r="P341" i="37"/>
  <c r="O341" i="37"/>
  <c r="S341" i="37"/>
  <c r="R341" i="37"/>
  <c r="M342" i="37"/>
  <c r="L342" i="37"/>
  <c r="G342" i="37"/>
  <c r="F342" i="37"/>
  <c r="A532" i="24" l="1"/>
  <c r="F531" i="24"/>
  <c r="B531" i="24"/>
  <c r="C531" i="24" s="1"/>
  <c r="P531" i="24"/>
  <c r="Q531" i="24" s="1"/>
  <c r="D531" i="24"/>
  <c r="E531" i="24" s="1"/>
  <c r="N531" i="24"/>
  <c r="O531" i="24" s="1"/>
  <c r="T531" i="24"/>
  <c r="U531" i="24" s="1"/>
  <c r="H531" i="24"/>
  <c r="I531" i="24" s="1"/>
  <c r="J531" i="24"/>
  <c r="K531" i="24" s="1"/>
  <c r="V531" i="24"/>
  <c r="W531" i="24" s="1"/>
  <c r="R531" i="24"/>
  <c r="S531" i="24" s="1"/>
  <c r="L531" i="24"/>
  <c r="M531" i="24" s="1"/>
  <c r="G531" i="24"/>
  <c r="I343" i="37"/>
  <c r="J343" i="37"/>
  <c r="D343" i="37"/>
  <c r="C343" i="37"/>
  <c r="O342" i="37"/>
  <c r="P342" i="37"/>
  <c r="M343" i="37"/>
  <c r="L343" i="37"/>
  <c r="F343" i="37"/>
  <c r="G343" i="37"/>
  <c r="S342" i="37"/>
  <c r="R342" i="37"/>
  <c r="D532" i="24" l="1"/>
  <c r="E532" i="24" s="1"/>
  <c r="J532" i="24"/>
  <c r="K532" i="24" s="1"/>
  <c r="L532" i="24"/>
  <c r="M532" i="24" s="1"/>
  <c r="T532" i="24"/>
  <c r="U532" i="24" s="1"/>
  <c r="R532" i="24"/>
  <c r="S532" i="24" s="1"/>
  <c r="A533" i="24"/>
  <c r="H532" i="24"/>
  <c r="I532" i="24" s="1"/>
  <c r="B532" i="24"/>
  <c r="C532" i="24" s="1"/>
  <c r="V532" i="24"/>
  <c r="W532" i="24" s="1"/>
  <c r="N532" i="24"/>
  <c r="O532" i="24" s="1"/>
  <c r="P532" i="24"/>
  <c r="Q532" i="24" s="1"/>
  <c r="F532" i="24"/>
  <c r="G532" i="24" s="1"/>
  <c r="J344" i="37"/>
  <c r="I344" i="37"/>
  <c r="D344" i="37"/>
  <c r="C344" i="37"/>
  <c r="P343" i="37"/>
  <c r="O343" i="37"/>
  <c r="R343" i="37"/>
  <c r="S343" i="37"/>
  <c r="G344" i="37"/>
  <c r="F344" i="37"/>
  <c r="L344" i="37"/>
  <c r="M344" i="37"/>
  <c r="T533" i="24" l="1"/>
  <c r="U533" i="24" s="1"/>
  <c r="N533" i="24"/>
  <c r="O533" i="24" s="1"/>
  <c r="A534" i="24"/>
  <c r="V533" i="24"/>
  <c r="W533" i="24" s="1"/>
  <c r="B533" i="24"/>
  <c r="C533" i="24" s="1"/>
  <c r="L533" i="24"/>
  <c r="M533" i="24" s="1"/>
  <c r="D533" i="24"/>
  <c r="E533" i="24" s="1"/>
  <c r="H533" i="24"/>
  <c r="I533" i="24" s="1"/>
  <c r="P533" i="24"/>
  <c r="Q533" i="24" s="1"/>
  <c r="F533" i="24"/>
  <c r="G533" i="24" s="1"/>
  <c r="J533" i="24"/>
  <c r="K533" i="24" s="1"/>
  <c r="R533" i="24"/>
  <c r="S533" i="24" s="1"/>
  <c r="I345" i="37"/>
  <c r="J345" i="37"/>
  <c r="C345" i="37"/>
  <c r="D345" i="37"/>
  <c r="P344" i="37"/>
  <c r="O344" i="37"/>
  <c r="F345" i="37"/>
  <c r="G345" i="37"/>
  <c r="S344" i="37"/>
  <c r="R344" i="37"/>
  <c r="L345" i="37"/>
  <c r="M345" i="37"/>
  <c r="J534" i="24" l="1"/>
  <c r="K534" i="24" s="1"/>
  <c r="H534" i="24"/>
  <c r="I534" i="24" s="1"/>
  <c r="L534" i="24"/>
  <c r="M534" i="24" s="1"/>
  <c r="B534" i="24"/>
  <c r="C534" i="24" s="1"/>
  <c r="A535" i="24"/>
  <c r="D534" i="24"/>
  <c r="E534" i="24" s="1"/>
  <c r="P534" i="24"/>
  <c r="Q534" i="24" s="1"/>
  <c r="V534" i="24"/>
  <c r="W534" i="24" s="1"/>
  <c r="T534" i="24"/>
  <c r="U534" i="24" s="1"/>
  <c r="N534" i="24"/>
  <c r="O534" i="24" s="1"/>
  <c r="R534" i="24"/>
  <c r="S534" i="24" s="1"/>
  <c r="F534" i="24"/>
  <c r="G534" i="24" s="1"/>
  <c r="J346" i="37"/>
  <c r="I346" i="37"/>
  <c r="C346" i="37"/>
  <c r="D346" i="37"/>
  <c r="P345" i="37"/>
  <c r="O345" i="37"/>
  <c r="S345" i="37"/>
  <c r="R345" i="37"/>
  <c r="G346" i="37"/>
  <c r="F346" i="37"/>
  <c r="M346" i="37"/>
  <c r="L346" i="37"/>
  <c r="T535" i="24" l="1"/>
  <c r="U535" i="24" s="1"/>
  <c r="R535" i="24"/>
  <c r="S535" i="24" s="1"/>
  <c r="B535" i="24"/>
  <c r="C535" i="24" s="1"/>
  <c r="V535" i="24"/>
  <c r="W535" i="24" s="1"/>
  <c r="A536" i="24"/>
  <c r="N535" i="24"/>
  <c r="O535" i="24" s="1"/>
  <c r="D535" i="24"/>
  <c r="E535" i="24" s="1"/>
  <c r="H535" i="24"/>
  <c r="I535" i="24" s="1"/>
  <c r="L535" i="24"/>
  <c r="M535" i="24" s="1"/>
  <c r="J535" i="24"/>
  <c r="K535" i="24" s="1"/>
  <c r="P535" i="24"/>
  <c r="Q535" i="24" s="1"/>
  <c r="F535" i="24"/>
  <c r="G535" i="24" s="1"/>
  <c r="I347" i="37"/>
  <c r="J347" i="37"/>
  <c r="C347" i="37"/>
  <c r="D347" i="37"/>
  <c r="O346" i="37"/>
  <c r="P346" i="37"/>
  <c r="G347" i="37"/>
  <c r="F347" i="37"/>
  <c r="S346" i="37"/>
  <c r="R346" i="37"/>
  <c r="M347" i="37"/>
  <c r="L347" i="37"/>
  <c r="J536" i="24" l="1"/>
  <c r="K536" i="24" s="1"/>
  <c r="H536" i="24"/>
  <c r="I536" i="24" s="1"/>
  <c r="L536" i="24"/>
  <c r="M536" i="24" s="1"/>
  <c r="B536" i="24"/>
  <c r="C536" i="24" s="1"/>
  <c r="D536" i="24"/>
  <c r="E536" i="24" s="1"/>
  <c r="P536" i="24"/>
  <c r="Q536" i="24" s="1"/>
  <c r="R536" i="24"/>
  <c r="S536" i="24" s="1"/>
  <c r="T536" i="24"/>
  <c r="U536" i="24" s="1"/>
  <c r="A537" i="24"/>
  <c r="N536" i="24"/>
  <c r="O536" i="24" s="1"/>
  <c r="V536" i="24"/>
  <c r="W536" i="24" s="1"/>
  <c r="F536" i="24"/>
  <c r="G536" i="24" s="1"/>
  <c r="I348" i="37"/>
  <c r="J348" i="37"/>
  <c r="D348" i="37"/>
  <c r="C348" i="37"/>
  <c r="P347" i="37"/>
  <c r="O347" i="37"/>
  <c r="R347" i="37"/>
  <c r="S347" i="37"/>
  <c r="L348" i="37"/>
  <c r="M348" i="37"/>
  <c r="F348" i="37"/>
  <c r="G348" i="37"/>
  <c r="T537" i="24" l="1"/>
  <c r="U537" i="24" s="1"/>
  <c r="N537" i="24"/>
  <c r="O537" i="24" s="1"/>
  <c r="B537" i="24"/>
  <c r="C537" i="24" s="1"/>
  <c r="P537" i="24"/>
  <c r="Q537" i="24" s="1"/>
  <c r="D537" i="24"/>
  <c r="E537" i="24" s="1"/>
  <c r="V537" i="24"/>
  <c r="W537" i="24" s="1"/>
  <c r="H537" i="24"/>
  <c r="I537" i="24" s="1"/>
  <c r="J537" i="24"/>
  <c r="K537" i="24" s="1"/>
  <c r="L537" i="24"/>
  <c r="M537" i="24" s="1"/>
  <c r="R537" i="24"/>
  <c r="S537" i="24" s="1"/>
  <c r="A538" i="24"/>
  <c r="F537" i="24"/>
  <c r="G537" i="24" s="1"/>
  <c r="J349" i="37"/>
  <c r="I349" i="37"/>
  <c r="C349" i="37"/>
  <c r="D349" i="37"/>
  <c r="P348" i="37"/>
  <c r="O348" i="37"/>
  <c r="L349" i="37"/>
  <c r="M349" i="37"/>
  <c r="F349" i="37"/>
  <c r="G349" i="37"/>
  <c r="S348" i="37"/>
  <c r="R348" i="37"/>
  <c r="J538" i="24" l="1"/>
  <c r="K538" i="24" s="1"/>
  <c r="L538" i="24"/>
  <c r="M538" i="24" s="1"/>
  <c r="D538" i="24"/>
  <c r="E538" i="24" s="1"/>
  <c r="H538" i="24"/>
  <c r="I538" i="24" s="1"/>
  <c r="R538" i="24"/>
  <c r="S538" i="24" s="1"/>
  <c r="P538" i="24"/>
  <c r="Q538" i="24" s="1"/>
  <c r="N538" i="24"/>
  <c r="O538" i="24" s="1"/>
  <c r="B538" i="24"/>
  <c r="C538" i="24" s="1"/>
  <c r="V538" i="24"/>
  <c r="W538" i="24" s="1"/>
  <c r="F538" i="24"/>
  <c r="G538" i="24" s="1"/>
  <c r="T538" i="24"/>
  <c r="U538" i="24" s="1"/>
  <c r="A539" i="24"/>
  <c r="I350" i="37"/>
  <c r="J350" i="37"/>
  <c r="D350" i="37"/>
  <c r="C350" i="37"/>
  <c r="P349" i="37"/>
  <c r="O349" i="37"/>
  <c r="G350" i="37"/>
  <c r="F350" i="37"/>
  <c r="S349" i="37"/>
  <c r="R349" i="37"/>
  <c r="M350" i="37"/>
  <c r="L350" i="37"/>
  <c r="T539" i="24" l="1"/>
  <c r="U539" i="24" s="1"/>
  <c r="P539" i="24"/>
  <c r="Q539" i="24" s="1"/>
  <c r="A540" i="24"/>
  <c r="V539" i="24"/>
  <c r="W539" i="24" s="1"/>
  <c r="B539" i="24"/>
  <c r="C539" i="24" s="1"/>
  <c r="F539" i="24"/>
  <c r="G539" i="24" s="1"/>
  <c r="J539" i="24"/>
  <c r="K539" i="24" s="1"/>
  <c r="R539" i="24"/>
  <c r="S539" i="24" s="1"/>
  <c r="L539" i="24"/>
  <c r="M539" i="24" s="1"/>
  <c r="N539" i="24"/>
  <c r="O539" i="24" s="1"/>
  <c r="H539" i="24"/>
  <c r="I539" i="24" s="1"/>
  <c r="D539" i="24"/>
  <c r="E539" i="24" s="1"/>
  <c r="I351" i="37"/>
  <c r="J351" i="37"/>
  <c r="C351" i="37"/>
  <c r="D351" i="37"/>
  <c r="P350" i="37"/>
  <c r="O350" i="37"/>
  <c r="L351" i="37"/>
  <c r="M351" i="37"/>
  <c r="S350" i="37"/>
  <c r="R350" i="37"/>
  <c r="G351" i="37"/>
  <c r="F351" i="37"/>
  <c r="D540" i="24" l="1"/>
  <c r="E540" i="24" s="1"/>
  <c r="J540" i="24"/>
  <c r="K540" i="24" s="1"/>
  <c r="N540" i="24"/>
  <c r="O540" i="24" s="1"/>
  <c r="P540" i="24"/>
  <c r="Q540" i="24" s="1"/>
  <c r="L540" i="24"/>
  <c r="M540" i="24" s="1"/>
  <c r="R540" i="24"/>
  <c r="S540" i="24" s="1"/>
  <c r="F540" i="24"/>
  <c r="G540" i="24" s="1"/>
  <c r="H540" i="24"/>
  <c r="I540" i="24" s="1"/>
  <c r="V540" i="24"/>
  <c r="W540" i="24" s="1"/>
  <c r="T540" i="24"/>
  <c r="U540" i="24" s="1"/>
  <c r="A541" i="24"/>
  <c r="B540" i="24"/>
  <c r="C540" i="24" s="1"/>
  <c r="I352" i="37"/>
  <c r="J352" i="37"/>
  <c r="C352" i="37"/>
  <c r="D352" i="37"/>
  <c r="O351" i="37"/>
  <c r="P351" i="37"/>
  <c r="G352" i="37"/>
  <c r="F352" i="37"/>
  <c r="S351" i="37"/>
  <c r="R351" i="37"/>
  <c r="M352" i="37"/>
  <c r="L352" i="37"/>
  <c r="T541" i="24" l="1"/>
  <c r="U541" i="24" s="1"/>
  <c r="R541" i="24"/>
  <c r="S541" i="24" s="1"/>
  <c r="A542" i="24"/>
  <c r="V541" i="24"/>
  <c r="W541" i="24" s="1"/>
  <c r="B541" i="24"/>
  <c r="C541" i="24" s="1"/>
  <c r="N541" i="24"/>
  <c r="O541" i="24" s="1"/>
  <c r="P541" i="24"/>
  <c r="Q541" i="24" s="1"/>
  <c r="L541" i="24"/>
  <c r="M541" i="24" s="1"/>
  <c r="F541" i="24"/>
  <c r="G541" i="24" s="1"/>
  <c r="D541" i="24"/>
  <c r="E541" i="24" s="1"/>
  <c r="J541" i="24"/>
  <c r="K541" i="24" s="1"/>
  <c r="H541" i="24"/>
  <c r="I541" i="24" s="1"/>
  <c r="I353" i="37"/>
  <c r="J353" i="37"/>
  <c r="C353" i="37"/>
  <c r="D353" i="37"/>
  <c r="P352" i="37"/>
  <c r="O352" i="37"/>
  <c r="M353" i="37"/>
  <c r="L353" i="37"/>
  <c r="S352" i="37"/>
  <c r="R352" i="37"/>
  <c r="F353" i="37"/>
  <c r="G353" i="37"/>
  <c r="D542" i="24" l="1"/>
  <c r="E542" i="24" s="1"/>
  <c r="J542" i="24"/>
  <c r="K542" i="24" s="1"/>
  <c r="L542" i="24"/>
  <c r="M542" i="24" s="1"/>
  <c r="R542" i="24"/>
  <c r="S542" i="24" s="1"/>
  <c r="N542" i="24"/>
  <c r="O542" i="24" s="1"/>
  <c r="V542" i="24"/>
  <c r="W542" i="24" s="1"/>
  <c r="T542" i="24"/>
  <c r="U542" i="24" s="1"/>
  <c r="F542" i="24"/>
  <c r="G542" i="24" s="1"/>
  <c r="P542" i="24"/>
  <c r="Q542" i="24" s="1"/>
  <c r="A543" i="24"/>
  <c r="B542" i="24"/>
  <c r="C542" i="24" s="1"/>
  <c r="H542" i="24"/>
  <c r="I542" i="24" s="1"/>
  <c r="I354" i="37"/>
  <c r="J354" i="37"/>
  <c r="C354" i="37"/>
  <c r="D354" i="37"/>
  <c r="O353" i="37"/>
  <c r="P353" i="37"/>
  <c r="F354" i="37"/>
  <c r="G354" i="37"/>
  <c r="S353" i="37"/>
  <c r="R353" i="37"/>
  <c r="M354" i="37"/>
  <c r="L354" i="37"/>
  <c r="T543" i="24" l="1"/>
  <c r="U543" i="24" s="1"/>
  <c r="R543" i="24"/>
  <c r="S543" i="24" s="1"/>
  <c r="A544" i="24"/>
  <c r="V543" i="24"/>
  <c r="W543" i="24" s="1"/>
  <c r="B543" i="24"/>
  <c r="C543" i="24" s="1"/>
  <c r="N543" i="24"/>
  <c r="O543" i="24" s="1"/>
  <c r="P543" i="24"/>
  <c r="Q543" i="24" s="1"/>
  <c r="F543" i="24"/>
  <c r="G543" i="24" s="1"/>
  <c r="D543" i="24"/>
  <c r="E543" i="24" s="1"/>
  <c r="H543" i="24"/>
  <c r="I543" i="24" s="1"/>
  <c r="L543" i="24"/>
  <c r="M543" i="24" s="1"/>
  <c r="J543" i="24"/>
  <c r="K543" i="24" s="1"/>
  <c r="I355" i="37"/>
  <c r="J355" i="37"/>
  <c r="D355" i="37"/>
  <c r="C355" i="37"/>
  <c r="O354" i="37"/>
  <c r="P354" i="37"/>
  <c r="M355" i="37"/>
  <c r="L355" i="37"/>
  <c r="S354" i="37"/>
  <c r="R354" i="37"/>
  <c r="G355" i="37"/>
  <c r="F355" i="37"/>
  <c r="H544" i="24" l="1"/>
  <c r="I544" i="24" s="1"/>
  <c r="J544" i="24"/>
  <c r="K544" i="24" s="1"/>
  <c r="L544" i="24"/>
  <c r="M544" i="24" s="1"/>
  <c r="N544" i="24"/>
  <c r="O544" i="24" s="1"/>
  <c r="V544" i="24"/>
  <c r="W544" i="24" s="1"/>
  <c r="T544" i="24"/>
  <c r="U544" i="24" s="1"/>
  <c r="F544" i="24"/>
  <c r="G544" i="24" s="1"/>
  <c r="A545" i="24"/>
  <c r="R544" i="24"/>
  <c r="S544" i="24" s="1"/>
  <c r="B544" i="24"/>
  <c r="C544" i="24" s="1"/>
  <c r="D544" i="24"/>
  <c r="E544" i="24" s="1"/>
  <c r="P544" i="24"/>
  <c r="Q544" i="24" s="1"/>
  <c r="I356" i="37"/>
  <c r="J356" i="37"/>
  <c r="D356" i="37"/>
  <c r="C356" i="37"/>
  <c r="O355" i="37"/>
  <c r="P355" i="37"/>
  <c r="R355" i="37"/>
  <c r="S355" i="37"/>
  <c r="M356" i="37"/>
  <c r="L356" i="37"/>
  <c r="G356" i="37"/>
  <c r="F356" i="37"/>
  <c r="T545" i="24" l="1"/>
  <c r="U545" i="24" s="1"/>
  <c r="N545" i="24"/>
  <c r="O545" i="24" s="1"/>
  <c r="A546" i="24"/>
  <c r="P545" i="24"/>
  <c r="Q545" i="24" s="1"/>
  <c r="B545" i="24"/>
  <c r="C545" i="24" s="1"/>
  <c r="F545" i="24"/>
  <c r="G545" i="24" s="1"/>
  <c r="V545" i="24"/>
  <c r="W545" i="24" s="1"/>
  <c r="D545" i="24"/>
  <c r="E545" i="24" s="1"/>
  <c r="H545" i="24"/>
  <c r="I545" i="24" s="1"/>
  <c r="J545" i="24"/>
  <c r="K545" i="24" s="1"/>
  <c r="R545" i="24"/>
  <c r="S545" i="24" s="1"/>
  <c r="L545" i="24"/>
  <c r="M545" i="24" s="1"/>
  <c r="I357" i="37"/>
  <c r="J357" i="37"/>
  <c r="C357" i="37"/>
  <c r="D357" i="37"/>
  <c r="O356" i="37"/>
  <c r="P356" i="37"/>
  <c r="M357" i="37"/>
  <c r="L357" i="37"/>
  <c r="F357" i="37"/>
  <c r="G357" i="37"/>
  <c r="S356" i="37"/>
  <c r="R356" i="37"/>
  <c r="H546" i="24" l="1"/>
  <c r="I546" i="24" s="1"/>
  <c r="J546" i="24"/>
  <c r="K546" i="24" s="1"/>
  <c r="L546" i="24"/>
  <c r="M546" i="24" s="1"/>
  <c r="V546" i="24"/>
  <c r="W546" i="24" s="1"/>
  <c r="T546" i="24"/>
  <c r="U546" i="24" s="1"/>
  <c r="F546" i="24"/>
  <c r="G546" i="24" s="1"/>
  <c r="A547" i="24"/>
  <c r="B546" i="24"/>
  <c r="C546" i="24" s="1"/>
  <c r="N546" i="24"/>
  <c r="O546" i="24" s="1"/>
  <c r="D546" i="24"/>
  <c r="E546" i="24" s="1"/>
  <c r="R546" i="24"/>
  <c r="S546" i="24" s="1"/>
  <c r="P546" i="24"/>
  <c r="Q546" i="24" s="1"/>
  <c r="J358" i="37"/>
  <c r="I358" i="37"/>
  <c r="C358" i="37"/>
  <c r="D358" i="37"/>
  <c r="P357" i="37"/>
  <c r="O357" i="37"/>
  <c r="S357" i="37"/>
  <c r="R357" i="37"/>
  <c r="G358" i="37"/>
  <c r="F358" i="37"/>
  <c r="M358" i="37"/>
  <c r="L358" i="37"/>
  <c r="T547" i="24" l="1"/>
  <c r="U547" i="24" s="1"/>
  <c r="V547" i="24"/>
  <c r="W547" i="24" s="1"/>
  <c r="B547" i="24"/>
  <c r="C547" i="24" s="1"/>
  <c r="F547" i="24"/>
  <c r="G547" i="24" s="1"/>
  <c r="A548" i="24"/>
  <c r="P547" i="24"/>
  <c r="Q547" i="24" s="1"/>
  <c r="D547" i="24"/>
  <c r="E547" i="24" s="1"/>
  <c r="H547" i="24"/>
  <c r="I547" i="24" s="1"/>
  <c r="J547" i="24"/>
  <c r="K547" i="24" s="1"/>
  <c r="R547" i="24"/>
  <c r="S547" i="24" s="1"/>
  <c r="N547" i="24"/>
  <c r="O547" i="24" s="1"/>
  <c r="L547" i="24"/>
  <c r="M547" i="24" s="1"/>
  <c r="J359" i="37"/>
  <c r="I359" i="37"/>
  <c r="D359" i="37"/>
  <c r="C359" i="37"/>
  <c r="O358" i="37"/>
  <c r="P358" i="37"/>
  <c r="G359" i="37"/>
  <c r="F359" i="37"/>
  <c r="M359" i="37"/>
  <c r="L359" i="37"/>
  <c r="S358" i="37"/>
  <c r="R358" i="37"/>
  <c r="D548" i="24" l="1"/>
  <c r="E548" i="24" s="1"/>
  <c r="J548" i="24"/>
  <c r="K548" i="24" s="1"/>
  <c r="N548" i="24"/>
  <c r="O548" i="24" s="1"/>
  <c r="T548" i="24"/>
  <c r="U548" i="24" s="1"/>
  <c r="F548" i="24"/>
  <c r="G548" i="24" s="1"/>
  <c r="A549" i="24"/>
  <c r="B548" i="24"/>
  <c r="C548" i="24" s="1"/>
  <c r="H548" i="24"/>
  <c r="I548" i="24" s="1"/>
  <c r="V548" i="24"/>
  <c r="W548" i="24" s="1"/>
  <c r="L548" i="24"/>
  <c r="M548" i="24" s="1"/>
  <c r="P548" i="24"/>
  <c r="Q548" i="24" s="1"/>
  <c r="R548" i="24"/>
  <c r="S548" i="24" s="1"/>
  <c r="J360" i="37"/>
  <c r="I360" i="37"/>
  <c r="D360" i="37"/>
  <c r="C360" i="37"/>
  <c r="P359" i="37"/>
  <c r="O359" i="37"/>
  <c r="F360" i="37"/>
  <c r="G360" i="37"/>
  <c r="S359" i="37"/>
  <c r="R359" i="37"/>
  <c r="M360" i="37"/>
  <c r="L360" i="37"/>
  <c r="T549" i="24" l="1"/>
  <c r="U549" i="24" s="1"/>
  <c r="R549" i="24"/>
  <c r="S549" i="24" s="1"/>
  <c r="A550" i="24"/>
  <c r="N549" i="24"/>
  <c r="O549" i="24" s="1"/>
  <c r="D549" i="24"/>
  <c r="E549" i="24" s="1"/>
  <c r="V549" i="24"/>
  <c r="W549" i="24" s="1"/>
  <c r="H549" i="24"/>
  <c r="I549" i="24" s="1"/>
  <c r="B549" i="24"/>
  <c r="C549" i="24" s="1"/>
  <c r="J549" i="24"/>
  <c r="K549" i="24" s="1"/>
  <c r="L549" i="24"/>
  <c r="M549" i="24" s="1"/>
  <c r="P549" i="24"/>
  <c r="Q549" i="24" s="1"/>
  <c r="F549" i="24"/>
  <c r="G549" i="24" s="1"/>
  <c r="J361" i="37"/>
  <c r="I361" i="37"/>
  <c r="D361" i="37"/>
  <c r="C361" i="37"/>
  <c r="P360" i="37"/>
  <c r="O360" i="37"/>
  <c r="M361" i="37"/>
  <c r="L361" i="37"/>
  <c r="S360" i="37"/>
  <c r="R360" i="37"/>
  <c r="F361" i="37"/>
  <c r="G361" i="37"/>
  <c r="D550" i="24" l="1"/>
  <c r="E550" i="24" s="1"/>
  <c r="J550" i="24"/>
  <c r="K550" i="24" s="1"/>
  <c r="L550" i="24"/>
  <c r="M550" i="24" s="1"/>
  <c r="A551" i="24"/>
  <c r="B550" i="24"/>
  <c r="C550" i="24" s="1"/>
  <c r="H550" i="24"/>
  <c r="I550" i="24" s="1"/>
  <c r="P550" i="24"/>
  <c r="Q550" i="24" s="1"/>
  <c r="F550" i="24"/>
  <c r="G550" i="24" s="1"/>
  <c r="T550" i="24"/>
  <c r="U550" i="24" s="1"/>
  <c r="R550" i="24"/>
  <c r="S550" i="24" s="1"/>
  <c r="N550" i="24"/>
  <c r="O550" i="24" s="1"/>
  <c r="V550" i="24"/>
  <c r="W550" i="24" s="1"/>
  <c r="I362" i="37"/>
  <c r="J362" i="37"/>
  <c r="D362" i="37"/>
  <c r="C362" i="37"/>
  <c r="P361" i="37"/>
  <c r="O361" i="37"/>
  <c r="S361" i="37"/>
  <c r="R361" i="37"/>
  <c r="M362" i="37"/>
  <c r="L362" i="37"/>
  <c r="G362" i="37"/>
  <c r="F362" i="37"/>
  <c r="T551" i="24" l="1"/>
  <c r="U551" i="24" s="1"/>
  <c r="R551" i="24"/>
  <c r="S551" i="24" s="1"/>
  <c r="A552" i="24"/>
  <c r="V551" i="24"/>
  <c r="W551" i="24" s="1"/>
  <c r="B551" i="24"/>
  <c r="C551" i="24" s="1"/>
  <c r="N551" i="24"/>
  <c r="O551" i="24" s="1"/>
  <c r="H551" i="24"/>
  <c r="I551" i="24" s="1"/>
  <c r="D551" i="24"/>
  <c r="E551" i="24" s="1"/>
  <c r="J551" i="24"/>
  <c r="K551" i="24" s="1"/>
  <c r="L551" i="24"/>
  <c r="M551" i="24" s="1"/>
  <c r="P551" i="24"/>
  <c r="Q551" i="24" s="1"/>
  <c r="F551" i="24"/>
  <c r="G551" i="24" s="1"/>
  <c r="I363" i="37"/>
  <c r="J363" i="37"/>
  <c r="D363" i="37"/>
  <c r="C363" i="37"/>
  <c r="P362" i="37"/>
  <c r="O362" i="37"/>
  <c r="F363" i="37"/>
  <c r="G363" i="37"/>
  <c r="M363" i="37"/>
  <c r="L363" i="37"/>
  <c r="R362" i="37"/>
  <c r="S362" i="37"/>
  <c r="H552" i="24" l="1"/>
  <c r="I552" i="24" s="1"/>
  <c r="J552" i="24"/>
  <c r="K552" i="24" s="1"/>
  <c r="L552" i="24"/>
  <c r="M552" i="24" s="1"/>
  <c r="B552" i="24"/>
  <c r="C552" i="24" s="1"/>
  <c r="D552" i="24"/>
  <c r="E552" i="24" s="1"/>
  <c r="P552" i="24"/>
  <c r="Q552" i="24" s="1"/>
  <c r="R552" i="24"/>
  <c r="S552" i="24" s="1"/>
  <c r="A553" i="24"/>
  <c r="T552" i="24"/>
  <c r="U552" i="24" s="1"/>
  <c r="N552" i="24"/>
  <c r="O552" i="24" s="1"/>
  <c r="V552" i="24"/>
  <c r="W552" i="24" s="1"/>
  <c r="F552" i="24"/>
  <c r="G552" i="24" s="1"/>
  <c r="J364" i="37"/>
  <c r="I364" i="37"/>
  <c r="D364" i="37"/>
  <c r="C364" i="37"/>
  <c r="O363" i="37"/>
  <c r="P363" i="37"/>
  <c r="M364" i="37"/>
  <c r="L364" i="37"/>
  <c r="G364" i="37"/>
  <c r="F364" i="37"/>
  <c r="S363" i="37"/>
  <c r="R363" i="37"/>
  <c r="T553" i="24" l="1"/>
  <c r="U553" i="24" s="1"/>
  <c r="N553" i="24"/>
  <c r="O553" i="24" s="1"/>
  <c r="A554" i="24"/>
  <c r="P553" i="24"/>
  <c r="Q553" i="24" s="1"/>
  <c r="B553" i="24"/>
  <c r="C553" i="24" s="1"/>
  <c r="V553" i="24"/>
  <c r="W553" i="24" s="1"/>
  <c r="J553" i="24"/>
  <c r="K553" i="24" s="1"/>
  <c r="L553" i="24"/>
  <c r="M553" i="24" s="1"/>
  <c r="D553" i="24"/>
  <c r="E553" i="24" s="1"/>
  <c r="R553" i="24"/>
  <c r="S553" i="24" s="1"/>
  <c r="H553" i="24"/>
  <c r="I553" i="24" s="1"/>
  <c r="F553" i="24"/>
  <c r="G553" i="24" s="1"/>
  <c r="I365" i="37"/>
  <c r="J365" i="37"/>
  <c r="D365" i="37"/>
  <c r="C365" i="37"/>
  <c r="P364" i="37"/>
  <c r="O364" i="37"/>
  <c r="S364" i="37"/>
  <c r="R364" i="37"/>
  <c r="F365" i="37"/>
  <c r="G365" i="37"/>
  <c r="M365" i="37"/>
  <c r="L365" i="37"/>
  <c r="H554" i="24" l="1"/>
  <c r="I554" i="24" s="1"/>
  <c r="J554" i="24"/>
  <c r="K554" i="24" s="1"/>
  <c r="L554" i="24"/>
  <c r="M554" i="24" s="1"/>
  <c r="D554" i="24"/>
  <c r="E554" i="24" s="1"/>
  <c r="R554" i="24"/>
  <c r="S554" i="24" s="1"/>
  <c r="P554" i="24"/>
  <c r="Q554" i="24" s="1"/>
  <c r="N554" i="24"/>
  <c r="O554" i="24" s="1"/>
  <c r="T554" i="24"/>
  <c r="U554" i="24" s="1"/>
  <c r="B554" i="24"/>
  <c r="C554" i="24" s="1"/>
  <c r="A555" i="24"/>
  <c r="V554" i="24"/>
  <c r="W554" i="24" s="1"/>
  <c r="F554" i="24"/>
  <c r="G554" i="24" s="1"/>
  <c r="I366" i="37"/>
  <c r="J366" i="37"/>
  <c r="C366" i="37"/>
  <c r="D366" i="37"/>
  <c r="P365" i="37"/>
  <c r="O365" i="37"/>
  <c r="F366" i="37"/>
  <c r="G366" i="37"/>
  <c r="M366" i="37"/>
  <c r="L366" i="37"/>
  <c r="S365" i="37"/>
  <c r="R365" i="37"/>
  <c r="T555" i="24" l="1"/>
  <c r="U555" i="24" s="1"/>
  <c r="V555" i="24"/>
  <c r="W555" i="24" s="1"/>
  <c r="B555" i="24"/>
  <c r="C555" i="24" s="1"/>
  <c r="P555" i="24"/>
  <c r="Q555" i="24" s="1"/>
  <c r="A556" i="24"/>
  <c r="N555" i="24"/>
  <c r="O555" i="24" s="1"/>
  <c r="J555" i="24"/>
  <c r="K555" i="24" s="1"/>
  <c r="L555" i="24"/>
  <c r="M555" i="24" s="1"/>
  <c r="R555" i="24"/>
  <c r="S555" i="24" s="1"/>
  <c r="F555" i="24"/>
  <c r="G555" i="24" s="1"/>
  <c r="H555" i="24"/>
  <c r="I555" i="24" s="1"/>
  <c r="D555" i="24"/>
  <c r="E555" i="24" s="1"/>
  <c r="J367" i="37"/>
  <c r="I367" i="37"/>
  <c r="D367" i="37"/>
  <c r="C367" i="37"/>
  <c r="P366" i="37"/>
  <c r="O366" i="37"/>
  <c r="L367" i="37"/>
  <c r="M367" i="37"/>
  <c r="S366" i="37"/>
  <c r="R366" i="37"/>
  <c r="F367" i="37"/>
  <c r="G367" i="37"/>
  <c r="D556" i="24" l="1"/>
  <c r="E556" i="24" s="1"/>
  <c r="J556" i="24"/>
  <c r="R556" i="24"/>
  <c r="S556" i="24" s="1"/>
  <c r="N556" i="24"/>
  <c r="O556" i="24" s="1"/>
  <c r="P556" i="24"/>
  <c r="Q556" i="24" s="1"/>
  <c r="V556" i="24"/>
  <c r="W556" i="24" s="1"/>
  <c r="L556" i="24"/>
  <c r="M556" i="24" s="1"/>
  <c r="T556" i="24"/>
  <c r="U556" i="24" s="1"/>
  <c r="A557" i="24"/>
  <c r="H556" i="24"/>
  <c r="I556" i="24" s="1"/>
  <c r="B556" i="24"/>
  <c r="C556" i="24" s="1"/>
  <c r="F556" i="24"/>
  <c r="G556" i="24" s="1"/>
  <c r="K556" i="24"/>
  <c r="J368" i="37"/>
  <c r="I368" i="37"/>
  <c r="D368" i="37"/>
  <c r="C368" i="37"/>
  <c r="P367" i="37"/>
  <c r="O367" i="37"/>
  <c r="G368" i="37"/>
  <c r="F368" i="37"/>
  <c r="S367" i="37"/>
  <c r="R367" i="37"/>
  <c r="M368" i="37"/>
  <c r="L368" i="37"/>
  <c r="T557" i="24" l="1"/>
  <c r="U557" i="24" s="1"/>
  <c r="V557" i="24"/>
  <c r="W557" i="24" s="1"/>
  <c r="A558" i="24"/>
  <c r="R557" i="24"/>
  <c r="S557" i="24" s="1"/>
  <c r="B557" i="24"/>
  <c r="C557" i="24" s="1"/>
  <c r="N557" i="24"/>
  <c r="O557" i="24" s="1"/>
  <c r="J557" i="24"/>
  <c r="K557" i="24" s="1"/>
  <c r="L557" i="24"/>
  <c r="M557" i="24" s="1"/>
  <c r="F557" i="24"/>
  <c r="G557" i="24" s="1"/>
  <c r="P557" i="24"/>
  <c r="Q557" i="24" s="1"/>
  <c r="D557" i="24"/>
  <c r="E557" i="24" s="1"/>
  <c r="H557" i="24"/>
  <c r="I557" i="24" s="1"/>
  <c r="J369" i="37"/>
  <c r="I369" i="37"/>
  <c r="D369" i="37"/>
  <c r="C369" i="37"/>
  <c r="O368" i="37"/>
  <c r="P368" i="37"/>
  <c r="S368" i="37"/>
  <c r="R368" i="37"/>
  <c r="F369" i="37"/>
  <c r="G369" i="37"/>
  <c r="M369" i="37"/>
  <c r="L369" i="37"/>
  <c r="H558" i="24" l="1"/>
  <c r="I558" i="24" s="1"/>
  <c r="J558" i="24"/>
  <c r="K558" i="24" s="1"/>
  <c r="R558" i="24"/>
  <c r="S558" i="24" s="1"/>
  <c r="P558" i="24"/>
  <c r="Q558" i="24" s="1"/>
  <c r="N558" i="24"/>
  <c r="O558" i="24" s="1"/>
  <c r="V558" i="24"/>
  <c r="W558" i="24" s="1"/>
  <c r="T558" i="24"/>
  <c r="U558" i="24" s="1"/>
  <c r="F558" i="24"/>
  <c r="G558" i="24" s="1"/>
  <c r="A559" i="24"/>
  <c r="B558" i="24"/>
  <c r="C558" i="24" s="1"/>
  <c r="L558" i="24"/>
  <c r="M558" i="24" s="1"/>
  <c r="D558" i="24"/>
  <c r="E558" i="24" s="1"/>
  <c r="J370" i="37"/>
  <c r="I370" i="37"/>
  <c r="C370" i="37"/>
  <c r="D370" i="37"/>
  <c r="O369" i="37"/>
  <c r="P369" i="37"/>
  <c r="S369" i="37"/>
  <c r="R369" i="37"/>
  <c r="M370" i="37"/>
  <c r="L370" i="37"/>
  <c r="G370" i="37"/>
  <c r="F370" i="37"/>
  <c r="T559" i="24" l="1"/>
  <c r="U559" i="24" s="1"/>
  <c r="R559" i="24"/>
  <c r="S559" i="24" s="1"/>
  <c r="A560" i="24"/>
  <c r="V559" i="24"/>
  <c r="W559" i="24" s="1"/>
  <c r="B559" i="24"/>
  <c r="C559" i="24" s="1"/>
  <c r="N559" i="24"/>
  <c r="O559" i="24" s="1"/>
  <c r="J559" i="24"/>
  <c r="K559" i="24" s="1"/>
  <c r="F559" i="24"/>
  <c r="G559" i="24" s="1"/>
  <c r="P559" i="24"/>
  <c r="Q559" i="24" s="1"/>
  <c r="D559" i="24"/>
  <c r="E559" i="24" s="1"/>
  <c r="H559" i="24"/>
  <c r="I559" i="24" s="1"/>
  <c r="L559" i="24"/>
  <c r="M559" i="24" s="1"/>
  <c r="J371" i="37"/>
  <c r="I371" i="37"/>
  <c r="C371" i="37"/>
  <c r="D371" i="37"/>
  <c r="O370" i="37"/>
  <c r="P370" i="37"/>
  <c r="L371" i="37"/>
  <c r="M371" i="37"/>
  <c r="S370" i="37"/>
  <c r="R370" i="37"/>
  <c r="F371" i="37"/>
  <c r="G371" i="37"/>
  <c r="H560" i="24" l="1"/>
  <c r="I560" i="24" s="1"/>
  <c r="J560" i="24"/>
  <c r="K560" i="24" s="1"/>
  <c r="L560" i="24"/>
  <c r="M560" i="24" s="1"/>
  <c r="R560" i="24"/>
  <c r="S560" i="24" s="1"/>
  <c r="V560" i="24"/>
  <c r="W560" i="24" s="1"/>
  <c r="T560" i="24"/>
  <c r="U560" i="24" s="1"/>
  <c r="F560" i="24"/>
  <c r="G560" i="24" s="1"/>
  <c r="A561" i="24"/>
  <c r="B560" i="24"/>
  <c r="C560" i="24" s="1"/>
  <c r="D560" i="24"/>
  <c r="E560" i="24" s="1"/>
  <c r="N560" i="24"/>
  <c r="O560" i="24" s="1"/>
  <c r="P560" i="24"/>
  <c r="Q560" i="24" s="1"/>
  <c r="J372" i="37"/>
  <c r="I372" i="37"/>
  <c r="D372" i="37"/>
  <c r="C372" i="37"/>
  <c r="P371" i="37"/>
  <c r="O371" i="37"/>
  <c r="S371" i="37"/>
  <c r="R371" i="37"/>
  <c r="F372" i="37"/>
  <c r="G372" i="37"/>
  <c r="L372" i="37"/>
  <c r="M372" i="37"/>
  <c r="T561" i="24" l="1"/>
  <c r="U561" i="24" s="1"/>
  <c r="A562" i="24"/>
  <c r="P561" i="24"/>
  <c r="Q561" i="24" s="1"/>
  <c r="B561" i="24"/>
  <c r="C561" i="24" s="1"/>
  <c r="R561" i="24"/>
  <c r="S561" i="24" s="1"/>
  <c r="F561" i="24"/>
  <c r="G561" i="24" s="1"/>
  <c r="V561" i="24"/>
  <c r="W561" i="24" s="1"/>
  <c r="D561" i="24"/>
  <c r="E561" i="24" s="1"/>
  <c r="N561" i="24"/>
  <c r="O561" i="24" s="1"/>
  <c r="J561" i="24"/>
  <c r="K561" i="24" s="1"/>
  <c r="H561" i="24"/>
  <c r="I561" i="24" s="1"/>
  <c r="L561" i="24"/>
  <c r="M561" i="24" s="1"/>
  <c r="I373" i="37"/>
  <c r="J373" i="37"/>
  <c r="C373" i="37"/>
  <c r="D373" i="37"/>
  <c r="O372" i="37"/>
  <c r="P372" i="37"/>
  <c r="M373" i="37"/>
  <c r="L373" i="37"/>
  <c r="R372" i="37"/>
  <c r="S372" i="37"/>
  <c r="G373" i="37"/>
  <c r="F373" i="37"/>
  <c r="J562" i="24" l="1"/>
  <c r="K562" i="24" s="1"/>
  <c r="L562" i="24"/>
  <c r="M562" i="24" s="1"/>
  <c r="R562" i="24"/>
  <c r="S562" i="24" s="1"/>
  <c r="T562" i="24"/>
  <c r="U562" i="24" s="1"/>
  <c r="P562" i="24"/>
  <c r="Q562" i="24" s="1"/>
  <c r="A563" i="24"/>
  <c r="B562" i="24"/>
  <c r="C562" i="24" s="1"/>
  <c r="H562" i="24"/>
  <c r="I562" i="24" s="1"/>
  <c r="D562" i="24"/>
  <c r="E562" i="24" s="1"/>
  <c r="N562" i="24"/>
  <c r="O562" i="24" s="1"/>
  <c r="V562" i="24"/>
  <c r="W562" i="24" s="1"/>
  <c r="F562" i="24"/>
  <c r="G562" i="24" s="1"/>
  <c r="J374" i="37"/>
  <c r="I374" i="37"/>
  <c r="C374" i="37"/>
  <c r="D374" i="37"/>
  <c r="P373" i="37"/>
  <c r="O373" i="37"/>
  <c r="R373" i="37"/>
  <c r="S373" i="37"/>
  <c r="G374" i="37"/>
  <c r="F374" i="37"/>
  <c r="L374" i="37"/>
  <c r="M374" i="37"/>
  <c r="A564" i="24" l="1"/>
  <c r="F563" i="24"/>
  <c r="G563" i="24" s="1"/>
  <c r="B563" i="24"/>
  <c r="C563" i="24" s="1"/>
  <c r="P563" i="24"/>
  <c r="Q563" i="24" s="1"/>
  <c r="J563" i="24"/>
  <c r="K563" i="24" s="1"/>
  <c r="N563" i="24"/>
  <c r="O563" i="24" s="1"/>
  <c r="D563" i="24"/>
  <c r="E563" i="24" s="1"/>
  <c r="T563" i="24"/>
  <c r="U563" i="24" s="1"/>
  <c r="H563" i="24"/>
  <c r="I563" i="24" s="1"/>
  <c r="R563" i="24"/>
  <c r="S563" i="24" s="1"/>
  <c r="V563" i="24"/>
  <c r="W563" i="24" s="1"/>
  <c r="L563" i="24"/>
  <c r="M563" i="24" s="1"/>
  <c r="J375" i="37"/>
  <c r="I375" i="37"/>
  <c r="D375" i="37"/>
  <c r="C375" i="37"/>
  <c r="O374" i="37"/>
  <c r="P374" i="37"/>
  <c r="S374" i="37"/>
  <c r="R374" i="37"/>
  <c r="L375" i="37"/>
  <c r="M375" i="37"/>
  <c r="F375" i="37"/>
  <c r="G375" i="37"/>
  <c r="J564" i="24" l="1"/>
  <c r="K564" i="24" s="1"/>
  <c r="R564" i="24"/>
  <c r="S564" i="24" s="1"/>
  <c r="N564" i="24"/>
  <c r="O564" i="24" s="1"/>
  <c r="T564" i="24"/>
  <c r="U564" i="24" s="1"/>
  <c r="L564" i="24"/>
  <c r="M564" i="24" s="1"/>
  <c r="D564" i="24"/>
  <c r="E564" i="24" s="1"/>
  <c r="P564" i="24"/>
  <c r="Q564" i="24" s="1"/>
  <c r="F564" i="24"/>
  <c r="G564" i="24" s="1"/>
  <c r="A565" i="24"/>
  <c r="H564" i="24"/>
  <c r="I564" i="24" s="1"/>
  <c r="B564" i="24"/>
  <c r="C564" i="24" s="1"/>
  <c r="V564" i="24"/>
  <c r="W564" i="24" s="1"/>
  <c r="J376" i="37"/>
  <c r="I376" i="37"/>
  <c r="D376" i="37"/>
  <c r="C376" i="37"/>
  <c r="O375" i="37"/>
  <c r="P375" i="37"/>
  <c r="F376" i="37"/>
  <c r="G376" i="37"/>
  <c r="M376" i="37"/>
  <c r="L376" i="37"/>
  <c r="R375" i="37"/>
  <c r="S375" i="37"/>
  <c r="A566" i="24" l="1"/>
  <c r="N565" i="24"/>
  <c r="O565" i="24" s="1"/>
  <c r="B565" i="24"/>
  <c r="C565" i="24" s="1"/>
  <c r="V565" i="24"/>
  <c r="W565" i="24" s="1"/>
  <c r="H565" i="24"/>
  <c r="I565" i="24" s="1"/>
  <c r="F565" i="24"/>
  <c r="G565" i="24" s="1"/>
  <c r="D565" i="24"/>
  <c r="E565" i="24" s="1"/>
  <c r="P565" i="24"/>
  <c r="Q565" i="24" s="1"/>
  <c r="T565" i="24"/>
  <c r="U565" i="24" s="1"/>
  <c r="R565" i="24"/>
  <c r="S565" i="24" s="1"/>
  <c r="J565" i="24"/>
  <c r="K565" i="24" s="1"/>
  <c r="L565" i="24"/>
  <c r="M565" i="24" s="1"/>
  <c r="J377" i="37"/>
  <c r="I377" i="37"/>
  <c r="D377" i="37"/>
  <c r="C377" i="37"/>
  <c r="O376" i="37"/>
  <c r="P376" i="37"/>
  <c r="M377" i="37"/>
  <c r="L377" i="37"/>
  <c r="R376" i="37"/>
  <c r="S376" i="37"/>
  <c r="G377" i="37"/>
  <c r="F377" i="37"/>
  <c r="J566" i="24" l="1"/>
  <c r="K566" i="24" s="1"/>
  <c r="R566" i="24"/>
  <c r="S566" i="24" s="1"/>
  <c r="L566" i="24"/>
  <c r="M566" i="24" s="1"/>
  <c r="A567" i="24"/>
  <c r="P566" i="24"/>
  <c r="Q566" i="24" s="1"/>
  <c r="T566" i="24"/>
  <c r="U566" i="24" s="1"/>
  <c r="B566" i="24"/>
  <c r="C566" i="24" s="1"/>
  <c r="H566" i="24"/>
  <c r="I566" i="24" s="1"/>
  <c r="D566" i="24"/>
  <c r="E566" i="24" s="1"/>
  <c r="N566" i="24"/>
  <c r="O566" i="24" s="1"/>
  <c r="V566" i="24"/>
  <c r="W566" i="24" s="1"/>
  <c r="F566" i="24"/>
  <c r="G566" i="24" s="1"/>
  <c r="I378" i="37"/>
  <c r="J378" i="37"/>
  <c r="C378" i="37"/>
  <c r="D378" i="37"/>
  <c r="P377" i="37"/>
  <c r="O377" i="37"/>
  <c r="R377" i="37"/>
  <c r="S377" i="37"/>
  <c r="L378" i="37"/>
  <c r="M378" i="37"/>
  <c r="F378" i="37"/>
  <c r="G378" i="37"/>
  <c r="B567" i="24" l="1"/>
  <c r="C567" i="24" s="1"/>
  <c r="V567" i="24"/>
  <c r="W567" i="24" s="1"/>
  <c r="D567" i="24"/>
  <c r="E567" i="24" s="1"/>
  <c r="N567" i="24"/>
  <c r="O567" i="24" s="1"/>
  <c r="A568" i="24"/>
  <c r="F567" i="24"/>
  <c r="G567" i="24" s="1"/>
  <c r="H567" i="24"/>
  <c r="I567" i="24" s="1"/>
  <c r="T567" i="24"/>
  <c r="U567" i="24" s="1"/>
  <c r="L567" i="24"/>
  <c r="M567" i="24" s="1"/>
  <c r="J567" i="24"/>
  <c r="K567" i="24" s="1"/>
  <c r="P567" i="24"/>
  <c r="Q567" i="24" s="1"/>
  <c r="R567" i="24"/>
  <c r="S567" i="24" s="1"/>
  <c r="I379" i="37"/>
  <c r="J379" i="37"/>
  <c r="C379" i="37"/>
  <c r="D379" i="37"/>
  <c r="O378" i="37"/>
  <c r="P378" i="37"/>
  <c r="M379" i="37"/>
  <c r="L379" i="37"/>
  <c r="F379" i="37"/>
  <c r="G379" i="37"/>
  <c r="S378" i="37"/>
  <c r="R378" i="37"/>
  <c r="J568" i="24" l="1"/>
  <c r="K568" i="24" s="1"/>
  <c r="L568" i="24"/>
  <c r="M568" i="24" s="1"/>
  <c r="R568" i="24"/>
  <c r="S568" i="24" s="1"/>
  <c r="T568" i="24"/>
  <c r="U568" i="24" s="1"/>
  <c r="P568" i="24"/>
  <c r="Q568" i="24" s="1"/>
  <c r="H568" i="24"/>
  <c r="I568" i="24" s="1"/>
  <c r="N568" i="24"/>
  <c r="O568" i="24" s="1"/>
  <c r="V568" i="24"/>
  <c r="W568" i="24" s="1"/>
  <c r="F568" i="24"/>
  <c r="G568" i="24" s="1"/>
  <c r="A569" i="24"/>
  <c r="B568" i="24"/>
  <c r="C568" i="24" s="1"/>
  <c r="D568" i="24"/>
  <c r="E568" i="24" s="1"/>
  <c r="J380" i="37"/>
  <c r="I380" i="37"/>
  <c r="C380" i="37"/>
  <c r="D380" i="37"/>
  <c r="O379" i="37"/>
  <c r="P379" i="37"/>
  <c r="S379" i="37"/>
  <c r="R379" i="37"/>
  <c r="L380" i="37"/>
  <c r="M380" i="37"/>
  <c r="G380" i="37"/>
  <c r="F380" i="37"/>
  <c r="A570" i="24" l="1"/>
  <c r="F569" i="24"/>
  <c r="G569" i="24" s="1"/>
  <c r="B569" i="24"/>
  <c r="C569" i="24" s="1"/>
  <c r="R569" i="24"/>
  <c r="S569" i="24" s="1"/>
  <c r="H569" i="24"/>
  <c r="I569" i="24" s="1"/>
  <c r="V569" i="24"/>
  <c r="W569" i="24" s="1"/>
  <c r="D569" i="24"/>
  <c r="E569" i="24" s="1"/>
  <c r="P569" i="24"/>
  <c r="Q569" i="24" s="1"/>
  <c r="T569" i="24"/>
  <c r="U569" i="24" s="1"/>
  <c r="J569" i="24"/>
  <c r="K569" i="24" s="1"/>
  <c r="L569" i="24"/>
  <c r="M569" i="24" s="1"/>
  <c r="N569" i="24"/>
  <c r="O569" i="24" s="1"/>
  <c r="J381" i="37"/>
  <c r="I381" i="37"/>
  <c r="C381" i="37"/>
  <c r="D381" i="37"/>
  <c r="O380" i="37"/>
  <c r="P380" i="37"/>
  <c r="R380" i="37"/>
  <c r="S380" i="37"/>
  <c r="F381" i="37"/>
  <c r="G381" i="37"/>
  <c r="M381" i="37"/>
  <c r="L381" i="37"/>
  <c r="H570" i="24" l="1"/>
  <c r="I570" i="24" s="1"/>
  <c r="L570" i="24"/>
  <c r="M570" i="24" s="1"/>
  <c r="R570" i="24"/>
  <c r="S570" i="24" s="1"/>
  <c r="T570" i="24"/>
  <c r="U570" i="24" s="1"/>
  <c r="P570" i="24"/>
  <c r="Q570" i="24" s="1"/>
  <c r="A571" i="24"/>
  <c r="B570" i="24"/>
  <c r="C570" i="24" s="1"/>
  <c r="J570" i="24"/>
  <c r="K570" i="24" s="1"/>
  <c r="D570" i="24"/>
  <c r="E570" i="24" s="1"/>
  <c r="N570" i="24"/>
  <c r="O570" i="24" s="1"/>
  <c r="V570" i="24"/>
  <c r="W570" i="24" s="1"/>
  <c r="F570" i="24"/>
  <c r="G570" i="24" s="1"/>
  <c r="I382" i="37"/>
  <c r="J382" i="37"/>
  <c r="D382" i="37"/>
  <c r="C382" i="37"/>
  <c r="P381" i="37"/>
  <c r="O381" i="37"/>
  <c r="F382" i="37"/>
  <c r="G382" i="37"/>
  <c r="L382" i="37"/>
  <c r="M382" i="37"/>
  <c r="R381" i="37"/>
  <c r="S381" i="37"/>
  <c r="A572" i="24" l="1"/>
  <c r="V571" i="24"/>
  <c r="W571" i="24" s="1"/>
  <c r="B571" i="24"/>
  <c r="C571" i="24" s="1"/>
  <c r="F571" i="24"/>
  <c r="G571" i="24" s="1"/>
  <c r="D571" i="24"/>
  <c r="E571" i="24" s="1"/>
  <c r="N571" i="24"/>
  <c r="O571" i="24" s="1"/>
  <c r="H571" i="24"/>
  <c r="I571" i="24" s="1"/>
  <c r="T571" i="24"/>
  <c r="U571" i="24" s="1"/>
  <c r="J571" i="24"/>
  <c r="K571" i="24" s="1"/>
  <c r="L571" i="24"/>
  <c r="M571" i="24" s="1"/>
  <c r="P571" i="24"/>
  <c r="Q571" i="24" s="1"/>
  <c r="R571" i="24"/>
  <c r="S571" i="24" s="1"/>
  <c r="J383" i="37"/>
  <c r="I383" i="37"/>
  <c r="C383" i="37"/>
  <c r="D383" i="37"/>
  <c r="P382" i="37"/>
  <c r="O382" i="37"/>
  <c r="L383" i="37"/>
  <c r="M383" i="37"/>
  <c r="R382" i="37"/>
  <c r="S382" i="37"/>
  <c r="G383" i="37"/>
  <c r="F383" i="37"/>
  <c r="J572" i="24" l="1"/>
  <c r="K572" i="24" s="1"/>
  <c r="R572" i="24"/>
  <c r="S572" i="24" s="1"/>
  <c r="N572" i="24"/>
  <c r="O572" i="24" s="1"/>
  <c r="T572" i="24"/>
  <c r="U572" i="24" s="1"/>
  <c r="L572" i="24"/>
  <c r="M572" i="24" s="1"/>
  <c r="D572" i="24"/>
  <c r="E572" i="24" s="1"/>
  <c r="P572" i="24"/>
  <c r="Q572" i="24" s="1"/>
  <c r="V572" i="24"/>
  <c r="W572" i="24" s="1"/>
  <c r="A573" i="24"/>
  <c r="B572" i="24"/>
  <c r="C572" i="24" s="1"/>
  <c r="H572" i="24"/>
  <c r="I572" i="24" s="1"/>
  <c r="F572" i="24"/>
  <c r="G572" i="24" s="1"/>
  <c r="I384" i="37"/>
  <c r="J384" i="37"/>
  <c r="C384" i="37"/>
  <c r="D384" i="37"/>
  <c r="O383" i="37"/>
  <c r="P383" i="37"/>
  <c r="L384" i="37"/>
  <c r="M384" i="37"/>
  <c r="S383" i="37"/>
  <c r="R383" i="37"/>
  <c r="F384" i="37"/>
  <c r="G384" i="37"/>
  <c r="A574" i="24" l="1"/>
  <c r="V573" i="24"/>
  <c r="W573" i="24" s="1"/>
  <c r="B573" i="24"/>
  <c r="C573" i="24" s="1"/>
  <c r="N573" i="24"/>
  <c r="O573" i="24" s="1"/>
  <c r="D573" i="24"/>
  <c r="E573" i="24" s="1"/>
  <c r="F573" i="24"/>
  <c r="G573" i="24" s="1"/>
  <c r="H573" i="24"/>
  <c r="I573" i="24" s="1"/>
  <c r="P573" i="24"/>
  <c r="Q573" i="24" s="1"/>
  <c r="T573" i="24"/>
  <c r="U573" i="24" s="1"/>
  <c r="R573" i="24"/>
  <c r="S573" i="24" s="1"/>
  <c r="J573" i="24"/>
  <c r="K573" i="24" s="1"/>
  <c r="L573" i="24"/>
  <c r="M573" i="24" s="1"/>
  <c r="J385" i="37"/>
  <c r="I385" i="37"/>
  <c r="C385" i="37"/>
  <c r="D385" i="37"/>
  <c r="P384" i="37"/>
  <c r="O384" i="37"/>
  <c r="F385" i="37"/>
  <c r="G385" i="37"/>
  <c r="R384" i="37"/>
  <c r="S384" i="37"/>
  <c r="M385" i="37"/>
  <c r="L385" i="37"/>
  <c r="J574" i="24" l="1"/>
  <c r="K574" i="24" s="1"/>
  <c r="R574" i="24"/>
  <c r="S574" i="24" s="1"/>
  <c r="L574" i="24"/>
  <c r="M574" i="24" s="1"/>
  <c r="T574" i="24"/>
  <c r="U574" i="24" s="1"/>
  <c r="P574" i="24"/>
  <c r="Q574" i="24" s="1"/>
  <c r="A575" i="24"/>
  <c r="B574" i="24"/>
  <c r="C574" i="24" s="1"/>
  <c r="H574" i="24"/>
  <c r="I574" i="24" s="1"/>
  <c r="D574" i="24"/>
  <c r="E574" i="24" s="1"/>
  <c r="N574" i="24"/>
  <c r="O574" i="24" s="1"/>
  <c r="V574" i="24"/>
  <c r="W574" i="24" s="1"/>
  <c r="F574" i="24"/>
  <c r="G574" i="24" s="1"/>
  <c r="J386" i="37"/>
  <c r="I386" i="37"/>
  <c r="C386" i="37"/>
  <c r="D386" i="37"/>
  <c r="P385" i="37"/>
  <c r="O385" i="37"/>
  <c r="G386" i="37"/>
  <c r="F386" i="37"/>
  <c r="S385" i="37"/>
  <c r="R385" i="37"/>
  <c r="M386" i="37"/>
  <c r="L386" i="37"/>
  <c r="A576" i="24" l="1"/>
  <c r="V575" i="24"/>
  <c r="B575" i="24"/>
  <c r="C575" i="24" s="1"/>
  <c r="N575" i="24"/>
  <c r="O575" i="24" s="1"/>
  <c r="D575" i="24"/>
  <c r="E575" i="24" s="1"/>
  <c r="F575" i="24"/>
  <c r="G575" i="24" s="1"/>
  <c r="H575" i="24"/>
  <c r="I575" i="24" s="1"/>
  <c r="T575" i="24"/>
  <c r="U575" i="24" s="1"/>
  <c r="J575" i="24"/>
  <c r="K575" i="24" s="1"/>
  <c r="L575" i="24"/>
  <c r="M575" i="24" s="1"/>
  <c r="R575" i="24"/>
  <c r="S575" i="24" s="1"/>
  <c r="P575" i="24"/>
  <c r="Q575" i="24" s="1"/>
  <c r="W575" i="24"/>
  <c r="I387" i="37"/>
  <c r="J387" i="37"/>
  <c r="D387" i="37"/>
  <c r="C387" i="37"/>
  <c r="P386" i="37"/>
  <c r="O386" i="37"/>
  <c r="L387" i="37"/>
  <c r="M387" i="37"/>
  <c r="R386" i="37"/>
  <c r="S386" i="37"/>
  <c r="F387" i="37"/>
  <c r="G387" i="37"/>
  <c r="J576" i="24" l="1"/>
  <c r="K576" i="24" s="1"/>
  <c r="L576" i="24"/>
  <c r="M576" i="24" s="1"/>
  <c r="P576" i="24"/>
  <c r="Q576" i="24" s="1"/>
  <c r="T576" i="24"/>
  <c r="U576" i="24" s="1"/>
  <c r="R576" i="24"/>
  <c r="S576" i="24" s="1"/>
  <c r="H576" i="24"/>
  <c r="I576" i="24" s="1"/>
  <c r="N576" i="24"/>
  <c r="O576" i="24" s="1"/>
  <c r="V576" i="24"/>
  <c r="W576" i="24" s="1"/>
  <c r="F576" i="24"/>
  <c r="G576" i="24" s="1"/>
  <c r="A577" i="24"/>
  <c r="B576" i="24"/>
  <c r="C576" i="24" s="1"/>
  <c r="D576" i="24"/>
  <c r="E576" i="24" s="1"/>
  <c r="J388" i="37"/>
  <c r="I388" i="37"/>
  <c r="C388" i="37"/>
  <c r="D388" i="37"/>
  <c r="O387" i="37"/>
  <c r="P387" i="37"/>
  <c r="S387" i="37"/>
  <c r="R387" i="37"/>
  <c r="G388" i="37"/>
  <c r="F388" i="37"/>
  <c r="M388" i="37"/>
  <c r="L388" i="37"/>
  <c r="A578" i="24" l="1"/>
  <c r="P577" i="24"/>
  <c r="Q577" i="24" s="1"/>
  <c r="B577" i="24"/>
  <c r="C577" i="24" s="1"/>
  <c r="V577" i="24"/>
  <c r="W577" i="24" s="1"/>
  <c r="D577" i="24"/>
  <c r="E577" i="24" s="1"/>
  <c r="F577" i="24"/>
  <c r="G577" i="24" s="1"/>
  <c r="H577" i="24"/>
  <c r="I577" i="24" s="1"/>
  <c r="N577" i="24"/>
  <c r="O577" i="24" s="1"/>
  <c r="T577" i="24"/>
  <c r="U577" i="24" s="1"/>
  <c r="J577" i="24"/>
  <c r="K577" i="24" s="1"/>
  <c r="L577" i="24"/>
  <c r="M577" i="24" s="1"/>
  <c r="R577" i="24"/>
  <c r="S577" i="24" s="1"/>
  <c r="I389" i="37"/>
  <c r="J389" i="37"/>
  <c r="C389" i="37"/>
  <c r="D389" i="37"/>
  <c r="O388" i="37"/>
  <c r="P388" i="37"/>
  <c r="L389" i="37"/>
  <c r="M389" i="37"/>
  <c r="G389" i="37"/>
  <c r="F389" i="37"/>
  <c r="S388" i="37"/>
  <c r="R388" i="37"/>
  <c r="J578" i="24" l="1"/>
  <c r="K578" i="24" s="1"/>
  <c r="L578" i="24"/>
  <c r="M578" i="24" s="1"/>
  <c r="R578" i="24"/>
  <c r="S578" i="24" s="1"/>
  <c r="T578" i="24"/>
  <c r="U578" i="24" s="1"/>
  <c r="P578" i="24"/>
  <c r="Q578" i="24" s="1"/>
  <c r="B578" i="24"/>
  <c r="C578" i="24" s="1"/>
  <c r="A579" i="24"/>
  <c r="H578" i="24"/>
  <c r="I578" i="24" s="1"/>
  <c r="D578" i="24"/>
  <c r="E578" i="24" s="1"/>
  <c r="N578" i="24"/>
  <c r="O578" i="24" s="1"/>
  <c r="V578" i="24"/>
  <c r="W578" i="24" s="1"/>
  <c r="F578" i="24"/>
  <c r="G578" i="24" s="1"/>
  <c r="J390" i="37"/>
  <c r="I390" i="37"/>
  <c r="C390" i="37"/>
  <c r="D390" i="37"/>
  <c r="P389" i="37"/>
  <c r="O389" i="37"/>
  <c r="M390" i="37"/>
  <c r="L390" i="37"/>
  <c r="S389" i="37"/>
  <c r="R389" i="37"/>
  <c r="F390" i="37"/>
  <c r="G390" i="37"/>
  <c r="B579" i="24" l="1"/>
  <c r="C579" i="24" s="1"/>
  <c r="F579" i="24"/>
  <c r="G579" i="24" s="1"/>
  <c r="A580" i="24"/>
  <c r="N579" i="24"/>
  <c r="O579" i="24" s="1"/>
  <c r="H579" i="24"/>
  <c r="I579" i="24" s="1"/>
  <c r="P579" i="24"/>
  <c r="Q579" i="24" s="1"/>
  <c r="J579" i="24"/>
  <c r="K579" i="24" s="1"/>
  <c r="T579" i="24"/>
  <c r="U579" i="24" s="1"/>
  <c r="D579" i="24"/>
  <c r="E579" i="24" s="1"/>
  <c r="R579" i="24"/>
  <c r="S579" i="24" s="1"/>
  <c r="V579" i="24"/>
  <c r="W579" i="24" s="1"/>
  <c r="L579" i="24"/>
  <c r="M579" i="24" s="1"/>
  <c r="J391" i="37"/>
  <c r="I391" i="37"/>
  <c r="D391" i="37"/>
  <c r="C391" i="37"/>
  <c r="O390" i="37"/>
  <c r="P390" i="37"/>
  <c r="M391" i="37"/>
  <c r="L391" i="37"/>
  <c r="R390" i="37"/>
  <c r="S390" i="37"/>
  <c r="G391" i="37"/>
  <c r="F391" i="37"/>
  <c r="J580" i="24" l="1"/>
  <c r="K580" i="24" s="1"/>
  <c r="R580" i="24"/>
  <c r="S580" i="24" s="1"/>
  <c r="N580" i="24"/>
  <c r="O580" i="24" s="1"/>
  <c r="T580" i="24"/>
  <c r="U580" i="24" s="1"/>
  <c r="P580" i="24"/>
  <c r="Q580" i="24" s="1"/>
  <c r="D580" i="24"/>
  <c r="E580" i="24" s="1"/>
  <c r="V580" i="24"/>
  <c r="W580" i="24" s="1"/>
  <c r="A581" i="24"/>
  <c r="B580" i="24"/>
  <c r="C580" i="24" s="1"/>
  <c r="H580" i="24"/>
  <c r="I580" i="24" s="1"/>
  <c r="L580" i="24"/>
  <c r="M580" i="24" s="1"/>
  <c r="F580" i="24"/>
  <c r="G580" i="24" s="1"/>
  <c r="J392" i="37"/>
  <c r="I392" i="37"/>
  <c r="D392" i="37"/>
  <c r="C392" i="37"/>
  <c r="P391" i="37"/>
  <c r="O391" i="37"/>
  <c r="R391" i="37"/>
  <c r="S391" i="37"/>
  <c r="F392" i="37"/>
  <c r="G392" i="37"/>
  <c r="L392" i="37"/>
  <c r="M392" i="37"/>
  <c r="A582" i="24" l="1"/>
  <c r="N581" i="24"/>
  <c r="O581" i="24" s="1"/>
  <c r="B581" i="24"/>
  <c r="C581" i="24" s="1"/>
  <c r="V581" i="24"/>
  <c r="W581" i="24" s="1"/>
  <c r="H581" i="24"/>
  <c r="I581" i="24" s="1"/>
  <c r="F581" i="24"/>
  <c r="G581" i="24" s="1"/>
  <c r="D581" i="24"/>
  <c r="E581" i="24" s="1"/>
  <c r="L581" i="24"/>
  <c r="M581" i="24" s="1"/>
  <c r="J581" i="24"/>
  <c r="K581" i="24" s="1"/>
  <c r="R581" i="24"/>
  <c r="S581" i="24" s="1"/>
  <c r="P581" i="24"/>
  <c r="Q581" i="24" s="1"/>
  <c r="T581" i="24"/>
  <c r="U581" i="24" s="1"/>
  <c r="J393" i="37"/>
  <c r="I393" i="37"/>
  <c r="D393" i="37"/>
  <c r="C393" i="37"/>
  <c r="O392" i="37"/>
  <c r="P392" i="37"/>
  <c r="M393" i="37"/>
  <c r="L393" i="37"/>
  <c r="R392" i="37"/>
  <c r="S392" i="37"/>
  <c r="F393" i="37"/>
  <c r="G393" i="37"/>
  <c r="H582" i="24" l="1"/>
  <c r="I582" i="24" s="1"/>
  <c r="R582" i="24"/>
  <c r="S582" i="24" s="1"/>
  <c r="L582" i="24"/>
  <c r="M582" i="24" s="1"/>
  <c r="T582" i="24"/>
  <c r="U582" i="24" s="1"/>
  <c r="P582" i="24"/>
  <c r="Q582" i="24" s="1"/>
  <c r="B582" i="24"/>
  <c r="C582" i="24" s="1"/>
  <c r="F582" i="24"/>
  <c r="G582" i="24" s="1"/>
  <c r="A583" i="24"/>
  <c r="D582" i="24"/>
  <c r="E582" i="24" s="1"/>
  <c r="J582" i="24"/>
  <c r="K582" i="24" s="1"/>
  <c r="N582" i="24"/>
  <c r="O582" i="24" s="1"/>
  <c r="V582" i="24"/>
  <c r="W582" i="24" s="1"/>
  <c r="I394" i="37"/>
  <c r="J394" i="37"/>
  <c r="C394" i="37"/>
  <c r="D394" i="37"/>
  <c r="O393" i="37"/>
  <c r="P393" i="37"/>
  <c r="R393" i="37"/>
  <c r="S393" i="37"/>
  <c r="M394" i="37"/>
  <c r="L394" i="37"/>
  <c r="F394" i="37"/>
  <c r="G394" i="37"/>
  <c r="A584" i="24" l="1"/>
  <c r="N583" i="24"/>
  <c r="O583" i="24" s="1"/>
  <c r="B583" i="24"/>
  <c r="C583" i="24" s="1"/>
  <c r="R583" i="24"/>
  <c r="S583" i="24" s="1"/>
  <c r="D583" i="24"/>
  <c r="E583" i="24" s="1"/>
  <c r="F583" i="24"/>
  <c r="G583" i="24" s="1"/>
  <c r="H583" i="24"/>
  <c r="I583" i="24" s="1"/>
  <c r="T583" i="24"/>
  <c r="U583" i="24" s="1"/>
  <c r="L583" i="24"/>
  <c r="M583" i="24" s="1"/>
  <c r="J583" i="24"/>
  <c r="K583" i="24" s="1"/>
  <c r="P583" i="24"/>
  <c r="Q583" i="24" s="1"/>
  <c r="V583" i="24"/>
  <c r="W583" i="24" s="1"/>
  <c r="J395" i="37"/>
  <c r="I395" i="37"/>
  <c r="D395" i="37"/>
  <c r="C395" i="37"/>
  <c r="O394" i="37"/>
  <c r="P394" i="37"/>
  <c r="F395" i="37"/>
  <c r="G395" i="37"/>
  <c r="L395" i="37"/>
  <c r="M395" i="37"/>
  <c r="R394" i="37"/>
  <c r="S394" i="37"/>
  <c r="J584" i="24" l="1"/>
  <c r="K584" i="24" s="1"/>
  <c r="L584" i="24"/>
  <c r="M584" i="24" s="1"/>
  <c r="P584" i="24"/>
  <c r="Q584" i="24" s="1"/>
  <c r="T584" i="24"/>
  <c r="U584" i="24" s="1"/>
  <c r="N584" i="24"/>
  <c r="O584" i="24" s="1"/>
  <c r="H584" i="24"/>
  <c r="I584" i="24" s="1"/>
  <c r="F584" i="24"/>
  <c r="G584" i="24" s="1"/>
  <c r="V584" i="24"/>
  <c r="W584" i="24" s="1"/>
  <c r="A585" i="24"/>
  <c r="B584" i="24"/>
  <c r="C584" i="24" s="1"/>
  <c r="D584" i="24"/>
  <c r="E584" i="24" s="1"/>
  <c r="R584" i="24"/>
  <c r="S584" i="24" s="1"/>
  <c r="I396" i="37"/>
  <c r="J396" i="37"/>
  <c r="C396" i="37"/>
  <c r="D396" i="37"/>
  <c r="P395" i="37"/>
  <c r="O395" i="37"/>
  <c r="M396" i="37"/>
  <c r="L396" i="37"/>
  <c r="S395" i="37"/>
  <c r="R395" i="37"/>
  <c r="G396" i="37"/>
  <c r="F396" i="37"/>
  <c r="A586" i="24" l="1"/>
  <c r="F585" i="24"/>
  <c r="G585" i="24" s="1"/>
  <c r="D585" i="24"/>
  <c r="E585" i="24" s="1"/>
  <c r="P585" i="24"/>
  <c r="Q585" i="24" s="1"/>
  <c r="B585" i="24"/>
  <c r="C585" i="24" s="1"/>
  <c r="V585" i="24"/>
  <c r="W585" i="24" s="1"/>
  <c r="H585" i="24"/>
  <c r="I585" i="24" s="1"/>
  <c r="R585" i="24"/>
  <c r="S585" i="24" s="1"/>
  <c r="T585" i="24"/>
  <c r="U585" i="24" s="1"/>
  <c r="J585" i="24"/>
  <c r="K585" i="24" s="1"/>
  <c r="L585" i="24"/>
  <c r="M585" i="24" s="1"/>
  <c r="N585" i="24"/>
  <c r="O585" i="24" s="1"/>
  <c r="J397" i="37"/>
  <c r="I397" i="37"/>
  <c r="D397" i="37"/>
  <c r="C397" i="37"/>
  <c r="P396" i="37"/>
  <c r="O396" i="37"/>
  <c r="G397" i="37"/>
  <c r="F397" i="37"/>
  <c r="S396" i="37"/>
  <c r="R396" i="37"/>
  <c r="M397" i="37"/>
  <c r="L397" i="37"/>
  <c r="H586" i="24" l="1"/>
  <c r="I586" i="24" s="1"/>
  <c r="L586" i="24"/>
  <c r="M586" i="24" s="1"/>
  <c r="R586" i="24"/>
  <c r="S586" i="24" s="1"/>
  <c r="T586" i="24"/>
  <c r="U586" i="24" s="1"/>
  <c r="P586" i="24"/>
  <c r="Q586" i="24" s="1"/>
  <c r="B586" i="24"/>
  <c r="C586" i="24" s="1"/>
  <c r="N586" i="24"/>
  <c r="O586" i="24" s="1"/>
  <c r="V586" i="24"/>
  <c r="W586" i="24" s="1"/>
  <c r="F586" i="24"/>
  <c r="G586" i="24" s="1"/>
  <c r="A587" i="24"/>
  <c r="D586" i="24"/>
  <c r="E586" i="24" s="1"/>
  <c r="J586" i="24"/>
  <c r="K586" i="24" s="1"/>
  <c r="J398" i="37"/>
  <c r="I398" i="37"/>
  <c r="C398" i="37"/>
  <c r="D398" i="37"/>
  <c r="O397" i="37"/>
  <c r="P397" i="37"/>
  <c r="S397" i="37"/>
  <c r="R397" i="37"/>
  <c r="M398" i="37"/>
  <c r="L398" i="37"/>
  <c r="G398" i="37"/>
  <c r="F398" i="37"/>
  <c r="B587" i="24" l="1"/>
  <c r="C587" i="24" s="1"/>
  <c r="P587" i="24"/>
  <c r="Q587" i="24" s="1"/>
  <c r="A588" i="24"/>
  <c r="F587" i="24"/>
  <c r="G587" i="24" s="1"/>
  <c r="H587" i="24"/>
  <c r="I587" i="24" s="1"/>
  <c r="N587" i="24"/>
  <c r="O587" i="24" s="1"/>
  <c r="D587" i="24"/>
  <c r="E587" i="24" s="1"/>
  <c r="T587" i="24"/>
  <c r="U587" i="24" s="1"/>
  <c r="R587" i="24"/>
  <c r="S587" i="24" s="1"/>
  <c r="J587" i="24"/>
  <c r="K587" i="24" s="1"/>
  <c r="L587" i="24"/>
  <c r="M587" i="24" s="1"/>
  <c r="V587" i="24"/>
  <c r="W587" i="24" s="1"/>
  <c r="I399" i="37"/>
  <c r="J399" i="37"/>
  <c r="D399" i="37"/>
  <c r="C399" i="37"/>
  <c r="O398" i="37"/>
  <c r="P398" i="37"/>
  <c r="R398" i="37"/>
  <c r="S398" i="37"/>
  <c r="G399" i="37"/>
  <c r="F399" i="37"/>
  <c r="M399" i="37"/>
  <c r="L399" i="37"/>
  <c r="J588" i="24" l="1"/>
  <c r="K588" i="24" s="1"/>
  <c r="R588" i="24"/>
  <c r="S588" i="24" s="1"/>
  <c r="N588" i="24"/>
  <c r="O588" i="24" s="1"/>
  <c r="T588" i="24"/>
  <c r="U588" i="24" s="1"/>
  <c r="L588" i="24"/>
  <c r="M588" i="24" s="1"/>
  <c r="D588" i="24"/>
  <c r="E588" i="24" s="1"/>
  <c r="V588" i="24"/>
  <c r="W588" i="24" s="1"/>
  <c r="H588" i="24"/>
  <c r="I588" i="24" s="1"/>
  <c r="P588" i="24"/>
  <c r="Q588" i="24" s="1"/>
  <c r="F588" i="24"/>
  <c r="G588" i="24" s="1"/>
  <c r="B588" i="24"/>
  <c r="C588" i="24" s="1"/>
  <c r="A589" i="24"/>
  <c r="I400" i="37"/>
  <c r="J400" i="37"/>
  <c r="D400" i="37"/>
  <c r="C400" i="37"/>
  <c r="O399" i="37"/>
  <c r="P399" i="37"/>
  <c r="F400" i="37"/>
  <c r="G400" i="37"/>
  <c r="M400" i="37"/>
  <c r="L400" i="37"/>
  <c r="S399" i="37"/>
  <c r="R399" i="37"/>
  <c r="A590" i="24" l="1"/>
  <c r="V589" i="24"/>
  <c r="W589" i="24" s="1"/>
  <c r="B589" i="24"/>
  <c r="C589" i="24" s="1"/>
  <c r="N589" i="24"/>
  <c r="O589" i="24" s="1"/>
  <c r="D589" i="24"/>
  <c r="E589" i="24" s="1"/>
  <c r="F589" i="24"/>
  <c r="G589" i="24" s="1"/>
  <c r="R589" i="24"/>
  <c r="S589" i="24" s="1"/>
  <c r="P589" i="24"/>
  <c r="Q589" i="24" s="1"/>
  <c r="T589" i="24"/>
  <c r="U589" i="24" s="1"/>
  <c r="H589" i="24"/>
  <c r="I589" i="24" s="1"/>
  <c r="J589" i="24"/>
  <c r="K589" i="24" s="1"/>
  <c r="L589" i="24"/>
  <c r="M589" i="24" s="1"/>
  <c r="I401" i="37"/>
  <c r="J401" i="37"/>
  <c r="D401" i="37"/>
  <c r="C401" i="37"/>
  <c r="P400" i="37"/>
  <c r="O400" i="37"/>
  <c r="G401" i="37"/>
  <c r="F401" i="37"/>
  <c r="S400" i="37"/>
  <c r="R400" i="37"/>
  <c r="M401" i="37"/>
  <c r="L401" i="37"/>
  <c r="J590" i="24" l="1"/>
  <c r="K590" i="24" s="1"/>
  <c r="R590" i="24"/>
  <c r="L590" i="24"/>
  <c r="M590" i="24" s="1"/>
  <c r="T590" i="24"/>
  <c r="U590" i="24" s="1"/>
  <c r="P590" i="24"/>
  <c r="Q590" i="24" s="1"/>
  <c r="B590" i="24"/>
  <c r="C590" i="24" s="1"/>
  <c r="D590" i="24"/>
  <c r="E590" i="24" s="1"/>
  <c r="H590" i="24"/>
  <c r="I590" i="24" s="1"/>
  <c r="N590" i="24"/>
  <c r="O590" i="24" s="1"/>
  <c r="V590" i="24"/>
  <c r="W590" i="24" s="1"/>
  <c r="F590" i="24"/>
  <c r="G590" i="24" s="1"/>
  <c r="A591" i="24"/>
  <c r="S590" i="24"/>
  <c r="I402" i="37"/>
  <c r="J402" i="37"/>
  <c r="D402" i="37"/>
  <c r="C402" i="37"/>
  <c r="O401" i="37"/>
  <c r="P401" i="37"/>
  <c r="F402" i="37"/>
  <c r="G402" i="37"/>
  <c r="R401" i="37"/>
  <c r="S401" i="37"/>
  <c r="M402" i="37"/>
  <c r="L402" i="37"/>
  <c r="B591" i="24" l="1"/>
  <c r="C591" i="24" s="1"/>
  <c r="V591" i="24"/>
  <c r="W591" i="24" s="1"/>
  <c r="D591" i="24"/>
  <c r="E591" i="24" s="1"/>
  <c r="N591" i="24"/>
  <c r="O591" i="24" s="1"/>
  <c r="A592" i="24"/>
  <c r="F591" i="24"/>
  <c r="G591" i="24" s="1"/>
  <c r="H591" i="24"/>
  <c r="I591" i="24" s="1"/>
  <c r="T591" i="24"/>
  <c r="U591" i="24" s="1"/>
  <c r="J591" i="24"/>
  <c r="K591" i="24" s="1"/>
  <c r="L591" i="24"/>
  <c r="M591" i="24" s="1"/>
  <c r="P591" i="24"/>
  <c r="Q591" i="24" s="1"/>
  <c r="R591" i="24"/>
  <c r="S591" i="24" s="1"/>
  <c r="J403" i="37"/>
  <c r="I403" i="37"/>
  <c r="D403" i="37"/>
  <c r="C403" i="37"/>
  <c r="O402" i="37"/>
  <c r="P402" i="37"/>
  <c r="M403" i="37"/>
  <c r="L403" i="37"/>
  <c r="S402" i="37"/>
  <c r="R402" i="37"/>
  <c r="F403" i="37"/>
  <c r="G403" i="37"/>
  <c r="J592" i="24" l="1"/>
  <c r="K592" i="24" s="1"/>
  <c r="L592" i="24"/>
  <c r="M592" i="24" s="1"/>
  <c r="P592" i="24"/>
  <c r="Q592" i="24" s="1"/>
  <c r="T592" i="24"/>
  <c r="U592" i="24" s="1"/>
  <c r="R592" i="24"/>
  <c r="S592" i="24" s="1"/>
  <c r="H592" i="24"/>
  <c r="I592" i="24" s="1"/>
  <c r="V592" i="24"/>
  <c r="W592" i="24" s="1"/>
  <c r="A593" i="24"/>
  <c r="B592" i="24"/>
  <c r="C592" i="24" s="1"/>
  <c r="D592" i="24"/>
  <c r="E592" i="24" s="1"/>
  <c r="N592" i="24"/>
  <c r="O592" i="24" s="1"/>
  <c r="F592" i="24"/>
  <c r="G592" i="24" s="1"/>
  <c r="J404" i="37"/>
  <c r="I404" i="37"/>
  <c r="C404" i="37"/>
  <c r="D404" i="37"/>
  <c r="O403" i="37"/>
  <c r="P403" i="37"/>
  <c r="F404" i="37"/>
  <c r="G404" i="37"/>
  <c r="S403" i="37"/>
  <c r="R403" i="37"/>
  <c r="L404" i="37"/>
  <c r="M404" i="37"/>
  <c r="A594" i="24" l="1"/>
  <c r="P593" i="24"/>
  <c r="Q593" i="24" s="1"/>
  <c r="B593" i="24"/>
  <c r="C593" i="24" s="1"/>
  <c r="F593" i="24"/>
  <c r="G593" i="24" s="1"/>
  <c r="H593" i="24"/>
  <c r="I593" i="24" s="1"/>
  <c r="V593" i="24"/>
  <c r="W593" i="24" s="1"/>
  <c r="D593" i="24"/>
  <c r="E593" i="24" s="1"/>
  <c r="N593" i="24"/>
  <c r="O593" i="24" s="1"/>
  <c r="R593" i="24"/>
  <c r="S593" i="24" s="1"/>
  <c r="T593" i="24"/>
  <c r="U593" i="24" s="1"/>
  <c r="L593" i="24"/>
  <c r="M593" i="24" s="1"/>
  <c r="J593" i="24"/>
  <c r="K593" i="24" s="1"/>
  <c r="I405" i="37"/>
  <c r="J405" i="37"/>
  <c r="D405" i="37"/>
  <c r="C405" i="37"/>
  <c r="P404" i="37"/>
  <c r="O404" i="37"/>
  <c r="R404" i="37"/>
  <c r="S404" i="37"/>
  <c r="L405" i="37"/>
  <c r="M405" i="37"/>
  <c r="G405" i="37"/>
  <c r="F405" i="37"/>
  <c r="J594" i="24" l="1"/>
  <c r="K594" i="24" s="1"/>
  <c r="L594" i="24"/>
  <c r="M594" i="24" s="1"/>
  <c r="P594" i="24"/>
  <c r="Q594" i="24" s="1"/>
  <c r="A595" i="24"/>
  <c r="R594" i="24"/>
  <c r="S594" i="24" s="1"/>
  <c r="B594" i="24"/>
  <c r="C594" i="24" s="1"/>
  <c r="T594" i="24"/>
  <c r="U594" i="24" s="1"/>
  <c r="D594" i="24"/>
  <c r="E594" i="24" s="1"/>
  <c r="H594" i="24"/>
  <c r="I594" i="24" s="1"/>
  <c r="N594" i="24"/>
  <c r="O594" i="24" s="1"/>
  <c r="V594" i="24"/>
  <c r="W594" i="24" s="1"/>
  <c r="F594" i="24"/>
  <c r="G594" i="24" s="1"/>
  <c r="J406" i="37"/>
  <c r="I406" i="37"/>
  <c r="C406" i="37"/>
  <c r="D406" i="37"/>
  <c r="O405" i="37"/>
  <c r="P405" i="37"/>
  <c r="R405" i="37"/>
  <c r="S405" i="37"/>
  <c r="F406" i="37"/>
  <c r="G406" i="37"/>
  <c r="M406" i="37"/>
  <c r="L406" i="37"/>
  <c r="A596" i="24" l="1"/>
  <c r="N595" i="24"/>
  <c r="O595" i="24" s="1"/>
  <c r="B595" i="24"/>
  <c r="C595" i="24" s="1"/>
  <c r="F595" i="24"/>
  <c r="G595" i="24" s="1"/>
  <c r="D595" i="24"/>
  <c r="E595" i="24" s="1"/>
  <c r="P595" i="24"/>
  <c r="Q595" i="24" s="1"/>
  <c r="J595" i="24"/>
  <c r="K595" i="24" s="1"/>
  <c r="T595" i="24"/>
  <c r="U595" i="24" s="1"/>
  <c r="L595" i="24"/>
  <c r="M595" i="24" s="1"/>
  <c r="R595" i="24"/>
  <c r="S595" i="24" s="1"/>
  <c r="V595" i="24"/>
  <c r="W595" i="24" s="1"/>
  <c r="H595" i="24"/>
  <c r="I595" i="24" s="1"/>
  <c r="J407" i="37"/>
  <c r="I407" i="37"/>
  <c r="C407" i="37"/>
  <c r="D407" i="37"/>
  <c r="O406" i="37"/>
  <c r="P406" i="37"/>
  <c r="M407" i="37"/>
  <c r="L407" i="37"/>
  <c r="F407" i="37"/>
  <c r="G407" i="37"/>
  <c r="S406" i="37"/>
  <c r="R406" i="37"/>
  <c r="J596" i="24" l="1"/>
  <c r="K596" i="24" s="1"/>
  <c r="R596" i="24"/>
  <c r="S596" i="24" s="1"/>
  <c r="L596" i="24"/>
  <c r="M596" i="24" s="1"/>
  <c r="T596" i="24"/>
  <c r="U596" i="24" s="1"/>
  <c r="N596" i="24"/>
  <c r="O596" i="24" s="1"/>
  <c r="D596" i="24"/>
  <c r="E596" i="24" s="1"/>
  <c r="V596" i="24"/>
  <c r="W596" i="24" s="1"/>
  <c r="A597" i="24"/>
  <c r="H596" i="24"/>
  <c r="I596" i="24" s="1"/>
  <c r="B596" i="24"/>
  <c r="C596" i="24" s="1"/>
  <c r="P596" i="24"/>
  <c r="Q596" i="24" s="1"/>
  <c r="F596" i="24"/>
  <c r="G596" i="24" s="1"/>
  <c r="J408" i="37"/>
  <c r="I408" i="37"/>
  <c r="D408" i="37"/>
  <c r="C408" i="37"/>
  <c r="P407" i="37"/>
  <c r="O407" i="37"/>
  <c r="R407" i="37"/>
  <c r="S407" i="37"/>
  <c r="F408" i="37"/>
  <c r="G408" i="37"/>
  <c r="M408" i="37"/>
  <c r="L408" i="37"/>
  <c r="A598" i="24" l="1"/>
  <c r="V597" i="24"/>
  <c r="W597" i="24" s="1"/>
  <c r="B597" i="24"/>
  <c r="C597" i="24" s="1"/>
  <c r="L597" i="24"/>
  <c r="M597" i="24" s="1"/>
  <c r="H597" i="24"/>
  <c r="I597" i="24" s="1"/>
  <c r="F597" i="24"/>
  <c r="G597" i="24" s="1"/>
  <c r="R597" i="24"/>
  <c r="S597" i="24" s="1"/>
  <c r="N597" i="24"/>
  <c r="O597" i="24" s="1"/>
  <c r="D597" i="24"/>
  <c r="E597" i="24" s="1"/>
  <c r="J597" i="24"/>
  <c r="K597" i="24" s="1"/>
  <c r="P597" i="24"/>
  <c r="Q597" i="24" s="1"/>
  <c r="T597" i="24"/>
  <c r="U597" i="24" s="1"/>
  <c r="I409" i="37"/>
  <c r="J409" i="37"/>
  <c r="C409" i="37"/>
  <c r="D409" i="37"/>
  <c r="O408" i="37"/>
  <c r="P408" i="37"/>
  <c r="G409" i="37"/>
  <c r="F409" i="37"/>
  <c r="M409" i="37"/>
  <c r="L409" i="37"/>
  <c r="S408" i="37"/>
  <c r="R408" i="37"/>
  <c r="J598" i="24" l="1"/>
  <c r="K598" i="24" s="1"/>
  <c r="R598" i="24"/>
  <c r="S598" i="24" s="1"/>
  <c r="L598" i="24"/>
  <c r="M598" i="24" s="1"/>
  <c r="T598" i="24"/>
  <c r="U598" i="24" s="1"/>
  <c r="P598" i="24"/>
  <c r="Q598" i="24" s="1"/>
  <c r="B598" i="24"/>
  <c r="C598" i="24" s="1"/>
  <c r="F598" i="24"/>
  <c r="G598" i="24" s="1"/>
  <c r="A599" i="24"/>
  <c r="D598" i="24"/>
  <c r="E598" i="24" s="1"/>
  <c r="H598" i="24"/>
  <c r="I598" i="24" s="1"/>
  <c r="N598" i="24"/>
  <c r="O598" i="24" s="1"/>
  <c r="V598" i="24"/>
  <c r="W598" i="24" s="1"/>
  <c r="J410" i="37"/>
  <c r="I410" i="37"/>
  <c r="C410" i="37"/>
  <c r="D410" i="37"/>
  <c r="O409" i="37"/>
  <c r="P409" i="37"/>
  <c r="S409" i="37"/>
  <c r="R409" i="37"/>
  <c r="L410" i="37"/>
  <c r="M410" i="37"/>
  <c r="F410" i="37"/>
  <c r="G410" i="37"/>
  <c r="A600" i="24" l="1"/>
  <c r="V599" i="24"/>
  <c r="W599" i="24" s="1"/>
  <c r="B599" i="24"/>
  <c r="C599" i="24" s="1"/>
  <c r="N599" i="24"/>
  <c r="O599" i="24" s="1"/>
  <c r="D599" i="24"/>
  <c r="E599" i="24" s="1"/>
  <c r="F599" i="24"/>
  <c r="G599" i="24" s="1"/>
  <c r="H599" i="24"/>
  <c r="I599" i="24" s="1"/>
  <c r="T599" i="24"/>
  <c r="U599" i="24" s="1"/>
  <c r="J599" i="24"/>
  <c r="K599" i="24" s="1"/>
  <c r="L599" i="24"/>
  <c r="M599" i="24" s="1"/>
  <c r="P599" i="24"/>
  <c r="Q599" i="24" s="1"/>
  <c r="R599" i="24"/>
  <c r="S599" i="24" s="1"/>
  <c r="J411" i="37"/>
  <c r="I411" i="37"/>
  <c r="D411" i="37"/>
  <c r="C411" i="37"/>
  <c r="P410" i="37"/>
  <c r="O410" i="37"/>
  <c r="M411" i="37"/>
  <c r="L411" i="37"/>
  <c r="R410" i="37"/>
  <c r="S410" i="37"/>
  <c r="G411" i="37"/>
  <c r="F411" i="37"/>
  <c r="J600" i="24" l="1"/>
  <c r="K600" i="24" s="1"/>
  <c r="L600" i="24"/>
  <c r="M600" i="24" s="1"/>
  <c r="P600" i="24"/>
  <c r="Q600" i="24" s="1"/>
  <c r="T600" i="24"/>
  <c r="U600" i="24" s="1"/>
  <c r="R600" i="24"/>
  <c r="S600" i="24" s="1"/>
  <c r="H600" i="24"/>
  <c r="I600" i="24" s="1"/>
  <c r="V600" i="24"/>
  <c r="W600" i="24" s="1"/>
  <c r="F600" i="24"/>
  <c r="G600" i="24" s="1"/>
  <c r="A601" i="24"/>
  <c r="B600" i="24"/>
  <c r="C600" i="24" s="1"/>
  <c r="D600" i="24"/>
  <c r="E600" i="24" s="1"/>
  <c r="N600" i="24"/>
  <c r="O600" i="24" s="1"/>
  <c r="J412" i="37"/>
  <c r="I412" i="37"/>
  <c r="C412" i="37"/>
  <c r="D412" i="37"/>
  <c r="O411" i="37"/>
  <c r="P411" i="37"/>
  <c r="M412" i="37"/>
  <c r="L412" i="37"/>
  <c r="G412" i="37"/>
  <c r="F412" i="37"/>
  <c r="S411" i="37"/>
  <c r="R411" i="37"/>
  <c r="B601" i="24" l="1"/>
  <c r="C601" i="24" s="1"/>
  <c r="P601" i="24"/>
  <c r="Q601" i="24" s="1"/>
  <c r="A602" i="24"/>
  <c r="V601" i="24"/>
  <c r="W601" i="24" s="1"/>
  <c r="D601" i="24"/>
  <c r="E601" i="24" s="1"/>
  <c r="F601" i="24"/>
  <c r="G601" i="24" s="1"/>
  <c r="H601" i="24"/>
  <c r="I601" i="24" s="1"/>
  <c r="N601" i="24"/>
  <c r="O601" i="24" s="1"/>
  <c r="T601" i="24"/>
  <c r="U601" i="24" s="1"/>
  <c r="J601" i="24"/>
  <c r="K601" i="24" s="1"/>
  <c r="L601" i="24"/>
  <c r="M601" i="24" s="1"/>
  <c r="R601" i="24"/>
  <c r="S601" i="24" s="1"/>
  <c r="I413" i="37"/>
  <c r="J413" i="37"/>
  <c r="C413" i="37"/>
  <c r="D413" i="37"/>
  <c r="O412" i="37"/>
  <c r="P412" i="37"/>
  <c r="F413" i="37"/>
  <c r="G413" i="37"/>
  <c r="R412" i="37"/>
  <c r="S412" i="37"/>
  <c r="M413" i="37"/>
  <c r="L413" i="37"/>
  <c r="J602" i="24" l="1"/>
  <c r="L602" i="24"/>
  <c r="M602" i="24" s="1"/>
  <c r="R602" i="24"/>
  <c r="S602" i="24" s="1"/>
  <c r="T602" i="24"/>
  <c r="U602" i="24" s="1"/>
  <c r="P602" i="24"/>
  <c r="Q602" i="24" s="1"/>
  <c r="B602" i="24"/>
  <c r="C602" i="24" s="1"/>
  <c r="N602" i="24"/>
  <c r="O602" i="24" s="1"/>
  <c r="V602" i="24"/>
  <c r="W602" i="24" s="1"/>
  <c r="F602" i="24"/>
  <c r="G602" i="24" s="1"/>
  <c r="A603" i="24"/>
  <c r="D602" i="24"/>
  <c r="E602" i="24" s="1"/>
  <c r="H602" i="24"/>
  <c r="I602" i="24" s="1"/>
  <c r="K602" i="24"/>
  <c r="J414" i="37"/>
  <c r="I414" i="37"/>
  <c r="C414" i="37"/>
  <c r="D414" i="37"/>
  <c r="P413" i="37"/>
  <c r="O413" i="37"/>
  <c r="L414" i="37"/>
  <c r="M414" i="37"/>
  <c r="S413" i="37"/>
  <c r="R413" i="37"/>
  <c r="G414" i="37"/>
  <c r="F414" i="37"/>
  <c r="A604" i="24" l="1"/>
  <c r="V603" i="24"/>
  <c r="W603" i="24" s="1"/>
  <c r="B603" i="24"/>
  <c r="C603" i="24" s="1"/>
  <c r="F603" i="24"/>
  <c r="G603" i="24" s="1"/>
  <c r="D603" i="24"/>
  <c r="E603" i="24" s="1"/>
  <c r="N603" i="24"/>
  <c r="O603" i="24" s="1"/>
  <c r="H603" i="24"/>
  <c r="I603" i="24" s="1"/>
  <c r="T603" i="24"/>
  <c r="U603" i="24" s="1"/>
  <c r="R603" i="24"/>
  <c r="S603" i="24" s="1"/>
  <c r="J603" i="24"/>
  <c r="K603" i="24" s="1"/>
  <c r="L603" i="24"/>
  <c r="M603" i="24" s="1"/>
  <c r="P603" i="24"/>
  <c r="Q603" i="24" s="1"/>
  <c r="J415" i="37"/>
  <c r="I415" i="37"/>
  <c r="D415" i="37"/>
  <c r="C415" i="37"/>
  <c r="O414" i="37"/>
  <c r="P414" i="37"/>
  <c r="R414" i="37"/>
  <c r="S414" i="37"/>
  <c r="F415" i="37"/>
  <c r="G415" i="37"/>
  <c r="M415" i="37"/>
  <c r="L415" i="37"/>
  <c r="J604" i="24" l="1"/>
  <c r="K604" i="24" s="1"/>
  <c r="R604" i="24"/>
  <c r="S604" i="24" s="1"/>
  <c r="N604" i="24"/>
  <c r="O604" i="24" s="1"/>
  <c r="T604" i="24"/>
  <c r="U604" i="24" s="1"/>
  <c r="P604" i="24"/>
  <c r="Q604" i="24" s="1"/>
  <c r="D604" i="24"/>
  <c r="E604" i="24" s="1"/>
  <c r="V604" i="24"/>
  <c r="W604" i="24" s="1"/>
  <c r="H604" i="24"/>
  <c r="I604" i="24" s="1"/>
  <c r="L604" i="24"/>
  <c r="M604" i="24" s="1"/>
  <c r="F604" i="24"/>
  <c r="G604" i="24" s="1"/>
  <c r="A605" i="24"/>
  <c r="B604" i="24"/>
  <c r="C604" i="24" s="1"/>
  <c r="I416" i="37"/>
  <c r="J416" i="37"/>
  <c r="C416" i="37"/>
  <c r="D416" i="37"/>
  <c r="P415" i="37"/>
  <c r="O415" i="37"/>
  <c r="F416" i="37"/>
  <c r="G416" i="37"/>
  <c r="M416" i="37"/>
  <c r="L416" i="37"/>
  <c r="S415" i="37"/>
  <c r="R415" i="37"/>
  <c r="A606" i="24" l="1"/>
  <c r="V605" i="24"/>
  <c r="W605" i="24" s="1"/>
  <c r="D605" i="24"/>
  <c r="E605" i="24" s="1"/>
  <c r="F605" i="24"/>
  <c r="G605" i="24" s="1"/>
  <c r="H605" i="24"/>
  <c r="I605" i="24" s="1"/>
  <c r="N605" i="24"/>
  <c r="O605" i="24" s="1"/>
  <c r="R605" i="24"/>
  <c r="S605" i="24" s="1"/>
  <c r="L605" i="24"/>
  <c r="M605" i="24" s="1"/>
  <c r="T605" i="24"/>
  <c r="U605" i="24" s="1"/>
  <c r="B605" i="24"/>
  <c r="C605" i="24" s="1"/>
  <c r="J605" i="24"/>
  <c r="K605" i="24" s="1"/>
  <c r="P605" i="24"/>
  <c r="Q605" i="24" s="1"/>
  <c r="I417" i="37"/>
  <c r="J417" i="37"/>
  <c r="D417" i="37"/>
  <c r="C417" i="37"/>
  <c r="O416" i="37"/>
  <c r="P416" i="37"/>
  <c r="L417" i="37"/>
  <c r="M417" i="37"/>
  <c r="R416" i="37"/>
  <c r="S416" i="37"/>
  <c r="F417" i="37"/>
  <c r="G417" i="37"/>
  <c r="J606" i="24" l="1"/>
  <c r="K606" i="24" s="1"/>
  <c r="R606" i="24"/>
  <c r="S606" i="24" s="1"/>
  <c r="L606" i="24"/>
  <c r="M606" i="24" s="1"/>
  <c r="T606" i="24"/>
  <c r="U606" i="24" s="1"/>
  <c r="P606" i="24"/>
  <c r="Q606" i="24" s="1"/>
  <c r="B606" i="24"/>
  <c r="C606" i="24" s="1"/>
  <c r="D606" i="24"/>
  <c r="E606" i="24" s="1"/>
  <c r="H606" i="24"/>
  <c r="I606" i="24" s="1"/>
  <c r="N606" i="24"/>
  <c r="O606" i="24" s="1"/>
  <c r="V606" i="24"/>
  <c r="W606" i="24" s="1"/>
  <c r="F606" i="24"/>
  <c r="G606" i="24" s="1"/>
  <c r="A607" i="24"/>
  <c r="I418" i="37"/>
  <c r="J418" i="37"/>
  <c r="D418" i="37"/>
  <c r="C418" i="37"/>
  <c r="O417" i="37"/>
  <c r="P417" i="37"/>
  <c r="G418" i="37"/>
  <c r="F418" i="37"/>
  <c r="R417" i="37"/>
  <c r="S417" i="37"/>
  <c r="L418" i="37"/>
  <c r="M418" i="37"/>
  <c r="A608" i="24" l="1"/>
  <c r="V607" i="24"/>
  <c r="W607" i="24" s="1"/>
  <c r="B607" i="24"/>
  <c r="C607" i="24" s="1"/>
  <c r="N607" i="24"/>
  <c r="O607" i="24" s="1"/>
  <c r="D607" i="24"/>
  <c r="E607" i="24" s="1"/>
  <c r="F607" i="24"/>
  <c r="G607" i="24" s="1"/>
  <c r="J607" i="24"/>
  <c r="K607" i="24" s="1"/>
  <c r="T607" i="24"/>
  <c r="U607" i="24" s="1"/>
  <c r="R607" i="24"/>
  <c r="S607" i="24" s="1"/>
  <c r="L607" i="24"/>
  <c r="M607" i="24" s="1"/>
  <c r="H607" i="24"/>
  <c r="I607" i="24" s="1"/>
  <c r="P607" i="24"/>
  <c r="Q607" i="24" s="1"/>
  <c r="J419" i="37"/>
  <c r="I419" i="37"/>
  <c r="C419" i="37"/>
  <c r="D419" i="37"/>
  <c r="O418" i="37"/>
  <c r="P418" i="37"/>
  <c r="F419" i="37"/>
  <c r="G419" i="37"/>
  <c r="M419" i="37"/>
  <c r="L419" i="37"/>
  <c r="R418" i="37"/>
  <c r="S418" i="37"/>
  <c r="J608" i="24" l="1"/>
  <c r="K608" i="24" s="1"/>
  <c r="L608" i="24"/>
  <c r="M608" i="24" s="1"/>
  <c r="P608" i="24"/>
  <c r="Q608" i="24" s="1"/>
  <c r="T608" i="24"/>
  <c r="U608" i="24" s="1"/>
  <c r="N608" i="24"/>
  <c r="O608" i="24" s="1"/>
  <c r="H608" i="24"/>
  <c r="I608" i="24" s="1"/>
  <c r="V608" i="24"/>
  <c r="W608" i="24" s="1"/>
  <c r="A609" i="24"/>
  <c r="B608" i="24"/>
  <c r="C608" i="24" s="1"/>
  <c r="D608" i="24"/>
  <c r="E608" i="24" s="1"/>
  <c r="R608" i="24"/>
  <c r="S608" i="24" s="1"/>
  <c r="F608" i="24"/>
  <c r="G608" i="24" s="1"/>
  <c r="J420" i="37"/>
  <c r="I420" i="37"/>
  <c r="D420" i="37"/>
  <c r="C420" i="37"/>
  <c r="P419" i="37"/>
  <c r="O419" i="37"/>
  <c r="L420" i="37"/>
  <c r="M420" i="37"/>
  <c r="F420" i="37"/>
  <c r="G420" i="37"/>
  <c r="R419" i="37"/>
  <c r="S419" i="37"/>
  <c r="A610" i="24" l="1"/>
  <c r="P609" i="24"/>
  <c r="Q609" i="24" s="1"/>
  <c r="B609" i="24"/>
  <c r="C609" i="24" s="1"/>
  <c r="F609" i="24"/>
  <c r="G609" i="24" s="1"/>
  <c r="D609" i="24"/>
  <c r="E609" i="24" s="1"/>
  <c r="V609" i="24"/>
  <c r="W609" i="24" s="1"/>
  <c r="J609" i="24"/>
  <c r="K609" i="24" s="1"/>
  <c r="R609" i="24"/>
  <c r="S609" i="24" s="1"/>
  <c r="N609" i="24"/>
  <c r="O609" i="24" s="1"/>
  <c r="T609" i="24"/>
  <c r="U609" i="24" s="1"/>
  <c r="H609" i="24"/>
  <c r="I609" i="24" s="1"/>
  <c r="L609" i="24"/>
  <c r="M609" i="24" s="1"/>
  <c r="J421" i="37"/>
  <c r="I421" i="37"/>
  <c r="D421" i="37"/>
  <c r="C421" i="37"/>
  <c r="O420" i="37"/>
  <c r="P420" i="37"/>
  <c r="M421" i="37"/>
  <c r="L421" i="37"/>
  <c r="G421" i="37"/>
  <c r="F421" i="37"/>
  <c r="R420" i="37"/>
  <c r="S420" i="37"/>
  <c r="J610" i="24" l="1"/>
  <c r="K610" i="24" s="1"/>
  <c r="L610" i="24"/>
  <c r="M610" i="24" s="1"/>
  <c r="R610" i="24"/>
  <c r="S610" i="24" s="1"/>
  <c r="T610" i="24"/>
  <c r="U610" i="24" s="1"/>
  <c r="P610" i="24"/>
  <c r="Q610" i="24" s="1"/>
  <c r="D610" i="24"/>
  <c r="E610" i="24" s="1"/>
  <c r="B610" i="24"/>
  <c r="C610" i="24" s="1"/>
  <c r="A611" i="24"/>
  <c r="H610" i="24"/>
  <c r="I610" i="24" s="1"/>
  <c r="N610" i="24"/>
  <c r="O610" i="24" s="1"/>
  <c r="V610" i="24"/>
  <c r="W610" i="24" s="1"/>
  <c r="F610" i="24"/>
  <c r="G610" i="24" s="1"/>
  <c r="J422" i="37"/>
  <c r="I422" i="37"/>
  <c r="C422" i="37"/>
  <c r="D422" i="37"/>
  <c r="O421" i="37"/>
  <c r="P421" i="37"/>
  <c r="R421" i="37"/>
  <c r="S421" i="37"/>
  <c r="M422" i="37"/>
  <c r="L422" i="37"/>
  <c r="F422" i="37"/>
  <c r="G422" i="37"/>
  <c r="B611" i="24" l="1"/>
  <c r="C611" i="24" s="1"/>
  <c r="F611" i="24"/>
  <c r="G611" i="24" s="1"/>
  <c r="A612" i="24"/>
  <c r="N611" i="24"/>
  <c r="O611" i="24" s="1"/>
  <c r="H611" i="24"/>
  <c r="I611" i="24" s="1"/>
  <c r="P611" i="24"/>
  <c r="Q611" i="24" s="1"/>
  <c r="J611" i="24"/>
  <c r="K611" i="24" s="1"/>
  <c r="D611" i="24"/>
  <c r="E611" i="24" s="1"/>
  <c r="L611" i="24"/>
  <c r="M611" i="24" s="1"/>
  <c r="R611" i="24"/>
  <c r="S611" i="24" s="1"/>
  <c r="V611" i="24"/>
  <c r="W611" i="24" s="1"/>
  <c r="T611" i="24"/>
  <c r="U611" i="24" s="1"/>
  <c r="J423" i="37"/>
  <c r="I423" i="37"/>
  <c r="C423" i="37"/>
  <c r="D423" i="37"/>
  <c r="O422" i="37"/>
  <c r="P422" i="37"/>
  <c r="M423" i="37"/>
  <c r="L423" i="37"/>
  <c r="F423" i="37"/>
  <c r="G423" i="37"/>
  <c r="R422" i="37"/>
  <c r="S422" i="37"/>
  <c r="J612" i="24" l="1"/>
  <c r="K612" i="24" s="1"/>
  <c r="R612" i="24"/>
  <c r="S612" i="24" s="1"/>
  <c r="N612" i="24"/>
  <c r="O612" i="24" s="1"/>
  <c r="T612" i="24"/>
  <c r="U612" i="24" s="1"/>
  <c r="L612" i="24"/>
  <c r="M612" i="24" s="1"/>
  <c r="P612" i="24"/>
  <c r="Q612" i="24" s="1"/>
  <c r="V612" i="24"/>
  <c r="W612" i="24" s="1"/>
  <c r="F612" i="24"/>
  <c r="G612" i="24" s="1"/>
  <c r="A613" i="24"/>
  <c r="B612" i="24"/>
  <c r="C612" i="24" s="1"/>
  <c r="H612" i="24"/>
  <c r="I612" i="24" s="1"/>
  <c r="D612" i="24"/>
  <c r="E612" i="24" s="1"/>
  <c r="I424" i="37"/>
  <c r="J424" i="37"/>
  <c r="C424" i="37"/>
  <c r="D424" i="37"/>
  <c r="P423" i="37"/>
  <c r="O423" i="37"/>
  <c r="L424" i="37"/>
  <c r="M424" i="37"/>
  <c r="S423" i="37"/>
  <c r="R423" i="37"/>
  <c r="F424" i="37"/>
  <c r="G424" i="37"/>
  <c r="A614" i="24" l="1"/>
  <c r="N613" i="24"/>
  <c r="O613" i="24" s="1"/>
  <c r="D613" i="24"/>
  <c r="E613" i="24" s="1"/>
  <c r="V613" i="24"/>
  <c r="W613" i="24" s="1"/>
  <c r="H613" i="24"/>
  <c r="I613" i="24" s="1"/>
  <c r="F613" i="24"/>
  <c r="G613" i="24" s="1"/>
  <c r="B613" i="24"/>
  <c r="C613" i="24" s="1"/>
  <c r="T613" i="24"/>
  <c r="U613" i="24" s="1"/>
  <c r="J613" i="24"/>
  <c r="K613" i="24" s="1"/>
  <c r="R613" i="24"/>
  <c r="S613" i="24" s="1"/>
  <c r="L613" i="24"/>
  <c r="M613" i="24" s="1"/>
  <c r="P613" i="24"/>
  <c r="Q613" i="24" s="1"/>
  <c r="J425" i="37"/>
  <c r="I425" i="37"/>
  <c r="D425" i="37"/>
  <c r="C425" i="37"/>
  <c r="P424" i="37"/>
  <c r="O424" i="37"/>
  <c r="L425" i="37"/>
  <c r="M425" i="37"/>
  <c r="G425" i="37"/>
  <c r="F425" i="37"/>
  <c r="S424" i="37"/>
  <c r="R424" i="37"/>
  <c r="R614" i="24" l="1"/>
  <c r="S614" i="24" s="1"/>
  <c r="L614" i="24"/>
  <c r="M614" i="24" s="1"/>
  <c r="H614" i="24"/>
  <c r="I614" i="24" s="1"/>
  <c r="T614" i="24"/>
  <c r="U614" i="24" s="1"/>
  <c r="P614" i="24"/>
  <c r="Q614" i="24" s="1"/>
  <c r="A615" i="24"/>
  <c r="B614" i="24"/>
  <c r="C614" i="24" s="1"/>
  <c r="D614" i="24"/>
  <c r="E614" i="24" s="1"/>
  <c r="J614" i="24"/>
  <c r="K614" i="24" s="1"/>
  <c r="N614" i="24"/>
  <c r="O614" i="24" s="1"/>
  <c r="V614" i="24"/>
  <c r="W614" i="24" s="1"/>
  <c r="F614" i="24"/>
  <c r="G614" i="24" s="1"/>
  <c r="I426" i="37"/>
  <c r="J426" i="37"/>
  <c r="D426" i="37"/>
  <c r="C426" i="37"/>
  <c r="P425" i="37"/>
  <c r="O425" i="37"/>
  <c r="F426" i="37"/>
  <c r="G426" i="37"/>
  <c r="S425" i="37"/>
  <c r="R425" i="37"/>
  <c r="M426" i="37"/>
  <c r="L426" i="37"/>
  <c r="A616" i="24" l="1"/>
  <c r="V615" i="24"/>
  <c r="W615" i="24" s="1"/>
  <c r="B615" i="24"/>
  <c r="C615" i="24" s="1"/>
  <c r="N615" i="24"/>
  <c r="O615" i="24" s="1"/>
  <c r="H615" i="24"/>
  <c r="I615" i="24" s="1"/>
  <c r="F615" i="24"/>
  <c r="G615" i="24" s="1"/>
  <c r="D615" i="24"/>
  <c r="E615" i="24" s="1"/>
  <c r="J615" i="24"/>
  <c r="K615" i="24" s="1"/>
  <c r="L615" i="24"/>
  <c r="M615" i="24" s="1"/>
  <c r="P615" i="24"/>
  <c r="Q615" i="24" s="1"/>
  <c r="R615" i="24"/>
  <c r="S615" i="24" s="1"/>
  <c r="T615" i="24"/>
  <c r="U615" i="24" s="1"/>
  <c r="J427" i="37"/>
  <c r="I427" i="37"/>
  <c r="D427" i="37"/>
  <c r="C427" i="37"/>
  <c r="P426" i="37"/>
  <c r="O426" i="37"/>
  <c r="R426" i="37"/>
  <c r="S426" i="37"/>
  <c r="M427" i="37"/>
  <c r="L427" i="37"/>
  <c r="F427" i="37"/>
  <c r="G427" i="37"/>
  <c r="J616" i="24" l="1"/>
  <c r="K616" i="24" s="1"/>
  <c r="L616" i="24"/>
  <c r="M616" i="24" s="1"/>
  <c r="P616" i="24"/>
  <c r="Q616" i="24" s="1"/>
  <c r="T616" i="24"/>
  <c r="U616" i="24" s="1"/>
  <c r="R616" i="24"/>
  <c r="S616" i="24" s="1"/>
  <c r="N616" i="24"/>
  <c r="O616" i="24" s="1"/>
  <c r="F616" i="24"/>
  <c r="G616" i="24" s="1"/>
  <c r="V616" i="24"/>
  <c r="W616" i="24" s="1"/>
  <c r="A617" i="24"/>
  <c r="B616" i="24"/>
  <c r="C616" i="24" s="1"/>
  <c r="D616" i="24"/>
  <c r="E616" i="24" s="1"/>
  <c r="H616" i="24"/>
  <c r="I616" i="24" s="1"/>
  <c r="J428" i="37"/>
  <c r="I428" i="37"/>
  <c r="C428" i="37"/>
  <c r="D428" i="37"/>
  <c r="P427" i="37"/>
  <c r="O427" i="37"/>
  <c r="M428" i="37"/>
  <c r="L428" i="37"/>
  <c r="S427" i="37"/>
  <c r="R427" i="37"/>
  <c r="G428" i="37"/>
  <c r="F428" i="37"/>
  <c r="A618" i="24" l="1"/>
  <c r="P617" i="24"/>
  <c r="Q617" i="24" s="1"/>
  <c r="B617" i="24"/>
  <c r="C617" i="24" s="1"/>
  <c r="V617" i="24"/>
  <c r="W617" i="24" s="1"/>
  <c r="D617" i="24"/>
  <c r="E617" i="24" s="1"/>
  <c r="F617" i="24"/>
  <c r="G617" i="24" s="1"/>
  <c r="H617" i="24"/>
  <c r="I617" i="24" s="1"/>
  <c r="T617" i="24"/>
  <c r="U617" i="24" s="1"/>
  <c r="J617" i="24"/>
  <c r="K617" i="24" s="1"/>
  <c r="L617" i="24"/>
  <c r="M617" i="24" s="1"/>
  <c r="R617" i="24"/>
  <c r="S617" i="24" s="1"/>
  <c r="N617" i="24"/>
  <c r="O617" i="24" s="1"/>
  <c r="I429" i="37"/>
  <c r="J429" i="37"/>
  <c r="C429" i="37"/>
  <c r="D429" i="37"/>
  <c r="P428" i="37"/>
  <c r="O428" i="37"/>
  <c r="M429" i="37"/>
  <c r="L429" i="37"/>
  <c r="S428" i="37"/>
  <c r="R428" i="37"/>
  <c r="G429" i="37"/>
  <c r="F429" i="37"/>
  <c r="H618" i="24" l="1"/>
  <c r="I618" i="24" s="1"/>
  <c r="L618" i="24"/>
  <c r="M618" i="24" s="1"/>
  <c r="R618" i="24"/>
  <c r="S618" i="24" s="1"/>
  <c r="T618" i="24"/>
  <c r="U618" i="24" s="1"/>
  <c r="P618" i="24"/>
  <c r="Q618" i="24" s="1"/>
  <c r="B618" i="24"/>
  <c r="C618" i="24" s="1"/>
  <c r="A619" i="24"/>
  <c r="D618" i="24"/>
  <c r="E618" i="24" s="1"/>
  <c r="J618" i="24"/>
  <c r="K618" i="24" s="1"/>
  <c r="N618" i="24"/>
  <c r="O618" i="24" s="1"/>
  <c r="V618" i="24"/>
  <c r="W618" i="24" s="1"/>
  <c r="F618" i="24"/>
  <c r="G618" i="24" s="1"/>
  <c r="J430" i="37"/>
  <c r="I430" i="37"/>
  <c r="D430" i="37"/>
  <c r="C430" i="37"/>
  <c r="P429" i="37"/>
  <c r="O429" i="37"/>
  <c r="R429" i="37"/>
  <c r="S429" i="37"/>
  <c r="F430" i="37"/>
  <c r="G430" i="37"/>
  <c r="L430" i="37"/>
  <c r="M430" i="37"/>
  <c r="B619" i="24" l="1"/>
  <c r="C619" i="24" s="1"/>
  <c r="P619" i="24"/>
  <c r="Q619" i="24" s="1"/>
  <c r="A620" i="24"/>
  <c r="F619" i="24"/>
  <c r="G619" i="24" s="1"/>
  <c r="D619" i="24"/>
  <c r="E619" i="24" s="1"/>
  <c r="N619" i="24"/>
  <c r="O619" i="24" s="1"/>
  <c r="H619" i="24"/>
  <c r="I619" i="24" s="1"/>
  <c r="J619" i="24"/>
  <c r="K619" i="24" s="1"/>
  <c r="R619" i="24"/>
  <c r="S619" i="24" s="1"/>
  <c r="L619" i="24"/>
  <c r="M619" i="24" s="1"/>
  <c r="V619" i="24"/>
  <c r="W619" i="24" s="1"/>
  <c r="T619" i="24"/>
  <c r="U619" i="24" s="1"/>
  <c r="J431" i="37"/>
  <c r="I431" i="37"/>
  <c r="D431" i="37"/>
  <c r="C431" i="37"/>
  <c r="P430" i="37"/>
  <c r="O430" i="37"/>
  <c r="F431" i="37"/>
  <c r="G431" i="37"/>
  <c r="M431" i="37"/>
  <c r="L431" i="37"/>
  <c r="S430" i="37"/>
  <c r="R430" i="37"/>
  <c r="J620" i="24" l="1"/>
  <c r="K620" i="24" s="1"/>
  <c r="R620" i="24"/>
  <c r="S620" i="24" s="1"/>
  <c r="N620" i="24"/>
  <c r="O620" i="24" s="1"/>
  <c r="T620" i="24"/>
  <c r="U620" i="24" s="1"/>
  <c r="P620" i="24"/>
  <c r="Q620" i="24" s="1"/>
  <c r="V620" i="24"/>
  <c r="W620" i="24" s="1"/>
  <c r="L620" i="24"/>
  <c r="M620" i="24" s="1"/>
  <c r="F620" i="24"/>
  <c r="G620" i="24" s="1"/>
  <c r="A621" i="24"/>
  <c r="B620" i="24"/>
  <c r="C620" i="24" s="1"/>
  <c r="H620" i="24"/>
  <c r="I620" i="24" s="1"/>
  <c r="D620" i="24"/>
  <c r="E620" i="24" s="1"/>
  <c r="I432" i="37"/>
  <c r="J432" i="37"/>
  <c r="D432" i="37"/>
  <c r="C432" i="37"/>
  <c r="O431" i="37"/>
  <c r="P431" i="37"/>
  <c r="R431" i="37"/>
  <c r="S431" i="37"/>
  <c r="M432" i="37"/>
  <c r="L432" i="37"/>
  <c r="F432" i="37"/>
  <c r="G432" i="37"/>
  <c r="A622" i="24" l="1"/>
  <c r="J621" i="24"/>
  <c r="K621" i="24" s="1"/>
  <c r="B621" i="24"/>
  <c r="C621" i="24" s="1"/>
  <c r="F621" i="24"/>
  <c r="G621" i="24" s="1"/>
  <c r="D621" i="24"/>
  <c r="E621" i="24" s="1"/>
  <c r="N621" i="24"/>
  <c r="O621" i="24" s="1"/>
  <c r="H621" i="24"/>
  <c r="I621" i="24" s="1"/>
  <c r="T621" i="24"/>
  <c r="U621" i="24" s="1"/>
  <c r="R621" i="24"/>
  <c r="S621" i="24" s="1"/>
  <c r="P621" i="24"/>
  <c r="Q621" i="24" s="1"/>
  <c r="L621" i="24"/>
  <c r="M621" i="24" s="1"/>
  <c r="V621" i="24"/>
  <c r="W621" i="24" s="1"/>
  <c r="J433" i="37"/>
  <c r="I433" i="37"/>
  <c r="D433" i="37"/>
  <c r="C433" i="37"/>
  <c r="O432" i="37"/>
  <c r="P432" i="37"/>
  <c r="R432" i="37"/>
  <c r="S432" i="37"/>
  <c r="M433" i="37"/>
  <c r="L433" i="37"/>
  <c r="G433" i="37"/>
  <c r="F433" i="37"/>
  <c r="J622" i="24" l="1"/>
  <c r="K622" i="24" s="1"/>
  <c r="R622" i="24"/>
  <c r="S622" i="24" s="1"/>
  <c r="L622" i="24"/>
  <c r="M622" i="24" s="1"/>
  <c r="T622" i="24"/>
  <c r="U622" i="24" s="1"/>
  <c r="P622" i="24"/>
  <c r="Q622" i="24" s="1"/>
  <c r="A623" i="24"/>
  <c r="B622" i="24"/>
  <c r="C622" i="24" s="1"/>
  <c r="D622" i="24"/>
  <c r="E622" i="24" s="1"/>
  <c r="H622" i="24"/>
  <c r="I622" i="24" s="1"/>
  <c r="N622" i="24"/>
  <c r="O622" i="24" s="1"/>
  <c r="V622" i="24"/>
  <c r="W622" i="24" s="1"/>
  <c r="F622" i="24"/>
  <c r="G622" i="24" s="1"/>
  <c r="I434" i="37"/>
  <c r="J434" i="37"/>
  <c r="D434" i="37"/>
  <c r="C434" i="37"/>
  <c r="P433" i="37"/>
  <c r="O433" i="37"/>
  <c r="M434" i="37"/>
  <c r="L434" i="37"/>
  <c r="F434" i="37"/>
  <c r="G434" i="37"/>
  <c r="R433" i="37"/>
  <c r="S433" i="37"/>
  <c r="A624" i="24" l="1"/>
  <c r="N623" i="24"/>
  <c r="O623" i="24" s="1"/>
  <c r="B623" i="24"/>
  <c r="C623" i="24" s="1"/>
  <c r="F623" i="24"/>
  <c r="G623" i="24" s="1"/>
  <c r="H623" i="24"/>
  <c r="I623" i="24" s="1"/>
  <c r="R623" i="24"/>
  <c r="S623" i="24" s="1"/>
  <c r="D623" i="24"/>
  <c r="E623" i="24" s="1"/>
  <c r="L623" i="24"/>
  <c r="M623" i="24" s="1"/>
  <c r="P623" i="24"/>
  <c r="Q623" i="24" s="1"/>
  <c r="J623" i="24"/>
  <c r="K623" i="24" s="1"/>
  <c r="V623" i="24"/>
  <c r="W623" i="24" s="1"/>
  <c r="T623" i="24"/>
  <c r="U623" i="24" s="1"/>
  <c r="J435" i="37"/>
  <c r="I435" i="37"/>
  <c r="D435" i="37"/>
  <c r="C435" i="37"/>
  <c r="O434" i="37"/>
  <c r="P434" i="37"/>
  <c r="L435" i="37"/>
  <c r="M435" i="37"/>
  <c r="G435" i="37"/>
  <c r="F435" i="37"/>
  <c r="S434" i="37"/>
  <c r="R434" i="37"/>
  <c r="J624" i="24" l="1"/>
  <c r="K624" i="24" s="1"/>
  <c r="L624" i="24"/>
  <c r="M624" i="24" s="1"/>
  <c r="P624" i="24"/>
  <c r="Q624" i="24" s="1"/>
  <c r="T624" i="24"/>
  <c r="U624" i="24" s="1"/>
  <c r="N624" i="24"/>
  <c r="O624" i="24" s="1"/>
  <c r="R624" i="24"/>
  <c r="S624" i="24" s="1"/>
  <c r="V624" i="24"/>
  <c r="W624" i="24" s="1"/>
  <c r="F624" i="24"/>
  <c r="G624" i="24" s="1"/>
  <c r="A625" i="24"/>
  <c r="B624" i="24"/>
  <c r="C624" i="24" s="1"/>
  <c r="D624" i="24"/>
  <c r="E624" i="24" s="1"/>
  <c r="H624" i="24"/>
  <c r="I624" i="24" s="1"/>
  <c r="J436" i="37"/>
  <c r="I436" i="37"/>
  <c r="C436" i="37"/>
  <c r="D436" i="37"/>
  <c r="O435" i="37"/>
  <c r="P435" i="37"/>
  <c r="S435" i="37"/>
  <c r="R435" i="37"/>
  <c r="F436" i="37"/>
  <c r="G436" i="37"/>
  <c r="L436" i="37"/>
  <c r="M436" i="37"/>
  <c r="A626" i="24" l="1"/>
  <c r="P625" i="24"/>
  <c r="Q625" i="24" s="1"/>
  <c r="B625" i="24"/>
  <c r="C625" i="24" s="1"/>
  <c r="F625" i="24"/>
  <c r="G625" i="24" s="1"/>
  <c r="D625" i="24"/>
  <c r="E625" i="24" s="1"/>
  <c r="V625" i="24"/>
  <c r="W625" i="24" s="1"/>
  <c r="H625" i="24"/>
  <c r="I625" i="24" s="1"/>
  <c r="T625" i="24"/>
  <c r="U625" i="24" s="1"/>
  <c r="J625" i="24"/>
  <c r="K625" i="24" s="1"/>
  <c r="L625" i="24"/>
  <c r="M625" i="24" s="1"/>
  <c r="N625" i="24"/>
  <c r="O625" i="24" s="1"/>
  <c r="R625" i="24"/>
  <c r="S625" i="24" s="1"/>
  <c r="I437" i="37"/>
  <c r="J437" i="37"/>
  <c r="D437" i="37"/>
  <c r="C437" i="37"/>
  <c r="P436" i="37"/>
  <c r="O436" i="37"/>
  <c r="F437" i="37"/>
  <c r="G437" i="37"/>
  <c r="S436" i="37"/>
  <c r="R436" i="37"/>
  <c r="M437" i="37"/>
  <c r="L437" i="37"/>
  <c r="D626" i="24" l="1"/>
  <c r="E626" i="24" s="1"/>
  <c r="L626" i="24"/>
  <c r="M626" i="24" s="1"/>
  <c r="R626" i="24"/>
  <c r="S626" i="24" s="1"/>
  <c r="T626" i="24"/>
  <c r="U626" i="24" s="1"/>
  <c r="P626" i="24"/>
  <c r="Q626" i="24" s="1"/>
  <c r="A627" i="24"/>
  <c r="B626" i="24"/>
  <c r="C626" i="24" s="1"/>
  <c r="H626" i="24"/>
  <c r="I626" i="24" s="1"/>
  <c r="J626" i="24"/>
  <c r="K626" i="24" s="1"/>
  <c r="N626" i="24"/>
  <c r="O626" i="24" s="1"/>
  <c r="V626" i="24"/>
  <c r="W626" i="24" s="1"/>
  <c r="F626" i="24"/>
  <c r="G626" i="24" s="1"/>
  <c r="J438" i="37"/>
  <c r="I438" i="37"/>
  <c r="D438" i="37"/>
  <c r="C438" i="37"/>
  <c r="O437" i="37"/>
  <c r="P437" i="37"/>
  <c r="R437" i="37"/>
  <c r="S437" i="37"/>
  <c r="L438" i="37"/>
  <c r="M438" i="37"/>
  <c r="G438" i="37"/>
  <c r="F438" i="37"/>
  <c r="A628" i="24" l="1"/>
  <c r="F627" i="24"/>
  <c r="G627" i="24" s="1"/>
  <c r="B627" i="24"/>
  <c r="C627" i="24" s="1"/>
  <c r="P627" i="24"/>
  <c r="Q627" i="24" s="1"/>
  <c r="D627" i="24"/>
  <c r="E627" i="24" s="1"/>
  <c r="N627" i="24"/>
  <c r="O627" i="24" s="1"/>
  <c r="H627" i="24"/>
  <c r="I627" i="24" s="1"/>
  <c r="J627" i="24"/>
  <c r="K627" i="24" s="1"/>
  <c r="R627" i="24"/>
  <c r="S627" i="24" s="1"/>
  <c r="L627" i="24"/>
  <c r="M627" i="24" s="1"/>
  <c r="V627" i="24"/>
  <c r="W627" i="24" s="1"/>
  <c r="T627" i="24"/>
  <c r="U627" i="24" s="1"/>
  <c r="J439" i="37"/>
  <c r="I439" i="37"/>
  <c r="D439" i="37"/>
  <c r="C439" i="37"/>
  <c r="O438" i="37"/>
  <c r="P438" i="37"/>
  <c r="F439" i="37"/>
  <c r="G439" i="37"/>
  <c r="M439" i="37"/>
  <c r="L439" i="37"/>
  <c r="S438" i="37"/>
  <c r="R438" i="37"/>
  <c r="J628" i="24" l="1"/>
  <c r="K628" i="24" s="1"/>
  <c r="R628" i="24"/>
  <c r="S628" i="24" s="1"/>
  <c r="N628" i="24"/>
  <c r="O628" i="24" s="1"/>
  <c r="T628" i="24"/>
  <c r="U628" i="24" s="1"/>
  <c r="L628" i="24"/>
  <c r="M628" i="24" s="1"/>
  <c r="P628" i="24"/>
  <c r="Q628" i="24" s="1"/>
  <c r="F628" i="24"/>
  <c r="G628" i="24" s="1"/>
  <c r="V628" i="24"/>
  <c r="W628" i="24" s="1"/>
  <c r="A629" i="24"/>
  <c r="H628" i="24"/>
  <c r="I628" i="24" s="1"/>
  <c r="B628" i="24"/>
  <c r="C628" i="24" s="1"/>
  <c r="D628" i="24"/>
  <c r="E628" i="24" s="1"/>
  <c r="J440" i="37"/>
  <c r="I440" i="37"/>
  <c r="C440" i="37"/>
  <c r="D440" i="37"/>
  <c r="O439" i="37"/>
  <c r="P439" i="37"/>
  <c r="M440" i="37"/>
  <c r="L440" i="37"/>
  <c r="F440" i="37"/>
  <c r="G440" i="37"/>
  <c r="R439" i="37"/>
  <c r="S439" i="37"/>
  <c r="A630" i="24" l="1"/>
  <c r="N629" i="24"/>
  <c r="O629" i="24" s="1"/>
  <c r="B629" i="24"/>
  <c r="C629" i="24" s="1"/>
  <c r="V629" i="24"/>
  <c r="W629" i="24" s="1"/>
  <c r="D629" i="24"/>
  <c r="E629" i="24" s="1"/>
  <c r="F629" i="24"/>
  <c r="G629" i="24" s="1"/>
  <c r="H629" i="24"/>
  <c r="I629" i="24" s="1"/>
  <c r="T629" i="24"/>
  <c r="U629" i="24" s="1"/>
  <c r="R629" i="24"/>
  <c r="S629" i="24" s="1"/>
  <c r="L629" i="24"/>
  <c r="M629" i="24" s="1"/>
  <c r="P629" i="24"/>
  <c r="Q629" i="24" s="1"/>
  <c r="J629" i="24"/>
  <c r="K629" i="24" s="1"/>
  <c r="J441" i="37"/>
  <c r="I441" i="37"/>
  <c r="C441" i="37"/>
  <c r="D441" i="37"/>
  <c r="O440" i="37"/>
  <c r="P440" i="37"/>
  <c r="S440" i="37"/>
  <c r="R440" i="37"/>
  <c r="G441" i="37"/>
  <c r="F441" i="37"/>
  <c r="M441" i="37"/>
  <c r="L441" i="37"/>
  <c r="J630" i="24" l="1"/>
  <c r="K630" i="24" s="1"/>
  <c r="R630" i="24"/>
  <c r="S630" i="24" s="1"/>
  <c r="L630" i="24"/>
  <c r="M630" i="24" s="1"/>
  <c r="A631" i="24"/>
  <c r="P630" i="24"/>
  <c r="Q630" i="24" s="1"/>
  <c r="T630" i="24"/>
  <c r="U630" i="24" s="1"/>
  <c r="B630" i="24"/>
  <c r="C630" i="24" s="1"/>
  <c r="D630" i="24"/>
  <c r="E630" i="24" s="1"/>
  <c r="H630" i="24"/>
  <c r="I630" i="24" s="1"/>
  <c r="N630" i="24"/>
  <c r="O630" i="24" s="1"/>
  <c r="V630" i="24"/>
  <c r="W630" i="24" s="1"/>
  <c r="F630" i="24"/>
  <c r="G630" i="24" s="1"/>
  <c r="I442" i="37"/>
  <c r="J442" i="37"/>
  <c r="C442" i="37"/>
  <c r="D442" i="37"/>
  <c r="O441" i="37"/>
  <c r="P441" i="37"/>
  <c r="F442" i="37"/>
  <c r="G442" i="37"/>
  <c r="S441" i="37"/>
  <c r="R441" i="37"/>
  <c r="M442" i="37"/>
  <c r="L442" i="37"/>
  <c r="A632" i="24" l="1"/>
  <c r="V631" i="24"/>
  <c r="W631" i="24" s="1"/>
  <c r="B631" i="24"/>
  <c r="C631" i="24" s="1"/>
  <c r="N631" i="24"/>
  <c r="O631" i="24" s="1"/>
  <c r="D631" i="24"/>
  <c r="E631" i="24" s="1"/>
  <c r="F631" i="24"/>
  <c r="G631" i="24" s="1"/>
  <c r="H631" i="24"/>
  <c r="I631" i="24" s="1"/>
  <c r="L631" i="24"/>
  <c r="M631" i="24" s="1"/>
  <c r="J631" i="24"/>
  <c r="K631" i="24" s="1"/>
  <c r="P631" i="24"/>
  <c r="Q631" i="24" s="1"/>
  <c r="R631" i="24"/>
  <c r="S631" i="24" s="1"/>
  <c r="T631" i="24"/>
  <c r="U631" i="24" s="1"/>
  <c r="I443" i="37"/>
  <c r="J443" i="37"/>
  <c r="C443" i="37"/>
  <c r="D443" i="37"/>
  <c r="O442" i="37"/>
  <c r="P442" i="37"/>
  <c r="M443" i="37"/>
  <c r="L443" i="37"/>
  <c r="S442" i="37"/>
  <c r="R442" i="37"/>
  <c r="G443" i="37"/>
  <c r="F443" i="37"/>
  <c r="L632" i="24" l="1"/>
  <c r="M632" i="24" s="1"/>
  <c r="H632" i="24"/>
  <c r="I632" i="24" s="1"/>
  <c r="P632" i="24"/>
  <c r="Q632" i="24" s="1"/>
  <c r="T632" i="24"/>
  <c r="U632" i="24" s="1"/>
  <c r="R632" i="24"/>
  <c r="S632" i="24" s="1"/>
  <c r="N632" i="24"/>
  <c r="O632" i="24" s="1"/>
  <c r="V632" i="24"/>
  <c r="W632" i="24" s="1"/>
  <c r="F632" i="24"/>
  <c r="G632" i="24" s="1"/>
  <c r="A633" i="24"/>
  <c r="B632" i="24"/>
  <c r="C632" i="24" s="1"/>
  <c r="D632" i="24"/>
  <c r="E632" i="24" s="1"/>
  <c r="J632" i="24"/>
  <c r="K632" i="24" s="1"/>
  <c r="I444" i="37"/>
  <c r="J444" i="37"/>
  <c r="C444" i="37"/>
  <c r="D444" i="37"/>
  <c r="P443" i="37"/>
  <c r="O443" i="37"/>
  <c r="R443" i="37"/>
  <c r="S443" i="37"/>
  <c r="L444" i="37"/>
  <c r="M444" i="37"/>
  <c r="G444" i="37"/>
  <c r="F444" i="37"/>
  <c r="B633" i="24" l="1"/>
  <c r="C633" i="24" s="1"/>
  <c r="P633" i="24"/>
  <c r="Q633" i="24" s="1"/>
  <c r="A634" i="24"/>
  <c r="F633" i="24"/>
  <c r="G633" i="24" s="1"/>
  <c r="H633" i="24"/>
  <c r="I633" i="24" s="1"/>
  <c r="V633" i="24"/>
  <c r="W633" i="24" s="1"/>
  <c r="D633" i="24"/>
  <c r="E633" i="24" s="1"/>
  <c r="T633" i="24"/>
  <c r="U633" i="24" s="1"/>
  <c r="J633" i="24"/>
  <c r="K633" i="24" s="1"/>
  <c r="L633" i="24"/>
  <c r="M633" i="24" s="1"/>
  <c r="R633" i="24"/>
  <c r="S633" i="24" s="1"/>
  <c r="N633" i="24"/>
  <c r="O633" i="24" s="1"/>
  <c r="J445" i="37"/>
  <c r="I445" i="37"/>
  <c r="D445" i="37"/>
  <c r="C445" i="37"/>
  <c r="P444" i="37"/>
  <c r="O444" i="37"/>
  <c r="G445" i="37"/>
  <c r="F445" i="37"/>
  <c r="L445" i="37"/>
  <c r="M445" i="37"/>
  <c r="R444" i="37"/>
  <c r="S444" i="37"/>
  <c r="B634" i="24" l="1"/>
  <c r="C634" i="24" s="1"/>
  <c r="H634" i="24"/>
  <c r="I634" i="24" s="1"/>
  <c r="R634" i="24"/>
  <c r="S634" i="24" s="1"/>
  <c r="T634" i="24"/>
  <c r="U634" i="24" s="1"/>
  <c r="P634" i="24"/>
  <c r="Q634" i="24" s="1"/>
  <c r="A635" i="24"/>
  <c r="D634" i="24"/>
  <c r="E634" i="24" s="1"/>
  <c r="J634" i="24"/>
  <c r="K634" i="24" s="1"/>
  <c r="L634" i="24"/>
  <c r="M634" i="24" s="1"/>
  <c r="N634" i="24"/>
  <c r="O634" i="24" s="1"/>
  <c r="V634" i="24"/>
  <c r="W634" i="24" s="1"/>
  <c r="F634" i="24"/>
  <c r="G634" i="24" s="1"/>
  <c r="J446" i="37"/>
  <c r="I446" i="37"/>
  <c r="D446" i="37"/>
  <c r="C446" i="37"/>
  <c r="O445" i="37"/>
  <c r="P445" i="37"/>
  <c r="F446" i="37"/>
  <c r="G446" i="37"/>
  <c r="R445" i="37"/>
  <c r="S445" i="37"/>
  <c r="M446" i="37"/>
  <c r="L446" i="37"/>
  <c r="A636" i="24" l="1"/>
  <c r="V635" i="24"/>
  <c r="W635" i="24" s="1"/>
  <c r="B635" i="24"/>
  <c r="C635" i="24" s="1"/>
  <c r="F635" i="24"/>
  <c r="G635" i="24" s="1"/>
  <c r="D635" i="24"/>
  <c r="E635" i="24" s="1"/>
  <c r="N635" i="24"/>
  <c r="O635" i="24" s="1"/>
  <c r="H635" i="24"/>
  <c r="I635" i="24" s="1"/>
  <c r="J635" i="24"/>
  <c r="K635" i="24" s="1"/>
  <c r="L635" i="24"/>
  <c r="M635" i="24" s="1"/>
  <c r="R635" i="24"/>
  <c r="S635" i="24" s="1"/>
  <c r="P635" i="24"/>
  <c r="Q635" i="24" s="1"/>
  <c r="T635" i="24"/>
  <c r="U635" i="24" s="1"/>
  <c r="J447" i="37"/>
  <c r="I447" i="37"/>
  <c r="D447" i="37"/>
  <c r="C447" i="37"/>
  <c r="P446" i="37"/>
  <c r="O446" i="37"/>
  <c r="F447" i="37"/>
  <c r="G447" i="37"/>
  <c r="L447" i="37"/>
  <c r="M447" i="37"/>
  <c r="S446" i="37"/>
  <c r="R446" i="37"/>
  <c r="D636" i="24" l="1"/>
  <c r="E636" i="24" s="1"/>
  <c r="L636" i="24"/>
  <c r="M636" i="24" s="1"/>
  <c r="R636" i="24"/>
  <c r="S636" i="24" s="1"/>
  <c r="T636" i="24"/>
  <c r="U636" i="24" s="1"/>
  <c r="N636" i="24"/>
  <c r="O636" i="24" s="1"/>
  <c r="P636" i="24"/>
  <c r="Q636" i="24" s="1"/>
  <c r="V636" i="24"/>
  <c r="W636" i="24" s="1"/>
  <c r="F636" i="24"/>
  <c r="G636" i="24" s="1"/>
  <c r="A637" i="24"/>
  <c r="B636" i="24"/>
  <c r="C636" i="24" s="1"/>
  <c r="H636" i="24"/>
  <c r="I636" i="24" s="1"/>
  <c r="J636" i="24"/>
  <c r="K636" i="24" s="1"/>
  <c r="I448" i="37"/>
  <c r="J448" i="37"/>
  <c r="C448" i="37"/>
  <c r="D448" i="37"/>
  <c r="O447" i="37"/>
  <c r="P447" i="37"/>
  <c r="M448" i="37"/>
  <c r="L448" i="37"/>
  <c r="F448" i="37"/>
  <c r="G448" i="37"/>
  <c r="R447" i="37"/>
  <c r="S447" i="37"/>
  <c r="A638" i="24" l="1"/>
  <c r="V637" i="24"/>
  <c r="W637" i="24" s="1"/>
  <c r="D637" i="24"/>
  <c r="E637" i="24" s="1"/>
  <c r="N637" i="24"/>
  <c r="O637" i="24" s="1"/>
  <c r="B637" i="24"/>
  <c r="C637" i="24" s="1"/>
  <c r="F637" i="24"/>
  <c r="G637" i="24" s="1"/>
  <c r="L637" i="24"/>
  <c r="M637" i="24" s="1"/>
  <c r="T637" i="24"/>
  <c r="U637" i="24" s="1"/>
  <c r="R637" i="24"/>
  <c r="S637" i="24" s="1"/>
  <c r="H637" i="24"/>
  <c r="I637" i="24" s="1"/>
  <c r="J637" i="24"/>
  <c r="K637" i="24" s="1"/>
  <c r="P637" i="24"/>
  <c r="Q637" i="24" s="1"/>
  <c r="J449" i="37"/>
  <c r="I449" i="37"/>
  <c r="D449" i="37"/>
  <c r="C449" i="37"/>
  <c r="O448" i="37"/>
  <c r="P448" i="37"/>
  <c r="F449" i="37"/>
  <c r="G449" i="37"/>
  <c r="M449" i="37"/>
  <c r="L449" i="37"/>
  <c r="R448" i="37"/>
  <c r="S448" i="37"/>
  <c r="J638" i="24" l="1"/>
  <c r="K638" i="24" s="1"/>
  <c r="R638" i="24"/>
  <c r="S638" i="24" s="1"/>
  <c r="L638" i="24"/>
  <c r="M638" i="24" s="1"/>
  <c r="T638" i="24"/>
  <c r="U638" i="24" s="1"/>
  <c r="P638" i="24"/>
  <c r="Q638" i="24" s="1"/>
  <c r="A639" i="24"/>
  <c r="B638" i="24"/>
  <c r="C638" i="24" s="1"/>
  <c r="H638" i="24"/>
  <c r="I638" i="24" s="1"/>
  <c r="D638" i="24"/>
  <c r="E638" i="24" s="1"/>
  <c r="N638" i="24"/>
  <c r="O638" i="24" s="1"/>
  <c r="V638" i="24"/>
  <c r="W638" i="24" s="1"/>
  <c r="F638" i="24"/>
  <c r="G638" i="24" s="1"/>
  <c r="I450" i="37"/>
  <c r="J450" i="37"/>
  <c r="D450" i="37"/>
  <c r="C450" i="37"/>
  <c r="O449" i="37"/>
  <c r="P449" i="37"/>
  <c r="M450" i="37"/>
  <c r="L450" i="37"/>
  <c r="R449" i="37"/>
  <c r="S449" i="37"/>
  <c r="F450" i="37"/>
  <c r="G450" i="37"/>
  <c r="A640" i="24" l="1"/>
  <c r="N639" i="24"/>
  <c r="O639" i="24" s="1"/>
  <c r="B639" i="24"/>
  <c r="C639" i="24" s="1"/>
  <c r="R639" i="24"/>
  <c r="S639" i="24" s="1"/>
  <c r="D639" i="24"/>
  <c r="E639" i="24" s="1"/>
  <c r="F639" i="24"/>
  <c r="G639" i="24" s="1"/>
  <c r="H639" i="24"/>
  <c r="I639" i="24" s="1"/>
  <c r="J639" i="24"/>
  <c r="K639" i="24" s="1"/>
  <c r="L639" i="24"/>
  <c r="M639" i="24" s="1"/>
  <c r="P639" i="24"/>
  <c r="Q639" i="24" s="1"/>
  <c r="V639" i="24"/>
  <c r="W639" i="24" s="1"/>
  <c r="T639" i="24"/>
  <c r="U639" i="24" s="1"/>
  <c r="J451" i="37"/>
  <c r="I451" i="37"/>
  <c r="D451" i="37"/>
  <c r="C451" i="37"/>
  <c r="P450" i="37"/>
  <c r="O450" i="37"/>
  <c r="L451" i="37"/>
  <c r="M451" i="37"/>
  <c r="G451" i="37"/>
  <c r="F451" i="37"/>
  <c r="R450" i="37"/>
  <c r="S450" i="37"/>
  <c r="J640" i="24" l="1"/>
  <c r="K640" i="24" s="1"/>
  <c r="L640" i="24"/>
  <c r="M640" i="24" s="1"/>
  <c r="P640" i="24"/>
  <c r="Q640" i="24" s="1"/>
  <c r="T640" i="24"/>
  <c r="U640" i="24" s="1"/>
  <c r="N640" i="24"/>
  <c r="O640" i="24" s="1"/>
  <c r="R640" i="24"/>
  <c r="S640" i="24" s="1"/>
  <c r="V640" i="24"/>
  <c r="W640" i="24" s="1"/>
  <c r="F640" i="24"/>
  <c r="G640" i="24" s="1"/>
  <c r="A641" i="24"/>
  <c r="H640" i="24"/>
  <c r="I640" i="24" s="1"/>
  <c r="D640" i="24"/>
  <c r="E640" i="24" s="1"/>
  <c r="B640" i="24"/>
  <c r="C640" i="24" s="1"/>
  <c r="J452" i="37"/>
  <c r="I452" i="37"/>
  <c r="C452" i="37"/>
  <c r="D452" i="37"/>
  <c r="O451" i="37"/>
  <c r="P451" i="37"/>
  <c r="G452" i="37"/>
  <c r="F452" i="37"/>
  <c r="L452" i="37"/>
  <c r="M452" i="37"/>
  <c r="R451" i="37"/>
  <c r="S451" i="37"/>
  <c r="A642" i="24" l="1"/>
  <c r="P641" i="24"/>
  <c r="Q641" i="24" s="1"/>
  <c r="B641" i="24"/>
  <c r="C641" i="24" s="1"/>
  <c r="V641" i="24"/>
  <c r="W641" i="24" s="1"/>
  <c r="D641" i="24"/>
  <c r="E641" i="24" s="1"/>
  <c r="F641" i="24"/>
  <c r="G641" i="24" s="1"/>
  <c r="J641" i="24"/>
  <c r="K641" i="24" s="1"/>
  <c r="T641" i="24"/>
  <c r="U641" i="24" s="1"/>
  <c r="L641" i="24"/>
  <c r="M641" i="24" s="1"/>
  <c r="H641" i="24"/>
  <c r="I641" i="24" s="1"/>
  <c r="N641" i="24"/>
  <c r="O641" i="24" s="1"/>
  <c r="R641" i="24"/>
  <c r="S641" i="24" s="1"/>
  <c r="J453" i="37"/>
  <c r="I453" i="37"/>
  <c r="C453" i="37"/>
  <c r="D453" i="37"/>
  <c r="P452" i="37"/>
  <c r="O452" i="37"/>
  <c r="L453" i="37"/>
  <c r="M453" i="37"/>
  <c r="G453" i="37"/>
  <c r="F453" i="37"/>
  <c r="R452" i="37"/>
  <c r="S452" i="37"/>
  <c r="J642" i="24" l="1"/>
  <c r="K642" i="24" s="1"/>
  <c r="L642" i="24"/>
  <c r="M642" i="24" s="1"/>
  <c r="R642" i="24"/>
  <c r="S642" i="24" s="1"/>
  <c r="T642" i="24"/>
  <c r="U642" i="24" s="1"/>
  <c r="P642" i="24"/>
  <c r="Q642" i="24" s="1"/>
  <c r="A643" i="24"/>
  <c r="B642" i="24"/>
  <c r="C642" i="24" s="1"/>
  <c r="H642" i="24"/>
  <c r="I642" i="24" s="1"/>
  <c r="D642" i="24"/>
  <c r="E642" i="24" s="1"/>
  <c r="N642" i="24"/>
  <c r="O642" i="24" s="1"/>
  <c r="V642" i="24"/>
  <c r="W642" i="24" s="1"/>
  <c r="F642" i="24"/>
  <c r="G642" i="24" s="1"/>
  <c r="J454" i="37"/>
  <c r="I454" i="37"/>
  <c r="C454" i="37"/>
  <c r="D454" i="37"/>
  <c r="P453" i="37"/>
  <c r="O453" i="37"/>
  <c r="S453" i="37"/>
  <c r="R453" i="37"/>
  <c r="G454" i="37"/>
  <c r="F454" i="37"/>
  <c r="M454" i="37"/>
  <c r="L454" i="37"/>
  <c r="B643" i="24" l="1"/>
  <c r="C643" i="24" s="1"/>
  <c r="P643" i="24"/>
  <c r="Q643" i="24" s="1"/>
  <c r="A644" i="24"/>
  <c r="F643" i="24"/>
  <c r="G643" i="24" s="1"/>
  <c r="D643" i="24"/>
  <c r="E643" i="24" s="1"/>
  <c r="N643" i="24"/>
  <c r="O643" i="24" s="1"/>
  <c r="J643" i="24"/>
  <c r="K643" i="24" s="1"/>
  <c r="H643" i="24"/>
  <c r="I643" i="24" s="1"/>
  <c r="R643" i="24"/>
  <c r="S643" i="24" s="1"/>
  <c r="L643" i="24"/>
  <c r="M643" i="24" s="1"/>
  <c r="V643" i="24"/>
  <c r="W643" i="24" s="1"/>
  <c r="T643" i="24"/>
  <c r="U643" i="24" s="1"/>
  <c r="I455" i="37"/>
  <c r="J455" i="37"/>
  <c r="D455" i="37"/>
  <c r="C455" i="37"/>
  <c r="O454" i="37"/>
  <c r="P454" i="37"/>
  <c r="R454" i="37"/>
  <c r="S454" i="37"/>
  <c r="F455" i="37"/>
  <c r="G455" i="37"/>
  <c r="L455" i="37"/>
  <c r="M455" i="37"/>
  <c r="J644" i="24" l="1"/>
  <c r="K644" i="24" s="1"/>
  <c r="R644" i="24"/>
  <c r="S644" i="24" s="1"/>
  <c r="L644" i="24"/>
  <c r="M644" i="24" s="1"/>
  <c r="T644" i="24"/>
  <c r="U644" i="24" s="1"/>
  <c r="N644" i="24"/>
  <c r="O644" i="24" s="1"/>
  <c r="P644" i="24"/>
  <c r="Q644" i="24" s="1"/>
  <c r="V644" i="24"/>
  <c r="W644" i="24" s="1"/>
  <c r="F644" i="24"/>
  <c r="G644" i="24" s="1"/>
  <c r="B644" i="24"/>
  <c r="C644" i="24" s="1"/>
  <c r="H644" i="24"/>
  <c r="I644" i="24" s="1"/>
  <c r="A645" i="24"/>
  <c r="D644" i="24"/>
  <c r="E644" i="24" s="1"/>
  <c r="J456" i="37"/>
  <c r="I456" i="37"/>
  <c r="D456" i="37"/>
  <c r="C456" i="37"/>
  <c r="P455" i="37"/>
  <c r="O455" i="37"/>
  <c r="F456" i="37"/>
  <c r="G456" i="37"/>
  <c r="M456" i="37"/>
  <c r="L456" i="37"/>
  <c r="S455" i="37"/>
  <c r="R455" i="37"/>
  <c r="A646" i="24" l="1"/>
  <c r="N645" i="24"/>
  <c r="O645" i="24" s="1"/>
  <c r="B645" i="24"/>
  <c r="C645" i="24" s="1"/>
  <c r="V645" i="24"/>
  <c r="W645" i="24" s="1"/>
  <c r="D645" i="24"/>
  <c r="E645" i="24" s="1"/>
  <c r="F645" i="24"/>
  <c r="G645" i="24" s="1"/>
  <c r="H645" i="24"/>
  <c r="I645" i="24" s="1"/>
  <c r="T645" i="24"/>
  <c r="U645" i="24" s="1"/>
  <c r="J645" i="24"/>
  <c r="K645" i="24" s="1"/>
  <c r="R645" i="24"/>
  <c r="S645" i="24" s="1"/>
  <c r="L645" i="24"/>
  <c r="M645" i="24" s="1"/>
  <c r="P645" i="24"/>
  <c r="Q645" i="24" s="1"/>
  <c r="I457" i="37"/>
  <c r="J457" i="37"/>
  <c r="D457" i="37"/>
  <c r="C457" i="37"/>
  <c r="P456" i="37"/>
  <c r="O456" i="37"/>
  <c r="S456" i="37"/>
  <c r="R456" i="37"/>
  <c r="G457" i="37"/>
  <c r="F457" i="37"/>
  <c r="M457" i="37"/>
  <c r="L457" i="37"/>
  <c r="J646" i="24" l="1"/>
  <c r="K646" i="24" s="1"/>
  <c r="R646" i="24"/>
  <c r="S646" i="24" s="1"/>
  <c r="L646" i="24"/>
  <c r="M646" i="24" s="1"/>
  <c r="T646" i="24"/>
  <c r="U646" i="24" s="1"/>
  <c r="P646" i="24"/>
  <c r="Q646" i="24" s="1"/>
  <c r="A647" i="24"/>
  <c r="B646" i="24"/>
  <c r="C646" i="24" s="1"/>
  <c r="D646" i="24"/>
  <c r="E646" i="24" s="1"/>
  <c r="H646" i="24"/>
  <c r="I646" i="24" s="1"/>
  <c r="N646" i="24"/>
  <c r="O646" i="24" s="1"/>
  <c r="V646" i="24"/>
  <c r="W646" i="24" s="1"/>
  <c r="F646" i="24"/>
  <c r="G646" i="24" s="1"/>
  <c r="I458" i="37"/>
  <c r="J458" i="37"/>
  <c r="C458" i="37"/>
  <c r="D458" i="37"/>
  <c r="O457" i="37"/>
  <c r="P457" i="37"/>
  <c r="F458" i="37"/>
  <c r="G458" i="37"/>
  <c r="M458" i="37"/>
  <c r="L458" i="37"/>
  <c r="R457" i="37"/>
  <c r="S457" i="37"/>
  <c r="A648" i="24" l="1"/>
  <c r="V647" i="24"/>
  <c r="W647" i="24" s="1"/>
  <c r="B647" i="24"/>
  <c r="C647" i="24" s="1"/>
  <c r="N647" i="24"/>
  <c r="O647" i="24" s="1"/>
  <c r="D647" i="24"/>
  <c r="E647" i="24" s="1"/>
  <c r="F647" i="24"/>
  <c r="G647" i="24" s="1"/>
  <c r="H647" i="24"/>
  <c r="I647" i="24" s="1"/>
  <c r="J647" i="24"/>
  <c r="K647" i="24" s="1"/>
  <c r="L647" i="24"/>
  <c r="M647" i="24" s="1"/>
  <c r="P647" i="24"/>
  <c r="Q647" i="24" s="1"/>
  <c r="R647" i="24"/>
  <c r="S647" i="24" s="1"/>
  <c r="T647" i="24"/>
  <c r="U647" i="24" s="1"/>
  <c r="I459" i="37"/>
  <c r="J459" i="37"/>
  <c r="C459" i="37"/>
  <c r="D459" i="37"/>
  <c r="O458" i="37"/>
  <c r="P458" i="37"/>
  <c r="S458" i="37"/>
  <c r="R458" i="37"/>
  <c r="L459" i="37"/>
  <c r="M459" i="37"/>
  <c r="G459" i="37"/>
  <c r="F459" i="37"/>
  <c r="J648" i="24" l="1"/>
  <c r="K648" i="24" s="1"/>
  <c r="L648" i="24"/>
  <c r="M648" i="24" s="1"/>
  <c r="P648" i="24"/>
  <c r="Q648" i="24" s="1"/>
  <c r="H648" i="24"/>
  <c r="I648" i="24" s="1"/>
  <c r="R648" i="24"/>
  <c r="S648" i="24" s="1"/>
  <c r="N648" i="24"/>
  <c r="O648" i="24" s="1"/>
  <c r="F648" i="24"/>
  <c r="G648" i="24" s="1"/>
  <c r="T648" i="24"/>
  <c r="U648" i="24" s="1"/>
  <c r="V648" i="24"/>
  <c r="W648" i="24" s="1"/>
  <c r="A649" i="24"/>
  <c r="B648" i="24"/>
  <c r="C648" i="24" s="1"/>
  <c r="D648" i="24"/>
  <c r="E648" i="24" s="1"/>
  <c r="I460" i="37"/>
  <c r="J460" i="37"/>
  <c r="D460" i="37"/>
  <c r="C460" i="37"/>
  <c r="P459" i="37"/>
  <c r="O459" i="37"/>
  <c r="G460" i="37"/>
  <c r="F460" i="37"/>
  <c r="R459" i="37"/>
  <c r="S459" i="37"/>
  <c r="M460" i="37"/>
  <c r="L460" i="37"/>
  <c r="A650" i="24" l="1"/>
  <c r="F649" i="24"/>
  <c r="G649" i="24" s="1"/>
  <c r="B649" i="24"/>
  <c r="C649" i="24" s="1"/>
  <c r="V649" i="24"/>
  <c r="W649" i="24" s="1"/>
  <c r="J649" i="24"/>
  <c r="K649" i="24" s="1"/>
  <c r="L649" i="24"/>
  <c r="M649" i="24" s="1"/>
  <c r="R649" i="24"/>
  <c r="S649" i="24" s="1"/>
  <c r="N649" i="24"/>
  <c r="O649" i="24" s="1"/>
  <c r="P649" i="24"/>
  <c r="Q649" i="24" s="1"/>
  <c r="T649" i="24"/>
  <c r="U649" i="24" s="1"/>
  <c r="D649" i="24"/>
  <c r="E649" i="24" s="1"/>
  <c r="H649" i="24"/>
  <c r="I649" i="24" s="1"/>
  <c r="J461" i="37"/>
  <c r="I461" i="37"/>
  <c r="C461" i="37"/>
  <c r="D461" i="37"/>
  <c r="P460" i="37"/>
  <c r="O460" i="37"/>
  <c r="F461" i="37"/>
  <c r="G461" i="37"/>
  <c r="S460" i="37"/>
  <c r="R460" i="37"/>
  <c r="M461" i="37"/>
  <c r="L461" i="37"/>
  <c r="J650" i="24" l="1"/>
  <c r="K650" i="24" s="1"/>
  <c r="L650" i="24"/>
  <c r="M650" i="24" s="1"/>
  <c r="D650" i="24"/>
  <c r="E650" i="24" s="1"/>
  <c r="H650" i="24"/>
  <c r="I650" i="24" s="1"/>
  <c r="R650" i="24"/>
  <c r="S650" i="24" s="1"/>
  <c r="P650" i="24"/>
  <c r="Q650" i="24" s="1"/>
  <c r="N650" i="24"/>
  <c r="O650" i="24" s="1"/>
  <c r="B650" i="24"/>
  <c r="C650" i="24" s="1"/>
  <c r="V650" i="24"/>
  <c r="W650" i="24" s="1"/>
  <c r="F650" i="24"/>
  <c r="G650" i="24" s="1"/>
  <c r="T650" i="24"/>
  <c r="U650" i="24" s="1"/>
  <c r="A651" i="24"/>
  <c r="I462" i="37"/>
  <c r="J462" i="37"/>
  <c r="D462" i="37"/>
  <c r="C462" i="37"/>
  <c r="P461" i="37"/>
  <c r="O461" i="37"/>
  <c r="S461" i="37"/>
  <c r="R461" i="37"/>
  <c r="L462" i="37"/>
  <c r="M462" i="37"/>
  <c r="F462" i="37"/>
  <c r="G462" i="37"/>
  <c r="B651" i="24" l="1"/>
  <c r="C651" i="24" s="1"/>
  <c r="V651" i="24"/>
  <c r="W651" i="24" s="1"/>
  <c r="A652" i="24"/>
  <c r="P651" i="24"/>
  <c r="Q651" i="24" s="1"/>
  <c r="D651" i="24"/>
  <c r="E651" i="24" s="1"/>
  <c r="H651" i="24"/>
  <c r="I651" i="24" s="1"/>
  <c r="J651" i="24"/>
  <c r="K651" i="24" s="1"/>
  <c r="L651" i="24"/>
  <c r="M651" i="24" s="1"/>
  <c r="R651" i="24"/>
  <c r="S651" i="24" s="1"/>
  <c r="T651" i="24"/>
  <c r="U651" i="24" s="1"/>
  <c r="N651" i="24"/>
  <c r="O651" i="24" s="1"/>
  <c r="F651" i="24"/>
  <c r="G651" i="24" s="1"/>
  <c r="J463" i="37"/>
  <c r="I463" i="37"/>
  <c r="C463" i="37"/>
  <c r="D463" i="37"/>
  <c r="P462" i="37"/>
  <c r="O462" i="37"/>
  <c r="G463" i="37"/>
  <c r="F463" i="37"/>
  <c r="M463" i="37"/>
  <c r="L463" i="37"/>
  <c r="R462" i="37"/>
  <c r="S462" i="37"/>
  <c r="J652" i="24" l="1"/>
  <c r="K652" i="24" s="1"/>
  <c r="R652" i="24"/>
  <c r="S652" i="24" s="1"/>
  <c r="A653" i="24"/>
  <c r="F652" i="24"/>
  <c r="G652" i="24" s="1"/>
  <c r="B652" i="24"/>
  <c r="C652" i="24" s="1"/>
  <c r="D652" i="24"/>
  <c r="E652" i="24" s="1"/>
  <c r="H652" i="24"/>
  <c r="I652" i="24" s="1"/>
  <c r="N652" i="24"/>
  <c r="O652" i="24" s="1"/>
  <c r="L652" i="24"/>
  <c r="M652" i="24" s="1"/>
  <c r="V652" i="24"/>
  <c r="W652" i="24" s="1"/>
  <c r="P652" i="24"/>
  <c r="Q652" i="24" s="1"/>
  <c r="T652" i="24"/>
  <c r="U652" i="24" s="1"/>
  <c r="I464" i="37"/>
  <c r="J464" i="37"/>
  <c r="D464" i="37"/>
  <c r="C464" i="37"/>
  <c r="P463" i="37"/>
  <c r="O463" i="37"/>
  <c r="S463" i="37"/>
  <c r="R463" i="37"/>
  <c r="L464" i="37"/>
  <c r="M464" i="37"/>
  <c r="F464" i="37"/>
  <c r="G464" i="37"/>
  <c r="B653" i="24" l="1"/>
  <c r="C653" i="24" s="1"/>
  <c r="V653" i="24"/>
  <c r="W653" i="24" s="1"/>
  <c r="A654" i="24"/>
  <c r="N653" i="24"/>
  <c r="O653" i="24" s="1"/>
  <c r="F653" i="24"/>
  <c r="G653" i="24" s="1"/>
  <c r="T653" i="24"/>
  <c r="U653" i="24" s="1"/>
  <c r="D653" i="24"/>
  <c r="E653" i="24" s="1"/>
  <c r="H653" i="24"/>
  <c r="I653" i="24" s="1"/>
  <c r="R653" i="24"/>
  <c r="S653" i="24" s="1"/>
  <c r="P653" i="24"/>
  <c r="Q653" i="24" s="1"/>
  <c r="J653" i="24"/>
  <c r="K653" i="24" s="1"/>
  <c r="L653" i="24"/>
  <c r="M653" i="24" s="1"/>
  <c r="I465" i="37"/>
  <c r="J465" i="37"/>
  <c r="D465" i="37"/>
  <c r="C465" i="37"/>
  <c r="O464" i="37"/>
  <c r="P464" i="37"/>
  <c r="S464" i="37"/>
  <c r="R464" i="37"/>
  <c r="M465" i="37"/>
  <c r="L465" i="37"/>
  <c r="G465" i="37"/>
  <c r="F465" i="37"/>
  <c r="J654" i="24" l="1"/>
  <c r="K654" i="24" s="1"/>
  <c r="R654" i="24"/>
  <c r="S654" i="24" s="1"/>
  <c r="N654" i="24"/>
  <c r="O654" i="24" s="1"/>
  <c r="T654" i="24"/>
  <c r="U654" i="24" s="1"/>
  <c r="V654" i="24"/>
  <c r="W654" i="24" s="1"/>
  <c r="A655" i="24"/>
  <c r="F654" i="24"/>
  <c r="G654" i="24" s="1"/>
  <c r="B654" i="24"/>
  <c r="C654" i="24" s="1"/>
  <c r="H654" i="24"/>
  <c r="I654" i="24" s="1"/>
  <c r="D654" i="24"/>
  <c r="E654" i="24" s="1"/>
  <c r="P654" i="24"/>
  <c r="Q654" i="24" s="1"/>
  <c r="L654" i="24"/>
  <c r="M654" i="24" s="1"/>
  <c r="J466" i="37"/>
  <c r="I466" i="37"/>
  <c r="C466" i="37"/>
  <c r="D466" i="37"/>
  <c r="O465" i="37"/>
  <c r="P465" i="37"/>
  <c r="M466" i="37"/>
  <c r="L466" i="37"/>
  <c r="R465" i="37"/>
  <c r="S465" i="37"/>
  <c r="F466" i="37"/>
  <c r="G466" i="37"/>
  <c r="A656" i="24" l="1"/>
  <c r="R655" i="24"/>
  <c r="S655" i="24" s="1"/>
  <c r="B655" i="24"/>
  <c r="C655" i="24" s="1"/>
  <c r="F655" i="24"/>
  <c r="G655" i="24" s="1"/>
  <c r="J655" i="24"/>
  <c r="K655" i="24" s="1"/>
  <c r="V655" i="24"/>
  <c r="W655" i="24" s="1"/>
  <c r="N655" i="24"/>
  <c r="O655" i="24" s="1"/>
  <c r="T655" i="24"/>
  <c r="U655" i="24" s="1"/>
  <c r="D655" i="24"/>
  <c r="E655" i="24" s="1"/>
  <c r="H655" i="24"/>
  <c r="I655" i="24" s="1"/>
  <c r="L655" i="24"/>
  <c r="M655" i="24" s="1"/>
  <c r="P655" i="24"/>
  <c r="Q655" i="24" s="1"/>
  <c r="I467" i="37"/>
  <c r="J467" i="37"/>
  <c r="C467" i="37"/>
  <c r="D467" i="37"/>
  <c r="P466" i="37"/>
  <c r="O466" i="37"/>
  <c r="G467" i="37"/>
  <c r="F467" i="37"/>
  <c r="S466" i="37"/>
  <c r="R466" i="37"/>
  <c r="M467" i="37"/>
  <c r="L467" i="37"/>
  <c r="J656" i="24" l="1"/>
  <c r="K656" i="24" s="1"/>
  <c r="L656" i="24"/>
  <c r="M656" i="24" s="1"/>
  <c r="P656" i="24"/>
  <c r="Q656" i="24" s="1"/>
  <c r="N656" i="24"/>
  <c r="O656" i="24" s="1"/>
  <c r="R656" i="24"/>
  <c r="S656" i="24" s="1"/>
  <c r="T656" i="24"/>
  <c r="U656" i="24" s="1"/>
  <c r="V656" i="24"/>
  <c r="W656" i="24" s="1"/>
  <c r="A657" i="24"/>
  <c r="F656" i="24"/>
  <c r="G656" i="24" s="1"/>
  <c r="B656" i="24"/>
  <c r="C656" i="24" s="1"/>
  <c r="D656" i="24"/>
  <c r="E656" i="24" s="1"/>
  <c r="H656" i="24"/>
  <c r="I656" i="24" s="1"/>
  <c r="J468" i="37"/>
  <c r="I468" i="37"/>
  <c r="D468" i="37"/>
  <c r="C468" i="37"/>
  <c r="O467" i="37"/>
  <c r="P467" i="37"/>
  <c r="L468" i="37"/>
  <c r="M468" i="37"/>
  <c r="S467" i="37"/>
  <c r="R467" i="37"/>
  <c r="G468" i="37"/>
  <c r="F468" i="37"/>
  <c r="A658" i="24" l="1"/>
  <c r="P657" i="24"/>
  <c r="Q657" i="24" s="1"/>
  <c r="B657" i="24"/>
  <c r="C657" i="24" s="1"/>
  <c r="F657" i="24"/>
  <c r="G657" i="24" s="1"/>
  <c r="L657" i="24"/>
  <c r="M657" i="24" s="1"/>
  <c r="D657" i="24"/>
  <c r="E657" i="24" s="1"/>
  <c r="N657" i="24"/>
  <c r="O657" i="24" s="1"/>
  <c r="R657" i="24"/>
  <c r="S657" i="24" s="1"/>
  <c r="V657" i="24"/>
  <c r="W657" i="24" s="1"/>
  <c r="J657" i="24"/>
  <c r="K657" i="24" s="1"/>
  <c r="T657" i="24"/>
  <c r="U657" i="24" s="1"/>
  <c r="H657" i="24"/>
  <c r="I657" i="24" s="1"/>
  <c r="J469" i="37"/>
  <c r="I469" i="37"/>
  <c r="D469" i="37"/>
  <c r="C469" i="37"/>
  <c r="O468" i="37"/>
  <c r="P468" i="37"/>
  <c r="R468" i="37"/>
  <c r="S468" i="37"/>
  <c r="G469" i="37"/>
  <c r="F469" i="37"/>
  <c r="M469" i="37"/>
  <c r="L469" i="37"/>
  <c r="J658" i="24" l="1"/>
  <c r="K658" i="24" s="1"/>
  <c r="L658" i="24"/>
  <c r="M658" i="24" s="1"/>
  <c r="D658" i="24"/>
  <c r="E658" i="24" s="1"/>
  <c r="H658" i="24"/>
  <c r="I658" i="24" s="1"/>
  <c r="R658" i="24"/>
  <c r="S658" i="24" s="1"/>
  <c r="P658" i="24"/>
  <c r="Q658" i="24" s="1"/>
  <c r="N658" i="24"/>
  <c r="O658" i="24" s="1"/>
  <c r="A659" i="24"/>
  <c r="T658" i="24"/>
  <c r="U658" i="24" s="1"/>
  <c r="B658" i="24"/>
  <c r="C658" i="24" s="1"/>
  <c r="V658" i="24"/>
  <c r="W658" i="24" s="1"/>
  <c r="F658" i="24"/>
  <c r="G658" i="24" s="1"/>
  <c r="J470" i="37"/>
  <c r="I470" i="37"/>
  <c r="D470" i="37"/>
  <c r="C470" i="37"/>
  <c r="P469" i="37"/>
  <c r="O469" i="37"/>
  <c r="G470" i="37"/>
  <c r="F470" i="37"/>
  <c r="M470" i="37"/>
  <c r="L470" i="37"/>
  <c r="S469" i="37"/>
  <c r="R469" i="37"/>
  <c r="A660" i="24" l="1"/>
  <c r="V659" i="24"/>
  <c r="W659" i="24" s="1"/>
  <c r="B659" i="24"/>
  <c r="C659" i="24" s="1"/>
  <c r="F659" i="24"/>
  <c r="G659" i="24" s="1"/>
  <c r="D659" i="24"/>
  <c r="E659" i="24" s="1"/>
  <c r="J659" i="24"/>
  <c r="K659" i="24" s="1"/>
  <c r="H659" i="24"/>
  <c r="I659" i="24" s="1"/>
  <c r="L659" i="24"/>
  <c r="M659" i="24" s="1"/>
  <c r="R659" i="24"/>
  <c r="S659" i="24" s="1"/>
  <c r="P659" i="24"/>
  <c r="Q659" i="24" s="1"/>
  <c r="T659" i="24"/>
  <c r="U659" i="24" s="1"/>
  <c r="N659" i="24"/>
  <c r="O659" i="24" s="1"/>
  <c r="I471" i="37"/>
  <c r="J471" i="37"/>
  <c r="D471" i="37"/>
  <c r="C471" i="37"/>
  <c r="P470" i="37"/>
  <c r="O470" i="37"/>
  <c r="M471" i="37"/>
  <c r="L471" i="37"/>
  <c r="R470" i="37"/>
  <c r="S470" i="37"/>
  <c r="F471" i="37"/>
  <c r="G471" i="37"/>
  <c r="J660" i="24" l="1"/>
  <c r="K660" i="24" s="1"/>
  <c r="L660" i="24"/>
  <c r="M660" i="24" s="1"/>
  <c r="A661" i="24"/>
  <c r="F660" i="24"/>
  <c r="G660" i="24" s="1"/>
  <c r="D660" i="24"/>
  <c r="E660" i="24" s="1"/>
  <c r="H660" i="24"/>
  <c r="I660" i="24" s="1"/>
  <c r="B660" i="24"/>
  <c r="C660" i="24" s="1"/>
  <c r="R660" i="24"/>
  <c r="S660" i="24" s="1"/>
  <c r="T660" i="24"/>
  <c r="U660" i="24" s="1"/>
  <c r="N660" i="24"/>
  <c r="O660" i="24" s="1"/>
  <c r="P660" i="24"/>
  <c r="Q660" i="24" s="1"/>
  <c r="V660" i="24"/>
  <c r="W660" i="24" s="1"/>
  <c r="J472" i="37"/>
  <c r="I472" i="37"/>
  <c r="C472" i="37"/>
  <c r="D472" i="37"/>
  <c r="O471" i="37"/>
  <c r="P471" i="37"/>
  <c r="L472" i="37"/>
  <c r="M472" i="37"/>
  <c r="F472" i="37"/>
  <c r="G472" i="37"/>
  <c r="R471" i="37"/>
  <c r="S471" i="37"/>
  <c r="A662" i="24" l="1"/>
  <c r="V661" i="24"/>
  <c r="W661" i="24" s="1"/>
  <c r="B661" i="24"/>
  <c r="C661" i="24" s="1"/>
  <c r="N661" i="24"/>
  <c r="O661" i="24" s="1"/>
  <c r="F661" i="24"/>
  <c r="G661" i="24" s="1"/>
  <c r="T661" i="24"/>
  <c r="U661" i="24" s="1"/>
  <c r="D661" i="24"/>
  <c r="E661" i="24" s="1"/>
  <c r="H661" i="24"/>
  <c r="I661" i="24" s="1"/>
  <c r="L661" i="24"/>
  <c r="M661" i="24" s="1"/>
  <c r="R661" i="24"/>
  <c r="S661" i="24" s="1"/>
  <c r="P661" i="24"/>
  <c r="Q661" i="24" s="1"/>
  <c r="J661" i="24"/>
  <c r="K661" i="24" s="1"/>
  <c r="I473" i="37"/>
  <c r="J473" i="37"/>
  <c r="D473" i="37"/>
  <c r="C473" i="37"/>
  <c r="O472" i="37"/>
  <c r="P472" i="37"/>
  <c r="S472" i="37"/>
  <c r="R472" i="37"/>
  <c r="G473" i="37"/>
  <c r="F473" i="37"/>
  <c r="L473" i="37"/>
  <c r="M473" i="37"/>
  <c r="L662" i="24" l="1"/>
  <c r="M662" i="24" s="1"/>
  <c r="R662" i="24"/>
  <c r="S662" i="24" s="1"/>
  <c r="N662" i="24"/>
  <c r="O662" i="24" s="1"/>
  <c r="T662" i="24"/>
  <c r="U662" i="24" s="1"/>
  <c r="V662" i="24"/>
  <c r="W662" i="24" s="1"/>
  <c r="B662" i="24"/>
  <c r="C662" i="24" s="1"/>
  <c r="F662" i="24"/>
  <c r="G662" i="24" s="1"/>
  <c r="D662" i="24"/>
  <c r="E662" i="24" s="1"/>
  <c r="A663" i="24"/>
  <c r="J662" i="24"/>
  <c r="K662" i="24" s="1"/>
  <c r="H662" i="24"/>
  <c r="I662" i="24" s="1"/>
  <c r="P662" i="24"/>
  <c r="Q662" i="24" s="1"/>
  <c r="J474" i="37"/>
  <c r="I474" i="37"/>
  <c r="D474" i="37"/>
  <c r="C474" i="37"/>
  <c r="O473" i="37"/>
  <c r="P473" i="37"/>
  <c r="G474" i="37"/>
  <c r="F474" i="37"/>
  <c r="R473" i="37"/>
  <c r="S473" i="37"/>
  <c r="M474" i="37"/>
  <c r="L474" i="37"/>
  <c r="A664" i="24" l="1"/>
  <c r="V663" i="24"/>
  <c r="W663" i="24" s="1"/>
  <c r="B663" i="24"/>
  <c r="C663" i="24" s="1"/>
  <c r="N663" i="24"/>
  <c r="O663" i="24" s="1"/>
  <c r="R663" i="24"/>
  <c r="S663" i="24" s="1"/>
  <c r="L663" i="24"/>
  <c r="M663" i="24" s="1"/>
  <c r="F663" i="24"/>
  <c r="G663" i="24" s="1"/>
  <c r="T663" i="24"/>
  <c r="U663" i="24" s="1"/>
  <c r="D663" i="24"/>
  <c r="E663" i="24" s="1"/>
  <c r="H663" i="24"/>
  <c r="I663" i="24" s="1"/>
  <c r="J663" i="24"/>
  <c r="K663" i="24" s="1"/>
  <c r="P663" i="24"/>
  <c r="Q663" i="24" s="1"/>
  <c r="J475" i="37"/>
  <c r="I475" i="37"/>
  <c r="D475" i="37"/>
  <c r="C475" i="37"/>
  <c r="P474" i="37"/>
  <c r="O474" i="37"/>
  <c r="M475" i="37"/>
  <c r="L475" i="37"/>
  <c r="R474" i="37"/>
  <c r="S474" i="37"/>
  <c r="G475" i="37"/>
  <c r="F475" i="37"/>
  <c r="J664" i="24" l="1"/>
  <c r="K664" i="24" s="1"/>
  <c r="L664" i="24"/>
  <c r="M664" i="24" s="1"/>
  <c r="P664" i="24"/>
  <c r="Q664" i="24" s="1"/>
  <c r="T664" i="24"/>
  <c r="U664" i="24" s="1"/>
  <c r="R664" i="24"/>
  <c r="S664" i="24" s="1"/>
  <c r="A665" i="24"/>
  <c r="N664" i="24"/>
  <c r="O664" i="24" s="1"/>
  <c r="H664" i="24"/>
  <c r="I664" i="24" s="1"/>
  <c r="V664" i="24"/>
  <c r="W664" i="24" s="1"/>
  <c r="F664" i="24"/>
  <c r="G664" i="24" s="1"/>
  <c r="D664" i="24"/>
  <c r="E664" i="24" s="1"/>
  <c r="B664" i="24"/>
  <c r="C664" i="24" s="1"/>
  <c r="I476" i="37"/>
  <c r="J476" i="37"/>
  <c r="D476" i="37"/>
  <c r="C476" i="37"/>
  <c r="O475" i="37"/>
  <c r="P475" i="37"/>
  <c r="S475" i="37"/>
  <c r="R475" i="37"/>
  <c r="G476" i="37"/>
  <c r="F476" i="37"/>
  <c r="L476" i="37"/>
  <c r="M476" i="37"/>
  <c r="B665" i="24" l="1"/>
  <c r="C665" i="24" s="1"/>
  <c r="P665" i="24"/>
  <c r="Q665" i="24" s="1"/>
  <c r="D665" i="24"/>
  <c r="E665" i="24" s="1"/>
  <c r="V665" i="24"/>
  <c r="W665" i="24" s="1"/>
  <c r="A666" i="24"/>
  <c r="F665" i="24"/>
  <c r="G665" i="24" s="1"/>
  <c r="H665" i="24"/>
  <c r="I665" i="24" s="1"/>
  <c r="J665" i="24"/>
  <c r="K665" i="24" s="1"/>
  <c r="T665" i="24"/>
  <c r="U665" i="24" s="1"/>
  <c r="L665" i="24"/>
  <c r="M665" i="24" s="1"/>
  <c r="R665" i="24"/>
  <c r="S665" i="24" s="1"/>
  <c r="N665" i="24"/>
  <c r="O665" i="24" s="1"/>
  <c r="I477" i="37"/>
  <c r="J477" i="37"/>
  <c r="D477" i="37"/>
  <c r="C477" i="37"/>
  <c r="P476" i="37"/>
  <c r="O476" i="37"/>
  <c r="M477" i="37"/>
  <c r="L477" i="37"/>
  <c r="G477" i="37"/>
  <c r="F477" i="37"/>
  <c r="R476" i="37"/>
  <c r="S476" i="37"/>
  <c r="J666" i="24" l="1"/>
  <c r="K666" i="24" s="1"/>
  <c r="L666" i="24"/>
  <c r="M666" i="24" s="1"/>
  <c r="R666" i="24"/>
  <c r="S666" i="24" s="1"/>
  <c r="T666" i="24"/>
  <c r="U666" i="24" s="1"/>
  <c r="P666" i="24"/>
  <c r="Q666" i="24" s="1"/>
  <c r="A667" i="24"/>
  <c r="N666" i="24"/>
  <c r="O666" i="24" s="1"/>
  <c r="D666" i="24"/>
  <c r="E666" i="24" s="1"/>
  <c r="H666" i="24"/>
  <c r="I666" i="24" s="1"/>
  <c r="V666" i="24"/>
  <c r="W666" i="24" s="1"/>
  <c r="F666" i="24"/>
  <c r="G666" i="24" s="1"/>
  <c r="B666" i="24"/>
  <c r="C666" i="24" s="1"/>
  <c r="J478" i="37"/>
  <c r="I478" i="37"/>
  <c r="C478" i="37"/>
  <c r="D478" i="37"/>
  <c r="O477" i="37"/>
  <c r="P477" i="37"/>
  <c r="R477" i="37"/>
  <c r="S477" i="37"/>
  <c r="F478" i="37"/>
  <c r="G478" i="37"/>
  <c r="L478" i="37"/>
  <c r="M478" i="37"/>
  <c r="A668" i="24" l="1"/>
  <c r="P667" i="24"/>
  <c r="Q667" i="24" s="1"/>
  <c r="B667" i="24"/>
  <c r="C667" i="24" s="1"/>
  <c r="V667" i="24"/>
  <c r="W667" i="24" s="1"/>
  <c r="D667" i="24"/>
  <c r="E667" i="24" s="1"/>
  <c r="F667" i="24"/>
  <c r="G667" i="24" s="1"/>
  <c r="H667" i="24"/>
  <c r="I667" i="24" s="1"/>
  <c r="J667" i="24"/>
  <c r="K667" i="24" s="1"/>
  <c r="T667" i="24"/>
  <c r="U667" i="24" s="1"/>
  <c r="R667" i="24"/>
  <c r="S667" i="24" s="1"/>
  <c r="N667" i="24"/>
  <c r="O667" i="24" s="1"/>
  <c r="L667" i="24"/>
  <c r="M667" i="24" s="1"/>
  <c r="J479" i="37"/>
  <c r="I479" i="37"/>
  <c r="C479" i="37"/>
  <c r="D479" i="37"/>
  <c r="P478" i="37"/>
  <c r="O478" i="37"/>
  <c r="M479" i="37"/>
  <c r="L479" i="37"/>
  <c r="F479" i="37"/>
  <c r="G479" i="37"/>
  <c r="S478" i="37"/>
  <c r="R478" i="37"/>
  <c r="J668" i="24" l="1"/>
  <c r="K668" i="24" s="1"/>
  <c r="R668" i="24"/>
  <c r="S668" i="24" s="1"/>
  <c r="N668" i="24"/>
  <c r="O668" i="24" s="1"/>
  <c r="T668" i="24"/>
  <c r="U668" i="24" s="1"/>
  <c r="L668" i="24"/>
  <c r="M668" i="24" s="1"/>
  <c r="A669" i="24"/>
  <c r="P668" i="24"/>
  <c r="Q668" i="24" s="1"/>
  <c r="D668" i="24"/>
  <c r="E668" i="24" s="1"/>
  <c r="B668" i="24"/>
  <c r="C668" i="24" s="1"/>
  <c r="H668" i="24"/>
  <c r="I668" i="24" s="1"/>
  <c r="V668" i="24"/>
  <c r="W668" i="24" s="1"/>
  <c r="F668" i="24"/>
  <c r="G668" i="24" s="1"/>
  <c r="I480" i="37"/>
  <c r="J480" i="37"/>
  <c r="D480" i="37"/>
  <c r="C480" i="37"/>
  <c r="O479" i="37"/>
  <c r="P479" i="37"/>
  <c r="R479" i="37"/>
  <c r="S479" i="37"/>
  <c r="M480" i="37"/>
  <c r="L480" i="37"/>
  <c r="F480" i="37"/>
  <c r="G480" i="37"/>
  <c r="A670" i="24" l="1"/>
  <c r="N669" i="24"/>
  <c r="O669" i="24" s="1"/>
  <c r="D669" i="24"/>
  <c r="E669" i="24" s="1"/>
  <c r="V669" i="24"/>
  <c r="W669" i="24" s="1"/>
  <c r="B669" i="24"/>
  <c r="C669" i="24" s="1"/>
  <c r="F669" i="24"/>
  <c r="G669" i="24" s="1"/>
  <c r="H669" i="24"/>
  <c r="I669" i="24" s="1"/>
  <c r="R669" i="24"/>
  <c r="S669" i="24" s="1"/>
  <c r="P669" i="24"/>
  <c r="Q669" i="24" s="1"/>
  <c r="T669" i="24"/>
  <c r="U669" i="24" s="1"/>
  <c r="L669" i="24"/>
  <c r="M669" i="24" s="1"/>
  <c r="J669" i="24"/>
  <c r="K669" i="24" s="1"/>
  <c r="J481" i="37"/>
  <c r="I481" i="37"/>
  <c r="D481" i="37"/>
  <c r="C481" i="37"/>
  <c r="O480" i="37"/>
  <c r="P480" i="37"/>
  <c r="F481" i="37"/>
  <c r="G481" i="37"/>
  <c r="S480" i="37"/>
  <c r="R480" i="37"/>
  <c r="M481" i="37"/>
  <c r="L481" i="37"/>
  <c r="J670" i="24" l="1"/>
  <c r="K670" i="24" s="1"/>
  <c r="R670" i="24"/>
  <c r="S670" i="24" s="1"/>
  <c r="L670" i="24"/>
  <c r="M670" i="24" s="1"/>
  <c r="T670" i="24"/>
  <c r="U670" i="24" s="1"/>
  <c r="P670" i="24"/>
  <c r="Q670" i="24" s="1"/>
  <c r="A671" i="24"/>
  <c r="N670" i="24"/>
  <c r="O670" i="24" s="1"/>
  <c r="B670" i="24"/>
  <c r="C670" i="24" s="1"/>
  <c r="H670" i="24"/>
  <c r="I670" i="24" s="1"/>
  <c r="D670" i="24"/>
  <c r="E670" i="24" s="1"/>
  <c r="V670" i="24"/>
  <c r="W670" i="24" s="1"/>
  <c r="F670" i="24"/>
  <c r="G670" i="24" s="1"/>
  <c r="I482" i="37"/>
  <c r="J482" i="37"/>
  <c r="C482" i="37"/>
  <c r="D482" i="37"/>
  <c r="O481" i="37"/>
  <c r="P481" i="37"/>
  <c r="S481" i="37"/>
  <c r="R481" i="37"/>
  <c r="F482" i="37"/>
  <c r="G482" i="37"/>
  <c r="M482" i="37"/>
  <c r="L482" i="37"/>
  <c r="B671" i="24" l="1"/>
  <c r="C671" i="24" s="1"/>
  <c r="N671" i="24"/>
  <c r="O671" i="24" s="1"/>
  <c r="D671" i="24"/>
  <c r="E671" i="24" s="1"/>
  <c r="V671" i="24"/>
  <c r="W671" i="24" s="1"/>
  <c r="A672" i="24"/>
  <c r="F671" i="24"/>
  <c r="G671" i="24" s="1"/>
  <c r="H671" i="24"/>
  <c r="I671" i="24" s="1"/>
  <c r="J671" i="24"/>
  <c r="K671" i="24" s="1"/>
  <c r="R671" i="24"/>
  <c r="S671" i="24" s="1"/>
  <c r="P671" i="24"/>
  <c r="Q671" i="24" s="1"/>
  <c r="L671" i="24"/>
  <c r="M671" i="24" s="1"/>
  <c r="T671" i="24"/>
  <c r="U671" i="24" s="1"/>
  <c r="J483" i="37"/>
  <c r="I483" i="37"/>
  <c r="D483" i="37"/>
  <c r="C483" i="37"/>
  <c r="P482" i="37"/>
  <c r="O482" i="37"/>
  <c r="F483" i="37"/>
  <c r="G483" i="37"/>
  <c r="M483" i="37"/>
  <c r="L483" i="37"/>
  <c r="S482" i="37"/>
  <c r="R482" i="37"/>
  <c r="J672" i="24" l="1"/>
  <c r="K672" i="24" s="1"/>
  <c r="L672" i="24"/>
  <c r="M672" i="24" s="1"/>
  <c r="P672" i="24"/>
  <c r="Q672" i="24" s="1"/>
  <c r="T672" i="24"/>
  <c r="U672" i="24" s="1"/>
  <c r="N672" i="24"/>
  <c r="O672" i="24" s="1"/>
  <c r="A673" i="24"/>
  <c r="R672" i="24"/>
  <c r="S672" i="24" s="1"/>
  <c r="B672" i="24"/>
  <c r="C672" i="24" s="1"/>
  <c r="D672" i="24"/>
  <c r="E672" i="24" s="1"/>
  <c r="H672" i="24"/>
  <c r="I672" i="24" s="1"/>
  <c r="F672" i="24"/>
  <c r="G672" i="24" s="1"/>
  <c r="V672" i="24"/>
  <c r="W672" i="24" s="1"/>
  <c r="J484" i="37"/>
  <c r="I484" i="37"/>
  <c r="C484" i="37"/>
  <c r="D484" i="37"/>
  <c r="O483" i="37"/>
  <c r="P483" i="37"/>
  <c r="S483" i="37"/>
  <c r="R483" i="37"/>
  <c r="G484" i="37"/>
  <c r="F484" i="37"/>
  <c r="L484" i="37"/>
  <c r="M484" i="37"/>
  <c r="A674" i="24" l="1"/>
  <c r="P673" i="24"/>
  <c r="Q673" i="24" s="1"/>
  <c r="B673" i="24"/>
  <c r="C673" i="24" s="1"/>
  <c r="F673" i="24"/>
  <c r="G673" i="24" s="1"/>
  <c r="D673" i="24"/>
  <c r="E673" i="24" s="1"/>
  <c r="V673" i="24"/>
  <c r="W673" i="24" s="1"/>
  <c r="H673" i="24"/>
  <c r="I673" i="24" s="1"/>
  <c r="J673" i="24"/>
  <c r="K673" i="24" s="1"/>
  <c r="L673" i="24"/>
  <c r="M673" i="24" s="1"/>
  <c r="N673" i="24"/>
  <c r="O673" i="24" s="1"/>
  <c r="R673" i="24"/>
  <c r="S673" i="24" s="1"/>
  <c r="T673" i="24"/>
  <c r="U673" i="24" s="1"/>
  <c r="J485" i="37"/>
  <c r="I485" i="37"/>
  <c r="C485" i="37"/>
  <c r="D485" i="37"/>
  <c r="P484" i="37"/>
  <c r="O484" i="37"/>
  <c r="F485" i="37"/>
  <c r="G485" i="37"/>
  <c r="R484" i="37"/>
  <c r="S484" i="37"/>
  <c r="M485" i="37"/>
  <c r="L485" i="37"/>
  <c r="J674" i="24" l="1"/>
  <c r="K674" i="24" s="1"/>
  <c r="L674" i="24"/>
  <c r="M674" i="24" s="1"/>
  <c r="R674" i="24"/>
  <c r="S674" i="24" s="1"/>
  <c r="T674" i="24"/>
  <c r="U674" i="24" s="1"/>
  <c r="P674" i="24"/>
  <c r="Q674" i="24" s="1"/>
  <c r="A675" i="24"/>
  <c r="V674" i="24"/>
  <c r="W674" i="24" s="1"/>
  <c r="B674" i="24"/>
  <c r="C674" i="24" s="1"/>
  <c r="H674" i="24"/>
  <c r="I674" i="24" s="1"/>
  <c r="D674" i="24"/>
  <c r="E674" i="24" s="1"/>
  <c r="F674" i="24"/>
  <c r="G674" i="24" s="1"/>
  <c r="N674" i="24"/>
  <c r="O674" i="24" s="1"/>
  <c r="J486" i="37"/>
  <c r="I486" i="37"/>
  <c r="D486" i="37"/>
  <c r="C486" i="37"/>
  <c r="O485" i="37"/>
  <c r="P485" i="37"/>
  <c r="G486" i="37"/>
  <c r="F486" i="37"/>
  <c r="M486" i="37"/>
  <c r="L486" i="37"/>
  <c r="S485" i="37"/>
  <c r="R485" i="37"/>
  <c r="B675" i="24" l="1"/>
  <c r="C675" i="24" s="1"/>
  <c r="V675" i="24"/>
  <c r="W675" i="24" s="1"/>
  <c r="A676" i="24"/>
  <c r="F675" i="24"/>
  <c r="G675" i="24" s="1"/>
  <c r="H675" i="24"/>
  <c r="I675" i="24" s="1"/>
  <c r="P675" i="24"/>
  <c r="Q675" i="24" s="1"/>
  <c r="J675" i="24"/>
  <c r="K675" i="24" s="1"/>
  <c r="D675" i="24"/>
  <c r="E675" i="24" s="1"/>
  <c r="T675" i="24"/>
  <c r="U675" i="24" s="1"/>
  <c r="L675" i="24"/>
  <c r="M675" i="24" s="1"/>
  <c r="R675" i="24"/>
  <c r="S675" i="24" s="1"/>
  <c r="N675" i="24"/>
  <c r="O675" i="24" s="1"/>
  <c r="J487" i="37"/>
  <c r="I487" i="37"/>
  <c r="C487" i="37"/>
  <c r="D487" i="37"/>
  <c r="O486" i="37"/>
  <c r="P486" i="37"/>
  <c r="R486" i="37"/>
  <c r="S486" i="37"/>
  <c r="M487" i="37"/>
  <c r="L487" i="37"/>
  <c r="G487" i="37"/>
  <c r="F487" i="37"/>
  <c r="J676" i="24" l="1"/>
  <c r="K676" i="24" s="1"/>
  <c r="L676" i="24"/>
  <c r="M676" i="24" s="1"/>
  <c r="R676" i="24"/>
  <c r="S676" i="24" s="1"/>
  <c r="T676" i="24"/>
  <c r="U676" i="24" s="1"/>
  <c r="N676" i="24"/>
  <c r="O676" i="24" s="1"/>
  <c r="A677" i="24"/>
  <c r="P676" i="24"/>
  <c r="Q676" i="24" s="1"/>
  <c r="F676" i="24"/>
  <c r="G676" i="24" s="1"/>
  <c r="D676" i="24"/>
  <c r="E676" i="24" s="1"/>
  <c r="H676" i="24"/>
  <c r="I676" i="24" s="1"/>
  <c r="B676" i="24"/>
  <c r="C676" i="24" s="1"/>
  <c r="V676" i="24"/>
  <c r="W676" i="24" s="1"/>
  <c r="J488" i="37"/>
  <c r="I488" i="37"/>
  <c r="D488" i="37"/>
  <c r="C488" i="37"/>
  <c r="O487" i="37"/>
  <c r="P487" i="37"/>
  <c r="F488" i="37"/>
  <c r="G488" i="37"/>
  <c r="M488" i="37"/>
  <c r="L488" i="37"/>
  <c r="S487" i="37"/>
  <c r="R487" i="37"/>
  <c r="A678" i="24" l="1"/>
  <c r="V677" i="24"/>
  <c r="W677" i="24" s="1"/>
  <c r="B677" i="24"/>
  <c r="C677" i="24" s="1"/>
  <c r="N677" i="24"/>
  <c r="O677" i="24" s="1"/>
  <c r="H677" i="24"/>
  <c r="I677" i="24" s="1"/>
  <c r="F677" i="24"/>
  <c r="G677" i="24" s="1"/>
  <c r="D677" i="24"/>
  <c r="E677" i="24" s="1"/>
  <c r="J677" i="24"/>
  <c r="K677" i="24" s="1"/>
  <c r="T677" i="24"/>
  <c r="U677" i="24" s="1"/>
  <c r="R677" i="24"/>
  <c r="S677" i="24" s="1"/>
  <c r="L677" i="24"/>
  <c r="M677" i="24" s="1"/>
  <c r="P677" i="24"/>
  <c r="Q677" i="24" s="1"/>
  <c r="I489" i="37"/>
  <c r="J489" i="37"/>
  <c r="D489" i="37"/>
  <c r="C489" i="37"/>
  <c r="O488" i="37"/>
  <c r="P488" i="37"/>
  <c r="R488" i="37"/>
  <c r="S488" i="37"/>
  <c r="M489" i="37"/>
  <c r="L489" i="37"/>
  <c r="G489" i="37"/>
  <c r="F489" i="37"/>
  <c r="J678" i="24" l="1"/>
  <c r="K678" i="24" s="1"/>
  <c r="R678" i="24"/>
  <c r="S678" i="24" s="1"/>
  <c r="L678" i="24"/>
  <c r="M678" i="24" s="1"/>
  <c r="T678" i="24"/>
  <c r="U678" i="24" s="1"/>
  <c r="P678" i="24"/>
  <c r="Q678" i="24" s="1"/>
  <c r="A679" i="24"/>
  <c r="N678" i="24"/>
  <c r="O678" i="24" s="1"/>
  <c r="V678" i="24"/>
  <c r="W678" i="24" s="1"/>
  <c r="F678" i="24"/>
  <c r="G678" i="24" s="1"/>
  <c r="B678" i="24"/>
  <c r="C678" i="24" s="1"/>
  <c r="D678" i="24"/>
  <c r="E678" i="24" s="1"/>
  <c r="H678" i="24"/>
  <c r="I678" i="24" s="1"/>
  <c r="I490" i="37"/>
  <c r="J490" i="37"/>
  <c r="C490" i="37"/>
  <c r="D490" i="37"/>
  <c r="P489" i="37"/>
  <c r="O489" i="37"/>
  <c r="M490" i="37"/>
  <c r="L490" i="37"/>
  <c r="F490" i="37"/>
  <c r="G490" i="37"/>
  <c r="S489" i="37"/>
  <c r="R489" i="37"/>
  <c r="A680" i="24" l="1"/>
  <c r="L679" i="24"/>
  <c r="M679" i="24" s="1"/>
  <c r="B679" i="24"/>
  <c r="C679" i="24" s="1"/>
  <c r="N679" i="24"/>
  <c r="O679" i="24" s="1"/>
  <c r="D679" i="24"/>
  <c r="E679" i="24" s="1"/>
  <c r="F679" i="24"/>
  <c r="G679" i="24" s="1"/>
  <c r="H679" i="24"/>
  <c r="I679" i="24" s="1"/>
  <c r="J679" i="24"/>
  <c r="K679" i="24" s="1"/>
  <c r="T679" i="24"/>
  <c r="U679" i="24" s="1"/>
  <c r="P679" i="24"/>
  <c r="Q679" i="24" s="1"/>
  <c r="V679" i="24"/>
  <c r="W679" i="24" s="1"/>
  <c r="R679" i="24"/>
  <c r="S679" i="24" s="1"/>
  <c r="J491" i="37"/>
  <c r="I491" i="37"/>
  <c r="C491" i="37"/>
  <c r="D491" i="37"/>
  <c r="O490" i="37"/>
  <c r="P490" i="37"/>
  <c r="R490" i="37"/>
  <c r="S490" i="37"/>
  <c r="L491" i="37"/>
  <c r="M491" i="37"/>
  <c r="F491" i="37"/>
  <c r="G491" i="37"/>
  <c r="L680" i="24" l="1"/>
  <c r="M680" i="24" s="1"/>
  <c r="H680" i="24"/>
  <c r="I680" i="24" s="1"/>
  <c r="P680" i="24"/>
  <c r="Q680" i="24" s="1"/>
  <c r="T680" i="24"/>
  <c r="U680" i="24" s="1"/>
  <c r="R680" i="24"/>
  <c r="S680" i="24" s="1"/>
  <c r="A681" i="24"/>
  <c r="N680" i="24"/>
  <c r="O680" i="24" s="1"/>
  <c r="J680" i="24"/>
  <c r="K680" i="24" s="1"/>
  <c r="F680" i="24"/>
  <c r="G680" i="24" s="1"/>
  <c r="V680" i="24"/>
  <c r="W680" i="24" s="1"/>
  <c r="B680" i="24"/>
  <c r="C680" i="24" s="1"/>
  <c r="D680" i="24"/>
  <c r="E680" i="24" s="1"/>
  <c r="J492" i="37"/>
  <c r="I492" i="37"/>
  <c r="D492" i="37"/>
  <c r="C492" i="37"/>
  <c r="O491" i="37"/>
  <c r="P491" i="37"/>
  <c r="M492" i="37"/>
  <c r="L492" i="37"/>
  <c r="R491" i="37"/>
  <c r="S491" i="37"/>
  <c r="G492" i="37"/>
  <c r="F492" i="37"/>
  <c r="A682" i="24" l="1"/>
  <c r="V681" i="24"/>
  <c r="W681" i="24" s="1"/>
  <c r="B681" i="24"/>
  <c r="C681" i="24" s="1"/>
  <c r="F681" i="24"/>
  <c r="G681" i="24" s="1"/>
  <c r="D681" i="24"/>
  <c r="E681" i="24" s="1"/>
  <c r="P681" i="24"/>
  <c r="Q681" i="24" s="1"/>
  <c r="H681" i="24"/>
  <c r="I681" i="24" s="1"/>
  <c r="J681" i="24"/>
  <c r="K681" i="24" s="1"/>
  <c r="T681" i="24"/>
  <c r="U681" i="24" s="1"/>
  <c r="R681" i="24"/>
  <c r="S681" i="24" s="1"/>
  <c r="L681" i="24"/>
  <c r="M681" i="24" s="1"/>
  <c r="N681" i="24"/>
  <c r="O681" i="24" s="1"/>
  <c r="I493" i="37"/>
  <c r="J493" i="37"/>
  <c r="D493" i="37"/>
  <c r="C493" i="37"/>
  <c r="O492" i="37"/>
  <c r="P492" i="37"/>
  <c r="L493" i="37"/>
  <c r="M493" i="37"/>
  <c r="S492" i="37"/>
  <c r="R492" i="37"/>
  <c r="G493" i="37"/>
  <c r="F493" i="37"/>
  <c r="L682" i="24" l="1"/>
  <c r="M682" i="24" s="1"/>
  <c r="H682" i="24"/>
  <c r="I682" i="24" s="1"/>
  <c r="R682" i="24"/>
  <c r="S682" i="24" s="1"/>
  <c r="T682" i="24"/>
  <c r="U682" i="24" s="1"/>
  <c r="P682" i="24"/>
  <c r="Q682" i="24" s="1"/>
  <c r="A683" i="24"/>
  <c r="N682" i="24"/>
  <c r="O682" i="24" s="1"/>
  <c r="D682" i="24"/>
  <c r="E682" i="24" s="1"/>
  <c r="J682" i="24"/>
  <c r="K682" i="24" s="1"/>
  <c r="V682" i="24"/>
  <c r="W682" i="24" s="1"/>
  <c r="F682" i="24"/>
  <c r="G682" i="24" s="1"/>
  <c r="B682" i="24"/>
  <c r="C682" i="24" s="1"/>
  <c r="J494" i="37"/>
  <c r="I494" i="37"/>
  <c r="D494" i="37"/>
  <c r="C494" i="37"/>
  <c r="O493" i="37"/>
  <c r="P493" i="37"/>
  <c r="M494" i="37"/>
  <c r="L494" i="37"/>
  <c r="F494" i="37"/>
  <c r="G494" i="37"/>
  <c r="S493" i="37"/>
  <c r="R493" i="37"/>
  <c r="B683" i="24" l="1"/>
  <c r="C683" i="24" s="1"/>
  <c r="V683" i="24"/>
  <c r="W683" i="24" s="1"/>
  <c r="A684" i="24"/>
  <c r="P683" i="24"/>
  <c r="Q683" i="24" s="1"/>
  <c r="D683" i="24"/>
  <c r="E683" i="24" s="1"/>
  <c r="F683" i="24"/>
  <c r="G683" i="24" s="1"/>
  <c r="H683" i="24"/>
  <c r="I683" i="24" s="1"/>
  <c r="J683" i="24"/>
  <c r="K683" i="24" s="1"/>
  <c r="R683" i="24"/>
  <c r="S683" i="24" s="1"/>
  <c r="T683" i="24"/>
  <c r="U683" i="24" s="1"/>
  <c r="L683" i="24"/>
  <c r="M683" i="24" s="1"/>
  <c r="N683" i="24"/>
  <c r="O683" i="24" s="1"/>
  <c r="I495" i="37"/>
  <c r="J495" i="37"/>
  <c r="D495" i="37"/>
  <c r="C495" i="37"/>
  <c r="O494" i="37"/>
  <c r="P494" i="37"/>
  <c r="F495" i="37"/>
  <c r="G495" i="37"/>
  <c r="S494" i="37"/>
  <c r="R494" i="37"/>
  <c r="L495" i="37"/>
  <c r="M495" i="37"/>
  <c r="J684" i="24" l="1"/>
  <c r="K684" i="24" s="1"/>
  <c r="R684" i="24"/>
  <c r="S684" i="24" s="1"/>
  <c r="L684" i="24"/>
  <c r="M684" i="24" s="1"/>
  <c r="T684" i="24"/>
  <c r="U684" i="24" s="1"/>
  <c r="N684" i="24"/>
  <c r="O684" i="24" s="1"/>
  <c r="B684" i="24"/>
  <c r="C684" i="24" s="1"/>
  <c r="P684" i="24"/>
  <c r="Q684" i="24" s="1"/>
  <c r="D684" i="24"/>
  <c r="E684" i="24" s="1"/>
  <c r="A685" i="24"/>
  <c r="H684" i="24"/>
  <c r="I684" i="24" s="1"/>
  <c r="V684" i="24"/>
  <c r="W684" i="24" s="1"/>
  <c r="F684" i="24"/>
  <c r="G684" i="24" s="1"/>
  <c r="I496" i="37"/>
  <c r="J496" i="37"/>
  <c r="D496" i="37"/>
  <c r="C496" i="37"/>
  <c r="O495" i="37"/>
  <c r="P495" i="37"/>
  <c r="S495" i="37"/>
  <c r="R495" i="37"/>
  <c r="M496" i="37"/>
  <c r="L496" i="37"/>
  <c r="G496" i="37"/>
  <c r="F496" i="37"/>
  <c r="A686" i="24" l="1"/>
  <c r="V685" i="24"/>
  <c r="W685" i="24" s="1"/>
  <c r="B685" i="24"/>
  <c r="C685" i="24" s="1"/>
  <c r="N685" i="24"/>
  <c r="O685" i="24" s="1"/>
  <c r="D685" i="24"/>
  <c r="E685" i="24" s="1"/>
  <c r="F685" i="24"/>
  <c r="G685" i="24" s="1"/>
  <c r="H685" i="24"/>
  <c r="I685" i="24" s="1"/>
  <c r="R685" i="24"/>
  <c r="S685" i="24" s="1"/>
  <c r="P685" i="24"/>
  <c r="Q685" i="24" s="1"/>
  <c r="T685" i="24"/>
  <c r="U685" i="24" s="1"/>
  <c r="J685" i="24"/>
  <c r="K685" i="24" s="1"/>
  <c r="L685" i="24"/>
  <c r="M685" i="24" s="1"/>
  <c r="I497" i="37"/>
  <c r="J497" i="37"/>
  <c r="D497" i="37"/>
  <c r="C497" i="37"/>
  <c r="O496" i="37"/>
  <c r="P496" i="37"/>
  <c r="M497" i="37"/>
  <c r="L497" i="37"/>
  <c r="R496" i="37"/>
  <c r="S496" i="37"/>
  <c r="F497" i="37"/>
  <c r="G497" i="37"/>
  <c r="J686" i="24" l="1"/>
  <c r="K686" i="24" s="1"/>
  <c r="R686" i="24"/>
  <c r="S686" i="24" s="1"/>
  <c r="L686" i="24"/>
  <c r="M686" i="24" s="1"/>
  <c r="T686" i="24"/>
  <c r="U686" i="24" s="1"/>
  <c r="P686" i="24"/>
  <c r="Q686" i="24" s="1"/>
  <c r="B686" i="24"/>
  <c r="C686" i="24" s="1"/>
  <c r="N686" i="24"/>
  <c r="O686" i="24" s="1"/>
  <c r="D686" i="24"/>
  <c r="E686" i="24" s="1"/>
  <c r="H686" i="24"/>
  <c r="I686" i="24" s="1"/>
  <c r="A687" i="24"/>
  <c r="F686" i="24"/>
  <c r="G686" i="24" s="1"/>
  <c r="V686" i="24"/>
  <c r="W686" i="24" s="1"/>
  <c r="I498" i="37"/>
  <c r="J498" i="37"/>
  <c r="C498" i="37"/>
  <c r="D498" i="37"/>
  <c r="P497" i="37"/>
  <c r="O497" i="37"/>
  <c r="M498" i="37"/>
  <c r="L498" i="37"/>
  <c r="G498" i="37"/>
  <c r="F498" i="37"/>
  <c r="S497" i="37"/>
  <c r="R497" i="37"/>
  <c r="A688" i="24" l="1"/>
  <c r="N687" i="24"/>
  <c r="O687" i="24" s="1"/>
  <c r="B687" i="24"/>
  <c r="C687" i="24" s="1"/>
  <c r="F687" i="24"/>
  <c r="G687" i="24" s="1"/>
  <c r="D687" i="24"/>
  <c r="E687" i="24" s="1"/>
  <c r="H687" i="24"/>
  <c r="I687" i="24" s="1"/>
  <c r="L687" i="24"/>
  <c r="M687" i="24" s="1"/>
  <c r="J687" i="24"/>
  <c r="K687" i="24" s="1"/>
  <c r="R687" i="24"/>
  <c r="S687" i="24" s="1"/>
  <c r="V687" i="24"/>
  <c r="W687" i="24" s="1"/>
  <c r="P687" i="24"/>
  <c r="Q687" i="24" s="1"/>
  <c r="T687" i="24"/>
  <c r="U687" i="24" s="1"/>
  <c r="J499" i="37"/>
  <c r="I499" i="37"/>
  <c r="C499" i="37"/>
  <c r="D499" i="37"/>
  <c r="O498" i="37"/>
  <c r="P498" i="37"/>
  <c r="F499" i="37"/>
  <c r="G499" i="37"/>
  <c r="R498" i="37"/>
  <c r="S498" i="37"/>
  <c r="M499" i="37"/>
  <c r="L499" i="37"/>
  <c r="J688" i="24" l="1"/>
  <c r="K688" i="24" s="1"/>
  <c r="L688" i="24"/>
  <c r="M688" i="24" s="1"/>
  <c r="P688" i="24"/>
  <c r="Q688" i="24" s="1"/>
  <c r="T688" i="24"/>
  <c r="U688" i="24" s="1"/>
  <c r="R688" i="24"/>
  <c r="S688" i="24" s="1"/>
  <c r="A689" i="24"/>
  <c r="N688" i="24"/>
  <c r="O688" i="24" s="1"/>
  <c r="B688" i="24"/>
  <c r="C688" i="24" s="1"/>
  <c r="D688" i="24"/>
  <c r="E688" i="24" s="1"/>
  <c r="V688" i="24"/>
  <c r="W688" i="24" s="1"/>
  <c r="H688" i="24"/>
  <c r="I688" i="24" s="1"/>
  <c r="F688" i="24"/>
  <c r="G688" i="24" s="1"/>
  <c r="I500" i="37"/>
  <c r="J500" i="37"/>
  <c r="C500" i="37"/>
  <c r="D500" i="37"/>
  <c r="O499" i="37"/>
  <c r="P499" i="37"/>
  <c r="S499" i="37"/>
  <c r="R499" i="37"/>
  <c r="M500" i="37"/>
  <c r="L500" i="37"/>
  <c r="F500" i="37"/>
  <c r="G500" i="37"/>
  <c r="A690" i="24" l="1"/>
  <c r="P689" i="24"/>
  <c r="Q689" i="24" s="1"/>
  <c r="B689" i="24"/>
  <c r="C689" i="24" s="1"/>
  <c r="F689" i="24"/>
  <c r="G689" i="24" s="1"/>
  <c r="D689" i="24"/>
  <c r="E689" i="24" s="1"/>
  <c r="V689" i="24"/>
  <c r="W689" i="24" s="1"/>
  <c r="J689" i="24"/>
  <c r="K689" i="24" s="1"/>
  <c r="L689" i="24"/>
  <c r="M689" i="24" s="1"/>
  <c r="H689" i="24"/>
  <c r="I689" i="24" s="1"/>
  <c r="R689" i="24"/>
  <c r="S689" i="24" s="1"/>
  <c r="N689" i="24"/>
  <c r="O689" i="24" s="1"/>
  <c r="T689" i="24"/>
  <c r="U689" i="24" s="1"/>
  <c r="I501" i="37"/>
  <c r="J501" i="37"/>
  <c r="D501" i="37"/>
  <c r="C501" i="37"/>
  <c r="P500" i="37"/>
  <c r="O500" i="37"/>
  <c r="F501" i="37"/>
  <c r="G501" i="37"/>
  <c r="S500" i="37"/>
  <c r="R500" i="37"/>
  <c r="M501" i="37"/>
  <c r="L501" i="37"/>
  <c r="J690" i="24" l="1"/>
  <c r="K690" i="24" s="1"/>
  <c r="L690" i="24"/>
  <c r="M690" i="24" s="1"/>
  <c r="R690" i="24"/>
  <c r="S690" i="24" s="1"/>
  <c r="T690" i="24"/>
  <c r="U690" i="24" s="1"/>
  <c r="P690" i="24"/>
  <c r="Q690" i="24" s="1"/>
  <c r="A691" i="24"/>
  <c r="N690" i="24"/>
  <c r="O690" i="24" s="1"/>
  <c r="D690" i="24"/>
  <c r="E690" i="24" s="1"/>
  <c r="H690" i="24"/>
  <c r="I690" i="24" s="1"/>
  <c r="V690" i="24"/>
  <c r="W690" i="24" s="1"/>
  <c r="B690" i="24"/>
  <c r="C690" i="24" s="1"/>
  <c r="F690" i="24"/>
  <c r="G690" i="24" s="1"/>
  <c r="J502" i="37"/>
  <c r="I502" i="37"/>
  <c r="C502" i="37"/>
  <c r="D502" i="37"/>
  <c r="O501" i="37"/>
  <c r="P501" i="37"/>
  <c r="S501" i="37"/>
  <c r="R501" i="37"/>
  <c r="M502" i="37"/>
  <c r="L502" i="37"/>
  <c r="G502" i="37"/>
  <c r="F502" i="37"/>
  <c r="A692" i="24" l="1"/>
  <c r="V691" i="24"/>
  <c r="W691" i="24" s="1"/>
  <c r="B691" i="24"/>
  <c r="C691" i="24" s="1"/>
  <c r="F691" i="24"/>
  <c r="G691" i="24" s="1"/>
  <c r="J691" i="24"/>
  <c r="K691" i="24" s="1"/>
  <c r="P691" i="24"/>
  <c r="Q691" i="24" s="1"/>
  <c r="D691" i="24"/>
  <c r="E691" i="24" s="1"/>
  <c r="H691" i="24"/>
  <c r="I691" i="24" s="1"/>
  <c r="T691" i="24"/>
  <c r="U691" i="24" s="1"/>
  <c r="R691" i="24"/>
  <c r="S691" i="24" s="1"/>
  <c r="N691" i="24"/>
  <c r="O691" i="24" s="1"/>
  <c r="L691" i="24"/>
  <c r="M691" i="24" s="1"/>
  <c r="J503" i="37"/>
  <c r="I503" i="37"/>
  <c r="D503" i="37"/>
  <c r="C503" i="37"/>
  <c r="O502" i="37"/>
  <c r="P502" i="37"/>
  <c r="S502" i="37"/>
  <c r="R502" i="37"/>
  <c r="G503" i="37"/>
  <c r="F503" i="37"/>
  <c r="L503" i="37"/>
  <c r="M503" i="37"/>
  <c r="J692" i="24" l="1"/>
  <c r="K692" i="24" s="1"/>
  <c r="R692" i="24"/>
  <c r="S692" i="24" s="1"/>
  <c r="N692" i="24"/>
  <c r="O692" i="24" s="1"/>
  <c r="T692" i="24"/>
  <c r="U692" i="24" s="1"/>
  <c r="P692" i="24"/>
  <c r="Q692" i="24" s="1"/>
  <c r="A693" i="24"/>
  <c r="L692" i="24"/>
  <c r="M692" i="24" s="1"/>
  <c r="V692" i="24"/>
  <c r="W692" i="24" s="1"/>
  <c r="H692" i="24"/>
  <c r="I692" i="24" s="1"/>
  <c r="B692" i="24"/>
  <c r="C692" i="24" s="1"/>
  <c r="F692" i="24"/>
  <c r="G692" i="24" s="1"/>
  <c r="D692" i="24"/>
  <c r="E692" i="24" s="1"/>
  <c r="I504" i="37"/>
  <c r="J504" i="37"/>
  <c r="C504" i="37"/>
  <c r="D504" i="37"/>
  <c r="P503" i="37"/>
  <c r="O503" i="37"/>
  <c r="G504" i="37"/>
  <c r="F504" i="37"/>
  <c r="R503" i="37"/>
  <c r="S503" i="37"/>
  <c r="M504" i="37"/>
  <c r="L504" i="37"/>
  <c r="B693" i="24" l="1"/>
  <c r="C693" i="24" s="1"/>
  <c r="V693" i="24"/>
  <c r="W693" i="24" s="1"/>
  <c r="A694" i="24"/>
  <c r="J693" i="24"/>
  <c r="K693" i="24" s="1"/>
  <c r="D693" i="24"/>
  <c r="E693" i="24" s="1"/>
  <c r="F693" i="24"/>
  <c r="G693" i="24" s="1"/>
  <c r="H693" i="24"/>
  <c r="I693" i="24" s="1"/>
  <c r="R693" i="24"/>
  <c r="S693" i="24" s="1"/>
  <c r="T693" i="24"/>
  <c r="U693" i="24" s="1"/>
  <c r="P693" i="24"/>
  <c r="Q693" i="24" s="1"/>
  <c r="L693" i="24"/>
  <c r="M693" i="24" s="1"/>
  <c r="N693" i="24"/>
  <c r="O693" i="24" s="1"/>
  <c r="I505" i="37"/>
  <c r="J505" i="37"/>
  <c r="D505" i="37"/>
  <c r="C505" i="37"/>
  <c r="O504" i="37"/>
  <c r="P504" i="37"/>
  <c r="M505" i="37"/>
  <c r="L505" i="37"/>
  <c r="R504" i="37"/>
  <c r="S504" i="37"/>
  <c r="F505" i="37"/>
  <c r="G505" i="37"/>
  <c r="J694" i="24" l="1"/>
  <c r="K694" i="24" s="1"/>
  <c r="R694" i="24"/>
  <c r="S694" i="24" s="1"/>
  <c r="L694" i="24"/>
  <c r="M694" i="24" s="1"/>
  <c r="T694" i="24"/>
  <c r="U694" i="24" s="1"/>
  <c r="P694" i="24"/>
  <c r="Q694" i="24" s="1"/>
  <c r="A695" i="24"/>
  <c r="N694" i="24"/>
  <c r="O694" i="24" s="1"/>
  <c r="V694" i="24"/>
  <c r="W694" i="24" s="1"/>
  <c r="F694" i="24"/>
  <c r="G694" i="24" s="1"/>
  <c r="B694" i="24"/>
  <c r="C694" i="24" s="1"/>
  <c r="D694" i="24"/>
  <c r="E694" i="24" s="1"/>
  <c r="H694" i="24"/>
  <c r="I694" i="24" s="1"/>
  <c r="J506" i="37"/>
  <c r="I506" i="37"/>
  <c r="D506" i="37"/>
  <c r="C506" i="37"/>
  <c r="P505" i="37"/>
  <c r="O505" i="37"/>
  <c r="L506" i="37"/>
  <c r="M506" i="37"/>
  <c r="R505" i="37"/>
  <c r="S505" i="37"/>
  <c r="F506" i="37"/>
  <c r="G506" i="37"/>
  <c r="B695" i="24" l="1"/>
  <c r="C695" i="24" s="1"/>
  <c r="N695" i="24"/>
  <c r="O695" i="24" s="1"/>
  <c r="A696" i="24"/>
  <c r="R695" i="24"/>
  <c r="S695" i="24" s="1"/>
  <c r="H695" i="24"/>
  <c r="I695" i="24" s="1"/>
  <c r="F695" i="24"/>
  <c r="G695" i="24" s="1"/>
  <c r="D695" i="24"/>
  <c r="E695" i="24" s="1"/>
  <c r="L695" i="24"/>
  <c r="M695" i="24" s="1"/>
  <c r="T695" i="24"/>
  <c r="U695" i="24" s="1"/>
  <c r="J695" i="24"/>
  <c r="K695" i="24" s="1"/>
  <c r="V695" i="24"/>
  <c r="W695" i="24" s="1"/>
  <c r="P695" i="24"/>
  <c r="Q695" i="24" s="1"/>
  <c r="J507" i="37"/>
  <c r="I507" i="37"/>
  <c r="D507" i="37"/>
  <c r="C507" i="37"/>
  <c r="P506" i="37"/>
  <c r="O506" i="37"/>
  <c r="F507" i="37"/>
  <c r="G507" i="37"/>
  <c r="R506" i="37"/>
  <c r="S506" i="37"/>
  <c r="L507" i="37"/>
  <c r="M507" i="37"/>
  <c r="J696" i="24" l="1"/>
  <c r="K696" i="24" s="1"/>
  <c r="L696" i="24"/>
  <c r="M696" i="24" s="1"/>
  <c r="P696" i="24"/>
  <c r="Q696" i="24" s="1"/>
  <c r="T696" i="24"/>
  <c r="U696" i="24" s="1"/>
  <c r="N696" i="24"/>
  <c r="O696" i="24" s="1"/>
  <c r="A697" i="24"/>
  <c r="R696" i="24"/>
  <c r="S696" i="24" s="1"/>
  <c r="H696" i="24"/>
  <c r="I696" i="24" s="1"/>
  <c r="V696" i="24"/>
  <c r="W696" i="24" s="1"/>
  <c r="F696" i="24"/>
  <c r="G696" i="24" s="1"/>
  <c r="D696" i="24"/>
  <c r="E696" i="24" s="1"/>
  <c r="B696" i="24"/>
  <c r="C696" i="24" s="1"/>
  <c r="J508" i="37"/>
  <c r="I508" i="37"/>
  <c r="D508" i="37"/>
  <c r="C508" i="37"/>
  <c r="P507" i="37"/>
  <c r="O507" i="37"/>
  <c r="R507" i="37"/>
  <c r="S507" i="37"/>
  <c r="F508" i="37"/>
  <c r="G508" i="37"/>
  <c r="M508" i="37"/>
  <c r="L508" i="37"/>
  <c r="A698" i="24" l="1"/>
  <c r="P697" i="24"/>
  <c r="Q697" i="24" s="1"/>
  <c r="B697" i="24"/>
  <c r="C697" i="24" s="1"/>
  <c r="F697" i="24"/>
  <c r="G697" i="24" s="1"/>
  <c r="H697" i="24"/>
  <c r="I697" i="24" s="1"/>
  <c r="V697" i="24"/>
  <c r="W697" i="24" s="1"/>
  <c r="D697" i="24"/>
  <c r="E697" i="24" s="1"/>
  <c r="J697" i="24"/>
  <c r="K697" i="24" s="1"/>
  <c r="T697" i="24"/>
  <c r="U697" i="24" s="1"/>
  <c r="N697" i="24"/>
  <c r="O697" i="24" s="1"/>
  <c r="L697" i="24"/>
  <c r="M697" i="24" s="1"/>
  <c r="R697" i="24"/>
  <c r="S697" i="24" s="1"/>
  <c r="J509" i="37"/>
  <c r="I509" i="37"/>
  <c r="C509" i="37"/>
  <c r="D509" i="37"/>
  <c r="P508" i="37"/>
  <c r="O508" i="37"/>
  <c r="L509" i="37"/>
  <c r="M509" i="37"/>
  <c r="F509" i="37"/>
  <c r="G509" i="37"/>
  <c r="R508" i="37"/>
  <c r="S508" i="37"/>
  <c r="J698" i="24" l="1"/>
  <c r="K698" i="24" s="1"/>
  <c r="L698" i="24"/>
  <c r="M698" i="24" s="1"/>
  <c r="R698" i="24"/>
  <c r="S698" i="24" s="1"/>
  <c r="T698" i="24"/>
  <c r="U698" i="24" s="1"/>
  <c r="P698" i="24"/>
  <c r="Q698" i="24" s="1"/>
  <c r="A699" i="24"/>
  <c r="V698" i="24"/>
  <c r="W698" i="24" s="1"/>
  <c r="D698" i="24"/>
  <c r="E698" i="24" s="1"/>
  <c r="H698" i="24"/>
  <c r="I698" i="24" s="1"/>
  <c r="F698" i="24"/>
  <c r="G698" i="24" s="1"/>
  <c r="N698" i="24"/>
  <c r="O698" i="24" s="1"/>
  <c r="B698" i="24"/>
  <c r="C698" i="24" s="1"/>
  <c r="J510" i="37"/>
  <c r="I510" i="37"/>
  <c r="C510" i="37"/>
  <c r="D510" i="37"/>
  <c r="O509" i="37"/>
  <c r="P509" i="37"/>
  <c r="F510" i="37"/>
  <c r="G510" i="37"/>
  <c r="R509" i="37"/>
  <c r="S509" i="37"/>
  <c r="M510" i="37"/>
  <c r="L510" i="37"/>
  <c r="A700" i="24" l="1"/>
  <c r="P699" i="24"/>
  <c r="Q699" i="24" s="1"/>
  <c r="B699" i="24"/>
  <c r="C699" i="24" s="1"/>
  <c r="V699" i="24"/>
  <c r="W699" i="24" s="1"/>
  <c r="D699" i="24"/>
  <c r="E699" i="24" s="1"/>
  <c r="F699" i="24"/>
  <c r="G699" i="24" s="1"/>
  <c r="H699" i="24"/>
  <c r="I699" i="24" s="1"/>
  <c r="J699" i="24"/>
  <c r="K699" i="24" s="1"/>
  <c r="L699" i="24"/>
  <c r="M699" i="24" s="1"/>
  <c r="T699" i="24"/>
  <c r="U699" i="24" s="1"/>
  <c r="N699" i="24"/>
  <c r="O699" i="24" s="1"/>
  <c r="R699" i="24"/>
  <c r="S699" i="24" s="1"/>
  <c r="I511" i="37"/>
  <c r="J511" i="37"/>
  <c r="D511" i="37"/>
  <c r="C511" i="37"/>
  <c r="O510" i="37"/>
  <c r="P510" i="37"/>
  <c r="S510" i="37"/>
  <c r="R510" i="37"/>
  <c r="M511" i="37"/>
  <c r="L511" i="37"/>
  <c r="F511" i="37"/>
  <c r="G511" i="37"/>
  <c r="L700" i="24" l="1"/>
  <c r="M700" i="24" s="1"/>
  <c r="R700" i="24"/>
  <c r="S700" i="24" s="1"/>
  <c r="T700" i="24"/>
  <c r="U700" i="24" s="1"/>
  <c r="N700" i="24"/>
  <c r="O700" i="24" s="1"/>
  <c r="A701" i="24"/>
  <c r="D700" i="24"/>
  <c r="E700" i="24" s="1"/>
  <c r="B700" i="24"/>
  <c r="C700" i="24" s="1"/>
  <c r="H700" i="24"/>
  <c r="I700" i="24" s="1"/>
  <c r="P700" i="24"/>
  <c r="Q700" i="24" s="1"/>
  <c r="F700" i="24"/>
  <c r="G700" i="24" s="1"/>
  <c r="J700" i="24"/>
  <c r="K700" i="24" s="1"/>
  <c r="V700" i="24"/>
  <c r="W700" i="24" s="1"/>
  <c r="J512" i="37"/>
  <c r="I512" i="37"/>
  <c r="C512" i="37"/>
  <c r="D512" i="37"/>
  <c r="O511" i="37"/>
  <c r="P511" i="37"/>
  <c r="L512" i="37"/>
  <c r="M512" i="37"/>
  <c r="F512" i="37"/>
  <c r="G512" i="37"/>
  <c r="R511" i="37"/>
  <c r="S511" i="37"/>
  <c r="B701" i="24" l="1"/>
  <c r="C701" i="24" s="1"/>
  <c r="N701" i="24"/>
  <c r="O701" i="24" s="1"/>
  <c r="D701" i="24"/>
  <c r="E701" i="24" s="1"/>
  <c r="F701" i="24"/>
  <c r="G701" i="24" s="1"/>
  <c r="H701" i="24"/>
  <c r="I701" i="24" s="1"/>
  <c r="T701" i="24"/>
  <c r="U701" i="24" s="1"/>
  <c r="A702" i="24"/>
  <c r="L701" i="24"/>
  <c r="M701" i="24" s="1"/>
  <c r="R701" i="24"/>
  <c r="S701" i="24" s="1"/>
  <c r="P701" i="24"/>
  <c r="Q701" i="24" s="1"/>
  <c r="J701" i="24"/>
  <c r="K701" i="24" s="1"/>
  <c r="V701" i="24"/>
  <c r="W701" i="24" s="1"/>
  <c r="I513" i="37"/>
  <c r="J513" i="37"/>
  <c r="C513" i="37"/>
  <c r="D513" i="37"/>
  <c r="P512" i="37"/>
  <c r="O512" i="37"/>
  <c r="G513" i="37"/>
  <c r="F513" i="37"/>
  <c r="R512" i="37"/>
  <c r="S512" i="37"/>
  <c r="M513" i="37"/>
  <c r="L513" i="37"/>
  <c r="R702" i="24" l="1"/>
  <c r="S702" i="24" s="1"/>
  <c r="P702" i="24"/>
  <c r="Q702" i="24" s="1"/>
  <c r="T702" i="24"/>
  <c r="U702" i="24" s="1"/>
  <c r="L702" i="24"/>
  <c r="M702" i="24" s="1"/>
  <c r="B702" i="24"/>
  <c r="C702" i="24" s="1"/>
  <c r="D702" i="24"/>
  <c r="E702" i="24" s="1"/>
  <c r="H702" i="24"/>
  <c r="I702" i="24" s="1"/>
  <c r="J702" i="24"/>
  <c r="K702" i="24" s="1"/>
  <c r="V702" i="24"/>
  <c r="W702" i="24" s="1"/>
  <c r="A703" i="24"/>
  <c r="F702" i="24"/>
  <c r="G702" i="24" s="1"/>
  <c r="N702" i="24"/>
  <c r="O702" i="24" s="1"/>
  <c r="I514" i="37"/>
  <c r="J514" i="37"/>
  <c r="D514" i="37"/>
  <c r="C514" i="37"/>
  <c r="P513" i="37"/>
  <c r="O513" i="37"/>
  <c r="R513" i="37"/>
  <c r="S513" i="37"/>
  <c r="F514" i="37"/>
  <c r="G514" i="37"/>
  <c r="M514" i="37"/>
  <c r="L514" i="37"/>
  <c r="B703" i="24" l="1"/>
  <c r="C703" i="24" s="1"/>
  <c r="N703" i="24"/>
  <c r="O703" i="24" s="1"/>
  <c r="D703" i="24"/>
  <c r="E703" i="24" s="1"/>
  <c r="F703" i="24"/>
  <c r="G703" i="24" s="1"/>
  <c r="H703" i="24"/>
  <c r="I703" i="24" s="1"/>
  <c r="A704" i="24"/>
  <c r="J703" i="24"/>
  <c r="K703" i="24" s="1"/>
  <c r="P703" i="24"/>
  <c r="Q703" i="24" s="1"/>
  <c r="L703" i="24"/>
  <c r="M703" i="24" s="1"/>
  <c r="V703" i="24"/>
  <c r="W703" i="24" s="1"/>
  <c r="T703" i="24"/>
  <c r="U703" i="24" s="1"/>
  <c r="R703" i="24"/>
  <c r="S703" i="24" s="1"/>
  <c r="I515" i="37"/>
  <c r="J515" i="37"/>
  <c r="C515" i="37"/>
  <c r="D515" i="37"/>
  <c r="O514" i="37"/>
  <c r="P514" i="37"/>
  <c r="M515" i="37"/>
  <c r="L515" i="37"/>
  <c r="F515" i="37"/>
  <c r="G515" i="37"/>
  <c r="R514" i="37"/>
  <c r="S514" i="37"/>
  <c r="L704" i="24" l="1"/>
  <c r="M704" i="24" s="1"/>
  <c r="P704" i="24"/>
  <c r="Q704" i="24" s="1"/>
  <c r="T704" i="24"/>
  <c r="U704" i="24" s="1"/>
  <c r="R704" i="24"/>
  <c r="S704" i="24" s="1"/>
  <c r="D704" i="24"/>
  <c r="E704" i="24" s="1"/>
  <c r="H704" i="24"/>
  <c r="I704" i="24" s="1"/>
  <c r="J704" i="24"/>
  <c r="K704" i="24" s="1"/>
  <c r="N704" i="24"/>
  <c r="O704" i="24" s="1"/>
  <c r="F704" i="24"/>
  <c r="G704" i="24" s="1"/>
  <c r="A705" i="24"/>
  <c r="B704" i="24"/>
  <c r="C704" i="24" s="1"/>
  <c r="V704" i="24"/>
  <c r="W704" i="24" s="1"/>
  <c r="J516" i="37"/>
  <c r="I516" i="37"/>
  <c r="C516" i="37"/>
  <c r="D516" i="37"/>
  <c r="O515" i="37"/>
  <c r="P515" i="37"/>
  <c r="G516" i="37"/>
  <c r="F516" i="37"/>
  <c r="L516" i="37"/>
  <c r="M516" i="37"/>
  <c r="R515" i="37"/>
  <c r="S515" i="37"/>
  <c r="B705" i="24" l="1"/>
  <c r="C705" i="24" s="1"/>
  <c r="V705" i="24"/>
  <c r="W705" i="24" s="1"/>
  <c r="D705" i="24"/>
  <c r="E705" i="24" s="1"/>
  <c r="F705" i="24"/>
  <c r="G705" i="24" s="1"/>
  <c r="J705" i="24"/>
  <c r="K705" i="24" s="1"/>
  <c r="L705" i="24"/>
  <c r="M705" i="24" s="1"/>
  <c r="R705" i="24"/>
  <c r="S705" i="24" s="1"/>
  <c r="N705" i="24"/>
  <c r="O705" i="24" s="1"/>
  <c r="H705" i="24"/>
  <c r="I705" i="24" s="1"/>
  <c r="T705" i="24"/>
  <c r="U705" i="24" s="1"/>
  <c r="P705" i="24"/>
  <c r="Q705" i="24" s="1"/>
  <c r="A706" i="24"/>
  <c r="J517" i="37"/>
  <c r="I517" i="37"/>
  <c r="C517" i="37"/>
  <c r="D517" i="37"/>
  <c r="P516" i="37"/>
  <c r="O516" i="37"/>
  <c r="R516" i="37"/>
  <c r="S516" i="37"/>
  <c r="M517" i="37"/>
  <c r="L517" i="37"/>
  <c r="F517" i="37"/>
  <c r="G517" i="37"/>
  <c r="L706" i="24" l="1"/>
  <c r="M706" i="24" s="1"/>
  <c r="R706" i="24"/>
  <c r="S706" i="24" s="1"/>
  <c r="T706" i="24"/>
  <c r="U706" i="24" s="1"/>
  <c r="P706" i="24"/>
  <c r="Q706" i="24" s="1"/>
  <c r="H706" i="24"/>
  <c r="I706" i="24" s="1"/>
  <c r="J706" i="24"/>
  <c r="K706" i="24" s="1"/>
  <c r="V706" i="24"/>
  <c r="W706" i="24" s="1"/>
  <c r="F706" i="24"/>
  <c r="G706" i="24" s="1"/>
  <c r="A707" i="24"/>
  <c r="N706" i="24"/>
  <c r="O706" i="24" s="1"/>
  <c r="D706" i="24"/>
  <c r="E706" i="24" s="1"/>
  <c r="B706" i="24"/>
  <c r="C706" i="24" s="1"/>
  <c r="J518" i="37"/>
  <c r="I518" i="37"/>
  <c r="D518" i="37"/>
  <c r="C518" i="37"/>
  <c r="O517" i="37"/>
  <c r="P517" i="37"/>
  <c r="L518" i="37"/>
  <c r="M518" i="37"/>
  <c r="F518" i="37"/>
  <c r="G518" i="37"/>
  <c r="R517" i="37"/>
  <c r="S517" i="37"/>
  <c r="B707" i="24" l="1"/>
  <c r="C707" i="24" s="1"/>
  <c r="F707" i="24"/>
  <c r="G707" i="24" s="1"/>
  <c r="D707" i="24"/>
  <c r="E707" i="24" s="1"/>
  <c r="H707" i="24"/>
  <c r="I707" i="24" s="1"/>
  <c r="R707" i="24"/>
  <c r="S707" i="24" s="1"/>
  <c r="L707" i="24"/>
  <c r="M707" i="24" s="1"/>
  <c r="N707" i="24"/>
  <c r="O707" i="24" s="1"/>
  <c r="T707" i="24"/>
  <c r="U707" i="24" s="1"/>
  <c r="P707" i="24"/>
  <c r="Q707" i="24" s="1"/>
  <c r="A708" i="24"/>
  <c r="J707" i="24"/>
  <c r="K707" i="24" s="1"/>
  <c r="V707" i="24"/>
  <c r="W707" i="24" s="1"/>
  <c r="J519" i="37"/>
  <c r="I519" i="37"/>
  <c r="C519" i="37"/>
  <c r="D519" i="37"/>
  <c r="O518" i="37"/>
  <c r="P518" i="37"/>
  <c r="F519" i="37"/>
  <c r="G519" i="37"/>
  <c r="S518" i="37"/>
  <c r="R518" i="37"/>
  <c r="L519" i="37"/>
  <c r="M519" i="37"/>
  <c r="R708" i="24" l="1"/>
  <c r="S708" i="24" s="1"/>
  <c r="T708" i="24"/>
  <c r="U708" i="24" s="1"/>
  <c r="N708" i="24"/>
  <c r="O708" i="24" s="1"/>
  <c r="D708" i="24"/>
  <c r="E708" i="24" s="1"/>
  <c r="H708" i="24"/>
  <c r="I708" i="24" s="1"/>
  <c r="J708" i="24"/>
  <c r="K708" i="24" s="1"/>
  <c r="L708" i="24"/>
  <c r="M708" i="24" s="1"/>
  <c r="V708" i="24"/>
  <c r="W708" i="24" s="1"/>
  <c r="B708" i="24"/>
  <c r="C708" i="24" s="1"/>
  <c r="A709" i="24"/>
  <c r="F708" i="24"/>
  <c r="G708" i="24" s="1"/>
  <c r="P708" i="24"/>
  <c r="Q708" i="24" s="1"/>
  <c r="J520" i="37"/>
  <c r="I520" i="37"/>
  <c r="D520" i="37"/>
  <c r="C520" i="37"/>
  <c r="P519" i="37"/>
  <c r="O519" i="37"/>
  <c r="F520" i="37"/>
  <c r="G520" i="37"/>
  <c r="L520" i="37"/>
  <c r="M520" i="37"/>
  <c r="S519" i="37"/>
  <c r="R519" i="37"/>
  <c r="B709" i="24" l="1"/>
  <c r="C709" i="24" s="1"/>
  <c r="V709" i="24"/>
  <c r="W709" i="24" s="1"/>
  <c r="H709" i="24"/>
  <c r="I709" i="24" s="1"/>
  <c r="A710" i="24"/>
  <c r="D709" i="24"/>
  <c r="E709" i="24" s="1"/>
  <c r="J709" i="24"/>
  <c r="K709" i="24" s="1"/>
  <c r="R709" i="24"/>
  <c r="S709" i="24" s="1"/>
  <c r="P709" i="24"/>
  <c r="Q709" i="24" s="1"/>
  <c r="T709" i="24"/>
  <c r="U709" i="24" s="1"/>
  <c r="L709" i="24"/>
  <c r="M709" i="24" s="1"/>
  <c r="N709" i="24"/>
  <c r="O709" i="24" s="1"/>
  <c r="F709" i="24"/>
  <c r="G709" i="24" s="1"/>
  <c r="J521" i="37"/>
  <c r="I521" i="37"/>
  <c r="D521" i="37"/>
  <c r="C521" i="37"/>
  <c r="P520" i="37"/>
  <c r="O520" i="37"/>
  <c r="M521" i="37"/>
  <c r="L521" i="37"/>
  <c r="R520" i="37"/>
  <c r="S520" i="37"/>
  <c r="G521" i="37"/>
  <c r="F521" i="37"/>
  <c r="L710" i="24" l="1"/>
  <c r="M710" i="24" s="1"/>
  <c r="T710" i="24"/>
  <c r="U710" i="24" s="1"/>
  <c r="H710" i="24"/>
  <c r="I710" i="24" s="1"/>
  <c r="A711" i="24"/>
  <c r="F710" i="24"/>
  <c r="G710" i="24" s="1"/>
  <c r="B710" i="24"/>
  <c r="C710" i="24" s="1"/>
  <c r="D710" i="24"/>
  <c r="E710" i="24" s="1"/>
  <c r="J710" i="24"/>
  <c r="K710" i="24" s="1"/>
  <c r="P710" i="24"/>
  <c r="Q710" i="24" s="1"/>
  <c r="N710" i="24"/>
  <c r="O710" i="24" s="1"/>
  <c r="V710" i="24"/>
  <c r="W710" i="24" s="1"/>
  <c r="R710" i="24"/>
  <c r="S710" i="24" s="1"/>
  <c r="J522" i="37"/>
  <c r="I522" i="37"/>
  <c r="D522" i="37"/>
  <c r="C522" i="37"/>
  <c r="P521" i="37"/>
  <c r="O521" i="37"/>
  <c r="S521" i="37"/>
  <c r="R521" i="37"/>
  <c r="F522" i="37"/>
  <c r="G522" i="37"/>
  <c r="M522" i="37"/>
  <c r="L522" i="37"/>
  <c r="B711" i="24" l="1"/>
  <c r="C711" i="24" s="1"/>
  <c r="N711" i="24"/>
  <c r="O711" i="24" s="1"/>
  <c r="H711" i="24"/>
  <c r="I711" i="24" s="1"/>
  <c r="V711" i="24"/>
  <c r="W711" i="24" s="1"/>
  <c r="T711" i="24"/>
  <c r="U711" i="24" s="1"/>
  <c r="F711" i="24"/>
  <c r="G711" i="24" s="1"/>
  <c r="A712" i="24"/>
  <c r="D711" i="24"/>
  <c r="E711" i="24" s="1"/>
  <c r="L711" i="24"/>
  <c r="M711" i="24" s="1"/>
  <c r="R711" i="24"/>
  <c r="S711" i="24" s="1"/>
  <c r="P711" i="24"/>
  <c r="Q711" i="24" s="1"/>
  <c r="J711" i="24"/>
  <c r="K711" i="24" s="1"/>
  <c r="J523" i="37"/>
  <c r="I523" i="37"/>
  <c r="C523" i="37"/>
  <c r="D523" i="37"/>
  <c r="O522" i="37"/>
  <c r="P522" i="37"/>
  <c r="L523" i="37"/>
  <c r="M523" i="37"/>
  <c r="F523" i="37"/>
  <c r="G523" i="37"/>
  <c r="R522" i="37"/>
  <c r="S522" i="37"/>
  <c r="L712" i="24" l="1"/>
  <c r="M712" i="24" s="1"/>
  <c r="T712" i="24"/>
  <c r="U712" i="24" s="1"/>
  <c r="P712" i="24"/>
  <c r="Q712" i="24" s="1"/>
  <c r="N712" i="24"/>
  <c r="O712" i="24" s="1"/>
  <c r="F712" i="24"/>
  <c r="G712" i="24" s="1"/>
  <c r="A713" i="24"/>
  <c r="V712" i="24"/>
  <c r="W712" i="24" s="1"/>
  <c r="B712" i="24"/>
  <c r="C712" i="24" s="1"/>
  <c r="H712" i="24"/>
  <c r="I712" i="24" s="1"/>
  <c r="D712" i="24"/>
  <c r="E712" i="24" s="1"/>
  <c r="J712" i="24"/>
  <c r="K712" i="24" s="1"/>
  <c r="R712" i="24"/>
  <c r="S712" i="24" s="1"/>
  <c r="J524" i="37"/>
  <c r="I524" i="37"/>
  <c r="C524" i="37"/>
  <c r="D524" i="37"/>
  <c r="O523" i="37"/>
  <c r="P523" i="37"/>
  <c r="S523" i="37"/>
  <c r="R523" i="37"/>
  <c r="F524" i="37"/>
  <c r="G524" i="37"/>
  <c r="M524" i="37"/>
  <c r="L524" i="37"/>
  <c r="B713" i="24" l="1"/>
  <c r="C713" i="24" s="1"/>
  <c r="F713" i="24"/>
  <c r="G713" i="24" s="1"/>
  <c r="D713" i="24"/>
  <c r="E713" i="24" s="1"/>
  <c r="N713" i="24"/>
  <c r="O713" i="24" s="1"/>
  <c r="R713" i="24"/>
  <c r="S713" i="24" s="1"/>
  <c r="P713" i="24"/>
  <c r="Q713" i="24" s="1"/>
  <c r="T713" i="24"/>
  <c r="U713" i="24" s="1"/>
  <c r="V713" i="24"/>
  <c r="W713" i="24" s="1"/>
  <c r="H713" i="24"/>
  <c r="I713" i="24" s="1"/>
  <c r="A714" i="24"/>
  <c r="J713" i="24"/>
  <c r="K713" i="24" s="1"/>
  <c r="L713" i="24"/>
  <c r="M713" i="24" s="1"/>
  <c r="I525" i="37"/>
  <c r="J525" i="37"/>
  <c r="D525" i="37"/>
  <c r="C525" i="37"/>
  <c r="P524" i="37"/>
  <c r="O524" i="37"/>
  <c r="R524" i="37"/>
  <c r="S524" i="37"/>
  <c r="F525" i="37"/>
  <c r="G525" i="37"/>
  <c r="L525" i="37"/>
  <c r="M525" i="37"/>
  <c r="H714" i="24" l="1"/>
  <c r="I714" i="24" s="1"/>
  <c r="T714" i="24"/>
  <c r="U714" i="24" s="1"/>
  <c r="P714" i="24"/>
  <c r="Q714" i="24" s="1"/>
  <c r="L714" i="24"/>
  <c r="M714" i="24" s="1"/>
  <c r="R714" i="24"/>
  <c r="S714" i="24" s="1"/>
  <c r="N714" i="24"/>
  <c r="O714" i="24" s="1"/>
  <c r="V714" i="24"/>
  <c r="W714" i="24" s="1"/>
  <c r="B714" i="24"/>
  <c r="C714" i="24" s="1"/>
  <c r="A715" i="24"/>
  <c r="D714" i="24"/>
  <c r="E714" i="24" s="1"/>
  <c r="J714" i="24"/>
  <c r="K714" i="24" s="1"/>
  <c r="F714" i="24"/>
  <c r="G714" i="24" s="1"/>
  <c r="J526" i="37"/>
  <c r="I526" i="37"/>
  <c r="C526" i="37"/>
  <c r="D526" i="37"/>
  <c r="O525" i="37"/>
  <c r="P525" i="37"/>
  <c r="L526" i="37"/>
  <c r="M526" i="37"/>
  <c r="G526" i="37"/>
  <c r="F526" i="37"/>
  <c r="R525" i="37"/>
  <c r="S525" i="37"/>
  <c r="A716" i="24" l="1"/>
  <c r="P715" i="24"/>
  <c r="Q715" i="24" s="1"/>
  <c r="H715" i="24"/>
  <c r="I715" i="24" s="1"/>
  <c r="J715" i="24"/>
  <c r="K715" i="24" s="1"/>
  <c r="L715" i="24"/>
  <c r="M715" i="24" s="1"/>
  <c r="R715" i="24"/>
  <c r="S715" i="24" s="1"/>
  <c r="N715" i="24"/>
  <c r="O715" i="24" s="1"/>
  <c r="T715" i="24"/>
  <c r="U715" i="24" s="1"/>
  <c r="F715" i="24"/>
  <c r="G715" i="24" s="1"/>
  <c r="D715" i="24"/>
  <c r="E715" i="24" s="1"/>
  <c r="B715" i="24"/>
  <c r="C715" i="24" s="1"/>
  <c r="V715" i="24"/>
  <c r="W715" i="24" s="1"/>
  <c r="J527" i="37"/>
  <c r="I527" i="37"/>
  <c r="C527" i="37"/>
  <c r="D527" i="37"/>
  <c r="P526" i="37"/>
  <c r="O526" i="37"/>
  <c r="G527" i="37"/>
  <c r="F527" i="37"/>
  <c r="S526" i="37"/>
  <c r="R526" i="37"/>
  <c r="M527" i="37"/>
  <c r="L527" i="37"/>
  <c r="R716" i="24" l="1"/>
  <c r="S716" i="24" s="1"/>
  <c r="T716" i="24"/>
  <c r="U716" i="24" s="1"/>
  <c r="N716" i="24"/>
  <c r="O716" i="24" s="1"/>
  <c r="H716" i="24"/>
  <c r="I716" i="24" s="1"/>
  <c r="A717" i="24"/>
  <c r="J716" i="24"/>
  <c r="K716" i="24" s="1"/>
  <c r="L716" i="24"/>
  <c r="M716" i="24" s="1"/>
  <c r="V716" i="24"/>
  <c r="W716" i="24" s="1"/>
  <c r="D716" i="24"/>
  <c r="E716" i="24" s="1"/>
  <c r="P716" i="24"/>
  <c r="Q716" i="24" s="1"/>
  <c r="F716" i="24"/>
  <c r="G716" i="24" s="1"/>
  <c r="B716" i="24"/>
  <c r="C716" i="24" s="1"/>
  <c r="I528" i="37"/>
  <c r="J528" i="37"/>
  <c r="D528" i="37"/>
  <c r="C528" i="37"/>
  <c r="O527" i="37"/>
  <c r="P527" i="37"/>
  <c r="M528" i="37"/>
  <c r="L528" i="37"/>
  <c r="S527" i="37"/>
  <c r="R527" i="37"/>
  <c r="F528" i="37"/>
  <c r="G528" i="37"/>
  <c r="D717" i="24" l="1"/>
  <c r="E717" i="24" s="1"/>
  <c r="N717" i="24"/>
  <c r="O717" i="24" s="1"/>
  <c r="H717" i="24"/>
  <c r="I717" i="24" s="1"/>
  <c r="B717" i="24"/>
  <c r="C717" i="24" s="1"/>
  <c r="A718" i="24"/>
  <c r="R717" i="24"/>
  <c r="S717" i="24" s="1"/>
  <c r="P717" i="24"/>
  <c r="Q717" i="24" s="1"/>
  <c r="L717" i="24"/>
  <c r="M717" i="24" s="1"/>
  <c r="T717" i="24"/>
  <c r="U717" i="24" s="1"/>
  <c r="V717" i="24"/>
  <c r="W717" i="24" s="1"/>
  <c r="J717" i="24"/>
  <c r="K717" i="24" s="1"/>
  <c r="F717" i="24"/>
  <c r="G717" i="24" s="1"/>
  <c r="J529" i="37"/>
  <c r="I529" i="37"/>
  <c r="C529" i="37"/>
  <c r="D529" i="37"/>
  <c r="O528" i="37"/>
  <c r="P528" i="37"/>
  <c r="M529" i="37"/>
  <c r="L529" i="37"/>
  <c r="R528" i="37"/>
  <c r="S528" i="37"/>
  <c r="G529" i="37"/>
  <c r="F529" i="37"/>
  <c r="R718" i="24" l="1"/>
  <c r="S718" i="24" s="1"/>
  <c r="T718" i="24"/>
  <c r="U718" i="24" s="1"/>
  <c r="L718" i="24"/>
  <c r="M718" i="24" s="1"/>
  <c r="A719" i="24"/>
  <c r="F718" i="24"/>
  <c r="G718" i="24" s="1"/>
  <c r="B718" i="24"/>
  <c r="C718" i="24" s="1"/>
  <c r="D718" i="24"/>
  <c r="E718" i="24" s="1"/>
  <c r="H718" i="24"/>
  <c r="I718" i="24" s="1"/>
  <c r="P718" i="24"/>
  <c r="Q718" i="24" s="1"/>
  <c r="N718" i="24"/>
  <c r="O718" i="24" s="1"/>
  <c r="V718" i="24"/>
  <c r="W718" i="24" s="1"/>
  <c r="J718" i="24"/>
  <c r="K718" i="24" s="1"/>
  <c r="I530" i="37"/>
  <c r="J530" i="37"/>
  <c r="C530" i="37"/>
  <c r="D530" i="37"/>
  <c r="O529" i="37"/>
  <c r="P529" i="37"/>
  <c r="F530" i="37"/>
  <c r="G530" i="37"/>
  <c r="L530" i="37"/>
  <c r="M530" i="37"/>
  <c r="S529" i="37"/>
  <c r="R529" i="37"/>
  <c r="D719" i="24" l="1"/>
  <c r="E719" i="24" s="1"/>
  <c r="N719" i="24"/>
  <c r="O719" i="24" s="1"/>
  <c r="B719" i="24"/>
  <c r="C719" i="24" s="1"/>
  <c r="V719" i="24"/>
  <c r="W719" i="24" s="1"/>
  <c r="T719" i="24"/>
  <c r="U719" i="24" s="1"/>
  <c r="F719" i="24"/>
  <c r="G719" i="24" s="1"/>
  <c r="A720" i="24"/>
  <c r="H719" i="24"/>
  <c r="I719" i="24" s="1"/>
  <c r="P719" i="24"/>
  <c r="Q719" i="24" s="1"/>
  <c r="L719" i="24"/>
  <c r="M719" i="24" s="1"/>
  <c r="J719" i="24"/>
  <c r="K719" i="24" s="1"/>
  <c r="R719" i="24"/>
  <c r="S719" i="24" s="1"/>
  <c r="I531" i="37"/>
  <c r="J531" i="37"/>
  <c r="D531" i="37"/>
  <c r="C531" i="37"/>
  <c r="P530" i="37"/>
  <c r="O530" i="37"/>
  <c r="F531" i="37"/>
  <c r="G531" i="37"/>
  <c r="L531" i="37"/>
  <c r="M531" i="37"/>
  <c r="S530" i="37"/>
  <c r="R530" i="37"/>
  <c r="L720" i="24" l="1"/>
  <c r="M720" i="24" s="1"/>
  <c r="T720" i="24"/>
  <c r="U720" i="24" s="1"/>
  <c r="N720" i="24"/>
  <c r="O720" i="24" s="1"/>
  <c r="R720" i="24"/>
  <c r="S720" i="24" s="1"/>
  <c r="V720" i="24"/>
  <c r="W720" i="24" s="1"/>
  <c r="A721" i="24"/>
  <c r="F720" i="24"/>
  <c r="G720" i="24" s="1"/>
  <c r="B720" i="24"/>
  <c r="C720" i="24" s="1"/>
  <c r="H720" i="24"/>
  <c r="I720" i="24" s="1"/>
  <c r="D720" i="24"/>
  <c r="E720" i="24" s="1"/>
  <c r="J720" i="24"/>
  <c r="K720" i="24" s="1"/>
  <c r="P720" i="24"/>
  <c r="Q720" i="24" s="1"/>
  <c r="J532" i="37"/>
  <c r="I532" i="37"/>
  <c r="C532" i="37"/>
  <c r="D532" i="37"/>
  <c r="O531" i="37"/>
  <c r="P531" i="37"/>
  <c r="L532" i="37"/>
  <c r="M532" i="37"/>
  <c r="R531" i="37"/>
  <c r="S531" i="37"/>
  <c r="G532" i="37"/>
  <c r="F532" i="37"/>
  <c r="B721" i="24" l="1"/>
  <c r="C721" i="24" s="1"/>
  <c r="F721" i="24"/>
  <c r="G721" i="24" s="1"/>
  <c r="H721" i="24"/>
  <c r="I721" i="24" s="1"/>
  <c r="N721" i="24"/>
  <c r="O721" i="24" s="1"/>
  <c r="R721" i="24"/>
  <c r="S721" i="24" s="1"/>
  <c r="P721" i="24"/>
  <c r="Q721" i="24" s="1"/>
  <c r="T721" i="24"/>
  <c r="U721" i="24" s="1"/>
  <c r="V721" i="24"/>
  <c r="W721" i="24" s="1"/>
  <c r="D721" i="24"/>
  <c r="E721" i="24" s="1"/>
  <c r="A722" i="24"/>
  <c r="J721" i="24"/>
  <c r="K721" i="24" s="1"/>
  <c r="L721" i="24"/>
  <c r="M721" i="24" s="1"/>
  <c r="I533" i="37"/>
  <c r="J533" i="37"/>
  <c r="C533" i="37"/>
  <c r="D533" i="37"/>
  <c r="O532" i="37"/>
  <c r="P532" i="37"/>
  <c r="L533" i="37"/>
  <c r="M533" i="37"/>
  <c r="F533" i="37"/>
  <c r="G533" i="37"/>
  <c r="R532" i="37"/>
  <c r="S532" i="37"/>
  <c r="L722" i="24" l="1"/>
  <c r="M722" i="24" s="1"/>
  <c r="T722" i="24"/>
  <c r="U722" i="24" s="1"/>
  <c r="P722" i="24"/>
  <c r="Q722" i="24" s="1"/>
  <c r="J722" i="24"/>
  <c r="K722" i="24" s="1"/>
  <c r="R722" i="24"/>
  <c r="S722" i="24" s="1"/>
  <c r="N722" i="24"/>
  <c r="O722" i="24" s="1"/>
  <c r="V722" i="24"/>
  <c r="W722" i="24" s="1"/>
  <c r="D722" i="24"/>
  <c r="E722" i="24" s="1"/>
  <c r="A723" i="24"/>
  <c r="H722" i="24"/>
  <c r="I722" i="24" s="1"/>
  <c r="B722" i="24"/>
  <c r="C722" i="24" s="1"/>
  <c r="F722" i="24"/>
  <c r="G722" i="24" s="1"/>
  <c r="J534" i="37"/>
  <c r="I534" i="37"/>
  <c r="C534" i="37"/>
  <c r="D534" i="37"/>
  <c r="O533" i="37"/>
  <c r="P533" i="37"/>
  <c r="F534" i="37"/>
  <c r="G534" i="37"/>
  <c r="M534" i="37"/>
  <c r="L534" i="37"/>
  <c r="S533" i="37"/>
  <c r="R533" i="37"/>
  <c r="A724" i="24" l="1"/>
  <c r="P723" i="24"/>
  <c r="Q723" i="24" s="1"/>
  <c r="H723" i="24"/>
  <c r="I723" i="24" s="1"/>
  <c r="L723" i="24"/>
  <c r="M723" i="24" s="1"/>
  <c r="R723" i="24"/>
  <c r="S723" i="24" s="1"/>
  <c r="N723" i="24"/>
  <c r="O723" i="24" s="1"/>
  <c r="T723" i="24"/>
  <c r="U723" i="24" s="1"/>
  <c r="F723" i="24"/>
  <c r="G723" i="24" s="1"/>
  <c r="D723" i="24"/>
  <c r="E723" i="24" s="1"/>
  <c r="J723" i="24"/>
  <c r="K723" i="24" s="1"/>
  <c r="V723" i="24"/>
  <c r="W723" i="24" s="1"/>
  <c r="B723" i="24"/>
  <c r="C723" i="24" s="1"/>
  <c r="I535" i="37"/>
  <c r="J535" i="37"/>
  <c r="C535" i="37"/>
  <c r="D535" i="37"/>
  <c r="P534" i="37"/>
  <c r="O534" i="37"/>
  <c r="M535" i="37"/>
  <c r="L535" i="37"/>
  <c r="G535" i="37"/>
  <c r="F535" i="37"/>
  <c r="R534" i="37"/>
  <c r="S534" i="37"/>
  <c r="L724" i="24" l="1"/>
  <c r="M724" i="24" s="1"/>
  <c r="T724" i="24"/>
  <c r="U724" i="24" s="1"/>
  <c r="N724" i="24"/>
  <c r="O724" i="24" s="1"/>
  <c r="B724" i="24"/>
  <c r="C724" i="24" s="1"/>
  <c r="J724" i="24"/>
  <c r="K724" i="24" s="1"/>
  <c r="R724" i="24"/>
  <c r="S724" i="24" s="1"/>
  <c r="V724" i="24"/>
  <c r="W724" i="24" s="1"/>
  <c r="A725" i="24"/>
  <c r="H724" i="24"/>
  <c r="I724" i="24" s="1"/>
  <c r="F724" i="24"/>
  <c r="G724" i="24" s="1"/>
  <c r="P724" i="24"/>
  <c r="Q724" i="24" s="1"/>
  <c r="D724" i="24"/>
  <c r="E724" i="24" s="1"/>
  <c r="J536" i="37"/>
  <c r="I536" i="37"/>
  <c r="C536" i="37"/>
  <c r="D536" i="37"/>
  <c r="O535" i="37"/>
  <c r="P535" i="37"/>
  <c r="M536" i="37"/>
  <c r="L536" i="37"/>
  <c r="F536" i="37"/>
  <c r="G536" i="37"/>
  <c r="R535" i="37"/>
  <c r="S535" i="37"/>
  <c r="B725" i="24" l="1"/>
  <c r="C725" i="24" s="1"/>
  <c r="N725" i="24"/>
  <c r="O725" i="24" s="1"/>
  <c r="H725" i="24"/>
  <c r="I725" i="24" s="1"/>
  <c r="D725" i="24"/>
  <c r="E725" i="24" s="1"/>
  <c r="L725" i="24"/>
  <c r="M725" i="24" s="1"/>
  <c r="R725" i="24"/>
  <c r="S725" i="24" s="1"/>
  <c r="J725" i="24"/>
  <c r="K725" i="24" s="1"/>
  <c r="T725" i="24"/>
  <c r="U725" i="24" s="1"/>
  <c r="A726" i="24"/>
  <c r="P725" i="24"/>
  <c r="Q725" i="24" s="1"/>
  <c r="V725" i="24"/>
  <c r="W725" i="24" s="1"/>
  <c r="F725" i="24"/>
  <c r="G725" i="24" s="1"/>
  <c r="J537" i="37"/>
  <c r="I537" i="37"/>
  <c r="D537" i="37"/>
  <c r="C537" i="37"/>
  <c r="P536" i="37"/>
  <c r="O536" i="37"/>
  <c r="M537" i="37"/>
  <c r="L537" i="37"/>
  <c r="S536" i="37"/>
  <c r="R536" i="37"/>
  <c r="F537" i="37"/>
  <c r="G537" i="37"/>
  <c r="L726" i="24" l="1"/>
  <c r="M726" i="24" s="1"/>
  <c r="T726" i="24"/>
  <c r="U726" i="24" s="1"/>
  <c r="P726" i="24"/>
  <c r="Q726" i="24" s="1"/>
  <c r="D726" i="24"/>
  <c r="E726" i="24" s="1"/>
  <c r="A727" i="24"/>
  <c r="H726" i="24"/>
  <c r="I726" i="24" s="1"/>
  <c r="R726" i="24"/>
  <c r="S726" i="24" s="1"/>
  <c r="V726" i="24"/>
  <c r="W726" i="24" s="1"/>
  <c r="F726" i="24"/>
  <c r="G726" i="24" s="1"/>
  <c r="B726" i="24"/>
  <c r="C726" i="24" s="1"/>
  <c r="N726" i="24"/>
  <c r="O726" i="24" s="1"/>
  <c r="J726" i="24"/>
  <c r="K726" i="24" s="1"/>
  <c r="I538" i="37"/>
  <c r="J538" i="37"/>
  <c r="D538" i="37"/>
  <c r="C538" i="37"/>
  <c r="P537" i="37"/>
  <c r="O537" i="37"/>
  <c r="S537" i="37"/>
  <c r="R537" i="37"/>
  <c r="M538" i="37"/>
  <c r="L538" i="37"/>
  <c r="F538" i="37"/>
  <c r="G538" i="37"/>
  <c r="B727" i="24" l="1"/>
  <c r="C727" i="24" s="1"/>
  <c r="F727" i="24"/>
  <c r="G727" i="24" s="1"/>
  <c r="H727" i="24"/>
  <c r="I727" i="24" s="1"/>
  <c r="T727" i="24"/>
  <c r="U727" i="24" s="1"/>
  <c r="N727" i="24"/>
  <c r="O727" i="24" s="1"/>
  <c r="A728" i="24"/>
  <c r="D727" i="24"/>
  <c r="E727" i="24" s="1"/>
  <c r="P727" i="24"/>
  <c r="Q727" i="24" s="1"/>
  <c r="J727" i="24"/>
  <c r="K727" i="24" s="1"/>
  <c r="V727" i="24"/>
  <c r="W727" i="24" s="1"/>
  <c r="R727" i="24"/>
  <c r="S727" i="24" s="1"/>
  <c r="L727" i="24"/>
  <c r="M727" i="24" s="1"/>
  <c r="I539" i="37"/>
  <c r="J539" i="37"/>
  <c r="D539" i="37"/>
  <c r="C539" i="37"/>
  <c r="O538" i="37"/>
  <c r="P538" i="37"/>
  <c r="R538" i="37"/>
  <c r="S538" i="37"/>
  <c r="M539" i="37"/>
  <c r="L539" i="37"/>
  <c r="F539" i="37"/>
  <c r="G539" i="37"/>
  <c r="H728" i="24" l="1"/>
  <c r="I728" i="24" s="1"/>
  <c r="T728" i="24"/>
  <c r="U728" i="24" s="1"/>
  <c r="R728" i="24"/>
  <c r="S728" i="24" s="1"/>
  <c r="V728" i="24"/>
  <c r="W728" i="24" s="1"/>
  <c r="A729" i="24"/>
  <c r="F728" i="24"/>
  <c r="G728" i="24" s="1"/>
  <c r="B728" i="24"/>
  <c r="C728" i="24" s="1"/>
  <c r="J728" i="24"/>
  <c r="K728" i="24" s="1"/>
  <c r="P728" i="24"/>
  <c r="Q728" i="24" s="1"/>
  <c r="N728" i="24"/>
  <c r="O728" i="24" s="1"/>
  <c r="L728" i="24"/>
  <c r="M728" i="24" s="1"/>
  <c r="D728" i="24"/>
  <c r="E728" i="24" s="1"/>
  <c r="J540" i="37"/>
  <c r="I540" i="37"/>
  <c r="C540" i="37"/>
  <c r="D540" i="37"/>
  <c r="O539" i="37"/>
  <c r="P539" i="37"/>
  <c r="L540" i="37"/>
  <c r="M540" i="37"/>
  <c r="S539" i="37"/>
  <c r="R539" i="37"/>
  <c r="G540" i="37"/>
  <c r="F540" i="37"/>
  <c r="B729" i="24" l="1"/>
  <c r="C729" i="24" s="1"/>
  <c r="V729" i="24"/>
  <c r="W729" i="24" s="1"/>
  <c r="D729" i="24"/>
  <c r="E729" i="24" s="1"/>
  <c r="N729" i="24"/>
  <c r="O729" i="24" s="1"/>
  <c r="P729" i="24"/>
  <c r="Q729" i="24" s="1"/>
  <c r="T729" i="24"/>
  <c r="U729" i="24" s="1"/>
  <c r="F729" i="24"/>
  <c r="G729" i="24" s="1"/>
  <c r="H729" i="24"/>
  <c r="I729" i="24" s="1"/>
  <c r="A730" i="24"/>
  <c r="R729" i="24"/>
  <c r="S729" i="24" s="1"/>
  <c r="J729" i="24"/>
  <c r="K729" i="24" s="1"/>
  <c r="L729" i="24"/>
  <c r="M729" i="24" s="1"/>
  <c r="I541" i="37"/>
  <c r="J541" i="37"/>
  <c r="D541" i="37"/>
  <c r="C541" i="37"/>
  <c r="O540" i="37"/>
  <c r="P540" i="37"/>
  <c r="F541" i="37"/>
  <c r="G541" i="37"/>
  <c r="R540" i="37"/>
  <c r="S540" i="37"/>
  <c r="M541" i="37"/>
  <c r="L541" i="37"/>
  <c r="L730" i="24" l="1"/>
  <c r="M730" i="24" s="1"/>
  <c r="T730" i="24"/>
  <c r="U730" i="24" s="1"/>
  <c r="P730" i="24"/>
  <c r="Q730" i="24" s="1"/>
  <c r="R730" i="24"/>
  <c r="S730" i="24" s="1"/>
  <c r="N730" i="24"/>
  <c r="O730" i="24" s="1"/>
  <c r="V730" i="24"/>
  <c r="W730" i="24" s="1"/>
  <c r="B730" i="24"/>
  <c r="C730" i="24" s="1"/>
  <c r="D730" i="24"/>
  <c r="E730" i="24" s="1"/>
  <c r="J730" i="24"/>
  <c r="K730" i="24" s="1"/>
  <c r="F730" i="24"/>
  <c r="G730" i="24" s="1"/>
  <c r="H730" i="24"/>
  <c r="I730" i="24" s="1"/>
  <c r="A731" i="24"/>
  <c r="J542" i="37"/>
  <c r="I542" i="37"/>
  <c r="D542" i="37"/>
  <c r="C542" i="37"/>
  <c r="P541" i="37"/>
  <c r="O541" i="37"/>
  <c r="S541" i="37"/>
  <c r="R541" i="37"/>
  <c r="M542" i="37"/>
  <c r="L542" i="37"/>
  <c r="F542" i="37"/>
  <c r="G542" i="37"/>
  <c r="B731" i="24" l="1"/>
  <c r="C731" i="24" s="1"/>
  <c r="V731" i="24"/>
  <c r="W731" i="24" s="1"/>
  <c r="J731" i="24"/>
  <c r="K731" i="24" s="1"/>
  <c r="D731" i="24"/>
  <c r="E731" i="24" s="1"/>
  <c r="N731" i="24"/>
  <c r="O731" i="24" s="1"/>
  <c r="L731" i="24"/>
  <c r="M731" i="24" s="1"/>
  <c r="T731" i="24"/>
  <c r="U731" i="24" s="1"/>
  <c r="F731" i="24"/>
  <c r="G731" i="24" s="1"/>
  <c r="R731" i="24"/>
  <c r="S731" i="24" s="1"/>
  <c r="H731" i="24"/>
  <c r="I731" i="24" s="1"/>
  <c r="P731" i="24"/>
  <c r="Q731" i="24" s="1"/>
  <c r="A732" i="24"/>
  <c r="I543" i="37"/>
  <c r="J543" i="37"/>
  <c r="C543" i="37"/>
  <c r="D543" i="37"/>
  <c r="O542" i="37"/>
  <c r="P542" i="37"/>
  <c r="R542" i="37"/>
  <c r="S542" i="37"/>
  <c r="G543" i="37"/>
  <c r="F543" i="37"/>
  <c r="M543" i="37"/>
  <c r="L543" i="37"/>
  <c r="R732" i="24" l="1"/>
  <c r="S732" i="24" s="1"/>
  <c r="T732" i="24"/>
  <c r="U732" i="24" s="1"/>
  <c r="L732" i="24"/>
  <c r="M732" i="24" s="1"/>
  <c r="H732" i="24"/>
  <c r="I732" i="24" s="1"/>
  <c r="J732" i="24"/>
  <c r="K732" i="24" s="1"/>
  <c r="N732" i="24"/>
  <c r="O732" i="24" s="1"/>
  <c r="F732" i="24"/>
  <c r="G732" i="24" s="1"/>
  <c r="D732" i="24"/>
  <c r="E732" i="24" s="1"/>
  <c r="B732" i="24"/>
  <c r="C732" i="24" s="1"/>
  <c r="P732" i="24"/>
  <c r="Q732" i="24" s="1"/>
  <c r="V732" i="24"/>
  <c r="W732" i="24" s="1"/>
  <c r="A733" i="24"/>
  <c r="J544" i="37"/>
  <c r="I544" i="37"/>
  <c r="D544" i="37"/>
  <c r="C544" i="37"/>
  <c r="P543" i="37"/>
  <c r="O543" i="37"/>
  <c r="L544" i="37"/>
  <c r="M544" i="37"/>
  <c r="F544" i="37"/>
  <c r="G544" i="37"/>
  <c r="R543" i="37"/>
  <c r="S543" i="37"/>
  <c r="B733" i="24" l="1"/>
  <c r="C733" i="24" s="1"/>
  <c r="V733" i="24"/>
  <c r="W733" i="24" s="1"/>
  <c r="H733" i="24"/>
  <c r="I733" i="24" s="1"/>
  <c r="D733" i="24"/>
  <c r="E733" i="24" s="1"/>
  <c r="R733" i="24"/>
  <c r="S733" i="24" s="1"/>
  <c r="J733" i="24"/>
  <c r="K733" i="24" s="1"/>
  <c r="P733" i="24"/>
  <c r="Q733" i="24" s="1"/>
  <c r="F733" i="24"/>
  <c r="G733" i="24" s="1"/>
  <c r="A734" i="24"/>
  <c r="T733" i="24"/>
  <c r="U733" i="24" s="1"/>
  <c r="L733" i="24"/>
  <c r="M733" i="24" s="1"/>
  <c r="N733" i="24"/>
  <c r="O733" i="24" s="1"/>
  <c r="J545" i="37"/>
  <c r="I545" i="37"/>
  <c r="C545" i="37"/>
  <c r="D545" i="37"/>
  <c r="O544" i="37"/>
  <c r="P544" i="37"/>
  <c r="F545" i="37"/>
  <c r="G545" i="37"/>
  <c r="S544" i="37"/>
  <c r="R544" i="37"/>
  <c r="M545" i="37"/>
  <c r="L545" i="37"/>
  <c r="R734" i="24" l="1"/>
  <c r="S734" i="24" s="1"/>
  <c r="T734" i="24"/>
  <c r="U734" i="24" s="1"/>
  <c r="P734" i="24"/>
  <c r="Q734" i="24" s="1"/>
  <c r="B734" i="24"/>
  <c r="C734" i="24" s="1"/>
  <c r="H734" i="24"/>
  <c r="I734" i="24" s="1"/>
  <c r="D734" i="24"/>
  <c r="E734" i="24" s="1"/>
  <c r="L734" i="24"/>
  <c r="M734" i="24" s="1"/>
  <c r="A735" i="24"/>
  <c r="J734" i="24"/>
  <c r="K734" i="24" s="1"/>
  <c r="F734" i="24"/>
  <c r="G734" i="24" s="1"/>
  <c r="V734" i="24"/>
  <c r="W734" i="24" s="1"/>
  <c r="N734" i="24"/>
  <c r="O734" i="24" s="1"/>
  <c r="I546" i="37"/>
  <c r="J546" i="37"/>
  <c r="D546" i="37"/>
  <c r="C546" i="37"/>
  <c r="O545" i="37"/>
  <c r="P545" i="37"/>
  <c r="L546" i="37"/>
  <c r="M546" i="37"/>
  <c r="R545" i="37"/>
  <c r="S545" i="37"/>
  <c r="F546" i="37"/>
  <c r="G546" i="37"/>
  <c r="B735" i="24" l="1"/>
  <c r="C735" i="24" s="1"/>
  <c r="V735" i="24"/>
  <c r="W735" i="24" s="1"/>
  <c r="J735" i="24"/>
  <c r="K735" i="24" s="1"/>
  <c r="T735" i="24"/>
  <c r="U735" i="24" s="1"/>
  <c r="F735" i="24"/>
  <c r="G735" i="24" s="1"/>
  <c r="A736" i="24"/>
  <c r="D735" i="24"/>
  <c r="E735" i="24" s="1"/>
  <c r="H735" i="24"/>
  <c r="I735" i="24" s="1"/>
  <c r="P735" i="24"/>
  <c r="Q735" i="24" s="1"/>
  <c r="N735" i="24"/>
  <c r="O735" i="24" s="1"/>
  <c r="R735" i="24"/>
  <c r="S735" i="24" s="1"/>
  <c r="L735" i="24"/>
  <c r="M735" i="24" s="1"/>
  <c r="I547" i="37"/>
  <c r="J547" i="37"/>
  <c r="D547" i="37"/>
  <c r="C547" i="37"/>
  <c r="P546" i="37"/>
  <c r="O546" i="37"/>
  <c r="R546" i="37"/>
  <c r="S546" i="37"/>
  <c r="F547" i="37"/>
  <c r="G547" i="37"/>
  <c r="L547" i="37"/>
  <c r="M547" i="37"/>
  <c r="L736" i="24" l="1"/>
  <c r="M736" i="24" s="1"/>
  <c r="T736" i="24"/>
  <c r="U736" i="24" s="1"/>
  <c r="N736" i="24"/>
  <c r="O736" i="24" s="1"/>
  <c r="V736" i="24"/>
  <c r="W736" i="24" s="1"/>
  <c r="A737" i="24"/>
  <c r="F736" i="24"/>
  <c r="G736" i="24" s="1"/>
  <c r="B736" i="24"/>
  <c r="C736" i="24" s="1"/>
  <c r="H736" i="24"/>
  <c r="I736" i="24" s="1"/>
  <c r="D736" i="24"/>
  <c r="E736" i="24" s="1"/>
  <c r="R736" i="24"/>
  <c r="S736" i="24" s="1"/>
  <c r="J736" i="24"/>
  <c r="K736" i="24" s="1"/>
  <c r="P736" i="24"/>
  <c r="Q736" i="24" s="1"/>
  <c r="I548" i="37"/>
  <c r="J548" i="37"/>
  <c r="C548" i="37"/>
  <c r="D548" i="37"/>
  <c r="O547" i="37"/>
  <c r="P547" i="37"/>
  <c r="L548" i="37"/>
  <c r="M548" i="37"/>
  <c r="R547" i="37"/>
  <c r="S547" i="37"/>
  <c r="G548" i="37"/>
  <c r="F548" i="37"/>
  <c r="A738" i="24" l="1"/>
  <c r="F737" i="24"/>
  <c r="G737" i="24" s="1"/>
  <c r="J737" i="24"/>
  <c r="K737" i="24" s="1"/>
  <c r="R737" i="24"/>
  <c r="S737" i="24" s="1"/>
  <c r="P737" i="24"/>
  <c r="Q737" i="24" s="1"/>
  <c r="T737" i="24"/>
  <c r="U737" i="24" s="1"/>
  <c r="V737" i="24"/>
  <c r="W737" i="24" s="1"/>
  <c r="D737" i="24"/>
  <c r="E737" i="24" s="1"/>
  <c r="H737" i="24"/>
  <c r="I737" i="24" s="1"/>
  <c r="N737" i="24"/>
  <c r="O737" i="24" s="1"/>
  <c r="B737" i="24"/>
  <c r="C737" i="24" s="1"/>
  <c r="L737" i="24"/>
  <c r="M737" i="24" s="1"/>
  <c r="I549" i="37"/>
  <c r="J549" i="37"/>
  <c r="C549" i="37"/>
  <c r="D549" i="37"/>
  <c r="O548" i="37"/>
  <c r="P548" i="37"/>
  <c r="F549" i="37"/>
  <c r="G549" i="37"/>
  <c r="S548" i="37"/>
  <c r="R548" i="37"/>
  <c r="L549" i="37"/>
  <c r="M549" i="37"/>
  <c r="L738" i="24" l="1"/>
  <c r="M738" i="24" s="1"/>
  <c r="T738" i="24"/>
  <c r="U738" i="24" s="1"/>
  <c r="P738" i="24"/>
  <c r="Q738" i="24" s="1"/>
  <c r="R738" i="24"/>
  <c r="S738" i="24" s="1"/>
  <c r="V738" i="24"/>
  <c r="W738" i="24" s="1"/>
  <c r="F738" i="24"/>
  <c r="G738" i="24" s="1"/>
  <c r="B738" i="24"/>
  <c r="C738" i="24" s="1"/>
  <c r="A739" i="24"/>
  <c r="J738" i="24"/>
  <c r="K738" i="24" s="1"/>
  <c r="D738" i="24"/>
  <c r="E738" i="24" s="1"/>
  <c r="N738" i="24"/>
  <c r="O738" i="24" s="1"/>
  <c r="H738" i="24"/>
  <c r="I738" i="24" s="1"/>
  <c r="J550" i="37"/>
  <c r="I550" i="37"/>
  <c r="C550" i="37"/>
  <c r="D550" i="37"/>
  <c r="P549" i="37"/>
  <c r="O549" i="37"/>
  <c r="R549" i="37"/>
  <c r="S549" i="37"/>
  <c r="L550" i="37"/>
  <c r="M550" i="37"/>
  <c r="G550" i="37"/>
  <c r="F550" i="37"/>
  <c r="B739" i="24" l="1"/>
  <c r="C739" i="24" s="1"/>
  <c r="F739" i="24"/>
  <c r="G739" i="24" s="1"/>
  <c r="H739" i="24"/>
  <c r="I739" i="24" s="1"/>
  <c r="L739" i="24"/>
  <c r="M739" i="24" s="1"/>
  <c r="R739" i="24"/>
  <c r="S739" i="24" s="1"/>
  <c r="N739" i="24"/>
  <c r="O739" i="24" s="1"/>
  <c r="T739" i="24"/>
  <c r="U739" i="24" s="1"/>
  <c r="P739" i="24"/>
  <c r="Q739" i="24" s="1"/>
  <c r="D739" i="24"/>
  <c r="E739" i="24" s="1"/>
  <c r="J739" i="24"/>
  <c r="K739" i="24" s="1"/>
  <c r="V739" i="24"/>
  <c r="W739" i="24" s="1"/>
  <c r="A740" i="24"/>
  <c r="I551" i="37"/>
  <c r="J551" i="37"/>
  <c r="D551" i="37"/>
  <c r="C551" i="37"/>
  <c r="P550" i="37"/>
  <c r="O550" i="37"/>
  <c r="M551" i="37"/>
  <c r="L551" i="37"/>
  <c r="S550" i="37"/>
  <c r="R550" i="37"/>
  <c r="G551" i="37"/>
  <c r="F551" i="37"/>
  <c r="L740" i="24" l="1"/>
  <c r="M740" i="24" s="1"/>
  <c r="T740" i="24"/>
  <c r="U740" i="24" s="1"/>
  <c r="N740" i="24"/>
  <c r="O740" i="24" s="1"/>
  <c r="H740" i="24"/>
  <c r="I740" i="24" s="1"/>
  <c r="J740" i="24"/>
  <c r="K740" i="24" s="1"/>
  <c r="R740" i="24"/>
  <c r="S740" i="24" s="1"/>
  <c r="V740" i="24"/>
  <c r="W740" i="24" s="1"/>
  <c r="D740" i="24"/>
  <c r="E740" i="24" s="1"/>
  <c r="A741" i="24"/>
  <c r="B740" i="24"/>
  <c r="C740" i="24" s="1"/>
  <c r="F740" i="24"/>
  <c r="G740" i="24" s="1"/>
  <c r="P740" i="24"/>
  <c r="Q740" i="24" s="1"/>
  <c r="I552" i="37"/>
  <c r="J552" i="37"/>
  <c r="C552" i="37"/>
  <c r="D552" i="37"/>
  <c r="P551" i="37"/>
  <c r="O551" i="37"/>
  <c r="F552" i="37"/>
  <c r="G552" i="37"/>
  <c r="M552" i="37"/>
  <c r="L552" i="37"/>
  <c r="R551" i="37"/>
  <c r="S551" i="37"/>
  <c r="B741" i="24" l="1"/>
  <c r="C741" i="24" s="1"/>
  <c r="N741" i="24"/>
  <c r="O741" i="24" s="1"/>
  <c r="H741" i="24"/>
  <c r="I741" i="24" s="1"/>
  <c r="D741" i="24"/>
  <c r="E741" i="24" s="1"/>
  <c r="J741" i="24"/>
  <c r="K741" i="24" s="1"/>
  <c r="R741" i="24"/>
  <c r="S741" i="24" s="1"/>
  <c r="P741" i="24"/>
  <c r="Q741" i="24" s="1"/>
  <c r="A742" i="24"/>
  <c r="T741" i="24"/>
  <c r="U741" i="24" s="1"/>
  <c r="L741" i="24"/>
  <c r="M741" i="24" s="1"/>
  <c r="V741" i="24"/>
  <c r="W741" i="24" s="1"/>
  <c r="F741" i="24"/>
  <c r="G741" i="24" s="1"/>
  <c r="J553" i="37"/>
  <c r="I553" i="37"/>
  <c r="D553" i="37"/>
  <c r="C553" i="37"/>
  <c r="P552" i="37"/>
  <c r="O552" i="37"/>
  <c r="L553" i="37"/>
  <c r="M553" i="37"/>
  <c r="S552" i="37"/>
  <c r="R552" i="37"/>
  <c r="F553" i="37"/>
  <c r="G553" i="37"/>
  <c r="R742" i="24" l="1"/>
  <c r="S742" i="24" s="1"/>
  <c r="T742" i="24"/>
  <c r="P742" i="24"/>
  <c r="Q742" i="24" s="1"/>
  <c r="B742" i="24"/>
  <c r="C742" i="24" s="1"/>
  <c r="D742" i="24"/>
  <c r="E742" i="24" s="1"/>
  <c r="H742" i="24"/>
  <c r="I742" i="24" s="1"/>
  <c r="L742" i="24"/>
  <c r="M742" i="24" s="1"/>
  <c r="V742" i="24"/>
  <c r="W742" i="24" s="1"/>
  <c r="F742" i="24"/>
  <c r="G742" i="24" s="1"/>
  <c r="A743" i="24"/>
  <c r="N742" i="24"/>
  <c r="O742" i="24" s="1"/>
  <c r="J742" i="24"/>
  <c r="K742" i="24" s="1"/>
  <c r="U742" i="24"/>
  <c r="J554" i="37"/>
  <c r="I554" i="37"/>
  <c r="C554" i="37"/>
  <c r="D554" i="37"/>
  <c r="O553" i="37"/>
  <c r="P553" i="37"/>
  <c r="S553" i="37"/>
  <c r="R553" i="37"/>
  <c r="M554" i="37"/>
  <c r="L554" i="37"/>
  <c r="G554" i="37"/>
  <c r="F554" i="37"/>
  <c r="B743" i="24" l="1"/>
  <c r="C743" i="24" s="1"/>
  <c r="N743" i="24"/>
  <c r="O743" i="24" s="1"/>
  <c r="H743" i="24"/>
  <c r="I743" i="24" s="1"/>
  <c r="T743" i="24"/>
  <c r="U743" i="24" s="1"/>
  <c r="F743" i="24"/>
  <c r="G743" i="24" s="1"/>
  <c r="A744" i="24"/>
  <c r="D743" i="24"/>
  <c r="E743" i="24" s="1"/>
  <c r="L743" i="24"/>
  <c r="M743" i="24" s="1"/>
  <c r="J743" i="24"/>
  <c r="K743" i="24" s="1"/>
  <c r="V743" i="24"/>
  <c r="W743" i="24" s="1"/>
  <c r="P743" i="24"/>
  <c r="Q743" i="24" s="1"/>
  <c r="R743" i="24"/>
  <c r="S743" i="24" s="1"/>
  <c r="J555" i="37"/>
  <c r="I555" i="37"/>
  <c r="C555" i="37"/>
  <c r="D555" i="37"/>
  <c r="O554" i="37"/>
  <c r="P554" i="37"/>
  <c r="G555" i="37"/>
  <c r="F555" i="37"/>
  <c r="M555" i="37"/>
  <c r="L555" i="37"/>
  <c r="R554" i="37"/>
  <c r="S554" i="37"/>
  <c r="L744" i="24" l="1"/>
  <c r="M744" i="24" s="1"/>
  <c r="T744" i="24"/>
  <c r="U744" i="24" s="1"/>
  <c r="R744" i="24"/>
  <c r="S744" i="24" s="1"/>
  <c r="F744" i="24"/>
  <c r="G744" i="24" s="1"/>
  <c r="A745" i="24"/>
  <c r="V744" i="24"/>
  <c r="W744" i="24" s="1"/>
  <c r="B744" i="24"/>
  <c r="C744" i="24" s="1"/>
  <c r="H744" i="24"/>
  <c r="I744" i="24" s="1"/>
  <c r="P744" i="24"/>
  <c r="Q744" i="24" s="1"/>
  <c r="N744" i="24"/>
  <c r="O744" i="24" s="1"/>
  <c r="J744" i="24"/>
  <c r="K744" i="24" s="1"/>
  <c r="D744" i="24"/>
  <c r="E744" i="24" s="1"/>
  <c r="I556" i="37"/>
  <c r="J556" i="37"/>
  <c r="C556" i="37"/>
  <c r="D556" i="37"/>
  <c r="O555" i="37"/>
  <c r="P555" i="37"/>
  <c r="L556" i="37"/>
  <c r="M556" i="37"/>
  <c r="G556" i="37"/>
  <c r="F556" i="37"/>
  <c r="S555" i="37"/>
  <c r="R555" i="37"/>
  <c r="H745" i="24" l="1"/>
  <c r="I745" i="24" s="1"/>
  <c r="F745" i="24"/>
  <c r="G745" i="24" s="1"/>
  <c r="J745" i="24"/>
  <c r="K745" i="24" s="1"/>
  <c r="N745" i="24"/>
  <c r="O745" i="24" s="1"/>
  <c r="V745" i="24"/>
  <c r="W745" i="24" s="1"/>
  <c r="T745" i="24"/>
  <c r="U745" i="24" s="1"/>
  <c r="P745" i="24"/>
  <c r="Q745" i="24" s="1"/>
  <c r="A746" i="24"/>
  <c r="D745" i="24"/>
  <c r="E745" i="24" s="1"/>
  <c r="R745" i="24"/>
  <c r="S745" i="24" s="1"/>
  <c r="B745" i="24"/>
  <c r="C745" i="24" s="1"/>
  <c r="L745" i="24"/>
  <c r="M745" i="24" s="1"/>
  <c r="J557" i="37"/>
  <c r="I557" i="37"/>
  <c r="D557" i="37"/>
  <c r="C557" i="37"/>
  <c r="O556" i="37"/>
  <c r="P556" i="37"/>
  <c r="S556" i="37"/>
  <c r="R556" i="37"/>
  <c r="L557" i="37"/>
  <c r="M557" i="37"/>
  <c r="F557" i="37"/>
  <c r="G557" i="37"/>
  <c r="L746" i="24" l="1"/>
  <c r="M746" i="24" s="1"/>
  <c r="T746" i="24"/>
  <c r="U746" i="24" s="1"/>
  <c r="P746" i="24"/>
  <c r="Q746" i="24" s="1"/>
  <c r="R746" i="24"/>
  <c r="S746" i="24" s="1"/>
  <c r="N746" i="24"/>
  <c r="O746" i="24" s="1"/>
  <c r="V746" i="24"/>
  <c r="W746" i="24" s="1"/>
  <c r="D746" i="24"/>
  <c r="E746" i="24" s="1"/>
  <c r="H746" i="24"/>
  <c r="I746" i="24" s="1"/>
  <c r="J746" i="24"/>
  <c r="K746" i="24" s="1"/>
  <c r="F746" i="24"/>
  <c r="G746" i="24" s="1"/>
  <c r="B746" i="24"/>
  <c r="C746" i="24" s="1"/>
  <c r="A747" i="24"/>
  <c r="I558" i="37"/>
  <c r="J558" i="37"/>
  <c r="D558" i="37"/>
  <c r="C558" i="37"/>
  <c r="O557" i="37"/>
  <c r="P557" i="37"/>
  <c r="R557" i="37"/>
  <c r="S557" i="37"/>
  <c r="F558" i="37"/>
  <c r="G558" i="37"/>
  <c r="M558" i="37"/>
  <c r="L558" i="37"/>
  <c r="A748" i="24" l="1"/>
  <c r="P747" i="24"/>
  <c r="Q747" i="24" s="1"/>
  <c r="H747" i="24"/>
  <c r="I747" i="24" s="1"/>
  <c r="R747" i="24"/>
  <c r="S747" i="24" s="1"/>
  <c r="L747" i="24"/>
  <c r="M747" i="24" s="1"/>
  <c r="N747" i="24"/>
  <c r="O747" i="24" s="1"/>
  <c r="T747" i="24"/>
  <c r="U747" i="24" s="1"/>
  <c r="F747" i="24"/>
  <c r="G747" i="24" s="1"/>
  <c r="J747" i="24"/>
  <c r="K747" i="24" s="1"/>
  <c r="B747" i="24"/>
  <c r="C747" i="24" s="1"/>
  <c r="D747" i="24"/>
  <c r="E747" i="24" s="1"/>
  <c r="V747" i="24"/>
  <c r="W747" i="24" s="1"/>
  <c r="I559" i="37"/>
  <c r="J559" i="37"/>
  <c r="C559" i="37"/>
  <c r="D559" i="37"/>
  <c r="P558" i="37"/>
  <c r="O558" i="37"/>
  <c r="F559" i="37"/>
  <c r="G559" i="37"/>
  <c r="L559" i="37"/>
  <c r="M559" i="37"/>
  <c r="S558" i="37"/>
  <c r="R558" i="37"/>
  <c r="R748" i="24" l="1"/>
  <c r="S748" i="24" s="1"/>
  <c r="T748" i="24"/>
  <c r="U748" i="24" s="1"/>
  <c r="N748" i="24"/>
  <c r="O748" i="24" s="1"/>
  <c r="H748" i="24"/>
  <c r="I748" i="24" s="1"/>
  <c r="J748" i="24"/>
  <c r="K748" i="24" s="1"/>
  <c r="L748" i="24"/>
  <c r="M748" i="24" s="1"/>
  <c r="V748" i="24"/>
  <c r="W748" i="24" s="1"/>
  <c r="D748" i="24"/>
  <c r="E748" i="24" s="1"/>
  <c r="A749" i="24"/>
  <c r="P748" i="24"/>
  <c r="Q748" i="24" s="1"/>
  <c r="B748" i="24"/>
  <c r="C748" i="24" s="1"/>
  <c r="F748" i="24"/>
  <c r="G748" i="24" s="1"/>
  <c r="J560" i="37"/>
  <c r="I560" i="37"/>
  <c r="C560" i="37"/>
  <c r="D560" i="37"/>
  <c r="P559" i="37"/>
  <c r="O559" i="37"/>
  <c r="S559" i="37"/>
  <c r="R559" i="37"/>
  <c r="F560" i="37"/>
  <c r="G560" i="37"/>
  <c r="L560" i="37"/>
  <c r="M560" i="37"/>
  <c r="B749" i="24" l="1"/>
  <c r="C749" i="24" s="1"/>
  <c r="N749" i="24"/>
  <c r="O749" i="24" s="1"/>
  <c r="H749" i="24"/>
  <c r="I749" i="24" s="1"/>
  <c r="D749" i="24"/>
  <c r="E749" i="24" s="1"/>
  <c r="R749" i="24"/>
  <c r="S749" i="24" s="1"/>
  <c r="L749" i="24"/>
  <c r="M749" i="24" s="1"/>
  <c r="P749" i="24"/>
  <c r="Q749" i="24" s="1"/>
  <c r="F749" i="24"/>
  <c r="G749" i="24" s="1"/>
  <c r="A750" i="24"/>
  <c r="T749" i="24"/>
  <c r="U749" i="24" s="1"/>
  <c r="V749" i="24"/>
  <c r="W749" i="24" s="1"/>
  <c r="J749" i="24"/>
  <c r="K749" i="24" s="1"/>
  <c r="I561" i="37"/>
  <c r="J561" i="37"/>
  <c r="D561" i="37"/>
  <c r="C561" i="37"/>
  <c r="O560" i="37"/>
  <c r="P560" i="37"/>
  <c r="M561" i="37"/>
  <c r="L561" i="37"/>
  <c r="R560" i="37"/>
  <c r="S560" i="37"/>
  <c r="G561" i="37"/>
  <c r="F561" i="37"/>
  <c r="R750" i="24" l="1"/>
  <c r="S750" i="24" s="1"/>
  <c r="T750" i="24"/>
  <c r="U750" i="24" s="1"/>
  <c r="P750" i="24"/>
  <c r="Q750" i="24" s="1"/>
  <c r="B750" i="24"/>
  <c r="C750" i="24" s="1"/>
  <c r="H750" i="24"/>
  <c r="I750" i="24" s="1"/>
  <c r="D750" i="24"/>
  <c r="E750" i="24" s="1"/>
  <c r="L750" i="24"/>
  <c r="M750" i="24" s="1"/>
  <c r="A751" i="24"/>
  <c r="J750" i="24"/>
  <c r="K750" i="24" s="1"/>
  <c r="F750" i="24"/>
  <c r="G750" i="24" s="1"/>
  <c r="N750" i="24"/>
  <c r="O750" i="24" s="1"/>
  <c r="V750" i="24"/>
  <c r="W750" i="24" s="1"/>
  <c r="I562" i="37"/>
  <c r="J562" i="37"/>
  <c r="D562" i="37"/>
  <c r="C562" i="37"/>
  <c r="O561" i="37"/>
  <c r="P561" i="37"/>
  <c r="L562" i="37"/>
  <c r="M562" i="37"/>
  <c r="F562" i="37"/>
  <c r="G562" i="37"/>
  <c r="S561" i="37"/>
  <c r="R561" i="37"/>
  <c r="B751" i="24" l="1"/>
  <c r="C751" i="24" s="1"/>
  <c r="N751" i="24"/>
  <c r="O751" i="24" s="1"/>
  <c r="D751" i="24"/>
  <c r="E751" i="24" s="1"/>
  <c r="T751" i="24"/>
  <c r="U751" i="24" s="1"/>
  <c r="F751" i="24"/>
  <c r="G751" i="24" s="1"/>
  <c r="A752" i="24"/>
  <c r="H751" i="24"/>
  <c r="I751" i="24" s="1"/>
  <c r="P751" i="24"/>
  <c r="Q751" i="24" s="1"/>
  <c r="R751" i="24"/>
  <c r="S751" i="24" s="1"/>
  <c r="V751" i="24"/>
  <c r="W751" i="24" s="1"/>
  <c r="L751" i="24"/>
  <c r="M751" i="24" s="1"/>
  <c r="J751" i="24"/>
  <c r="K751" i="24" s="1"/>
  <c r="I563" i="37"/>
  <c r="J563" i="37"/>
  <c r="D563" i="37"/>
  <c r="C563" i="37"/>
  <c r="P562" i="37"/>
  <c r="O562" i="37"/>
  <c r="G563" i="37"/>
  <c r="F563" i="37"/>
  <c r="M563" i="37"/>
  <c r="L563" i="37"/>
  <c r="S562" i="37"/>
  <c r="R562" i="37"/>
  <c r="L752" i="24" l="1"/>
  <c r="M752" i="24" s="1"/>
  <c r="T752" i="24"/>
  <c r="U752" i="24" s="1"/>
  <c r="R752" i="24"/>
  <c r="S752" i="24" s="1"/>
  <c r="V752" i="24"/>
  <c r="W752" i="24" s="1"/>
  <c r="A753" i="24"/>
  <c r="F752" i="24"/>
  <c r="G752" i="24" s="1"/>
  <c r="B752" i="24"/>
  <c r="C752" i="24" s="1"/>
  <c r="H752" i="24"/>
  <c r="I752" i="24" s="1"/>
  <c r="D752" i="24"/>
  <c r="E752" i="24" s="1"/>
  <c r="N752" i="24"/>
  <c r="O752" i="24" s="1"/>
  <c r="J752" i="24"/>
  <c r="K752" i="24" s="1"/>
  <c r="P752" i="24"/>
  <c r="Q752" i="24" s="1"/>
  <c r="J564" i="37"/>
  <c r="I564" i="37"/>
  <c r="C564" i="37"/>
  <c r="D564" i="37"/>
  <c r="O563" i="37"/>
  <c r="P563" i="37"/>
  <c r="L564" i="37"/>
  <c r="M564" i="37"/>
  <c r="S563" i="37"/>
  <c r="R563" i="37"/>
  <c r="G564" i="37"/>
  <c r="F564" i="37"/>
  <c r="B753" i="24" l="1"/>
  <c r="C753" i="24" s="1"/>
  <c r="V753" i="24"/>
  <c r="W753" i="24" s="1"/>
  <c r="J753" i="24"/>
  <c r="K753" i="24" s="1"/>
  <c r="P753" i="24"/>
  <c r="Q753" i="24" s="1"/>
  <c r="F753" i="24"/>
  <c r="G753" i="24" s="1"/>
  <c r="T753" i="24"/>
  <c r="U753" i="24" s="1"/>
  <c r="D753" i="24"/>
  <c r="E753" i="24" s="1"/>
  <c r="H753" i="24"/>
  <c r="I753" i="24" s="1"/>
  <c r="R753" i="24"/>
  <c r="S753" i="24" s="1"/>
  <c r="N753" i="24"/>
  <c r="O753" i="24" s="1"/>
  <c r="L753" i="24"/>
  <c r="M753" i="24" s="1"/>
  <c r="A754" i="24"/>
  <c r="I565" i="37"/>
  <c r="J565" i="37"/>
  <c r="C565" i="37"/>
  <c r="D565" i="37"/>
  <c r="P564" i="37"/>
  <c r="O564" i="37"/>
  <c r="F565" i="37"/>
  <c r="G565" i="37"/>
  <c r="S564" i="37"/>
  <c r="R564" i="37"/>
  <c r="L565" i="37"/>
  <c r="M565" i="37"/>
  <c r="L754" i="24" l="1"/>
  <c r="M754" i="24" s="1"/>
  <c r="T754" i="24"/>
  <c r="U754" i="24" s="1"/>
  <c r="P754" i="24"/>
  <c r="Q754" i="24" s="1"/>
  <c r="R754" i="24"/>
  <c r="S754" i="24" s="1"/>
  <c r="N754" i="24"/>
  <c r="O754" i="24" s="1"/>
  <c r="V754" i="24"/>
  <c r="W754" i="24" s="1"/>
  <c r="B754" i="24"/>
  <c r="C754" i="24" s="1"/>
  <c r="D754" i="24"/>
  <c r="E754" i="24" s="1"/>
  <c r="J754" i="24"/>
  <c r="K754" i="24" s="1"/>
  <c r="A755" i="24"/>
  <c r="H754" i="24"/>
  <c r="I754" i="24" s="1"/>
  <c r="F754" i="24"/>
  <c r="G754" i="24" s="1"/>
  <c r="I566" i="37"/>
  <c r="J566" i="37"/>
  <c r="C566" i="37"/>
  <c r="D566" i="37"/>
  <c r="P565" i="37"/>
  <c r="O565" i="37"/>
  <c r="L566" i="37"/>
  <c r="M566" i="37"/>
  <c r="S565" i="37"/>
  <c r="R565" i="37"/>
  <c r="G566" i="37"/>
  <c r="F566" i="37"/>
  <c r="A756" i="24" l="1"/>
  <c r="L755" i="24"/>
  <c r="M755" i="24" s="1"/>
  <c r="J755" i="24"/>
  <c r="K755" i="24" s="1"/>
  <c r="R755" i="24"/>
  <c r="S755" i="24" s="1"/>
  <c r="N755" i="24"/>
  <c r="O755" i="24" s="1"/>
  <c r="V755" i="24"/>
  <c r="W755" i="24" s="1"/>
  <c r="T755" i="24"/>
  <c r="U755" i="24" s="1"/>
  <c r="P755" i="24"/>
  <c r="Q755" i="24" s="1"/>
  <c r="D755" i="24"/>
  <c r="E755" i="24" s="1"/>
  <c r="H755" i="24"/>
  <c r="I755" i="24" s="1"/>
  <c r="F755" i="24"/>
  <c r="G755" i="24" s="1"/>
  <c r="B755" i="24"/>
  <c r="C755" i="24" s="1"/>
  <c r="I567" i="37"/>
  <c r="J567" i="37"/>
  <c r="D567" i="37"/>
  <c r="C567" i="37"/>
  <c r="P566" i="37"/>
  <c r="O566" i="37"/>
  <c r="M567" i="37"/>
  <c r="L567" i="37"/>
  <c r="G567" i="37"/>
  <c r="F567" i="37"/>
  <c r="R566" i="37"/>
  <c r="S566" i="37"/>
  <c r="R756" i="24" l="1"/>
  <c r="S756" i="24" s="1"/>
  <c r="T756" i="24"/>
  <c r="U756" i="24" s="1"/>
  <c r="P756" i="24"/>
  <c r="Q756" i="24" s="1"/>
  <c r="B756" i="24"/>
  <c r="C756" i="24" s="1"/>
  <c r="J756" i="24"/>
  <c r="K756" i="24" s="1"/>
  <c r="N756" i="24"/>
  <c r="O756" i="24" s="1"/>
  <c r="F756" i="24"/>
  <c r="G756" i="24" s="1"/>
  <c r="H756" i="24"/>
  <c r="I756" i="24" s="1"/>
  <c r="A757" i="24"/>
  <c r="D756" i="24"/>
  <c r="E756" i="24" s="1"/>
  <c r="L756" i="24"/>
  <c r="M756" i="24" s="1"/>
  <c r="V756" i="24"/>
  <c r="W756" i="24" s="1"/>
  <c r="I568" i="37"/>
  <c r="J568" i="37"/>
  <c r="C568" i="37"/>
  <c r="D568" i="37"/>
  <c r="P567" i="37"/>
  <c r="O567" i="37"/>
  <c r="F568" i="37"/>
  <c r="G568" i="37"/>
  <c r="L568" i="37"/>
  <c r="M568" i="37"/>
  <c r="R567" i="37"/>
  <c r="S567" i="37"/>
  <c r="B757" i="24" l="1"/>
  <c r="C757" i="24" s="1"/>
  <c r="V757" i="24"/>
  <c r="W757" i="24" s="1"/>
  <c r="H757" i="24"/>
  <c r="I757" i="24" s="1"/>
  <c r="D757" i="24"/>
  <c r="E757" i="24" s="1"/>
  <c r="R757" i="24"/>
  <c r="S757" i="24" s="1"/>
  <c r="J757" i="24"/>
  <c r="K757" i="24" s="1"/>
  <c r="L757" i="24"/>
  <c r="M757" i="24" s="1"/>
  <c r="T757" i="24"/>
  <c r="U757" i="24" s="1"/>
  <c r="A758" i="24"/>
  <c r="P757" i="24"/>
  <c r="Q757" i="24" s="1"/>
  <c r="N757" i="24"/>
  <c r="O757" i="24" s="1"/>
  <c r="F757" i="24"/>
  <c r="G757" i="24" s="1"/>
  <c r="J569" i="37"/>
  <c r="I569" i="37"/>
  <c r="D569" i="37"/>
  <c r="C569" i="37"/>
  <c r="O568" i="37"/>
  <c r="P568" i="37"/>
  <c r="M569" i="37"/>
  <c r="L569" i="37"/>
  <c r="R568" i="37"/>
  <c r="S568" i="37"/>
  <c r="F569" i="37"/>
  <c r="G569" i="37"/>
  <c r="R758" i="24" l="1"/>
  <c r="S758" i="24" s="1"/>
  <c r="T758" i="24"/>
  <c r="U758" i="24" s="1"/>
  <c r="P758" i="24"/>
  <c r="Q758" i="24" s="1"/>
  <c r="B758" i="24"/>
  <c r="C758" i="24" s="1"/>
  <c r="D758" i="24"/>
  <c r="E758" i="24" s="1"/>
  <c r="H758" i="24"/>
  <c r="I758" i="24" s="1"/>
  <c r="L758" i="24"/>
  <c r="M758" i="24" s="1"/>
  <c r="V758" i="24"/>
  <c r="W758" i="24" s="1"/>
  <c r="F758" i="24"/>
  <c r="G758" i="24" s="1"/>
  <c r="A759" i="24"/>
  <c r="N758" i="24"/>
  <c r="O758" i="24" s="1"/>
  <c r="J758" i="24"/>
  <c r="K758" i="24" s="1"/>
  <c r="I570" i="37"/>
  <c r="J570" i="37"/>
  <c r="C570" i="37"/>
  <c r="D570" i="37"/>
  <c r="O569" i="37"/>
  <c r="P569" i="37"/>
  <c r="G570" i="37"/>
  <c r="F570" i="37"/>
  <c r="L570" i="37"/>
  <c r="M570" i="37"/>
  <c r="R569" i="37"/>
  <c r="S569" i="37"/>
  <c r="B759" i="24" l="1"/>
  <c r="C759" i="24" s="1"/>
  <c r="F759" i="24"/>
  <c r="G759" i="24" s="1"/>
  <c r="H759" i="24"/>
  <c r="I759" i="24" s="1"/>
  <c r="T759" i="24"/>
  <c r="U759" i="24" s="1"/>
  <c r="N759" i="24"/>
  <c r="O759" i="24" s="1"/>
  <c r="A760" i="24"/>
  <c r="D759" i="24"/>
  <c r="E759" i="24" s="1"/>
  <c r="J759" i="24"/>
  <c r="K759" i="24" s="1"/>
  <c r="L759" i="24"/>
  <c r="M759" i="24" s="1"/>
  <c r="V759" i="24"/>
  <c r="W759" i="24" s="1"/>
  <c r="R759" i="24"/>
  <c r="S759" i="24" s="1"/>
  <c r="P759" i="24"/>
  <c r="Q759" i="24" s="1"/>
  <c r="I571" i="37"/>
  <c r="J571" i="37"/>
  <c r="C571" i="37"/>
  <c r="D571" i="37"/>
  <c r="O570" i="37"/>
  <c r="P570" i="37"/>
  <c r="R570" i="37"/>
  <c r="S570" i="37"/>
  <c r="L571" i="37"/>
  <c r="M571" i="37"/>
  <c r="F571" i="37"/>
  <c r="G571" i="37"/>
  <c r="L760" i="24" l="1"/>
  <c r="M760" i="24" s="1"/>
  <c r="T760" i="24"/>
  <c r="U760" i="24" s="1"/>
  <c r="N760" i="24"/>
  <c r="O760" i="24" s="1"/>
  <c r="V760" i="24"/>
  <c r="W760" i="24" s="1"/>
  <c r="A761" i="24"/>
  <c r="F760" i="24"/>
  <c r="G760" i="24" s="1"/>
  <c r="B760" i="24"/>
  <c r="C760" i="24" s="1"/>
  <c r="H760" i="24"/>
  <c r="I760" i="24" s="1"/>
  <c r="P760" i="24"/>
  <c r="Q760" i="24" s="1"/>
  <c r="R760" i="24"/>
  <c r="S760" i="24" s="1"/>
  <c r="D760" i="24"/>
  <c r="E760" i="24" s="1"/>
  <c r="J760" i="24"/>
  <c r="K760" i="24" s="1"/>
  <c r="J572" i="37"/>
  <c r="I572" i="37"/>
  <c r="D572" i="37"/>
  <c r="C572" i="37"/>
  <c r="P571" i="37"/>
  <c r="O571" i="37"/>
  <c r="S571" i="37"/>
  <c r="R571" i="37"/>
  <c r="L572" i="37"/>
  <c r="M572" i="37"/>
  <c r="G572" i="37"/>
  <c r="F572" i="37"/>
  <c r="B761" i="24" l="1"/>
  <c r="C761" i="24" s="1"/>
  <c r="F761" i="24"/>
  <c r="G761" i="24" s="1"/>
  <c r="D761" i="24"/>
  <c r="E761" i="24" s="1"/>
  <c r="R761" i="24"/>
  <c r="S761" i="24" s="1"/>
  <c r="P761" i="24"/>
  <c r="Q761" i="24" s="1"/>
  <c r="T761" i="24"/>
  <c r="U761" i="24" s="1"/>
  <c r="V761" i="24"/>
  <c r="W761" i="24" s="1"/>
  <c r="H761" i="24"/>
  <c r="I761" i="24" s="1"/>
  <c r="A762" i="24"/>
  <c r="N761" i="24"/>
  <c r="O761" i="24" s="1"/>
  <c r="J761" i="24"/>
  <c r="K761" i="24" s="1"/>
  <c r="L761" i="24"/>
  <c r="M761" i="24" s="1"/>
  <c r="J573" i="37"/>
  <c r="I573" i="37"/>
  <c r="C573" i="37"/>
  <c r="D573" i="37"/>
  <c r="P572" i="37"/>
  <c r="O572" i="37"/>
  <c r="M573" i="37"/>
  <c r="L573" i="37"/>
  <c r="F573" i="37"/>
  <c r="G573" i="37"/>
  <c r="S572" i="37"/>
  <c r="R572" i="37"/>
  <c r="H762" i="24" l="1"/>
  <c r="I762" i="24" s="1"/>
  <c r="T762" i="24"/>
  <c r="U762" i="24" s="1"/>
  <c r="P762" i="24"/>
  <c r="Q762" i="24" s="1"/>
  <c r="R762" i="24"/>
  <c r="S762" i="24" s="1"/>
  <c r="V762" i="24"/>
  <c r="W762" i="24" s="1"/>
  <c r="F762" i="24"/>
  <c r="G762" i="24" s="1"/>
  <c r="B762" i="24"/>
  <c r="C762" i="24" s="1"/>
  <c r="J762" i="24"/>
  <c r="K762" i="24" s="1"/>
  <c r="L762" i="24"/>
  <c r="M762" i="24" s="1"/>
  <c r="N762" i="24"/>
  <c r="O762" i="24" s="1"/>
  <c r="D762" i="24"/>
  <c r="E762" i="24" s="1"/>
  <c r="A763" i="24"/>
  <c r="I574" i="37"/>
  <c r="J574" i="37"/>
  <c r="C574" i="37"/>
  <c r="D574" i="37"/>
  <c r="O573" i="37"/>
  <c r="P573" i="37"/>
  <c r="M574" i="37"/>
  <c r="L574" i="37"/>
  <c r="R573" i="37"/>
  <c r="S573" i="37"/>
  <c r="F574" i="37"/>
  <c r="G574" i="37"/>
  <c r="B763" i="24" l="1"/>
  <c r="C763" i="24" s="1"/>
  <c r="V763" i="24"/>
  <c r="W763" i="24" s="1"/>
  <c r="H763" i="24"/>
  <c r="I763" i="24" s="1"/>
  <c r="L763" i="24"/>
  <c r="M763" i="24" s="1"/>
  <c r="R763" i="24"/>
  <c r="S763" i="24" s="1"/>
  <c r="N763" i="24"/>
  <c r="O763" i="24" s="1"/>
  <c r="T763" i="24"/>
  <c r="U763" i="24" s="1"/>
  <c r="F763" i="24"/>
  <c r="G763" i="24" s="1"/>
  <c r="J763" i="24"/>
  <c r="K763" i="24" s="1"/>
  <c r="D763" i="24"/>
  <c r="E763" i="24" s="1"/>
  <c r="A764" i="24"/>
  <c r="P763" i="24"/>
  <c r="Q763" i="24" s="1"/>
  <c r="J575" i="37"/>
  <c r="I575" i="37"/>
  <c r="D575" i="37"/>
  <c r="C575" i="37"/>
  <c r="P574" i="37"/>
  <c r="O574" i="37"/>
  <c r="R574" i="37"/>
  <c r="S574" i="37"/>
  <c r="M575" i="37"/>
  <c r="L575" i="37"/>
  <c r="G575" i="37"/>
  <c r="F575" i="37"/>
  <c r="L764" i="24" l="1"/>
  <c r="M764" i="24" s="1"/>
  <c r="T764" i="24"/>
  <c r="U764" i="24" s="1"/>
  <c r="N764" i="24"/>
  <c r="O764" i="24" s="1"/>
  <c r="H764" i="24"/>
  <c r="I764" i="24" s="1"/>
  <c r="J764" i="24"/>
  <c r="K764" i="24" s="1"/>
  <c r="R764" i="24"/>
  <c r="S764" i="24" s="1"/>
  <c r="V764" i="24"/>
  <c r="W764" i="24" s="1"/>
  <c r="D764" i="24"/>
  <c r="E764" i="24" s="1"/>
  <c r="B764" i="24"/>
  <c r="C764" i="24" s="1"/>
  <c r="P764" i="24"/>
  <c r="Q764" i="24" s="1"/>
  <c r="F764" i="24"/>
  <c r="G764" i="24" s="1"/>
  <c r="A765" i="24"/>
  <c r="J576" i="37"/>
  <c r="I576" i="37"/>
  <c r="D576" i="37"/>
  <c r="C576" i="37"/>
  <c r="P575" i="37"/>
  <c r="O575" i="37"/>
  <c r="F576" i="37"/>
  <c r="G576" i="37"/>
  <c r="M576" i="37"/>
  <c r="L576" i="37"/>
  <c r="R575" i="37"/>
  <c r="S575" i="37"/>
  <c r="B765" i="24" l="1"/>
  <c r="C765" i="24" s="1"/>
  <c r="N765" i="24"/>
  <c r="O765" i="24" s="1"/>
  <c r="L765" i="24"/>
  <c r="M765" i="24" s="1"/>
  <c r="D765" i="24"/>
  <c r="E765" i="24" s="1"/>
  <c r="H765" i="24"/>
  <c r="I765" i="24" s="1"/>
  <c r="R765" i="24"/>
  <c r="S765" i="24" s="1"/>
  <c r="P765" i="24"/>
  <c r="Q765" i="24" s="1"/>
  <c r="F765" i="24"/>
  <c r="G765" i="24" s="1"/>
  <c r="A766" i="24"/>
  <c r="T765" i="24"/>
  <c r="U765" i="24" s="1"/>
  <c r="J765" i="24"/>
  <c r="K765" i="24" s="1"/>
  <c r="V765" i="24"/>
  <c r="W765" i="24" s="1"/>
  <c r="I577" i="37"/>
  <c r="J577" i="37"/>
  <c r="C577" i="37"/>
  <c r="D577" i="37"/>
  <c r="O576" i="37"/>
  <c r="P576" i="37"/>
  <c r="S576" i="37"/>
  <c r="R576" i="37"/>
  <c r="M577" i="37"/>
  <c r="L577" i="37"/>
  <c r="F577" i="37"/>
  <c r="G577" i="37"/>
  <c r="R766" i="24" l="1"/>
  <c r="S766" i="24" s="1"/>
  <c r="T766" i="24"/>
  <c r="U766" i="24" s="1"/>
  <c r="L766" i="24"/>
  <c r="M766" i="24" s="1"/>
  <c r="B766" i="24"/>
  <c r="C766" i="24" s="1"/>
  <c r="D766" i="24"/>
  <c r="E766" i="24" s="1"/>
  <c r="H766" i="24"/>
  <c r="I766" i="24" s="1"/>
  <c r="P766" i="24"/>
  <c r="Q766" i="24" s="1"/>
  <c r="A767" i="24"/>
  <c r="J766" i="24"/>
  <c r="K766" i="24" s="1"/>
  <c r="F766" i="24"/>
  <c r="G766" i="24" s="1"/>
  <c r="V766" i="24"/>
  <c r="W766" i="24" s="1"/>
  <c r="N766" i="24"/>
  <c r="O766" i="24" s="1"/>
  <c r="I578" i="37"/>
  <c r="J578" i="37"/>
  <c r="C578" i="37"/>
  <c r="D578" i="37"/>
  <c r="O577" i="37"/>
  <c r="P577" i="37"/>
  <c r="R577" i="37"/>
  <c r="S577" i="37"/>
  <c r="F578" i="37"/>
  <c r="G578" i="37"/>
  <c r="L578" i="37"/>
  <c r="M578" i="37"/>
  <c r="B767" i="24" l="1"/>
  <c r="C767" i="24" s="1"/>
  <c r="N767" i="24"/>
  <c r="O767" i="24" s="1"/>
  <c r="H767" i="24"/>
  <c r="I767" i="24" s="1"/>
  <c r="T767" i="24"/>
  <c r="U767" i="24" s="1"/>
  <c r="F767" i="24"/>
  <c r="G767" i="24" s="1"/>
  <c r="A768" i="24"/>
  <c r="D767" i="24"/>
  <c r="E767" i="24" s="1"/>
  <c r="P767" i="24"/>
  <c r="Q767" i="24" s="1"/>
  <c r="R767" i="24"/>
  <c r="S767" i="24" s="1"/>
  <c r="V767" i="24"/>
  <c r="W767" i="24" s="1"/>
  <c r="L767" i="24"/>
  <c r="M767" i="24" s="1"/>
  <c r="J767" i="24"/>
  <c r="K767" i="24" s="1"/>
  <c r="I579" i="37"/>
  <c r="J579" i="37"/>
  <c r="D579" i="37"/>
  <c r="C579" i="37"/>
  <c r="P578" i="37"/>
  <c r="O578" i="37"/>
  <c r="S578" i="37"/>
  <c r="R578" i="37"/>
  <c r="M579" i="37"/>
  <c r="L579" i="37"/>
  <c r="G579" i="37"/>
  <c r="F579" i="37"/>
  <c r="L768" i="24" l="1"/>
  <c r="M768" i="24" s="1"/>
  <c r="T768" i="24"/>
  <c r="U768" i="24" s="1"/>
  <c r="R768" i="24"/>
  <c r="S768" i="24" s="1"/>
  <c r="V768" i="24"/>
  <c r="W768" i="24" s="1"/>
  <c r="A769" i="24"/>
  <c r="F768" i="24"/>
  <c r="G768" i="24" s="1"/>
  <c r="B768" i="24"/>
  <c r="C768" i="24" s="1"/>
  <c r="H768" i="24"/>
  <c r="I768" i="24" s="1"/>
  <c r="D768" i="24"/>
  <c r="E768" i="24" s="1"/>
  <c r="N768" i="24"/>
  <c r="O768" i="24" s="1"/>
  <c r="J768" i="24"/>
  <c r="K768" i="24" s="1"/>
  <c r="P768" i="24"/>
  <c r="Q768" i="24" s="1"/>
  <c r="J580" i="37"/>
  <c r="I580" i="37"/>
  <c r="D580" i="37"/>
  <c r="C580" i="37"/>
  <c r="P579" i="37"/>
  <c r="O579" i="37"/>
  <c r="L580" i="37"/>
  <c r="M580" i="37"/>
  <c r="R579" i="37"/>
  <c r="S579" i="37"/>
  <c r="F580" i="37"/>
  <c r="G580" i="37"/>
  <c r="A770" i="24" l="1"/>
  <c r="V769" i="24"/>
  <c r="W769" i="24" s="1"/>
  <c r="H769" i="24"/>
  <c r="I769" i="24" s="1"/>
  <c r="N769" i="24"/>
  <c r="O769" i="24" s="1"/>
  <c r="P769" i="24"/>
  <c r="Q769" i="24" s="1"/>
  <c r="T769" i="24"/>
  <c r="U769" i="24" s="1"/>
  <c r="F769" i="24"/>
  <c r="G769" i="24" s="1"/>
  <c r="D769" i="24"/>
  <c r="E769" i="24" s="1"/>
  <c r="L769" i="24"/>
  <c r="M769" i="24" s="1"/>
  <c r="R769" i="24"/>
  <c r="S769" i="24" s="1"/>
  <c r="J769" i="24"/>
  <c r="K769" i="24" s="1"/>
  <c r="B769" i="24"/>
  <c r="C769" i="24" s="1"/>
  <c r="I581" i="37"/>
  <c r="J581" i="37"/>
  <c r="D581" i="37"/>
  <c r="C581" i="37"/>
  <c r="O580" i="37"/>
  <c r="P580" i="37"/>
  <c r="S580" i="37"/>
  <c r="R580" i="37"/>
  <c r="M581" i="37"/>
  <c r="L581" i="37"/>
  <c r="F581" i="37"/>
  <c r="G581" i="37"/>
  <c r="L770" i="24" l="1"/>
  <c r="M770" i="24" s="1"/>
  <c r="T770" i="24"/>
  <c r="U770" i="24" s="1"/>
  <c r="P770" i="24"/>
  <c r="Q770" i="24" s="1"/>
  <c r="R770" i="24"/>
  <c r="S770" i="24" s="1"/>
  <c r="V770" i="24"/>
  <c r="W770" i="24" s="1"/>
  <c r="F770" i="24"/>
  <c r="G770" i="24" s="1"/>
  <c r="D770" i="24"/>
  <c r="E770" i="24" s="1"/>
  <c r="B770" i="24"/>
  <c r="C770" i="24" s="1"/>
  <c r="J770" i="24"/>
  <c r="K770" i="24" s="1"/>
  <c r="A771" i="24"/>
  <c r="H770" i="24"/>
  <c r="I770" i="24" s="1"/>
  <c r="N770" i="24"/>
  <c r="O770" i="24" s="1"/>
  <c r="J582" i="37"/>
  <c r="I582" i="37"/>
  <c r="D582" i="37"/>
  <c r="C582" i="37"/>
  <c r="O581" i="37"/>
  <c r="P581" i="37"/>
  <c r="L582" i="37"/>
  <c r="M582" i="37"/>
  <c r="S581" i="37"/>
  <c r="R581" i="37"/>
  <c r="F582" i="37"/>
  <c r="G582" i="37"/>
  <c r="B771" i="24" l="1"/>
  <c r="C771" i="24" s="1"/>
  <c r="F771" i="24"/>
  <c r="G771" i="24" s="1"/>
  <c r="D771" i="24"/>
  <c r="E771" i="24" s="1"/>
  <c r="R771" i="24"/>
  <c r="S771" i="24" s="1"/>
  <c r="N771" i="24"/>
  <c r="O771" i="24" s="1"/>
  <c r="L771" i="24"/>
  <c r="M771" i="24" s="1"/>
  <c r="T771" i="24"/>
  <c r="U771" i="24" s="1"/>
  <c r="P771" i="24"/>
  <c r="Q771" i="24" s="1"/>
  <c r="J771" i="24"/>
  <c r="K771" i="24" s="1"/>
  <c r="H771" i="24"/>
  <c r="I771" i="24" s="1"/>
  <c r="V771" i="24"/>
  <c r="W771" i="24" s="1"/>
  <c r="A772" i="24"/>
  <c r="I583" i="37"/>
  <c r="J583" i="37"/>
  <c r="D583" i="37"/>
  <c r="C583" i="37"/>
  <c r="P582" i="37"/>
  <c r="O582" i="37"/>
  <c r="G583" i="37"/>
  <c r="F583" i="37"/>
  <c r="R582" i="37"/>
  <c r="S582" i="37"/>
  <c r="L583" i="37"/>
  <c r="M583" i="37"/>
  <c r="R772" i="24" l="1"/>
  <c r="S772" i="24" s="1"/>
  <c r="T772" i="24"/>
  <c r="U772" i="24" s="1"/>
  <c r="N772" i="24"/>
  <c r="O772" i="24" s="1"/>
  <c r="H772" i="24"/>
  <c r="I772" i="24" s="1"/>
  <c r="J772" i="24"/>
  <c r="K772" i="24" s="1"/>
  <c r="L772" i="24"/>
  <c r="M772" i="24" s="1"/>
  <c r="V772" i="24"/>
  <c r="W772" i="24" s="1"/>
  <c r="D772" i="24"/>
  <c r="E772" i="24" s="1"/>
  <c r="A773" i="24"/>
  <c r="B772" i="24"/>
  <c r="C772" i="24" s="1"/>
  <c r="F772" i="24"/>
  <c r="G772" i="24" s="1"/>
  <c r="P772" i="24"/>
  <c r="Q772" i="24" s="1"/>
  <c r="J584" i="37"/>
  <c r="I584" i="37"/>
  <c r="D584" i="37"/>
  <c r="C584" i="37"/>
  <c r="O583" i="37"/>
  <c r="P583" i="37"/>
  <c r="R583" i="37"/>
  <c r="S583" i="37"/>
  <c r="L584" i="37"/>
  <c r="M584" i="37"/>
  <c r="F584" i="37"/>
  <c r="G584" i="37"/>
  <c r="B773" i="24" l="1"/>
  <c r="C773" i="24" s="1"/>
  <c r="V773" i="24"/>
  <c r="W773" i="24" s="1"/>
  <c r="H773" i="24"/>
  <c r="I773" i="24" s="1"/>
  <c r="D773" i="24"/>
  <c r="E773" i="24" s="1"/>
  <c r="J773" i="24"/>
  <c r="K773" i="24" s="1"/>
  <c r="R773" i="24"/>
  <c r="S773" i="24" s="1"/>
  <c r="P773" i="24"/>
  <c r="Q773" i="24" s="1"/>
  <c r="T773" i="24"/>
  <c r="U773" i="24" s="1"/>
  <c r="A774" i="24"/>
  <c r="L773" i="24"/>
  <c r="M773" i="24" s="1"/>
  <c r="F773" i="24"/>
  <c r="G773" i="24" s="1"/>
  <c r="N773" i="24"/>
  <c r="O773" i="24" s="1"/>
  <c r="I585" i="37"/>
  <c r="J585" i="37"/>
  <c r="C585" i="37"/>
  <c r="D585" i="37"/>
  <c r="O584" i="37"/>
  <c r="P584" i="37"/>
  <c r="M585" i="37"/>
  <c r="L585" i="37"/>
  <c r="F585" i="37"/>
  <c r="G585" i="37"/>
  <c r="S584" i="37"/>
  <c r="R584" i="37"/>
  <c r="R774" i="24" l="1"/>
  <c r="S774" i="24" s="1"/>
  <c r="T774" i="24"/>
  <c r="U774" i="24" s="1"/>
  <c r="P774" i="24"/>
  <c r="Q774" i="24" s="1"/>
  <c r="B774" i="24"/>
  <c r="C774" i="24" s="1"/>
  <c r="D774" i="24"/>
  <c r="E774" i="24" s="1"/>
  <c r="H774" i="24"/>
  <c r="I774" i="24" s="1"/>
  <c r="L774" i="24"/>
  <c r="M774" i="24" s="1"/>
  <c r="V774" i="24"/>
  <c r="W774" i="24" s="1"/>
  <c r="F774" i="24"/>
  <c r="G774" i="24" s="1"/>
  <c r="A775" i="24"/>
  <c r="J774" i="24"/>
  <c r="K774" i="24" s="1"/>
  <c r="N774" i="24"/>
  <c r="O774" i="24" s="1"/>
  <c r="I586" i="37"/>
  <c r="J586" i="37"/>
  <c r="C586" i="37"/>
  <c r="D586" i="37"/>
  <c r="O585" i="37"/>
  <c r="P585" i="37"/>
  <c r="L586" i="37"/>
  <c r="M586" i="37"/>
  <c r="R585" i="37"/>
  <c r="S585" i="37"/>
  <c r="G586" i="37"/>
  <c r="F586" i="37"/>
  <c r="D775" i="24" l="1"/>
  <c r="E775" i="24" s="1"/>
  <c r="N775" i="24"/>
  <c r="O775" i="24" s="1"/>
  <c r="H775" i="24"/>
  <c r="I775" i="24" s="1"/>
  <c r="T775" i="24"/>
  <c r="U775" i="24" s="1"/>
  <c r="F775" i="24"/>
  <c r="G775" i="24" s="1"/>
  <c r="A776" i="24"/>
  <c r="B775" i="24"/>
  <c r="C775" i="24" s="1"/>
  <c r="L775" i="24"/>
  <c r="M775" i="24" s="1"/>
  <c r="J775" i="24"/>
  <c r="K775" i="24" s="1"/>
  <c r="V775" i="24"/>
  <c r="W775" i="24" s="1"/>
  <c r="R775" i="24"/>
  <c r="S775" i="24" s="1"/>
  <c r="P775" i="24"/>
  <c r="Q775" i="24" s="1"/>
  <c r="J587" i="37"/>
  <c r="I587" i="37"/>
  <c r="D587" i="37"/>
  <c r="C587" i="37"/>
  <c r="O586" i="37"/>
  <c r="P586" i="37"/>
  <c r="R586" i="37"/>
  <c r="S586" i="37"/>
  <c r="G587" i="37"/>
  <c r="F587" i="37"/>
  <c r="M587" i="37"/>
  <c r="L587" i="37"/>
  <c r="L776" i="24" l="1"/>
  <c r="M776" i="24" s="1"/>
  <c r="T776" i="24"/>
  <c r="U776" i="24" s="1"/>
  <c r="P776" i="24"/>
  <c r="Q776" i="24" s="1"/>
  <c r="F776" i="24"/>
  <c r="G776" i="24" s="1"/>
  <c r="A777" i="24"/>
  <c r="V776" i="24"/>
  <c r="W776" i="24" s="1"/>
  <c r="B776" i="24"/>
  <c r="C776" i="24" s="1"/>
  <c r="H776" i="24"/>
  <c r="I776" i="24" s="1"/>
  <c r="R776" i="24"/>
  <c r="S776" i="24" s="1"/>
  <c r="N776" i="24"/>
  <c r="O776" i="24" s="1"/>
  <c r="D776" i="24"/>
  <c r="E776" i="24" s="1"/>
  <c r="J776" i="24"/>
  <c r="K776" i="24" s="1"/>
  <c r="I588" i="37"/>
  <c r="J588" i="37"/>
  <c r="D588" i="37"/>
  <c r="C588" i="37"/>
  <c r="O587" i="37"/>
  <c r="P587" i="37"/>
  <c r="S587" i="37"/>
  <c r="R587" i="37"/>
  <c r="L588" i="37"/>
  <c r="M588" i="37"/>
  <c r="G588" i="37"/>
  <c r="F588" i="37"/>
  <c r="B777" i="24" l="1"/>
  <c r="C777" i="24" s="1"/>
  <c r="V777" i="24"/>
  <c r="W777" i="24" s="1"/>
  <c r="D777" i="24"/>
  <c r="E777" i="24" s="1"/>
  <c r="R777" i="24"/>
  <c r="S777" i="24" s="1"/>
  <c r="F777" i="24"/>
  <c r="G777" i="24" s="1"/>
  <c r="T777" i="24"/>
  <c r="U777" i="24" s="1"/>
  <c r="P777" i="24"/>
  <c r="Q777" i="24" s="1"/>
  <c r="H777" i="24"/>
  <c r="I777" i="24" s="1"/>
  <c r="A778" i="24"/>
  <c r="N777" i="24"/>
  <c r="O777" i="24" s="1"/>
  <c r="L777" i="24"/>
  <c r="M777" i="24" s="1"/>
  <c r="J777" i="24"/>
  <c r="K777" i="24" s="1"/>
  <c r="I589" i="37"/>
  <c r="J589" i="37"/>
  <c r="C589" i="37"/>
  <c r="D589" i="37"/>
  <c r="O588" i="37"/>
  <c r="P588" i="37"/>
  <c r="L589" i="37"/>
  <c r="M589" i="37"/>
  <c r="F589" i="37"/>
  <c r="G589" i="37"/>
  <c r="R588" i="37"/>
  <c r="S588" i="37"/>
  <c r="L778" i="24" l="1"/>
  <c r="M778" i="24" s="1"/>
  <c r="T778" i="24"/>
  <c r="U778" i="24" s="1"/>
  <c r="P778" i="24"/>
  <c r="Q778" i="24" s="1"/>
  <c r="R778" i="24"/>
  <c r="S778" i="24" s="1"/>
  <c r="N778" i="24"/>
  <c r="O778" i="24" s="1"/>
  <c r="V778" i="24"/>
  <c r="W778" i="24" s="1"/>
  <c r="A779" i="24"/>
  <c r="H778" i="24"/>
  <c r="I778" i="24" s="1"/>
  <c r="J778" i="24"/>
  <c r="K778" i="24" s="1"/>
  <c r="F778" i="24"/>
  <c r="G778" i="24" s="1"/>
  <c r="D778" i="24"/>
  <c r="E778" i="24" s="1"/>
  <c r="B778" i="24"/>
  <c r="C778" i="24" s="1"/>
  <c r="I590" i="37"/>
  <c r="J590" i="37"/>
  <c r="D590" i="37"/>
  <c r="C590" i="37"/>
  <c r="O589" i="37"/>
  <c r="P589" i="37"/>
  <c r="G590" i="37"/>
  <c r="F590" i="37"/>
  <c r="R589" i="37"/>
  <c r="S589" i="37"/>
  <c r="M590" i="37"/>
  <c r="L590" i="37"/>
  <c r="A780" i="24" l="1"/>
  <c r="P779" i="24"/>
  <c r="Q779" i="24" s="1"/>
  <c r="H779" i="24"/>
  <c r="I779" i="24" s="1"/>
  <c r="L779" i="24"/>
  <c r="M779" i="24" s="1"/>
  <c r="R779" i="24"/>
  <c r="S779" i="24" s="1"/>
  <c r="N779" i="24"/>
  <c r="O779" i="24" s="1"/>
  <c r="T779" i="24"/>
  <c r="U779" i="24" s="1"/>
  <c r="F779" i="24"/>
  <c r="G779" i="24" s="1"/>
  <c r="J779" i="24"/>
  <c r="K779" i="24" s="1"/>
  <c r="B779" i="24"/>
  <c r="C779" i="24" s="1"/>
  <c r="D779" i="24"/>
  <c r="E779" i="24" s="1"/>
  <c r="V779" i="24"/>
  <c r="W779" i="24" s="1"/>
  <c r="I591" i="37"/>
  <c r="J591" i="37"/>
  <c r="C591" i="37"/>
  <c r="D591" i="37"/>
  <c r="P590" i="37"/>
  <c r="O590" i="37"/>
  <c r="R590" i="37"/>
  <c r="S590" i="37"/>
  <c r="M591" i="37"/>
  <c r="L591" i="37"/>
  <c r="G591" i="37"/>
  <c r="F591" i="37"/>
  <c r="L780" i="24" l="1"/>
  <c r="M780" i="24" s="1"/>
  <c r="T780" i="24"/>
  <c r="U780" i="24" s="1"/>
  <c r="N780" i="24"/>
  <c r="O780" i="24" s="1"/>
  <c r="H780" i="24"/>
  <c r="I780" i="24" s="1"/>
  <c r="J780" i="24"/>
  <c r="K780" i="24" s="1"/>
  <c r="R780" i="24"/>
  <c r="S780" i="24" s="1"/>
  <c r="V780" i="24"/>
  <c r="W780" i="24" s="1"/>
  <c r="B780" i="24"/>
  <c r="C780" i="24" s="1"/>
  <c r="D780" i="24"/>
  <c r="E780" i="24" s="1"/>
  <c r="P780" i="24"/>
  <c r="Q780" i="24" s="1"/>
  <c r="A781" i="24"/>
  <c r="F780" i="24"/>
  <c r="G780" i="24" s="1"/>
  <c r="J592" i="37"/>
  <c r="I592" i="37"/>
  <c r="C592" i="37"/>
  <c r="D592" i="37"/>
  <c r="P591" i="37"/>
  <c r="O591" i="37"/>
  <c r="L592" i="37"/>
  <c r="M592" i="37"/>
  <c r="F592" i="37"/>
  <c r="G592" i="37"/>
  <c r="R591" i="37"/>
  <c r="S591" i="37"/>
  <c r="B781" i="24" l="1"/>
  <c r="C781" i="24" s="1"/>
  <c r="N781" i="24"/>
  <c r="O781" i="24" s="1"/>
  <c r="H781" i="24"/>
  <c r="I781" i="24" s="1"/>
  <c r="D781" i="24"/>
  <c r="E781" i="24" s="1"/>
  <c r="R781" i="24"/>
  <c r="S781" i="24" s="1"/>
  <c r="J781" i="24"/>
  <c r="K781" i="24" s="1"/>
  <c r="P781" i="24"/>
  <c r="Q781" i="24" s="1"/>
  <c r="F781" i="24"/>
  <c r="G781" i="24" s="1"/>
  <c r="A782" i="24"/>
  <c r="V781" i="24"/>
  <c r="W781" i="24" s="1"/>
  <c r="L781" i="24"/>
  <c r="M781" i="24" s="1"/>
  <c r="T781" i="24"/>
  <c r="U781" i="24" s="1"/>
  <c r="J593" i="37"/>
  <c r="I593" i="37"/>
  <c r="D593" i="37"/>
  <c r="C593" i="37"/>
  <c r="P592" i="37"/>
  <c r="O592" i="37"/>
  <c r="S592" i="37"/>
  <c r="R592" i="37"/>
  <c r="F593" i="37"/>
  <c r="G593" i="37"/>
  <c r="M593" i="37"/>
  <c r="L593" i="37"/>
  <c r="R782" i="24" l="1"/>
  <c r="S782" i="24" s="1"/>
  <c r="T782" i="24"/>
  <c r="U782" i="24" s="1"/>
  <c r="P782" i="24"/>
  <c r="Q782" i="24" s="1"/>
  <c r="B782" i="24"/>
  <c r="C782" i="24" s="1"/>
  <c r="D782" i="24"/>
  <c r="E782" i="24" s="1"/>
  <c r="H782" i="24"/>
  <c r="I782" i="24" s="1"/>
  <c r="L782" i="24"/>
  <c r="M782" i="24" s="1"/>
  <c r="A783" i="24"/>
  <c r="J782" i="24"/>
  <c r="K782" i="24" s="1"/>
  <c r="F782" i="24"/>
  <c r="G782" i="24" s="1"/>
  <c r="N782" i="24"/>
  <c r="O782" i="24" s="1"/>
  <c r="V782" i="24"/>
  <c r="W782" i="24" s="1"/>
  <c r="I594" i="37"/>
  <c r="J594" i="37"/>
  <c r="C594" i="37"/>
  <c r="D594" i="37"/>
  <c r="P593" i="37"/>
  <c r="O593" i="37"/>
  <c r="F594" i="37"/>
  <c r="G594" i="37"/>
  <c r="R593" i="37"/>
  <c r="S593" i="37"/>
  <c r="L594" i="37"/>
  <c r="M594" i="37"/>
  <c r="B783" i="24" l="1"/>
  <c r="C783" i="24" s="1"/>
  <c r="F783" i="24"/>
  <c r="G783" i="24" s="1"/>
  <c r="H783" i="24"/>
  <c r="I783" i="24" s="1"/>
  <c r="T783" i="24"/>
  <c r="U783" i="24" s="1"/>
  <c r="N783" i="24"/>
  <c r="O783" i="24" s="1"/>
  <c r="A784" i="24"/>
  <c r="D783" i="24"/>
  <c r="E783" i="24" s="1"/>
  <c r="R783" i="24"/>
  <c r="S783" i="24" s="1"/>
  <c r="J783" i="24"/>
  <c r="K783" i="24" s="1"/>
  <c r="L783" i="24"/>
  <c r="M783" i="24" s="1"/>
  <c r="V783" i="24"/>
  <c r="W783" i="24" s="1"/>
  <c r="P783" i="24"/>
  <c r="Q783" i="24" s="1"/>
  <c r="I595" i="37"/>
  <c r="J595" i="37"/>
  <c r="C595" i="37"/>
  <c r="D595" i="37"/>
  <c r="O594" i="37"/>
  <c r="P594" i="37"/>
  <c r="L595" i="37"/>
  <c r="M595" i="37"/>
  <c r="R594" i="37"/>
  <c r="S594" i="37"/>
  <c r="F595" i="37"/>
  <c r="G595" i="37"/>
  <c r="L784" i="24" l="1"/>
  <c r="M784" i="24" s="1"/>
  <c r="N784" i="24"/>
  <c r="O784" i="24" s="1"/>
  <c r="T784" i="24"/>
  <c r="U784" i="24" s="1"/>
  <c r="R784" i="24"/>
  <c r="S784" i="24" s="1"/>
  <c r="A785" i="24"/>
  <c r="V784" i="24"/>
  <c r="W784" i="24" s="1"/>
  <c r="D784" i="24"/>
  <c r="E784" i="24" s="1"/>
  <c r="B784" i="24"/>
  <c r="C784" i="24" s="1"/>
  <c r="P784" i="24"/>
  <c r="Q784" i="24" s="1"/>
  <c r="H784" i="24"/>
  <c r="I784" i="24" s="1"/>
  <c r="F784" i="24"/>
  <c r="G784" i="24" s="1"/>
  <c r="J784" i="24"/>
  <c r="K784" i="24" s="1"/>
  <c r="I596" i="37"/>
  <c r="J596" i="37"/>
  <c r="C596" i="37"/>
  <c r="D596" i="37"/>
  <c r="O595" i="37"/>
  <c r="P595" i="37"/>
  <c r="S595" i="37"/>
  <c r="R595" i="37"/>
  <c r="G596" i="37"/>
  <c r="F596" i="37"/>
  <c r="L596" i="37"/>
  <c r="M596" i="37"/>
  <c r="H785" i="24" l="1"/>
  <c r="I785" i="24" s="1"/>
  <c r="J785" i="24"/>
  <c r="K785" i="24" s="1"/>
  <c r="L785" i="24"/>
  <c r="M785" i="24" s="1"/>
  <c r="T785" i="24"/>
  <c r="U785" i="24" s="1"/>
  <c r="R785" i="24"/>
  <c r="S785" i="24" s="1"/>
  <c r="B785" i="24"/>
  <c r="C785" i="24" s="1"/>
  <c r="D785" i="24"/>
  <c r="E785" i="24" s="1"/>
  <c r="N785" i="24"/>
  <c r="O785" i="24" s="1"/>
  <c r="V785" i="24"/>
  <c r="W785" i="24" s="1"/>
  <c r="P785" i="24"/>
  <c r="Q785" i="24" s="1"/>
  <c r="F785" i="24"/>
  <c r="G785" i="24" s="1"/>
  <c r="A786" i="24"/>
  <c r="I597" i="37"/>
  <c r="J597" i="37"/>
  <c r="D597" i="37"/>
  <c r="C597" i="37"/>
  <c r="O596" i="37"/>
  <c r="P596" i="37"/>
  <c r="F597" i="37"/>
  <c r="G597" i="37"/>
  <c r="M597" i="37"/>
  <c r="L597" i="37"/>
  <c r="R596" i="37"/>
  <c r="S596" i="37"/>
  <c r="T786" i="24" l="1"/>
  <c r="U786" i="24" s="1"/>
  <c r="P786" i="24"/>
  <c r="Q786" i="24" s="1"/>
  <c r="A787" i="24"/>
  <c r="N786" i="24"/>
  <c r="O786" i="24" s="1"/>
  <c r="B786" i="24"/>
  <c r="C786" i="24" s="1"/>
  <c r="V786" i="24"/>
  <c r="W786" i="24" s="1"/>
  <c r="H786" i="24"/>
  <c r="I786" i="24" s="1"/>
  <c r="L786" i="24"/>
  <c r="M786" i="24" s="1"/>
  <c r="R786" i="24"/>
  <c r="S786" i="24" s="1"/>
  <c r="F786" i="24"/>
  <c r="G786" i="24" s="1"/>
  <c r="J786" i="24"/>
  <c r="K786" i="24" s="1"/>
  <c r="D786" i="24"/>
  <c r="E786" i="24" s="1"/>
  <c r="J598" i="37"/>
  <c r="I598" i="37"/>
  <c r="C598" i="37"/>
  <c r="D598" i="37"/>
  <c r="P597" i="37"/>
  <c r="O597" i="37"/>
  <c r="M598" i="37"/>
  <c r="L598" i="37"/>
  <c r="R597" i="37"/>
  <c r="S597" i="37"/>
  <c r="F598" i="37"/>
  <c r="G598" i="37"/>
  <c r="H787" i="24" l="1"/>
  <c r="I787" i="24" s="1"/>
  <c r="J787" i="24"/>
  <c r="K787" i="24" s="1"/>
  <c r="R787" i="24"/>
  <c r="S787" i="24" s="1"/>
  <c r="T787" i="24"/>
  <c r="U787" i="24" s="1"/>
  <c r="N787" i="24"/>
  <c r="O787" i="24" s="1"/>
  <c r="F787" i="24"/>
  <c r="G787" i="24" s="1"/>
  <c r="P787" i="24"/>
  <c r="Q787" i="24" s="1"/>
  <c r="D787" i="24"/>
  <c r="E787" i="24" s="1"/>
  <c r="B787" i="24"/>
  <c r="C787" i="24" s="1"/>
  <c r="L787" i="24"/>
  <c r="M787" i="24" s="1"/>
  <c r="A788" i="24"/>
  <c r="V787" i="24"/>
  <c r="W787" i="24" s="1"/>
  <c r="I599" i="37"/>
  <c r="J599" i="37"/>
  <c r="C599" i="37"/>
  <c r="D599" i="37"/>
  <c r="P598" i="37"/>
  <c r="O598" i="37"/>
  <c r="G599" i="37"/>
  <c r="F599" i="37"/>
  <c r="L599" i="37"/>
  <c r="M599" i="37"/>
  <c r="S598" i="37"/>
  <c r="R598" i="37"/>
  <c r="T788" i="24" l="1"/>
  <c r="U788" i="24" s="1"/>
  <c r="N788" i="24"/>
  <c r="O788" i="24" s="1"/>
  <c r="A789" i="24"/>
  <c r="P788" i="24"/>
  <c r="Q788" i="24" s="1"/>
  <c r="D788" i="24"/>
  <c r="E788" i="24" s="1"/>
  <c r="V788" i="24"/>
  <c r="W788" i="24" s="1"/>
  <c r="B788" i="24"/>
  <c r="C788" i="24" s="1"/>
  <c r="H788" i="24"/>
  <c r="I788" i="24" s="1"/>
  <c r="R788" i="24"/>
  <c r="S788" i="24" s="1"/>
  <c r="J788" i="24"/>
  <c r="K788" i="24" s="1"/>
  <c r="L788" i="24"/>
  <c r="M788" i="24" s="1"/>
  <c r="F788" i="24"/>
  <c r="G788" i="24" s="1"/>
  <c r="I600" i="37"/>
  <c r="J600" i="37"/>
  <c r="C600" i="37"/>
  <c r="D600" i="37"/>
  <c r="P599" i="37"/>
  <c r="O599" i="37"/>
  <c r="F600" i="37"/>
  <c r="G600" i="37"/>
  <c r="R599" i="37"/>
  <c r="S599" i="37"/>
  <c r="L600" i="37"/>
  <c r="M600" i="37"/>
  <c r="H789" i="24" l="1"/>
  <c r="I789" i="24" s="1"/>
  <c r="R789" i="24"/>
  <c r="S789" i="24" s="1"/>
  <c r="L789" i="24"/>
  <c r="M789" i="24" s="1"/>
  <c r="T789" i="24"/>
  <c r="U789" i="24" s="1"/>
  <c r="J789" i="24"/>
  <c r="K789" i="24" s="1"/>
  <c r="B789" i="24"/>
  <c r="C789" i="24" s="1"/>
  <c r="D789" i="24"/>
  <c r="E789" i="24" s="1"/>
  <c r="P789" i="24"/>
  <c r="Q789" i="24" s="1"/>
  <c r="F789" i="24"/>
  <c r="G789" i="24" s="1"/>
  <c r="N789" i="24"/>
  <c r="O789" i="24" s="1"/>
  <c r="A790" i="24"/>
  <c r="V789" i="24"/>
  <c r="W789" i="24" s="1"/>
  <c r="J601" i="37"/>
  <c r="I601" i="37"/>
  <c r="D601" i="37"/>
  <c r="C601" i="37"/>
  <c r="P600" i="37"/>
  <c r="O600" i="37"/>
  <c r="S600" i="37"/>
  <c r="R600" i="37"/>
  <c r="G601" i="37"/>
  <c r="F601" i="37"/>
  <c r="M601" i="37"/>
  <c r="L601" i="37"/>
  <c r="T790" i="24" l="1"/>
  <c r="U790" i="24" s="1"/>
  <c r="P790" i="24"/>
  <c r="Q790" i="24" s="1"/>
  <c r="A791" i="24"/>
  <c r="N790" i="24"/>
  <c r="O790" i="24" s="1"/>
  <c r="B790" i="24"/>
  <c r="C790" i="24" s="1"/>
  <c r="V790" i="24"/>
  <c r="W790" i="24" s="1"/>
  <c r="H790" i="24"/>
  <c r="I790" i="24" s="1"/>
  <c r="R790" i="24"/>
  <c r="S790" i="24" s="1"/>
  <c r="L790" i="24"/>
  <c r="M790" i="24" s="1"/>
  <c r="F790" i="24"/>
  <c r="G790" i="24" s="1"/>
  <c r="J790" i="24"/>
  <c r="K790" i="24" s="1"/>
  <c r="D790" i="24"/>
  <c r="E790" i="24" s="1"/>
  <c r="J602" i="37"/>
  <c r="I602" i="37"/>
  <c r="C602" i="37"/>
  <c r="D602" i="37"/>
  <c r="O601" i="37"/>
  <c r="P601" i="37"/>
  <c r="F602" i="37"/>
  <c r="G602" i="37"/>
  <c r="S601" i="37"/>
  <c r="R601" i="37"/>
  <c r="L602" i="37"/>
  <c r="M602" i="37"/>
  <c r="H791" i="24" l="1"/>
  <c r="I791" i="24" s="1"/>
  <c r="L791" i="24"/>
  <c r="M791" i="24" s="1"/>
  <c r="J791" i="24"/>
  <c r="K791" i="24" s="1"/>
  <c r="T791" i="24"/>
  <c r="U791" i="24" s="1"/>
  <c r="R791" i="24"/>
  <c r="S791" i="24" s="1"/>
  <c r="N791" i="24"/>
  <c r="O791" i="24" s="1"/>
  <c r="F791" i="24"/>
  <c r="G791" i="24" s="1"/>
  <c r="D791" i="24"/>
  <c r="E791" i="24" s="1"/>
  <c r="A792" i="24"/>
  <c r="B791" i="24"/>
  <c r="C791" i="24" s="1"/>
  <c r="P791" i="24"/>
  <c r="Q791" i="24" s="1"/>
  <c r="V791" i="24"/>
  <c r="W791" i="24" s="1"/>
  <c r="I603" i="37"/>
  <c r="J603" i="37"/>
  <c r="C603" i="37"/>
  <c r="D603" i="37"/>
  <c r="O602" i="37"/>
  <c r="P602" i="37"/>
  <c r="R602" i="37"/>
  <c r="S602" i="37"/>
  <c r="M603" i="37"/>
  <c r="L603" i="37"/>
  <c r="F603" i="37"/>
  <c r="G603" i="37"/>
  <c r="T792" i="24" l="1"/>
  <c r="U792" i="24" s="1"/>
  <c r="R792" i="24"/>
  <c r="S792" i="24" s="1"/>
  <c r="A793" i="24"/>
  <c r="N792" i="24"/>
  <c r="O792" i="24" s="1"/>
  <c r="B792" i="24"/>
  <c r="C792" i="24" s="1"/>
  <c r="V792" i="24"/>
  <c r="W792" i="24" s="1"/>
  <c r="J792" i="24"/>
  <c r="K792" i="24" s="1"/>
  <c r="D792" i="24"/>
  <c r="E792" i="24" s="1"/>
  <c r="P792" i="24"/>
  <c r="Q792" i="24" s="1"/>
  <c r="H792" i="24"/>
  <c r="I792" i="24" s="1"/>
  <c r="F792" i="24"/>
  <c r="G792" i="24" s="1"/>
  <c r="L792" i="24"/>
  <c r="M792" i="24" s="1"/>
  <c r="J604" i="37"/>
  <c r="I604" i="37"/>
  <c r="C604" i="37"/>
  <c r="D604" i="37"/>
  <c r="O603" i="37"/>
  <c r="P603" i="37"/>
  <c r="G604" i="37"/>
  <c r="F604" i="37"/>
  <c r="L604" i="37"/>
  <c r="M604" i="37"/>
  <c r="R603" i="37"/>
  <c r="S603" i="37"/>
  <c r="D793" i="24" l="1"/>
  <c r="E793" i="24" s="1"/>
  <c r="J793" i="24"/>
  <c r="K793" i="24" s="1"/>
  <c r="L793" i="24"/>
  <c r="M793" i="24" s="1"/>
  <c r="T793" i="24"/>
  <c r="U793" i="24" s="1"/>
  <c r="N793" i="24"/>
  <c r="O793" i="24" s="1"/>
  <c r="A794" i="24"/>
  <c r="H793" i="24"/>
  <c r="I793" i="24" s="1"/>
  <c r="R793" i="24"/>
  <c r="S793" i="24" s="1"/>
  <c r="F793" i="24"/>
  <c r="G793" i="24" s="1"/>
  <c r="P793" i="24"/>
  <c r="Q793" i="24" s="1"/>
  <c r="V793" i="24"/>
  <c r="W793" i="24" s="1"/>
  <c r="B793" i="24"/>
  <c r="C793" i="24" s="1"/>
  <c r="J605" i="37"/>
  <c r="I605" i="37"/>
  <c r="C605" i="37"/>
  <c r="D605" i="37"/>
  <c r="O604" i="37"/>
  <c r="P604" i="37"/>
  <c r="F605" i="37"/>
  <c r="G605" i="37"/>
  <c r="R604" i="37"/>
  <c r="S604" i="37"/>
  <c r="M605" i="37"/>
  <c r="L605" i="37"/>
  <c r="T794" i="24" l="1"/>
  <c r="U794" i="24" s="1"/>
  <c r="P794" i="24"/>
  <c r="Q794" i="24" s="1"/>
  <c r="B794" i="24"/>
  <c r="C794" i="24" s="1"/>
  <c r="N794" i="24"/>
  <c r="O794" i="24" s="1"/>
  <c r="A795" i="24"/>
  <c r="V794" i="24"/>
  <c r="W794" i="24" s="1"/>
  <c r="D794" i="24"/>
  <c r="E794" i="24" s="1"/>
  <c r="L794" i="24"/>
  <c r="M794" i="24" s="1"/>
  <c r="R794" i="24"/>
  <c r="S794" i="24" s="1"/>
  <c r="F794" i="24"/>
  <c r="G794" i="24" s="1"/>
  <c r="J794" i="24"/>
  <c r="K794" i="24" s="1"/>
  <c r="H794" i="24"/>
  <c r="I794" i="24" s="1"/>
  <c r="I606" i="37"/>
  <c r="J606" i="37"/>
  <c r="C606" i="37"/>
  <c r="D606" i="37"/>
  <c r="O605" i="37"/>
  <c r="P605" i="37"/>
  <c r="S605" i="37"/>
  <c r="R605" i="37"/>
  <c r="G606" i="37"/>
  <c r="F606" i="37"/>
  <c r="M606" i="37"/>
  <c r="L606" i="37"/>
  <c r="D795" i="24" l="1"/>
  <c r="E795" i="24" s="1"/>
  <c r="J795" i="24"/>
  <c r="K795" i="24" s="1"/>
  <c r="L795" i="24"/>
  <c r="M795" i="24" s="1"/>
  <c r="T795" i="24"/>
  <c r="U795" i="24" s="1"/>
  <c r="N795" i="24"/>
  <c r="O795" i="24" s="1"/>
  <c r="V795" i="24"/>
  <c r="W795" i="24" s="1"/>
  <c r="F795" i="24"/>
  <c r="G795" i="24" s="1"/>
  <c r="H795" i="24"/>
  <c r="I795" i="24" s="1"/>
  <c r="B795" i="24"/>
  <c r="C795" i="24" s="1"/>
  <c r="A796" i="24"/>
  <c r="P795" i="24"/>
  <c r="Q795" i="24" s="1"/>
  <c r="R795" i="24"/>
  <c r="S795" i="24" s="1"/>
  <c r="I607" i="37"/>
  <c r="J607" i="37"/>
  <c r="C607" i="37"/>
  <c r="D607" i="37"/>
  <c r="P606" i="37"/>
  <c r="O606" i="37"/>
  <c r="G607" i="37"/>
  <c r="F607" i="37"/>
  <c r="M607" i="37"/>
  <c r="L607" i="37"/>
  <c r="R606" i="37"/>
  <c r="S606" i="37"/>
  <c r="T796" i="24" l="1"/>
  <c r="U796" i="24" s="1"/>
  <c r="N796" i="24"/>
  <c r="O796" i="24" s="1"/>
  <c r="D796" i="24"/>
  <c r="E796" i="24" s="1"/>
  <c r="P796" i="24"/>
  <c r="Q796" i="24" s="1"/>
  <c r="B796" i="24"/>
  <c r="C796" i="24" s="1"/>
  <c r="F796" i="24"/>
  <c r="G796" i="24" s="1"/>
  <c r="A797" i="24"/>
  <c r="H796" i="24"/>
  <c r="I796" i="24" s="1"/>
  <c r="R796" i="24"/>
  <c r="S796" i="24" s="1"/>
  <c r="J796" i="24"/>
  <c r="K796" i="24" s="1"/>
  <c r="L796" i="24"/>
  <c r="M796" i="24" s="1"/>
  <c r="V796" i="24"/>
  <c r="W796" i="24" s="1"/>
  <c r="I608" i="37"/>
  <c r="J608" i="37"/>
  <c r="C608" i="37"/>
  <c r="D608" i="37"/>
  <c r="P607" i="37"/>
  <c r="O607" i="37"/>
  <c r="F608" i="37"/>
  <c r="G608" i="37"/>
  <c r="L608" i="37"/>
  <c r="M608" i="37"/>
  <c r="R607" i="37"/>
  <c r="S607" i="37"/>
  <c r="H797" i="24" l="1"/>
  <c r="I797" i="24" s="1"/>
  <c r="R797" i="24"/>
  <c r="S797" i="24" s="1"/>
  <c r="J797" i="24"/>
  <c r="K797" i="24" s="1"/>
  <c r="T797" i="24"/>
  <c r="U797" i="24" s="1"/>
  <c r="L797" i="24"/>
  <c r="M797" i="24" s="1"/>
  <c r="B797" i="24"/>
  <c r="C797" i="24" s="1"/>
  <c r="D797" i="24"/>
  <c r="E797" i="24" s="1"/>
  <c r="P797" i="24"/>
  <c r="Q797" i="24" s="1"/>
  <c r="F797" i="24"/>
  <c r="G797" i="24" s="1"/>
  <c r="A798" i="24"/>
  <c r="V797" i="24"/>
  <c r="W797" i="24" s="1"/>
  <c r="N797" i="24"/>
  <c r="O797" i="24" s="1"/>
  <c r="I609" i="37"/>
  <c r="J609" i="37"/>
  <c r="D609" i="37"/>
  <c r="C609" i="37"/>
  <c r="P608" i="37"/>
  <c r="O608" i="37"/>
  <c r="F609" i="37"/>
  <c r="G609" i="37"/>
  <c r="S608" i="37"/>
  <c r="R608" i="37"/>
  <c r="L609" i="37"/>
  <c r="M609" i="37"/>
  <c r="T798" i="24" l="1"/>
  <c r="U798" i="24" s="1"/>
  <c r="L798" i="24"/>
  <c r="M798" i="24" s="1"/>
  <c r="B798" i="24"/>
  <c r="C798" i="24" s="1"/>
  <c r="N798" i="24"/>
  <c r="O798" i="24" s="1"/>
  <c r="H798" i="24"/>
  <c r="I798" i="24" s="1"/>
  <c r="V798" i="24"/>
  <c r="W798" i="24" s="1"/>
  <c r="A799" i="24"/>
  <c r="R798" i="24"/>
  <c r="S798" i="24" s="1"/>
  <c r="P798" i="24"/>
  <c r="Q798" i="24" s="1"/>
  <c r="F798" i="24"/>
  <c r="G798" i="24" s="1"/>
  <c r="D798" i="24"/>
  <c r="E798" i="24" s="1"/>
  <c r="J798" i="24"/>
  <c r="K798" i="24" s="1"/>
  <c r="I610" i="37"/>
  <c r="J610" i="37"/>
  <c r="D610" i="37"/>
  <c r="C610" i="37"/>
  <c r="O609" i="37"/>
  <c r="P609" i="37"/>
  <c r="M610" i="37"/>
  <c r="L610" i="37"/>
  <c r="R609" i="37"/>
  <c r="S609" i="37"/>
  <c r="G610" i="37"/>
  <c r="F610" i="37"/>
  <c r="H799" i="24" l="1"/>
  <c r="I799" i="24" s="1"/>
  <c r="J799" i="24"/>
  <c r="K799" i="24" s="1"/>
  <c r="R799" i="24"/>
  <c r="S799" i="24" s="1"/>
  <c r="T799" i="24"/>
  <c r="U799" i="24" s="1"/>
  <c r="L799" i="24"/>
  <c r="M799" i="24" s="1"/>
  <c r="V799" i="24"/>
  <c r="W799" i="24" s="1"/>
  <c r="F799" i="24"/>
  <c r="G799" i="24" s="1"/>
  <c r="D799" i="24"/>
  <c r="E799" i="24" s="1"/>
  <c r="A800" i="24"/>
  <c r="B799" i="24"/>
  <c r="C799" i="24" s="1"/>
  <c r="N799" i="24"/>
  <c r="O799" i="24" s="1"/>
  <c r="P799" i="24"/>
  <c r="Q799" i="24" s="1"/>
  <c r="I611" i="37"/>
  <c r="J611" i="37"/>
  <c r="D611" i="37"/>
  <c r="C611" i="37"/>
  <c r="O610" i="37"/>
  <c r="P610" i="37"/>
  <c r="R610" i="37"/>
  <c r="S610" i="37"/>
  <c r="M611" i="37"/>
  <c r="L611" i="37"/>
  <c r="G611" i="37"/>
  <c r="F611" i="37"/>
  <c r="T800" i="24" l="1"/>
  <c r="U800" i="24" s="1"/>
  <c r="N800" i="24"/>
  <c r="O800" i="24" s="1"/>
  <c r="A801" i="24"/>
  <c r="H800" i="24"/>
  <c r="I800" i="24" s="1"/>
  <c r="V800" i="24"/>
  <c r="W800" i="24" s="1"/>
  <c r="F800" i="24"/>
  <c r="G800" i="24" s="1"/>
  <c r="B800" i="24"/>
  <c r="C800" i="24" s="1"/>
  <c r="L800" i="24"/>
  <c r="M800" i="24" s="1"/>
  <c r="J800" i="24"/>
  <c r="K800" i="24" s="1"/>
  <c r="R800" i="24"/>
  <c r="S800" i="24" s="1"/>
  <c r="D800" i="24"/>
  <c r="E800" i="24" s="1"/>
  <c r="P800" i="24"/>
  <c r="Q800" i="24" s="1"/>
  <c r="I612" i="37"/>
  <c r="J612" i="37"/>
  <c r="D612" i="37"/>
  <c r="C612" i="37"/>
  <c r="O611" i="37"/>
  <c r="P611" i="37"/>
  <c r="G612" i="37"/>
  <c r="F612" i="37"/>
  <c r="M612" i="37"/>
  <c r="L612" i="37"/>
  <c r="S611" i="37"/>
  <c r="R611" i="37"/>
  <c r="N801" i="24" l="1"/>
  <c r="O801" i="24" s="1"/>
  <c r="H801" i="24"/>
  <c r="I801" i="24" s="1"/>
  <c r="T801" i="24"/>
  <c r="U801" i="24" s="1"/>
  <c r="R801" i="24"/>
  <c r="S801" i="24" s="1"/>
  <c r="D801" i="24"/>
  <c r="E801" i="24" s="1"/>
  <c r="V801" i="24"/>
  <c r="W801" i="24" s="1"/>
  <c r="A802" i="24"/>
  <c r="B801" i="24"/>
  <c r="C801" i="24" s="1"/>
  <c r="J801" i="24"/>
  <c r="K801" i="24" s="1"/>
  <c r="L801" i="24"/>
  <c r="M801" i="24" s="1"/>
  <c r="P801" i="24"/>
  <c r="Q801" i="24" s="1"/>
  <c r="F801" i="24"/>
  <c r="G801" i="24" s="1"/>
  <c r="I613" i="37"/>
  <c r="J613" i="37"/>
  <c r="C613" i="37"/>
  <c r="D613" i="37"/>
  <c r="P612" i="37"/>
  <c r="O612" i="37"/>
  <c r="R612" i="37"/>
  <c r="S612" i="37"/>
  <c r="M613" i="37"/>
  <c r="L613" i="37"/>
  <c r="F613" i="37"/>
  <c r="G613" i="37"/>
  <c r="B802" i="24" l="1"/>
  <c r="C802" i="24" s="1"/>
  <c r="N802" i="24"/>
  <c r="O802" i="24" s="1"/>
  <c r="D802" i="24"/>
  <c r="E802" i="24" s="1"/>
  <c r="F802" i="24"/>
  <c r="G802" i="24" s="1"/>
  <c r="H802" i="24"/>
  <c r="I802" i="24" s="1"/>
  <c r="R802" i="24"/>
  <c r="S802" i="24" s="1"/>
  <c r="J802" i="24"/>
  <c r="K802" i="24" s="1"/>
  <c r="L802" i="24"/>
  <c r="M802" i="24" s="1"/>
  <c r="A803" i="24"/>
  <c r="V802" i="24"/>
  <c r="W802" i="24" s="1"/>
  <c r="P802" i="24"/>
  <c r="Q802" i="24" s="1"/>
  <c r="T802" i="24"/>
  <c r="U802" i="24" s="1"/>
  <c r="J614" i="37"/>
  <c r="I614" i="37"/>
  <c r="C614" i="37"/>
  <c r="D614" i="37"/>
  <c r="O613" i="37"/>
  <c r="P613" i="37"/>
  <c r="M614" i="37"/>
  <c r="L614" i="37"/>
  <c r="R613" i="37"/>
  <c r="S613" i="37"/>
  <c r="G614" i="37"/>
  <c r="F614" i="37"/>
  <c r="R803" i="24" l="1"/>
  <c r="S803" i="24" s="1"/>
  <c r="L803" i="24"/>
  <c r="M803" i="24" s="1"/>
  <c r="T803" i="24"/>
  <c r="U803" i="24" s="1"/>
  <c r="N803" i="24"/>
  <c r="O803" i="24" s="1"/>
  <c r="D803" i="24"/>
  <c r="E803" i="24" s="1"/>
  <c r="P803" i="24"/>
  <c r="Q803" i="24" s="1"/>
  <c r="V803" i="24"/>
  <c r="W803" i="24" s="1"/>
  <c r="F803" i="24"/>
  <c r="G803" i="24" s="1"/>
  <c r="A804" i="24"/>
  <c r="B803" i="24"/>
  <c r="C803" i="24" s="1"/>
  <c r="H803" i="24"/>
  <c r="I803" i="24" s="1"/>
  <c r="J803" i="24"/>
  <c r="K803" i="24" s="1"/>
  <c r="I615" i="37"/>
  <c r="J615" i="37"/>
  <c r="C615" i="37"/>
  <c r="D615" i="37"/>
  <c r="P614" i="37"/>
  <c r="O614" i="37"/>
  <c r="S614" i="37"/>
  <c r="R614" i="37"/>
  <c r="G615" i="37"/>
  <c r="F615" i="37"/>
  <c r="M615" i="37"/>
  <c r="L615" i="37"/>
  <c r="B804" i="24" l="1"/>
  <c r="C804" i="24" s="1"/>
  <c r="V804" i="24"/>
  <c r="W804" i="24" s="1"/>
  <c r="D804" i="24"/>
  <c r="E804" i="24" s="1"/>
  <c r="F804" i="24"/>
  <c r="G804" i="24" s="1"/>
  <c r="H804" i="24"/>
  <c r="I804" i="24" s="1"/>
  <c r="R804" i="24"/>
  <c r="S804" i="24" s="1"/>
  <c r="A805" i="24"/>
  <c r="L804" i="24"/>
  <c r="M804" i="24" s="1"/>
  <c r="N804" i="24"/>
  <c r="O804" i="24" s="1"/>
  <c r="T804" i="24"/>
  <c r="U804" i="24" s="1"/>
  <c r="J804" i="24"/>
  <c r="K804" i="24" s="1"/>
  <c r="P804" i="24"/>
  <c r="Q804" i="24" s="1"/>
  <c r="I616" i="37"/>
  <c r="J616" i="37"/>
  <c r="D616" i="37"/>
  <c r="C616" i="37"/>
  <c r="P615" i="37"/>
  <c r="O615" i="37"/>
  <c r="S615" i="37"/>
  <c r="R615" i="37"/>
  <c r="L616" i="37"/>
  <c r="M616" i="37"/>
  <c r="F616" i="37"/>
  <c r="G616" i="37"/>
  <c r="R805" i="24" l="1"/>
  <c r="S805" i="24" s="1"/>
  <c r="L805" i="24"/>
  <c r="M805" i="24" s="1"/>
  <c r="T805" i="24"/>
  <c r="U805" i="24" s="1"/>
  <c r="P805" i="24"/>
  <c r="Q805" i="24" s="1"/>
  <c r="D805" i="24"/>
  <c r="E805" i="24" s="1"/>
  <c r="F805" i="24"/>
  <c r="G805" i="24" s="1"/>
  <c r="A806" i="24"/>
  <c r="B805" i="24"/>
  <c r="C805" i="24" s="1"/>
  <c r="N805" i="24"/>
  <c r="O805" i="24" s="1"/>
  <c r="V805" i="24"/>
  <c r="W805" i="24" s="1"/>
  <c r="H805" i="24"/>
  <c r="I805" i="24" s="1"/>
  <c r="J805" i="24"/>
  <c r="K805" i="24" s="1"/>
  <c r="J617" i="37"/>
  <c r="I617" i="37"/>
  <c r="C617" i="37"/>
  <c r="D617" i="37"/>
  <c r="O616" i="37"/>
  <c r="P616" i="37"/>
  <c r="M617" i="37"/>
  <c r="L617" i="37"/>
  <c r="S616" i="37"/>
  <c r="R616" i="37"/>
  <c r="F617" i="37"/>
  <c r="G617" i="37"/>
  <c r="B806" i="24" l="1"/>
  <c r="C806" i="24" s="1"/>
  <c r="V806" i="24"/>
  <c r="W806" i="24" s="1"/>
  <c r="D806" i="24"/>
  <c r="E806" i="24" s="1"/>
  <c r="F806" i="24"/>
  <c r="G806" i="24" s="1"/>
  <c r="H806" i="24"/>
  <c r="I806" i="24" s="1"/>
  <c r="L806" i="24"/>
  <c r="M806" i="24" s="1"/>
  <c r="J806" i="24"/>
  <c r="K806" i="24" s="1"/>
  <c r="R806" i="24"/>
  <c r="S806" i="24" s="1"/>
  <c r="A807" i="24"/>
  <c r="P806" i="24"/>
  <c r="Q806" i="24" s="1"/>
  <c r="T806" i="24"/>
  <c r="U806" i="24" s="1"/>
  <c r="N806" i="24"/>
  <c r="O806" i="24" s="1"/>
  <c r="J618" i="37"/>
  <c r="I618" i="37"/>
  <c r="C618" i="37"/>
  <c r="D618" i="37"/>
  <c r="O617" i="37"/>
  <c r="P617" i="37"/>
  <c r="L618" i="37"/>
  <c r="M618" i="37"/>
  <c r="S617" i="37"/>
  <c r="R617" i="37"/>
  <c r="F618" i="37"/>
  <c r="G618" i="37"/>
  <c r="L807" i="24" l="1"/>
  <c r="M807" i="24" s="1"/>
  <c r="P807" i="24"/>
  <c r="Q807" i="24" s="1"/>
  <c r="T807" i="24"/>
  <c r="U807" i="24" s="1"/>
  <c r="R807" i="24"/>
  <c r="S807" i="24" s="1"/>
  <c r="B807" i="24"/>
  <c r="C807" i="24" s="1"/>
  <c r="F807" i="24"/>
  <c r="G807" i="24" s="1"/>
  <c r="V807" i="24"/>
  <c r="W807" i="24" s="1"/>
  <c r="N807" i="24"/>
  <c r="O807" i="24" s="1"/>
  <c r="J807" i="24"/>
  <c r="K807" i="24" s="1"/>
  <c r="A808" i="24"/>
  <c r="D807" i="24"/>
  <c r="E807" i="24" s="1"/>
  <c r="H807" i="24"/>
  <c r="I807" i="24" s="1"/>
  <c r="J619" i="37"/>
  <c r="I619" i="37"/>
  <c r="C619" i="37"/>
  <c r="D619" i="37"/>
  <c r="O618" i="37"/>
  <c r="P618" i="37"/>
  <c r="S618" i="37"/>
  <c r="R618" i="37"/>
  <c r="L619" i="37"/>
  <c r="M619" i="37"/>
  <c r="F619" i="37"/>
  <c r="G619" i="37"/>
  <c r="B808" i="24" l="1"/>
  <c r="C808" i="24" s="1"/>
  <c r="V808" i="24"/>
  <c r="W808" i="24" s="1"/>
  <c r="D808" i="24"/>
  <c r="E808" i="24" s="1"/>
  <c r="F808" i="24"/>
  <c r="G808" i="24" s="1"/>
  <c r="H808" i="24"/>
  <c r="I808" i="24" s="1"/>
  <c r="P808" i="24"/>
  <c r="Q808" i="24" s="1"/>
  <c r="A809" i="24"/>
  <c r="J808" i="24"/>
  <c r="K808" i="24" s="1"/>
  <c r="R808" i="24"/>
  <c r="S808" i="24" s="1"/>
  <c r="N808" i="24"/>
  <c r="O808" i="24" s="1"/>
  <c r="T808" i="24"/>
  <c r="U808" i="24" s="1"/>
  <c r="L808" i="24"/>
  <c r="M808" i="24" s="1"/>
  <c r="I620" i="37"/>
  <c r="J620" i="37"/>
  <c r="D620" i="37"/>
  <c r="C620" i="37"/>
  <c r="O619" i="37"/>
  <c r="P619" i="37"/>
  <c r="R619" i="37"/>
  <c r="S619" i="37"/>
  <c r="G620" i="37"/>
  <c r="F620" i="37"/>
  <c r="L620" i="37"/>
  <c r="M620" i="37"/>
  <c r="L809" i="24" l="1"/>
  <c r="M809" i="24" s="1"/>
  <c r="R809" i="24"/>
  <c r="S809" i="24" s="1"/>
  <c r="T809" i="24"/>
  <c r="U809" i="24" s="1"/>
  <c r="N809" i="24"/>
  <c r="O809" i="24" s="1"/>
  <c r="D809" i="24"/>
  <c r="E809" i="24" s="1"/>
  <c r="F809" i="24"/>
  <c r="G809" i="24" s="1"/>
  <c r="A810" i="24"/>
  <c r="B809" i="24"/>
  <c r="C809" i="24" s="1"/>
  <c r="J809" i="24"/>
  <c r="K809" i="24" s="1"/>
  <c r="V809" i="24"/>
  <c r="W809" i="24" s="1"/>
  <c r="P809" i="24"/>
  <c r="Q809" i="24" s="1"/>
  <c r="H809" i="24"/>
  <c r="I809" i="24" s="1"/>
  <c r="J621" i="37"/>
  <c r="I621" i="37"/>
  <c r="C621" i="37"/>
  <c r="D621" i="37"/>
  <c r="O620" i="37"/>
  <c r="P620" i="37"/>
  <c r="F621" i="37"/>
  <c r="G621" i="37"/>
  <c r="S620" i="37"/>
  <c r="R620" i="37"/>
  <c r="M621" i="37"/>
  <c r="L621" i="37"/>
  <c r="B810" i="24" l="1"/>
  <c r="C810" i="24" s="1"/>
  <c r="V810" i="24"/>
  <c r="W810" i="24" s="1"/>
  <c r="D810" i="24"/>
  <c r="E810" i="24" s="1"/>
  <c r="F810" i="24"/>
  <c r="G810" i="24" s="1"/>
  <c r="J810" i="24"/>
  <c r="K810" i="24" s="1"/>
  <c r="R810" i="24"/>
  <c r="S810" i="24" s="1"/>
  <c r="L810" i="24"/>
  <c r="M810" i="24" s="1"/>
  <c r="H810" i="24"/>
  <c r="I810" i="24" s="1"/>
  <c r="T810" i="24"/>
  <c r="U810" i="24" s="1"/>
  <c r="A811" i="24"/>
  <c r="P810" i="24"/>
  <c r="Q810" i="24" s="1"/>
  <c r="N810" i="24"/>
  <c r="O810" i="24" s="1"/>
  <c r="J622" i="37"/>
  <c r="I622" i="37"/>
  <c r="C622" i="37"/>
  <c r="D622" i="37"/>
  <c r="O621" i="37"/>
  <c r="P621" i="37"/>
  <c r="M622" i="37"/>
  <c r="L622" i="37"/>
  <c r="R621" i="37"/>
  <c r="S621" i="37"/>
  <c r="F622" i="37"/>
  <c r="G622" i="37"/>
  <c r="L811" i="24" l="1"/>
  <c r="M811" i="24" s="1"/>
  <c r="R811" i="24"/>
  <c r="S811" i="24" s="1"/>
  <c r="T811" i="24"/>
  <c r="U811" i="24" s="1"/>
  <c r="N811" i="24"/>
  <c r="O811" i="24" s="1"/>
  <c r="D811" i="24"/>
  <c r="E811" i="24" s="1"/>
  <c r="F811" i="24"/>
  <c r="G811" i="24" s="1"/>
  <c r="V811" i="24"/>
  <c r="W811" i="24" s="1"/>
  <c r="P811" i="24"/>
  <c r="Q811" i="24" s="1"/>
  <c r="A812" i="24"/>
  <c r="J811" i="24"/>
  <c r="K811" i="24" s="1"/>
  <c r="H811" i="24"/>
  <c r="I811" i="24" s="1"/>
  <c r="B811" i="24"/>
  <c r="C811" i="24" s="1"/>
  <c r="I623" i="37"/>
  <c r="J623" i="37"/>
  <c r="D623" i="37"/>
  <c r="C623" i="37"/>
  <c r="P622" i="37"/>
  <c r="O622" i="37"/>
  <c r="F623" i="37"/>
  <c r="G623" i="37"/>
  <c r="S622" i="37"/>
  <c r="R622" i="37"/>
  <c r="M623" i="37"/>
  <c r="L623" i="37"/>
  <c r="D812" i="24" l="1"/>
  <c r="E812" i="24" s="1"/>
  <c r="V812" i="24"/>
  <c r="W812" i="24" s="1"/>
  <c r="H812" i="24"/>
  <c r="I812" i="24" s="1"/>
  <c r="F812" i="24"/>
  <c r="G812" i="24" s="1"/>
  <c r="A813" i="24"/>
  <c r="R812" i="24"/>
  <c r="S812" i="24" s="1"/>
  <c r="P812" i="24"/>
  <c r="Q812" i="24" s="1"/>
  <c r="T812" i="24"/>
  <c r="U812" i="24" s="1"/>
  <c r="B812" i="24"/>
  <c r="C812" i="24" s="1"/>
  <c r="L812" i="24"/>
  <c r="M812" i="24" s="1"/>
  <c r="J812" i="24"/>
  <c r="K812" i="24" s="1"/>
  <c r="N812" i="24"/>
  <c r="O812" i="24" s="1"/>
  <c r="I624" i="37"/>
  <c r="J624" i="37"/>
  <c r="C624" i="37"/>
  <c r="D624" i="37"/>
  <c r="P623" i="37"/>
  <c r="O623" i="37"/>
  <c r="S623" i="37"/>
  <c r="R623" i="37"/>
  <c r="L624" i="37"/>
  <c r="M624" i="37"/>
  <c r="F624" i="37"/>
  <c r="G624" i="37"/>
  <c r="L813" i="24" l="1"/>
  <c r="M813" i="24" s="1"/>
  <c r="P813" i="24"/>
  <c r="Q813" i="24" s="1"/>
  <c r="T813" i="24"/>
  <c r="U813" i="24" s="1"/>
  <c r="J813" i="24"/>
  <c r="K813" i="24" s="1"/>
  <c r="D813" i="24"/>
  <c r="E813" i="24" s="1"/>
  <c r="F813" i="24"/>
  <c r="G813" i="24" s="1"/>
  <c r="A814" i="24"/>
  <c r="B813" i="24"/>
  <c r="C813" i="24" s="1"/>
  <c r="R813" i="24"/>
  <c r="S813" i="24" s="1"/>
  <c r="V813" i="24"/>
  <c r="W813" i="24" s="1"/>
  <c r="H813" i="24"/>
  <c r="I813" i="24" s="1"/>
  <c r="N813" i="24"/>
  <c r="O813" i="24" s="1"/>
  <c r="I625" i="37"/>
  <c r="J625" i="37"/>
  <c r="C625" i="37"/>
  <c r="D625" i="37"/>
  <c r="O624" i="37"/>
  <c r="P624" i="37"/>
  <c r="M625" i="37"/>
  <c r="L625" i="37"/>
  <c r="F625" i="37"/>
  <c r="G625" i="37"/>
  <c r="S624" i="37"/>
  <c r="R624" i="37"/>
  <c r="B814" i="24" l="1"/>
  <c r="C814" i="24" s="1"/>
  <c r="V814" i="24"/>
  <c r="W814" i="24" s="1"/>
  <c r="H814" i="24"/>
  <c r="I814" i="24" s="1"/>
  <c r="F814" i="24"/>
  <c r="G814" i="24" s="1"/>
  <c r="D814" i="24"/>
  <c r="E814" i="24" s="1"/>
  <c r="L814" i="24"/>
  <c r="M814" i="24" s="1"/>
  <c r="J814" i="24"/>
  <c r="K814" i="24" s="1"/>
  <c r="R814" i="24"/>
  <c r="S814" i="24" s="1"/>
  <c r="N814" i="24"/>
  <c r="O814" i="24" s="1"/>
  <c r="A815" i="24"/>
  <c r="P814" i="24"/>
  <c r="Q814" i="24" s="1"/>
  <c r="T814" i="24"/>
  <c r="U814" i="24" s="1"/>
  <c r="J626" i="37"/>
  <c r="I626" i="37"/>
  <c r="D626" i="37"/>
  <c r="C626" i="37"/>
  <c r="P625" i="37"/>
  <c r="O625" i="37"/>
  <c r="S625" i="37"/>
  <c r="R625" i="37"/>
  <c r="G626" i="37"/>
  <c r="F626" i="37"/>
  <c r="M626" i="37"/>
  <c r="L626" i="37"/>
  <c r="P815" i="24" l="1"/>
  <c r="Q815" i="24" s="1"/>
  <c r="R815" i="24"/>
  <c r="S815" i="24" s="1"/>
  <c r="T815" i="24"/>
  <c r="U815" i="24" s="1"/>
  <c r="J815" i="24"/>
  <c r="K815" i="24" s="1"/>
  <c r="H815" i="24"/>
  <c r="I815" i="24" s="1"/>
  <c r="F815" i="24"/>
  <c r="G815" i="24" s="1"/>
  <c r="V815" i="24"/>
  <c r="W815" i="24" s="1"/>
  <c r="N815" i="24"/>
  <c r="O815" i="24" s="1"/>
  <c r="A816" i="24"/>
  <c r="D815" i="24"/>
  <c r="E815" i="24" s="1"/>
  <c r="B815" i="24"/>
  <c r="C815" i="24" s="1"/>
  <c r="L815" i="24"/>
  <c r="M815" i="24" s="1"/>
  <c r="I627" i="37"/>
  <c r="J627" i="37"/>
  <c r="D627" i="37"/>
  <c r="C627" i="37"/>
  <c r="P626" i="37"/>
  <c r="O626" i="37"/>
  <c r="M627" i="37"/>
  <c r="L627" i="37"/>
  <c r="S626" i="37"/>
  <c r="R626" i="37"/>
  <c r="G627" i="37"/>
  <c r="F627" i="37"/>
  <c r="B816" i="24" l="1"/>
  <c r="C816" i="24" s="1"/>
  <c r="V816" i="24"/>
  <c r="W816" i="24" s="1"/>
  <c r="D816" i="24"/>
  <c r="E816" i="24" s="1"/>
  <c r="F816" i="24"/>
  <c r="G816" i="24" s="1"/>
  <c r="H816" i="24"/>
  <c r="I816" i="24" s="1"/>
  <c r="P816" i="24"/>
  <c r="Q816" i="24" s="1"/>
  <c r="L816" i="24"/>
  <c r="M816" i="24" s="1"/>
  <c r="N816" i="24"/>
  <c r="O816" i="24" s="1"/>
  <c r="T816" i="24"/>
  <c r="U816" i="24" s="1"/>
  <c r="J816" i="24"/>
  <c r="K816" i="24" s="1"/>
  <c r="R816" i="24"/>
  <c r="S816" i="24" s="1"/>
  <c r="A817" i="24"/>
  <c r="J628" i="37"/>
  <c r="I628" i="37"/>
  <c r="C628" i="37"/>
  <c r="D628" i="37"/>
  <c r="P627" i="37"/>
  <c r="O627" i="37"/>
  <c r="R627" i="37"/>
  <c r="S627" i="37"/>
  <c r="M628" i="37"/>
  <c r="L628" i="37"/>
  <c r="G628" i="37"/>
  <c r="F628" i="37"/>
  <c r="R817" i="24" l="1"/>
  <c r="S817" i="24" s="1"/>
  <c r="N817" i="24"/>
  <c r="O817" i="24" s="1"/>
  <c r="T817" i="24"/>
  <c r="U817" i="24" s="1"/>
  <c r="D817" i="24"/>
  <c r="E817" i="24" s="1"/>
  <c r="H817" i="24"/>
  <c r="I817" i="24" s="1"/>
  <c r="V817" i="24"/>
  <c r="W817" i="24" s="1"/>
  <c r="A818" i="24"/>
  <c r="B817" i="24"/>
  <c r="C817" i="24" s="1"/>
  <c r="J817" i="24"/>
  <c r="K817" i="24" s="1"/>
  <c r="L817" i="24"/>
  <c r="M817" i="24" s="1"/>
  <c r="P817" i="24"/>
  <c r="Q817" i="24" s="1"/>
  <c r="F817" i="24"/>
  <c r="G817" i="24" s="1"/>
  <c r="I629" i="37"/>
  <c r="J629" i="37"/>
  <c r="D629" i="37"/>
  <c r="C629" i="37"/>
  <c r="P628" i="37"/>
  <c r="O628" i="37"/>
  <c r="G629" i="37"/>
  <c r="F629" i="37"/>
  <c r="M629" i="37"/>
  <c r="L629" i="37"/>
  <c r="S628" i="37"/>
  <c r="R628" i="37"/>
  <c r="B818" i="24" l="1"/>
  <c r="C818" i="24" s="1"/>
  <c r="V818" i="24"/>
  <c r="W818" i="24" s="1"/>
  <c r="D818" i="24"/>
  <c r="E818" i="24" s="1"/>
  <c r="F818" i="24"/>
  <c r="G818" i="24" s="1"/>
  <c r="H818" i="24"/>
  <c r="I818" i="24" s="1"/>
  <c r="R818" i="24"/>
  <c r="S818" i="24" s="1"/>
  <c r="J818" i="24"/>
  <c r="K818" i="24" s="1"/>
  <c r="L818" i="24"/>
  <c r="M818" i="24" s="1"/>
  <c r="A819" i="24"/>
  <c r="N818" i="24"/>
  <c r="O818" i="24" s="1"/>
  <c r="P818" i="24"/>
  <c r="Q818" i="24" s="1"/>
  <c r="T818" i="24"/>
  <c r="U818" i="24" s="1"/>
  <c r="J630" i="37"/>
  <c r="I630" i="37"/>
  <c r="C630" i="37"/>
  <c r="D630" i="37"/>
  <c r="O629" i="37"/>
  <c r="P629" i="37"/>
  <c r="M630" i="37"/>
  <c r="L630" i="37"/>
  <c r="F630" i="37"/>
  <c r="G630" i="37"/>
  <c r="R629" i="37"/>
  <c r="S629" i="37"/>
  <c r="R819" i="24" l="1"/>
  <c r="S819" i="24" s="1"/>
  <c r="L819" i="24"/>
  <c r="M819" i="24" s="1"/>
  <c r="T819" i="24"/>
  <c r="U819" i="24" s="1"/>
  <c r="N819" i="24"/>
  <c r="O819" i="24" s="1"/>
  <c r="D819" i="24"/>
  <c r="E819" i="24" s="1"/>
  <c r="P819" i="24"/>
  <c r="Q819" i="24" s="1"/>
  <c r="V819" i="24"/>
  <c r="W819" i="24" s="1"/>
  <c r="F819" i="24"/>
  <c r="G819" i="24" s="1"/>
  <c r="A820" i="24"/>
  <c r="B819" i="24"/>
  <c r="C819" i="24" s="1"/>
  <c r="H819" i="24"/>
  <c r="I819" i="24" s="1"/>
  <c r="J819" i="24"/>
  <c r="K819" i="24" s="1"/>
  <c r="J631" i="37"/>
  <c r="I631" i="37"/>
  <c r="D631" i="37"/>
  <c r="C631" i="37"/>
  <c r="P630" i="37"/>
  <c r="O630" i="37"/>
  <c r="F631" i="37"/>
  <c r="G631" i="37"/>
  <c r="M631" i="37"/>
  <c r="L631" i="37"/>
  <c r="R630" i="37"/>
  <c r="S630" i="37"/>
  <c r="D820" i="24" l="1"/>
  <c r="E820" i="24" s="1"/>
  <c r="F820" i="24"/>
  <c r="G820" i="24" s="1"/>
  <c r="H820" i="24"/>
  <c r="I820" i="24" s="1"/>
  <c r="V820" i="24"/>
  <c r="W820" i="24" s="1"/>
  <c r="B820" i="24"/>
  <c r="C820" i="24" s="1"/>
  <c r="R820" i="24"/>
  <c r="S820" i="24" s="1"/>
  <c r="A821" i="24"/>
  <c r="L820" i="24"/>
  <c r="M820" i="24" s="1"/>
  <c r="N820" i="24"/>
  <c r="O820" i="24" s="1"/>
  <c r="T820" i="24"/>
  <c r="U820" i="24" s="1"/>
  <c r="J820" i="24"/>
  <c r="K820" i="24" s="1"/>
  <c r="P820" i="24"/>
  <c r="Q820" i="24" s="1"/>
  <c r="I632" i="37"/>
  <c r="J632" i="37"/>
  <c r="D632" i="37"/>
  <c r="C632" i="37"/>
  <c r="O631" i="37"/>
  <c r="P631" i="37"/>
  <c r="R631" i="37"/>
  <c r="S631" i="37"/>
  <c r="L632" i="37"/>
  <c r="M632" i="37"/>
  <c r="F632" i="37"/>
  <c r="G632" i="37"/>
  <c r="L821" i="24" l="1"/>
  <c r="M821" i="24" s="1"/>
  <c r="J821" i="24"/>
  <c r="K821" i="24" s="1"/>
  <c r="T821" i="24"/>
  <c r="U821" i="24" s="1"/>
  <c r="P821" i="24"/>
  <c r="Q821" i="24" s="1"/>
  <c r="D821" i="24"/>
  <c r="E821" i="24" s="1"/>
  <c r="F821" i="24"/>
  <c r="G821" i="24" s="1"/>
  <c r="B821" i="24"/>
  <c r="C821" i="24" s="1"/>
  <c r="A822" i="24"/>
  <c r="V821" i="24"/>
  <c r="W821" i="24" s="1"/>
  <c r="R821" i="24"/>
  <c r="S821" i="24" s="1"/>
  <c r="H821" i="24"/>
  <c r="I821" i="24" s="1"/>
  <c r="N821" i="24"/>
  <c r="O821" i="24" s="1"/>
  <c r="I633" i="37"/>
  <c r="J633" i="37"/>
  <c r="D633" i="37"/>
  <c r="C633" i="37"/>
  <c r="O632" i="37"/>
  <c r="P632" i="37"/>
  <c r="R632" i="37"/>
  <c r="S632" i="37"/>
  <c r="F633" i="37"/>
  <c r="G633" i="37"/>
  <c r="M633" i="37"/>
  <c r="L633" i="37"/>
  <c r="B822" i="24" l="1"/>
  <c r="C822" i="24" s="1"/>
  <c r="V822" i="24"/>
  <c r="W822" i="24" s="1"/>
  <c r="D822" i="24"/>
  <c r="E822" i="24" s="1"/>
  <c r="F822" i="24"/>
  <c r="G822" i="24" s="1"/>
  <c r="H822" i="24"/>
  <c r="I822" i="24" s="1"/>
  <c r="L822" i="24"/>
  <c r="M822" i="24" s="1"/>
  <c r="J822" i="24"/>
  <c r="K822" i="24" s="1"/>
  <c r="R822" i="24"/>
  <c r="S822" i="24" s="1"/>
  <c r="A823" i="24"/>
  <c r="P822" i="24"/>
  <c r="Q822" i="24" s="1"/>
  <c r="T822" i="24"/>
  <c r="U822" i="24" s="1"/>
  <c r="N822" i="24"/>
  <c r="O822" i="24" s="1"/>
  <c r="I634" i="37"/>
  <c r="J634" i="37"/>
  <c r="C634" i="37"/>
  <c r="D634" i="37"/>
  <c r="O633" i="37"/>
  <c r="P633" i="37"/>
  <c r="F634" i="37"/>
  <c r="G634" i="37"/>
  <c r="L634" i="37"/>
  <c r="M634" i="37"/>
  <c r="S633" i="37"/>
  <c r="R633" i="37"/>
  <c r="J823" i="24" l="1"/>
  <c r="K823" i="24" s="1"/>
  <c r="P823" i="24"/>
  <c r="Q823" i="24" s="1"/>
  <c r="T823" i="24"/>
  <c r="U823" i="24" s="1"/>
  <c r="V823" i="24"/>
  <c r="W823" i="24" s="1"/>
  <c r="D823" i="24"/>
  <c r="E823" i="24" s="1"/>
  <c r="N823" i="24"/>
  <c r="O823" i="24" s="1"/>
  <c r="R823" i="24"/>
  <c r="S823" i="24" s="1"/>
  <c r="F823" i="24"/>
  <c r="G823" i="24" s="1"/>
  <c r="L823" i="24"/>
  <c r="M823" i="24" s="1"/>
  <c r="A824" i="24"/>
  <c r="B823" i="24"/>
  <c r="C823" i="24" s="1"/>
  <c r="H823" i="24"/>
  <c r="I823" i="24" s="1"/>
  <c r="J635" i="37"/>
  <c r="I635" i="37"/>
  <c r="D635" i="37"/>
  <c r="C635" i="37"/>
  <c r="P634" i="37"/>
  <c r="O634" i="37"/>
  <c r="R634" i="37"/>
  <c r="S634" i="37"/>
  <c r="M635" i="37"/>
  <c r="L635" i="37"/>
  <c r="F635" i="37"/>
  <c r="G635" i="37"/>
  <c r="B824" i="24" l="1"/>
  <c r="C824" i="24" s="1"/>
  <c r="V824" i="24"/>
  <c r="W824" i="24" s="1"/>
  <c r="D824" i="24"/>
  <c r="E824" i="24" s="1"/>
  <c r="F824" i="24"/>
  <c r="G824" i="24" s="1"/>
  <c r="H824" i="24"/>
  <c r="I824" i="24" s="1"/>
  <c r="P824" i="24"/>
  <c r="Q824" i="24" s="1"/>
  <c r="A825" i="24"/>
  <c r="J824" i="24"/>
  <c r="K824" i="24" s="1"/>
  <c r="L824" i="24"/>
  <c r="M824" i="24" s="1"/>
  <c r="T824" i="24"/>
  <c r="U824" i="24" s="1"/>
  <c r="N824" i="24"/>
  <c r="O824" i="24" s="1"/>
  <c r="R824" i="24"/>
  <c r="S824" i="24" s="1"/>
  <c r="I636" i="37"/>
  <c r="J636" i="37"/>
  <c r="C636" i="37"/>
  <c r="D636" i="37"/>
  <c r="O635" i="37"/>
  <c r="P635" i="37"/>
  <c r="M636" i="37"/>
  <c r="L636" i="37"/>
  <c r="G636" i="37"/>
  <c r="F636" i="37"/>
  <c r="S635" i="37"/>
  <c r="R635" i="37"/>
  <c r="L825" i="24" l="1"/>
  <c r="M825" i="24" s="1"/>
  <c r="N825" i="24"/>
  <c r="O825" i="24" s="1"/>
  <c r="T825" i="24"/>
  <c r="U825" i="24" s="1"/>
  <c r="R825" i="24"/>
  <c r="S825" i="24" s="1"/>
  <c r="H825" i="24"/>
  <c r="I825" i="24" s="1"/>
  <c r="V825" i="24"/>
  <c r="W825" i="24" s="1"/>
  <c r="A826" i="24"/>
  <c r="B825" i="24"/>
  <c r="C825" i="24" s="1"/>
  <c r="J825" i="24"/>
  <c r="K825" i="24" s="1"/>
  <c r="F825" i="24"/>
  <c r="G825" i="24" s="1"/>
  <c r="P825" i="24"/>
  <c r="Q825" i="24" s="1"/>
  <c r="D825" i="24"/>
  <c r="E825" i="24" s="1"/>
  <c r="I637" i="37"/>
  <c r="J637" i="37"/>
  <c r="C637" i="37"/>
  <c r="D637" i="37"/>
  <c r="O636" i="37"/>
  <c r="P636" i="37"/>
  <c r="R636" i="37"/>
  <c r="S636" i="37"/>
  <c r="M637" i="37"/>
  <c r="L637" i="37"/>
  <c r="G637" i="37"/>
  <c r="F637" i="37"/>
  <c r="B826" i="24" l="1"/>
  <c r="C826" i="24" s="1"/>
  <c r="F826" i="24"/>
  <c r="G826" i="24" s="1"/>
  <c r="D826" i="24"/>
  <c r="E826" i="24" s="1"/>
  <c r="N826" i="24"/>
  <c r="O826" i="24" s="1"/>
  <c r="H826" i="24"/>
  <c r="I826" i="24" s="1"/>
  <c r="R826" i="24"/>
  <c r="S826" i="24" s="1"/>
  <c r="J826" i="24"/>
  <c r="K826" i="24" s="1"/>
  <c r="L826" i="24"/>
  <c r="M826" i="24" s="1"/>
  <c r="T826" i="24"/>
  <c r="U826" i="24" s="1"/>
  <c r="A827" i="24"/>
  <c r="P826" i="24"/>
  <c r="Q826" i="24" s="1"/>
  <c r="V826" i="24"/>
  <c r="W826" i="24" s="1"/>
  <c r="I638" i="37"/>
  <c r="J638" i="37"/>
  <c r="D638" i="37"/>
  <c r="C638" i="37"/>
  <c r="P637" i="37"/>
  <c r="O637" i="37"/>
  <c r="L638" i="37"/>
  <c r="M638" i="37"/>
  <c r="R637" i="37"/>
  <c r="S637" i="37"/>
  <c r="F638" i="37"/>
  <c r="G638" i="37"/>
  <c r="L827" i="24" l="1"/>
  <c r="M827" i="24" s="1"/>
  <c r="R827" i="24"/>
  <c r="S827" i="24" s="1"/>
  <c r="T827" i="24"/>
  <c r="U827" i="24" s="1"/>
  <c r="N827" i="24"/>
  <c r="O827" i="24" s="1"/>
  <c r="D827" i="24"/>
  <c r="E827" i="24" s="1"/>
  <c r="F827" i="24"/>
  <c r="G827" i="24" s="1"/>
  <c r="P827" i="24"/>
  <c r="Q827" i="24" s="1"/>
  <c r="V827" i="24"/>
  <c r="W827" i="24" s="1"/>
  <c r="A828" i="24"/>
  <c r="J827" i="24"/>
  <c r="K827" i="24" s="1"/>
  <c r="B827" i="24"/>
  <c r="C827" i="24" s="1"/>
  <c r="H827" i="24"/>
  <c r="I827" i="24" s="1"/>
  <c r="J639" i="37"/>
  <c r="I639" i="37"/>
  <c r="C639" i="37"/>
  <c r="D639" i="37"/>
  <c r="O638" i="37"/>
  <c r="P638" i="37"/>
  <c r="R638" i="37"/>
  <c r="S638" i="37"/>
  <c r="L639" i="37"/>
  <c r="M639" i="37"/>
  <c r="F639" i="37"/>
  <c r="G639" i="37"/>
  <c r="D828" i="24" l="1"/>
  <c r="E828" i="24" s="1"/>
  <c r="V828" i="24"/>
  <c r="W828" i="24" s="1"/>
  <c r="B828" i="24"/>
  <c r="C828" i="24" s="1"/>
  <c r="F828" i="24"/>
  <c r="G828" i="24" s="1"/>
  <c r="H828" i="24"/>
  <c r="I828" i="24" s="1"/>
  <c r="R828" i="24"/>
  <c r="S828" i="24" s="1"/>
  <c r="P828" i="24"/>
  <c r="Q828" i="24" s="1"/>
  <c r="T828" i="24"/>
  <c r="U828" i="24" s="1"/>
  <c r="L828" i="24"/>
  <c r="M828" i="24" s="1"/>
  <c r="N828" i="24"/>
  <c r="O828" i="24" s="1"/>
  <c r="A829" i="24"/>
  <c r="J828" i="24"/>
  <c r="K828" i="24" s="1"/>
  <c r="I640" i="37"/>
  <c r="J640" i="37"/>
  <c r="C640" i="37"/>
  <c r="D640" i="37"/>
  <c r="P639" i="37"/>
  <c r="O639" i="37"/>
  <c r="L640" i="37"/>
  <c r="M640" i="37"/>
  <c r="F640" i="37"/>
  <c r="G640" i="37"/>
  <c r="R639" i="37"/>
  <c r="S639" i="37"/>
  <c r="L829" i="24" l="1"/>
  <c r="M829" i="24" s="1"/>
  <c r="H829" i="24"/>
  <c r="I829" i="24" s="1"/>
  <c r="T829" i="24"/>
  <c r="U829" i="24" s="1"/>
  <c r="P829" i="24"/>
  <c r="Q829" i="24" s="1"/>
  <c r="D829" i="24"/>
  <c r="E829" i="24" s="1"/>
  <c r="F829" i="24"/>
  <c r="G829" i="24" s="1"/>
  <c r="A830" i="24"/>
  <c r="B829" i="24"/>
  <c r="C829" i="24" s="1"/>
  <c r="J829" i="24"/>
  <c r="K829" i="24" s="1"/>
  <c r="V829" i="24"/>
  <c r="W829" i="24" s="1"/>
  <c r="R829" i="24"/>
  <c r="S829" i="24" s="1"/>
  <c r="N829" i="24"/>
  <c r="O829" i="24" s="1"/>
  <c r="J641" i="37"/>
  <c r="I641" i="37"/>
  <c r="D641" i="37"/>
  <c r="C641" i="37"/>
  <c r="P640" i="37"/>
  <c r="O640" i="37"/>
  <c r="S640" i="37"/>
  <c r="R640" i="37"/>
  <c r="F641" i="37"/>
  <c r="G641" i="37"/>
  <c r="M641" i="37"/>
  <c r="L641" i="37"/>
  <c r="D830" i="24" l="1"/>
  <c r="E830" i="24" s="1"/>
  <c r="L830" i="24"/>
  <c r="M830" i="24" s="1"/>
  <c r="H830" i="24"/>
  <c r="I830" i="24" s="1"/>
  <c r="F830" i="24"/>
  <c r="G830" i="24" s="1"/>
  <c r="B830" i="24"/>
  <c r="C830" i="24" s="1"/>
  <c r="P830" i="24"/>
  <c r="Q830" i="24" s="1"/>
  <c r="J830" i="24"/>
  <c r="K830" i="24" s="1"/>
  <c r="R830" i="24"/>
  <c r="S830" i="24" s="1"/>
  <c r="V830" i="24"/>
  <c r="W830" i="24" s="1"/>
  <c r="T830" i="24"/>
  <c r="U830" i="24" s="1"/>
  <c r="A831" i="24"/>
  <c r="N830" i="24"/>
  <c r="O830" i="24" s="1"/>
  <c r="I642" i="37"/>
  <c r="J642" i="37"/>
  <c r="C642" i="37"/>
  <c r="D642" i="37"/>
  <c r="P641" i="37"/>
  <c r="O641" i="37"/>
  <c r="S641" i="37"/>
  <c r="R641" i="37"/>
  <c r="M642" i="37"/>
  <c r="L642" i="37"/>
  <c r="F642" i="37"/>
  <c r="G642" i="37"/>
  <c r="P831" i="24" l="1"/>
  <c r="Q831" i="24" s="1"/>
  <c r="R831" i="24"/>
  <c r="S831" i="24" s="1"/>
  <c r="T831" i="24"/>
  <c r="U831" i="24" s="1"/>
  <c r="L831" i="24"/>
  <c r="M831" i="24" s="1"/>
  <c r="D831" i="24"/>
  <c r="E831" i="24" s="1"/>
  <c r="F831" i="24"/>
  <c r="G831" i="24" s="1"/>
  <c r="V831" i="24"/>
  <c r="W831" i="24" s="1"/>
  <c r="N831" i="24"/>
  <c r="O831" i="24" s="1"/>
  <c r="A832" i="24"/>
  <c r="H831" i="24"/>
  <c r="I831" i="24" s="1"/>
  <c r="J831" i="24"/>
  <c r="K831" i="24" s="1"/>
  <c r="B831" i="24"/>
  <c r="C831" i="24" s="1"/>
  <c r="I643" i="37"/>
  <c r="J643" i="37"/>
  <c r="D643" i="37"/>
  <c r="C643" i="37"/>
  <c r="O642" i="37"/>
  <c r="P642" i="37"/>
  <c r="M643" i="37"/>
  <c r="L643" i="37"/>
  <c r="R642" i="37"/>
  <c r="S642" i="37"/>
  <c r="F643" i="37"/>
  <c r="G643" i="37"/>
  <c r="B832" i="24" l="1"/>
  <c r="C832" i="24" s="1"/>
  <c r="V832" i="24"/>
  <c r="W832" i="24" s="1"/>
  <c r="D832" i="24"/>
  <c r="E832" i="24" s="1"/>
  <c r="F832" i="24"/>
  <c r="G832" i="24" s="1"/>
  <c r="H832" i="24"/>
  <c r="I832" i="24" s="1"/>
  <c r="P832" i="24"/>
  <c r="Q832" i="24" s="1"/>
  <c r="L832" i="24"/>
  <c r="M832" i="24" s="1"/>
  <c r="N832" i="24"/>
  <c r="O832" i="24" s="1"/>
  <c r="T832" i="24"/>
  <c r="U832" i="24" s="1"/>
  <c r="A833" i="24"/>
  <c r="R832" i="24"/>
  <c r="S832" i="24" s="1"/>
  <c r="J832" i="24"/>
  <c r="K832" i="24" s="1"/>
  <c r="I644" i="37"/>
  <c r="J644" i="37"/>
  <c r="C644" i="37"/>
  <c r="D644" i="37"/>
  <c r="O643" i="37"/>
  <c r="P643" i="37"/>
  <c r="R643" i="37"/>
  <c r="S643" i="37"/>
  <c r="L644" i="37"/>
  <c r="M644" i="37"/>
  <c r="G644" i="37"/>
  <c r="F644" i="37"/>
  <c r="L833" i="24" l="1"/>
  <c r="M833" i="24" s="1"/>
  <c r="R833" i="24"/>
  <c r="S833" i="24" s="1"/>
  <c r="T833" i="24"/>
  <c r="U833" i="24" s="1"/>
  <c r="N833" i="24"/>
  <c r="O833" i="24" s="1"/>
  <c r="A834" i="24"/>
  <c r="F833" i="24"/>
  <c r="G833" i="24" s="1"/>
  <c r="B833" i="24"/>
  <c r="C833" i="24" s="1"/>
  <c r="D833" i="24"/>
  <c r="E833" i="24" s="1"/>
  <c r="H833" i="24"/>
  <c r="I833" i="24" s="1"/>
  <c r="V833" i="24"/>
  <c r="W833" i="24" s="1"/>
  <c r="J833" i="24"/>
  <c r="K833" i="24" s="1"/>
  <c r="P833" i="24"/>
  <c r="Q833" i="24" s="1"/>
  <c r="J645" i="37"/>
  <c r="I645" i="37"/>
  <c r="C645" i="37"/>
  <c r="D645" i="37"/>
  <c r="O644" i="37"/>
  <c r="P644" i="37"/>
  <c r="M645" i="37"/>
  <c r="L645" i="37"/>
  <c r="F645" i="37"/>
  <c r="G645" i="37"/>
  <c r="S644" i="37"/>
  <c r="R644" i="37"/>
  <c r="A835" i="24" l="1"/>
  <c r="F834" i="24"/>
  <c r="G834" i="24" s="1"/>
  <c r="D834" i="24"/>
  <c r="E834" i="24" s="1"/>
  <c r="N834" i="24"/>
  <c r="O834" i="24" s="1"/>
  <c r="H834" i="24"/>
  <c r="I834" i="24" s="1"/>
  <c r="R834" i="24"/>
  <c r="S834" i="24" s="1"/>
  <c r="J834" i="24"/>
  <c r="K834" i="24" s="1"/>
  <c r="L834" i="24"/>
  <c r="M834" i="24" s="1"/>
  <c r="B834" i="24"/>
  <c r="C834" i="24" s="1"/>
  <c r="V834" i="24"/>
  <c r="W834" i="24" s="1"/>
  <c r="T834" i="24"/>
  <c r="U834" i="24" s="1"/>
  <c r="P834" i="24"/>
  <c r="Q834" i="24" s="1"/>
  <c r="I646" i="37"/>
  <c r="J646" i="37"/>
  <c r="C646" i="37"/>
  <c r="D646" i="37"/>
  <c r="O645" i="37"/>
  <c r="P645" i="37"/>
  <c r="L646" i="37"/>
  <c r="M646" i="37"/>
  <c r="R645" i="37"/>
  <c r="S645" i="37"/>
  <c r="F646" i="37"/>
  <c r="G646" i="37"/>
  <c r="D835" i="24" l="1"/>
  <c r="E835" i="24" s="1"/>
  <c r="H835" i="24"/>
  <c r="I835" i="24" s="1"/>
  <c r="T835" i="24"/>
  <c r="U835" i="24" s="1"/>
  <c r="P835" i="24"/>
  <c r="Q835" i="24" s="1"/>
  <c r="F835" i="24"/>
  <c r="G835" i="24" s="1"/>
  <c r="N835" i="24"/>
  <c r="O835" i="24" s="1"/>
  <c r="V835" i="24"/>
  <c r="W835" i="24" s="1"/>
  <c r="L835" i="24"/>
  <c r="M835" i="24" s="1"/>
  <c r="A836" i="24"/>
  <c r="R835" i="24"/>
  <c r="S835" i="24" s="1"/>
  <c r="B835" i="24"/>
  <c r="C835" i="24" s="1"/>
  <c r="J835" i="24"/>
  <c r="K835" i="24" s="1"/>
  <c r="J647" i="37"/>
  <c r="I647" i="37"/>
  <c r="D647" i="37"/>
  <c r="C647" i="37"/>
  <c r="P646" i="37"/>
  <c r="O646" i="37"/>
  <c r="M647" i="37"/>
  <c r="L647" i="37"/>
  <c r="F647" i="37"/>
  <c r="G647" i="37"/>
  <c r="R646" i="37"/>
  <c r="S646" i="37"/>
  <c r="R836" i="24" l="1"/>
  <c r="S836" i="24" s="1"/>
  <c r="F836" i="24"/>
  <c r="G836" i="24" s="1"/>
  <c r="P836" i="24"/>
  <c r="Q836" i="24" s="1"/>
  <c r="V836" i="24"/>
  <c r="W836" i="24" s="1"/>
  <c r="D836" i="24"/>
  <c r="E836" i="24" s="1"/>
  <c r="J836" i="24"/>
  <c r="K836" i="24" s="1"/>
  <c r="A837" i="24"/>
  <c r="N836" i="24"/>
  <c r="O836" i="24" s="1"/>
  <c r="B836" i="24"/>
  <c r="C836" i="24" s="1"/>
  <c r="T836" i="24"/>
  <c r="U836" i="24" s="1"/>
  <c r="H836" i="24"/>
  <c r="I836" i="24" s="1"/>
  <c r="L836" i="24"/>
  <c r="M836" i="24" s="1"/>
  <c r="I648" i="37"/>
  <c r="J648" i="37"/>
  <c r="C648" i="37"/>
  <c r="D648" i="37"/>
  <c r="O647" i="37"/>
  <c r="P647" i="37"/>
  <c r="F648" i="37"/>
  <c r="G648" i="37"/>
  <c r="M648" i="37"/>
  <c r="L648" i="37"/>
  <c r="S647" i="37"/>
  <c r="R647" i="37"/>
  <c r="B837" i="24" l="1"/>
  <c r="C837" i="24" s="1"/>
  <c r="H837" i="24"/>
  <c r="I837" i="24" s="1"/>
  <c r="T837" i="24"/>
  <c r="U837" i="24" s="1"/>
  <c r="N837" i="24"/>
  <c r="O837" i="24" s="1"/>
  <c r="P837" i="24"/>
  <c r="Q837" i="24" s="1"/>
  <c r="J837" i="24"/>
  <c r="K837" i="24" s="1"/>
  <c r="A838" i="24"/>
  <c r="R837" i="24"/>
  <c r="S837" i="24" s="1"/>
  <c r="V837" i="24"/>
  <c r="W837" i="24" s="1"/>
  <c r="D837" i="24"/>
  <c r="E837" i="24" s="1"/>
  <c r="L837" i="24"/>
  <c r="M837" i="24" s="1"/>
  <c r="F837" i="24"/>
  <c r="G837" i="24" s="1"/>
  <c r="I649" i="37"/>
  <c r="J649" i="37"/>
  <c r="C649" i="37"/>
  <c r="D649" i="37"/>
  <c r="O648" i="37"/>
  <c r="P648" i="37"/>
  <c r="L649" i="37"/>
  <c r="M649" i="37"/>
  <c r="S648" i="37"/>
  <c r="R648" i="37"/>
  <c r="F649" i="37"/>
  <c r="G649" i="37"/>
  <c r="R838" i="24" l="1"/>
  <c r="S838" i="24" s="1"/>
  <c r="F838" i="24"/>
  <c r="G838" i="24" s="1"/>
  <c r="P838" i="24"/>
  <c r="Q838" i="24" s="1"/>
  <c r="V838" i="24"/>
  <c r="W838" i="24" s="1"/>
  <c r="D838" i="24"/>
  <c r="E838" i="24" s="1"/>
  <c r="L838" i="24"/>
  <c r="M838" i="24" s="1"/>
  <c r="H838" i="24"/>
  <c r="I838" i="24" s="1"/>
  <c r="J838" i="24"/>
  <c r="K838" i="24" s="1"/>
  <c r="A839" i="24"/>
  <c r="B838" i="24"/>
  <c r="C838" i="24" s="1"/>
  <c r="N838" i="24"/>
  <c r="O838" i="24" s="1"/>
  <c r="T838" i="24"/>
  <c r="U838" i="24" s="1"/>
  <c r="I650" i="37"/>
  <c r="J650" i="37"/>
  <c r="C650" i="37"/>
  <c r="D650" i="37"/>
  <c r="P649" i="37"/>
  <c r="O649" i="37"/>
  <c r="R649" i="37"/>
  <c r="S649" i="37"/>
  <c r="F650" i="37"/>
  <c r="G650" i="37"/>
  <c r="M650" i="37"/>
  <c r="L650" i="37"/>
  <c r="H839" i="24" l="1"/>
  <c r="I839" i="24" s="1"/>
  <c r="F839" i="24"/>
  <c r="G839" i="24" s="1"/>
  <c r="T839" i="24"/>
  <c r="U839" i="24" s="1"/>
  <c r="J839" i="24"/>
  <c r="K839" i="24" s="1"/>
  <c r="P839" i="24"/>
  <c r="Q839" i="24" s="1"/>
  <c r="L839" i="24"/>
  <c r="M839" i="24" s="1"/>
  <c r="V839" i="24"/>
  <c r="W839" i="24" s="1"/>
  <c r="N839" i="24"/>
  <c r="O839" i="24" s="1"/>
  <c r="D839" i="24"/>
  <c r="E839" i="24" s="1"/>
  <c r="A840" i="24"/>
  <c r="R839" i="24"/>
  <c r="S839" i="24" s="1"/>
  <c r="B839" i="24"/>
  <c r="C839" i="24" s="1"/>
  <c r="I651" i="37"/>
  <c r="J651" i="37"/>
  <c r="C651" i="37"/>
  <c r="D651" i="37"/>
  <c r="O650" i="37"/>
  <c r="P650" i="37"/>
  <c r="L651" i="37"/>
  <c r="M651" i="37"/>
  <c r="F651" i="37"/>
  <c r="G651" i="37"/>
  <c r="R650" i="37"/>
  <c r="S650" i="37"/>
  <c r="R840" i="24" l="1"/>
  <c r="S840" i="24" s="1"/>
  <c r="H840" i="24"/>
  <c r="I840" i="24" s="1"/>
  <c r="P840" i="24"/>
  <c r="Q840" i="24" s="1"/>
  <c r="V840" i="24"/>
  <c r="W840" i="24" s="1"/>
  <c r="B840" i="24"/>
  <c r="C840" i="24" s="1"/>
  <c r="L840" i="24"/>
  <c r="M840" i="24" s="1"/>
  <c r="T840" i="24"/>
  <c r="U840" i="24" s="1"/>
  <c r="F840" i="24"/>
  <c r="G840" i="24" s="1"/>
  <c r="A841" i="24"/>
  <c r="J840" i="24"/>
  <c r="K840" i="24" s="1"/>
  <c r="N840" i="24"/>
  <c r="O840" i="24" s="1"/>
  <c r="D840" i="24"/>
  <c r="E840" i="24" s="1"/>
  <c r="I652" i="37"/>
  <c r="J652" i="37"/>
  <c r="D652" i="37"/>
  <c r="C652" i="37"/>
  <c r="P651" i="37"/>
  <c r="O651" i="37"/>
  <c r="L652" i="37"/>
  <c r="M652" i="37"/>
  <c r="F652" i="37"/>
  <c r="G652" i="37"/>
  <c r="R651" i="37"/>
  <c r="S651" i="37"/>
  <c r="N841" i="24" l="1"/>
  <c r="O841" i="24" s="1"/>
  <c r="D841" i="24"/>
  <c r="E841" i="24" s="1"/>
  <c r="T841" i="24"/>
  <c r="U841" i="24" s="1"/>
  <c r="J841" i="24"/>
  <c r="K841" i="24" s="1"/>
  <c r="P841" i="24"/>
  <c r="Q841" i="24" s="1"/>
  <c r="V841" i="24"/>
  <c r="W841" i="24" s="1"/>
  <c r="A842" i="24"/>
  <c r="R841" i="24"/>
  <c r="S841" i="24" s="1"/>
  <c r="F841" i="24"/>
  <c r="G841" i="24" s="1"/>
  <c r="H841" i="24"/>
  <c r="I841" i="24" s="1"/>
  <c r="B841" i="24"/>
  <c r="C841" i="24" s="1"/>
  <c r="L841" i="24"/>
  <c r="M841" i="24" s="1"/>
  <c r="I653" i="37"/>
  <c r="J653" i="37"/>
  <c r="D653" i="37"/>
  <c r="C653" i="37"/>
  <c r="O652" i="37"/>
  <c r="P652" i="37"/>
  <c r="S652" i="37"/>
  <c r="R652" i="37"/>
  <c r="G653" i="37"/>
  <c r="F653" i="37"/>
  <c r="M653" i="37"/>
  <c r="L653" i="37"/>
  <c r="R842" i="24" l="1"/>
  <c r="S842" i="24" s="1"/>
  <c r="L842" i="24"/>
  <c r="M842" i="24" s="1"/>
  <c r="P842" i="24"/>
  <c r="Q842" i="24" s="1"/>
  <c r="H842" i="24"/>
  <c r="I842" i="24" s="1"/>
  <c r="F842" i="24"/>
  <c r="G842" i="24" s="1"/>
  <c r="D842" i="24"/>
  <c r="E842" i="24" s="1"/>
  <c r="J842" i="24"/>
  <c r="K842" i="24" s="1"/>
  <c r="B842" i="24"/>
  <c r="C842" i="24" s="1"/>
  <c r="T842" i="24"/>
  <c r="U842" i="24" s="1"/>
  <c r="N842" i="24"/>
  <c r="O842" i="24" s="1"/>
  <c r="V842" i="24"/>
  <c r="W842" i="24" s="1"/>
  <c r="A843" i="24"/>
  <c r="I654" i="37"/>
  <c r="J654" i="37"/>
  <c r="C654" i="37"/>
  <c r="D654" i="37"/>
  <c r="O653" i="37"/>
  <c r="P653" i="37"/>
  <c r="L654" i="37"/>
  <c r="M654" i="37"/>
  <c r="F654" i="37"/>
  <c r="G654" i="37"/>
  <c r="S653" i="37"/>
  <c r="R653" i="37"/>
  <c r="B843" i="24" l="1"/>
  <c r="C843" i="24" s="1"/>
  <c r="D843" i="24"/>
  <c r="E843" i="24" s="1"/>
  <c r="T843" i="24"/>
  <c r="U843" i="24" s="1"/>
  <c r="H843" i="24"/>
  <c r="I843" i="24" s="1"/>
  <c r="P843" i="24"/>
  <c r="Q843" i="24" s="1"/>
  <c r="L843" i="24"/>
  <c r="M843" i="24" s="1"/>
  <c r="V843" i="24"/>
  <c r="W843" i="24" s="1"/>
  <c r="N843" i="24"/>
  <c r="O843" i="24" s="1"/>
  <c r="R843" i="24"/>
  <c r="S843" i="24" s="1"/>
  <c r="J843" i="24"/>
  <c r="K843" i="24" s="1"/>
  <c r="A844" i="24"/>
  <c r="F843" i="24"/>
  <c r="G843" i="24" s="1"/>
  <c r="I655" i="37"/>
  <c r="J655" i="37"/>
  <c r="D655" i="37"/>
  <c r="C655" i="37"/>
  <c r="O654" i="37"/>
  <c r="P654" i="37"/>
  <c r="M655" i="37"/>
  <c r="L655" i="37"/>
  <c r="R654" i="37"/>
  <c r="S654" i="37"/>
  <c r="F655" i="37"/>
  <c r="G655" i="37"/>
  <c r="R844" i="24" l="1"/>
  <c r="S844" i="24" s="1"/>
  <c r="B844" i="24"/>
  <c r="C844" i="24" s="1"/>
  <c r="P844" i="24"/>
  <c r="Q844" i="24" s="1"/>
  <c r="L844" i="24"/>
  <c r="M844" i="24" s="1"/>
  <c r="D844" i="24"/>
  <c r="E844" i="24" s="1"/>
  <c r="V844" i="24"/>
  <c r="W844" i="24" s="1"/>
  <c r="F844" i="24"/>
  <c r="G844" i="24" s="1"/>
  <c r="T844" i="24"/>
  <c r="U844" i="24" s="1"/>
  <c r="H844" i="24"/>
  <c r="I844" i="24" s="1"/>
  <c r="A845" i="24"/>
  <c r="N844" i="24"/>
  <c r="O844" i="24" s="1"/>
  <c r="J844" i="24"/>
  <c r="K844" i="24" s="1"/>
  <c r="J656" i="37"/>
  <c r="I656" i="37"/>
  <c r="C656" i="37"/>
  <c r="D656" i="37"/>
  <c r="O655" i="37"/>
  <c r="P655" i="37"/>
  <c r="S655" i="37"/>
  <c r="R655" i="37"/>
  <c r="M656" i="37"/>
  <c r="L656" i="37"/>
  <c r="F656" i="37"/>
  <c r="G656" i="37"/>
  <c r="D845" i="24" l="1"/>
  <c r="E845" i="24" s="1"/>
  <c r="V845" i="24"/>
  <c r="W845" i="24" s="1"/>
  <c r="T845" i="24"/>
  <c r="U845" i="24" s="1"/>
  <c r="F845" i="24"/>
  <c r="G845" i="24" s="1"/>
  <c r="P845" i="24"/>
  <c r="Q845" i="24" s="1"/>
  <c r="J845" i="24"/>
  <c r="K845" i="24" s="1"/>
  <c r="A846" i="24"/>
  <c r="R845" i="24"/>
  <c r="S845" i="24" s="1"/>
  <c r="L845" i="24"/>
  <c r="M845" i="24" s="1"/>
  <c r="N845" i="24"/>
  <c r="O845" i="24" s="1"/>
  <c r="B845" i="24"/>
  <c r="C845" i="24" s="1"/>
  <c r="H845" i="24"/>
  <c r="I845" i="24" s="1"/>
  <c r="I657" i="37"/>
  <c r="J657" i="37"/>
  <c r="D657" i="37"/>
  <c r="C657" i="37"/>
  <c r="O656" i="37"/>
  <c r="P656" i="37"/>
  <c r="L657" i="37"/>
  <c r="M657" i="37"/>
  <c r="R656" i="37"/>
  <c r="S656" i="37"/>
  <c r="G657" i="37"/>
  <c r="F657" i="37"/>
  <c r="R846" i="24" l="1"/>
  <c r="S846" i="24" s="1"/>
  <c r="J846" i="24"/>
  <c r="K846" i="24" s="1"/>
  <c r="P846" i="24"/>
  <c r="Q846" i="24" s="1"/>
  <c r="V846" i="24"/>
  <c r="W846" i="24" s="1"/>
  <c r="D846" i="24"/>
  <c r="E846" i="24" s="1"/>
  <c r="B846" i="24"/>
  <c r="C846" i="24" s="1"/>
  <c r="H846" i="24"/>
  <c r="I846" i="24" s="1"/>
  <c r="F846" i="24"/>
  <c r="G846" i="24" s="1"/>
  <c r="L846" i="24"/>
  <c r="M846" i="24" s="1"/>
  <c r="T846" i="24"/>
  <c r="U846" i="24" s="1"/>
  <c r="A847" i="24"/>
  <c r="N846" i="24"/>
  <c r="O846" i="24" s="1"/>
  <c r="I658" i="37"/>
  <c r="J658" i="37"/>
  <c r="D658" i="37"/>
  <c r="C658" i="37"/>
  <c r="O657" i="37"/>
  <c r="P657" i="37"/>
  <c r="R657" i="37"/>
  <c r="S657" i="37"/>
  <c r="F658" i="37"/>
  <c r="G658" i="37"/>
  <c r="M658" i="37"/>
  <c r="L658" i="37"/>
  <c r="H847" i="24" l="1"/>
  <c r="I847" i="24" s="1"/>
  <c r="F847" i="24"/>
  <c r="G847" i="24" s="1"/>
  <c r="T847" i="24"/>
  <c r="U847" i="24" s="1"/>
  <c r="J847" i="24"/>
  <c r="K847" i="24" s="1"/>
  <c r="R847" i="24"/>
  <c r="S847" i="24" s="1"/>
  <c r="N847" i="24"/>
  <c r="O847" i="24" s="1"/>
  <c r="V847" i="24"/>
  <c r="W847" i="24" s="1"/>
  <c r="L847" i="24"/>
  <c r="M847" i="24" s="1"/>
  <c r="P847" i="24"/>
  <c r="Q847" i="24" s="1"/>
  <c r="B847" i="24"/>
  <c r="C847" i="24" s="1"/>
  <c r="A848" i="24"/>
  <c r="D847" i="24"/>
  <c r="E847" i="24" s="1"/>
  <c r="I659" i="37"/>
  <c r="J659" i="37"/>
  <c r="D659" i="37"/>
  <c r="C659" i="37"/>
  <c r="O658" i="37"/>
  <c r="P658" i="37"/>
  <c r="L659" i="37"/>
  <c r="M659" i="37"/>
  <c r="S658" i="37"/>
  <c r="R658" i="37"/>
  <c r="F659" i="37"/>
  <c r="G659" i="37"/>
  <c r="P848" i="24" l="1"/>
  <c r="Q848" i="24" s="1"/>
  <c r="V848" i="24"/>
  <c r="W848" i="24" s="1"/>
  <c r="R848" i="24"/>
  <c r="S848" i="24" s="1"/>
  <c r="N848" i="24"/>
  <c r="O848" i="24" s="1"/>
  <c r="B848" i="24"/>
  <c r="C848" i="24" s="1"/>
  <c r="L848" i="24"/>
  <c r="M848" i="24" s="1"/>
  <c r="J848" i="24"/>
  <c r="K848" i="24" s="1"/>
  <c r="H848" i="24"/>
  <c r="I848" i="24" s="1"/>
  <c r="F848" i="24"/>
  <c r="G848" i="24" s="1"/>
  <c r="D848" i="24"/>
  <c r="E848" i="24" s="1"/>
  <c r="T848" i="24"/>
  <c r="U848" i="24" s="1"/>
  <c r="A849" i="24"/>
  <c r="I660" i="37"/>
  <c r="J660" i="37"/>
  <c r="D660" i="37"/>
  <c r="C660" i="37"/>
  <c r="P659" i="37"/>
  <c r="O659" i="37"/>
  <c r="R659" i="37"/>
  <c r="S659" i="37"/>
  <c r="F660" i="37"/>
  <c r="G660" i="37"/>
  <c r="M660" i="37"/>
  <c r="L660" i="37"/>
  <c r="F849" i="24" l="1"/>
  <c r="G849" i="24" s="1"/>
  <c r="L849" i="24"/>
  <c r="M849" i="24" s="1"/>
  <c r="T849" i="24"/>
  <c r="U849" i="24" s="1"/>
  <c r="H849" i="24"/>
  <c r="I849" i="24" s="1"/>
  <c r="P849" i="24"/>
  <c r="Q849" i="24" s="1"/>
  <c r="D849" i="24"/>
  <c r="E849" i="24" s="1"/>
  <c r="A850" i="24"/>
  <c r="R849" i="24"/>
  <c r="S849" i="24" s="1"/>
  <c r="J849" i="24"/>
  <c r="K849" i="24" s="1"/>
  <c r="N849" i="24"/>
  <c r="O849" i="24" s="1"/>
  <c r="B849" i="24"/>
  <c r="C849" i="24" s="1"/>
  <c r="V849" i="24"/>
  <c r="W849" i="24" s="1"/>
  <c r="J661" i="37"/>
  <c r="I661" i="37"/>
  <c r="D661" i="37"/>
  <c r="C661" i="37"/>
  <c r="O660" i="37"/>
  <c r="P660" i="37"/>
  <c r="F661" i="37"/>
  <c r="G661" i="37"/>
  <c r="M661" i="37"/>
  <c r="L661" i="37"/>
  <c r="R660" i="37"/>
  <c r="S660" i="37"/>
  <c r="R850" i="24" l="1"/>
  <c r="S850" i="24" s="1"/>
  <c r="N850" i="24"/>
  <c r="O850" i="24" s="1"/>
  <c r="P850" i="24"/>
  <c r="Q850" i="24" s="1"/>
  <c r="D850" i="24"/>
  <c r="E850" i="24" s="1"/>
  <c r="F850" i="24"/>
  <c r="G850" i="24" s="1"/>
  <c r="H850" i="24"/>
  <c r="I850" i="24" s="1"/>
  <c r="J850" i="24"/>
  <c r="K850" i="24" s="1"/>
  <c r="B850" i="24"/>
  <c r="C850" i="24" s="1"/>
  <c r="A851" i="24"/>
  <c r="L850" i="24"/>
  <c r="M850" i="24" s="1"/>
  <c r="T850" i="24"/>
  <c r="U850" i="24" s="1"/>
  <c r="V850" i="24"/>
  <c r="W850" i="24" s="1"/>
  <c r="I662" i="37"/>
  <c r="J662" i="37"/>
  <c r="C662" i="37"/>
  <c r="D662" i="37"/>
  <c r="O661" i="37"/>
  <c r="P661" i="37"/>
  <c r="L662" i="37"/>
  <c r="M662" i="37"/>
  <c r="S661" i="37"/>
  <c r="R661" i="37"/>
  <c r="F662" i="37"/>
  <c r="G662" i="37"/>
  <c r="B851" i="24" l="1"/>
  <c r="C851" i="24" s="1"/>
  <c r="D851" i="24"/>
  <c r="E851" i="24" s="1"/>
  <c r="T851" i="24"/>
  <c r="U851" i="24" s="1"/>
  <c r="H851" i="24"/>
  <c r="I851" i="24" s="1"/>
  <c r="F851" i="24"/>
  <c r="G851" i="24" s="1"/>
  <c r="V851" i="24"/>
  <c r="W851" i="24" s="1"/>
  <c r="N851" i="24"/>
  <c r="O851" i="24" s="1"/>
  <c r="L851" i="24"/>
  <c r="M851" i="24" s="1"/>
  <c r="A852" i="24"/>
  <c r="J851" i="24"/>
  <c r="K851" i="24" s="1"/>
  <c r="P851" i="24"/>
  <c r="Q851" i="24" s="1"/>
  <c r="R851" i="24"/>
  <c r="S851" i="24" s="1"/>
  <c r="J663" i="37"/>
  <c r="I663" i="37"/>
  <c r="C663" i="37"/>
  <c r="D663" i="37"/>
  <c r="P662" i="37"/>
  <c r="O662" i="37"/>
  <c r="F663" i="37"/>
  <c r="G663" i="37"/>
  <c r="S662" i="37"/>
  <c r="R662" i="37"/>
  <c r="M663" i="37"/>
  <c r="L663" i="37"/>
  <c r="R852" i="24" l="1"/>
  <c r="S852" i="24" s="1"/>
  <c r="L852" i="24"/>
  <c r="M852" i="24" s="1"/>
  <c r="P852" i="24"/>
  <c r="Q852" i="24" s="1"/>
  <c r="V852" i="24"/>
  <c r="W852" i="24" s="1"/>
  <c r="D852" i="24"/>
  <c r="E852" i="24" s="1"/>
  <c r="F852" i="24"/>
  <c r="G852" i="24" s="1"/>
  <c r="A853" i="24"/>
  <c r="N852" i="24"/>
  <c r="O852" i="24" s="1"/>
  <c r="B852" i="24"/>
  <c r="C852" i="24" s="1"/>
  <c r="T852" i="24"/>
  <c r="U852" i="24" s="1"/>
  <c r="J852" i="24"/>
  <c r="K852" i="24" s="1"/>
  <c r="H852" i="24"/>
  <c r="I852" i="24" s="1"/>
  <c r="I664" i="37"/>
  <c r="J664" i="37"/>
  <c r="D664" i="37"/>
  <c r="C664" i="37"/>
  <c r="O663" i="37"/>
  <c r="P663" i="37"/>
  <c r="M664" i="37"/>
  <c r="L664" i="37"/>
  <c r="S663" i="37"/>
  <c r="R663" i="37"/>
  <c r="F664" i="37"/>
  <c r="G664" i="37"/>
  <c r="B853" i="24" l="1"/>
  <c r="C853" i="24" s="1"/>
  <c r="H853" i="24"/>
  <c r="I853" i="24" s="1"/>
  <c r="T853" i="24"/>
  <c r="U853" i="24" s="1"/>
  <c r="N853" i="24"/>
  <c r="O853" i="24" s="1"/>
  <c r="P853" i="24"/>
  <c r="Q853" i="24" s="1"/>
  <c r="V853" i="24"/>
  <c r="W853" i="24" s="1"/>
  <c r="A854" i="24"/>
  <c r="R853" i="24"/>
  <c r="S853" i="24" s="1"/>
  <c r="F853" i="24"/>
  <c r="G853" i="24" s="1"/>
  <c r="D853" i="24"/>
  <c r="E853" i="24" s="1"/>
  <c r="L853" i="24"/>
  <c r="M853" i="24" s="1"/>
  <c r="J853" i="24"/>
  <c r="K853" i="24" s="1"/>
  <c r="I665" i="37"/>
  <c r="J665" i="37"/>
  <c r="C665" i="37"/>
  <c r="D665" i="37"/>
  <c r="P664" i="37"/>
  <c r="O664" i="37"/>
  <c r="R664" i="37"/>
  <c r="S664" i="37"/>
  <c r="L665" i="37"/>
  <c r="M665" i="37"/>
  <c r="G665" i="37"/>
  <c r="F665" i="37"/>
  <c r="R854" i="24" l="1"/>
  <c r="S854" i="24" s="1"/>
  <c r="N854" i="24"/>
  <c r="O854" i="24" s="1"/>
  <c r="P854" i="24"/>
  <c r="Q854" i="24" s="1"/>
  <c r="F854" i="24"/>
  <c r="G854" i="24" s="1"/>
  <c r="D854" i="24"/>
  <c r="E854" i="24" s="1"/>
  <c r="B854" i="24"/>
  <c r="C854" i="24" s="1"/>
  <c r="H854" i="24"/>
  <c r="I854" i="24" s="1"/>
  <c r="J854" i="24"/>
  <c r="K854" i="24" s="1"/>
  <c r="A855" i="24"/>
  <c r="V854" i="24"/>
  <c r="W854" i="24" s="1"/>
  <c r="T854" i="24"/>
  <c r="U854" i="24" s="1"/>
  <c r="L854" i="24"/>
  <c r="M854" i="24" s="1"/>
  <c r="I666" i="37"/>
  <c r="J666" i="37"/>
  <c r="C666" i="37"/>
  <c r="D666" i="37"/>
  <c r="O665" i="37"/>
  <c r="P665" i="37"/>
  <c r="G666" i="37"/>
  <c r="F666" i="37"/>
  <c r="M666" i="37"/>
  <c r="L666" i="37"/>
  <c r="R665" i="37"/>
  <c r="S665" i="37"/>
  <c r="H855" i="24" l="1"/>
  <c r="I855" i="24" s="1"/>
  <c r="F855" i="24"/>
  <c r="G855" i="24" s="1"/>
  <c r="T855" i="24"/>
  <c r="U855" i="24" s="1"/>
  <c r="J855" i="24"/>
  <c r="K855" i="24" s="1"/>
  <c r="R855" i="24"/>
  <c r="S855" i="24" s="1"/>
  <c r="N855" i="24"/>
  <c r="O855" i="24" s="1"/>
  <c r="V855" i="24"/>
  <c r="W855" i="24" s="1"/>
  <c r="L855" i="24"/>
  <c r="M855" i="24" s="1"/>
  <c r="D855" i="24"/>
  <c r="E855" i="24" s="1"/>
  <c r="A856" i="24"/>
  <c r="B855" i="24"/>
  <c r="C855" i="24" s="1"/>
  <c r="P855" i="24"/>
  <c r="Q855" i="24" s="1"/>
  <c r="I667" i="37"/>
  <c r="J667" i="37"/>
  <c r="D667" i="37"/>
  <c r="C667" i="37"/>
  <c r="O666" i="37"/>
  <c r="P666" i="37"/>
  <c r="L667" i="37"/>
  <c r="M667" i="37"/>
  <c r="G667" i="37"/>
  <c r="F667" i="37"/>
  <c r="R666" i="37"/>
  <c r="S666" i="37"/>
  <c r="P856" i="24" l="1"/>
  <c r="Q856" i="24" s="1"/>
  <c r="D856" i="24"/>
  <c r="E856" i="24" s="1"/>
  <c r="R856" i="24"/>
  <c r="S856" i="24" s="1"/>
  <c r="N856" i="24"/>
  <c r="O856" i="24" s="1"/>
  <c r="B856" i="24"/>
  <c r="C856" i="24" s="1"/>
  <c r="L856" i="24"/>
  <c r="M856" i="24" s="1"/>
  <c r="A857" i="24"/>
  <c r="F856" i="24"/>
  <c r="G856" i="24" s="1"/>
  <c r="H856" i="24"/>
  <c r="I856" i="24" s="1"/>
  <c r="T856" i="24"/>
  <c r="U856" i="24" s="1"/>
  <c r="J856" i="24"/>
  <c r="K856" i="24" s="1"/>
  <c r="V856" i="24"/>
  <c r="W856" i="24" s="1"/>
  <c r="I668" i="37"/>
  <c r="J668" i="37"/>
  <c r="C668" i="37"/>
  <c r="D668" i="37"/>
  <c r="O667" i="37"/>
  <c r="P667" i="37"/>
  <c r="R667" i="37"/>
  <c r="S667" i="37"/>
  <c r="F668" i="37"/>
  <c r="G668" i="37"/>
  <c r="L668" i="37"/>
  <c r="M668" i="37"/>
  <c r="N857" i="24" l="1"/>
  <c r="O857" i="24" s="1"/>
  <c r="J857" i="24"/>
  <c r="K857" i="24" s="1"/>
  <c r="T857" i="24"/>
  <c r="U857" i="24" s="1"/>
  <c r="D857" i="24"/>
  <c r="E857" i="24" s="1"/>
  <c r="P857" i="24"/>
  <c r="Q857" i="24" s="1"/>
  <c r="H857" i="24"/>
  <c r="I857" i="24" s="1"/>
  <c r="A858" i="24"/>
  <c r="R857" i="24"/>
  <c r="S857" i="24" s="1"/>
  <c r="F857" i="24"/>
  <c r="G857" i="24" s="1"/>
  <c r="L857" i="24"/>
  <c r="M857" i="24" s="1"/>
  <c r="B857" i="24"/>
  <c r="C857" i="24" s="1"/>
  <c r="V857" i="24"/>
  <c r="W857" i="24" s="1"/>
  <c r="J669" i="37"/>
  <c r="I669" i="37"/>
  <c r="D669" i="37"/>
  <c r="C669" i="37"/>
  <c r="O668" i="37"/>
  <c r="P668" i="37"/>
  <c r="G669" i="37"/>
  <c r="F669" i="37"/>
  <c r="R668" i="37"/>
  <c r="S668" i="37"/>
  <c r="M669" i="37"/>
  <c r="L669" i="37"/>
  <c r="R858" i="24" l="1"/>
  <c r="S858" i="24" s="1"/>
  <c r="N858" i="24"/>
  <c r="O858" i="24" s="1"/>
  <c r="P858" i="24"/>
  <c r="Q858" i="24" s="1"/>
  <c r="H858" i="24"/>
  <c r="I858" i="24" s="1"/>
  <c r="F858" i="24"/>
  <c r="G858" i="24" s="1"/>
  <c r="D858" i="24"/>
  <c r="E858" i="24" s="1"/>
  <c r="J858" i="24"/>
  <c r="K858" i="24" s="1"/>
  <c r="B858" i="24"/>
  <c r="C858" i="24" s="1"/>
  <c r="T858" i="24"/>
  <c r="U858" i="24" s="1"/>
  <c r="V858" i="24"/>
  <c r="W858" i="24" s="1"/>
  <c r="A859" i="24"/>
  <c r="L858" i="24"/>
  <c r="M858" i="24" s="1"/>
  <c r="I670" i="37"/>
  <c r="J670" i="37"/>
  <c r="C670" i="37"/>
  <c r="D670" i="37"/>
  <c r="O669" i="37"/>
  <c r="P669" i="37"/>
  <c r="L670" i="37"/>
  <c r="M670" i="37"/>
  <c r="R669" i="37"/>
  <c r="S669" i="37"/>
  <c r="F670" i="37"/>
  <c r="G670" i="37"/>
  <c r="B859" i="24" l="1"/>
  <c r="C859" i="24" s="1"/>
  <c r="T859" i="24"/>
  <c r="U859" i="24" s="1"/>
  <c r="H859" i="24"/>
  <c r="I859" i="24" s="1"/>
  <c r="P859" i="24"/>
  <c r="Q859" i="24" s="1"/>
  <c r="V859" i="24"/>
  <c r="W859" i="24" s="1"/>
  <c r="D859" i="24"/>
  <c r="E859" i="24" s="1"/>
  <c r="L859" i="24"/>
  <c r="M859" i="24" s="1"/>
  <c r="R859" i="24"/>
  <c r="S859" i="24" s="1"/>
  <c r="J859" i="24"/>
  <c r="K859" i="24" s="1"/>
  <c r="N859" i="24"/>
  <c r="O859" i="24" s="1"/>
  <c r="A860" i="24"/>
  <c r="F859" i="24"/>
  <c r="G859" i="24" s="1"/>
  <c r="J671" i="37"/>
  <c r="I671" i="37"/>
  <c r="C671" i="37"/>
  <c r="D671" i="37"/>
  <c r="O670" i="37"/>
  <c r="P670" i="37"/>
  <c r="F671" i="37"/>
  <c r="G671" i="37"/>
  <c r="R670" i="37"/>
  <c r="S670" i="37"/>
  <c r="M671" i="37"/>
  <c r="L671" i="37"/>
  <c r="R860" i="24" l="1"/>
  <c r="S860" i="24" s="1"/>
  <c r="V860" i="24"/>
  <c r="W860" i="24" s="1"/>
  <c r="D860" i="24"/>
  <c r="E860" i="24" s="1"/>
  <c r="F860" i="24"/>
  <c r="G860" i="24" s="1"/>
  <c r="J860" i="24"/>
  <c r="K860" i="24" s="1"/>
  <c r="L860" i="24"/>
  <c r="M860" i="24" s="1"/>
  <c r="N860" i="24"/>
  <c r="O860" i="24" s="1"/>
  <c r="T860" i="24"/>
  <c r="U860" i="24" s="1"/>
  <c r="A861" i="24"/>
  <c r="P860" i="24"/>
  <c r="Q860" i="24" s="1"/>
  <c r="B860" i="24"/>
  <c r="C860" i="24" s="1"/>
  <c r="H860" i="24"/>
  <c r="I860" i="24" s="1"/>
  <c r="J672" i="37"/>
  <c r="I672" i="37"/>
  <c r="D672" i="37"/>
  <c r="C672" i="37"/>
  <c r="O671" i="37"/>
  <c r="P671" i="37"/>
  <c r="M672" i="37"/>
  <c r="L672" i="37"/>
  <c r="S671" i="37"/>
  <c r="R671" i="37"/>
  <c r="G672" i="37"/>
  <c r="F672" i="37"/>
  <c r="F861" i="24" l="1"/>
  <c r="G861" i="24" s="1"/>
  <c r="T861" i="24"/>
  <c r="U861" i="24" s="1"/>
  <c r="D861" i="24"/>
  <c r="E861" i="24" s="1"/>
  <c r="P861" i="24"/>
  <c r="Q861" i="24" s="1"/>
  <c r="N861" i="24"/>
  <c r="O861" i="24" s="1"/>
  <c r="J861" i="24"/>
  <c r="K861" i="24" s="1"/>
  <c r="B861" i="24"/>
  <c r="C861" i="24" s="1"/>
  <c r="A862" i="24"/>
  <c r="R861" i="24"/>
  <c r="S861" i="24" s="1"/>
  <c r="L861" i="24"/>
  <c r="M861" i="24" s="1"/>
  <c r="V861" i="24"/>
  <c r="W861" i="24" s="1"/>
  <c r="H861" i="24"/>
  <c r="I861" i="24" s="1"/>
  <c r="I673" i="37"/>
  <c r="J673" i="37"/>
  <c r="C673" i="37"/>
  <c r="D673" i="37"/>
  <c r="P672" i="37"/>
  <c r="O672" i="37"/>
  <c r="R672" i="37"/>
  <c r="S672" i="37"/>
  <c r="F673" i="37"/>
  <c r="G673" i="37"/>
  <c r="M673" i="37"/>
  <c r="L673" i="37"/>
  <c r="R862" i="24" l="1"/>
  <c r="S862" i="24" s="1"/>
  <c r="L862" i="24"/>
  <c r="M862" i="24" s="1"/>
  <c r="D862" i="24"/>
  <c r="E862" i="24" s="1"/>
  <c r="B862" i="24"/>
  <c r="C862" i="24" s="1"/>
  <c r="V862" i="24"/>
  <c r="W862" i="24" s="1"/>
  <c r="J862" i="24"/>
  <c r="K862" i="24" s="1"/>
  <c r="A863" i="24"/>
  <c r="H862" i="24"/>
  <c r="I862" i="24" s="1"/>
  <c r="F862" i="24"/>
  <c r="G862" i="24" s="1"/>
  <c r="T862" i="24"/>
  <c r="U862" i="24" s="1"/>
  <c r="P862" i="24"/>
  <c r="Q862" i="24" s="1"/>
  <c r="N862" i="24"/>
  <c r="O862" i="24" s="1"/>
  <c r="I674" i="37"/>
  <c r="J674" i="37"/>
  <c r="D674" i="37"/>
  <c r="C674" i="37"/>
  <c r="O673" i="37"/>
  <c r="P673" i="37"/>
  <c r="F674" i="37"/>
  <c r="G674" i="37"/>
  <c r="M674" i="37"/>
  <c r="L674" i="37"/>
  <c r="S673" i="37"/>
  <c r="R673" i="37"/>
  <c r="H863" i="24" l="1"/>
  <c r="I863" i="24" s="1"/>
  <c r="T863" i="24"/>
  <c r="U863" i="24" s="1"/>
  <c r="J863" i="24"/>
  <c r="K863" i="24" s="1"/>
  <c r="P863" i="24"/>
  <c r="Q863" i="24" s="1"/>
  <c r="L863" i="24"/>
  <c r="M863" i="24" s="1"/>
  <c r="N863" i="24"/>
  <c r="O863" i="24" s="1"/>
  <c r="D863" i="24"/>
  <c r="E863" i="24" s="1"/>
  <c r="V863" i="24"/>
  <c r="W863" i="24" s="1"/>
  <c r="R863" i="24"/>
  <c r="S863" i="24" s="1"/>
  <c r="A864" i="24"/>
  <c r="B863" i="24"/>
  <c r="C863" i="24" s="1"/>
  <c r="F863" i="24"/>
  <c r="G863" i="24" s="1"/>
  <c r="J675" i="37"/>
  <c r="I675" i="37"/>
  <c r="C675" i="37"/>
  <c r="D675" i="37"/>
  <c r="O674" i="37"/>
  <c r="P674" i="37"/>
  <c r="R674" i="37"/>
  <c r="S674" i="37"/>
  <c r="L675" i="37"/>
  <c r="M675" i="37"/>
  <c r="F675" i="37"/>
  <c r="G675" i="37"/>
  <c r="P864" i="24" l="1"/>
  <c r="Q864" i="24" s="1"/>
  <c r="V864" i="24"/>
  <c r="W864" i="24" s="1"/>
  <c r="F864" i="24"/>
  <c r="G864" i="24" s="1"/>
  <c r="R864" i="24"/>
  <c r="S864" i="24" s="1"/>
  <c r="N864" i="24"/>
  <c r="O864" i="24" s="1"/>
  <c r="T864" i="24"/>
  <c r="U864" i="24" s="1"/>
  <c r="H864" i="24"/>
  <c r="I864" i="24" s="1"/>
  <c r="A865" i="24"/>
  <c r="J864" i="24"/>
  <c r="K864" i="24" s="1"/>
  <c r="L864" i="24"/>
  <c r="M864" i="24" s="1"/>
  <c r="D864" i="24"/>
  <c r="E864" i="24" s="1"/>
  <c r="B864" i="24"/>
  <c r="C864" i="24" s="1"/>
  <c r="J676" i="37"/>
  <c r="I676" i="37"/>
  <c r="D676" i="37"/>
  <c r="C676" i="37"/>
  <c r="O675" i="37"/>
  <c r="P675" i="37"/>
  <c r="L676" i="37"/>
  <c r="M676" i="37"/>
  <c r="G676" i="37"/>
  <c r="F676" i="37"/>
  <c r="R675" i="37"/>
  <c r="S675" i="37"/>
  <c r="D865" i="24" l="1"/>
  <c r="E865" i="24" s="1"/>
  <c r="T865" i="24"/>
  <c r="U865" i="24" s="1"/>
  <c r="B865" i="24"/>
  <c r="C865" i="24" s="1"/>
  <c r="P865" i="24"/>
  <c r="Q865" i="24" s="1"/>
  <c r="F865" i="24"/>
  <c r="G865" i="24" s="1"/>
  <c r="A866" i="24"/>
  <c r="J865" i="24"/>
  <c r="K865" i="24" s="1"/>
  <c r="N865" i="24"/>
  <c r="O865" i="24" s="1"/>
  <c r="V865" i="24"/>
  <c r="W865" i="24" s="1"/>
  <c r="R865" i="24"/>
  <c r="S865" i="24" s="1"/>
  <c r="L865" i="24"/>
  <c r="M865" i="24" s="1"/>
  <c r="H865" i="24"/>
  <c r="I865" i="24" s="1"/>
  <c r="J677" i="37"/>
  <c r="I677" i="37"/>
  <c r="D677" i="37"/>
  <c r="C677" i="37"/>
  <c r="O676" i="37"/>
  <c r="P676" i="37"/>
  <c r="F677" i="37"/>
  <c r="G677" i="37"/>
  <c r="L677" i="37"/>
  <c r="M677" i="37"/>
  <c r="S676" i="37"/>
  <c r="R676" i="37"/>
  <c r="R866" i="24" l="1"/>
  <c r="S866" i="24" s="1"/>
  <c r="L866" i="24"/>
  <c r="M866" i="24" s="1"/>
  <c r="F866" i="24"/>
  <c r="G866" i="24" s="1"/>
  <c r="H866" i="24"/>
  <c r="I866" i="24" s="1"/>
  <c r="T866" i="24"/>
  <c r="U866" i="24" s="1"/>
  <c r="A867" i="24"/>
  <c r="J866" i="24"/>
  <c r="K866" i="24" s="1"/>
  <c r="V866" i="24"/>
  <c r="W866" i="24" s="1"/>
  <c r="N866" i="24"/>
  <c r="O866" i="24" s="1"/>
  <c r="B866" i="24"/>
  <c r="C866" i="24" s="1"/>
  <c r="D866" i="24"/>
  <c r="E866" i="24" s="1"/>
  <c r="P866" i="24"/>
  <c r="Q866" i="24" s="1"/>
  <c r="J678" i="37"/>
  <c r="I678" i="37"/>
  <c r="D678" i="37"/>
  <c r="C678" i="37"/>
  <c r="P677" i="37"/>
  <c r="O677" i="37"/>
  <c r="L678" i="37"/>
  <c r="M678" i="37"/>
  <c r="S677" i="37"/>
  <c r="R677" i="37"/>
  <c r="F678" i="37"/>
  <c r="G678" i="37"/>
  <c r="D867" i="24" l="1"/>
  <c r="E867" i="24" s="1"/>
  <c r="T867" i="24"/>
  <c r="U867" i="24" s="1"/>
  <c r="V867" i="24"/>
  <c r="W867" i="24" s="1"/>
  <c r="F867" i="24"/>
  <c r="G867" i="24" s="1"/>
  <c r="P867" i="24"/>
  <c r="Q867" i="24" s="1"/>
  <c r="A868" i="24"/>
  <c r="R867" i="24"/>
  <c r="S867" i="24" s="1"/>
  <c r="L867" i="24"/>
  <c r="M867" i="24" s="1"/>
  <c r="J867" i="24"/>
  <c r="K867" i="24" s="1"/>
  <c r="H867" i="24"/>
  <c r="I867" i="24" s="1"/>
  <c r="B867" i="24"/>
  <c r="C867" i="24" s="1"/>
  <c r="N867" i="24"/>
  <c r="O867" i="24" s="1"/>
  <c r="I679" i="37"/>
  <c r="J679" i="37"/>
  <c r="C679" i="37"/>
  <c r="D679" i="37"/>
  <c r="O678" i="37"/>
  <c r="P678" i="37"/>
  <c r="S678" i="37"/>
  <c r="R678" i="37"/>
  <c r="F679" i="37"/>
  <c r="G679" i="37"/>
  <c r="L679" i="37"/>
  <c r="M679" i="37"/>
  <c r="R868" i="24" l="1"/>
  <c r="S868" i="24" s="1"/>
  <c r="J868" i="24"/>
  <c r="K868" i="24" s="1"/>
  <c r="D868" i="24"/>
  <c r="E868" i="24" s="1"/>
  <c r="F868" i="24"/>
  <c r="G868" i="24" s="1"/>
  <c r="A869" i="24"/>
  <c r="P868" i="24"/>
  <c r="Q868" i="24" s="1"/>
  <c r="T868" i="24"/>
  <c r="U868" i="24" s="1"/>
  <c r="H868" i="24"/>
  <c r="I868" i="24" s="1"/>
  <c r="B868" i="24"/>
  <c r="C868" i="24" s="1"/>
  <c r="V868" i="24"/>
  <c r="W868" i="24" s="1"/>
  <c r="L868" i="24"/>
  <c r="M868" i="24" s="1"/>
  <c r="N868" i="24"/>
  <c r="O868" i="24" s="1"/>
  <c r="I680" i="37"/>
  <c r="J680" i="37"/>
  <c r="D680" i="37"/>
  <c r="C680" i="37"/>
  <c r="P679" i="37"/>
  <c r="O679" i="37"/>
  <c r="G680" i="37"/>
  <c r="F680" i="37"/>
  <c r="S679" i="37"/>
  <c r="R679" i="37"/>
  <c r="L680" i="37"/>
  <c r="M680" i="37"/>
  <c r="F869" i="24" l="1"/>
  <c r="G869" i="24" s="1"/>
  <c r="T869" i="24"/>
  <c r="U869" i="24" s="1"/>
  <c r="H869" i="24"/>
  <c r="I869" i="24" s="1"/>
  <c r="P869" i="24"/>
  <c r="Q869" i="24" s="1"/>
  <c r="B869" i="24"/>
  <c r="C869" i="24" s="1"/>
  <c r="R869" i="24"/>
  <c r="S869" i="24" s="1"/>
  <c r="D869" i="24"/>
  <c r="E869" i="24" s="1"/>
  <c r="A870" i="24"/>
  <c r="J869" i="24"/>
  <c r="K869" i="24" s="1"/>
  <c r="N869" i="24"/>
  <c r="O869" i="24" s="1"/>
  <c r="L869" i="24"/>
  <c r="M869" i="24" s="1"/>
  <c r="V869" i="24"/>
  <c r="W869" i="24" s="1"/>
  <c r="I681" i="37"/>
  <c r="J681" i="37"/>
  <c r="C681" i="37"/>
  <c r="D681" i="37"/>
  <c r="O680" i="37"/>
  <c r="P680" i="37"/>
  <c r="S680" i="37"/>
  <c r="R680" i="37"/>
  <c r="L681" i="37"/>
  <c r="M681" i="37"/>
  <c r="F681" i="37"/>
  <c r="G681" i="37"/>
  <c r="R870" i="24" l="1"/>
  <c r="S870" i="24" s="1"/>
  <c r="F870" i="24"/>
  <c r="G870" i="24" s="1"/>
  <c r="D870" i="24"/>
  <c r="E870" i="24" s="1"/>
  <c r="L870" i="24"/>
  <c r="M870" i="24" s="1"/>
  <c r="P870" i="24"/>
  <c r="Q870" i="24" s="1"/>
  <c r="H870" i="24"/>
  <c r="I870" i="24" s="1"/>
  <c r="B870" i="24"/>
  <c r="C870" i="24" s="1"/>
  <c r="N870" i="24"/>
  <c r="O870" i="24" s="1"/>
  <c r="T870" i="24"/>
  <c r="U870" i="24" s="1"/>
  <c r="A871" i="24"/>
  <c r="J870" i="24"/>
  <c r="K870" i="24" s="1"/>
  <c r="V870" i="24"/>
  <c r="W870" i="24" s="1"/>
  <c r="J682" i="37"/>
  <c r="I682" i="37"/>
  <c r="D682" i="37"/>
  <c r="C682" i="37"/>
  <c r="O681" i="37"/>
  <c r="P681" i="37"/>
  <c r="S681" i="37"/>
  <c r="R681" i="37"/>
  <c r="G682" i="37"/>
  <c r="F682" i="37"/>
  <c r="M682" i="37"/>
  <c r="L682" i="37"/>
  <c r="H871" i="24" l="1"/>
  <c r="I871" i="24" s="1"/>
  <c r="T871" i="24"/>
  <c r="U871" i="24" s="1"/>
  <c r="J871" i="24"/>
  <c r="K871" i="24" s="1"/>
  <c r="R871" i="24"/>
  <c r="S871" i="24" s="1"/>
  <c r="N871" i="24"/>
  <c r="O871" i="24" s="1"/>
  <c r="B871" i="24"/>
  <c r="C871" i="24" s="1"/>
  <c r="D871" i="24"/>
  <c r="E871" i="24" s="1"/>
  <c r="A872" i="24"/>
  <c r="P871" i="24"/>
  <c r="Q871" i="24" s="1"/>
  <c r="F871" i="24"/>
  <c r="G871" i="24" s="1"/>
  <c r="V871" i="24"/>
  <c r="W871" i="24" s="1"/>
  <c r="L871" i="24"/>
  <c r="M871" i="24" s="1"/>
  <c r="J683" i="37"/>
  <c r="I683" i="37"/>
  <c r="D683" i="37"/>
  <c r="C683" i="37"/>
  <c r="O682" i="37"/>
  <c r="P682" i="37"/>
  <c r="F683" i="37"/>
  <c r="G683" i="37"/>
  <c r="L683" i="37"/>
  <c r="M683" i="37"/>
  <c r="S682" i="37"/>
  <c r="R682" i="37"/>
  <c r="P872" i="24" l="1"/>
  <c r="Q872" i="24" s="1"/>
  <c r="D872" i="24"/>
  <c r="E872" i="24" s="1"/>
  <c r="B872" i="24"/>
  <c r="C872" i="24" s="1"/>
  <c r="L872" i="24"/>
  <c r="M872" i="24" s="1"/>
  <c r="F872" i="24"/>
  <c r="G872" i="24" s="1"/>
  <c r="J872" i="24"/>
  <c r="K872" i="24" s="1"/>
  <c r="T872" i="24"/>
  <c r="U872" i="24" s="1"/>
  <c r="R872" i="24"/>
  <c r="S872" i="24" s="1"/>
  <c r="H872" i="24"/>
  <c r="I872" i="24" s="1"/>
  <c r="A873" i="24"/>
  <c r="N872" i="24"/>
  <c r="O872" i="24" s="1"/>
  <c r="V872" i="24"/>
  <c r="W872" i="24" s="1"/>
  <c r="J684" i="37"/>
  <c r="I684" i="37"/>
  <c r="C684" i="37"/>
  <c r="D684" i="37"/>
  <c r="P683" i="37"/>
  <c r="O683" i="37"/>
  <c r="L684" i="37"/>
  <c r="M684" i="37"/>
  <c r="R683" i="37"/>
  <c r="S683" i="37"/>
  <c r="F684" i="37"/>
  <c r="G684" i="37"/>
  <c r="N873" i="24" l="1"/>
  <c r="O873" i="24" s="1"/>
  <c r="T873" i="24"/>
  <c r="U873" i="24" s="1"/>
  <c r="D873" i="24"/>
  <c r="E873" i="24" s="1"/>
  <c r="P873" i="24"/>
  <c r="Q873" i="24" s="1"/>
  <c r="V873" i="24"/>
  <c r="W873" i="24" s="1"/>
  <c r="F873" i="24"/>
  <c r="G873" i="24" s="1"/>
  <c r="H873" i="24"/>
  <c r="I873" i="24" s="1"/>
  <c r="B873" i="24"/>
  <c r="C873" i="24" s="1"/>
  <c r="L873" i="24"/>
  <c r="M873" i="24" s="1"/>
  <c r="R873" i="24"/>
  <c r="S873" i="24" s="1"/>
  <c r="J873" i="24"/>
  <c r="K873" i="24" s="1"/>
  <c r="A874" i="24"/>
  <c r="I685" i="37"/>
  <c r="J685" i="37"/>
  <c r="C685" i="37"/>
  <c r="D685" i="37"/>
  <c r="O684" i="37"/>
  <c r="P684" i="37"/>
  <c r="F685" i="37"/>
  <c r="G685" i="37"/>
  <c r="R684" i="37"/>
  <c r="S684" i="37"/>
  <c r="L685" i="37"/>
  <c r="M685" i="37"/>
  <c r="R874" i="24" l="1"/>
  <c r="S874" i="24" s="1"/>
  <c r="H874" i="24"/>
  <c r="I874" i="24" s="1"/>
  <c r="F874" i="24"/>
  <c r="G874" i="24" s="1"/>
  <c r="D874" i="24"/>
  <c r="E874" i="24" s="1"/>
  <c r="B874" i="24"/>
  <c r="C874" i="24" s="1"/>
  <c r="V874" i="24"/>
  <c r="W874" i="24" s="1"/>
  <c r="L874" i="24"/>
  <c r="M874" i="24" s="1"/>
  <c r="T874" i="24"/>
  <c r="U874" i="24" s="1"/>
  <c r="A875" i="24"/>
  <c r="J874" i="24"/>
  <c r="K874" i="24" s="1"/>
  <c r="P874" i="24"/>
  <c r="Q874" i="24" s="1"/>
  <c r="N874" i="24"/>
  <c r="O874" i="24" s="1"/>
  <c r="I686" i="37"/>
  <c r="J686" i="37"/>
  <c r="C686" i="37"/>
  <c r="D686" i="37"/>
  <c r="P685" i="37"/>
  <c r="O685" i="37"/>
  <c r="M686" i="37"/>
  <c r="L686" i="37"/>
  <c r="R685" i="37"/>
  <c r="S685" i="37"/>
  <c r="G686" i="37"/>
  <c r="F686" i="37"/>
  <c r="B875" i="24" l="1"/>
  <c r="C875" i="24" s="1"/>
  <c r="T875" i="24"/>
  <c r="U875" i="24" s="1"/>
  <c r="H875" i="24"/>
  <c r="I875" i="24" s="1"/>
  <c r="P875" i="24"/>
  <c r="Q875" i="24" s="1"/>
  <c r="L875" i="24"/>
  <c r="M875" i="24" s="1"/>
  <c r="D875" i="24"/>
  <c r="E875" i="24" s="1"/>
  <c r="N875" i="24"/>
  <c r="O875" i="24" s="1"/>
  <c r="R875" i="24"/>
  <c r="S875" i="24" s="1"/>
  <c r="F875" i="24"/>
  <c r="G875" i="24" s="1"/>
  <c r="V875" i="24"/>
  <c r="W875" i="24" s="1"/>
  <c r="J875" i="24"/>
  <c r="K875" i="24" s="1"/>
  <c r="A876" i="24"/>
  <c r="I687" i="37"/>
  <c r="J687" i="37"/>
  <c r="C687" i="37"/>
  <c r="D687" i="37"/>
  <c r="O686" i="37"/>
  <c r="P686" i="37"/>
  <c r="F687" i="37"/>
  <c r="G687" i="37"/>
  <c r="S686" i="37"/>
  <c r="R686" i="37"/>
  <c r="L687" i="37"/>
  <c r="M687" i="37"/>
  <c r="R876" i="24" l="1"/>
  <c r="S876" i="24" s="1"/>
  <c r="L876" i="24"/>
  <c r="M876" i="24" s="1"/>
  <c r="D876" i="24"/>
  <c r="E876" i="24" s="1"/>
  <c r="B876" i="24"/>
  <c r="C876" i="24" s="1"/>
  <c r="J876" i="24"/>
  <c r="K876" i="24" s="1"/>
  <c r="V876" i="24"/>
  <c r="W876" i="24" s="1"/>
  <c r="P876" i="24"/>
  <c r="Q876" i="24" s="1"/>
  <c r="N876" i="24"/>
  <c r="O876" i="24" s="1"/>
  <c r="F876" i="24"/>
  <c r="G876" i="24" s="1"/>
  <c r="T876" i="24"/>
  <c r="U876" i="24" s="1"/>
  <c r="A877" i="24"/>
  <c r="H876" i="24"/>
  <c r="I876" i="24" s="1"/>
  <c r="I688" i="37"/>
  <c r="J688" i="37"/>
  <c r="C688" i="37"/>
  <c r="D688" i="37"/>
  <c r="O687" i="37"/>
  <c r="P687" i="37"/>
  <c r="S687" i="37"/>
  <c r="R687" i="37"/>
  <c r="F688" i="37"/>
  <c r="G688" i="37"/>
  <c r="L688" i="37"/>
  <c r="M688" i="37"/>
  <c r="J877" i="24" l="1"/>
  <c r="K877" i="24" s="1"/>
  <c r="T877" i="24"/>
  <c r="U877" i="24" s="1"/>
  <c r="B877" i="24"/>
  <c r="C877" i="24" s="1"/>
  <c r="P877" i="24"/>
  <c r="Q877" i="24" s="1"/>
  <c r="D877" i="24"/>
  <c r="E877" i="24" s="1"/>
  <c r="F877" i="24"/>
  <c r="G877" i="24" s="1"/>
  <c r="N877" i="24"/>
  <c r="O877" i="24" s="1"/>
  <c r="V877" i="24"/>
  <c r="W877" i="24" s="1"/>
  <c r="A878" i="24"/>
  <c r="R877" i="24"/>
  <c r="S877" i="24" s="1"/>
  <c r="H877" i="24"/>
  <c r="I877" i="24" s="1"/>
  <c r="L877" i="24"/>
  <c r="M877" i="24" s="1"/>
  <c r="J689" i="37"/>
  <c r="I689" i="37"/>
  <c r="D689" i="37"/>
  <c r="C689" i="37"/>
  <c r="P688" i="37"/>
  <c r="O688" i="37"/>
  <c r="L689" i="37"/>
  <c r="M689" i="37"/>
  <c r="F689" i="37"/>
  <c r="G689" i="37"/>
  <c r="S688" i="37"/>
  <c r="R688" i="37"/>
  <c r="R878" i="24" l="1"/>
  <c r="S878" i="24" s="1"/>
  <c r="N878" i="24"/>
  <c r="O878" i="24" s="1"/>
  <c r="D878" i="24"/>
  <c r="E878" i="24" s="1"/>
  <c r="B878" i="24"/>
  <c r="C878" i="24" s="1"/>
  <c r="L878" i="24"/>
  <c r="M878" i="24" s="1"/>
  <c r="J878" i="24"/>
  <c r="K878" i="24" s="1"/>
  <c r="A879" i="24"/>
  <c r="P878" i="24"/>
  <c r="Q878" i="24" s="1"/>
  <c r="T878" i="24"/>
  <c r="U878" i="24" s="1"/>
  <c r="H878" i="24"/>
  <c r="I878" i="24" s="1"/>
  <c r="F878" i="24"/>
  <c r="G878" i="24" s="1"/>
  <c r="V878" i="24"/>
  <c r="W878" i="24" s="1"/>
  <c r="I690" i="37"/>
  <c r="J690" i="37"/>
  <c r="C690" i="37"/>
  <c r="D690" i="37"/>
  <c r="O689" i="37"/>
  <c r="P689" i="37"/>
  <c r="F690" i="37"/>
  <c r="G690" i="37"/>
  <c r="L690" i="37"/>
  <c r="M690" i="37"/>
  <c r="R689" i="37"/>
  <c r="S689" i="37"/>
  <c r="H879" i="24" l="1"/>
  <c r="I879" i="24" s="1"/>
  <c r="T879" i="24"/>
  <c r="U879" i="24" s="1"/>
  <c r="J879" i="24"/>
  <c r="K879" i="24" s="1"/>
  <c r="R879" i="24"/>
  <c r="S879" i="24" s="1"/>
  <c r="N879" i="24"/>
  <c r="O879" i="24" s="1"/>
  <c r="L879" i="24"/>
  <c r="M879" i="24" s="1"/>
  <c r="P879" i="24"/>
  <c r="Q879" i="24" s="1"/>
  <c r="D879" i="24"/>
  <c r="E879" i="24" s="1"/>
  <c r="F879" i="24"/>
  <c r="G879" i="24" s="1"/>
  <c r="A880" i="24"/>
  <c r="B879" i="24"/>
  <c r="C879" i="24" s="1"/>
  <c r="V879" i="24"/>
  <c r="W879" i="24" s="1"/>
  <c r="I691" i="37"/>
  <c r="J691" i="37"/>
  <c r="C691" i="37"/>
  <c r="D691" i="37"/>
  <c r="O690" i="37"/>
  <c r="P690" i="37"/>
  <c r="M691" i="37"/>
  <c r="L691" i="37"/>
  <c r="R690" i="37"/>
  <c r="S690" i="37"/>
  <c r="F691" i="37"/>
  <c r="G691" i="37"/>
  <c r="P880" i="24" l="1"/>
  <c r="Q880" i="24" s="1"/>
  <c r="D880" i="24"/>
  <c r="E880" i="24" s="1"/>
  <c r="B880" i="24"/>
  <c r="C880" i="24" s="1"/>
  <c r="L880" i="24"/>
  <c r="M880" i="24" s="1"/>
  <c r="V880" i="24"/>
  <c r="W880" i="24" s="1"/>
  <c r="T880" i="24"/>
  <c r="U880" i="24" s="1"/>
  <c r="J880" i="24"/>
  <c r="K880" i="24" s="1"/>
  <c r="N880" i="24"/>
  <c r="O880" i="24" s="1"/>
  <c r="R880" i="24"/>
  <c r="S880" i="24" s="1"/>
  <c r="F880" i="24"/>
  <c r="G880" i="24" s="1"/>
  <c r="H880" i="24"/>
  <c r="I880" i="24" s="1"/>
  <c r="A881" i="24"/>
  <c r="I692" i="37"/>
  <c r="J692" i="37"/>
  <c r="C692" i="37"/>
  <c r="D692" i="37"/>
  <c r="P691" i="37"/>
  <c r="O691" i="37"/>
  <c r="L692" i="37"/>
  <c r="M692" i="37"/>
  <c r="F692" i="37"/>
  <c r="G692" i="37"/>
  <c r="S691" i="37"/>
  <c r="R691" i="37"/>
  <c r="L881" i="24" l="1"/>
  <c r="M881" i="24" s="1"/>
  <c r="T881" i="24"/>
  <c r="U881" i="24" s="1"/>
  <c r="F881" i="24"/>
  <c r="G881" i="24" s="1"/>
  <c r="P881" i="24"/>
  <c r="Q881" i="24" s="1"/>
  <c r="V881" i="24"/>
  <c r="W881" i="24" s="1"/>
  <c r="A882" i="24"/>
  <c r="D881" i="24"/>
  <c r="E881" i="24" s="1"/>
  <c r="R881" i="24"/>
  <c r="S881" i="24" s="1"/>
  <c r="N881" i="24"/>
  <c r="O881" i="24" s="1"/>
  <c r="J881" i="24"/>
  <c r="K881" i="24" s="1"/>
  <c r="H881" i="24"/>
  <c r="I881" i="24" s="1"/>
  <c r="B881" i="24"/>
  <c r="C881" i="24" s="1"/>
  <c r="I693" i="37"/>
  <c r="J693" i="37"/>
  <c r="C693" i="37"/>
  <c r="D693" i="37"/>
  <c r="P692" i="37"/>
  <c r="O692" i="37"/>
  <c r="F693" i="37"/>
  <c r="G693" i="37"/>
  <c r="S692" i="37"/>
  <c r="R692" i="37"/>
  <c r="M693" i="37"/>
  <c r="L693" i="37"/>
  <c r="R882" i="24" l="1"/>
  <c r="S882" i="24" s="1"/>
  <c r="N882" i="24"/>
  <c r="O882" i="24" s="1"/>
  <c r="F882" i="24"/>
  <c r="G882" i="24" s="1"/>
  <c r="H882" i="24"/>
  <c r="I882" i="24" s="1"/>
  <c r="T882" i="24"/>
  <c r="U882" i="24" s="1"/>
  <c r="A883" i="24"/>
  <c r="J882" i="24"/>
  <c r="K882" i="24" s="1"/>
  <c r="B882" i="24"/>
  <c r="C882" i="24" s="1"/>
  <c r="V882" i="24"/>
  <c r="W882" i="24" s="1"/>
  <c r="D882" i="24"/>
  <c r="E882" i="24" s="1"/>
  <c r="L882" i="24"/>
  <c r="M882" i="24" s="1"/>
  <c r="P882" i="24"/>
  <c r="Q882" i="24" s="1"/>
  <c r="J694" i="37"/>
  <c r="I694" i="37"/>
  <c r="D694" i="37"/>
  <c r="C694" i="37"/>
  <c r="O693" i="37"/>
  <c r="P693" i="37"/>
  <c r="M694" i="37"/>
  <c r="L694" i="37"/>
  <c r="F694" i="37"/>
  <c r="G694" i="37"/>
  <c r="R693" i="37"/>
  <c r="S693" i="37"/>
  <c r="B883" i="24" l="1"/>
  <c r="C883" i="24" s="1"/>
  <c r="T883" i="24"/>
  <c r="U883" i="24" s="1"/>
  <c r="H883" i="24"/>
  <c r="I883" i="24" s="1"/>
  <c r="P883" i="24"/>
  <c r="Q883" i="24" s="1"/>
  <c r="V883" i="24"/>
  <c r="W883" i="24" s="1"/>
  <c r="A884" i="24"/>
  <c r="R883" i="24"/>
  <c r="S883" i="24" s="1"/>
  <c r="J883" i="24"/>
  <c r="K883" i="24" s="1"/>
  <c r="N883" i="24"/>
  <c r="O883" i="24" s="1"/>
  <c r="L883" i="24"/>
  <c r="M883" i="24" s="1"/>
  <c r="D883" i="24"/>
  <c r="E883" i="24" s="1"/>
  <c r="F883" i="24"/>
  <c r="G883" i="24" s="1"/>
  <c r="I695" i="37"/>
  <c r="J695" i="37"/>
  <c r="C695" i="37"/>
  <c r="D695" i="37"/>
  <c r="P694" i="37"/>
  <c r="O694" i="37"/>
  <c r="F695" i="37"/>
  <c r="G695" i="37"/>
  <c r="M695" i="37"/>
  <c r="L695" i="37"/>
  <c r="R694" i="37"/>
  <c r="S694" i="37"/>
  <c r="P884" i="24" l="1"/>
  <c r="Q884" i="24" s="1"/>
  <c r="J884" i="24"/>
  <c r="K884" i="24" s="1"/>
  <c r="D884" i="24"/>
  <c r="E884" i="24" s="1"/>
  <c r="L884" i="24"/>
  <c r="M884" i="24" s="1"/>
  <c r="A885" i="24"/>
  <c r="R884" i="24"/>
  <c r="S884" i="24" s="1"/>
  <c r="B884" i="24"/>
  <c r="C884" i="24" s="1"/>
  <c r="V884" i="24"/>
  <c r="W884" i="24" s="1"/>
  <c r="F884" i="24"/>
  <c r="G884" i="24" s="1"/>
  <c r="T884" i="24"/>
  <c r="U884" i="24" s="1"/>
  <c r="H884" i="24"/>
  <c r="I884" i="24" s="1"/>
  <c r="N884" i="24"/>
  <c r="O884" i="24" s="1"/>
  <c r="I696" i="37"/>
  <c r="J696" i="37"/>
  <c r="C696" i="37"/>
  <c r="D696" i="37"/>
  <c r="O695" i="37"/>
  <c r="P695" i="37"/>
  <c r="S695" i="37"/>
  <c r="R695" i="37"/>
  <c r="M696" i="37"/>
  <c r="L696" i="37"/>
  <c r="F696" i="37"/>
  <c r="G696" i="37"/>
  <c r="N885" i="24" l="1"/>
  <c r="O885" i="24" s="1"/>
  <c r="T885" i="24"/>
  <c r="U885" i="24" s="1"/>
  <c r="V885" i="24"/>
  <c r="W885" i="24" s="1"/>
  <c r="P885" i="24"/>
  <c r="Q885" i="24" s="1"/>
  <c r="H885" i="24"/>
  <c r="I885" i="24" s="1"/>
  <c r="R885" i="24"/>
  <c r="S885" i="24" s="1"/>
  <c r="D885" i="24"/>
  <c r="E885" i="24" s="1"/>
  <c r="A886" i="24"/>
  <c r="L885" i="24"/>
  <c r="M885" i="24" s="1"/>
  <c r="F885" i="24"/>
  <c r="G885" i="24" s="1"/>
  <c r="B885" i="24"/>
  <c r="C885" i="24" s="1"/>
  <c r="J885" i="24"/>
  <c r="K885" i="24" s="1"/>
  <c r="I697" i="37"/>
  <c r="J697" i="37"/>
  <c r="C697" i="37"/>
  <c r="D697" i="37"/>
  <c r="P696" i="37"/>
  <c r="O696" i="37"/>
  <c r="S696" i="37"/>
  <c r="R696" i="37"/>
  <c r="F697" i="37"/>
  <c r="G697" i="37"/>
  <c r="M697" i="37"/>
  <c r="L697" i="37"/>
  <c r="D886" i="24" l="1"/>
  <c r="E886" i="24" s="1"/>
  <c r="N886" i="24"/>
  <c r="O886" i="24" s="1"/>
  <c r="P886" i="24"/>
  <c r="Q886" i="24" s="1"/>
  <c r="V886" i="24"/>
  <c r="W886" i="24" s="1"/>
  <c r="H886" i="24"/>
  <c r="I886" i="24" s="1"/>
  <c r="J886" i="24"/>
  <c r="K886" i="24" s="1"/>
  <c r="A887" i="24"/>
  <c r="R886" i="24"/>
  <c r="S886" i="24" s="1"/>
  <c r="B886" i="24"/>
  <c r="C886" i="24" s="1"/>
  <c r="T886" i="24"/>
  <c r="U886" i="24" s="1"/>
  <c r="F886" i="24"/>
  <c r="G886" i="24" s="1"/>
  <c r="L886" i="24"/>
  <c r="M886" i="24" s="1"/>
  <c r="I698" i="37"/>
  <c r="J698" i="37"/>
  <c r="D698" i="37"/>
  <c r="C698" i="37"/>
  <c r="O697" i="37"/>
  <c r="P697" i="37"/>
  <c r="F698" i="37"/>
  <c r="G698" i="37"/>
  <c r="M698" i="37"/>
  <c r="L698" i="37"/>
  <c r="R697" i="37"/>
  <c r="S697" i="37"/>
  <c r="J887" i="24" l="1"/>
  <c r="K887" i="24" s="1"/>
  <c r="T887" i="24"/>
  <c r="U887" i="24" s="1"/>
  <c r="P887" i="24"/>
  <c r="Q887" i="24" s="1"/>
  <c r="D887" i="24"/>
  <c r="E887" i="24" s="1"/>
  <c r="L887" i="24"/>
  <c r="M887" i="24" s="1"/>
  <c r="H887" i="24"/>
  <c r="I887" i="24" s="1"/>
  <c r="F887" i="24"/>
  <c r="G887" i="24" s="1"/>
  <c r="R887" i="24"/>
  <c r="S887" i="24" s="1"/>
  <c r="A888" i="24"/>
  <c r="B887" i="24"/>
  <c r="C887" i="24" s="1"/>
  <c r="V887" i="24"/>
  <c r="W887" i="24" s="1"/>
  <c r="N887" i="24"/>
  <c r="O887" i="24" s="1"/>
  <c r="I699" i="37"/>
  <c r="J699" i="37"/>
  <c r="D699" i="37"/>
  <c r="C699" i="37"/>
  <c r="O698" i="37"/>
  <c r="P698" i="37"/>
  <c r="L699" i="37"/>
  <c r="M699" i="37"/>
  <c r="S698" i="37"/>
  <c r="R698" i="37"/>
  <c r="F699" i="37"/>
  <c r="G699" i="37"/>
  <c r="B888" i="24" l="1"/>
  <c r="C888" i="24" s="1"/>
  <c r="N888" i="24"/>
  <c r="O888" i="24" s="1"/>
  <c r="J888" i="24"/>
  <c r="K888" i="24" s="1"/>
  <c r="D888" i="24"/>
  <c r="E888" i="24" s="1"/>
  <c r="R888" i="24"/>
  <c r="S888" i="24" s="1"/>
  <c r="L888" i="24"/>
  <c r="M888" i="24" s="1"/>
  <c r="T888" i="24"/>
  <c r="U888" i="24" s="1"/>
  <c r="A889" i="24"/>
  <c r="F888" i="24"/>
  <c r="G888" i="24" s="1"/>
  <c r="V888" i="24"/>
  <c r="W888" i="24" s="1"/>
  <c r="P888" i="24"/>
  <c r="Q888" i="24" s="1"/>
  <c r="H888" i="24"/>
  <c r="I888" i="24" s="1"/>
  <c r="I700" i="37"/>
  <c r="J700" i="37"/>
  <c r="C700" i="37"/>
  <c r="D700" i="37"/>
  <c r="P699" i="37"/>
  <c r="O699" i="37"/>
  <c r="R699" i="37"/>
  <c r="S699" i="37"/>
  <c r="F700" i="37"/>
  <c r="G700" i="37"/>
  <c r="M700" i="37"/>
  <c r="L700" i="37"/>
  <c r="N889" i="24" l="1"/>
  <c r="O889" i="24" s="1"/>
  <c r="T889" i="24"/>
  <c r="U889" i="24" s="1"/>
  <c r="D889" i="24"/>
  <c r="E889" i="24" s="1"/>
  <c r="R889" i="24"/>
  <c r="S889" i="24" s="1"/>
  <c r="V889" i="24"/>
  <c r="W889" i="24" s="1"/>
  <c r="F889" i="24"/>
  <c r="G889" i="24" s="1"/>
  <c r="J889" i="24"/>
  <c r="K889" i="24" s="1"/>
  <c r="A890" i="24"/>
  <c r="B889" i="24"/>
  <c r="C889" i="24" s="1"/>
  <c r="H889" i="24"/>
  <c r="I889" i="24" s="1"/>
  <c r="P889" i="24"/>
  <c r="Q889" i="24" s="1"/>
  <c r="L889" i="24"/>
  <c r="M889" i="24" s="1"/>
  <c r="I701" i="37"/>
  <c r="J701" i="37"/>
  <c r="C701" i="37"/>
  <c r="D701" i="37"/>
  <c r="O700" i="37"/>
  <c r="P700" i="37"/>
  <c r="L701" i="37"/>
  <c r="M701" i="37"/>
  <c r="S700" i="37"/>
  <c r="R700" i="37"/>
  <c r="F701" i="37"/>
  <c r="G701" i="37"/>
  <c r="P890" i="24" l="1"/>
  <c r="Q890" i="24" s="1"/>
  <c r="L890" i="24"/>
  <c r="M890" i="24" s="1"/>
  <c r="J890" i="24"/>
  <c r="K890" i="24" s="1"/>
  <c r="D890" i="24"/>
  <c r="E890" i="24" s="1"/>
  <c r="R890" i="24"/>
  <c r="S890" i="24" s="1"/>
  <c r="V890" i="24"/>
  <c r="W890" i="24" s="1"/>
  <c r="B890" i="24"/>
  <c r="C890" i="24" s="1"/>
  <c r="N890" i="24"/>
  <c r="O890" i="24" s="1"/>
  <c r="T890" i="24"/>
  <c r="U890" i="24" s="1"/>
  <c r="F890" i="24"/>
  <c r="G890" i="24" s="1"/>
  <c r="A891" i="24"/>
  <c r="H890" i="24"/>
  <c r="I890" i="24" s="1"/>
  <c r="I702" i="37"/>
  <c r="J702" i="37"/>
  <c r="D702" i="37"/>
  <c r="C702" i="37"/>
  <c r="O701" i="37"/>
  <c r="P701" i="37"/>
  <c r="R701" i="37"/>
  <c r="S701" i="37"/>
  <c r="M702" i="37"/>
  <c r="L702" i="37"/>
  <c r="G702" i="37"/>
  <c r="F702" i="37"/>
  <c r="H891" i="24" l="1"/>
  <c r="I891" i="24" s="1"/>
  <c r="T891" i="24"/>
  <c r="U891" i="24" s="1"/>
  <c r="R891" i="24"/>
  <c r="S891" i="24" s="1"/>
  <c r="J891" i="24"/>
  <c r="K891" i="24" s="1"/>
  <c r="N891" i="24"/>
  <c r="O891" i="24" s="1"/>
  <c r="P891" i="24"/>
  <c r="Q891" i="24" s="1"/>
  <c r="L891" i="24"/>
  <c r="M891" i="24" s="1"/>
  <c r="A892" i="24"/>
  <c r="D891" i="24"/>
  <c r="E891" i="24" s="1"/>
  <c r="V891" i="24"/>
  <c r="W891" i="24" s="1"/>
  <c r="F891" i="24"/>
  <c r="G891" i="24" s="1"/>
  <c r="B891" i="24"/>
  <c r="C891" i="24" s="1"/>
  <c r="J703" i="37"/>
  <c r="I703" i="37"/>
  <c r="C703" i="37"/>
  <c r="D703" i="37"/>
  <c r="O702" i="37"/>
  <c r="P702" i="37"/>
  <c r="F703" i="37"/>
  <c r="G703" i="37"/>
  <c r="L703" i="37"/>
  <c r="M703" i="37"/>
  <c r="R702" i="37"/>
  <c r="S702" i="37"/>
  <c r="R892" i="24" l="1"/>
  <c r="S892" i="24" s="1"/>
  <c r="L892" i="24"/>
  <c r="M892" i="24" s="1"/>
  <c r="D892" i="24"/>
  <c r="E892" i="24" s="1"/>
  <c r="F892" i="24"/>
  <c r="G892" i="24" s="1"/>
  <c r="B892" i="24"/>
  <c r="C892" i="24" s="1"/>
  <c r="V892" i="24"/>
  <c r="W892" i="24" s="1"/>
  <c r="T892" i="24"/>
  <c r="U892" i="24" s="1"/>
  <c r="P892" i="24"/>
  <c r="Q892" i="24" s="1"/>
  <c r="H892" i="24"/>
  <c r="I892" i="24" s="1"/>
  <c r="A893" i="24"/>
  <c r="J892" i="24"/>
  <c r="K892" i="24" s="1"/>
  <c r="N892" i="24"/>
  <c r="O892" i="24" s="1"/>
  <c r="J704" i="37"/>
  <c r="I704" i="37"/>
  <c r="C704" i="37"/>
  <c r="D704" i="37"/>
  <c r="O703" i="37"/>
  <c r="P703" i="37"/>
  <c r="M704" i="37"/>
  <c r="L704" i="37"/>
  <c r="S703" i="37"/>
  <c r="R703" i="37"/>
  <c r="G704" i="37"/>
  <c r="F704" i="37"/>
  <c r="F893" i="24" l="1"/>
  <c r="G893" i="24" s="1"/>
  <c r="T893" i="24"/>
  <c r="U893" i="24" s="1"/>
  <c r="J893" i="24"/>
  <c r="K893" i="24" s="1"/>
  <c r="P893" i="24"/>
  <c r="Q893" i="24" s="1"/>
  <c r="V893" i="24"/>
  <c r="W893" i="24" s="1"/>
  <c r="D893" i="24"/>
  <c r="E893" i="24" s="1"/>
  <c r="N893" i="24"/>
  <c r="O893" i="24" s="1"/>
  <c r="H893" i="24"/>
  <c r="I893" i="24" s="1"/>
  <c r="B893" i="24"/>
  <c r="C893" i="24" s="1"/>
  <c r="A894" i="24"/>
  <c r="R893" i="24"/>
  <c r="S893" i="24" s="1"/>
  <c r="L893" i="24"/>
  <c r="M893" i="24" s="1"/>
  <c r="I705" i="37"/>
  <c r="J705" i="37"/>
  <c r="C705" i="37"/>
  <c r="D705" i="37"/>
  <c r="P704" i="37"/>
  <c r="O704" i="37"/>
  <c r="S704" i="37"/>
  <c r="R704" i="37"/>
  <c r="M705" i="37"/>
  <c r="L705" i="37"/>
  <c r="F705" i="37"/>
  <c r="G705" i="37"/>
  <c r="D894" i="24" l="1"/>
  <c r="E894" i="24" s="1"/>
  <c r="P894" i="24"/>
  <c r="Q894" i="24" s="1"/>
  <c r="F894" i="24"/>
  <c r="G894" i="24" s="1"/>
  <c r="N894" i="24"/>
  <c r="O894" i="24" s="1"/>
  <c r="R894" i="24"/>
  <c r="S894" i="24" s="1"/>
  <c r="V894" i="24"/>
  <c r="W894" i="24" s="1"/>
  <c r="L894" i="24"/>
  <c r="M894" i="24" s="1"/>
  <c r="T894" i="24"/>
  <c r="U894" i="24" s="1"/>
  <c r="A895" i="24"/>
  <c r="H894" i="24"/>
  <c r="I894" i="24" s="1"/>
  <c r="B894" i="24"/>
  <c r="C894" i="24" s="1"/>
  <c r="J894" i="24"/>
  <c r="K894" i="24" s="1"/>
  <c r="J706" i="37"/>
  <c r="I706" i="37"/>
  <c r="C706" i="37"/>
  <c r="D706" i="37"/>
  <c r="P705" i="37"/>
  <c r="O705" i="37"/>
  <c r="M706" i="37"/>
  <c r="L706" i="37"/>
  <c r="F706" i="37"/>
  <c r="G706" i="37"/>
  <c r="R705" i="37"/>
  <c r="S705" i="37"/>
  <c r="J895" i="24" l="1"/>
  <c r="K895" i="24" s="1"/>
  <c r="T895" i="24"/>
  <c r="U895" i="24" s="1"/>
  <c r="N895" i="24"/>
  <c r="O895" i="24" s="1"/>
  <c r="D895" i="24"/>
  <c r="E895" i="24" s="1"/>
  <c r="L895" i="24"/>
  <c r="M895" i="24" s="1"/>
  <c r="R895" i="24"/>
  <c r="S895" i="24" s="1"/>
  <c r="B895" i="24"/>
  <c r="C895" i="24" s="1"/>
  <c r="H895" i="24"/>
  <c r="I895" i="24" s="1"/>
  <c r="A896" i="24"/>
  <c r="F895" i="24"/>
  <c r="G895" i="24" s="1"/>
  <c r="V895" i="24"/>
  <c r="W895" i="24" s="1"/>
  <c r="P895" i="24"/>
  <c r="Q895" i="24" s="1"/>
  <c r="I707" i="37"/>
  <c r="J707" i="37"/>
  <c r="C707" i="37"/>
  <c r="D707" i="37"/>
  <c r="O706" i="37"/>
  <c r="P706" i="37"/>
  <c r="F707" i="37"/>
  <c r="G707" i="37"/>
  <c r="L707" i="37"/>
  <c r="M707" i="37"/>
  <c r="S706" i="37"/>
  <c r="R706" i="37"/>
  <c r="B896" i="24" l="1"/>
  <c r="C896" i="24" s="1"/>
  <c r="D896" i="24"/>
  <c r="E896" i="24" s="1"/>
  <c r="J896" i="24"/>
  <c r="K896" i="24" s="1"/>
  <c r="N896" i="24"/>
  <c r="O896" i="24" s="1"/>
  <c r="P896" i="24"/>
  <c r="Q896" i="24" s="1"/>
  <c r="T896" i="24"/>
  <c r="U896" i="24" s="1"/>
  <c r="F896" i="24"/>
  <c r="G896" i="24" s="1"/>
  <c r="H896" i="24"/>
  <c r="I896" i="24" s="1"/>
  <c r="V896" i="24"/>
  <c r="W896" i="24" s="1"/>
  <c r="A897" i="24"/>
  <c r="L896" i="24"/>
  <c r="M896" i="24" s="1"/>
  <c r="R896" i="24"/>
  <c r="S896" i="24" s="1"/>
  <c r="J708" i="37"/>
  <c r="I708" i="37"/>
  <c r="C708" i="37"/>
  <c r="D708" i="37"/>
  <c r="O707" i="37"/>
  <c r="P707" i="37"/>
  <c r="L708" i="37"/>
  <c r="M708" i="37"/>
  <c r="F708" i="37"/>
  <c r="G708" i="37"/>
  <c r="R707" i="37"/>
  <c r="S707" i="37"/>
  <c r="B897" i="24" l="1"/>
  <c r="C897" i="24" s="1"/>
  <c r="T897" i="24"/>
  <c r="U897" i="24" s="1"/>
  <c r="D897" i="24"/>
  <c r="E897" i="24" s="1"/>
  <c r="R897" i="24"/>
  <c r="S897" i="24" s="1"/>
  <c r="F897" i="24"/>
  <c r="G897" i="24" s="1"/>
  <c r="A898" i="24"/>
  <c r="V897" i="24"/>
  <c r="W897" i="24" s="1"/>
  <c r="H897" i="24"/>
  <c r="I897" i="24" s="1"/>
  <c r="J897" i="24"/>
  <c r="K897" i="24" s="1"/>
  <c r="P897" i="24"/>
  <c r="Q897" i="24" s="1"/>
  <c r="L897" i="24"/>
  <c r="M897" i="24" s="1"/>
  <c r="N897" i="24"/>
  <c r="O897" i="24" s="1"/>
  <c r="I709" i="37"/>
  <c r="J709" i="37"/>
  <c r="C709" i="37"/>
  <c r="D709" i="37"/>
  <c r="P708" i="37"/>
  <c r="O708" i="37"/>
  <c r="F709" i="37"/>
  <c r="G709" i="37"/>
  <c r="R708" i="37"/>
  <c r="S708" i="37"/>
  <c r="L709" i="37"/>
  <c r="M709" i="37"/>
  <c r="P898" i="24" l="1"/>
  <c r="Q898" i="24" s="1"/>
  <c r="L898" i="24"/>
  <c r="M898" i="24" s="1"/>
  <c r="J898" i="24"/>
  <c r="K898" i="24" s="1"/>
  <c r="H898" i="24"/>
  <c r="I898" i="24" s="1"/>
  <c r="T898" i="24"/>
  <c r="U898" i="24" s="1"/>
  <c r="A899" i="24"/>
  <c r="N898" i="24"/>
  <c r="O898" i="24" s="1"/>
  <c r="F898" i="24"/>
  <c r="G898" i="24" s="1"/>
  <c r="R898" i="24"/>
  <c r="S898" i="24" s="1"/>
  <c r="V898" i="24"/>
  <c r="W898" i="24" s="1"/>
  <c r="D898" i="24"/>
  <c r="E898" i="24" s="1"/>
  <c r="B898" i="24"/>
  <c r="C898" i="24" s="1"/>
  <c r="I710" i="37"/>
  <c r="J710" i="37"/>
  <c r="C710" i="37"/>
  <c r="D710" i="37"/>
  <c r="O709" i="37"/>
  <c r="P709" i="37"/>
  <c r="G710" i="37"/>
  <c r="F710" i="37"/>
  <c r="L710" i="37"/>
  <c r="M710" i="37"/>
  <c r="R709" i="37"/>
  <c r="S709" i="37"/>
  <c r="H899" i="24" l="1"/>
  <c r="I899" i="24" s="1"/>
  <c r="T899" i="24"/>
  <c r="U899" i="24" s="1"/>
  <c r="V899" i="24"/>
  <c r="W899" i="24" s="1"/>
  <c r="J899" i="24"/>
  <c r="K899" i="24" s="1"/>
  <c r="N899" i="24"/>
  <c r="O899" i="24" s="1"/>
  <c r="A900" i="24"/>
  <c r="F899" i="24"/>
  <c r="G899" i="24" s="1"/>
  <c r="D899" i="24"/>
  <c r="E899" i="24" s="1"/>
  <c r="R899" i="24"/>
  <c r="S899" i="24" s="1"/>
  <c r="P899" i="24"/>
  <c r="Q899" i="24" s="1"/>
  <c r="B899" i="24"/>
  <c r="C899" i="24" s="1"/>
  <c r="L899" i="24"/>
  <c r="M899" i="24" s="1"/>
  <c r="I711" i="37"/>
  <c r="J711" i="37"/>
  <c r="C711" i="37"/>
  <c r="D711" i="37"/>
  <c r="O710" i="37"/>
  <c r="P710" i="37"/>
  <c r="L711" i="37"/>
  <c r="M711" i="37"/>
  <c r="F711" i="37"/>
  <c r="G711" i="37"/>
  <c r="S710" i="37"/>
  <c r="R710" i="37"/>
  <c r="R900" i="24" l="1"/>
  <c r="S900" i="24" s="1"/>
  <c r="V900" i="24"/>
  <c r="W900" i="24" s="1"/>
  <c r="D900" i="24"/>
  <c r="E900" i="24" s="1"/>
  <c r="J900" i="24"/>
  <c r="K900" i="24" s="1"/>
  <c r="A901" i="24"/>
  <c r="P900" i="24"/>
  <c r="Q900" i="24" s="1"/>
  <c r="N900" i="24"/>
  <c r="O900" i="24" s="1"/>
  <c r="L900" i="24"/>
  <c r="M900" i="24" s="1"/>
  <c r="F900" i="24"/>
  <c r="G900" i="24" s="1"/>
  <c r="B900" i="24"/>
  <c r="C900" i="24" s="1"/>
  <c r="T900" i="24"/>
  <c r="U900" i="24" s="1"/>
  <c r="H900" i="24"/>
  <c r="I900" i="24" s="1"/>
  <c r="I712" i="37"/>
  <c r="J712" i="37"/>
  <c r="C712" i="37"/>
  <c r="D712" i="37"/>
  <c r="O711" i="37"/>
  <c r="P711" i="37"/>
  <c r="F712" i="37"/>
  <c r="G712" i="37"/>
  <c r="R711" i="37"/>
  <c r="S711" i="37"/>
  <c r="L712" i="37"/>
  <c r="M712" i="37"/>
  <c r="J901" i="24" l="1"/>
  <c r="K901" i="24" s="1"/>
  <c r="T901" i="24"/>
  <c r="U901" i="24" s="1"/>
  <c r="H901" i="24"/>
  <c r="I901" i="24" s="1"/>
  <c r="P901" i="24"/>
  <c r="Q901" i="24" s="1"/>
  <c r="B901" i="24"/>
  <c r="C901" i="24" s="1"/>
  <c r="R901" i="24"/>
  <c r="S901" i="24" s="1"/>
  <c r="D901" i="24"/>
  <c r="E901" i="24" s="1"/>
  <c r="F901" i="24"/>
  <c r="G901" i="24" s="1"/>
  <c r="A902" i="24"/>
  <c r="L901" i="24"/>
  <c r="M901" i="24" s="1"/>
  <c r="V901" i="24"/>
  <c r="W901" i="24" s="1"/>
  <c r="N901" i="24"/>
  <c r="O901" i="24" s="1"/>
  <c r="J713" i="37"/>
  <c r="I713" i="37"/>
  <c r="C713" i="37"/>
  <c r="D713" i="37"/>
  <c r="P712" i="37"/>
  <c r="O712" i="37"/>
  <c r="R712" i="37"/>
  <c r="S712" i="37"/>
  <c r="F713" i="37"/>
  <c r="G713" i="37"/>
  <c r="M713" i="37"/>
  <c r="L713" i="37"/>
  <c r="D902" i="24" l="1"/>
  <c r="E902" i="24" s="1"/>
  <c r="F902" i="24"/>
  <c r="G902" i="24" s="1"/>
  <c r="P902" i="24"/>
  <c r="Q902" i="24" s="1"/>
  <c r="N902" i="24"/>
  <c r="O902" i="24" s="1"/>
  <c r="H902" i="24"/>
  <c r="I902" i="24" s="1"/>
  <c r="J902" i="24"/>
  <c r="K902" i="24" s="1"/>
  <c r="A903" i="24"/>
  <c r="L902" i="24"/>
  <c r="M902" i="24" s="1"/>
  <c r="V902" i="24"/>
  <c r="W902" i="24" s="1"/>
  <c r="T902" i="24"/>
  <c r="U902" i="24" s="1"/>
  <c r="R902" i="24"/>
  <c r="S902" i="24" s="1"/>
  <c r="B902" i="24"/>
  <c r="C902" i="24" s="1"/>
  <c r="J714" i="37"/>
  <c r="I714" i="37"/>
  <c r="D714" i="37"/>
  <c r="C714" i="37"/>
  <c r="P713" i="37"/>
  <c r="O713" i="37"/>
  <c r="G714" i="37"/>
  <c r="F714" i="37"/>
  <c r="L714" i="37"/>
  <c r="M714" i="37"/>
  <c r="S713" i="37"/>
  <c r="R713" i="37"/>
  <c r="J903" i="24" l="1"/>
  <c r="K903" i="24" s="1"/>
  <c r="T903" i="24"/>
  <c r="U903" i="24" s="1"/>
  <c r="P903" i="24"/>
  <c r="Q903" i="24" s="1"/>
  <c r="D903" i="24"/>
  <c r="E903" i="24" s="1"/>
  <c r="N903" i="24"/>
  <c r="O903" i="24" s="1"/>
  <c r="H903" i="24"/>
  <c r="I903" i="24" s="1"/>
  <c r="F903" i="24"/>
  <c r="G903" i="24" s="1"/>
  <c r="B903" i="24"/>
  <c r="C903" i="24" s="1"/>
  <c r="R903" i="24"/>
  <c r="S903" i="24" s="1"/>
  <c r="L903" i="24"/>
  <c r="M903" i="24" s="1"/>
  <c r="A904" i="24"/>
  <c r="V903" i="24"/>
  <c r="W903" i="24" s="1"/>
  <c r="I715" i="37"/>
  <c r="J715" i="37"/>
  <c r="D715" i="37"/>
  <c r="C715" i="37"/>
  <c r="O714" i="37"/>
  <c r="P714" i="37"/>
  <c r="M715" i="37"/>
  <c r="L715" i="37"/>
  <c r="R714" i="37"/>
  <c r="S714" i="37"/>
  <c r="F715" i="37"/>
  <c r="G715" i="37"/>
  <c r="B904" i="24" l="1"/>
  <c r="C904" i="24" s="1"/>
  <c r="D904" i="24"/>
  <c r="E904" i="24" s="1"/>
  <c r="J904" i="24"/>
  <c r="K904" i="24" s="1"/>
  <c r="N904" i="24"/>
  <c r="O904" i="24" s="1"/>
  <c r="R904" i="24"/>
  <c r="S904" i="24" s="1"/>
  <c r="L904" i="24"/>
  <c r="M904" i="24" s="1"/>
  <c r="V904" i="24"/>
  <c r="W904" i="24" s="1"/>
  <c r="A905" i="24"/>
  <c r="T904" i="24"/>
  <c r="U904" i="24" s="1"/>
  <c r="F904" i="24"/>
  <c r="G904" i="24" s="1"/>
  <c r="H904" i="24"/>
  <c r="I904" i="24" s="1"/>
  <c r="P904" i="24"/>
  <c r="Q904" i="24" s="1"/>
  <c r="I716" i="37"/>
  <c r="J716" i="37"/>
  <c r="C716" i="37"/>
  <c r="D716" i="37"/>
  <c r="P715" i="37"/>
  <c r="O715" i="37"/>
  <c r="F716" i="37"/>
  <c r="G716" i="37"/>
  <c r="R715" i="37"/>
  <c r="S715" i="37"/>
  <c r="L716" i="37"/>
  <c r="M716" i="37"/>
  <c r="N905" i="24" l="1"/>
  <c r="O905" i="24" s="1"/>
  <c r="T905" i="24"/>
  <c r="U905" i="24" s="1"/>
  <c r="V905" i="24"/>
  <c r="W905" i="24" s="1"/>
  <c r="R905" i="24"/>
  <c r="S905" i="24" s="1"/>
  <c r="J905" i="24"/>
  <c r="K905" i="24" s="1"/>
  <c r="F905" i="24"/>
  <c r="G905" i="24" s="1"/>
  <c r="D905" i="24"/>
  <c r="E905" i="24" s="1"/>
  <c r="A906" i="24"/>
  <c r="P905" i="24"/>
  <c r="Q905" i="24" s="1"/>
  <c r="B905" i="24"/>
  <c r="C905" i="24" s="1"/>
  <c r="H905" i="24"/>
  <c r="I905" i="24" s="1"/>
  <c r="L905" i="24"/>
  <c r="M905" i="24" s="1"/>
  <c r="I717" i="37"/>
  <c r="J717" i="37"/>
  <c r="D717" i="37"/>
  <c r="C717" i="37"/>
  <c r="P716" i="37"/>
  <c r="O716" i="37"/>
  <c r="M717" i="37"/>
  <c r="L717" i="37"/>
  <c r="S716" i="37"/>
  <c r="R716" i="37"/>
  <c r="F717" i="37"/>
  <c r="G717" i="37"/>
  <c r="P906" i="24" l="1"/>
  <c r="Q906" i="24" s="1"/>
  <c r="H906" i="24"/>
  <c r="I906" i="24" s="1"/>
  <c r="J906" i="24"/>
  <c r="K906" i="24" s="1"/>
  <c r="D906" i="24"/>
  <c r="E906" i="24" s="1"/>
  <c r="R906" i="24"/>
  <c r="S906" i="24" s="1"/>
  <c r="V906" i="24"/>
  <c r="W906" i="24" s="1"/>
  <c r="A907" i="24"/>
  <c r="B906" i="24"/>
  <c r="C906" i="24" s="1"/>
  <c r="N906" i="24"/>
  <c r="O906" i="24" s="1"/>
  <c r="F906" i="24"/>
  <c r="G906" i="24" s="1"/>
  <c r="T906" i="24"/>
  <c r="U906" i="24" s="1"/>
  <c r="L906" i="24"/>
  <c r="M906" i="24" s="1"/>
  <c r="I718" i="37"/>
  <c r="J718" i="37"/>
  <c r="D718" i="37"/>
  <c r="C718" i="37"/>
  <c r="O717" i="37"/>
  <c r="P717" i="37"/>
  <c r="S717" i="37"/>
  <c r="R717" i="37"/>
  <c r="L718" i="37"/>
  <c r="M718" i="37"/>
  <c r="G718" i="37"/>
  <c r="F718" i="37"/>
  <c r="H907" i="24" l="1"/>
  <c r="I907" i="24" s="1"/>
  <c r="T907" i="24"/>
  <c r="U907" i="24" s="1"/>
  <c r="L907" i="24"/>
  <c r="M907" i="24" s="1"/>
  <c r="J907" i="24"/>
  <c r="K907" i="24" s="1"/>
  <c r="N907" i="24"/>
  <c r="O907" i="24" s="1"/>
  <c r="P907" i="24"/>
  <c r="Q907" i="24" s="1"/>
  <c r="V907" i="24"/>
  <c r="W907" i="24" s="1"/>
  <c r="D907" i="24"/>
  <c r="E907" i="24" s="1"/>
  <c r="B907" i="24"/>
  <c r="C907" i="24" s="1"/>
  <c r="R907" i="24"/>
  <c r="S907" i="24" s="1"/>
  <c r="A908" i="24"/>
  <c r="F907" i="24"/>
  <c r="G907" i="24" s="1"/>
  <c r="I719" i="37"/>
  <c r="J719" i="37"/>
  <c r="C719" i="37"/>
  <c r="D719" i="37"/>
  <c r="O718" i="37"/>
  <c r="P718" i="37"/>
  <c r="F719" i="37"/>
  <c r="G719" i="37"/>
  <c r="S718" i="37"/>
  <c r="R718" i="37"/>
  <c r="M719" i="37"/>
  <c r="L719" i="37"/>
  <c r="R908" i="24" l="1"/>
  <c r="S908" i="24" s="1"/>
  <c r="L908" i="24"/>
  <c r="M908" i="24" s="1"/>
  <c r="D908" i="24"/>
  <c r="E908" i="24" s="1"/>
  <c r="V908" i="24"/>
  <c r="W908" i="24" s="1"/>
  <c r="F908" i="24"/>
  <c r="G908" i="24" s="1"/>
  <c r="B908" i="24"/>
  <c r="C908" i="24" s="1"/>
  <c r="T908" i="24"/>
  <c r="U908" i="24" s="1"/>
  <c r="A909" i="24"/>
  <c r="P908" i="24"/>
  <c r="Q908" i="24" s="1"/>
  <c r="N908" i="24"/>
  <c r="O908" i="24" s="1"/>
  <c r="H908" i="24"/>
  <c r="I908" i="24" s="1"/>
  <c r="J908" i="24"/>
  <c r="K908" i="24" s="1"/>
  <c r="J720" i="37"/>
  <c r="I720" i="37"/>
  <c r="D720" i="37"/>
  <c r="C720" i="37"/>
  <c r="O719" i="37"/>
  <c r="P719" i="37"/>
  <c r="G720" i="37"/>
  <c r="F720" i="37"/>
  <c r="L720" i="37"/>
  <c r="M720" i="37"/>
  <c r="S719" i="37"/>
  <c r="R719" i="37"/>
  <c r="D909" i="24" l="1"/>
  <c r="E909" i="24" s="1"/>
  <c r="T909" i="24"/>
  <c r="U909" i="24" s="1"/>
  <c r="F909" i="24"/>
  <c r="G909" i="24" s="1"/>
  <c r="P909" i="24"/>
  <c r="Q909" i="24" s="1"/>
  <c r="N909" i="24"/>
  <c r="O909" i="24" s="1"/>
  <c r="B909" i="24"/>
  <c r="C909" i="24" s="1"/>
  <c r="J909" i="24"/>
  <c r="K909" i="24" s="1"/>
  <c r="A910" i="24"/>
  <c r="H909" i="24"/>
  <c r="I909" i="24" s="1"/>
  <c r="L909" i="24"/>
  <c r="M909" i="24" s="1"/>
  <c r="R909" i="24"/>
  <c r="S909" i="24" s="1"/>
  <c r="V909" i="24"/>
  <c r="W909" i="24" s="1"/>
  <c r="I721" i="37"/>
  <c r="J721" i="37"/>
  <c r="D721" i="37"/>
  <c r="C721" i="37"/>
  <c r="O720" i="37"/>
  <c r="P720" i="37"/>
  <c r="S720" i="37"/>
  <c r="R720" i="37"/>
  <c r="M721" i="37"/>
  <c r="L721" i="37"/>
  <c r="F721" i="37"/>
  <c r="G721" i="37"/>
  <c r="D910" i="24" l="1"/>
  <c r="E910" i="24" s="1"/>
  <c r="N910" i="24"/>
  <c r="O910" i="24" s="1"/>
  <c r="F910" i="24"/>
  <c r="G910" i="24" s="1"/>
  <c r="R910" i="24"/>
  <c r="S910" i="24" s="1"/>
  <c r="J910" i="24"/>
  <c r="K910" i="24" s="1"/>
  <c r="V910" i="24"/>
  <c r="W910" i="24" s="1"/>
  <c r="B910" i="24"/>
  <c r="C910" i="24" s="1"/>
  <c r="L910" i="24"/>
  <c r="M910" i="24" s="1"/>
  <c r="T910" i="24"/>
  <c r="U910" i="24" s="1"/>
  <c r="A911" i="24"/>
  <c r="H910" i="24"/>
  <c r="I910" i="24" s="1"/>
  <c r="P910" i="24"/>
  <c r="Q910" i="24" s="1"/>
  <c r="J722" i="37"/>
  <c r="I722" i="37"/>
  <c r="C722" i="37"/>
  <c r="D722" i="37"/>
  <c r="P721" i="37"/>
  <c r="O721" i="37"/>
  <c r="G722" i="37"/>
  <c r="F722" i="37"/>
  <c r="L722" i="37"/>
  <c r="M722" i="37"/>
  <c r="S721" i="37"/>
  <c r="R721" i="37"/>
  <c r="J911" i="24" l="1"/>
  <c r="K911" i="24" s="1"/>
  <c r="T911" i="24"/>
  <c r="U911" i="24" s="1"/>
  <c r="R911" i="24"/>
  <c r="S911" i="24" s="1"/>
  <c r="D911" i="24"/>
  <c r="E911" i="24" s="1"/>
  <c r="N911" i="24"/>
  <c r="O911" i="24" s="1"/>
  <c r="L911" i="24"/>
  <c r="M911" i="24" s="1"/>
  <c r="P911" i="24"/>
  <c r="Q911" i="24" s="1"/>
  <c r="A912" i="24"/>
  <c r="B911" i="24"/>
  <c r="C911" i="24" s="1"/>
  <c r="V911" i="24"/>
  <c r="W911" i="24" s="1"/>
  <c r="F911" i="24"/>
  <c r="G911" i="24" s="1"/>
  <c r="H911" i="24"/>
  <c r="I911" i="24" s="1"/>
  <c r="I723" i="37"/>
  <c r="J723" i="37"/>
  <c r="D723" i="37"/>
  <c r="C723" i="37"/>
  <c r="P722" i="37"/>
  <c r="O722" i="37"/>
  <c r="M723" i="37"/>
  <c r="L723" i="37"/>
  <c r="R722" i="37"/>
  <c r="S722" i="37"/>
  <c r="F723" i="37"/>
  <c r="G723" i="37"/>
  <c r="B912" i="24" l="1"/>
  <c r="C912" i="24" s="1"/>
  <c r="N912" i="24"/>
  <c r="O912" i="24" s="1"/>
  <c r="J912" i="24"/>
  <c r="K912" i="24" s="1"/>
  <c r="V912" i="24"/>
  <c r="W912" i="24" s="1"/>
  <c r="H912" i="24"/>
  <c r="I912" i="24" s="1"/>
  <c r="T912" i="24"/>
  <c r="U912" i="24" s="1"/>
  <c r="F912" i="24"/>
  <c r="G912" i="24" s="1"/>
  <c r="L912" i="24"/>
  <c r="M912" i="24" s="1"/>
  <c r="A913" i="24"/>
  <c r="P912" i="24"/>
  <c r="Q912" i="24" s="1"/>
  <c r="R912" i="24"/>
  <c r="S912" i="24" s="1"/>
  <c r="D912" i="24"/>
  <c r="E912" i="24" s="1"/>
  <c r="I724" i="37"/>
  <c r="J724" i="37"/>
  <c r="C724" i="37"/>
  <c r="D724" i="37"/>
  <c r="P723" i="37"/>
  <c r="O723" i="37"/>
  <c r="F724" i="37"/>
  <c r="G724" i="37"/>
  <c r="M724" i="37"/>
  <c r="L724" i="37"/>
  <c r="R723" i="37"/>
  <c r="S723" i="37"/>
  <c r="F913" i="24" l="1"/>
  <c r="G913" i="24" s="1"/>
  <c r="T913" i="24"/>
  <c r="U913" i="24" s="1"/>
  <c r="H913" i="24"/>
  <c r="I913" i="24" s="1"/>
  <c r="R913" i="24"/>
  <c r="S913" i="24" s="1"/>
  <c r="B913" i="24"/>
  <c r="C913" i="24" s="1"/>
  <c r="A914" i="24"/>
  <c r="J913" i="24"/>
  <c r="K913" i="24" s="1"/>
  <c r="L913" i="24"/>
  <c r="M913" i="24" s="1"/>
  <c r="V913" i="24"/>
  <c r="W913" i="24" s="1"/>
  <c r="P913" i="24"/>
  <c r="Q913" i="24" s="1"/>
  <c r="N913" i="24"/>
  <c r="O913" i="24" s="1"/>
  <c r="D913" i="24"/>
  <c r="E913" i="24" s="1"/>
  <c r="I725" i="37"/>
  <c r="J725" i="37"/>
  <c r="C725" i="37"/>
  <c r="D725" i="37"/>
  <c r="O724" i="37"/>
  <c r="P724" i="37"/>
  <c r="S724" i="37"/>
  <c r="R724" i="37"/>
  <c r="F725" i="37"/>
  <c r="G725" i="37"/>
  <c r="M725" i="37"/>
  <c r="L725" i="37"/>
  <c r="P914" i="24" l="1"/>
  <c r="Q914" i="24" s="1"/>
  <c r="N914" i="24"/>
  <c r="O914" i="24" s="1"/>
  <c r="J914" i="24"/>
  <c r="K914" i="24" s="1"/>
  <c r="H914" i="24"/>
  <c r="I914" i="24" s="1"/>
  <c r="T914" i="24"/>
  <c r="U914" i="24" s="1"/>
  <c r="A915" i="24"/>
  <c r="V914" i="24"/>
  <c r="W914" i="24" s="1"/>
  <c r="D914" i="24"/>
  <c r="E914" i="24" s="1"/>
  <c r="B914" i="24"/>
  <c r="C914" i="24" s="1"/>
  <c r="R914" i="24"/>
  <c r="S914" i="24" s="1"/>
  <c r="L914" i="24"/>
  <c r="M914" i="24" s="1"/>
  <c r="F914" i="24"/>
  <c r="G914" i="24" s="1"/>
  <c r="I726" i="37"/>
  <c r="J726" i="37"/>
  <c r="C726" i="37"/>
  <c r="D726" i="37"/>
  <c r="O725" i="37"/>
  <c r="P725" i="37"/>
  <c r="F726" i="37"/>
  <c r="G726" i="37"/>
  <c r="M726" i="37"/>
  <c r="L726" i="37"/>
  <c r="R725" i="37"/>
  <c r="S725" i="37"/>
  <c r="H915" i="24" l="1"/>
  <c r="I915" i="24" s="1"/>
  <c r="T915" i="24"/>
  <c r="U915" i="24" s="1"/>
  <c r="N915" i="24"/>
  <c r="O915" i="24" s="1"/>
  <c r="J915" i="24"/>
  <c r="K915" i="24" s="1"/>
  <c r="L915" i="24"/>
  <c r="M915" i="24" s="1"/>
  <c r="A916" i="24"/>
  <c r="F915" i="24"/>
  <c r="G915" i="24" s="1"/>
  <c r="B915" i="24"/>
  <c r="C915" i="24" s="1"/>
  <c r="R915" i="24"/>
  <c r="S915" i="24" s="1"/>
  <c r="D915" i="24"/>
  <c r="E915" i="24" s="1"/>
  <c r="P915" i="24"/>
  <c r="Q915" i="24" s="1"/>
  <c r="V915" i="24"/>
  <c r="W915" i="24" s="1"/>
  <c r="I727" i="37"/>
  <c r="J727" i="37"/>
  <c r="C727" i="37"/>
  <c r="D727" i="37"/>
  <c r="O726" i="37"/>
  <c r="P726" i="37"/>
  <c r="L727" i="37"/>
  <c r="M727" i="37"/>
  <c r="S726" i="37"/>
  <c r="R726" i="37"/>
  <c r="F727" i="37"/>
  <c r="G727" i="37"/>
  <c r="R916" i="24" l="1"/>
  <c r="S916" i="24" s="1"/>
  <c r="L916" i="24"/>
  <c r="M916" i="24" s="1"/>
  <c r="D916" i="24"/>
  <c r="E916" i="24" s="1"/>
  <c r="J916" i="24"/>
  <c r="K916" i="24" s="1"/>
  <c r="A917" i="24"/>
  <c r="P916" i="24"/>
  <c r="Q916" i="24" s="1"/>
  <c r="T916" i="24"/>
  <c r="U916" i="24" s="1"/>
  <c r="N916" i="24"/>
  <c r="O916" i="24" s="1"/>
  <c r="F916" i="24"/>
  <c r="G916" i="24" s="1"/>
  <c r="B916" i="24"/>
  <c r="C916" i="24" s="1"/>
  <c r="V916" i="24"/>
  <c r="W916" i="24" s="1"/>
  <c r="H916" i="24"/>
  <c r="I916" i="24" s="1"/>
  <c r="J728" i="37"/>
  <c r="I728" i="37"/>
  <c r="C728" i="37"/>
  <c r="D728" i="37"/>
  <c r="O727" i="37"/>
  <c r="P727" i="37"/>
  <c r="S727" i="37"/>
  <c r="R727" i="37"/>
  <c r="F728" i="37"/>
  <c r="G728" i="37"/>
  <c r="L728" i="37"/>
  <c r="M728" i="37"/>
  <c r="B917" i="24" l="1"/>
  <c r="C917" i="24" s="1"/>
  <c r="T917" i="24"/>
  <c r="U917" i="24" s="1"/>
  <c r="N917" i="24"/>
  <c r="O917" i="24" s="1"/>
  <c r="P917" i="24"/>
  <c r="Q917" i="24" s="1"/>
  <c r="V917" i="24"/>
  <c r="W917" i="24" s="1"/>
  <c r="R917" i="24"/>
  <c r="S917" i="24" s="1"/>
  <c r="D917" i="24"/>
  <c r="E917" i="24" s="1"/>
  <c r="H917" i="24"/>
  <c r="I917" i="24" s="1"/>
  <c r="F917" i="24"/>
  <c r="G917" i="24" s="1"/>
  <c r="A918" i="24"/>
  <c r="J917" i="24"/>
  <c r="K917" i="24" s="1"/>
  <c r="L917" i="24"/>
  <c r="M917" i="24" s="1"/>
  <c r="I729" i="37"/>
  <c r="J729" i="37"/>
  <c r="C729" i="37"/>
  <c r="D729" i="37"/>
  <c r="O728" i="37"/>
  <c r="P728" i="37"/>
  <c r="M729" i="37"/>
  <c r="L729" i="37"/>
  <c r="F729" i="37"/>
  <c r="G729" i="37"/>
  <c r="S728" i="37"/>
  <c r="R728" i="37"/>
  <c r="D918" i="24" l="1"/>
  <c r="E918" i="24" s="1"/>
  <c r="R918" i="24"/>
  <c r="S918" i="24" s="1"/>
  <c r="P918" i="24"/>
  <c r="Q918" i="24" s="1"/>
  <c r="V918" i="24"/>
  <c r="W918" i="24" s="1"/>
  <c r="H918" i="24"/>
  <c r="I918" i="24" s="1"/>
  <c r="J918" i="24"/>
  <c r="K918" i="24" s="1"/>
  <c r="L918" i="24"/>
  <c r="M918" i="24" s="1"/>
  <c r="T918" i="24"/>
  <c r="U918" i="24" s="1"/>
  <c r="N918" i="24"/>
  <c r="O918" i="24" s="1"/>
  <c r="A919" i="24"/>
  <c r="B918" i="24"/>
  <c r="C918" i="24" s="1"/>
  <c r="F918" i="24"/>
  <c r="G918" i="24" s="1"/>
  <c r="J730" i="37"/>
  <c r="I730" i="37"/>
  <c r="C730" i="37"/>
  <c r="D730" i="37"/>
  <c r="O729" i="37"/>
  <c r="P729" i="37"/>
  <c r="F730" i="37"/>
  <c r="G730" i="37"/>
  <c r="M730" i="37"/>
  <c r="L730" i="37"/>
  <c r="R729" i="37"/>
  <c r="S729" i="37"/>
  <c r="J919" i="24" l="1"/>
  <c r="K919" i="24" s="1"/>
  <c r="T919" i="24"/>
  <c r="U919" i="24" s="1"/>
  <c r="P919" i="24"/>
  <c r="Q919" i="24" s="1"/>
  <c r="D919" i="24"/>
  <c r="E919" i="24" s="1"/>
  <c r="N919" i="24"/>
  <c r="O919" i="24" s="1"/>
  <c r="H919" i="24"/>
  <c r="I919" i="24" s="1"/>
  <c r="F919" i="24"/>
  <c r="G919" i="24" s="1"/>
  <c r="B919" i="24"/>
  <c r="C919" i="24" s="1"/>
  <c r="V919" i="24"/>
  <c r="W919" i="24" s="1"/>
  <c r="A920" i="24"/>
  <c r="R919" i="24"/>
  <c r="S919" i="24" s="1"/>
  <c r="L919" i="24"/>
  <c r="M919" i="24" s="1"/>
  <c r="I731" i="37"/>
  <c r="J731" i="37"/>
  <c r="D731" i="37"/>
  <c r="C731" i="37"/>
  <c r="O730" i="37"/>
  <c r="P730" i="37"/>
  <c r="F731" i="37"/>
  <c r="G731" i="37"/>
  <c r="R730" i="37"/>
  <c r="S730" i="37"/>
  <c r="M731" i="37"/>
  <c r="L731" i="37"/>
  <c r="B920" i="24" l="1"/>
  <c r="C920" i="24" s="1"/>
  <c r="N920" i="24"/>
  <c r="O920" i="24" s="1"/>
  <c r="J920" i="24"/>
  <c r="K920" i="24" s="1"/>
  <c r="V920" i="24"/>
  <c r="W920" i="24" s="1"/>
  <c r="R920" i="24"/>
  <c r="S920" i="24" s="1"/>
  <c r="L920" i="24"/>
  <c r="M920" i="24" s="1"/>
  <c r="F920" i="24"/>
  <c r="G920" i="24" s="1"/>
  <c r="P920" i="24"/>
  <c r="Q920" i="24" s="1"/>
  <c r="H920" i="24"/>
  <c r="I920" i="24" s="1"/>
  <c r="T920" i="24"/>
  <c r="U920" i="24" s="1"/>
  <c r="A921" i="24"/>
  <c r="D920" i="24"/>
  <c r="E920" i="24" s="1"/>
  <c r="J732" i="37"/>
  <c r="I732" i="37"/>
  <c r="D732" i="37"/>
  <c r="C732" i="37"/>
  <c r="P731" i="37"/>
  <c r="O731" i="37"/>
  <c r="S731" i="37"/>
  <c r="R731" i="37"/>
  <c r="F732" i="37"/>
  <c r="G732" i="37"/>
  <c r="M732" i="37"/>
  <c r="L732" i="37"/>
  <c r="N921" i="24" l="1"/>
  <c r="O921" i="24" s="1"/>
  <c r="T921" i="24"/>
  <c r="U921" i="24" s="1"/>
  <c r="V921" i="24"/>
  <c r="W921" i="24" s="1"/>
  <c r="R921" i="24"/>
  <c r="S921" i="24" s="1"/>
  <c r="D921" i="24"/>
  <c r="E921" i="24" s="1"/>
  <c r="F921" i="24"/>
  <c r="G921" i="24" s="1"/>
  <c r="J921" i="24"/>
  <c r="K921" i="24" s="1"/>
  <c r="H921" i="24"/>
  <c r="I921" i="24" s="1"/>
  <c r="P921" i="24"/>
  <c r="Q921" i="24" s="1"/>
  <c r="B921" i="24"/>
  <c r="C921" i="24" s="1"/>
  <c r="L921" i="24"/>
  <c r="M921" i="24" s="1"/>
  <c r="A922" i="24"/>
  <c r="I733" i="37"/>
  <c r="J733" i="37"/>
  <c r="D733" i="37"/>
  <c r="C733" i="37"/>
  <c r="O732" i="37"/>
  <c r="P732" i="37"/>
  <c r="F733" i="37"/>
  <c r="G733" i="37"/>
  <c r="R732" i="37"/>
  <c r="S732" i="37"/>
  <c r="M733" i="37"/>
  <c r="L733" i="37"/>
  <c r="P922" i="24" l="1"/>
  <c r="Q922" i="24" s="1"/>
  <c r="H922" i="24"/>
  <c r="I922" i="24" s="1"/>
  <c r="J922" i="24"/>
  <c r="K922" i="24" s="1"/>
  <c r="D922" i="24"/>
  <c r="E922" i="24" s="1"/>
  <c r="R922" i="24"/>
  <c r="S922" i="24" s="1"/>
  <c r="V922" i="24"/>
  <c r="W922" i="24" s="1"/>
  <c r="A923" i="24"/>
  <c r="F922" i="24"/>
  <c r="G922" i="24" s="1"/>
  <c r="B922" i="24"/>
  <c r="C922" i="24" s="1"/>
  <c r="T922" i="24"/>
  <c r="U922" i="24" s="1"/>
  <c r="L922" i="24"/>
  <c r="M922" i="24" s="1"/>
  <c r="N922" i="24"/>
  <c r="O922" i="24" s="1"/>
  <c r="I734" i="37"/>
  <c r="J734" i="37"/>
  <c r="C734" i="37"/>
  <c r="D734" i="37"/>
  <c r="O733" i="37"/>
  <c r="P733" i="37"/>
  <c r="R733" i="37"/>
  <c r="S733" i="37"/>
  <c r="M734" i="37"/>
  <c r="L734" i="37"/>
  <c r="F734" i="37"/>
  <c r="G734" i="37"/>
  <c r="H923" i="24" l="1"/>
  <c r="I923" i="24" s="1"/>
  <c r="T923" i="24"/>
  <c r="U923" i="24" s="1"/>
  <c r="L923" i="24"/>
  <c r="M923" i="24" s="1"/>
  <c r="J923" i="24"/>
  <c r="K923" i="24" s="1"/>
  <c r="V923" i="24"/>
  <c r="W923" i="24" s="1"/>
  <c r="P923" i="24"/>
  <c r="Q923" i="24" s="1"/>
  <c r="R923" i="24"/>
  <c r="S923" i="24" s="1"/>
  <c r="F923" i="24"/>
  <c r="G923" i="24" s="1"/>
  <c r="D923" i="24"/>
  <c r="E923" i="24" s="1"/>
  <c r="N923" i="24"/>
  <c r="O923" i="24" s="1"/>
  <c r="B923" i="24"/>
  <c r="C923" i="24" s="1"/>
  <c r="A924" i="24"/>
  <c r="I735" i="37"/>
  <c r="J735" i="37"/>
  <c r="C735" i="37"/>
  <c r="D735" i="37"/>
  <c r="P734" i="37"/>
  <c r="O734" i="37"/>
  <c r="F735" i="37"/>
  <c r="G735" i="37"/>
  <c r="L735" i="37"/>
  <c r="M735" i="37"/>
  <c r="S734" i="37"/>
  <c r="R734" i="37"/>
  <c r="R924" i="24" l="1"/>
  <c r="S924" i="24" s="1"/>
  <c r="V924" i="24"/>
  <c r="W924" i="24" s="1"/>
  <c r="D924" i="24"/>
  <c r="E924" i="24" s="1"/>
  <c r="B924" i="24"/>
  <c r="C924" i="24" s="1"/>
  <c r="J924" i="24"/>
  <c r="K924" i="24" s="1"/>
  <c r="L924" i="24"/>
  <c r="M924" i="24" s="1"/>
  <c r="N924" i="24"/>
  <c r="O924" i="24" s="1"/>
  <c r="T924" i="24"/>
  <c r="U924" i="24" s="1"/>
  <c r="A925" i="24"/>
  <c r="H924" i="24"/>
  <c r="I924" i="24" s="1"/>
  <c r="P924" i="24"/>
  <c r="Q924" i="24" s="1"/>
  <c r="F924" i="24"/>
  <c r="G924" i="24" s="1"/>
  <c r="J736" i="37"/>
  <c r="I736" i="37"/>
  <c r="C736" i="37"/>
  <c r="D736" i="37"/>
  <c r="P735" i="37"/>
  <c r="O735" i="37"/>
  <c r="R735" i="37"/>
  <c r="S735" i="37"/>
  <c r="M736" i="37"/>
  <c r="L736" i="37"/>
  <c r="F736" i="37"/>
  <c r="G736" i="37"/>
  <c r="B925" i="24" l="1"/>
  <c r="C925" i="24" s="1"/>
  <c r="T925" i="24"/>
  <c r="U925" i="24" s="1"/>
  <c r="J925" i="24"/>
  <c r="K925" i="24" s="1"/>
  <c r="H925" i="24"/>
  <c r="I925" i="24" s="1"/>
  <c r="F925" i="24"/>
  <c r="G925" i="24" s="1"/>
  <c r="N925" i="24"/>
  <c r="O925" i="24" s="1"/>
  <c r="V925" i="24"/>
  <c r="W925" i="24" s="1"/>
  <c r="A926" i="24"/>
  <c r="P925" i="24"/>
  <c r="Q925" i="24" s="1"/>
  <c r="D925" i="24"/>
  <c r="E925" i="24" s="1"/>
  <c r="R925" i="24"/>
  <c r="S925" i="24" s="1"/>
  <c r="L925" i="24"/>
  <c r="M925" i="24" s="1"/>
  <c r="I737" i="37"/>
  <c r="J737" i="37"/>
  <c r="C737" i="37"/>
  <c r="D737" i="37"/>
  <c r="O736" i="37"/>
  <c r="P736" i="37"/>
  <c r="R736" i="37"/>
  <c r="S736" i="37"/>
  <c r="M737" i="37"/>
  <c r="L737" i="37"/>
  <c r="F737" i="37"/>
  <c r="G737" i="37"/>
  <c r="D926" i="24" l="1"/>
  <c r="E926" i="24" s="1"/>
  <c r="P926" i="24"/>
  <c r="Q926" i="24" s="1"/>
  <c r="F926" i="24"/>
  <c r="G926" i="24" s="1"/>
  <c r="J926" i="24"/>
  <c r="K926" i="24" s="1"/>
  <c r="V926" i="24"/>
  <c r="W926" i="24" s="1"/>
  <c r="R926" i="24"/>
  <c r="S926" i="24" s="1"/>
  <c r="A927" i="24"/>
  <c r="B926" i="24"/>
  <c r="C926" i="24" s="1"/>
  <c r="N926" i="24"/>
  <c r="O926" i="24" s="1"/>
  <c r="T926" i="24"/>
  <c r="U926" i="24" s="1"/>
  <c r="H926" i="24"/>
  <c r="I926" i="24" s="1"/>
  <c r="L926" i="24"/>
  <c r="M926" i="24" s="1"/>
  <c r="J738" i="37"/>
  <c r="I738" i="37"/>
  <c r="D738" i="37"/>
  <c r="C738" i="37"/>
  <c r="O737" i="37"/>
  <c r="P737" i="37"/>
  <c r="L738" i="37"/>
  <c r="M738" i="37"/>
  <c r="F738" i="37"/>
  <c r="G738" i="37"/>
  <c r="R737" i="37"/>
  <c r="S737" i="37"/>
  <c r="J927" i="24" l="1"/>
  <c r="K927" i="24" s="1"/>
  <c r="T927" i="24"/>
  <c r="U927" i="24" s="1"/>
  <c r="N927" i="24"/>
  <c r="O927" i="24" s="1"/>
  <c r="D927" i="24"/>
  <c r="E927" i="24" s="1"/>
  <c r="P927" i="24"/>
  <c r="Q927" i="24" s="1"/>
  <c r="R927" i="24"/>
  <c r="S927" i="24" s="1"/>
  <c r="F927" i="24"/>
  <c r="G927" i="24" s="1"/>
  <c r="L927" i="24"/>
  <c r="M927" i="24" s="1"/>
  <c r="A928" i="24"/>
  <c r="B927" i="24"/>
  <c r="C927" i="24" s="1"/>
  <c r="H927" i="24"/>
  <c r="I927" i="24" s="1"/>
  <c r="V927" i="24"/>
  <c r="W927" i="24" s="1"/>
  <c r="I739" i="37"/>
  <c r="J739" i="37"/>
  <c r="C739" i="37"/>
  <c r="D739" i="37"/>
  <c r="P738" i="37"/>
  <c r="O738" i="37"/>
  <c r="F739" i="37"/>
  <c r="G739" i="37"/>
  <c r="R738" i="37"/>
  <c r="S738" i="37"/>
  <c r="M739" i="37"/>
  <c r="L739" i="37"/>
  <c r="B928" i="24" l="1"/>
  <c r="C928" i="24" s="1"/>
  <c r="V928" i="24"/>
  <c r="W928" i="24" s="1"/>
  <c r="J928" i="24"/>
  <c r="P928" i="24"/>
  <c r="Q928" i="24" s="1"/>
  <c r="N928" i="24"/>
  <c r="O928" i="24" s="1"/>
  <c r="T928" i="24"/>
  <c r="U928" i="24" s="1"/>
  <c r="H928" i="24"/>
  <c r="I928" i="24" s="1"/>
  <c r="A929" i="24"/>
  <c r="F928" i="24"/>
  <c r="G928" i="24" s="1"/>
  <c r="L928" i="24"/>
  <c r="M928" i="24" s="1"/>
  <c r="R928" i="24"/>
  <c r="S928" i="24" s="1"/>
  <c r="D928" i="24"/>
  <c r="E928" i="24" s="1"/>
  <c r="K928" i="24"/>
  <c r="I740" i="37"/>
  <c r="J740" i="37"/>
  <c r="D740" i="37"/>
  <c r="C740" i="37"/>
  <c r="P739" i="37"/>
  <c r="O739" i="37"/>
  <c r="L740" i="37"/>
  <c r="M740" i="37"/>
  <c r="R739" i="37"/>
  <c r="S739" i="37"/>
  <c r="F740" i="37"/>
  <c r="G740" i="37"/>
  <c r="V929" i="24" l="1"/>
  <c r="W929" i="24" s="1"/>
  <c r="T929" i="24"/>
  <c r="U929" i="24" s="1"/>
  <c r="F929" i="24"/>
  <c r="G929" i="24" s="1"/>
  <c r="J929" i="24"/>
  <c r="K929" i="24" s="1"/>
  <c r="B929" i="24"/>
  <c r="C929" i="24" s="1"/>
  <c r="A930" i="24"/>
  <c r="N929" i="24"/>
  <c r="O929" i="24" s="1"/>
  <c r="D929" i="24"/>
  <c r="E929" i="24" s="1"/>
  <c r="P929" i="24"/>
  <c r="Q929" i="24" s="1"/>
  <c r="R929" i="24"/>
  <c r="S929" i="24" s="1"/>
  <c r="H929" i="24"/>
  <c r="I929" i="24" s="1"/>
  <c r="L929" i="24"/>
  <c r="M929" i="24" s="1"/>
  <c r="I741" i="37"/>
  <c r="J741" i="37"/>
  <c r="C741" i="37"/>
  <c r="D741" i="37"/>
  <c r="P740" i="37"/>
  <c r="O740" i="37"/>
  <c r="S740" i="37"/>
  <c r="R740" i="37"/>
  <c r="F741" i="37"/>
  <c r="G741" i="37"/>
  <c r="M741" i="37"/>
  <c r="L741" i="37"/>
  <c r="P930" i="24" l="1"/>
  <c r="Q930" i="24" s="1"/>
  <c r="N930" i="24"/>
  <c r="O930" i="24" s="1"/>
  <c r="J930" i="24"/>
  <c r="K930" i="24" s="1"/>
  <c r="V930" i="24"/>
  <c r="W930" i="24" s="1"/>
  <c r="T930" i="24"/>
  <c r="U930" i="24" s="1"/>
  <c r="A931" i="24"/>
  <c r="B930" i="24"/>
  <c r="C930" i="24" s="1"/>
  <c r="R930" i="24"/>
  <c r="S930" i="24" s="1"/>
  <c r="D930" i="24"/>
  <c r="E930" i="24" s="1"/>
  <c r="F930" i="24"/>
  <c r="G930" i="24" s="1"/>
  <c r="H930" i="24"/>
  <c r="I930" i="24" s="1"/>
  <c r="L930" i="24"/>
  <c r="M930" i="24" s="1"/>
  <c r="I742" i="37"/>
  <c r="J742" i="37"/>
  <c r="C742" i="37"/>
  <c r="D742" i="37"/>
  <c r="O741" i="37"/>
  <c r="P741" i="37"/>
  <c r="L742" i="37"/>
  <c r="M742" i="37"/>
  <c r="R741" i="37"/>
  <c r="S741" i="37"/>
  <c r="F742" i="37"/>
  <c r="G742" i="37"/>
  <c r="H931" i="24" l="1"/>
  <c r="I931" i="24" s="1"/>
  <c r="T931" i="24"/>
  <c r="U931" i="24" s="1"/>
  <c r="V931" i="24"/>
  <c r="W931" i="24" s="1"/>
  <c r="J931" i="24"/>
  <c r="K931" i="24" s="1"/>
  <c r="L931" i="24"/>
  <c r="M931" i="24" s="1"/>
  <c r="A932" i="24"/>
  <c r="F931" i="24"/>
  <c r="G931" i="24" s="1"/>
  <c r="P931" i="24"/>
  <c r="Q931" i="24" s="1"/>
  <c r="D931" i="24"/>
  <c r="E931" i="24" s="1"/>
  <c r="B931" i="24"/>
  <c r="C931" i="24" s="1"/>
  <c r="R931" i="24"/>
  <c r="S931" i="24" s="1"/>
  <c r="N931" i="24"/>
  <c r="O931" i="24" s="1"/>
  <c r="I743" i="37"/>
  <c r="J743" i="37"/>
  <c r="C743" i="37"/>
  <c r="D743" i="37"/>
  <c r="O742" i="37"/>
  <c r="P742" i="37"/>
  <c r="F743" i="37"/>
  <c r="G743" i="37"/>
  <c r="R742" i="37"/>
  <c r="S742" i="37"/>
  <c r="L743" i="37"/>
  <c r="M743" i="37"/>
  <c r="P932" i="24" l="1"/>
  <c r="Q932" i="24" s="1"/>
  <c r="R932" i="24"/>
  <c r="S932" i="24" s="1"/>
  <c r="H932" i="24"/>
  <c r="I932" i="24" s="1"/>
  <c r="L932" i="24"/>
  <c r="M932" i="24" s="1"/>
  <c r="A933" i="24"/>
  <c r="D932" i="24"/>
  <c r="E932" i="24" s="1"/>
  <c r="T932" i="24"/>
  <c r="U932" i="24" s="1"/>
  <c r="N932" i="24"/>
  <c r="O932" i="24" s="1"/>
  <c r="B932" i="24"/>
  <c r="C932" i="24" s="1"/>
  <c r="J932" i="24"/>
  <c r="K932" i="24" s="1"/>
  <c r="V932" i="24"/>
  <c r="W932" i="24" s="1"/>
  <c r="F932" i="24"/>
  <c r="G932" i="24" s="1"/>
  <c r="I744" i="37"/>
  <c r="J744" i="37"/>
  <c r="C744" i="37"/>
  <c r="D744" i="37"/>
  <c r="O743" i="37"/>
  <c r="P743" i="37"/>
  <c r="S743" i="37"/>
  <c r="R743" i="37"/>
  <c r="F744" i="37"/>
  <c r="G744" i="37"/>
  <c r="L744" i="37"/>
  <c r="M744" i="37"/>
  <c r="F933" i="24" l="1"/>
  <c r="G933" i="24" s="1"/>
  <c r="T933" i="24"/>
  <c r="U933" i="24" s="1"/>
  <c r="V933" i="24"/>
  <c r="W933" i="24" s="1"/>
  <c r="D933" i="24"/>
  <c r="E933" i="24" s="1"/>
  <c r="N933" i="24"/>
  <c r="O933" i="24" s="1"/>
  <c r="P933" i="24"/>
  <c r="Q933" i="24" s="1"/>
  <c r="L933" i="24"/>
  <c r="M933" i="24" s="1"/>
  <c r="A934" i="24"/>
  <c r="H933" i="24"/>
  <c r="I933" i="24" s="1"/>
  <c r="B933" i="24"/>
  <c r="C933" i="24" s="1"/>
  <c r="J933" i="24"/>
  <c r="K933" i="24" s="1"/>
  <c r="R933" i="24"/>
  <c r="S933" i="24" s="1"/>
  <c r="J745" i="37"/>
  <c r="I745" i="37"/>
  <c r="D745" i="37"/>
  <c r="C745" i="37"/>
  <c r="O744" i="37"/>
  <c r="P744" i="37"/>
  <c r="L745" i="37"/>
  <c r="M745" i="37"/>
  <c r="F745" i="37"/>
  <c r="G745" i="37"/>
  <c r="S744" i="37"/>
  <c r="R744" i="37"/>
  <c r="D934" i="24" l="1"/>
  <c r="E934" i="24" s="1"/>
  <c r="B934" i="24"/>
  <c r="C934" i="24" s="1"/>
  <c r="P934" i="24"/>
  <c r="Q934" i="24" s="1"/>
  <c r="V934" i="24"/>
  <c r="W934" i="24" s="1"/>
  <c r="H934" i="24"/>
  <c r="I934" i="24" s="1"/>
  <c r="J934" i="24"/>
  <c r="K934" i="24" s="1"/>
  <c r="R934" i="24"/>
  <c r="S934" i="24" s="1"/>
  <c r="N934" i="24"/>
  <c r="O934" i="24" s="1"/>
  <c r="F934" i="24"/>
  <c r="G934" i="24" s="1"/>
  <c r="A935" i="24"/>
  <c r="L934" i="24"/>
  <c r="M934" i="24" s="1"/>
  <c r="T934" i="24"/>
  <c r="U934" i="24" s="1"/>
  <c r="I746" i="37"/>
  <c r="J746" i="37"/>
  <c r="C746" i="37"/>
  <c r="D746" i="37"/>
  <c r="O745" i="37"/>
  <c r="P745" i="37"/>
  <c r="F746" i="37"/>
  <c r="G746" i="37"/>
  <c r="M746" i="37"/>
  <c r="L746" i="37"/>
  <c r="S745" i="37"/>
  <c r="R745" i="37"/>
  <c r="J935" i="24" l="1"/>
  <c r="K935" i="24" s="1"/>
  <c r="T935" i="24"/>
  <c r="U935" i="24" s="1"/>
  <c r="R935" i="24"/>
  <c r="S935" i="24" s="1"/>
  <c r="D935" i="24"/>
  <c r="E935" i="24" s="1"/>
  <c r="P935" i="24"/>
  <c r="Q935" i="24" s="1"/>
  <c r="H935" i="24"/>
  <c r="I935" i="24" s="1"/>
  <c r="F935" i="24"/>
  <c r="G935" i="24" s="1"/>
  <c r="A936" i="24"/>
  <c r="B935" i="24"/>
  <c r="C935" i="24" s="1"/>
  <c r="V935" i="24"/>
  <c r="W935" i="24" s="1"/>
  <c r="N935" i="24"/>
  <c r="O935" i="24" s="1"/>
  <c r="L935" i="24"/>
  <c r="M935" i="24" s="1"/>
  <c r="I747" i="37"/>
  <c r="J747" i="37"/>
  <c r="C747" i="37"/>
  <c r="D747" i="37"/>
  <c r="P746" i="37"/>
  <c r="O746" i="37"/>
  <c r="L747" i="37"/>
  <c r="M747" i="37"/>
  <c r="F747" i="37"/>
  <c r="G747" i="37"/>
  <c r="S746" i="37"/>
  <c r="R746" i="37"/>
  <c r="B936" i="24" l="1"/>
  <c r="C936" i="24" s="1"/>
  <c r="D936" i="24"/>
  <c r="E936" i="24" s="1"/>
  <c r="J936" i="24"/>
  <c r="K936" i="24" s="1"/>
  <c r="H936" i="24"/>
  <c r="I936" i="24" s="1"/>
  <c r="L936" i="24"/>
  <c r="M936" i="24" s="1"/>
  <c r="R936" i="24"/>
  <c r="S936" i="24" s="1"/>
  <c r="T936" i="24"/>
  <c r="U936" i="24" s="1"/>
  <c r="F936" i="24"/>
  <c r="G936" i="24" s="1"/>
  <c r="N936" i="24"/>
  <c r="O936" i="24" s="1"/>
  <c r="A937" i="24"/>
  <c r="P936" i="24"/>
  <c r="Q936" i="24" s="1"/>
  <c r="V936" i="24"/>
  <c r="W936" i="24" s="1"/>
  <c r="I748" i="37"/>
  <c r="J748" i="37"/>
  <c r="D748" i="37"/>
  <c r="C748" i="37"/>
  <c r="P747" i="37"/>
  <c r="O747" i="37"/>
  <c r="R747" i="37"/>
  <c r="S747" i="37"/>
  <c r="F748" i="37"/>
  <c r="G748" i="37"/>
  <c r="L748" i="37"/>
  <c r="M748" i="37"/>
  <c r="H937" i="24" l="1"/>
  <c r="I937" i="24" s="1"/>
  <c r="T937" i="24"/>
  <c r="U937" i="24" s="1"/>
  <c r="J937" i="24"/>
  <c r="K937" i="24" s="1"/>
  <c r="B937" i="24"/>
  <c r="C937" i="24" s="1"/>
  <c r="D937" i="24"/>
  <c r="E937" i="24" s="1"/>
  <c r="N937" i="24"/>
  <c r="O937" i="24" s="1"/>
  <c r="L937" i="24"/>
  <c r="M937" i="24" s="1"/>
  <c r="F937" i="24"/>
  <c r="G937" i="24" s="1"/>
  <c r="V937" i="24"/>
  <c r="W937" i="24" s="1"/>
  <c r="A938" i="24"/>
  <c r="P937" i="24"/>
  <c r="Q937" i="24" s="1"/>
  <c r="R937" i="24"/>
  <c r="S937" i="24" s="1"/>
  <c r="I749" i="37"/>
  <c r="J749" i="37"/>
  <c r="D749" i="37"/>
  <c r="C749" i="37"/>
  <c r="P748" i="37"/>
  <c r="O748" i="37"/>
  <c r="F749" i="37"/>
  <c r="G749" i="37"/>
  <c r="R748" i="37"/>
  <c r="S748" i="37"/>
  <c r="M749" i="37"/>
  <c r="L749" i="37"/>
  <c r="P938" i="24" l="1"/>
  <c r="Q938" i="24" s="1"/>
  <c r="R938" i="24"/>
  <c r="S938" i="24" s="1"/>
  <c r="J938" i="24"/>
  <c r="K938" i="24" s="1"/>
  <c r="V938" i="24"/>
  <c r="W938" i="24" s="1"/>
  <c r="D938" i="24"/>
  <c r="E938" i="24" s="1"/>
  <c r="N938" i="24"/>
  <c r="O938" i="24" s="1"/>
  <c r="L938" i="24"/>
  <c r="M938" i="24" s="1"/>
  <c r="T938" i="24"/>
  <c r="U938" i="24" s="1"/>
  <c r="F938" i="24"/>
  <c r="G938" i="24" s="1"/>
  <c r="A939" i="24"/>
  <c r="B938" i="24"/>
  <c r="C938" i="24" s="1"/>
  <c r="H938" i="24"/>
  <c r="I938" i="24" s="1"/>
  <c r="I750" i="37"/>
  <c r="J750" i="37"/>
  <c r="C750" i="37"/>
  <c r="D750" i="37"/>
  <c r="O749" i="37"/>
  <c r="P749" i="37"/>
  <c r="M750" i="37"/>
  <c r="L750" i="37"/>
  <c r="R749" i="37"/>
  <c r="S749" i="37"/>
  <c r="F750" i="37"/>
  <c r="G750" i="37"/>
  <c r="H939" i="24" l="1"/>
  <c r="I939" i="24" s="1"/>
  <c r="T939" i="24"/>
  <c r="U939" i="24" s="1"/>
  <c r="L939" i="24"/>
  <c r="M939" i="24" s="1"/>
  <c r="J939" i="24"/>
  <c r="K939" i="24" s="1"/>
  <c r="V939" i="24"/>
  <c r="W939" i="24" s="1"/>
  <c r="P939" i="24"/>
  <c r="Q939" i="24" s="1"/>
  <c r="N939" i="24"/>
  <c r="O939" i="24" s="1"/>
  <c r="F939" i="24"/>
  <c r="G939" i="24" s="1"/>
  <c r="B939" i="24"/>
  <c r="C939" i="24" s="1"/>
  <c r="D939" i="24"/>
  <c r="E939" i="24" s="1"/>
  <c r="R939" i="24"/>
  <c r="S939" i="24" s="1"/>
  <c r="A940" i="24"/>
  <c r="I751" i="37"/>
  <c r="J751" i="37"/>
  <c r="C751" i="37"/>
  <c r="D751" i="37"/>
  <c r="P750" i="37"/>
  <c r="O750" i="37"/>
  <c r="L751" i="37"/>
  <c r="M751" i="37"/>
  <c r="F751" i="37"/>
  <c r="G751" i="37"/>
  <c r="R750" i="37"/>
  <c r="S750" i="37"/>
  <c r="P940" i="24" l="1"/>
  <c r="Q940" i="24" s="1"/>
  <c r="L940" i="24"/>
  <c r="M940" i="24" s="1"/>
  <c r="H940" i="24"/>
  <c r="I940" i="24" s="1"/>
  <c r="J940" i="24"/>
  <c r="K940" i="24" s="1"/>
  <c r="R940" i="24"/>
  <c r="S940" i="24" s="1"/>
  <c r="V940" i="24"/>
  <c r="W940" i="24" s="1"/>
  <c r="D940" i="24"/>
  <c r="E940" i="24" s="1"/>
  <c r="B940" i="24"/>
  <c r="C940" i="24" s="1"/>
  <c r="F940" i="24"/>
  <c r="G940" i="24" s="1"/>
  <c r="T940" i="24"/>
  <c r="U940" i="24" s="1"/>
  <c r="N940" i="24"/>
  <c r="O940" i="24" s="1"/>
  <c r="A941" i="24"/>
  <c r="I752" i="37"/>
  <c r="J752" i="37"/>
  <c r="C752" i="37"/>
  <c r="D752" i="37"/>
  <c r="P751" i="37"/>
  <c r="O751" i="37"/>
  <c r="F752" i="37"/>
  <c r="G752" i="37"/>
  <c r="M752" i="37"/>
  <c r="L752" i="37"/>
  <c r="R751" i="37"/>
  <c r="S751" i="37"/>
  <c r="J941" i="24" l="1"/>
  <c r="K941" i="24" s="1"/>
  <c r="T941" i="24"/>
  <c r="U941" i="24" s="1"/>
  <c r="B941" i="24"/>
  <c r="C941" i="24" s="1"/>
  <c r="H941" i="24"/>
  <c r="I941" i="24" s="1"/>
  <c r="F941" i="24"/>
  <c r="G941" i="24" s="1"/>
  <c r="N941" i="24"/>
  <c r="O941" i="24" s="1"/>
  <c r="D941" i="24"/>
  <c r="E941" i="24" s="1"/>
  <c r="V941" i="24"/>
  <c r="W941" i="24" s="1"/>
  <c r="R941" i="24"/>
  <c r="S941" i="24" s="1"/>
  <c r="A942" i="24"/>
  <c r="L941" i="24"/>
  <c r="M941" i="24" s="1"/>
  <c r="P941" i="24"/>
  <c r="Q941" i="24" s="1"/>
  <c r="I753" i="37"/>
  <c r="J753" i="37"/>
  <c r="C753" i="37"/>
  <c r="D753" i="37"/>
  <c r="O752" i="37"/>
  <c r="P752" i="37"/>
  <c r="M753" i="37"/>
  <c r="L753" i="37"/>
  <c r="R752" i="37"/>
  <c r="S752" i="37"/>
  <c r="F753" i="37"/>
  <c r="G753" i="37"/>
  <c r="D942" i="24" l="1"/>
  <c r="E942" i="24" s="1"/>
  <c r="L942" i="24"/>
  <c r="M942" i="24" s="1"/>
  <c r="F942" i="24"/>
  <c r="G942" i="24" s="1"/>
  <c r="P942" i="24"/>
  <c r="Q942" i="24" s="1"/>
  <c r="V942" i="24"/>
  <c r="W942" i="24" s="1"/>
  <c r="N942" i="24"/>
  <c r="O942" i="24" s="1"/>
  <c r="A943" i="24"/>
  <c r="H942" i="24"/>
  <c r="I942" i="24" s="1"/>
  <c r="T942" i="24"/>
  <c r="U942" i="24" s="1"/>
  <c r="B942" i="24"/>
  <c r="C942" i="24" s="1"/>
  <c r="J942" i="24"/>
  <c r="K942" i="24" s="1"/>
  <c r="R942" i="24"/>
  <c r="S942" i="24" s="1"/>
  <c r="I754" i="37"/>
  <c r="J754" i="37"/>
  <c r="C754" i="37"/>
  <c r="D754" i="37"/>
  <c r="O753" i="37"/>
  <c r="P753" i="37"/>
  <c r="L754" i="37"/>
  <c r="M754" i="37"/>
  <c r="G754" i="37"/>
  <c r="F754" i="37"/>
  <c r="R753" i="37"/>
  <c r="S753" i="37"/>
  <c r="J943" i="24" l="1"/>
  <c r="K943" i="24" s="1"/>
  <c r="T943" i="24"/>
  <c r="U943" i="24" s="1"/>
  <c r="L943" i="24"/>
  <c r="M943" i="24" s="1"/>
  <c r="D943" i="24"/>
  <c r="E943" i="24" s="1"/>
  <c r="R943" i="24"/>
  <c r="S943" i="24" s="1"/>
  <c r="N943" i="24"/>
  <c r="O943" i="24" s="1"/>
  <c r="B943" i="24"/>
  <c r="C943" i="24" s="1"/>
  <c r="F943" i="24"/>
  <c r="G943" i="24" s="1"/>
  <c r="V943" i="24"/>
  <c r="W943" i="24" s="1"/>
  <c r="A944" i="24"/>
  <c r="H943" i="24"/>
  <c r="I943" i="24" s="1"/>
  <c r="P943" i="24"/>
  <c r="Q943" i="24" s="1"/>
  <c r="J755" i="37"/>
  <c r="I755" i="37"/>
  <c r="D755" i="37"/>
  <c r="C755" i="37"/>
  <c r="O754" i="37"/>
  <c r="P754" i="37"/>
  <c r="F755" i="37"/>
  <c r="G755" i="37"/>
  <c r="L755" i="37"/>
  <c r="M755" i="37"/>
  <c r="R754" i="37"/>
  <c r="S754" i="37"/>
  <c r="B944" i="24" l="1"/>
  <c r="C944" i="24" s="1"/>
  <c r="D944" i="24"/>
  <c r="E944" i="24" s="1"/>
  <c r="J944" i="24"/>
  <c r="K944" i="24" s="1"/>
  <c r="N944" i="24"/>
  <c r="O944" i="24" s="1"/>
  <c r="H944" i="24"/>
  <c r="I944" i="24" s="1"/>
  <c r="T944" i="24"/>
  <c r="U944" i="24" s="1"/>
  <c r="R944" i="24"/>
  <c r="S944" i="24" s="1"/>
  <c r="V944" i="24"/>
  <c r="W944" i="24" s="1"/>
  <c r="A945" i="24"/>
  <c r="F944" i="24"/>
  <c r="G944" i="24" s="1"/>
  <c r="L944" i="24"/>
  <c r="M944" i="24" s="1"/>
  <c r="P944" i="24"/>
  <c r="Q944" i="24" s="1"/>
  <c r="I756" i="37"/>
  <c r="J756" i="37"/>
  <c r="C756" i="37"/>
  <c r="D756" i="37"/>
  <c r="P755" i="37"/>
  <c r="O755" i="37"/>
  <c r="L756" i="37"/>
  <c r="M756" i="37"/>
  <c r="R755" i="37"/>
  <c r="S755" i="37"/>
  <c r="F756" i="37"/>
  <c r="G756" i="37"/>
  <c r="F945" i="24" l="1"/>
  <c r="G945" i="24" s="1"/>
  <c r="T945" i="24"/>
  <c r="U945" i="24" s="1"/>
  <c r="R945" i="24"/>
  <c r="S945" i="24" s="1"/>
  <c r="J945" i="24"/>
  <c r="K945" i="24" s="1"/>
  <c r="B945" i="24"/>
  <c r="C945" i="24" s="1"/>
  <c r="A946" i="24"/>
  <c r="H945" i="24"/>
  <c r="I945" i="24" s="1"/>
  <c r="P945" i="24"/>
  <c r="Q945" i="24" s="1"/>
  <c r="N945" i="24"/>
  <c r="O945" i="24" s="1"/>
  <c r="L945" i="24"/>
  <c r="M945" i="24" s="1"/>
  <c r="D945" i="24"/>
  <c r="E945" i="24" s="1"/>
  <c r="V945" i="24"/>
  <c r="W945" i="24" s="1"/>
  <c r="J757" i="37"/>
  <c r="I757" i="37"/>
  <c r="C757" i="37"/>
  <c r="D757" i="37"/>
  <c r="P756" i="37"/>
  <c r="O756" i="37"/>
  <c r="S756" i="37"/>
  <c r="R756" i="37"/>
  <c r="F757" i="37"/>
  <c r="G757" i="37"/>
  <c r="L757" i="37"/>
  <c r="M757" i="37"/>
  <c r="P946" i="24" l="1"/>
  <c r="Q946" i="24" s="1"/>
  <c r="R946" i="24"/>
  <c r="S946" i="24" s="1"/>
  <c r="J946" i="24"/>
  <c r="K946" i="24" s="1"/>
  <c r="V946" i="24"/>
  <c r="W946" i="24" s="1"/>
  <c r="T946" i="24"/>
  <c r="U946" i="24" s="1"/>
  <c r="A947" i="24"/>
  <c r="B946" i="24"/>
  <c r="C946" i="24" s="1"/>
  <c r="H946" i="24"/>
  <c r="I946" i="24" s="1"/>
  <c r="F946" i="24"/>
  <c r="G946" i="24" s="1"/>
  <c r="D946" i="24"/>
  <c r="E946" i="24" s="1"/>
  <c r="L946" i="24"/>
  <c r="M946" i="24" s="1"/>
  <c r="N946" i="24"/>
  <c r="O946" i="24" s="1"/>
  <c r="J758" i="37"/>
  <c r="I758" i="37"/>
  <c r="C758" i="37"/>
  <c r="D758" i="37"/>
  <c r="O757" i="37"/>
  <c r="P757" i="37"/>
  <c r="M758" i="37"/>
  <c r="L758" i="37"/>
  <c r="F758" i="37"/>
  <c r="G758" i="37"/>
  <c r="S757" i="37"/>
  <c r="R757" i="37"/>
  <c r="H947" i="24" l="1"/>
  <c r="I947" i="24" s="1"/>
  <c r="T947" i="24"/>
  <c r="U947" i="24" s="1"/>
  <c r="R947" i="24"/>
  <c r="S947" i="24" s="1"/>
  <c r="J947" i="24"/>
  <c r="K947" i="24" s="1"/>
  <c r="L947" i="24"/>
  <c r="M947" i="24" s="1"/>
  <c r="A948" i="24"/>
  <c r="F947" i="24"/>
  <c r="G947" i="24" s="1"/>
  <c r="D947" i="24"/>
  <c r="E947" i="24" s="1"/>
  <c r="V947" i="24"/>
  <c r="W947" i="24" s="1"/>
  <c r="P947" i="24"/>
  <c r="Q947" i="24" s="1"/>
  <c r="N947" i="24"/>
  <c r="O947" i="24" s="1"/>
  <c r="B947" i="24"/>
  <c r="C947" i="24" s="1"/>
  <c r="I759" i="37"/>
  <c r="J759" i="37"/>
  <c r="C759" i="37"/>
  <c r="D759" i="37"/>
  <c r="O758" i="37"/>
  <c r="P758" i="37"/>
  <c r="F759" i="37"/>
  <c r="G759" i="37"/>
  <c r="M759" i="37"/>
  <c r="L759" i="37"/>
  <c r="S758" i="37"/>
  <c r="R758" i="37"/>
  <c r="P948" i="24" l="1"/>
  <c r="Q948" i="24" s="1"/>
  <c r="L948" i="24"/>
  <c r="M948" i="24" s="1"/>
  <c r="H948" i="24"/>
  <c r="I948" i="24" s="1"/>
  <c r="R948" i="24"/>
  <c r="S948" i="24" s="1"/>
  <c r="A949" i="24"/>
  <c r="D948" i="24"/>
  <c r="E948" i="24" s="1"/>
  <c r="J948" i="24"/>
  <c r="K948" i="24" s="1"/>
  <c r="F948" i="24"/>
  <c r="G948" i="24" s="1"/>
  <c r="V948" i="24"/>
  <c r="W948" i="24" s="1"/>
  <c r="B948" i="24"/>
  <c r="C948" i="24" s="1"/>
  <c r="N948" i="24"/>
  <c r="O948" i="24" s="1"/>
  <c r="T948" i="24"/>
  <c r="U948" i="24" s="1"/>
  <c r="J760" i="37"/>
  <c r="I760" i="37"/>
  <c r="D760" i="37"/>
  <c r="C760" i="37"/>
  <c r="O759" i="37"/>
  <c r="P759" i="37"/>
  <c r="M760" i="37"/>
  <c r="L760" i="37"/>
  <c r="R759" i="37"/>
  <c r="S759" i="37"/>
  <c r="F760" i="37"/>
  <c r="G760" i="37"/>
  <c r="N949" i="24" l="1"/>
  <c r="O949" i="24" s="1"/>
  <c r="T949" i="24"/>
  <c r="U949" i="24" s="1"/>
  <c r="H949" i="24"/>
  <c r="I949" i="24" s="1"/>
  <c r="D949" i="24"/>
  <c r="E949" i="24" s="1"/>
  <c r="F949" i="24"/>
  <c r="G949" i="24" s="1"/>
  <c r="P949" i="24"/>
  <c r="Q949" i="24" s="1"/>
  <c r="L949" i="24"/>
  <c r="M949" i="24" s="1"/>
  <c r="A950" i="24"/>
  <c r="R949" i="24"/>
  <c r="S949" i="24" s="1"/>
  <c r="B949" i="24"/>
  <c r="C949" i="24" s="1"/>
  <c r="J949" i="24"/>
  <c r="K949" i="24" s="1"/>
  <c r="V949" i="24"/>
  <c r="W949" i="24" s="1"/>
  <c r="J761" i="37"/>
  <c r="I761" i="37"/>
  <c r="C761" i="37"/>
  <c r="D761" i="37"/>
  <c r="O760" i="37"/>
  <c r="P760" i="37"/>
  <c r="F761" i="37"/>
  <c r="G761" i="37"/>
  <c r="S760" i="37"/>
  <c r="R760" i="37"/>
  <c r="M761" i="37"/>
  <c r="L761" i="37"/>
  <c r="D950" i="24" l="1"/>
  <c r="E950" i="24" s="1"/>
  <c r="N950" i="24"/>
  <c r="O950" i="24" s="1"/>
  <c r="P950" i="24"/>
  <c r="Q950" i="24" s="1"/>
  <c r="V950" i="24"/>
  <c r="W950" i="24" s="1"/>
  <c r="H950" i="24"/>
  <c r="I950" i="24" s="1"/>
  <c r="J950" i="24"/>
  <c r="K950" i="24" s="1"/>
  <c r="A951" i="24"/>
  <c r="B950" i="24"/>
  <c r="C950" i="24" s="1"/>
  <c r="L950" i="24"/>
  <c r="M950" i="24" s="1"/>
  <c r="R950" i="24"/>
  <c r="S950" i="24" s="1"/>
  <c r="T950" i="24"/>
  <c r="U950" i="24" s="1"/>
  <c r="F950" i="24"/>
  <c r="G950" i="24" s="1"/>
  <c r="I762" i="37"/>
  <c r="J762" i="37"/>
  <c r="C762" i="37"/>
  <c r="D762" i="37"/>
  <c r="O761" i="37"/>
  <c r="P761" i="37"/>
  <c r="S761" i="37"/>
  <c r="R761" i="37"/>
  <c r="F762" i="37"/>
  <c r="G762" i="37"/>
  <c r="L762" i="37"/>
  <c r="M762" i="37"/>
  <c r="J951" i="24" l="1"/>
  <c r="K951" i="24" s="1"/>
  <c r="T951" i="24"/>
  <c r="U951" i="24" s="1"/>
  <c r="P951" i="24"/>
  <c r="Q951" i="24" s="1"/>
  <c r="D951" i="24"/>
  <c r="E951" i="24" s="1"/>
  <c r="L951" i="24"/>
  <c r="M951" i="24" s="1"/>
  <c r="H951" i="24"/>
  <c r="I951" i="24" s="1"/>
  <c r="F951" i="24"/>
  <c r="G951" i="24" s="1"/>
  <c r="R951" i="24"/>
  <c r="S951" i="24" s="1"/>
  <c r="A952" i="24"/>
  <c r="B951" i="24"/>
  <c r="C951" i="24" s="1"/>
  <c r="V951" i="24"/>
  <c r="W951" i="24" s="1"/>
  <c r="N951" i="24"/>
  <c r="O951" i="24" s="1"/>
  <c r="I763" i="37"/>
  <c r="J763" i="37"/>
  <c r="D763" i="37"/>
  <c r="C763" i="37"/>
  <c r="O762" i="37"/>
  <c r="P762" i="37"/>
  <c r="G763" i="37"/>
  <c r="F763" i="37"/>
  <c r="R762" i="37"/>
  <c r="S762" i="37"/>
  <c r="L763" i="37"/>
  <c r="M763" i="37"/>
  <c r="B952" i="24" l="1"/>
  <c r="C952" i="24" s="1"/>
  <c r="H952" i="24"/>
  <c r="I952" i="24" s="1"/>
  <c r="J952" i="24"/>
  <c r="K952" i="24" s="1"/>
  <c r="D952" i="24"/>
  <c r="E952" i="24" s="1"/>
  <c r="L952" i="24"/>
  <c r="M952" i="24" s="1"/>
  <c r="R952" i="24"/>
  <c r="S952" i="24" s="1"/>
  <c r="T952" i="24"/>
  <c r="U952" i="24" s="1"/>
  <c r="A953" i="24"/>
  <c r="N952" i="24"/>
  <c r="O952" i="24" s="1"/>
  <c r="F952" i="24"/>
  <c r="G952" i="24" s="1"/>
  <c r="V952" i="24"/>
  <c r="W952" i="24" s="1"/>
  <c r="P952" i="24"/>
  <c r="Q952" i="24" s="1"/>
  <c r="J764" i="37"/>
  <c r="I764" i="37"/>
  <c r="D764" i="37"/>
  <c r="C764" i="37"/>
  <c r="P763" i="37"/>
  <c r="O763" i="37"/>
  <c r="R763" i="37"/>
  <c r="S763" i="37"/>
  <c r="F764" i="37"/>
  <c r="G764" i="37"/>
  <c r="L764" i="37"/>
  <c r="M764" i="37"/>
  <c r="R953" i="24" l="1"/>
  <c r="S953" i="24" s="1"/>
  <c r="T953" i="24"/>
  <c r="U953" i="24" s="1"/>
  <c r="L953" i="24"/>
  <c r="M953" i="24" s="1"/>
  <c r="B953" i="24"/>
  <c r="C953" i="24" s="1"/>
  <c r="V953" i="24"/>
  <c r="W953" i="24" s="1"/>
  <c r="N953" i="24"/>
  <c r="O953" i="24" s="1"/>
  <c r="J953" i="24"/>
  <c r="K953" i="24" s="1"/>
  <c r="A954" i="24"/>
  <c r="F953" i="24"/>
  <c r="G953" i="24" s="1"/>
  <c r="H953" i="24"/>
  <c r="I953" i="24" s="1"/>
  <c r="P953" i="24"/>
  <c r="Q953" i="24" s="1"/>
  <c r="D953" i="24"/>
  <c r="E953" i="24" s="1"/>
  <c r="I765" i="37"/>
  <c r="J765" i="37"/>
  <c r="C765" i="37"/>
  <c r="D765" i="37"/>
  <c r="P764" i="37"/>
  <c r="O764" i="37"/>
  <c r="G765" i="37"/>
  <c r="F765" i="37"/>
  <c r="M765" i="37"/>
  <c r="L765" i="37"/>
  <c r="R764" i="37"/>
  <c r="S764" i="37"/>
  <c r="P954" i="24" l="1"/>
  <c r="Q954" i="24" s="1"/>
  <c r="N954" i="24"/>
  <c r="O954" i="24" s="1"/>
  <c r="J954" i="24"/>
  <c r="K954" i="24" s="1"/>
  <c r="V954" i="24"/>
  <c r="W954" i="24" s="1"/>
  <c r="D954" i="24"/>
  <c r="E954" i="24" s="1"/>
  <c r="H954" i="24"/>
  <c r="I954" i="24" s="1"/>
  <c r="B954" i="24"/>
  <c r="C954" i="24" s="1"/>
  <c r="R954" i="24"/>
  <c r="S954" i="24" s="1"/>
  <c r="A955" i="24"/>
  <c r="F954" i="24"/>
  <c r="G954" i="24" s="1"/>
  <c r="L954" i="24"/>
  <c r="M954" i="24" s="1"/>
  <c r="T954" i="24"/>
  <c r="U954" i="24" s="1"/>
  <c r="I766" i="37"/>
  <c r="J766" i="37"/>
  <c r="C766" i="37"/>
  <c r="D766" i="37"/>
  <c r="O765" i="37"/>
  <c r="P765" i="37"/>
  <c r="F766" i="37"/>
  <c r="G766" i="37"/>
  <c r="S765" i="37"/>
  <c r="R765" i="37"/>
  <c r="M766" i="37"/>
  <c r="L766" i="37"/>
  <c r="H955" i="24" l="1"/>
  <c r="I955" i="24" s="1"/>
  <c r="T955" i="24"/>
  <c r="U955" i="24" s="1"/>
  <c r="L955" i="24"/>
  <c r="M955" i="24" s="1"/>
  <c r="J955" i="24"/>
  <c r="K955" i="24" s="1"/>
  <c r="N955" i="24"/>
  <c r="O955" i="24" s="1"/>
  <c r="P955" i="24"/>
  <c r="Q955" i="24" s="1"/>
  <c r="R955" i="24"/>
  <c r="S955" i="24" s="1"/>
  <c r="A956" i="24"/>
  <c r="B955" i="24"/>
  <c r="C955" i="24" s="1"/>
  <c r="D955" i="24"/>
  <c r="E955" i="24" s="1"/>
  <c r="V955" i="24"/>
  <c r="W955" i="24" s="1"/>
  <c r="F955" i="24"/>
  <c r="G955" i="24" s="1"/>
  <c r="I767" i="37"/>
  <c r="J767" i="37"/>
  <c r="D767" i="37"/>
  <c r="C767" i="37"/>
  <c r="O766" i="37"/>
  <c r="P766" i="37"/>
  <c r="R766" i="37"/>
  <c r="S766" i="37"/>
  <c r="M767" i="37"/>
  <c r="L767" i="37"/>
  <c r="F767" i="37"/>
  <c r="G767" i="37"/>
  <c r="P956" i="24" l="1"/>
  <c r="Q956" i="24" s="1"/>
  <c r="V956" i="24"/>
  <c r="W956" i="24" s="1"/>
  <c r="H956" i="24"/>
  <c r="I956" i="24" s="1"/>
  <c r="J956" i="24"/>
  <c r="K956" i="24" s="1"/>
  <c r="L956" i="24"/>
  <c r="M956" i="24" s="1"/>
  <c r="R956" i="24"/>
  <c r="S956" i="24" s="1"/>
  <c r="T956" i="24"/>
  <c r="U956" i="24" s="1"/>
  <c r="D956" i="24"/>
  <c r="E956" i="24" s="1"/>
  <c r="N956" i="24"/>
  <c r="O956" i="24" s="1"/>
  <c r="A957" i="24"/>
  <c r="F956" i="24"/>
  <c r="G956" i="24" s="1"/>
  <c r="B956" i="24"/>
  <c r="C956" i="24" s="1"/>
  <c r="J768" i="37"/>
  <c r="I768" i="37"/>
  <c r="C768" i="37"/>
  <c r="D768" i="37"/>
  <c r="O767" i="37"/>
  <c r="P767" i="37"/>
  <c r="F768" i="37"/>
  <c r="G768" i="37"/>
  <c r="M768" i="37"/>
  <c r="L768" i="37"/>
  <c r="S767" i="37"/>
  <c r="R767" i="37"/>
  <c r="D957" i="24" l="1"/>
  <c r="E957" i="24" s="1"/>
  <c r="T957" i="24"/>
  <c r="U957" i="24" s="1"/>
  <c r="B957" i="24"/>
  <c r="C957" i="24" s="1"/>
  <c r="H957" i="24"/>
  <c r="I957" i="24" s="1"/>
  <c r="J957" i="24"/>
  <c r="K957" i="24" s="1"/>
  <c r="V957" i="24"/>
  <c r="W957" i="24" s="1"/>
  <c r="F957" i="24"/>
  <c r="G957" i="24" s="1"/>
  <c r="L957" i="24"/>
  <c r="M957" i="24" s="1"/>
  <c r="N957" i="24"/>
  <c r="O957" i="24" s="1"/>
  <c r="R957" i="24"/>
  <c r="S957" i="24" s="1"/>
  <c r="P957" i="24"/>
  <c r="Q957" i="24" s="1"/>
  <c r="A958" i="24"/>
  <c r="J769" i="37"/>
  <c r="I769" i="37"/>
  <c r="C769" i="37"/>
  <c r="D769" i="37"/>
  <c r="O768" i="37"/>
  <c r="P768" i="37"/>
  <c r="F769" i="37"/>
  <c r="G769" i="37"/>
  <c r="S768" i="37"/>
  <c r="R768" i="37"/>
  <c r="M769" i="37"/>
  <c r="L769" i="37"/>
  <c r="D958" i="24" l="1"/>
  <c r="E958" i="24" s="1"/>
  <c r="L958" i="24"/>
  <c r="M958" i="24" s="1"/>
  <c r="F958" i="24"/>
  <c r="G958" i="24" s="1"/>
  <c r="N958" i="24"/>
  <c r="O958" i="24" s="1"/>
  <c r="P958" i="24"/>
  <c r="Q958" i="24" s="1"/>
  <c r="V958" i="24"/>
  <c r="W958" i="24" s="1"/>
  <c r="R958" i="24"/>
  <c r="S958" i="24" s="1"/>
  <c r="T958" i="24"/>
  <c r="U958" i="24" s="1"/>
  <c r="A959" i="24"/>
  <c r="H958" i="24"/>
  <c r="I958" i="24" s="1"/>
  <c r="B958" i="24"/>
  <c r="C958" i="24" s="1"/>
  <c r="J958" i="24"/>
  <c r="K958" i="24" s="1"/>
  <c r="J770" i="37"/>
  <c r="I770" i="37"/>
  <c r="C770" i="37"/>
  <c r="D770" i="37"/>
  <c r="O769" i="37"/>
  <c r="P769" i="37"/>
  <c r="R769" i="37"/>
  <c r="S769" i="37"/>
  <c r="L770" i="37"/>
  <c r="M770" i="37"/>
  <c r="F770" i="37"/>
  <c r="G770" i="37"/>
  <c r="J959" i="24" l="1"/>
  <c r="K959" i="24" s="1"/>
  <c r="T959" i="24"/>
  <c r="U959" i="24" s="1"/>
  <c r="N959" i="24"/>
  <c r="O959" i="24" s="1"/>
  <c r="D959" i="24"/>
  <c r="E959" i="24" s="1"/>
  <c r="R959" i="24"/>
  <c r="S959" i="24" s="1"/>
  <c r="L959" i="24"/>
  <c r="M959" i="24" s="1"/>
  <c r="B959" i="24"/>
  <c r="C959" i="24" s="1"/>
  <c r="H959" i="24"/>
  <c r="I959" i="24" s="1"/>
  <c r="P959" i="24"/>
  <c r="Q959" i="24" s="1"/>
  <c r="F959" i="24"/>
  <c r="G959" i="24" s="1"/>
  <c r="V959" i="24"/>
  <c r="W959" i="24" s="1"/>
  <c r="A960" i="24"/>
  <c r="I771" i="37"/>
  <c r="J771" i="37"/>
  <c r="C771" i="37"/>
  <c r="D771" i="37"/>
  <c r="O770" i="37"/>
  <c r="P770" i="37"/>
  <c r="F771" i="37"/>
  <c r="G771" i="37"/>
  <c r="L771" i="37"/>
  <c r="M771" i="37"/>
  <c r="S770" i="37"/>
  <c r="R770" i="37"/>
  <c r="B960" i="24" l="1"/>
  <c r="C960" i="24" s="1"/>
  <c r="V960" i="24"/>
  <c r="W960" i="24" s="1"/>
  <c r="J960" i="24"/>
  <c r="K960" i="24" s="1"/>
  <c r="H960" i="24"/>
  <c r="I960" i="24" s="1"/>
  <c r="P960" i="24"/>
  <c r="Q960" i="24" s="1"/>
  <c r="T960" i="24"/>
  <c r="U960" i="24" s="1"/>
  <c r="F960" i="24"/>
  <c r="G960" i="24" s="1"/>
  <c r="R960" i="24"/>
  <c r="S960" i="24" s="1"/>
  <c r="D960" i="24"/>
  <c r="E960" i="24" s="1"/>
  <c r="A961" i="24"/>
  <c r="L960" i="24"/>
  <c r="M960" i="24" s="1"/>
  <c r="N960" i="24"/>
  <c r="O960" i="24" s="1"/>
  <c r="J772" i="37"/>
  <c r="I772" i="37"/>
  <c r="D772" i="37"/>
  <c r="C772" i="37"/>
  <c r="O771" i="37"/>
  <c r="P771" i="37"/>
  <c r="S771" i="37"/>
  <c r="R771" i="37"/>
  <c r="F772" i="37"/>
  <c r="G772" i="37"/>
  <c r="M772" i="37"/>
  <c r="L772" i="37"/>
  <c r="V961" i="24" l="1"/>
  <c r="W961" i="24" s="1"/>
  <c r="T961" i="24"/>
  <c r="U961" i="24" s="1"/>
  <c r="F961" i="24"/>
  <c r="G961" i="24" s="1"/>
  <c r="J961" i="24"/>
  <c r="K961" i="24" s="1"/>
  <c r="D961" i="24"/>
  <c r="E961" i="24" s="1"/>
  <c r="A962" i="24"/>
  <c r="R961" i="24"/>
  <c r="S961" i="24" s="1"/>
  <c r="H961" i="24"/>
  <c r="I961" i="24" s="1"/>
  <c r="N961" i="24"/>
  <c r="O961" i="24" s="1"/>
  <c r="P961" i="24"/>
  <c r="Q961" i="24" s="1"/>
  <c r="B961" i="24"/>
  <c r="C961" i="24" s="1"/>
  <c r="L961" i="24"/>
  <c r="M961" i="24" s="1"/>
  <c r="I773" i="37"/>
  <c r="J773" i="37"/>
  <c r="C773" i="37"/>
  <c r="D773" i="37"/>
  <c r="P772" i="37"/>
  <c r="O772" i="37"/>
  <c r="S772" i="37"/>
  <c r="R772" i="37"/>
  <c r="G773" i="37"/>
  <c r="F773" i="37"/>
  <c r="M773" i="37"/>
  <c r="L773" i="37"/>
  <c r="P962" i="24" l="1"/>
  <c r="Q962" i="24" s="1"/>
  <c r="N962" i="24"/>
  <c r="O962" i="24" s="1"/>
  <c r="J962" i="24"/>
  <c r="K962" i="24" s="1"/>
  <c r="V962" i="24"/>
  <c r="W962" i="24" s="1"/>
  <c r="T962" i="24"/>
  <c r="U962" i="24" s="1"/>
  <c r="A963" i="24"/>
  <c r="D962" i="24"/>
  <c r="E962" i="24" s="1"/>
  <c r="F962" i="24"/>
  <c r="G962" i="24" s="1"/>
  <c r="B962" i="24"/>
  <c r="C962" i="24" s="1"/>
  <c r="H962" i="24"/>
  <c r="I962" i="24" s="1"/>
  <c r="R962" i="24"/>
  <c r="S962" i="24" s="1"/>
  <c r="L962" i="24"/>
  <c r="M962" i="24" s="1"/>
  <c r="I774" i="37"/>
  <c r="J774" i="37"/>
  <c r="C774" i="37"/>
  <c r="D774" i="37"/>
  <c r="O773" i="37"/>
  <c r="P773" i="37"/>
  <c r="S773" i="37"/>
  <c r="R773" i="37"/>
  <c r="L774" i="37"/>
  <c r="M774" i="37"/>
  <c r="G774" i="37"/>
  <c r="F774" i="37"/>
  <c r="H963" i="24" l="1"/>
  <c r="I963" i="24" s="1"/>
  <c r="T963" i="24"/>
  <c r="U963" i="24" s="1"/>
  <c r="V963" i="24"/>
  <c r="W963" i="24" s="1"/>
  <c r="J963" i="24"/>
  <c r="K963" i="24" s="1"/>
  <c r="P963" i="24"/>
  <c r="Q963" i="24" s="1"/>
  <c r="A964" i="24"/>
  <c r="F963" i="24"/>
  <c r="G963" i="24" s="1"/>
  <c r="D963" i="24"/>
  <c r="E963" i="24" s="1"/>
  <c r="R963" i="24"/>
  <c r="S963" i="24" s="1"/>
  <c r="B963" i="24"/>
  <c r="C963" i="24" s="1"/>
  <c r="L963" i="24"/>
  <c r="M963" i="24" s="1"/>
  <c r="N963" i="24"/>
  <c r="O963" i="24" s="1"/>
  <c r="I775" i="37"/>
  <c r="J775" i="37"/>
  <c r="C775" i="37"/>
  <c r="D775" i="37"/>
  <c r="O774" i="37"/>
  <c r="P774" i="37"/>
  <c r="L775" i="37"/>
  <c r="M775" i="37"/>
  <c r="S774" i="37"/>
  <c r="R774" i="37"/>
  <c r="G775" i="37"/>
  <c r="F775" i="37"/>
  <c r="P964" i="24" l="1"/>
  <c r="Q964" i="24" s="1"/>
  <c r="V964" i="24"/>
  <c r="W964" i="24" s="1"/>
  <c r="H964" i="24"/>
  <c r="I964" i="24" s="1"/>
  <c r="B964" i="24"/>
  <c r="C964" i="24" s="1"/>
  <c r="A965" i="24"/>
  <c r="D964" i="24"/>
  <c r="E964" i="24" s="1"/>
  <c r="J964" i="24"/>
  <c r="K964" i="24" s="1"/>
  <c r="R964" i="24"/>
  <c r="S964" i="24" s="1"/>
  <c r="F964" i="24"/>
  <c r="G964" i="24" s="1"/>
  <c r="N964" i="24"/>
  <c r="O964" i="24" s="1"/>
  <c r="L964" i="24"/>
  <c r="M964" i="24" s="1"/>
  <c r="T964" i="24"/>
  <c r="U964" i="24" s="1"/>
  <c r="I776" i="37"/>
  <c r="J776" i="37"/>
  <c r="D776" i="37"/>
  <c r="C776" i="37"/>
  <c r="O775" i="37"/>
  <c r="P775" i="37"/>
  <c r="S775" i="37"/>
  <c r="R775" i="37"/>
  <c r="F776" i="37"/>
  <c r="G776" i="37"/>
  <c r="L776" i="37"/>
  <c r="M776" i="37"/>
  <c r="H965" i="24" l="1"/>
  <c r="I965" i="24" s="1"/>
  <c r="T965" i="24"/>
  <c r="U965" i="24" s="1"/>
  <c r="B965" i="24"/>
  <c r="C965" i="24" s="1"/>
  <c r="D965" i="24"/>
  <c r="E965" i="24" s="1"/>
  <c r="J965" i="24"/>
  <c r="K965" i="24" s="1"/>
  <c r="P965" i="24"/>
  <c r="Q965" i="24" s="1"/>
  <c r="L965" i="24"/>
  <c r="M965" i="24" s="1"/>
  <c r="V965" i="24"/>
  <c r="W965" i="24" s="1"/>
  <c r="A966" i="24"/>
  <c r="R965" i="24"/>
  <c r="S965" i="24" s="1"/>
  <c r="N965" i="24"/>
  <c r="O965" i="24" s="1"/>
  <c r="F965" i="24"/>
  <c r="G965" i="24" s="1"/>
  <c r="J777" i="37"/>
  <c r="I777" i="37"/>
  <c r="D777" i="37"/>
  <c r="C777" i="37"/>
  <c r="O776" i="37"/>
  <c r="P776" i="37"/>
  <c r="R776" i="37"/>
  <c r="S776" i="37"/>
  <c r="L777" i="37"/>
  <c r="M777" i="37"/>
  <c r="F777" i="37"/>
  <c r="G777" i="37"/>
  <c r="D966" i="24" l="1"/>
  <c r="E966" i="24" s="1"/>
  <c r="R966" i="24"/>
  <c r="S966" i="24" s="1"/>
  <c r="L966" i="24"/>
  <c r="M966" i="24" s="1"/>
  <c r="N966" i="24"/>
  <c r="O966" i="24" s="1"/>
  <c r="H966" i="24"/>
  <c r="I966" i="24" s="1"/>
  <c r="P966" i="24"/>
  <c r="Q966" i="24" s="1"/>
  <c r="A967" i="24"/>
  <c r="J966" i="24"/>
  <c r="K966" i="24" s="1"/>
  <c r="F966" i="24"/>
  <c r="G966" i="24" s="1"/>
  <c r="V966" i="24"/>
  <c r="W966" i="24" s="1"/>
  <c r="B966" i="24"/>
  <c r="C966" i="24" s="1"/>
  <c r="T966" i="24"/>
  <c r="U966" i="24" s="1"/>
  <c r="I778" i="37"/>
  <c r="J778" i="37"/>
  <c r="D778" i="37"/>
  <c r="C778" i="37"/>
  <c r="P777" i="37"/>
  <c r="O777" i="37"/>
  <c r="M778" i="37"/>
  <c r="L778" i="37"/>
  <c r="R777" i="37"/>
  <c r="S777" i="37"/>
  <c r="F778" i="37"/>
  <c r="G778" i="37"/>
  <c r="H967" i="24" l="1"/>
  <c r="I967" i="24" s="1"/>
  <c r="T967" i="24"/>
  <c r="U967" i="24" s="1"/>
  <c r="R967" i="24"/>
  <c r="S967" i="24" s="1"/>
  <c r="D967" i="24"/>
  <c r="E967" i="24" s="1"/>
  <c r="P967" i="24"/>
  <c r="Q967" i="24" s="1"/>
  <c r="J967" i="24"/>
  <c r="K967" i="24" s="1"/>
  <c r="F967" i="24"/>
  <c r="G967" i="24" s="1"/>
  <c r="B967" i="24"/>
  <c r="C967" i="24" s="1"/>
  <c r="V967" i="24"/>
  <c r="W967" i="24" s="1"/>
  <c r="L967" i="24"/>
  <c r="M967" i="24" s="1"/>
  <c r="A968" i="24"/>
  <c r="N967" i="24"/>
  <c r="O967" i="24" s="1"/>
  <c r="I779" i="37"/>
  <c r="J779" i="37"/>
  <c r="C779" i="37"/>
  <c r="D779" i="37"/>
  <c r="O778" i="37"/>
  <c r="P778" i="37"/>
  <c r="L779" i="37"/>
  <c r="M779" i="37"/>
  <c r="S778" i="37"/>
  <c r="R778" i="37"/>
  <c r="F779" i="37"/>
  <c r="G779" i="37"/>
  <c r="B968" i="24" l="1"/>
  <c r="C968" i="24" s="1"/>
  <c r="F968" i="24"/>
  <c r="G968" i="24" s="1"/>
  <c r="J968" i="24"/>
  <c r="K968" i="24" s="1"/>
  <c r="P968" i="24"/>
  <c r="Q968" i="24" s="1"/>
  <c r="H968" i="24"/>
  <c r="I968" i="24" s="1"/>
  <c r="L968" i="24"/>
  <c r="M968" i="24" s="1"/>
  <c r="V968" i="24"/>
  <c r="W968" i="24" s="1"/>
  <c r="N968" i="24"/>
  <c r="O968" i="24" s="1"/>
  <c r="D968" i="24"/>
  <c r="E968" i="24" s="1"/>
  <c r="T968" i="24"/>
  <c r="U968" i="24" s="1"/>
  <c r="A969" i="24"/>
  <c r="R968" i="24"/>
  <c r="S968" i="24" s="1"/>
  <c r="I780" i="37"/>
  <c r="J780" i="37"/>
  <c r="D780" i="37"/>
  <c r="C780" i="37"/>
  <c r="P779" i="37"/>
  <c r="O779" i="37"/>
  <c r="M780" i="37"/>
  <c r="L780" i="37"/>
  <c r="S779" i="37"/>
  <c r="R779" i="37"/>
  <c r="F780" i="37"/>
  <c r="G780" i="37"/>
  <c r="N969" i="24" l="1"/>
  <c r="O969" i="24" s="1"/>
  <c r="T969" i="24"/>
  <c r="U969" i="24" s="1"/>
  <c r="H969" i="24"/>
  <c r="I969" i="24" s="1"/>
  <c r="B969" i="24"/>
  <c r="C969" i="24" s="1"/>
  <c r="F969" i="24"/>
  <c r="G969" i="24" s="1"/>
  <c r="J969" i="24"/>
  <c r="K969" i="24" s="1"/>
  <c r="R969" i="24"/>
  <c r="S969" i="24" s="1"/>
  <c r="A970" i="24"/>
  <c r="P969" i="24"/>
  <c r="Q969" i="24" s="1"/>
  <c r="D969" i="24"/>
  <c r="E969" i="24" s="1"/>
  <c r="L969" i="24"/>
  <c r="M969" i="24" s="1"/>
  <c r="V969" i="24"/>
  <c r="W969" i="24" s="1"/>
  <c r="I781" i="37"/>
  <c r="J781" i="37"/>
  <c r="C781" i="37"/>
  <c r="D781" i="37"/>
  <c r="O780" i="37"/>
  <c r="P780" i="37"/>
  <c r="R780" i="37"/>
  <c r="S780" i="37"/>
  <c r="M781" i="37"/>
  <c r="L781" i="37"/>
  <c r="F781" i="37"/>
  <c r="G781" i="37"/>
  <c r="P970" i="24" l="1"/>
  <c r="Q970" i="24" s="1"/>
  <c r="H970" i="24"/>
  <c r="I970" i="24" s="1"/>
  <c r="D970" i="24"/>
  <c r="E970" i="24" s="1"/>
  <c r="L970" i="24"/>
  <c r="M970" i="24" s="1"/>
  <c r="V970" i="24"/>
  <c r="W970" i="24" s="1"/>
  <c r="N970" i="24"/>
  <c r="O970" i="24" s="1"/>
  <c r="A971" i="24"/>
  <c r="J970" i="24"/>
  <c r="K970" i="24" s="1"/>
  <c r="F970" i="24"/>
  <c r="G970" i="24" s="1"/>
  <c r="B970" i="24"/>
  <c r="C970" i="24" s="1"/>
  <c r="R970" i="24"/>
  <c r="S970" i="24" s="1"/>
  <c r="T970" i="24"/>
  <c r="U970" i="24" s="1"/>
  <c r="I782" i="37"/>
  <c r="J782" i="37"/>
  <c r="D782" i="37"/>
  <c r="C782" i="37"/>
  <c r="O781" i="37"/>
  <c r="P781" i="37"/>
  <c r="G782" i="37"/>
  <c r="F782" i="37"/>
  <c r="M782" i="37"/>
  <c r="L782" i="37"/>
  <c r="R781" i="37"/>
  <c r="S781" i="37"/>
  <c r="F971" i="24" l="1"/>
  <c r="G971" i="24" s="1"/>
  <c r="T971" i="24"/>
  <c r="U971" i="24" s="1"/>
  <c r="L971" i="24"/>
  <c r="M971" i="24" s="1"/>
  <c r="D971" i="24"/>
  <c r="E971" i="24" s="1"/>
  <c r="V971" i="24"/>
  <c r="W971" i="24" s="1"/>
  <c r="H971" i="24"/>
  <c r="I971" i="24" s="1"/>
  <c r="N971" i="24"/>
  <c r="O971" i="24" s="1"/>
  <c r="J971" i="24"/>
  <c r="K971" i="24" s="1"/>
  <c r="B971" i="24"/>
  <c r="C971" i="24" s="1"/>
  <c r="P971" i="24"/>
  <c r="Q971" i="24" s="1"/>
  <c r="R971" i="24"/>
  <c r="S971" i="24" s="1"/>
  <c r="A972" i="24"/>
  <c r="J783" i="37"/>
  <c r="I783" i="37"/>
  <c r="C783" i="37"/>
  <c r="D783" i="37"/>
  <c r="O782" i="37"/>
  <c r="P782" i="37"/>
  <c r="L783" i="37"/>
  <c r="M783" i="37"/>
  <c r="S782" i="37"/>
  <c r="R782" i="37"/>
  <c r="G783" i="37"/>
  <c r="F783" i="37"/>
  <c r="P972" i="24" l="1"/>
  <c r="Q972" i="24" s="1"/>
  <c r="B972" i="24"/>
  <c r="C972" i="24" s="1"/>
  <c r="J972" i="24"/>
  <c r="K972" i="24" s="1"/>
  <c r="F972" i="24"/>
  <c r="G972" i="24" s="1"/>
  <c r="N972" i="24"/>
  <c r="O972" i="24" s="1"/>
  <c r="V972" i="24"/>
  <c r="W972" i="24" s="1"/>
  <c r="T972" i="24"/>
  <c r="U972" i="24" s="1"/>
  <c r="A973" i="24"/>
  <c r="H972" i="24"/>
  <c r="I972" i="24" s="1"/>
  <c r="D972" i="24"/>
  <c r="E972" i="24" s="1"/>
  <c r="L972" i="24"/>
  <c r="M972" i="24" s="1"/>
  <c r="R972" i="24"/>
  <c r="S972" i="24" s="1"/>
  <c r="J784" i="37"/>
  <c r="I784" i="37"/>
  <c r="C784" i="37"/>
  <c r="D784" i="37"/>
  <c r="P783" i="37"/>
  <c r="O783" i="37"/>
  <c r="M784" i="37"/>
  <c r="L784" i="37"/>
  <c r="F784" i="37"/>
  <c r="G784" i="37"/>
  <c r="S783" i="37"/>
  <c r="R783" i="37"/>
  <c r="R973" i="24" l="1"/>
  <c r="S973" i="24" s="1"/>
  <c r="T973" i="24"/>
  <c r="U973" i="24" s="1"/>
  <c r="H973" i="24"/>
  <c r="I973" i="24" s="1"/>
  <c r="D973" i="24"/>
  <c r="E973" i="24" s="1"/>
  <c r="V973" i="24"/>
  <c r="W973" i="24" s="1"/>
  <c r="B973" i="24"/>
  <c r="C973" i="24" s="1"/>
  <c r="L973" i="24"/>
  <c r="M973" i="24" s="1"/>
  <c r="A974" i="24"/>
  <c r="J973" i="24"/>
  <c r="K973" i="24" s="1"/>
  <c r="N973" i="24"/>
  <c r="O973" i="24" s="1"/>
  <c r="F973" i="24"/>
  <c r="G973" i="24" s="1"/>
  <c r="P973" i="24"/>
  <c r="Q973" i="24" s="1"/>
  <c r="I785" i="37"/>
  <c r="J785" i="37"/>
  <c r="D785" i="37"/>
  <c r="C785" i="37"/>
  <c r="O784" i="37"/>
  <c r="P784" i="37"/>
  <c r="S784" i="37"/>
  <c r="R784" i="37"/>
  <c r="F785" i="37"/>
  <c r="G785" i="37"/>
  <c r="M785" i="37"/>
  <c r="L785" i="37"/>
  <c r="D974" i="24" l="1"/>
  <c r="E974" i="24" s="1"/>
  <c r="R974" i="24"/>
  <c r="S974" i="24" s="1"/>
  <c r="J974" i="24"/>
  <c r="K974" i="24" s="1"/>
  <c r="F974" i="24"/>
  <c r="G974" i="24" s="1"/>
  <c r="N974" i="24"/>
  <c r="O974" i="24" s="1"/>
  <c r="L974" i="24"/>
  <c r="M974" i="24" s="1"/>
  <c r="P974" i="24"/>
  <c r="Q974" i="24" s="1"/>
  <c r="H974" i="24"/>
  <c r="I974" i="24" s="1"/>
  <c r="T974" i="24"/>
  <c r="U974" i="24" s="1"/>
  <c r="A975" i="24"/>
  <c r="B974" i="24"/>
  <c r="C974" i="24" s="1"/>
  <c r="V974" i="24"/>
  <c r="W974" i="24" s="1"/>
  <c r="J786" i="37"/>
  <c r="I786" i="37"/>
  <c r="C786" i="37"/>
  <c r="D786" i="37"/>
  <c r="P785" i="37"/>
  <c r="O785" i="37"/>
  <c r="S785" i="37"/>
  <c r="R785" i="37"/>
  <c r="M786" i="37"/>
  <c r="L786" i="37"/>
  <c r="F786" i="37"/>
  <c r="G786" i="37"/>
  <c r="T975" i="24" l="1"/>
  <c r="U975" i="24" s="1"/>
  <c r="V975" i="24"/>
  <c r="W975" i="24" s="1"/>
  <c r="D975" i="24"/>
  <c r="E975" i="24" s="1"/>
  <c r="N975" i="24"/>
  <c r="O975" i="24" s="1"/>
  <c r="H975" i="24"/>
  <c r="I975" i="24" s="1"/>
  <c r="L975" i="24"/>
  <c r="M975" i="24" s="1"/>
  <c r="R975" i="24"/>
  <c r="S975" i="24" s="1"/>
  <c r="A976" i="24"/>
  <c r="F975" i="24"/>
  <c r="G975" i="24" s="1"/>
  <c r="P975" i="24"/>
  <c r="Q975" i="24" s="1"/>
  <c r="B975" i="24"/>
  <c r="C975" i="24" s="1"/>
  <c r="J975" i="24"/>
  <c r="K975" i="24" s="1"/>
  <c r="I787" i="37"/>
  <c r="J787" i="37"/>
  <c r="C787" i="37"/>
  <c r="D787" i="37"/>
  <c r="O786" i="37"/>
  <c r="P786" i="37"/>
  <c r="F787" i="37"/>
  <c r="G787" i="37"/>
  <c r="M787" i="37"/>
  <c r="L787" i="37"/>
  <c r="S786" i="37"/>
  <c r="R786" i="37"/>
  <c r="J976" i="24" l="1"/>
  <c r="K976" i="24" s="1"/>
  <c r="P976" i="24"/>
  <c r="Q976" i="24" s="1"/>
  <c r="N976" i="24"/>
  <c r="O976" i="24" s="1"/>
  <c r="R976" i="24"/>
  <c r="S976" i="24" s="1"/>
  <c r="F976" i="24"/>
  <c r="G976" i="24" s="1"/>
  <c r="A977" i="24"/>
  <c r="B976" i="24"/>
  <c r="C976" i="24" s="1"/>
  <c r="T976" i="24"/>
  <c r="U976" i="24" s="1"/>
  <c r="D976" i="24"/>
  <c r="E976" i="24" s="1"/>
  <c r="V976" i="24"/>
  <c r="W976" i="24" s="1"/>
  <c r="H976" i="24"/>
  <c r="I976" i="24" s="1"/>
  <c r="L976" i="24"/>
  <c r="M976" i="24" s="1"/>
  <c r="I788" i="37"/>
  <c r="J788" i="37"/>
  <c r="C788" i="37"/>
  <c r="D788" i="37"/>
  <c r="P787" i="37"/>
  <c r="O787" i="37"/>
  <c r="S787" i="37"/>
  <c r="R787" i="37"/>
  <c r="L788" i="37"/>
  <c r="M788" i="37"/>
  <c r="F788" i="37"/>
  <c r="G788" i="37"/>
  <c r="T977" i="24" l="1"/>
  <c r="U977" i="24" s="1"/>
  <c r="L977" i="24"/>
  <c r="M977" i="24" s="1"/>
  <c r="D977" i="24"/>
  <c r="E977" i="24" s="1"/>
  <c r="H977" i="24"/>
  <c r="I977" i="24" s="1"/>
  <c r="R977" i="24"/>
  <c r="S977" i="24" s="1"/>
  <c r="B977" i="24"/>
  <c r="C977" i="24" s="1"/>
  <c r="P977" i="24"/>
  <c r="Q977" i="24" s="1"/>
  <c r="J977" i="24"/>
  <c r="K977" i="24" s="1"/>
  <c r="V977" i="24"/>
  <c r="W977" i="24" s="1"/>
  <c r="F977" i="24"/>
  <c r="G977" i="24" s="1"/>
  <c r="A978" i="24"/>
  <c r="N977" i="24"/>
  <c r="O977" i="24" s="1"/>
  <c r="I789" i="37"/>
  <c r="J789" i="37"/>
  <c r="D789" i="37"/>
  <c r="C789" i="37"/>
  <c r="O788" i="37"/>
  <c r="P788" i="37"/>
  <c r="M789" i="37"/>
  <c r="L789" i="37"/>
  <c r="S788" i="37"/>
  <c r="R788" i="37"/>
  <c r="F789" i="37"/>
  <c r="G789" i="37"/>
  <c r="D978" i="24" l="1"/>
  <c r="E978" i="24" s="1"/>
  <c r="H978" i="24"/>
  <c r="I978" i="24" s="1"/>
  <c r="J978" i="24"/>
  <c r="K978" i="24" s="1"/>
  <c r="A979" i="24"/>
  <c r="B978" i="24"/>
  <c r="C978" i="24" s="1"/>
  <c r="V978" i="24"/>
  <c r="W978" i="24" s="1"/>
  <c r="T978" i="24"/>
  <c r="U978" i="24" s="1"/>
  <c r="N978" i="24"/>
  <c r="O978" i="24" s="1"/>
  <c r="P978" i="24"/>
  <c r="Q978" i="24" s="1"/>
  <c r="L978" i="24"/>
  <c r="M978" i="24" s="1"/>
  <c r="F978" i="24"/>
  <c r="G978" i="24" s="1"/>
  <c r="R978" i="24"/>
  <c r="S978" i="24" s="1"/>
  <c r="I790" i="37"/>
  <c r="J790" i="37"/>
  <c r="D790" i="37"/>
  <c r="C790" i="37"/>
  <c r="P789" i="37"/>
  <c r="O789" i="37"/>
  <c r="R789" i="37"/>
  <c r="S789" i="37"/>
  <c r="G790" i="37"/>
  <c r="F790" i="37"/>
  <c r="L790" i="37"/>
  <c r="M790" i="37"/>
  <c r="T979" i="24" l="1"/>
  <c r="U979" i="24" s="1"/>
  <c r="N979" i="24"/>
  <c r="O979" i="24" s="1"/>
  <c r="D979" i="24"/>
  <c r="E979" i="24" s="1"/>
  <c r="R979" i="24"/>
  <c r="S979" i="24" s="1"/>
  <c r="J979" i="24"/>
  <c r="K979" i="24" s="1"/>
  <c r="A980" i="24"/>
  <c r="F979" i="24"/>
  <c r="G979" i="24" s="1"/>
  <c r="P979" i="24"/>
  <c r="Q979" i="24" s="1"/>
  <c r="B979" i="24"/>
  <c r="C979" i="24" s="1"/>
  <c r="L979" i="24"/>
  <c r="M979" i="24" s="1"/>
  <c r="V979" i="24"/>
  <c r="W979" i="24" s="1"/>
  <c r="H979" i="24"/>
  <c r="I979" i="24" s="1"/>
  <c r="I791" i="37"/>
  <c r="J791" i="37"/>
  <c r="C791" i="37"/>
  <c r="D791" i="37"/>
  <c r="P790" i="37"/>
  <c r="O790" i="37"/>
  <c r="F791" i="37"/>
  <c r="G791" i="37"/>
  <c r="M791" i="37"/>
  <c r="L791" i="37"/>
  <c r="S790" i="37"/>
  <c r="R790" i="37"/>
  <c r="P980" i="24" l="1"/>
  <c r="Q980" i="24" s="1"/>
  <c r="V980" i="24"/>
  <c r="W980" i="24" s="1"/>
  <c r="A981" i="24"/>
  <c r="R980" i="24"/>
  <c r="S980" i="24" s="1"/>
  <c r="J980" i="24"/>
  <c r="K980" i="24" s="1"/>
  <c r="H980" i="24"/>
  <c r="I980" i="24" s="1"/>
  <c r="F980" i="24"/>
  <c r="G980" i="24" s="1"/>
  <c r="N980" i="24"/>
  <c r="O980" i="24" s="1"/>
  <c r="T980" i="24"/>
  <c r="U980" i="24" s="1"/>
  <c r="D980" i="24"/>
  <c r="E980" i="24" s="1"/>
  <c r="B980" i="24"/>
  <c r="C980" i="24" s="1"/>
  <c r="L980" i="24"/>
  <c r="M980" i="24" s="1"/>
  <c r="J792" i="37"/>
  <c r="I792" i="37"/>
  <c r="C792" i="37"/>
  <c r="D792" i="37"/>
  <c r="P791" i="37"/>
  <c r="O791" i="37"/>
  <c r="S791" i="37"/>
  <c r="R791" i="37"/>
  <c r="L792" i="37"/>
  <c r="M792" i="37"/>
  <c r="G792" i="37"/>
  <c r="F792" i="37"/>
  <c r="N981" i="24" l="1"/>
  <c r="O981" i="24" s="1"/>
  <c r="F981" i="24"/>
  <c r="G981" i="24" s="1"/>
  <c r="A982" i="24"/>
  <c r="V981" i="24"/>
  <c r="W981" i="24" s="1"/>
  <c r="P981" i="24"/>
  <c r="Q981" i="24" s="1"/>
  <c r="L981" i="24"/>
  <c r="M981" i="24" s="1"/>
  <c r="T981" i="24"/>
  <c r="U981" i="24" s="1"/>
  <c r="H981" i="24"/>
  <c r="I981" i="24" s="1"/>
  <c r="D981" i="24"/>
  <c r="E981" i="24" s="1"/>
  <c r="J981" i="24"/>
  <c r="K981" i="24" s="1"/>
  <c r="B981" i="24"/>
  <c r="C981" i="24" s="1"/>
  <c r="R981" i="24"/>
  <c r="S981" i="24" s="1"/>
  <c r="J793" i="37"/>
  <c r="I793" i="37"/>
  <c r="C793" i="37"/>
  <c r="D793" i="37"/>
  <c r="O792" i="37"/>
  <c r="P792" i="37"/>
  <c r="F793" i="37"/>
  <c r="G793" i="37"/>
  <c r="R792" i="37"/>
  <c r="S792" i="37"/>
  <c r="M793" i="37"/>
  <c r="L793" i="37"/>
  <c r="P982" i="24" l="1"/>
  <c r="Q982" i="24" s="1"/>
  <c r="L982" i="24"/>
  <c r="V982" i="24"/>
  <c r="W982" i="24" s="1"/>
  <c r="R982" i="24"/>
  <c r="S982" i="24" s="1"/>
  <c r="F982" i="24"/>
  <c r="G982" i="24" s="1"/>
  <c r="T982" i="24"/>
  <c r="U982" i="24" s="1"/>
  <c r="A983" i="24"/>
  <c r="D982" i="24"/>
  <c r="E982" i="24" s="1"/>
  <c r="J982" i="24"/>
  <c r="K982" i="24" s="1"/>
  <c r="N982" i="24"/>
  <c r="O982" i="24" s="1"/>
  <c r="B982" i="24"/>
  <c r="C982" i="24" s="1"/>
  <c r="H982" i="24"/>
  <c r="I982" i="24" s="1"/>
  <c r="M982" i="24"/>
  <c r="I794" i="37"/>
  <c r="J794" i="37"/>
  <c r="D794" i="37"/>
  <c r="C794" i="37"/>
  <c r="O793" i="37"/>
  <c r="P793" i="37"/>
  <c r="S793" i="37"/>
  <c r="R793" i="37"/>
  <c r="G794" i="37"/>
  <c r="F794" i="37"/>
  <c r="M794" i="37"/>
  <c r="L794" i="37"/>
  <c r="H983" i="24" l="1"/>
  <c r="I983" i="24" s="1"/>
  <c r="B983" i="24"/>
  <c r="C983" i="24" s="1"/>
  <c r="L983" i="24"/>
  <c r="M983" i="24" s="1"/>
  <c r="J983" i="24"/>
  <c r="K983" i="24" s="1"/>
  <c r="F983" i="24"/>
  <c r="G983" i="24" s="1"/>
  <c r="A984" i="24"/>
  <c r="D983" i="24"/>
  <c r="E983" i="24" s="1"/>
  <c r="P983" i="24"/>
  <c r="Q983" i="24" s="1"/>
  <c r="V983" i="24"/>
  <c r="W983" i="24" s="1"/>
  <c r="T983" i="24"/>
  <c r="U983" i="24" s="1"/>
  <c r="N983" i="24"/>
  <c r="O983" i="24" s="1"/>
  <c r="R983" i="24"/>
  <c r="S983" i="24" s="1"/>
  <c r="I795" i="37"/>
  <c r="J795" i="37"/>
  <c r="C795" i="37"/>
  <c r="D795" i="37"/>
  <c r="P794" i="37"/>
  <c r="O794" i="37"/>
  <c r="L795" i="37"/>
  <c r="M795" i="37"/>
  <c r="G795" i="37"/>
  <c r="F795" i="37"/>
  <c r="S794" i="37"/>
  <c r="R794" i="37"/>
  <c r="B984" i="24" l="1"/>
  <c r="C984" i="24" s="1"/>
  <c r="F984" i="24"/>
  <c r="G984" i="24" s="1"/>
  <c r="V984" i="24"/>
  <c r="W984" i="24" s="1"/>
  <c r="A985" i="24"/>
  <c r="N984" i="24"/>
  <c r="O984" i="24" s="1"/>
  <c r="D984" i="24"/>
  <c r="E984" i="24" s="1"/>
  <c r="H984" i="24"/>
  <c r="I984" i="24" s="1"/>
  <c r="L984" i="24"/>
  <c r="M984" i="24" s="1"/>
  <c r="R984" i="24"/>
  <c r="S984" i="24" s="1"/>
  <c r="T984" i="24"/>
  <c r="U984" i="24" s="1"/>
  <c r="J984" i="24"/>
  <c r="K984" i="24" s="1"/>
  <c r="P984" i="24"/>
  <c r="Q984" i="24" s="1"/>
  <c r="I796" i="37"/>
  <c r="J796" i="37"/>
  <c r="D796" i="37"/>
  <c r="C796" i="37"/>
  <c r="P795" i="37"/>
  <c r="O795" i="37"/>
  <c r="F796" i="37"/>
  <c r="G796" i="37"/>
  <c r="S795" i="37"/>
  <c r="R795" i="37"/>
  <c r="M796" i="37"/>
  <c r="L796" i="37"/>
  <c r="N985" i="24" l="1"/>
  <c r="O985" i="24" s="1"/>
  <c r="J985" i="24"/>
  <c r="K985" i="24" s="1"/>
  <c r="H985" i="24"/>
  <c r="I985" i="24" s="1"/>
  <c r="T985" i="24"/>
  <c r="U985" i="24" s="1"/>
  <c r="L985" i="24"/>
  <c r="M985" i="24" s="1"/>
  <c r="R985" i="24"/>
  <c r="S985" i="24" s="1"/>
  <c r="V985" i="24"/>
  <c r="W985" i="24" s="1"/>
  <c r="F985" i="24"/>
  <c r="G985" i="24" s="1"/>
  <c r="A986" i="24"/>
  <c r="P985" i="24"/>
  <c r="Q985" i="24" s="1"/>
  <c r="B985" i="24"/>
  <c r="C985" i="24" s="1"/>
  <c r="D985" i="24"/>
  <c r="E985" i="24" s="1"/>
  <c r="J797" i="37"/>
  <c r="I797" i="37"/>
  <c r="C797" i="37"/>
  <c r="D797" i="37"/>
  <c r="O796" i="37"/>
  <c r="P796" i="37"/>
  <c r="R796" i="37"/>
  <c r="S796" i="37"/>
  <c r="M797" i="37"/>
  <c r="L797" i="37"/>
  <c r="G797" i="37"/>
  <c r="F797" i="37"/>
  <c r="P986" i="24" l="1"/>
  <c r="Q986" i="24" s="1"/>
  <c r="H986" i="24"/>
  <c r="I986" i="24" s="1"/>
  <c r="B986" i="24"/>
  <c r="C986" i="24" s="1"/>
  <c r="J986" i="24"/>
  <c r="K986" i="24" s="1"/>
  <c r="V986" i="24"/>
  <c r="W986" i="24" s="1"/>
  <c r="F986" i="24"/>
  <c r="G986" i="24" s="1"/>
  <c r="R986" i="24"/>
  <c r="S986" i="24" s="1"/>
  <c r="T986" i="24"/>
  <c r="U986" i="24" s="1"/>
  <c r="A987" i="24"/>
  <c r="N986" i="24"/>
  <c r="O986" i="24" s="1"/>
  <c r="D986" i="24"/>
  <c r="E986" i="24" s="1"/>
  <c r="L986" i="24"/>
  <c r="M986" i="24" s="1"/>
  <c r="I798" i="37"/>
  <c r="J798" i="37"/>
  <c r="D798" i="37"/>
  <c r="C798" i="37"/>
  <c r="O797" i="37"/>
  <c r="P797" i="37"/>
  <c r="M798" i="37"/>
  <c r="L798" i="37"/>
  <c r="G798" i="37"/>
  <c r="F798" i="37"/>
  <c r="S797" i="37"/>
  <c r="R797" i="37"/>
  <c r="F987" i="24" l="1"/>
  <c r="G987" i="24" s="1"/>
  <c r="T987" i="24"/>
  <c r="U987" i="24" s="1"/>
  <c r="N987" i="24"/>
  <c r="O987" i="24" s="1"/>
  <c r="B987" i="24"/>
  <c r="C987" i="24" s="1"/>
  <c r="V987" i="24"/>
  <c r="W987" i="24" s="1"/>
  <c r="D987" i="24"/>
  <c r="E987" i="24" s="1"/>
  <c r="A988" i="24"/>
  <c r="L987" i="24"/>
  <c r="M987" i="24" s="1"/>
  <c r="R987" i="24"/>
  <c r="S987" i="24" s="1"/>
  <c r="J987" i="24"/>
  <c r="K987" i="24" s="1"/>
  <c r="H987" i="24"/>
  <c r="I987" i="24" s="1"/>
  <c r="P987" i="24"/>
  <c r="Q987" i="24" s="1"/>
  <c r="I799" i="37"/>
  <c r="J799" i="37"/>
  <c r="D799" i="37"/>
  <c r="C799" i="37"/>
  <c r="P798" i="37"/>
  <c r="O798" i="37"/>
  <c r="M799" i="37"/>
  <c r="L799" i="37"/>
  <c r="R798" i="37"/>
  <c r="S798" i="37"/>
  <c r="F799" i="37"/>
  <c r="G799" i="37"/>
  <c r="P988" i="24" l="1"/>
  <c r="Q988" i="24" s="1"/>
  <c r="B988" i="24"/>
  <c r="C988" i="24" s="1"/>
  <c r="L988" i="24"/>
  <c r="M988" i="24" s="1"/>
  <c r="N988" i="24"/>
  <c r="O988" i="24" s="1"/>
  <c r="T988" i="24"/>
  <c r="U988" i="24" s="1"/>
  <c r="V988" i="24"/>
  <c r="W988" i="24" s="1"/>
  <c r="A989" i="24"/>
  <c r="D988" i="24"/>
  <c r="E988" i="24" s="1"/>
  <c r="J988" i="24"/>
  <c r="K988" i="24" s="1"/>
  <c r="R988" i="24"/>
  <c r="S988" i="24" s="1"/>
  <c r="H988" i="24"/>
  <c r="I988" i="24" s="1"/>
  <c r="F988" i="24"/>
  <c r="G988" i="24" s="1"/>
  <c r="J800" i="37"/>
  <c r="I800" i="37"/>
  <c r="D800" i="37"/>
  <c r="C800" i="37"/>
  <c r="P799" i="37"/>
  <c r="O799" i="37"/>
  <c r="M800" i="37"/>
  <c r="L800" i="37"/>
  <c r="G800" i="37"/>
  <c r="F800" i="37"/>
  <c r="R799" i="37"/>
  <c r="S799" i="37"/>
  <c r="R989" i="24" l="1"/>
  <c r="S989" i="24" s="1"/>
  <c r="D989" i="24"/>
  <c r="E989" i="24" s="1"/>
  <c r="N989" i="24"/>
  <c r="O989" i="24" s="1"/>
  <c r="B989" i="24"/>
  <c r="C989" i="24" s="1"/>
  <c r="P989" i="24"/>
  <c r="Q989" i="24" s="1"/>
  <c r="J989" i="24"/>
  <c r="K989" i="24" s="1"/>
  <c r="F989" i="24"/>
  <c r="G989" i="24" s="1"/>
  <c r="L989" i="24"/>
  <c r="M989" i="24" s="1"/>
  <c r="V989" i="24"/>
  <c r="W989" i="24" s="1"/>
  <c r="T989" i="24"/>
  <c r="U989" i="24" s="1"/>
  <c r="A990" i="24"/>
  <c r="H989" i="24"/>
  <c r="I989" i="24" s="1"/>
  <c r="J801" i="37"/>
  <c r="I801" i="37"/>
  <c r="C801" i="37"/>
  <c r="D801" i="37"/>
  <c r="O800" i="37"/>
  <c r="P800" i="37"/>
  <c r="M801" i="37"/>
  <c r="L801" i="37"/>
  <c r="G801" i="37"/>
  <c r="F801" i="37"/>
  <c r="S800" i="37"/>
  <c r="R800" i="37"/>
  <c r="D990" i="24" l="1"/>
  <c r="E990" i="24" s="1"/>
  <c r="R990" i="24"/>
  <c r="S990" i="24" s="1"/>
  <c r="T990" i="24"/>
  <c r="U990" i="24" s="1"/>
  <c r="P990" i="24"/>
  <c r="Q990" i="24" s="1"/>
  <c r="B990" i="24"/>
  <c r="C990" i="24" s="1"/>
  <c r="J990" i="24"/>
  <c r="K990" i="24" s="1"/>
  <c r="F990" i="24"/>
  <c r="G990" i="24" s="1"/>
  <c r="H990" i="24"/>
  <c r="I990" i="24" s="1"/>
  <c r="N990" i="24"/>
  <c r="O990" i="24" s="1"/>
  <c r="L990" i="24"/>
  <c r="M990" i="24" s="1"/>
  <c r="V990" i="24"/>
  <c r="W990" i="24" s="1"/>
  <c r="A991" i="24"/>
  <c r="J802" i="37"/>
  <c r="I802" i="37"/>
  <c r="C802" i="37"/>
  <c r="D802" i="37"/>
  <c r="O801" i="37"/>
  <c r="P801" i="37"/>
  <c r="G802" i="37"/>
  <c r="F802" i="37"/>
  <c r="S801" i="37"/>
  <c r="R801" i="37"/>
  <c r="M802" i="37"/>
  <c r="L802" i="37"/>
  <c r="R991" i="24" l="1"/>
  <c r="S991" i="24" s="1"/>
  <c r="V991" i="24"/>
  <c r="W991" i="24" s="1"/>
  <c r="T991" i="24"/>
  <c r="U991" i="24" s="1"/>
  <c r="H991" i="24"/>
  <c r="I991" i="24" s="1"/>
  <c r="A992" i="24"/>
  <c r="L991" i="24"/>
  <c r="M991" i="24" s="1"/>
  <c r="P991" i="24"/>
  <c r="Q991" i="24" s="1"/>
  <c r="N991" i="24"/>
  <c r="O991" i="24" s="1"/>
  <c r="F991" i="24"/>
  <c r="G991" i="24" s="1"/>
  <c r="B991" i="24"/>
  <c r="C991" i="24" s="1"/>
  <c r="D991" i="24"/>
  <c r="E991" i="24" s="1"/>
  <c r="J991" i="24"/>
  <c r="K991" i="24" s="1"/>
  <c r="I803" i="37"/>
  <c r="J803" i="37"/>
  <c r="D803" i="37"/>
  <c r="C803" i="37"/>
  <c r="O802" i="37"/>
  <c r="P802" i="37"/>
  <c r="G803" i="37"/>
  <c r="F803" i="37"/>
  <c r="L803" i="37"/>
  <c r="M803" i="37"/>
  <c r="R802" i="37"/>
  <c r="S802" i="37"/>
  <c r="B992" i="24" l="1"/>
  <c r="C992" i="24" s="1"/>
  <c r="V992" i="24"/>
  <c r="W992" i="24" s="1"/>
  <c r="J992" i="24"/>
  <c r="K992" i="24" s="1"/>
  <c r="H992" i="24"/>
  <c r="I992" i="24" s="1"/>
  <c r="L992" i="24"/>
  <c r="M992" i="24" s="1"/>
  <c r="F992" i="24"/>
  <c r="G992" i="24" s="1"/>
  <c r="T992" i="24"/>
  <c r="U992" i="24" s="1"/>
  <c r="A993" i="24"/>
  <c r="N992" i="24"/>
  <c r="O992" i="24" s="1"/>
  <c r="P992" i="24"/>
  <c r="Q992" i="24" s="1"/>
  <c r="D992" i="24"/>
  <c r="E992" i="24" s="1"/>
  <c r="R992" i="24"/>
  <c r="S992" i="24" s="1"/>
  <c r="I804" i="37"/>
  <c r="J804" i="37"/>
  <c r="D804" i="37"/>
  <c r="C804" i="37"/>
  <c r="O803" i="37"/>
  <c r="P803" i="37"/>
  <c r="R803" i="37"/>
  <c r="S803" i="37"/>
  <c r="M804" i="37"/>
  <c r="L804" i="37"/>
  <c r="G804" i="37"/>
  <c r="F804" i="37"/>
  <c r="R993" i="24" l="1"/>
  <c r="S993" i="24" s="1"/>
  <c r="A994" i="24"/>
  <c r="F993" i="24"/>
  <c r="G993" i="24" s="1"/>
  <c r="D993" i="24"/>
  <c r="E993" i="24" s="1"/>
  <c r="J993" i="24"/>
  <c r="K993" i="24" s="1"/>
  <c r="T993" i="24"/>
  <c r="U993" i="24" s="1"/>
  <c r="P993" i="24"/>
  <c r="Q993" i="24" s="1"/>
  <c r="V993" i="24"/>
  <c r="W993" i="24" s="1"/>
  <c r="B993" i="24"/>
  <c r="C993" i="24" s="1"/>
  <c r="L993" i="24"/>
  <c r="M993" i="24" s="1"/>
  <c r="H993" i="24"/>
  <c r="I993" i="24" s="1"/>
  <c r="N993" i="24"/>
  <c r="O993" i="24" s="1"/>
  <c r="I805" i="37"/>
  <c r="J805" i="37"/>
  <c r="D805" i="37"/>
  <c r="C805" i="37"/>
  <c r="P804" i="37"/>
  <c r="O804" i="37"/>
  <c r="G805" i="37"/>
  <c r="F805" i="37"/>
  <c r="R804" i="37"/>
  <c r="S804" i="37"/>
  <c r="M805" i="37"/>
  <c r="L805" i="37"/>
  <c r="P994" i="24" l="1"/>
  <c r="Q994" i="24" s="1"/>
  <c r="F994" i="24"/>
  <c r="G994" i="24" s="1"/>
  <c r="H994" i="24"/>
  <c r="I994" i="24" s="1"/>
  <c r="T994" i="24"/>
  <c r="U994" i="24" s="1"/>
  <c r="N994" i="24"/>
  <c r="O994" i="24" s="1"/>
  <c r="A995" i="24"/>
  <c r="R994" i="24"/>
  <c r="S994" i="24" s="1"/>
  <c r="B994" i="24"/>
  <c r="C994" i="24" s="1"/>
  <c r="D994" i="24"/>
  <c r="E994" i="24" s="1"/>
  <c r="J994" i="24"/>
  <c r="K994" i="24" s="1"/>
  <c r="L994" i="24"/>
  <c r="M994" i="24" s="1"/>
  <c r="V994" i="24"/>
  <c r="W994" i="24" s="1"/>
  <c r="I806" i="37"/>
  <c r="J806" i="37"/>
  <c r="C806" i="37"/>
  <c r="D806" i="37"/>
  <c r="P805" i="37"/>
  <c r="O805" i="37"/>
  <c r="M806" i="37"/>
  <c r="L806" i="37"/>
  <c r="G806" i="37"/>
  <c r="F806" i="37"/>
  <c r="S805" i="37"/>
  <c r="R805" i="37"/>
  <c r="F995" i="24" l="1"/>
  <c r="G995" i="24" s="1"/>
  <c r="J995" i="24"/>
  <c r="K995" i="24" s="1"/>
  <c r="L995" i="24"/>
  <c r="M995" i="24" s="1"/>
  <c r="N995" i="24"/>
  <c r="O995" i="24" s="1"/>
  <c r="D995" i="24"/>
  <c r="E995" i="24" s="1"/>
  <c r="P995" i="24"/>
  <c r="Q995" i="24" s="1"/>
  <c r="V995" i="24"/>
  <c r="W995" i="24" s="1"/>
  <c r="H995" i="24"/>
  <c r="I995" i="24" s="1"/>
  <c r="R995" i="24"/>
  <c r="S995" i="24" s="1"/>
  <c r="T995" i="24"/>
  <c r="U995" i="24" s="1"/>
  <c r="A996" i="24"/>
  <c r="B995" i="24"/>
  <c r="C995" i="24" s="1"/>
  <c r="I807" i="37"/>
  <c r="J807" i="37"/>
  <c r="D807" i="37"/>
  <c r="C807" i="37"/>
  <c r="P806" i="37"/>
  <c r="O806" i="37"/>
  <c r="S806" i="37"/>
  <c r="R806" i="37"/>
  <c r="L807" i="37"/>
  <c r="M807" i="37"/>
  <c r="G807" i="37"/>
  <c r="F807" i="37"/>
  <c r="T996" i="24" l="1"/>
  <c r="U996" i="24" s="1"/>
  <c r="B996" i="24"/>
  <c r="C996" i="24" s="1"/>
  <c r="P996" i="24"/>
  <c r="Q996" i="24" s="1"/>
  <c r="V996" i="24"/>
  <c r="W996" i="24" s="1"/>
  <c r="D996" i="24"/>
  <c r="E996" i="24" s="1"/>
  <c r="J996" i="24"/>
  <c r="K996" i="24" s="1"/>
  <c r="H996" i="24"/>
  <c r="I996" i="24" s="1"/>
  <c r="L996" i="24"/>
  <c r="M996" i="24" s="1"/>
  <c r="A997" i="24"/>
  <c r="F996" i="24"/>
  <c r="G996" i="24" s="1"/>
  <c r="N996" i="24"/>
  <c r="O996" i="24" s="1"/>
  <c r="R996" i="24"/>
  <c r="S996" i="24" s="1"/>
  <c r="I808" i="37"/>
  <c r="J808" i="37"/>
  <c r="D808" i="37"/>
  <c r="C808" i="37"/>
  <c r="P807" i="37"/>
  <c r="O807" i="37"/>
  <c r="G808" i="37"/>
  <c r="F808" i="37"/>
  <c r="R807" i="37"/>
  <c r="S807" i="37"/>
  <c r="M808" i="37"/>
  <c r="L808" i="37"/>
  <c r="J997" i="24" l="1"/>
  <c r="K997" i="24" s="1"/>
  <c r="H997" i="24"/>
  <c r="I997" i="24" s="1"/>
  <c r="T997" i="24"/>
  <c r="U997" i="24" s="1"/>
  <c r="V997" i="24"/>
  <c r="W997" i="24" s="1"/>
  <c r="D997" i="24"/>
  <c r="E997" i="24" s="1"/>
  <c r="N997" i="24"/>
  <c r="O997" i="24" s="1"/>
  <c r="R997" i="24"/>
  <c r="S997" i="24" s="1"/>
  <c r="A998" i="24"/>
  <c r="P997" i="24"/>
  <c r="Q997" i="24" s="1"/>
  <c r="L997" i="24"/>
  <c r="M997" i="24" s="1"/>
  <c r="F997" i="24"/>
  <c r="G997" i="24" s="1"/>
  <c r="B997" i="24"/>
  <c r="C997" i="24" s="1"/>
  <c r="I809" i="37"/>
  <c r="J809" i="37"/>
  <c r="C809" i="37"/>
  <c r="D809" i="37"/>
  <c r="P808" i="37"/>
  <c r="O808" i="37"/>
  <c r="S808" i="37"/>
  <c r="R808" i="37"/>
  <c r="G809" i="37"/>
  <c r="F809" i="37"/>
  <c r="M809" i="37"/>
  <c r="L809" i="37"/>
  <c r="T998" i="24" l="1"/>
  <c r="U998" i="24" s="1"/>
  <c r="H998" i="24"/>
  <c r="I998" i="24" s="1"/>
  <c r="V998" i="24"/>
  <c r="W998" i="24" s="1"/>
  <c r="R998" i="24"/>
  <c r="S998" i="24" s="1"/>
  <c r="D998" i="24"/>
  <c r="E998" i="24" s="1"/>
  <c r="J998" i="24"/>
  <c r="K998" i="24" s="1"/>
  <c r="F998" i="24"/>
  <c r="G998" i="24" s="1"/>
  <c r="L998" i="24"/>
  <c r="M998" i="24" s="1"/>
  <c r="N998" i="24"/>
  <c r="O998" i="24" s="1"/>
  <c r="A999" i="24"/>
  <c r="B998" i="24"/>
  <c r="C998" i="24" s="1"/>
  <c r="P998" i="24"/>
  <c r="Q998" i="24" s="1"/>
  <c r="J810" i="37"/>
  <c r="I810" i="37"/>
  <c r="C810" i="37"/>
  <c r="D810" i="37"/>
  <c r="O809" i="37"/>
  <c r="P809" i="37"/>
  <c r="S809" i="37"/>
  <c r="R809" i="37"/>
  <c r="G810" i="37"/>
  <c r="F810" i="37"/>
  <c r="L810" i="37"/>
  <c r="M810" i="37"/>
  <c r="J999" i="24" l="1"/>
  <c r="K999" i="24" s="1"/>
  <c r="B999" i="24"/>
  <c r="C999" i="24" s="1"/>
  <c r="L999" i="24"/>
  <c r="M999" i="24" s="1"/>
  <c r="D999" i="24"/>
  <c r="E999" i="24" s="1"/>
  <c r="F999" i="24"/>
  <c r="G999" i="24" s="1"/>
  <c r="H999" i="24"/>
  <c r="I999" i="24" s="1"/>
  <c r="N999" i="24"/>
  <c r="O999" i="24" s="1"/>
  <c r="R999" i="24"/>
  <c r="S999" i="24" s="1"/>
  <c r="T999" i="24"/>
  <c r="U999" i="24" s="1"/>
  <c r="A1000" i="24"/>
  <c r="V999" i="24"/>
  <c r="W999" i="24" s="1"/>
  <c r="P999" i="24"/>
  <c r="Q999" i="24" s="1"/>
  <c r="I811" i="37"/>
  <c r="J811" i="37"/>
  <c r="D811" i="37"/>
  <c r="C811" i="37"/>
  <c r="P810" i="37"/>
  <c r="O810" i="37"/>
  <c r="G811" i="37"/>
  <c r="F811" i="37"/>
  <c r="S810" i="37"/>
  <c r="R810" i="37"/>
  <c r="L811" i="37"/>
  <c r="M811" i="37"/>
  <c r="T1000" i="24" l="1"/>
  <c r="U1000" i="24" s="1"/>
  <c r="R1000" i="24"/>
  <c r="S1000" i="24" s="1"/>
  <c r="V1000" i="24"/>
  <c r="W1000" i="24" s="1"/>
  <c r="A1001" i="24"/>
  <c r="F1000" i="24"/>
  <c r="G1000" i="24" s="1"/>
  <c r="J1000" i="24"/>
  <c r="K1000" i="24" s="1"/>
  <c r="H1000" i="24"/>
  <c r="I1000" i="24" s="1"/>
  <c r="L1000" i="24"/>
  <c r="M1000" i="24" s="1"/>
  <c r="D1000" i="24"/>
  <c r="E1000" i="24" s="1"/>
  <c r="P1000" i="24"/>
  <c r="Q1000" i="24" s="1"/>
  <c r="N1000" i="24"/>
  <c r="O1000" i="24" s="1"/>
  <c r="B1000" i="24"/>
  <c r="C1000" i="24" s="1"/>
  <c r="J812" i="37"/>
  <c r="I812" i="37"/>
  <c r="C812" i="37"/>
  <c r="D812" i="37"/>
  <c r="P811" i="37"/>
  <c r="O811" i="37"/>
  <c r="R811" i="37"/>
  <c r="S811" i="37"/>
  <c r="L812" i="37"/>
  <c r="M812" i="37"/>
  <c r="F812" i="37"/>
  <c r="G812" i="37"/>
  <c r="P1001" i="24" l="1"/>
  <c r="Q1001" i="24" s="1"/>
  <c r="V1001" i="24"/>
  <c r="W1001" i="24" s="1"/>
  <c r="D1001" i="24"/>
  <c r="E1001" i="24" s="1"/>
  <c r="J1001" i="24"/>
  <c r="K1001" i="24" s="1"/>
  <c r="A1002" i="24"/>
  <c r="B1001" i="24"/>
  <c r="C1001" i="24" s="1"/>
  <c r="N1001" i="24"/>
  <c r="O1001" i="24" s="1"/>
  <c r="L1001" i="24"/>
  <c r="M1001" i="24" s="1"/>
  <c r="F1001" i="24"/>
  <c r="G1001" i="24" s="1"/>
  <c r="T1001" i="24"/>
  <c r="U1001" i="24" s="1"/>
  <c r="R1001" i="24"/>
  <c r="S1001" i="24" s="1"/>
  <c r="H1001" i="24"/>
  <c r="I1001" i="24" s="1"/>
  <c r="I813" i="37"/>
  <c r="J813" i="37"/>
  <c r="C813" i="37"/>
  <c r="D813" i="37"/>
  <c r="O812" i="37"/>
  <c r="P812" i="37"/>
  <c r="L813" i="37"/>
  <c r="M813" i="37"/>
  <c r="F813" i="37"/>
  <c r="G813" i="37"/>
  <c r="S812" i="37"/>
  <c r="R812" i="37"/>
  <c r="V1002" i="24" l="1"/>
  <c r="W1002" i="24" s="1"/>
  <c r="A1003" i="24"/>
  <c r="H1002" i="24"/>
  <c r="I1002" i="24" s="1"/>
  <c r="P1002" i="24"/>
  <c r="Q1002" i="24" s="1"/>
  <c r="R1002" i="24"/>
  <c r="S1002" i="24" s="1"/>
  <c r="B1002" i="24"/>
  <c r="C1002" i="24" s="1"/>
  <c r="D1002" i="24"/>
  <c r="E1002" i="24" s="1"/>
  <c r="J1002" i="24"/>
  <c r="K1002" i="24" s="1"/>
  <c r="N1002" i="24"/>
  <c r="O1002" i="24" s="1"/>
  <c r="T1002" i="24"/>
  <c r="U1002" i="24" s="1"/>
  <c r="L1002" i="24"/>
  <c r="M1002" i="24" s="1"/>
  <c r="F1002" i="24"/>
  <c r="G1002" i="24" s="1"/>
  <c r="J814" i="37"/>
  <c r="I814" i="37"/>
  <c r="C814" i="37"/>
  <c r="D814" i="37"/>
  <c r="P813" i="37"/>
  <c r="O813" i="37"/>
  <c r="G814" i="37"/>
  <c r="F814" i="37"/>
  <c r="M814" i="37"/>
  <c r="L814" i="37"/>
  <c r="S813" i="37"/>
  <c r="R813" i="37"/>
  <c r="B1003" i="24" l="1"/>
  <c r="C1003" i="24" s="1"/>
  <c r="R1003" i="24"/>
  <c r="S1003" i="24" s="1"/>
  <c r="H1003" i="24"/>
  <c r="I1003" i="24" s="1"/>
  <c r="L1003" i="24"/>
  <c r="M1003" i="24" s="1"/>
  <c r="D1003" i="24"/>
  <c r="E1003" i="24" s="1"/>
  <c r="P1003" i="24"/>
  <c r="Q1003" i="24" s="1"/>
  <c r="J1003" i="24"/>
  <c r="K1003" i="24" s="1"/>
  <c r="F1003" i="24"/>
  <c r="G1003" i="24" s="1"/>
  <c r="N1003" i="24"/>
  <c r="O1003" i="24" s="1"/>
  <c r="V1003" i="24"/>
  <c r="W1003" i="24" s="1"/>
  <c r="A1004" i="24"/>
  <c r="T1003" i="24"/>
  <c r="U1003" i="24" s="1"/>
  <c r="I815" i="37"/>
  <c r="J815" i="37"/>
  <c r="D815" i="37"/>
  <c r="C815" i="37"/>
  <c r="P814" i="37"/>
  <c r="O814" i="37"/>
  <c r="L815" i="37"/>
  <c r="M815" i="37"/>
  <c r="S814" i="37"/>
  <c r="R814" i="37"/>
  <c r="F815" i="37"/>
  <c r="G815" i="37"/>
  <c r="H1004" i="24" l="1"/>
  <c r="I1004" i="24" s="1"/>
  <c r="J1004" i="24"/>
  <c r="K1004" i="24" s="1"/>
  <c r="B1004" i="24"/>
  <c r="C1004" i="24" s="1"/>
  <c r="P1004" i="24"/>
  <c r="Q1004" i="24" s="1"/>
  <c r="D1004" i="24"/>
  <c r="E1004" i="24" s="1"/>
  <c r="L1004" i="24"/>
  <c r="M1004" i="24" s="1"/>
  <c r="R1004" i="24"/>
  <c r="S1004" i="24" s="1"/>
  <c r="A1005" i="24"/>
  <c r="T1004" i="24"/>
  <c r="U1004" i="24" s="1"/>
  <c r="F1004" i="24"/>
  <c r="G1004" i="24" s="1"/>
  <c r="N1004" i="24"/>
  <c r="O1004" i="24" s="1"/>
  <c r="V1004" i="24"/>
  <c r="W1004" i="24" s="1"/>
  <c r="J816" i="37"/>
  <c r="I816" i="37"/>
  <c r="D816" i="37"/>
  <c r="C816" i="37"/>
  <c r="O815" i="37"/>
  <c r="P815" i="37"/>
  <c r="R815" i="37"/>
  <c r="S815" i="37"/>
  <c r="M816" i="37"/>
  <c r="L816" i="37"/>
  <c r="F816" i="37"/>
  <c r="G816" i="37"/>
  <c r="P1005" i="24" l="1"/>
  <c r="Q1005" i="24" s="1"/>
  <c r="L1005" i="24"/>
  <c r="M1005" i="24" s="1"/>
  <c r="A1006" i="24"/>
  <c r="V1005" i="24"/>
  <c r="W1005" i="24" s="1"/>
  <c r="D1005" i="24"/>
  <c r="E1005" i="24" s="1"/>
  <c r="J1005" i="24"/>
  <c r="K1005" i="24" s="1"/>
  <c r="N1005" i="24"/>
  <c r="O1005" i="24" s="1"/>
  <c r="B1005" i="24"/>
  <c r="C1005" i="24" s="1"/>
  <c r="T1005" i="24"/>
  <c r="U1005" i="24" s="1"/>
  <c r="H1005" i="24"/>
  <c r="I1005" i="24" s="1"/>
  <c r="R1005" i="24"/>
  <c r="S1005" i="24" s="1"/>
  <c r="F1005" i="24"/>
  <c r="G1005" i="24" s="1"/>
  <c r="J817" i="37"/>
  <c r="I817" i="37"/>
  <c r="D817" i="37"/>
  <c r="C817" i="37"/>
  <c r="P816" i="37"/>
  <c r="O816" i="37"/>
  <c r="R816" i="37"/>
  <c r="S816" i="37"/>
  <c r="M817" i="37"/>
  <c r="L817" i="37"/>
  <c r="G817" i="37"/>
  <c r="F817" i="37"/>
  <c r="F1006" i="24" l="1"/>
  <c r="G1006" i="24" s="1"/>
  <c r="N1006" i="24"/>
  <c r="O1006" i="24" s="1"/>
  <c r="T1006" i="24"/>
  <c r="U1006" i="24" s="1"/>
  <c r="R1006" i="24"/>
  <c r="S1006" i="24" s="1"/>
  <c r="B1006" i="24"/>
  <c r="C1006" i="24" s="1"/>
  <c r="J1006" i="24"/>
  <c r="K1006" i="24" s="1"/>
  <c r="V1006" i="24"/>
  <c r="W1006" i="24" s="1"/>
  <c r="L1006" i="24"/>
  <c r="M1006" i="24" s="1"/>
  <c r="P1006" i="24"/>
  <c r="Q1006" i="24" s="1"/>
  <c r="D1006" i="24"/>
  <c r="E1006" i="24" s="1"/>
  <c r="H1006" i="24"/>
  <c r="I1006" i="24" s="1"/>
  <c r="A1007" i="24"/>
  <c r="J818" i="37"/>
  <c r="I818" i="37"/>
  <c r="C818" i="37"/>
  <c r="D818" i="37"/>
  <c r="O817" i="37"/>
  <c r="P817" i="37"/>
  <c r="S817" i="37"/>
  <c r="R817" i="37"/>
  <c r="L818" i="37"/>
  <c r="M818" i="37"/>
  <c r="G818" i="37"/>
  <c r="F818" i="37"/>
  <c r="B1007" i="24" l="1"/>
  <c r="C1007" i="24" s="1"/>
  <c r="L1007" i="24"/>
  <c r="M1007" i="24" s="1"/>
  <c r="F1007" i="24"/>
  <c r="G1007" i="24" s="1"/>
  <c r="P1007" i="24"/>
  <c r="Q1007" i="24" s="1"/>
  <c r="D1007" i="24"/>
  <c r="E1007" i="24" s="1"/>
  <c r="J1007" i="24"/>
  <c r="K1007" i="24" s="1"/>
  <c r="R1007" i="24"/>
  <c r="S1007" i="24" s="1"/>
  <c r="V1007" i="24"/>
  <c r="W1007" i="24" s="1"/>
  <c r="T1007" i="24"/>
  <c r="U1007" i="24" s="1"/>
  <c r="N1007" i="24"/>
  <c r="O1007" i="24" s="1"/>
  <c r="A1008" i="24"/>
  <c r="H1007" i="24"/>
  <c r="I1007" i="24" s="1"/>
  <c r="J819" i="37"/>
  <c r="I819" i="37"/>
  <c r="D819" i="37"/>
  <c r="C819" i="37"/>
  <c r="O818" i="37"/>
  <c r="P818" i="37"/>
  <c r="M819" i="37"/>
  <c r="L819" i="37"/>
  <c r="S818" i="37"/>
  <c r="R818" i="37"/>
  <c r="F819" i="37"/>
  <c r="G819" i="37"/>
  <c r="L1008" i="24" l="1"/>
  <c r="M1008" i="24" s="1"/>
  <c r="B1008" i="24"/>
  <c r="C1008" i="24" s="1"/>
  <c r="F1008" i="24"/>
  <c r="G1008" i="24" s="1"/>
  <c r="D1008" i="24"/>
  <c r="E1008" i="24" s="1"/>
  <c r="J1008" i="24"/>
  <c r="K1008" i="24" s="1"/>
  <c r="H1008" i="24"/>
  <c r="I1008" i="24" s="1"/>
  <c r="P1008" i="24"/>
  <c r="Q1008" i="24" s="1"/>
  <c r="A1009" i="24"/>
  <c r="N1008" i="24"/>
  <c r="O1008" i="24" s="1"/>
  <c r="V1008" i="24"/>
  <c r="W1008" i="24" s="1"/>
  <c r="R1008" i="24"/>
  <c r="S1008" i="24" s="1"/>
  <c r="T1008" i="24"/>
  <c r="U1008" i="24" s="1"/>
  <c r="J820" i="37"/>
  <c r="I820" i="37"/>
  <c r="D820" i="37"/>
  <c r="C820" i="37"/>
  <c r="O819" i="37"/>
  <c r="P819" i="37"/>
  <c r="M820" i="37"/>
  <c r="L820" i="37"/>
  <c r="F820" i="37"/>
  <c r="G820" i="37"/>
  <c r="R819" i="37"/>
  <c r="S819" i="37"/>
  <c r="P1009" i="24" l="1"/>
  <c r="Q1009" i="24" s="1"/>
  <c r="H1009" i="24"/>
  <c r="I1009" i="24" s="1"/>
  <c r="L1009" i="24"/>
  <c r="M1009" i="24" s="1"/>
  <c r="T1009" i="24"/>
  <c r="U1009" i="24" s="1"/>
  <c r="V1009" i="24"/>
  <c r="W1009" i="24" s="1"/>
  <c r="J1009" i="24"/>
  <c r="K1009" i="24" s="1"/>
  <c r="N1009" i="24"/>
  <c r="O1009" i="24" s="1"/>
  <c r="R1009" i="24"/>
  <c r="S1009" i="24" s="1"/>
  <c r="A1010" i="24"/>
  <c r="D1009" i="24"/>
  <c r="E1009" i="24" s="1"/>
  <c r="B1009" i="24"/>
  <c r="C1009" i="24" s="1"/>
  <c r="F1009" i="24"/>
  <c r="G1009" i="24" s="1"/>
  <c r="J821" i="37"/>
  <c r="I821" i="37"/>
  <c r="C821" i="37"/>
  <c r="D821" i="37"/>
  <c r="P820" i="37"/>
  <c r="O820" i="37"/>
  <c r="G821" i="37"/>
  <c r="F821" i="37"/>
  <c r="L821" i="37"/>
  <c r="M821" i="37"/>
  <c r="R820" i="37"/>
  <c r="S820" i="37"/>
  <c r="V1010" i="24" l="1"/>
  <c r="W1010" i="24" s="1"/>
  <c r="J1010" i="24"/>
  <c r="K1010" i="24" s="1"/>
  <c r="H1010" i="24"/>
  <c r="I1010" i="24" s="1"/>
  <c r="B1010" i="24"/>
  <c r="C1010" i="24" s="1"/>
  <c r="D1010" i="24"/>
  <c r="E1010" i="24" s="1"/>
  <c r="L1010" i="24"/>
  <c r="M1010" i="24" s="1"/>
  <c r="T1010" i="24"/>
  <c r="U1010" i="24" s="1"/>
  <c r="A1011" i="24"/>
  <c r="F1010" i="24"/>
  <c r="G1010" i="24" s="1"/>
  <c r="P1010" i="24"/>
  <c r="Q1010" i="24" s="1"/>
  <c r="N1010" i="24"/>
  <c r="O1010" i="24" s="1"/>
  <c r="R1010" i="24"/>
  <c r="S1010" i="24" s="1"/>
  <c r="J822" i="37"/>
  <c r="I822" i="37"/>
  <c r="D822" i="37"/>
  <c r="C822" i="37"/>
  <c r="P821" i="37"/>
  <c r="O821" i="37"/>
  <c r="M822" i="37"/>
  <c r="L822" i="37"/>
  <c r="G822" i="37"/>
  <c r="F822" i="37"/>
  <c r="S821" i="37"/>
  <c r="R821" i="37"/>
  <c r="B1011" i="24" l="1"/>
  <c r="C1011" i="24" s="1"/>
  <c r="H1011" i="24"/>
  <c r="I1011" i="24" s="1"/>
  <c r="D1011" i="24"/>
  <c r="E1011" i="24" s="1"/>
  <c r="J1011" i="24"/>
  <c r="K1011" i="24" s="1"/>
  <c r="F1011" i="24"/>
  <c r="G1011" i="24" s="1"/>
  <c r="L1011" i="24"/>
  <c r="M1011" i="24" s="1"/>
  <c r="N1011" i="24"/>
  <c r="O1011" i="24" s="1"/>
  <c r="P1011" i="24"/>
  <c r="Q1011" i="24" s="1"/>
  <c r="V1011" i="24"/>
  <c r="W1011" i="24" s="1"/>
  <c r="A1012" i="24"/>
  <c r="R1011" i="24"/>
  <c r="S1011" i="24" s="1"/>
  <c r="T1011" i="24"/>
  <c r="U1011" i="24" s="1"/>
  <c r="I823" i="37"/>
  <c r="J66" i="32" s="1"/>
  <c r="J22" i="25" s="1"/>
  <c r="J823" i="37"/>
  <c r="D823" i="37"/>
  <c r="C823" i="37"/>
  <c r="J64" i="32" s="1"/>
  <c r="J20" i="25" s="1"/>
  <c r="P822" i="37"/>
  <c r="O822" i="37"/>
  <c r="R822" i="37"/>
  <c r="S822" i="37"/>
  <c r="G823" i="37"/>
  <c r="F823" i="37"/>
  <c r="J65" i="32" s="1"/>
  <c r="J21" i="25" s="1"/>
  <c r="M823" i="37"/>
  <c r="L823" i="37"/>
  <c r="J70" i="32" l="1"/>
  <c r="J68" i="32"/>
  <c r="J24" i="25" s="1"/>
  <c r="J69" i="32"/>
  <c r="J71" i="32"/>
  <c r="L1012" i="24"/>
  <c r="M1012" i="24" s="1"/>
  <c r="T1012" i="24"/>
  <c r="U1012" i="24" s="1"/>
  <c r="N1012" i="24"/>
  <c r="O1012" i="24" s="1"/>
  <c r="A1013" i="24"/>
  <c r="R1012" i="24"/>
  <c r="S1012" i="24" s="1"/>
  <c r="J1012" i="24"/>
  <c r="K1012" i="24" s="1"/>
  <c r="H1012" i="24"/>
  <c r="I1012" i="24" s="1"/>
  <c r="B1012" i="24"/>
  <c r="C1012" i="24" s="1"/>
  <c r="D1012" i="24"/>
  <c r="E1012" i="24" s="1"/>
  <c r="P1012" i="24"/>
  <c r="Q1012" i="24" s="1"/>
  <c r="F1012" i="24"/>
  <c r="G1012" i="24" s="1"/>
  <c r="V1012" i="24"/>
  <c r="W1012" i="24" s="1"/>
  <c r="I824" i="37"/>
  <c r="J824" i="37"/>
  <c r="C824" i="37"/>
  <c r="D824" i="37"/>
  <c r="O823" i="37"/>
  <c r="J67" i="32" s="1"/>
  <c r="J23" i="25" s="1"/>
  <c r="P823" i="37"/>
  <c r="G824" i="37"/>
  <c r="F824" i="37"/>
  <c r="D65" i="32" s="1"/>
  <c r="L824" i="37"/>
  <c r="E7" i="26" s="1"/>
  <c r="G7" i="26" s="1"/>
  <c r="M824" i="37"/>
  <c r="R823" i="37"/>
  <c r="S823" i="37"/>
  <c r="D64" i="32" l="1"/>
  <c r="E6" i="26"/>
  <c r="D66" i="32"/>
  <c r="E9" i="26"/>
  <c r="M65" i="32"/>
  <c r="D21" i="25"/>
  <c r="K65" i="32"/>
  <c r="K21" i="25" s="1"/>
  <c r="P1013" i="24"/>
  <c r="Q1013" i="24" s="1"/>
  <c r="B1013" i="24"/>
  <c r="C1013" i="24" s="1"/>
  <c r="R1013" i="24"/>
  <c r="S1013" i="24" s="1"/>
  <c r="F1013" i="24"/>
  <c r="G1013" i="24" s="1"/>
  <c r="J1013" i="24"/>
  <c r="K1013" i="24" s="1"/>
  <c r="N1013" i="24"/>
  <c r="O1013" i="24" s="1"/>
  <c r="H1013" i="24"/>
  <c r="I1013" i="24" s="1"/>
  <c r="A1014" i="24"/>
  <c r="D1013" i="24"/>
  <c r="E1013" i="24" s="1"/>
  <c r="T1013" i="24"/>
  <c r="U1013" i="24" s="1"/>
  <c r="L1013" i="24"/>
  <c r="M1013" i="24" s="1"/>
  <c r="V1013" i="24"/>
  <c r="W1013" i="24" s="1"/>
  <c r="J825" i="37"/>
  <c r="I825" i="37"/>
  <c r="D825" i="37"/>
  <c r="C825" i="37"/>
  <c r="P824" i="37"/>
  <c r="O824" i="37"/>
  <c r="L825" i="37"/>
  <c r="M825" i="37"/>
  <c r="G825" i="37"/>
  <c r="F825" i="37"/>
  <c r="S824" i="37"/>
  <c r="R824" i="37"/>
  <c r="E8" i="26" s="1"/>
  <c r="G8" i="26" s="1"/>
  <c r="L65" i="32" l="1"/>
  <c r="G9" i="26"/>
  <c r="P20" i="26"/>
  <c r="Q20" i="26" s="1"/>
  <c r="D22" i="25"/>
  <c r="M66" i="32"/>
  <c r="K66" i="32"/>
  <c r="K22" i="25" s="1"/>
  <c r="E10" i="26"/>
  <c r="D67" i="32"/>
  <c r="G6" i="26"/>
  <c r="P19" i="26"/>
  <c r="Q19" i="26" s="1"/>
  <c r="M64" i="32"/>
  <c r="D20" i="25"/>
  <c r="B19" i="32"/>
  <c r="K64" i="32"/>
  <c r="K20" i="25" s="1"/>
  <c r="L21" i="25"/>
  <c r="V65" i="32"/>
  <c r="R1014" i="24"/>
  <c r="S1014" i="24" s="1"/>
  <c r="D1014" i="24"/>
  <c r="E1014" i="24" s="1"/>
  <c r="J1014" i="24"/>
  <c r="K1014" i="24" s="1"/>
  <c r="V1014" i="24"/>
  <c r="W1014" i="24" s="1"/>
  <c r="B1014" i="24"/>
  <c r="C1014" i="24" s="1"/>
  <c r="F1014" i="24"/>
  <c r="G1014" i="24" s="1"/>
  <c r="L1014" i="24"/>
  <c r="M1014" i="24" s="1"/>
  <c r="N1014" i="24"/>
  <c r="O1014" i="24" s="1"/>
  <c r="T1014" i="24"/>
  <c r="U1014" i="24" s="1"/>
  <c r="A1015" i="24"/>
  <c r="P1014" i="24"/>
  <c r="Q1014" i="24" s="1"/>
  <c r="H1014" i="24"/>
  <c r="I1014" i="24" s="1"/>
  <c r="I826" i="37"/>
  <c r="J826" i="37"/>
  <c r="D826" i="37"/>
  <c r="C826" i="37"/>
  <c r="P825" i="37"/>
  <c r="O825" i="37"/>
  <c r="G826" i="37"/>
  <c r="F826" i="37"/>
  <c r="R825" i="37"/>
  <c r="S825" i="37"/>
  <c r="M826" i="37"/>
  <c r="L826" i="37"/>
  <c r="P21" i="26" l="1"/>
  <c r="Q21" i="26" s="1"/>
  <c r="N2" i="26" s="1"/>
  <c r="G10" i="26"/>
  <c r="F2" i="26" s="1"/>
  <c r="L66" i="32"/>
  <c r="L64" i="32"/>
  <c r="M67" i="32"/>
  <c r="D23" i="25"/>
  <c r="N8" i="19" s="1"/>
  <c r="K67" i="32"/>
  <c r="K23" i="25" s="1"/>
  <c r="B1015" i="24"/>
  <c r="C1015" i="24" s="1"/>
  <c r="V1015" i="24"/>
  <c r="W1015" i="24" s="1"/>
  <c r="T1015" i="24"/>
  <c r="U1015" i="24" s="1"/>
  <c r="R1015" i="24"/>
  <c r="S1015" i="24" s="1"/>
  <c r="A1016" i="24"/>
  <c r="L1015" i="24"/>
  <c r="M1015" i="24" s="1"/>
  <c r="P1015" i="24"/>
  <c r="Q1015" i="24" s="1"/>
  <c r="F1015" i="24"/>
  <c r="G1015" i="24" s="1"/>
  <c r="H1015" i="24"/>
  <c r="I1015" i="24" s="1"/>
  <c r="N1015" i="24"/>
  <c r="O1015" i="24" s="1"/>
  <c r="D1015" i="24"/>
  <c r="E1015" i="24" s="1"/>
  <c r="J1015" i="24"/>
  <c r="K1015" i="24" s="1"/>
  <c r="J827" i="37"/>
  <c r="I827" i="37"/>
  <c r="C827" i="37"/>
  <c r="D827" i="37"/>
  <c r="P826" i="37"/>
  <c r="O826" i="37"/>
  <c r="F827" i="37"/>
  <c r="G827" i="37"/>
  <c r="M827" i="37"/>
  <c r="L827" i="37"/>
  <c r="S826" i="37"/>
  <c r="R826" i="37"/>
  <c r="E14" i="32" l="1"/>
  <c r="L67" i="32"/>
  <c r="V64" i="32"/>
  <c r="L20" i="25"/>
  <c r="L22" i="25"/>
  <c r="V66" i="32"/>
  <c r="L23" i="25"/>
  <c r="V67" i="32"/>
  <c r="P1016" i="24"/>
  <c r="Q1016" i="24" s="1"/>
  <c r="L1016" i="24"/>
  <c r="M1016" i="24" s="1"/>
  <c r="R1016" i="24"/>
  <c r="S1016" i="24" s="1"/>
  <c r="J1016" i="24"/>
  <c r="K1016" i="24" s="1"/>
  <c r="H1016" i="24"/>
  <c r="I1016" i="24" s="1"/>
  <c r="V1016" i="24"/>
  <c r="W1016" i="24" s="1"/>
  <c r="D1016" i="24"/>
  <c r="E1016" i="24" s="1"/>
  <c r="F1016" i="24"/>
  <c r="G1016" i="24" s="1"/>
  <c r="N1016" i="24"/>
  <c r="O1016" i="24" s="1"/>
  <c r="T1016" i="24"/>
  <c r="U1016" i="24" s="1"/>
  <c r="A1017" i="24"/>
  <c r="B1016" i="24"/>
  <c r="C1016" i="24" s="1"/>
  <c r="J828" i="37"/>
  <c r="I828" i="37"/>
  <c r="D828" i="37"/>
  <c r="C828" i="37"/>
  <c r="O827" i="37"/>
  <c r="P827" i="37"/>
  <c r="M828" i="37"/>
  <c r="L828" i="37"/>
  <c r="S827" i="37"/>
  <c r="R827" i="37"/>
  <c r="F828" i="37"/>
  <c r="G828" i="37"/>
  <c r="P1017" i="24" l="1"/>
  <c r="Q1017" i="24" s="1"/>
  <c r="V1017" i="24"/>
  <c r="W1017" i="24" s="1"/>
  <c r="D1017" i="24"/>
  <c r="E1017" i="24" s="1"/>
  <c r="J1017" i="24"/>
  <c r="K1017" i="24" s="1"/>
  <c r="N1017" i="24"/>
  <c r="O1017" i="24" s="1"/>
  <c r="R1017" i="24"/>
  <c r="S1017" i="24" s="1"/>
  <c r="H1017" i="24"/>
  <c r="I1017" i="24" s="1"/>
  <c r="A1018" i="24"/>
  <c r="T1017" i="24"/>
  <c r="U1017" i="24" s="1"/>
  <c r="B1017" i="24"/>
  <c r="C1017" i="24" s="1"/>
  <c r="L1017" i="24"/>
  <c r="M1017" i="24" s="1"/>
  <c r="F1017" i="24"/>
  <c r="G1017" i="24" s="1"/>
  <c r="J829" i="37"/>
  <c r="I829" i="37"/>
  <c r="C829" i="37"/>
  <c r="D829" i="37"/>
  <c r="O828" i="37"/>
  <c r="P828" i="37"/>
  <c r="S828" i="37"/>
  <c r="R828" i="37"/>
  <c r="G829" i="37"/>
  <c r="F829" i="37"/>
  <c r="L829" i="37"/>
  <c r="M829" i="37"/>
  <c r="V1018" i="24" l="1"/>
  <c r="W1018" i="24" s="1"/>
  <c r="A1019" i="24"/>
  <c r="F1018" i="24"/>
  <c r="G1018" i="24" s="1"/>
  <c r="P1018" i="24"/>
  <c r="Q1018" i="24" s="1"/>
  <c r="H1018" i="24"/>
  <c r="I1018" i="24" s="1"/>
  <c r="J1018" i="24"/>
  <c r="K1018" i="24" s="1"/>
  <c r="L1018" i="24"/>
  <c r="M1018" i="24" s="1"/>
  <c r="N1018" i="24"/>
  <c r="O1018" i="24" s="1"/>
  <c r="T1018" i="24"/>
  <c r="U1018" i="24" s="1"/>
  <c r="B1018" i="24"/>
  <c r="C1018" i="24" s="1"/>
  <c r="D1018" i="24"/>
  <c r="E1018" i="24" s="1"/>
  <c r="R1018" i="24"/>
  <c r="S1018" i="24" s="1"/>
  <c r="J830" i="37"/>
  <c r="I830" i="37"/>
  <c r="D830" i="37"/>
  <c r="C830" i="37"/>
  <c r="P829" i="37"/>
  <c r="O829" i="37"/>
  <c r="G830" i="37"/>
  <c r="F830" i="37"/>
  <c r="M830" i="37"/>
  <c r="L830" i="37"/>
  <c r="R829" i="37"/>
  <c r="S829" i="37"/>
  <c r="B1019" i="24" l="1"/>
  <c r="C1019" i="24" s="1"/>
  <c r="R1019" i="24"/>
  <c r="S1019" i="24" s="1"/>
  <c r="H1019" i="24"/>
  <c r="I1019" i="24" s="1"/>
  <c r="L1019" i="24"/>
  <c r="M1019" i="24" s="1"/>
  <c r="J1019" i="24"/>
  <c r="K1019" i="24" s="1"/>
  <c r="F1019" i="24"/>
  <c r="G1019" i="24" s="1"/>
  <c r="N1019" i="24"/>
  <c r="O1019" i="24" s="1"/>
  <c r="V1019" i="24"/>
  <c r="W1019" i="24" s="1"/>
  <c r="T1019" i="24"/>
  <c r="U1019" i="24" s="1"/>
  <c r="D1019" i="24"/>
  <c r="E1019" i="24" s="1"/>
  <c r="P1019" i="24"/>
  <c r="Q1019" i="24" s="1"/>
  <c r="A1020" i="24"/>
  <c r="I831" i="37"/>
  <c r="J831" i="37"/>
  <c r="D831" i="37"/>
  <c r="C831" i="37"/>
  <c r="P830" i="37"/>
  <c r="O830" i="37"/>
  <c r="M831" i="37"/>
  <c r="L831" i="37"/>
  <c r="G831" i="37"/>
  <c r="F831" i="37"/>
  <c r="S830" i="37"/>
  <c r="R830" i="37"/>
  <c r="L1020" i="24" l="1"/>
  <c r="M1020" i="24" s="1"/>
  <c r="J1020" i="24"/>
  <c r="K1020" i="24" s="1"/>
  <c r="H1020" i="24"/>
  <c r="I1020" i="24" s="1"/>
  <c r="F1020" i="24"/>
  <c r="G1020" i="24" s="1"/>
  <c r="N1020" i="24"/>
  <c r="O1020" i="24" s="1"/>
  <c r="V1020" i="24"/>
  <c r="W1020" i="24" s="1"/>
  <c r="T1020" i="24"/>
  <c r="U1020" i="24" s="1"/>
  <c r="D1020" i="24"/>
  <c r="E1020" i="24" s="1"/>
  <c r="A1021" i="24"/>
  <c r="R1020" i="24"/>
  <c r="S1020" i="24" s="1"/>
  <c r="P1020" i="24"/>
  <c r="Q1020" i="24" s="1"/>
  <c r="B1020" i="24"/>
  <c r="C1020" i="24" s="1"/>
  <c r="J37" i="24"/>
  <c r="F37" i="24" s="1"/>
  <c r="J28" i="24"/>
  <c r="F28" i="24" s="1"/>
  <c r="D50" i="32" s="1"/>
  <c r="J38" i="24"/>
  <c r="F38" i="24" s="1"/>
  <c r="D61" i="32" s="1"/>
  <c r="J31" i="24"/>
  <c r="F31" i="24" s="1"/>
  <c r="D54" i="32" s="1"/>
  <c r="J54" i="32" s="1"/>
  <c r="K54" i="32" s="1"/>
  <c r="J32" i="24"/>
  <c r="F32" i="24" s="1"/>
  <c r="J30" i="24"/>
  <c r="F30" i="24" s="1"/>
  <c r="D53" i="32" s="1"/>
  <c r="J53" i="32" s="1"/>
  <c r="K53" i="32" s="1"/>
  <c r="J29" i="24"/>
  <c r="F29" i="24" s="1"/>
  <c r="D52" i="32" s="1"/>
  <c r="J33" i="24"/>
  <c r="F33" i="24" s="1"/>
  <c r="J34" i="24"/>
  <c r="F34" i="24" s="1"/>
  <c r="K30" i="24"/>
  <c r="J36" i="24"/>
  <c r="F36" i="24" s="1"/>
  <c r="K33" i="24"/>
  <c r="K37" i="24"/>
  <c r="J35" i="24"/>
  <c r="F35" i="24" s="1"/>
  <c r="K35" i="24"/>
  <c r="K38" i="24"/>
  <c r="K32" i="24"/>
  <c r="K28" i="24"/>
  <c r="K31" i="24"/>
  <c r="K29" i="24"/>
  <c r="K34" i="24"/>
  <c r="K36" i="24"/>
  <c r="J832" i="37"/>
  <c r="I832" i="37"/>
  <c r="D832" i="37"/>
  <c r="C832" i="37"/>
  <c r="P831" i="37"/>
  <c r="O831" i="37"/>
  <c r="R831" i="37"/>
  <c r="S831" i="37"/>
  <c r="L832" i="37"/>
  <c r="M832" i="37"/>
  <c r="G832" i="37"/>
  <c r="F832" i="37"/>
  <c r="G38" i="24" l="1"/>
  <c r="G30" i="24"/>
  <c r="G31" i="24"/>
  <c r="G29" i="24"/>
  <c r="G28" i="24"/>
  <c r="D60" i="32"/>
  <c r="J60" i="32" s="1"/>
  <c r="K60" i="32" s="1"/>
  <c r="G37" i="24"/>
  <c r="G33" i="24"/>
  <c r="D56" i="32"/>
  <c r="J56" i="32" s="1"/>
  <c r="K56" i="32" s="1"/>
  <c r="D57" i="32"/>
  <c r="J57" i="32" s="1"/>
  <c r="K57" i="32" s="1"/>
  <c r="G34" i="24"/>
  <c r="J52" i="32"/>
  <c r="D16" i="25"/>
  <c r="D58" i="32"/>
  <c r="J58" i="32" s="1"/>
  <c r="K58" i="32" s="1"/>
  <c r="G35" i="24"/>
  <c r="M53" i="32"/>
  <c r="L53" i="32"/>
  <c r="V53" i="32" s="1"/>
  <c r="G32" i="24"/>
  <c r="D55" i="32"/>
  <c r="J55" i="32" s="1"/>
  <c r="K55" i="32" s="1"/>
  <c r="B1021" i="24"/>
  <c r="C1021" i="24" s="1"/>
  <c r="J1021" i="24"/>
  <c r="K1021" i="24" s="1"/>
  <c r="A1022" i="24"/>
  <c r="P1021" i="24"/>
  <c r="Q1021" i="24" s="1"/>
  <c r="R1021" i="24"/>
  <c r="S1021" i="24" s="1"/>
  <c r="N1021" i="24"/>
  <c r="O1021" i="24" s="1"/>
  <c r="V1021" i="24"/>
  <c r="W1021" i="24" s="1"/>
  <c r="D1021" i="24"/>
  <c r="E1021" i="24" s="1"/>
  <c r="H1021" i="24"/>
  <c r="I1021" i="24" s="1"/>
  <c r="L1021" i="24"/>
  <c r="M1021" i="24" s="1"/>
  <c r="T1021" i="24"/>
  <c r="U1021" i="24" s="1"/>
  <c r="F1021" i="24"/>
  <c r="G1021" i="24" s="1"/>
  <c r="M54" i="32"/>
  <c r="L54" i="32"/>
  <c r="V54" i="32" s="1"/>
  <c r="D59" i="32"/>
  <c r="J59" i="32" s="1"/>
  <c r="K59" i="32" s="1"/>
  <c r="G36" i="24"/>
  <c r="J61" i="32"/>
  <c r="D17" i="25"/>
  <c r="D51" i="32"/>
  <c r="J51" i="32" s="1"/>
  <c r="K51" i="32" s="1"/>
  <c r="D15" i="25"/>
  <c r="J50" i="32"/>
  <c r="I833" i="37"/>
  <c r="J833" i="37"/>
  <c r="C833" i="37"/>
  <c r="D833" i="37"/>
  <c r="O832" i="37"/>
  <c r="P832" i="37"/>
  <c r="M833" i="37"/>
  <c r="L833" i="37"/>
  <c r="S832" i="37"/>
  <c r="R832" i="37"/>
  <c r="G833" i="37"/>
  <c r="F833" i="37"/>
  <c r="K52" i="32" l="1"/>
  <c r="J16" i="25"/>
  <c r="K61" i="32"/>
  <c r="J17" i="25"/>
  <c r="L55" i="32"/>
  <c r="V55" i="32" s="1"/>
  <c r="M55" i="32"/>
  <c r="L59" i="32"/>
  <c r="V59" i="32" s="1"/>
  <c r="M59" i="32"/>
  <c r="L57" i="32"/>
  <c r="M57" i="32"/>
  <c r="M56" i="32"/>
  <c r="L56" i="32"/>
  <c r="K50" i="32"/>
  <c r="J15" i="25"/>
  <c r="J72" i="32"/>
  <c r="M60" i="32"/>
  <c r="L60" i="32"/>
  <c r="V60" i="32" s="1"/>
  <c r="L51" i="32"/>
  <c r="V51" i="32" s="1"/>
  <c r="M51" i="32"/>
  <c r="P1022" i="24"/>
  <c r="Q1022" i="24" s="1"/>
  <c r="H1022" i="24"/>
  <c r="I1022" i="24" s="1"/>
  <c r="T1022" i="24"/>
  <c r="U1022" i="24" s="1"/>
  <c r="J1022" i="24"/>
  <c r="K1022" i="24" s="1"/>
  <c r="L1022" i="24"/>
  <c r="M1022" i="24" s="1"/>
  <c r="B1022" i="24"/>
  <c r="C1022" i="24" s="1"/>
  <c r="R1022" i="24"/>
  <c r="S1022" i="24" s="1"/>
  <c r="N1022" i="24"/>
  <c r="O1022" i="24" s="1"/>
  <c r="A1023" i="24"/>
  <c r="D1022" i="24"/>
  <c r="E1022" i="24" s="1"/>
  <c r="V1022" i="24"/>
  <c r="W1022" i="24" s="1"/>
  <c r="F1022" i="24"/>
  <c r="G1022" i="24" s="1"/>
  <c r="L58" i="32"/>
  <c r="M58" i="32"/>
  <c r="J834" i="37"/>
  <c r="I834" i="37"/>
  <c r="C834" i="37"/>
  <c r="D834" i="37"/>
  <c r="P833" i="37"/>
  <c r="O833" i="37"/>
  <c r="G834" i="37"/>
  <c r="F834" i="37"/>
  <c r="R833" i="37"/>
  <c r="S833" i="37"/>
  <c r="L834" i="37"/>
  <c r="M834" i="37"/>
  <c r="K17" i="25" l="1"/>
  <c r="M61" i="32"/>
  <c r="L61" i="32"/>
  <c r="K15" i="25"/>
  <c r="M50" i="32"/>
  <c r="L50" i="32"/>
  <c r="J1023" i="24"/>
  <c r="K1023" i="24" s="1"/>
  <c r="L1023" i="24"/>
  <c r="M1023" i="24" s="1"/>
  <c r="R1023" i="24"/>
  <c r="S1023" i="24" s="1"/>
  <c r="F1023" i="24"/>
  <c r="G1023" i="24" s="1"/>
  <c r="H1023" i="24"/>
  <c r="I1023" i="24" s="1"/>
  <c r="V1023" i="24"/>
  <c r="W1023" i="24" s="1"/>
  <c r="D1023" i="24"/>
  <c r="E1023" i="24" s="1"/>
  <c r="T1023" i="24"/>
  <c r="U1023" i="24" s="1"/>
  <c r="A1024" i="24"/>
  <c r="B1023" i="24"/>
  <c r="C1023" i="24" s="1"/>
  <c r="P1023" i="24"/>
  <c r="Q1023" i="24" s="1"/>
  <c r="N1023" i="24"/>
  <c r="O1023" i="24" s="1"/>
  <c r="L15" i="32"/>
  <c r="L19" i="32" s="1"/>
  <c r="K16" i="25"/>
  <c r="M52" i="32"/>
  <c r="L52" i="32"/>
  <c r="J26" i="25"/>
  <c r="O10" i="25" s="1"/>
  <c r="O12" i="25" s="1"/>
  <c r="H5" i="32"/>
  <c r="H11" i="32" s="1"/>
  <c r="H13" i="32" s="1"/>
  <c r="J835" i="37"/>
  <c r="I835" i="37"/>
  <c r="C835" i="37"/>
  <c r="D835" i="37"/>
  <c r="O834" i="37"/>
  <c r="P834" i="37"/>
  <c r="M835" i="37"/>
  <c r="L835" i="37"/>
  <c r="G835" i="37"/>
  <c r="F835" i="37"/>
  <c r="S834" i="37"/>
  <c r="R834" i="37"/>
  <c r="V61" i="32" l="1"/>
  <c r="L17" i="25"/>
  <c r="N1024" i="24"/>
  <c r="O1024" i="24" s="1"/>
  <c r="F1024" i="24"/>
  <c r="G1024" i="24" s="1"/>
  <c r="J1024" i="24"/>
  <c r="K1024" i="24" s="1"/>
  <c r="L1024" i="24"/>
  <c r="M1024" i="24" s="1"/>
  <c r="V1024" i="24"/>
  <c r="W1024" i="24" s="1"/>
  <c r="B1024" i="24"/>
  <c r="C1024" i="24" s="1"/>
  <c r="D1024" i="24"/>
  <c r="E1024" i="24" s="1"/>
  <c r="R1024" i="24"/>
  <c r="S1024" i="24" s="1"/>
  <c r="H1024" i="24"/>
  <c r="I1024" i="24" s="1"/>
  <c r="P1024" i="24"/>
  <c r="Q1024" i="24" s="1"/>
  <c r="A1025" i="24"/>
  <c r="T1024" i="24"/>
  <c r="U1024" i="24" s="1"/>
  <c r="V52" i="32"/>
  <c r="L16" i="25"/>
  <c r="V50" i="32"/>
  <c r="L15" i="25"/>
  <c r="J836" i="37"/>
  <c r="I836" i="37"/>
  <c r="D836" i="37"/>
  <c r="C836" i="37"/>
  <c r="P835" i="37"/>
  <c r="O835" i="37"/>
  <c r="G836" i="37"/>
  <c r="F836" i="37"/>
  <c r="M836" i="37"/>
  <c r="L836" i="37"/>
  <c r="S835" i="37"/>
  <c r="R835" i="37"/>
  <c r="B1025" i="24" l="1"/>
  <c r="C1025" i="24" s="1"/>
  <c r="D1025" i="24"/>
  <c r="E1025" i="24" s="1"/>
  <c r="J1025" i="24"/>
  <c r="K1025" i="24" s="1"/>
  <c r="T1025" i="24"/>
  <c r="U1025" i="24" s="1"/>
  <c r="L1025" i="24"/>
  <c r="M1025" i="24" s="1"/>
  <c r="V1025" i="24"/>
  <c r="W1025" i="24" s="1"/>
  <c r="F1025" i="24"/>
  <c r="G1025" i="24" s="1"/>
  <c r="N1025" i="24"/>
  <c r="O1025" i="24" s="1"/>
  <c r="H1025" i="24"/>
  <c r="I1025" i="24" s="1"/>
  <c r="A1026" i="24"/>
  <c r="R1025" i="24"/>
  <c r="S1025" i="24" s="1"/>
  <c r="P1025" i="24"/>
  <c r="Q1025" i="24" s="1"/>
  <c r="J837" i="37"/>
  <c r="I837" i="37"/>
  <c r="D837" i="37"/>
  <c r="C837" i="37"/>
  <c r="P836" i="37"/>
  <c r="O836" i="37"/>
  <c r="L837" i="37"/>
  <c r="M837" i="37"/>
  <c r="F837" i="37"/>
  <c r="G837" i="37"/>
  <c r="S836" i="37"/>
  <c r="R836" i="37"/>
  <c r="F1026" i="24" l="1"/>
  <c r="G1026" i="24" s="1"/>
  <c r="R1026" i="24"/>
  <c r="S1026" i="24" s="1"/>
  <c r="H1026" i="24"/>
  <c r="I1026" i="24" s="1"/>
  <c r="L1026" i="24"/>
  <c r="M1026" i="24" s="1"/>
  <c r="P1026" i="24"/>
  <c r="Q1026" i="24" s="1"/>
  <c r="B1026" i="24"/>
  <c r="C1026" i="24" s="1"/>
  <c r="N1026" i="24"/>
  <c r="O1026" i="24" s="1"/>
  <c r="D1026" i="24"/>
  <c r="E1026" i="24" s="1"/>
  <c r="A1027" i="24"/>
  <c r="J1026" i="24"/>
  <c r="K1026" i="24" s="1"/>
  <c r="T1026" i="24"/>
  <c r="U1026" i="24" s="1"/>
  <c r="V1026" i="24"/>
  <c r="W1026" i="24" s="1"/>
  <c r="J838" i="37"/>
  <c r="I838" i="37"/>
  <c r="D838" i="37"/>
  <c r="C838" i="37"/>
  <c r="P837" i="37"/>
  <c r="O837" i="37"/>
  <c r="S837" i="37"/>
  <c r="R837" i="37"/>
  <c r="G838" i="37"/>
  <c r="F838" i="37"/>
  <c r="M838" i="37"/>
  <c r="L838" i="37"/>
  <c r="J1027" i="24" l="1"/>
  <c r="K1027" i="24" s="1"/>
  <c r="H1027" i="24"/>
  <c r="I1027" i="24" s="1"/>
  <c r="P1027" i="24"/>
  <c r="Q1027" i="24" s="1"/>
  <c r="V1027" i="24"/>
  <c r="W1027" i="24" s="1"/>
  <c r="N1027" i="24"/>
  <c r="O1027" i="24" s="1"/>
  <c r="D1027" i="24"/>
  <c r="E1027" i="24" s="1"/>
  <c r="F1027" i="24"/>
  <c r="G1027" i="24" s="1"/>
  <c r="R1027" i="24"/>
  <c r="S1027" i="24" s="1"/>
  <c r="T1027" i="24"/>
  <c r="U1027" i="24" s="1"/>
  <c r="A1028" i="24"/>
  <c r="B1027" i="24"/>
  <c r="C1027" i="24" s="1"/>
  <c r="L1027" i="24"/>
  <c r="M1027" i="24" s="1"/>
  <c r="I839" i="37"/>
  <c r="J839" i="37"/>
  <c r="D839" i="37"/>
  <c r="C839" i="37"/>
  <c r="P838" i="37"/>
  <c r="O838" i="37"/>
  <c r="G839" i="37"/>
  <c r="F839" i="37"/>
  <c r="S838" i="37"/>
  <c r="R838" i="37"/>
  <c r="M839" i="37"/>
  <c r="L839" i="37"/>
  <c r="R1028" i="24" l="1"/>
  <c r="S1028" i="24" s="1"/>
  <c r="T1028" i="24"/>
  <c r="U1028" i="24" s="1"/>
  <c r="J1028" i="24"/>
  <c r="K1028" i="24" s="1"/>
  <c r="A1029" i="24"/>
  <c r="N1028" i="24"/>
  <c r="O1028" i="24" s="1"/>
  <c r="D1028" i="24"/>
  <c r="E1028" i="24" s="1"/>
  <c r="H1028" i="24"/>
  <c r="I1028" i="24" s="1"/>
  <c r="P1028" i="24"/>
  <c r="Q1028" i="24" s="1"/>
  <c r="F1028" i="24"/>
  <c r="G1028" i="24" s="1"/>
  <c r="B1028" i="24"/>
  <c r="C1028" i="24" s="1"/>
  <c r="L1028" i="24"/>
  <c r="M1028" i="24" s="1"/>
  <c r="V1028" i="24"/>
  <c r="W1028" i="24" s="1"/>
  <c r="J840" i="37"/>
  <c r="I840" i="37"/>
  <c r="D840" i="37"/>
  <c r="C840" i="37"/>
  <c r="P839" i="37"/>
  <c r="O839" i="37"/>
  <c r="R839" i="37"/>
  <c r="S839" i="37"/>
  <c r="G840" i="37"/>
  <c r="F840" i="37"/>
  <c r="M840" i="37"/>
  <c r="L840" i="37"/>
  <c r="B1029" i="24" l="1"/>
  <c r="C1029" i="24" s="1"/>
  <c r="J1029" i="24"/>
  <c r="K1029" i="24" s="1"/>
  <c r="F1029" i="24"/>
  <c r="G1029" i="24" s="1"/>
  <c r="L1029" i="24"/>
  <c r="M1029" i="24" s="1"/>
  <c r="N1029" i="24"/>
  <c r="O1029" i="24" s="1"/>
  <c r="P1029" i="24"/>
  <c r="Q1029" i="24" s="1"/>
  <c r="V1029" i="24"/>
  <c r="W1029" i="24" s="1"/>
  <c r="H1029" i="24"/>
  <c r="I1029" i="24" s="1"/>
  <c r="D1029" i="24"/>
  <c r="E1029" i="24" s="1"/>
  <c r="T1029" i="24"/>
  <c r="U1029" i="24" s="1"/>
  <c r="A1030" i="24"/>
  <c r="R1029" i="24"/>
  <c r="S1029" i="24" s="1"/>
  <c r="J841" i="37"/>
  <c r="I841" i="37"/>
  <c r="D841" i="37"/>
  <c r="C841" i="37"/>
  <c r="O840" i="37"/>
  <c r="P840" i="37"/>
  <c r="L841" i="37"/>
  <c r="M841" i="37"/>
  <c r="G841" i="37"/>
  <c r="F841" i="37"/>
  <c r="R840" i="37"/>
  <c r="S840" i="37"/>
  <c r="F1030" i="24" l="1"/>
  <c r="G1030" i="24" s="1"/>
  <c r="D1030" i="24"/>
  <c r="E1030" i="24" s="1"/>
  <c r="V1030" i="24"/>
  <c r="W1030" i="24" s="1"/>
  <c r="L1030" i="24"/>
  <c r="M1030" i="24" s="1"/>
  <c r="R1030" i="24"/>
  <c r="S1030" i="24" s="1"/>
  <c r="P1030" i="24"/>
  <c r="Q1030" i="24" s="1"/>
  <c r="N1030" i="24"/>
  <c r="O1030" i="24" s="1"/>
  <c r="T1030" i="24"/>
  <c r="U1030" i="24" s="1"/>
  <c r="A1031" i="24"/>
  <c r="B1030" i="24"/>
  <c r="C1030" i="24" s="1"/>
  <c r="J1030" i="24"/>
  <c r="K1030" i="24" s="1"/>
  <c r="H1030" i="24"/>
  <c r="I1030" i="24" s="1"/>
  <c r="I842" i="37"/>
  <c r="J842" i="37"/>
  <c r="D842" i="37"/>
  <c r="C842" i="37"/>
  <c r="O841" i="37"/>
  <c r="P841" i="37"/>
  <c r="G842" i="37"/>
  <c r="F842" i="37"/>
  <c r="S841" i="37"/>
  <c r="R841" i="37"/>
  <c r="M842" i="37"/>
  <c r="L842" i="37"/>
  <c r="J1031" i="24" l="1"/>
  <c r="K1031" i="24" s="1"/>
  <c r="L1031" i="24"/>
  <c r="M1031" i="24" s="1"/>
  <c r="T1031" i="24"/>
  <c r="U1031" i="24" s="1"/>
  <c r="H1031" i="24"/>
  <c r="I1031" i="24" s="1"/>
  <c r="A1032" i="24"/>
  <c r="N1031" i="24"/>
  <c r="O1031" i="24" s="1"/>
  <c r="V1031" i="24"/>
  <c r="W1031" i="24" s="1"/>
  <c r="B1031" i="24"/>
  <c r="C1031" i="24" s="1"/>
  <c r="P1031" i="24"/>
  <c r="Q1031" i="24" s="1"/>
  <c r="D1031" i="24"/>
  <c r="E1031" i="24" s="1"/>
  <c r="F1031" i="24"/>
  <c r="G1031" i="24" s="1"/>
  <c r="R1031" i="24"/>
  <c r="S1031" i="24" s="1"/>
  <c r="J843" i="37"/>
  <c r="I843" i="37"/>
  <c r="D843" i="37"/>
  <c r="C843" i="37"/>
  <c r="O842" i="37"/>
  <c r="P842" i="37"/>
  <c r="S842" i="37"/>
  <c r="R842" i="37"/>
  <c r="G843" i="37"/>
  <c r="F843" i="37"/>
  <c r="M843" i="37"/>
  <c r="L843" i="37"/>
  <c r="J1032" i="24" l="1"/>
  <c r="K1032" i="24" s="1"/>
  <c r="N1032" i="24"/>
  <c r="O1032" i="24" s="1"/>
  <c r="P1032" i="24"/>
  <c r="Q1032" i="24" s="1"/>
  <c r="B1032" i="24"/>
  <c r="C1032" i="24" s="1"/>
  <c r="R1032" i="24"/>
  <c r="S1032" i="24" s="1"/>
  <c r="T1032" i="24"/>
  <c r="U1032" i="24" s="1"/>
  <c r="V1032" i="24"/>
  <c r="W1032" i="24" s="1"/>
  <c r="H1032" i="24"/>
  <c r="I1032" i="24" s="1"/>
  <c r="A1033" i="24"/>
  <c r="L1032" i="24"/>
  <c r="M1032" i="24" s="1"/>
  <c r="D1032" i="24"/>
  <c r="E1032" i="24" s="1"/>
  <c r="F1032" i="24"/>
  <c r="G1032" i="24" s="1"/>
  <c r="I844" i="37"/>
  <c r="J844" i="37"/>
  <c r="D844" i="37"/>
  <c r="C844" i="37"/>
  <c r="P843" i="37"/>
  <c r="O843" i="37"/>
  <c r="L844" i="37"/>
  <c r="M844" i="37"/>
  <c r="G844" i="37"/>
  <c r="F844" i="37"/>
  <c r="R843" i="37"/>
  <c r="S843" i="37"/>
  <c r="B1033" i="24" l="1"/>
  <c r="C1033" i="24" s="1"/>
  <c r="V1033" i="24"/>
  <c r="W1033" i="24" s="1"/>
  <c r="H1033" i="24"/>
  <c r="I1033" i="24" s="1"/>
  <c r="F1033" i="24"/>
  <c r="G1033" i="24" s="1"/>
  <c r="L1033" i="24"/>
  <c r="M1033" i="24" s="1"/>
  <c r="P1033" i="24"/>
  <c r="Q1033" i="24" s="1"/>
  <c r="N1033" i="24"/>
  <c r="O1033" i="24" s="1"/>
  <c r="T1033" i="24"/>
  <c r="U1033" i="24" s="1"/>
  <c r="J1033" i="24"/>
  <c r="K1033" i="24" s="1"/>
  <c r="A1034" i="24"/>
  <c r="R1033" i="24"/>
  <c r="S1033" i="24" s="1"/>
  <c r="D1033" i="24"/>
  <c r="E1033" i="24" s="1"/>
  <c r="I845" i="37"/>
  <c r="J845" i="37"/>
  <c r="D845" i="37"/>
  <c r="C845" i="37"/>
  <c r="O844" i="37"/>
  <c r="P844" i="37"/>
  <c r="R844" i="37"/>
  <c r="S844" i="37"/>
  <c r="F845" i="37"/>
  <c r="G845" i="37"/>
  <c r="M845" i="37"/>
  <c r="L845" i="37"/>
  <c r="J1034" i="24" l="1"/>
  <c r="K1034" i="24" s="1"/>
  <c r="A1035" i="24"/>
  <c r="L1034" i="24"/>
  <c r="M1034" i="24" s="1"/>
  <c r="N1034" i="24"/>
  <c r="O1034" i="24" s="1"/>
  <c r="F1034" i="24"/>
  <c r="G1034" i="24" s="1"/>
  <c r="R1034" i="24"/>
  <c r="S1034" i="24" s="1"/>
  <c r="B1034" i="24"/>
  <c r="C1034" i="24" s="1"/>
  <c r="V1034" i="24"/>
  <c r="W1034" i="24" s="1"/>
  <c r="H1034" i="24"/>
  <c r="I1034" i="24" s="1"/>
  <c r="T1034" i="24"/>
  <c r="U1034" i="24" s="1"/>
  <c r="D1034" i="24"/>
  <c r="E1034" i="24" s="1"/>
  <c r="P1034" i="24"/>
  <c r="Q1034" i="24" s="1"/>
  <c r="J846" i="37"/>
  <c r="I846" i="37"/>
  <c r="C846" i="37"/>
  <c r="D846" i="37"/>
  <c r="O845" i="37"/>
  <c r="P845" i="37"/>
  <c r="L846" i="37"/>
  <c r="M846" i="37"/>
  <c r="G846" i="37"/>
  <c r="F846" i="37"/>
  <c r="R845" i="37"/>
  <c r="S845" i="37"/>
  <c r="J1035" i="24" l="1"/>
  <c r="K1035" i="24" s="1"/>
  <c r="R1035" i="24"/>
  <c r="S1035" i="24" s="1"/>
  <c r="F1035" i="24"/>
  <c r="G1035" i="24" s="1"/>
  <c r="N1035" i="24"/>
  <c r="O1035" i="24" s="1"/>
  <c r="B1035" i="24"/>
  <c r="C1035" i="24" s="1"/>
  <c r="V1035" i="24"/>
  <c r="W1035" i="24" s="1"/>
  <c r="T1035" i="24"/>
  <c r="U1035" i="24" s="1"/>
  <c r="P1035" i="24"/>
  <c r="Q1035" i="24" s="1"/>
  <c r="A1036" i="24"/>
  <c r="H1035" i="24"/>
  <c r="I1035" i="24" s="1"/>
  <c r="L1035" i="24"/>
  <c r="M1035" i="24" s="1"/>
  <c r="D1035" i="24"/>
  <c r="E1035" i="24" s="1"/>
  <c r="J847" i="37"/>
  <c r="I847" i="37"/>
  <c r="D847" i="37"/>
  <c r="C847" i="37"/>
  <c r="P846" i="37"/>
  <c r="O846" i="37"/>
  <c r="M847" i="37"/>
  <c r="L847" i="37"/>
  <c r="S846" i="37"/>
  <c r="R846" i="37"/>
  <c r="F847" i="37"/>
  <c r="G847" i="37"/>
  <c r="B1036" i="24" l="1"/>
  <c r="C1036" i="24" s="1"/>
  <c r="J1036" i="24"/>
  <c r="K1036" i="24" s="1"/>
  <c r="N1036" i="24"/>
  <c r="O1036" i="24" s="1"/>
  <c r="R1036" i="24"/>
  <c r="S1036" i="24" s="1"/>
  <c r="V1036" i="24"/>
  <c r="W1036" i="24" s="1"/>
  <c r="T1036" i="24"/>
  <c r="U1036" i="24" s="1"/>
  <c r="H1036" i="24"/>
  <c r="I1036" i="24" s="1"/>
  <c r="A1037" i="24"/>
  <c r="F1036" i="24"/>
  <c r="G1036" i="24" s="1"/>
  <c r="P1036" i="24"/>
  <c r="Q1036" i="24" s="1"/>
  <c r="L1036" i="24"/>
  <c r="M1036" i="24" s="1"/>
  <c r="D1036" i="24"/>
  <c r="E1036" i="24" s="1"/>
  <c r="I848" i="37"/>
  <c r="J848" i="37"/>
  <c r="D848" i="37"/>
  <c r="C848" i="37"/>
  <c r="P847" i="37"/>
  <c r="O847" i="37"/>
  <c r="S847" i="37"/>
  <c r="R847" i="37"/>
  <c r="M848" i="37"/>
  <c r="L848" i="37"/>
  <c r="G848" i="37"/>
  <c r="F848" i="37"/>
  <c r="B1037" i="24" l="1"/>
  <c r="C1037" i="24" s="1"/>
  <c r="F1037" i="24"/>
  <c r="G1037" i="24" s="1"/>
  <c r="A1038" i="24"/>
  <c r="V1037" i="24"/>
  <c r="W1037" i="24" s="1"/>
  <c r="R1037" i="24"/>
  <c r="S1037" i="24" s="1"/>
  <c r="P1037" i="24"/>
  <c r="Q1037" i="24" s="1"/>
  <c r="D1037" i="24"/>
  <c r="E1037" i="24" s="1"/>
  <c r="N1037" i="24"/>
  <c r="O1037" i="24" s="1"/>
  <c r="J1037" i="24"/>
  <c r="K1037" i="24" s="1"/>
  <c r="L1037" i="24"/>
  <c r="M1037" i="24" s="1"/>
  <c r="H1037" i="24"/>
  <c r="I1037" i="24" s="1"/>
  <c r="T1037" i="24"/>
  <c r="U1037" i="24" s="1"/>
  <c r="J849" i="37"/>
  <c r="I849" i="37"/>
  <c r="C849" i="37"/>
  <c r="D849" i="37"/>
  <c r="O848" i="37"/>
  <c r="P848" i="37"/>
  <c r="S848" i="37"/>
  <c r="R848" i="37"/>
  <c r="L849" i="37"/>
  <c r="M849" i="37"/>
  <c r="G849" i="37"/>
  <c r="F849" i="37"/>
  <c r="P1038" i="24" l="1"/>
  <c r="Q1038" i="24" s="1"/>
  <c r="F1038" i="24"/>
  <c r="G1038" i="24" s="1"/>
  <c r="T1038" i="24"/>
  <c r="U1038" i="24" s="1"/>
  <c r="H1038" i="24"/>
  <c r="I1038" i="24" s="1"/>
  <c r="J1038" i="24"/>
  <c r="K1038" i="24" s="1"/>
  <c r="R1038" i="24"/>
  <c r="S1038" i="24" s="1"/>
  <c r="A1039" i="24"/>
  <c r="V1038" i="24"/>
  <c r="W1038" i="24" s="1"/>
  <c r="N1038" i="24"/>
  <c r="O1038" i="24" s="1"/>
  <c r="D1038" i="24"/>
  <c r="E1038" i="24" s="1"/>
  <c r="L1038" i="24"/>
  <c r="M1038" i="24" s="1"/>
  <c r="B1038" i="24"/>
  <c r="C1038" i="24" s="1"/>
  <c r="J850" i="37"/>
  <c r="I850" i="37"/>
  <c r="D850" i="37"/>
  <c r="C850" i="37"/>
  <c r="P849" i="37"/>
  <c r="O849" i="37"/>
  <c r="L850" i="37"/>
  <c r="M850" i="37"/>
  <c r="S849" i="37"/>
  <c r="R849" i="37"/>
  <c r="G850" i="37"/>
  <c r="F850" i="37"/>
  <c r="J1039" i="24" l="1"/>
  <c r="K1039" i="24" s="1"/>
  <c r="V1039" i="24"/>
  <c r="W1039" i="24" s="1"/>
  <c r="R1039" i="24"/>
  <c r="S1039" i="24" s="1"/>
  <c r="B1039" i="24"/>
  <c r="C1039" i="24" s="1"/>
  <c r="L1039" i="24"/>
  <c r="M1039" i="24" s="1"/>
  <c r="F1039" i="24"/>
  <c r="G1039" i="24" s="1"/>
  <c r="T1039" i="24"/>
  <c r="U1039" i="24" s="1"/>
  <c r="P1039" i="24"/>
  <c r="Q1039" i="24" s="1"/>
  <c r="N1039" i="24"/>
  <c r="O1039" i="24" s="1"/>
  <c r="A1040" i="24"/>
  <c r="D1039" i="24"/>
  <c r="E1039" i="24" s="1"/>
  <c r="H1039" i="24"/>
  <c r="I1039" i="24" s="1"/>
  <c r="I851" i="37"/>
  <c r="J851" i="37"/>
  <c r="D851" i="37"/>
  <c r="C851" i="37"/>
  <c r="O850" i="37"/>
  <c r="P850" i="37"/>
  <c r="G851" i="37"/>
  <c r="F851" i="37"/>
  <c r="S850" i="37"/>
  <c r="R850" i="37"/>
  <c r="L851" i="37"/>
  <c r="M851" i="37"/>
  <c r="H1040" i="24" l="1"/>
  <c r="I1040" i="24" s="1"/>
  <c r="F1040" i="24"/>
  <c r="G1040" i="24" s="1"/>
  <c r="N1040" i="24"/>
  <c r="O1040" i="24" s="1"/>
  <c r="L1040" i="24"/>
  <c r="M1040" i="24" s="1"/>
  <c r="B1040" i="24"/>
  <c r="C1040" i="24" s="1"/>
  <c r="D1040" i="24"/>
  <c r="E1040" i="24" s="1"/>
  <c r="T1040" i="24"/>
  <c r="U1040" i="24" s="1"/>
  <c r="V1040" i="24"/>
  <c r="W1040" i="24" s="1"/>
  <c r="A1041" i="24"/>
  <c r="P1040" i="24"/>
  <c r="Q1040" i="24" s="1"/>
  <c r="R1040" i="24"/>
  <c r="S1040" i="24" s="1"/>
  <c r="J1040" i="24"/>
  <c r="K1040" i="24" s="1"/>
  <c r="J852" i="37"/>
  <c r="I852" i="37"/>
  <c r="D852" i="37"/>
  <c r="C852" i="37"/>
  <c r="O851" i="37"/>
  <c r="P851" i="37"/>
  <c r="R851" i="37"/>
  <c r="S851" i="37"/>
  <c r="G852" i="37"/>
  <c r="F852" i="37"/>
  <c r="L852" i="37"/>
  <c r="M852" i="37"/>
  <c r="B1041" i="24" l="1"/>
  <c r="C1041" i="24" s="1"/>
  <c r="J1041" i="24"/>
  <c r="K1041" i="24" s="1"/>
  <c r="D1041" i="24"/>
  <c r="E1041" i="24" s="1"/>
  <c r="T1041" i="24"/>
  <c r="U1041" i="24" s="1"/>
  <c r="F1041" i="24"/>
  <c r="G1041" i="24" s="1"/>
  <c r="L1041" i="24"/>
  <c r="M1041" i="24" s="1"/>
  <c r="A1042" i="24"/>
  <c r="R1041" i="24"/>
  <c r="S1041" i="24" s="1"/>
  <c r="V1041" i="24"/>
  <c r="W1041" i="24" s="1"/>
  <c r="N1041" i="24"/>
  <c r="O1041" i="24" s="1"/>
  <c r="H1041" i="24"/>
  <c r="I1041" i="24" s="1"/>
  <c r="P1041" i="24"/>
  <c r="Q1041" i="24" s="1"/>
  <c r="I853" i="37"/>
  <c r="J853" i="37"/>
  <c r="D853" i="37"/>
  <c r="C853" i="37"/>
  <c r="P852" i="37"/>
  <c r="O852" i="37"/>
  <c r="G853" i="37"/>
  <c r="F853" i="37"/>
  <c r="M853" i="37"/>
  <c r="L853" i="37"/>
  <c r="S852" i="37"/>
  <c r="R852" i="37"/>
  <c r="B1042" i="24" l="1"/>
  <c r="C1042" i="24" s="1"/>
  <c r="R1042" i="24"/>
  <c r="S1042" i="24" s="1"/>
  <c r="H1042" i="24"/>
  <c r="I1042" i="24" s="1"/>
  <c r="F1042" i="24"/>
  <c r="G1042" i="24" s="1"/>
  <c r="T1042" i="24"/>
  <c r="U1042" i="24" s="1"/>
  <c r="P1042" i="24"/>
  <c r="Q1042" i="24" s="1"/>
  <c r="A1043" i="24"/>
  <c r="V1042" i="24"/>
  <c r="W1042" i="24" s="1"/>
  <c r="J1042" i="24"/>
  <c r="K1042" i="24" s="1"/>
  <c r="L1042" i="24"/>
  <c r="M1042" i="24" s="1"/>
  <c r="D1042" i="24"/>
  <c r="E1042" i="24" s="1"/>
  <c r="N1042" i="24"/>
  <c r="O1042" i="24" s="1"/>
  <c r="I854" i="37"/>
  <c r="J854" i="37"/>
  <c r="D854" i="37"/>
  <c r="C854" i="37"/>
  <c r="P853" i="37"/>
  <c r="O853" i="37"/>
  <c r="M854" i="37"/>
  <c r="L854" i="37"/>
  <c r="G854" i="37"/>
  <c r="F854" i="37"/>
  <c r="R853" i="37"/>
  <c r="S853" i="37"/>
  <c r="J1043" i="24" l="1"/>
  <c r="K1043" i="24" s="1"/>
  <c r="D1043" i="24"/>
  <c r="E1043" i="24" s="1"/>
  <c r="P1043" i="24"/>
  <c r="Q1043" i="24" s="1"/>
  <c r="V1043" i="24"/>
  <c r="W1043" i="24" s="1"/>
  <c r="R1043" i="24"/>
  <c r="S1043" i="24" s="1"/>
  <c r="L1043" i="24"/>
  <c r="M1043" i="24" s="1"/>
  <c r="T1043" i="24"/>
  <c r="U1043" i="24" s="1"/>
  <c r="B1043" i="24"/>
  <c r="C1043" i="24" s="1"/>
  <c r="A1044" i="24"/>
  <c r="F1043" i="24"/>
  <c r="G1043" i="24" s="1"/>
  <c r="H1043" i="24"/>
  <c r="I1043" i="24" s="1"/>
  <c r="N1043" i="24"/>
  <c r="O1043" i="24" s="1"/>
  <c r="J855" i="37"/>
  <c r="I855" i="37"/>
  <c r="D855" i="37"/>
  <c r="C855" i="37"/>
  <c r="P854" i="37"/>
  <c r="O854" i="37"/>
  <c r="M855" i="37"/>
  <c r="L855" i="37"/>
  <c r="S854" i="37"/>
  <c r="R854" i="37"/>
  <c r="G855" i="37"/>
  <c r="F855" i="37"/>
  <c r="N1044" i="24" l="1"/>
  <c r="O1044" i="24" s="1"/>
  <c r="T1044" i="24"/>
  <c r="U1044" i="24" s="1"/>
  <c r="H1044" i="24"/>
  <c r="I1044" i="24" s="1"/>
  <c r="A1045" i="24"/>
  <c r="J1044" i="24"/>
  <c r="K1044" i="24" s="1"/>
  <c r="R1044" i="24"/>
  <c r="S1044" i="24" s="1"/>
  <c r="F1044" i="24"/>
  <c r="G1044" i="24" s="1"/>
  <c r="L1044" i="24"/>
  <c r="M1044" i="24" s="1"/>
  <c r="V1044" i="24"/>
  <c r="W1044" i="24" s="1"/>
  <c r="D1044" i="24"/>
  <c r="E1044" i="24" s="1"/>
  <c r="B1044" i="24"/>
  <c r="C1044" i="24" s="1"/>
  <c r="P1044" i="24"/>
  <c r="Q1044" i="24" s="1"/>
  <c r="J856" i="37"/>
  <c r="I856" i="37"/>
  <c r="D856" i="37"/>
  <c r="C856" i="37"/>
  <c r="P855" i="37"/>
  <c r="O855" i="37"/>
  <c r="M856" i="37"/>
  <c r="L856" i="37"/>
  <c r="R855" i="37"/>
  <c r="S855" i="37"/>
  <c r="F856" i="37"/>
  <c r="G856" i="37"/>
  <c r="B1045" i="24" l="1"/>
  <c r="C1045" i="24" s="1"/>
  <c r="P1045" i="24"/>
  <c r="Q1045" i="24" s="1"/>
  <c r="V1045" i="24"/>
  <c r="W1045" i="24" s="1"/>
  <c r="F1045" i="24"/>
  <c r="G1045" i="24" s="1"/>
  <c r="N1045" i="24"/>
  <c r="O1045" i="24" s="1"/>
  <c r="T1045" i="24"/>
  <c r="U1045" i="24" s="1"/>
  <c r="A1046" i="24"/>
  <c r="J1045" i="24"/>
  <c r="K1045" i="24" s="1"/>
  <c r="L1045" i="24"/>
  <c r="M1045" i="24" s="1"/>
  <c r="H1045" i="24"/>
  <c r="I1045" i="24" s="1"/>
  <c r="D1045" i="24"/>
  <c r="E1045" i="24" s="1"/>
  <c r="R1045" i="24"/>
  <c r="S1045" i="24" s="1"/>
  <c r="J857" i="37"/>
  <c r="I857" i="37"/>
  <c r="D857" i="37"/>
  <c r="C857" i="37"/>
  <c r="P856" i="37"/>
  <c r="O856" i="37"/>
  <c r="S856" i="37"/>
  <c r="R856" i="37"/>
  <c r="G857" i="37"/>
  <c r="F857" i="37"/>
  <c r="L857" i="37"/>
  <c r="M857" i="37"/>
  <c r="F1046" i="24" l="1"/>
  <c r="G1046" i="24" s="1"/>
  <c r="D1046" i="24"/>
  <c r="E1046" i="24" s="1"/>
  <c r="V1046" i="24"/>
  <c r="W1046" i="24" s="1"/>
  <c r="R1046" i="24"/>
  <c r="S1046" i="24" s="1"/>
  <c r="T1046" i="24"/>
  <c r="U1046" i="24" s="1"/>
  <c r="J1046" i="24"/>
  <c r="K1046" i="24" s="1"/>
  <c r="A1047" i="24"/>
  <c r="H1046" i="24"/>
  <c r="I1046" i="24" s="1"/>
  <c r="N1046" i="24"/>
  <c r="O1046" i="24" s="1"/>
  <c r="P1046" i="24"/>
  <c r="Q1046" i="24" s="1"/>
  <c r="B1046" i="24"/>
  <c r="C1046" i="24" s="1"/>
  <c r="L1046" i="24"/>
  <c r="M1046" i="24" s="1"/>
  <c r="I858" i="37"/>
  <c r="J858" i="37"/>
  <c r="D858" i="37"/>
  <c r="C858" i="37"/>
  <c r="P857" i="37"/>
  <c r="O857" i="37"/>
  <c r="G858" i="37"/>
  <c r="F858" i="37"/>
  <c r="S857" i="37"/>
  <c r="R857" i="37"/>
  <c r="M858" i="37"/>
  <c r="L858" i="37"/>
  <c r="J1047" i="24" l="1"/>
  <c r="K1047" i="24" s="1"/>
  <c r="H1047" i="24"/>
  <c r="I1047" i="24" s="1"/>
  <c r="T1047" i="24"/>
  <c r="U1047" i="24" s="1"/>
  <c r="B1047" i="24"/>
  <c r="C1047" i="24" s="1"/>
  <c r="A1048" i="24"/>
  <c r="R1047" i="24"/>
  <c r="S1047" i="24" s="1"/>
  <c r="P1047" i="24"/>
  <c r="Q1047" i="24" s="1"/>
  <c r="F1047" i="24"/>
  <c r="G1047" i="24" s="1"/>
  <c r="L1047" i="24"/>
  <c r="M1047" i="24" s="1"/>
  <c r="V1047" i="24"/>
  <c r="W1047" i="24" s="1"/>
  <c r="N1047" i="24"/>
  <c r="O1047" i="24" s="1"/>
  <c r="D1047" i="24"/>
  <c r="E1047" i="24" s="1"/>
  <c r="J859" i="37"/>
  <c r="I859" i="37"/>
  <c r="D859" i="37"/>
  <c r="C859" i="37"/>
  <c r="O858" i="37"/>
  <c r="P858" i="37"/>
  <c r="R858" i="37"/>
  <c r="S858" i="37"/>
  <c r="M859" i="37"/>
  <c r="L859" i="37"/>
  <c r="G859" i="37"/>
  <c r="F859" i="37"/>
  <c r="R1048" i="24" l="1"/>
  <c r="S1048" i="24" s="1"/>
  <c r="V1048" i="24"/>
  <c r="W1048" i="24" s="1"/>
  <c r="B1048" i="24"/>
  <c r="C1048" i="24" s="1"/>
  <c r="T1048" i="24"/>
  <c r="U1048" i="24" s="1"/>
  <c r="P1048" i="24"/>
  <c r="Q1048" i="24" s="1"/>
  <c r="A1049" i="24"/>
  <c r="F1048" i="24"/>
  <c r="G1048" i="24" s="1"/>
  <c r="N1048" i="24"/>
  <c r="O1048" i="24" s="1"/>
  <c r="L1048" i="24"/>
  <c r="M1048" i="24" s="1"/>
  <c r="D1048" i="24"/>
  <c r="E1048" i="24" s="1"/>
  <c r="H1048" i="24"/>
  <c r="I1048" i="24" s="1"/>
  <c r="J1048" i="24"/>
  <c r="K1048" i="24" s="1"/>
  <c r="J860" i="37"/>
  <c r="I860" i="37"/>
  <c r="D860" i="37"/>
  <c r="C860" i="37"/>
  <c r="P859" i="37"/>
  <c r="O859" i="37"/>
  <c r="G860" i="37"/>
  <c r="F860" i="37"/>
  <c r="M860" i="37"/>
  <c r="L860" i="37"/>
  <c r="S859" i="37"/>
  <c r="R859" i="37"/>
  <c r="B1049" i="24" l="1"/>
  <c r="C1049" i="24" s="1"/>
  <c r="V1049" i="24"/>
  <c r="W1049" i="24" s="1"/>
  <c r="H1049" i="24"/>
  <c r="I1049" i="24" s="1"/>
  <c r="F1049" i="24"/>
  <c r="G1049" i="24" s="1"/>
  <c r="D1049" i="24"/>
  <c r="E1049" i="24" s="1"/>
  <c r="T1049" i="24"/>
  <c r="U1049" i="24" s="1"/>
  <c r="A1050" i="24"/>
  <c r="R1049" i="24"/>
  <c r="S1049" i="24" s="1"/>
  <c r="N1049" i="24"/>
  <c r="O1049" i="24" s="1"/>
  <c r="J1049" i="24"/>
  <c r="K1049" i="24" s="1"/>
  <c r="L1049" i="24"/>
  <c r="M1049" i="24" s="1"/>
  <c r="P1049" i="24"/>
  <c r="Q1049" i="24" s="1"/>
  <c r="I861" i="37"/>
  <c r="J861" i="37"/>
  <c r="D861" i="37"/>
  <c r="C861" i="37"/>
  <c r="O860" i="37"/>
  <c r="P860" i="37"/>
  <c r="S860" i="37"/>
  <c r="R860" i="37"/>
  <c r="F861" i="37"/>
  <c r="G861" i="37"/>
  <c r="M861" i="37"/>
  <c r="L861" i="37"/>
  <c r="J1050" i="24" l="1"/>
  <c r="K1050" i="24" s="1"/>
  <c r="A1051" i="24"/>
  <c r="B1050" i="24"/>
  <c r="C1050" i="24" s="1"/>
  <c r="N1050" i="24"/>
  <c r="O1050" i="24" s="1"/>
  <c r="P1050" i="24"/>
  <c r="Q1050" i="24" s="1"/>
  <c r="T1050" i="24"/>
  <c r="U1050" i="24" s="1"/>
  <c r="D1050" i="24"/>
  <c r="E1050" i="24" s="1"/>
  <c r="F1050" i="24"/>
  <c r="G1050" i="24" s="1"/>
  <c r="L1050" i="24"/>
  <c r="M1050" i="24" s="1"/>
  <c r="H1050" i="24"/>
  <c r="I1050" i="24" s="1"/>
  <c r="R1050" i="24"/>
  <c r="S1050" i="24" s="1"/>
  <c r="V1050" i="24"/>
  <c r="W1050" i="24" s="1"/>
  <c r="J862" i="37"/>
  <c r="I862" i="37"/>
  <c r="C862" i="37"/>
  <c r="D862" i="37"/>
  <c r="P861" i="37"/>
  <c r="O861" i="37"/>
  <c r="S861" i="37"/>
  <c r="R861" i="37"/>
  <c r="G862" i="37"/>
  <c r="F862" i="37"/>
  <c r="M862" i="37"/>
  <c r="L862" i="37"/>
  <c r="J1051" i="24" l="1"/>
  <c r="F1051" i="24"/>
  <c r="G1051" i="24" s="1"/>
  <c r="V1051" i="24"/>
  <c r="W1051" i="24" s="1"/>
  <c r="B1051" i="24"/>
  <c r="C1051" i="24" s="1"/>
  <c r="T1051" i="24"/>
  <c r="U1051" i="24" s="1"/>
  <c r="A1052" i="24"/>
  <c r="P1051" i="24"/>
  <c r="Q1051" i="24" s="1"/>
  <c r="L1051" i="24"/>
  <c r="M1051" i="24" s="1"/>
  <c r="H1051" i="24"/>
  <c r="I1051" i="24" s="1"/>
  <c r="N1051" i="24"/>
  <c r="O1051" i="24" s="1"/>
  <c r="R1051" i="24"/>
  <c r="S1051" i="24" s="1"/>
  <c r="D1051" i="24"/>
  <c r="E1051" i="24" s="1"/>
  <c r="K1051" i="24"/>
  <c r="J863" i="37"/>
  <c r="I863" i="37"/>
  <c r="C863" i="37"/>
  <c r="D863" i="37"/>
  <c r="P862" i="37"/>
  <c r="O862" i="37"/>
  <c r="S862" i="37"/>
  <c r="R862" i="37"/>
  <c r="M863" i="37"/>
  <c r="L863" i="37"/>
  <c r="F863" i="37"/>
  <c r="G863" i="37"/>
  <c r="D1052" i="24" l="1"/>
  <c r="E1052" i="24" s="1"/>
  <c r="J1052" i="24"/>
  <c r="K1052" i="24" s="1"/>
  <c r="N1052" i="24"/>
  <c r="O1052" i="24" s="1"/>
  <c r="T1052" i="24"/>
  <c r="U1052" i="24" s="1"/>
  <c r="V1052" i="24"/>
  <c r="W1052" i="24" s="1"/>
  <c r="A1053" i="24"/>
  <c r="F1052" i="24"/>
  <c r="G1052" i="24" s="1"/>
  <c r="L1052" i="24"/>
  <c r="M1052" i="24" s="1"/>
  <c r="H1052" i="24"/>
  <c r="I1052" i="24" s="1"/>
  <c r="R1052" i="24"/>
  <c r="S1052" i="24" s="1"/>
  <c r="B1052" i="24"/>
  <c r="C1052" i="24" s="1"/>
  <c r="P1052" i="24"/>
  <c r="Q1052" i="24" s="1"/>
  <c r="J864" i="37"/>
  <c r="I864" i="37"/>
  <c r="D864" i="37"/>
  <c r="C864" i="37"/>
  <c r="O863" i="37"/>
  <c r="P863" i="37"/>
  <c r="R863" i="37"/>
  <c r="S863" i="37"/>
  <c r="M864" i="37"/>
  <c r="L864" i="37"/>
  <c r="G864" i="37"/>
  <c r="F864" i="37"/>
  <c r="B1053" i="24" l="1"/>
  <c r="C1053" i="24" s="1"/>
  <c r="V1053" i="24"/>
  <c r="W1053" i="24" s="1"/>
  <c r="A1054" i="24"/>
  <c r="J1053" i="24"/>
  <c r="K1053" i="24" s="1"/>
  <c r="R1053" i="24"/>
  <c r="S1053" i="24" s="1"/>
  <c r="T1053" i="24"/>
  <c r="U1053" i="24" s="1"/>
  <c r="H1053" i="24"/>
  <c r="I1053" i="24" s="1"/>
  <c r="F1053" i="24"/>
  <c r="G1053" i="24" s="1"/>
  <c r="P1053" i="24"/>
  <c r="Q1053" i="24" s="1"/>
  <c r="L1053" i="24"/>
  <c r="M1053" i="24" s="1"/>
  <c r="N1053" i="24"/>
  <c r="O1053" i="24" s="1"/>
  <c r="D1053" i="24"/>
  <c r="E1053" i="24" s="1"/>
  <c r="I865" i="37"/>
  <c r="J865" i="37"/>
  <c r="C865" i="37"/>
  <c r="D865" i="37"/>
  <c r="P864" i="37"/>
  <c r="O864" i="37"/>
  <c r="G865" i="37"/>
  <c r="F865" i="37"/>
  <c r="L865" i="37"/>
  <c r="M865" i="37"/>
  <c r="R864" i="37"/>
  <c r="S864" i="37"/>
  <c r="P1054" i="24" l="1"/>
  <c r="Q1054" i="24" s="1"/>
  <c r="R1054" i="24"/>
  <c r="S1054" i="24" s="1"/>
  <c r="T1054" i="24"/>
  <c r="U1054" i="24" s="1"/>
  <c r="B1054" i="24"/>
  <c r="C1054" i="24" s="1"/>
  <c r="A1055" i="24"/>
  <c r="N1054" i="24"/>
  <c r="O1054" i="24" s="1"/>
  <c r="D1054" i="24"/>
  <c r="E1054" i="24" s="1"/>
  <c r="J1054" i="24"/>
  <c r="K1054" i="24" s="1"/>
  <c r="F1054" i="24"/>
  <c r="G1054" i="24" s="1"/>
  <c r="V1054" i="24"/>
  <c r="W1054" i="24" s="1"/>
  <c r="L1054" i="24"/>
  <c r="M1054" i="24" s="1"/>
  <c r="H1054" i="24"/>
  <c r="I1054" i="24" s="1"/>
  <c r="J866" i="37"/>
  <c r="I866" i="37"/>
  <c r="D866" i="37"/>
  <c r="C866" i="37"/>
  <c r="P865" i="37"/>
  <c r="O865" i="37"/>
  <c r="S865" i="37"/>
  <c r="R865" i="37"/>
  <c r="M866" i="37"/>
  <c r="L866" i="37"/>
  <c r="F866" i="37"/>
  <c r="G866" i="37"/>
  <c r="J1055" i="24" l="1"/>
  <c r="K1055" i="24" s="1"/>
  <c r="L1055" i="24"/>
  <c r="M1055" i="24" s="1"/>
  <c r="R1055" i="24"/>
  <c r="S1055" i="24" s="1"/>
  <c r="D1055" i="24"/>
  <c r="E1055" i="24" s="1"/>
  <c r="T1055" i="24"/>
  <c r="U1055" i="24" s="1"/>
  <c r="A1056" i="24"/>
  <c r="P1055" i="24"/>
  <c r="Q1055" i="24" s="1"/>
  <c r="F1055" i="24"/>
  <c r="G1055" i="24" s="1"/>
  <c r="H1055" i="24"/>
  <c r="I1055" i="24" s="1"/>
  <c r="B1055" i="24"/>
  <c r="C1055" i="24" s="1"/>
  <c r="V1055" i="24"/>
  <c r="W1055" i="24" s="1"/>
  <c r="N1055" i="24"/>
  <c r="O1055" i="24" s="1"/>
  <c r="J867" i="37"/>
  <c r="I867" i="37"/>
  <c r="D867" i="37"/>
  <c r="C867" i="37"/>
  <c r="O866" i="37"/>
  <c r="P866" i="37"/>
  <c r="M867" i="37"/>
  <c r="L867" i="37"/>
  <c r="R866" i="37"/>
  <c r="S866" i="37"/>
  <c r="F867" i="37"/>
  <c r="G867" i="37"/>
  <c r="B1056" i="24" l="1"/>
  <c r="C1056" i="24" s="1"/>
  <c r="F1056" i="24"/>
  <c r="G1056" i="24" s="1"/>
  <c r="H1056" i="24"/>
  <c r="I1056" i="24" s="1"/>
  <c r="L1056" i="24"/>
  <c r="M1056" i="24" s="1"/>
  <c r="T1056" i="24"/>
  <c r="U1056" i="24" s="1"/>
  <c r="A1057" i="24"/>
  <c r="P1056" i="24"/>
  <c r="Q1056" i="24" s="1"/>
  <c r="V1056" i="24"/>
  <c r="W1056" i="24" s="1"/>
  <c r="R1056" i="24"/>
  <c r="S1056" i="24" s="1"/>
  <c r="D1056" i="24"/>
  <c r="E1056" i="24" s="1"/>
  <c r="J1056" i="24"/>
  <c r="K1056" i="24" s="1"/>
  <c r="N1056" i="24"/>
  <c r="O1056" i="24" s="1"/>
  <c r="J868" i="37"/>
  <c r="I868" i="37"/>
  <c r="D868" i="37"/>
  <c r="C868" i="37"/>
  <c r="P867" i="37"/>
  <c r="O867" i="37"/>
  <c r="G868" i="37"/>
  <c r="F868" i="37"/>
  <c r="L868" i="37"/>
  <c r="M868" i="37"/>
  <c r="R867" i="37"/>
  <c r="S867" i="37"/>
  <c r="B1057" i="24" l="1"/>
  <c r="C1057" i="24" s="1"/>
  <c r="N1057" i="24"/>
  <c r="O1057" i="24" s="1"/>
  <c r="L1057" i="24"/>
  <c r="M1057" i="24" s="1"/>
  <c r="T1057" i="24"/>
  <c r="U1057" i="24" s="1"/>
  <c r="F1057" i="24"/>
  <c r="G1057" i="24" s="1"/>
  <c r="A1058" i="24"/>
  <c r="R1057" i="24"/>
  <c r="S1057" i="24" s="1"/>
  <c r="H1057" i="24"/>
  <c r="I1057" i="24" s="1"/>
  <c r="P1057" i="24"/>
  <c r="Q1057" i="24" s="1"/>
  <c r="D1057" i="24"/>
  <c r="E1057" i="24" s="1"/>
  <c r="V1057" i="24"/>
  <c r="W1057" i="24" s="1"/>
  <c r="J1057" i="24"/>
  <c r="K1057" i="24" s="1"/>
  <c r="J869" i="37"/>
  <c r="I869" i="37"/>
  <c r="D869" i="37"/>
  <c r="C869" i="37"/>
  <c r="O868" i="37"/>
  <c r="P868" i="37"/>
  <c r="G869" i="37"/>
  <c r="F869" i="37"/>
  <c r="M869" i="37"/>
  <c r="L869" i="37"/>
  <c r="S868" i="37"/>
  <c r="R868" i="37"/>
  <c r="P1058" i="24" l="1"/>
  <c r="Q1058" i="24" s="1"/>
  <c r="R1058" i="24"/>
  <c r="S1058" i="24" s="1"/>
  <c r="B1058" i="24"/>
  <c r="C1058" i="24" s="1"/>
  <c r="A1059" i="24"/>
  <c r="N1058" i="24"/>
  <c r="O1058" i="24" s="1"/>
  <c r="D1058" i="24"/>
  <c r="E1058" i="24" s="1"/>
  <c r="H1058" i="24"/>
  <c r="I1058" i="24" s="1"/>
  <c r="J1058" i="24"/>
  <c r="K1058" i="24" s="1"/>
  <c r="V1058" i="24"/>
  <c r="W1058" i="24" s="1"/>
  <c r="F1058" i="24"/>
  <c r="G1058" i="24" s="1"/>
  <c r="L1058" i="24"/>
  <c r="M1058" i="24" s="1"/>
  <c r="T1058" i="24"/>
  <c r="U1058" i="24" s="1"/>
  <c r="J870" i="37"/>
  <c r="I870" i="37"/>
  <c r="C870" i="37"/>
  <c r="D870" i="37"/>
  <c r="O869" i="37"/>
  <c r="P869" i="37"/>
  <c r="L870" i="37"/>
  <c r="M870" i="37"/>
  <c r="G870" i="37"/>
  <c r="F870" i="37"/>
  <c r="S869" i="37"/>
  <c r="R869" i="37"/>
  <c r="J1059" i="24" l="1"/>
  <c r="K1059" i="24" s="1"/>
  <c r="F1059" i="24"/>
  <c r="G1059" i="24" s="1"/>
  <c r="P1059" i="24"/>
  <c r="Q1059" i="24" s="1"/>
  <c r="V1059" i="24"/>
  <c r="W1059" i="24" s="1"/>
  <c r="T1059" i="24"/>
  <c r="U1059" i="24" s="1"/>
  <c r="A1060" i="24"/>
  <c r="B1059" i="24"/>
  <c r="C1059" i="24" s="1"/>
  <c r="H1059" i="24"/>
  <c r="I1059" i="24" s="1"/>
  <c r="N1059" i="24"/>
  <c r="O1059" i="24" s="1"/>
  <c r="D1059" i="24"/>
  <c r="E1059" i="24" s="1"/>
  <c r="L1059" i="24"/>
  <c r="M1059" i="24" s="1"/>
  <c r="R1059" i="24"/>
  <c r="S1059" i="24" s="1"/>
  <c r="J871" i="37"/>
  <c r="I871" i="37"/>
  <c r="D871" i="37"/>
  <c r="C871" i="37"/>
  <c r="P870" i="37"/>
  <c r="O870" i="37"/>
  <c r="F871" i="37"/>
  <c r="G871" i="37"/>
  <c r="L871" i="37"/>
  <c r="M871" i="37"/>
  <c r="S870" i="37"/>
  <c r="R870" i="37"/>
  <c r="H1060" i="24" l="1"/>
  <c r="I1060" i="24" s="1"/>
  <c r="T1060" i="24"/>
  <c r="U1060" i="24" s="1"/>
  <c r="R1060" i="24"/>
  <c r="S1060" i="24" s="1"/>
  <c r="A1061" i="24"/>
  <c r="D1060" i="24"/>
  <c r="E1060" i="24" s="1"/>
  <c r="F1060" i="24"/>
  <c r="G1060" i="24" s="1"/>
  <c r="L1060" i="24"/>
  <c r="M1060" i="24" s="1"/>
  <c r="V1060" i="24"/>
  <c r="W1060" i="24" s="1"/>
  <c r="B1060" i="24"/>
  <c r="C1060" i="24" s="1"/>
  <c r="J1060" i="24"/>
  <c r="K1060" i="24" s="1"/>
  <c r="N1060" i="24"/>
  <c r="O1060" i="24" s="1"/>
  <c r="P1060" i="24"/>
  <c r="Q1060" i="24" s="1"/>
  <c r="J872" i="37"/>
  <c r="I872" i="37"/>
  <c r="D872" i="37"/>
  <c r="C872" i="37"/>
  <c r="P871" i="37"/>
  <c r="O871" i="37"/>
  <c r="S871" i="37"/>
  <c r="R871" i="37"/>
  <c r="G872" i="37"/>
  <c r="F872" i="37"/>
  <c r="M872" i="37"/>
  <c r="L872" i="37"/>
  <c r="B1061" i="24" l="1"/>
  <c r="C1061" i="24" s="1"/>
  <c r="L1061" i="24"/>
  <c r="M1061" i="24" s="1"/>
  <c r="N1061" i="24"/>
  <c r="O1061" i="24" s="1"/>
  <c r="P1061" i="24"/>
  <c r="Q1061" i="24" s="1"/>
  <c r="A1062" i="24"/>
  <c r="R1061" i="24"/>
  <c r="S1061" i="24" s="1"/>
  <c r="H1061" i="24"/>
  <c r="I1061" i="24" s="1"/>
  <c r="V1061" i="24"/>
  <c r="W1061" i="24" s="1"/>
  <c r="T1061" i="24"/>
  <c r="U1061" i="24" s="1"/>
  <c r="D1061" i="24"/>
  <c r="E1061" i="24" s="1"/>
  <c r="F1061" i="24"/>
  <c r="G1061" i="24" s="1"/>
  <c r="J1061" i="24"/>
  <c r="K1061" i="24" s="1"/>
  <c r="J873" i="37"/>
  <c r="I873" i="37"/>
  <c r="C873" i="37"/>
  <c r="D873" i="37"/>
  <c r="P872" i="37"/>
  <c r="O872" i="37"/>
  <c r="R872" i="37"/>
  <c r="S872" i="37"/>
  <c r="G873" i="37"/>
  <c r="F873" i="37"/>
  <c r="M873" i="37"/>
  <c r="L873" i="37"/>
  <c r="F1062" i="24" l="1"/>
  <c r="G1062" i="24" s="1"/>
  <c r="D1062" i="24"/>
  <c r="E1062" i="24" s="1"/>
  <c r="V1062" i="24"/>
  <c r="W1062" i="24" s="1"/>
  <c r="A1063" i="24"/>
  <c r="N1062" i="24"/>
  <c r="O1062" i="24" s="1"/>
  <c r="B1062" i="24"/>
  <c r="C1062" i="24" s="1"/>
  <c r="T1062" i="24"/>
  <c r="U1062" i="24" s="1"/>
  <c r="L1062" i="24"/>
  <c r="M1062" i="24" s="1"/>
  <c r="J1062" i="24"/>
  <c r="K1062" i="24" s="1"/>
  <c r="R1062" i="24"/>
  <c r="S1062" i="24" s="1"/>
  <c r="H1062" i="24"/>
  <c r="I1062" i="24" s="1"/>
  <c r="P1062" i="24"/>
  <c r="Q1062" i="24" s="1"/>
  <c r="J874" i="37"/>
  <c r="I874" i="37"/>
  <c r="C874" i="37"/>
  <c r="D874" i="37"/>
  <c r="O873" i="37"/>
  <c r="P873" i="37"/>
  <c r="G874" i="37"/>
  <c r="F874" i="37"/>
  <c r="M874" i="37"/>
  <c r="L874" i="37"/>
  <c r="S873" i="37"/>
  <c r="R873" i="37"/>
  <c r="J1063" i="24" l="1"/>
  <c r="K1063" i="24" s="1"/>
  <c r="V1063" i="24"/>
  <c r="W1063" i="24" s="1"/>
  <c r="T1063" i="24"/>
  <c r="U1063" i="24" s="1"/>
  <c r="R1063" i="24"/>
  <c r="S1063" i="24" s="1"/>
  <c r="A1064" i="24"/>
  <c r="L1063" i="24"/>
  <c r="M1063" i="24" s="1"/>
  <c r="P1063" i="24"/>
  <c r="Q1063" i="24" s="1"/>
  <c r="D1063" i="24"/>
  <c r="E1063" i="24" s="1"/>
  <c r="F1063" i="24"/>
  <c r="G1063" i="24" s="1"/>
  <c r="H1063" i="24"/>
  <c r="I1063" i="24" s="1"/>
  <c r="N1063" i="24"/>
  <c r="O1063" i="24" s="1"/>
  <c r="B1063" i="24"/>
  <c r="C1063" i="24" s="1"/>
  <c r="J875" i="37"/>
  <c r="I875" i="37"/>
  <c r="C875" i="37"/>
  <c r="D875" i="37"/>
  <c r="P874" i="37"/>
  <c r="O874" i="37"/>
  <c r="S874" i="37"/>
  <c r="R874" i="37"/>
  <c r="G875" i="37"/>
  <c r="F875" i="37"/>
  <c r="M875" i="37"/>
  <c r="L875" i="37"/>
  <c r="N1064" i="24" l="1"/>
  <c r="O1064" i="24" s="1"/>
  <c r="P1064" i="24"/>
  <c r="Q1064" i="24" s="1"/>
  <c r="V1064" i="24"/>
  <c r="W1064" i="24" s="1"/>
  <c r="F1064" i="24"/>
  <c r="G1064" i="24" s="1"/>
  <c r="L1064" i="24"/>
  <c r="M1064" i="24" s="1"/>
  <c r="D1064" i="24"/>
  <c r="E1064" i="24" s="1"/>
  <c r="H1064" i="24"/>
  <c r="I1064" i="24" s="1"/>
  <c r="T1064" i="24"/>
  <c r="U1064" i="24" s="1"/>
  <c r="A1065" i="24"/>
  <c r="R1064" i="24"/>
  <c r="S1064" i="24" s="1"/>
  <c r="B1064" i="24"/>
  <c r="C1064" i="24" s="1"/>
  <c r="J1064" i="24"/>
  <c r="K1064" i="24" s="1"/>
  <c r="J876" i="37"/>
  <c r="I876" i="37"/>
  <c r="D876" i="37"/>
  <c r="C876" i="37"/>
  <c r="O875" i="37"/>
  <c r="P875" i="37"/>
  <c r="S875" i="37"/>
  <c r="R875" i="37"/>
  <c r="M876" i="37"/>
  <c r="L876" i="37"/>
  <c r="G876" i="37"/>
  <c r="F876" i="37"/>
  <c r="B1065" i="24" l="1"/>
  <c r="C1065" i="24" s="1"/>
  <c r="N1065" i="24"/>
  <c r="O1065" i="24" s="1"/>
  <c r="H1065" i="24"/>
  <c r="I1065" i="24" s="1"/>
  <c r="F1065" i="24"/>
  <c r="G1065" i="24" s="1"/>
  <c r="A1066" i="24"/>
  <c r="R1065" i="24"/>
  <c r="S1065" i="24" s="1"/>
  <c r="J1065" i="24"/>
  <c r="K1065" i="24" s="1"/>
  <c r="T1065" i="24"/>
  <c r="U1065" i="24" s="1"/>
  <c r="V1065" i="24"/>
  <c r="W1065" i="24" s="1"/>
  <c r="P1065" i="24"/>
  <c r="Q1065" i="24" s="1"/>
  <c r="D1065" i="24"/>
  <c r="E1065" i="24" s="1"/>
  <c r="L1065" i="24"/>
  <c r="M1065" i="24" s="1"/>
  <c r="J877" i="37"/>
  <c r="I877" i="37"/>
  <c r="D877" i="37"/>
  <c r="C877" i="37"/>
  <c r="O876" i="37"/>
  <c r="P876" i="37"/>
  <c r="L877" i="37"/>
  <c r="M877" i="37"/>
  <c r="F877" i="37"/>
  <c r="G877" i="37"/>
  <c r="S876" i="37"/>
  <c r="R876" i="37"/>
  <c r="J1066" i="24" l="1"/>
  <c r="K1066" i="24" s="1"/>
  <c r="A1067" i="24"/>
  <c r="R1066" i="24"/>
  <c r="S1066" i="24" s="1"/>
  <c r="N1066" i="24"/>
  <c r="O1066" i="24" s="1"/>
  <c r="F1066" i="24"/>
  <c r="G1066" i="24" s="1"/>
  <c r="D1066" i="24"/>
  <c r="E1066" i="24" s="1"/>
  <c r="V1066" i="24"/>
  <c r="W1066" i="24" s="1"/>
  <c r="H1066" i="24"/>
  <c r="I1066" i="24" s="1"/>
  <c r="P1066" i="24"/>
  <c r="Q1066" i="24" s="1"/>
  <c r="T1066" i="24"/>
  <c r="U1066" i="24" s="1"/>
  <c r="B1066" i="24"/>
  <c r="C1066" i="24" s="1"/>
  <c r="L1066" i="24"/>
  <c r="M1066" i="24" s="1"/>
  <c r="J878" i="37"/>
  <c r="I878" i="37"/>
  <c r="D878" i="37"/>
  <c r="C878" i="37"/>
  <c r="P877" i="37"/>
  <c r="O877" i="37"/>
  <c r="S877" i="37"/>
  <c r="R877" i="37"/>
  <c r="G878" i="37"/>
  <c r="F878" i="37"/>
  <c r="M878" i="37"/>
  <c r="L878" i="37"/>
  <c r="J1067" i="24" l="1"/>
  <c r="K1067" i="24" s="1"/>
  <c r="D1067" i="24"/>
  <c r="E1067" i="24" s="1"/>
  <c r="N1067" i="24"/>
  <c r="O1067" i="24" s="1"/>
  <c r="V1067" i="24"/>
  <c r="W1067" i="24" s="1"/>
  <c r="P1067" i="24"/>
  <c r="Q1067" i="24" s="1"/>
  <c r="H1067" i="24"/>
  <c r="I1067" i="24" s="1"/>
  <c r="L1067" i="24"/>
  <c r="M1067" i="24" s="1"/>
  <c r="T1067" i="24"/>
  <c r="U1067" i="24" s="1"/>
  <c r="B1067" i="24"/>
  <c r="C1067" i="24" s="1"/>
  <c r="R1067" i="24"/>
  <c r="S1067" i="24" s="1"/>
  <c r="A1068" i="24"/>
  <c r="F1067" i="24"/>
  <c r="G1067" i="24" s="1"/>
  <c r="J879" i="37"/>
  <c r="I879" i="37"/>
  <c r="C879" i="37"/>
  <c r="D879" i="37"/>
  <c r="O878" i="37"/>
  <c r="P878" i="37"/>
  <c r="G879" i="37"/>
  <c r="F879" i="37"/>
  <c r="S878" i="37"/>
  <c r="R878" i="37"/>
  <c r="M879" i="37"/>
  <c r="L879" i="37"/>
  <c r="R1068" i="24" l="1"/>
  <c r="S1068" i="24" s="1"/>
  <c r="J1068" i="24"/>
  <c r="K1068" i="24" s="1"/>
  <c r="N1068" i="24"/>
  <c r="O1068" i="24" s="1"/>
  <c r="F1068" i="24"/>
  <c r="G1068" i="24" s="1"/>
  <c r="L1068" i="24"/>
  <c r="M1068" i="24" s="1"/>
  <c r="V1068" i="24"/>
  <c r="W1068" i="24" s="1"/>
  <c r="B1068" i="24"/>
  <c r="C1068" i="24" s="1"/>
  <c r="D1068" i="24"/>
  <c r="E1068" i="24" s="1"/>
  <c r="P1068" i="24"/>
  <c r="Q1068" i="24" s="1"/>
  <c r="H1068" i="24"/>
  <c r="I1068" i="24" s="1"/>
  <c r="A1069" i="24"/>
  <c r="T1068" i="24"/>
  <c r="U1068" i="24" s="1"/>
  <c r="J880" i="37"/>
  <c r="I880" i="37"/>
  <c r="C880" i="37"/>
  <c r="D880" i="37"/>
  <c r="P879" i="37"/>
  <c r="O879" i="37"/>
  <c r="M880" i="37"/>
  <c r="L880" i="37"/>
  <c r="S879" i="37"/>
  <c r="R879" i="37"/>
  <c r="F880" i="37"/>
  <c r="G880" i="37"/>
  <c r="B1069" i="24" l="1"/>
  <c r="C1069" i="24" s="1"/>
  <c r="D1069" i="24"/>
  <c r="E1069" i="24" s="1"/>
  <c r="A1070" i="24"/>
  <c r="V1069" i="24"/>
  <c r="W1069" i="24" s="1"/>
  <c r="R1069" i="24"/>
  <c r="S1069" i="24" s="1"/>
  <c r="H1069" i="24"/>
  <c r="I1069" i="24" s="1"/>
  <c r="L1069" i="24"/>
  <c r="M1069" i="24" s="1"/>
  <c r="N1069" i="24"/>
  <c r="O1069" i="24" s="1"/>
  <c r="T1069" i="24"/>
  <c r="U1069" i="24" s="1"/>
  <c r="F1069" i="24"/>
  <c r="G1069" i="24" s="1"/>
  <c r="J1069" i="24"/>
  <c r="K1069" i="24" s="1"/>
  <c r="P1069" i="24"/>
  <c r="Q1069" i="24" s="1"/>
  <c r="I881" i="37"/>
  <c r="J881" i="37"/>
  <c r="C881" i="37"/>
  <c r="D881" i="37"/>
  <c r="P880" i="37"/>
  <c r="O880" i="37"/>
  <c r="L881" i="37"/>
  <c r="M881" i="37"/>
  <c r="G881" i="37"/>
  <c r="F881" i="37"/>
  <c r="R880" i="37"/>
  <c r="S880" i="37"/>
  <c r="P1070" i="24" l="1"/>
  <c r="Q1070" i="24" s="1"/>
  <c r="H1070" i="24"/>
  <c r="I1070" i="24" s="1"/>
  <c r="T1070" i="24"/>
  <c r="U1070" i="24" s="1"/>
  <c r="R1070" i="24"/>
  <c r="S1070" i="24" s="1"/>
  <c r="D1070" i="24"/>
  <c r="E1070" i="24" s="1"/>
  <c r="V1070" i="24"/>
  <c r="W1070" i="24" s="1"/>
  <c r="L1070" i="24"/>
  <c r="M1070" i="24" s="1"/>
  <c r="A1071" i="24"/>
  <c r="N1070" i="24"/>
  <c r="O1070" i="24" s="1"/>
  <c r="J1070" i="24"/>
  <c r="K1070" i="24" s="1"/>
  <c r="F1070" i="24"/>
  <c r="G1070" i="24" s="1"/>
  <c r="B1070" i="24"/>
  <c r="C1070" i="24" s="1"/>
  <c r="J882" i="37"/>
  <c r="I882" i="37"/>
  <c r="D882" i="37"/>
  <c r="C882" i="37"/>
  <c r="P881" i="37"/>
  <c r="O881" i="37"/>
  <c r="G882" i="37"/>
  <c r="F882" i="37"/>
  <c r="S881" i="37"/>
  <c r="R881" i="37"/>
  <c r="M882" i="37"/>
  <c r="L882" i="37"/>
  <c r="J1071" i="24" l="1"/>
  <c r="K1071" i="24" s="1"/>
  <c r="F1071" i="24"/>
  <c r="G1071" i="24" s="1"/>
  <c r="R1071" i="24"/>
  <c r="S1071" i="24" s="1"/>
  <c r="L1071" i="24"/>
  <c r="M1071" i="24" s="1"/>
  <c r="P1071" i="24"/>
  <c r="Q1071" i="24" s="1"/>
  <c r="N1071" i="24"/>
  <c r="O1071" i="24" s="1"/>
  <c r="V1071" i="24"/>
  <c r="W1071" i="24" s="1"/>
  <c r="D1071" i="24"/>
  <c r="E1071" i="24" s="1"/>
  <c r="H1071" i="24"/>
  <c r="I1071" i="24" s="1"/>
  <c r="A1072" i="24"/>
  <c r="B1071" i="24"/>
  <c r="C1071" i="24" s="1"/>
  <c r="T1071" i="24"/>
  <c r="U1071" i="24" s="1"/>
  <c r="J883" i="37"/>
  <c r="I883" i="37"/>
  <c r="C883" i="37"/>
  <c r="D883" i="37"/>
  <c r="O882" i="37"/>
  <c r="P882" i="37"/>
  <c r="M883" i="37"/>
  <c r="L883" i="37"/>
  <c r="F883" i="37"/>
  <c r="G883" i="37"/>
  <c r="R882" i="37"/>
  <c r="S882" i="37"/>
  <c r="D1072" i="24" l="1"/>
  <c r="E1072" i="24" s="1"/>
  <c r="F1072" i="24"/>
  <c r="G1072" i="24" s="1"/>
  <c r="B1072" i="24"/>
  <c r="C1072" i="24" s="1"/>
  <c r="L1072" i="24"/>
  <c r="M1072" i="24" s="1"/>
  <c r="P1072" i="24"/>
  <c r="Q1072" i="24" s="1"/>
  <c r="R1072" i="24"/>
  <c r="S1072" i="24" s="1"/>
  <c r="H1072" i="24"/>
  <c r="I1072" i="24" s="1"/>
  <c r="J1072" i="24"/>
  <c r="K1072" i="24" s="1"/>
  <c r="T1072" i="24"/>
  <c r="U1072" i="24" s="1"/>
  <c r="A1073" i="24"/>
  <c r="N1072" i="24"/>
  <c r="O1072" i="24" s="1"/>
  <c r="V1072" i="24"/>
  <c r="W1072" i="24" s="1"/>
  <c r="J884" i="37"/>
  <c r="I884" i="37"/>
  <c r="D884" i="37"/>
  <c r="C884" i="37"/>
  <c r="O883" i="37"/>
  <c r="P883" i="37"/>
  <c r="S883" i="37"/>
  <c r="R883" i="37"/>
  <c r="M884" i="37"/>
  <c r="L884" i="37"/>
  <c r="G884" i="37"/>
  <c r="F884" i="37"/>
  <c r="B1073" i="24" l="1"/>
  <c r="C1073" i="24" s="1"/>
  <c r="N1073" i="24"/>
  <c r="O1073" i="24" s="1"/>
  <c r="F1073" i="24"/>
  <c r="G1073" i="24" s="1"/>
  <c r="T1073" i="24"/>
  <c r="U1073" i="24" s="1"/>
  <c r="L1073" i="24"/>
  <c r="M1073" i="24" s="1"/>
  <c r="H1073" i="24"/>
  <c r="I1073" i="24" s="1"/>
  <c r="P1073" i="24"/>
  <c r="Q1073" i="24" s="1"/>
  <c r="V1073" i="24"/>
  <c r="W1073" i="24" s="1"/>
  <c r="R1073" i="24"/>
  <c r="S1073" i="24" s="1"/>
  <c r="D1073" i="24"/>
  <c r="E1073" i="24" s="1"/>
  <c r="A1074" i="24"/>
  <c r="J1073" i="24"/>
  <c r="K1073" i="24" s="1"/>
  <c r="J885" i="37"/>
  <c r="I885" i="37"/>
  <c r="D885" i="37"/>
  <c r="C885" i="37"/>
  <c r="O884" i="37"/>
  <c r="P884" i="37"/>
  <c r="M885" i="37"/>
  <c r="L885" i="37"/>
  <c r="F885" i="37"/>
  <c r="G885" i="37"/>
  <c r="R884" i="37"/>
  <c r="S884" i="37"/>
  <c r="J1074" i="24" l="1"/>
  <c r="K1074" i="24" s="1"/>
  <c r="R1074" i="24"/>
  <c r="S1074" i="24" s="1"/>
  <c r="L1074" i="24"/>
  <c r="M1074" i="24" s="1"/>
  <c r="D1074" i="24"/>
  <c r="E1074" i="24" s="1"/>
  <c r="V1074" i="24"/>
  <c r="W1074" i="24" s="1"/>
  <c r="B1074" i="24"/>
  <c r="C1074" i="24" s="1"/>
  <c r="P1074" i="24"/>
  <c r="Q1074" i="24" s="1"/>
  <c r="A1075" i="24"/>
  <c r="T1074" i="24"/>
  <c r="U1074" i="24" s="1"/>
  <c r="N1074" i="24"/>
  <c r="O1074" i="24" s="1"/>
  <c r="F1074" i="24"/>
  <c r="G1074" i="24" s="1"/>
  <c r="H1074" i="24"/>
  <c r="I1074" i="24" s="1"/>
  <c r="J886" i="37"/>
  <c r="I886" i="37"/>
  <c r="C886" i="37"/>
  <c r="D886" i="37"/>
  <c r="P885" i="37"/>
  <c r="O885" i="37"/>
  <c r="S885" i="37"/>
  <c r="R885" i="37"/>
  <c r="M886" i="37"/>
  <c r="L886" i="37"/>
  <c r="G886" i="37"/>
  <c r="F886" i="37"/>
  <c r="J1075" i="24" l="1"/>
  <c r="K1075" i="24" s="1"/>
  <c r="L1075" i="24"/>
  <c r="M1075" i="24" s="1"/>
  <c r="P1075" i="24"/>
  <c r="Q1075" i="24" s="1"/>
  <c r="V1075" i="24"/>
  <c r="W1075" i="24" s="1"/>
  <c r="B1075" i="24"/>
  <c r="C1075" i="24" s="1"/>
  <c r="R1075" i="24"/>
  <c r="S1075" i="24" s="1"/>
  <c r="D1075" i="24"/>
  <c r="E1075" i="24" s="1"/>
  <c r="T1075" i="24"/>
  <c r="U1075" i="24" s="1"/>
  <c r="H1075" i="24"/>
  <c r="I1075" i="24" s="1"/>
  <c r="F1075" i="24"/>
  <c r="G1075" i="24" s="1"/>
  <c r="A1076" i="24"/>
  <c r="N1075" i="24"/>
  <c r="O1075" i="24" s="1"/>
  <c r="I887" i="37"/>
  <c r="J887" i="37"/>
  <c r="D887" i="37"/>
  <c r="C887" i="37"/>
  <c r="P886" i="37"/>
  <c r="O886" i="37"/>
  <c r="R886" i="37"/>
  <c r="S886" i="37"/>
  <c r="F887" i="37"/>
  <c r="G887" i="37"/>
  <c r="L887" i="37"/>
  <c r="M887" i="37"/>
  <c r="D1076" i="24" l="1"/>
  <c r="E1076" i="24" s="1"/>
  <c r="T1076" i="24"/>
  <c r="U1076" i="24" s="1"/>
  <c r="P1076" i="24"/>
  <c r="Q1076" i="24" s="1"/>
  <c r="A1077" i="24"/>
  <c r="H1076" i="24"/>
  <c r="I1076" i="24" s="1"/>
  <c r="V1076" i="24"/>
  <c r="W1076" i="24" s="1"/>
  <c r="B1076" i="24"/>
  <c r="C1076" i="24" s="1"/>
  <c r="J1076" i="24"/>
  <c r="K1076" i="24" s="1"/>
  <c r="N1076" i="24"/>
  <c r="O1076" i="24" s="1"/>
  <c r="R1076" i="24"/>
  <c r="S1076" i="24" s="1"/>
  <c r="L1076" i="24"/>
  <c r="M1076" i="24" s="1"/>
  <c r="F1076" i="24"/>
  <c r="G1076" i="24" s="1"/>
  <c r="I888" i="37"/>
  <c r="J888" i="37"/>
  <c r="C888" i="37"/>
  <c r="D888" i="37"/>
  <c r="P887" i="37"/>
  <c r="O887" i="37"/>
  <c r="G888" i="37"/>
  <c r="F888" i="37"/>
  <c r="R887" i="37"/>
  <c r="S887" i="37"/>
  <c r="M888" i="37"/>
  <c r="L888" i="37"/>
  <c r="B1077" i="24" l="1"/>
  <c r="C1077" i="24" s="1"/>
  <c r="F1077" i="24"/>
  <c r="G1077" i="24" s="1"/>
  <c r="J1077" i="24"/>
  <c r="K1077" i="24" s="1"/>
  <c r="L1077" i="24"/>
  <c r="M1077" i="24" s="1"/>
  <c r="H1077" i="24"/>
  <c r="I1077" i="24" s="1"/>
  <c r="D1077" i="24"/>
  <c r="E1077" i="24" s="1"/>
  <c r="P1077" i="24"/>
  <c r="Q1077" i="24" s="1"/>
  <c r="R1077" i="24"/>
  <c r="S1077" i="24" s="1"/>
  <c r="T1077" i="24"/>
  <c r="U1077" i="24" s="1"/>
  <c r="A1078" i="24"/>
  <c r="V1077" i="24"/>
  <c r="W1077" i="24" s="1"/>
  <c r="N1077" i="24"/>
  <c r="O1077" i="24" s="1"/>
  <c r="I889" i="37"/>
  <c r="J889" i="37"/>
  <c r="C889" i="37"/>
  <c r="D889" i="37"/>
  <c r="O888" i="37"/>
  <c r="P888" i="37"/>
  <c r="G889" i="37"/>
  <c r="F889" i="37"/>
  <c r="M889" i="37"/>
  <c r="L889" i="37"/>
  <c r="S888" i="37"/>
  <c r="R888" i="37"/>
  <c r="F1078" i="24" l="1"/>
  <c r="G1078" i="24" s="1"/>
  <c r="D1078" i="24"/>
  <c r="E1078" i="24" s="1"/>
  <c r="V1078" i="24"/>
  <c r="W1078" i="24" s="1"/>
  <c r="B1078" i="24"/>
  <c r="C1078" i="24" s="1"/>
  <c r="P1078" i="24"/>
  <c r="Q1078" i="24" s="1"/>
  <c r="R1078" i="24"/>
  <c r="S1078" i="24" s="1"/>
  <c r="A1079" i="24"/>
  <c r="N1078" i="24"/>
  <c r="O1078" i="24" s="1"/>
  <c r="L1078" i="24"/>
  <c r="M1078" i="24" s="1"/>
  <c r="T1078" i="24"/>
  <c r="U1078" i="24" s="1"/>
  <c r="H1078" i="24"/>
  <c r="I1078" i="24" s="1"/>
  <c r="J1078" i="24"/>
  <c r="K1078" i="24" s="1"/>
  <c r="J890" i="37"/>
  <c r="I890" i="37"/>
  <c r="C890" i="37"/>
  <c r="D890" i="37"/>
  <c r="P889" i="37"/>
  <c r="O889" i="37"/>
  <c r="S889" i="37"/>
  <c r="R889" i="37"/>
  <c r="G890" i="37"/>
  <c r="F890" i="37"/>
  <c r="M890" i="37"/>
  <c r="L890" i="37"/>
  <c r="J1079" i="24" l="1"/>
  <c r="K1079" i="24" s="1"/>
  <c r="R1079" i="24"/>
  <c r="S1079" i="24" s="1"/>
  <c r="T1079" i="24"/>
  <c r="U1079" i="24" s="1"/>
  <c r="N1079" i="24"/>
  <c r="O1079" i="24" s="1"/>
  <c r="A1080" i="24"/>
  <c r="B1079" i="24"/>
  <c r="C1079" i="24" s="1"/>
  <c r="V1079" i="24"/>
  <c r="W1079" i="24" s="1"/>
  <c r="F1079" i="24"/>
  <c r="G1079" i="24" s="1"/>
  <c r="H1079" i="24"/>
  <c r="I1079" i="24" s="1"/>
  <c r="P1079" i="24"/>
  <c r="Q1079" i="24" s="1"/>
  <c r="D1079" i="24"/>
  <c r="E1079" i="24" s="1"/>
  <c r="L1079" i="24"/>
  <c r="M1079" i="24" s="1"/>
  <c r="I891" i="37"/>
  <c r="J891" i="37"/>
  <c r="D891" i="37"/>
  <c r="C891" i="37"/>
  <c r="P890" i="37"/>
  <c r="O890" i="37"/>
  <c r="S890" i="37"/>
  <c r="R890" i="37"/>
  <c r="G891" i="37"/>
  <c r="F891" i="37"/>
  <c r="L891" i="37"/>
  <c r="M891" i="37"/>
  <c r="J1080" i="24" l="1"/>
  <c r="K1080" i="24" s="1"/>
  <c r="N1080" i="24"/>
  <c r="O1080" i="24" s="1"/>
  <c r="H1080" i="24"/>
  <c r="I1080" i="24" s="1"/>
  <c r="D1080" i="24"/>
  <c r="E1080" i="24" s="1"/>
  <c r="B1080" i="24"/>
  <c r="C1080" i="24" s="1"/>
  <c r="P1080" i="24"/>
  <c r="Q1080" i="24" s="1"/>
  <c r="T1080" i="24"/>
  <c r="U1080" i="24" s="1"/>
  <c r="A1081" i="24"/>
  <c r="R1080" i="24"/>
  <c r="S1080" i="24" s="1"/>
  <c r="V1080" i="24"/>
  <c r="W1080" i="24" s="1"/>
  <c r="F1080" i="24"/>
  <c r="G1080" i="24" s="1"/>
  <c r="L1080" i="24"/>
  <c r="M1080" i="24" s="1"/>
  <c r="I892" i="37"/>
  <c r="J892" i="37"/>
  <c r="D892" i="37"/>
  <c r="C892" i="37"/>
  <c r="O891" i="37"/>
  <c r="P891" i="37"/>
  <c r="R891" i="37"/>
  <c r="S891" i="37"/>
  <c r="G892" i="37"/>
  <c r="F892" i="37"/>
  <c r="M892" i="37"/>
  <c r="L892" i="37"/>
  <c r="B1081" i="24" l="1"/>
  <c r="C1081" i="24" s="1"/>
  <c r="V1081" i="24"/>
  <c r="W1081" i="24" s="1"/>
  <c r="H1081" i="24"/>
  <c r="I1081" i="24" s="1"/>
  <c r="F1081" i="24"/>
  <c r="G1081" i="24" s="1"/>
  <c r="D1081" i="24"/>
  <c r="E1081" i="24" s="1"/>
  <c r="J1081" i="24"/>
  <c r="K1081" i="24" s="1"/>
  <c r="N1081" i="24"/>
  <c r="O1081" i="24" s="1"/>
  <c r="R1081" i="24"/>
  <c r="S1081" i="24" s="1"/>
  <c r="P1081" i="24"/>
  <c r="Q1081" i="24" s="1"/>
  <c r="L1081" i="24"/>
  <c r="M1081" i="24" s="1"/>
  <c r="A1082" i="24"/>
  <c r="T1081" i="24"/>
  <c r="U1081" i="24" s="1"/>
  <c r="I893" i="37"/>
  <c r="J893" i="37"/>
  <c r="C893" i="37"/>
  <c r="D893" i="37"/>
  <c r="O892" i="37"/>
  <c r="P892" i="37"/>
  <c r="F893" i="37"/>
  <c r="G893" i="37"/>
  <c r="L893" i="37"/>
  <c r="M893" i="37"/>
  <c r="S892" i="37"/>
  <c r="R892" i="37"/>
  <c r="J1082" i="24" l="1"/>
  <c r="K1082" i="24" s="1"/>
  <c r="A1083" i="24"/>
  <c r="F1082" i="24"/>
  <c r="G1082" i="24" s="1"/>
  <c r="N1082" i="24"/>
  <c r="O1082" i="24" s="1"/>
  <c r="P1082" i="24"/>
  <c r="Q1082" i="24" s="1"/>
  <c r="H1082" i="24"/>
  <c r="I1082" i="24" s="1"/>
  <c r="L1082" i="24"/>
  <c r="M1082" i="24" s="1"/>
  <c r="R1082" i="24"/>
  <c r="S1082" i="24" s="1"/>
  <c r="D1082" i="24"/>
  <c r="E1082" i="24" s="1"/>
  <c r="T1082" i="24"/>
  <c r="U1082" i="24" s="1"/>
  <c r="V1082" i="24"/>
  <c r="W1082" i="24" s="1"/>
  <c r="B1082" i="24"/>
  <c r="C1082" i="24" s="1"/>
  <c r="I894" i="37"/>
  <c r="J894" i="37"/>
  <c r="D894" i="37"/>
  <c r="C894" i="37"/>
  <c r="P893" i="37"/>
  <c r="O893" i="37"/>
  <c r="G894" i="37"/>
  <c r="F894" i="37"/>
  <c r="M894" i="37"/>
  <c r="L894" i="37"/>
  <c r="R893" i="37"/>
  <c r="S893" i="37"/>
  <c r="J1083" i="24" l="1"/>
  <c r="K1083" i="24" s="1"/>
  <c r="L1083" i="24"/>
  <c r="M1083" i="24" s="1"/>
  <c r="B1083" i="24"/>
  <c r="C1083" i="24" s="1"/>
  <c r="D1083" i="24"/>
  <c r="E1083" i="24" s="1"/>
  <c r="N1083" i="24"/>
  <c r="O1083" i="24" s="1"/>
  <c r="R1083" i="24"/>
  <c r="S1083" i="24" s="1"/>
  <c r="F1083" i="24"/>
  <c r="G1083" i="24" s="1"/>
  <c r="A1084" i="24"/>
  <c r="P1083" i="24"/>
  <c r="Q1083" i="24" s="1"/>
  <c r="T1083" i="24"/>
  <c r="U1083" i="24" s="1"/>
  <c r="H1083" i="24"/>
  <c r="I1083" i="24" s="1"/>
  <c r="V1083" i="24"/>
  <c r="W1083" i="24" s="1"/>
  <c r="I895" i="37"/>
  <c r="J895" i="37"/>
  <c r="C895" i="37"/>
  <c r="D895" i="37"/>
  <c r="P894" i="37"/>
  <c r="O894" i="37"/>
  <c r="M895" i="37"/>
  <c r="L895" i="37"/>
  <c r="F895" i="37"/>
  <c r="G895" i="37"/>
  <c r="R894" i="37"/>
  <c r="S894" i="37"/>
  <c r="V1084" i="24" l="1"/>
  <c r="W1084" i="24" s="1"/>
  <c r="J1084" i="24"/>
  <c r="K1084" i="24" s="1"/>
  <c r="R1084" i="24"/>
  <c r="S1084" i="24" s="1"/>
  <c r="B1084" i="24"/>
  <c r="C1084" i="24" s="1"/>
  <c r="D1084" i="24"/>
  <c r="E1084" i="24" s="1"/>
  <c r="H1084" i="24"/>
  <c r="I1084" i="24" s="1"/>
  <c r="N1084" i="24"/>
  <c r="O1084" i="24" s="1"/>
  <c r="P1084" i="24"/>
  <c r="Q1084" i="24" s="1"/>
  <c r="T1084" i="24"/>
  <c r="U1084" i="24" s="1"/>
  <c r="F1084" i="24"/>
  <c r="G1084" i="24" s="1"/>
  <c r="L1084" i="24"/>
  <c r="M1084" i="24" s="1"/>
  <c r="A1085" i="24"/>
  <c r="J896" i="37"/>
  <c r="I896" i="37"/>
  <c r="D896" i="37"/>
  <c r="C896" i="37"/>
  <c r="P895" i="37"/>
  <c r="O895" i="37"/>
  <c r="F896" i="37"/>
  <c r="G896" i="37"/>
  <c r="S895" i="37"/>
  <c r="R895" i="37"/>
  <c r="M896" i="37"/>
  <c r="L896" i="37"/>
  <c r="B1085" i="24" l="1"/>
  <c r="C1085" i="24" s="1"/>
  <c r="P1085" i="24"/>
  <c r="Q1085" i="24" s="1"/>
  <c r="A1086" i="24"/>
  <c r="V1085" i="24"/>
  <c r="W1085" i="24" s="1"/>
  <c r="R1085" i="24"/>
  <c r="S1085" i="24" s="1"/>
  <c r="F1085" i="24"/>
  <c r="G1085" i="24" s="1"/>
  <c r="J1085" i="24"/>
  <c r="K1085" i="24" s="1"/>
  <c r="D1085" i="24"/>
  <c r="E1085" i="24" s="1"/>
  <c r="L1085" i="24"/>
  <c r="M1085" i="24" s="1"/>
  <c r="T1085" i="24"/>
  <c r="U1085" i="24" s="1"/>
  <c r="H1085" i="24"/>
  <c r="I1085" i="24" s="1"/>
  <c r="N1085" i="24"/>
  <c r="O1085" i="24" s="1"/>
  <c r="J897" i="37"/>
  <c r="I897" i="37"/>
  <c r="D897" i="37"/>
  <c r="C897" i="37"/>
  <c r="P896" i="37"/>
  <c r="O896" i="37"/>
  <c r="R896" i="37"/>
  <c r="S896" i="37"/>
  <c r="M897" i="37"/>
  <c r="L897" i="37"/>
  <c r="G897" i="37"/>
  <c r="F897" i="37"/>
  <c r="B1086" i="24" l="1"/>
  <c r="C1086" i="24" s="1"/>
  <c r="J1086" i="24"/>
  <c r="K1086" i="24" s="1"/>
  <c r="T1086" i="24"/>
  <c r="U1086" i="24" s="1"/>
  <c r="P1086" i="24"/>
  <c r="Q1086" i="24" s="1"/>
  <c r="L1086" i="24"/>
  <c r="M1086" i="24" s="1"/>
  <c r="F1086" i="24"/>
  <c r="G1086" i="24" s="1"/>
  <c r="R1086" i="24"/>
  <c r="S1086" i="24" s="1"/>
  <c r="D1086" i="24"/>
  <c r="E1086" i="24" s="1"/>
  <c r="V1086" i="24"/>
  <c r="W1086" i="24" s="1"/>
  <c r="A1087" i="24"/>
  <c r="N1086" i="24"/>
  <c r="O1086" i="24" s="1"/>
  <c r="H1086" i="24"/>
  <c r="I1086" i="24" s="1"/>
  <c r="J898" i="37"/>
  <c r="I898" i="37"/>
  <c r="D898" i="37"/>
  <c r="C898" i="37"/>
  <c r="O897" i="37"/>
  <c r="P897" i="37"/>
  <c r="G898" i="37"/>
  <c r="F898" i="37"/>
  <c r="L898" i="37"/>
  <c r="M898" i="37"/>
  <c r="S897" i="37"/>
  <c r="R897" i="37"/>
  <c r="J1087" i="24" l="1"/>
  <c r="K1087" i="24" s="1"/>
  <c r="D1087" i="24"/>
  <c r="E1087" i="24" s="1"/>
  <c r="F1087" i="24"/>
  <c r="G1087" i="24" s="1"/>
  <c r="H1087" i="24"/>
  <c r="I1087" i="24" s="1"/>
  <c r="R1087" i="24"/>
  <c r="S1087" i="24" s="1"/>
  <c r="V1087" i="24"/>
  <c r="W1087" i="24" s="1"/>
  <c r="B1087" i="24"/>
  <c r="C1087" i="24" s="1"/>
  <c r="A1088" i="24"/>
  <c r="T1087" i="24"/>
  <c r="U1087" i="24" s="1"/>
  <c r="P1087" i="24"/>
  <c r="Q1087" i="24" s="1"/>
  <c r="N1087" i="24"/>
  <c r="O1087" i="24" s="1"/>
  <c r="L1087" i="24"/>
  <c r="M1087" i="24" s="1"/>
  <c r="I899" i="37"/>
  <c r="J899" i="37"/>
  <c r="D899" i="37"/>
  <c r="C899" i="37"/>
  <c r="P898" i="37"/>
  <c r="O898" i="37"/>
  <c r="S898" i="37"/>
  <c r="R898" i="37"/>
  <c r="M899" i="37"/>
  <c r="L899" i="37"/>
  <c r="G899" i="37"/>
  <c r="F899" i="37"/>
  <c r="N1088" i="24" l="1"/>
  <c r="O1088" i="24" s="1"/>
  <c r="F1088" i="24"/>
  <c r="G1088" i="24" s="1"/>
  <c r="R1088" i="24"/>
  <c r="S1088" i="24" s="1"/>
  <c r="L1088" i="24"/>
  <c r="M1088" i="24" s="1"/>
  <c r="V1088" i="24"/>
  <c r="W1088" i="24" s="1"/>
  <c r="B1088" i="24"/>
  <c r="C1088" i="24" s="1"/>
  <c r="D1088" i="24"/>
  <c r="E1088" i="24" s="1"/>
  <c r="T1088" i="24"/>
  <c r="U1088" i="24" s="1"/>
  <c r="A1089" i="24"/>
  <c r="H1088" i="24"/>
  <c r="I1088" i="24" s="1"/>
  <c r="J1088" i="24"/>
  <c r="K1088" i="24" s="1"/>
  <c r="P1088" i="24"/>
  <c r="Q1088" i="24" s="1"/>
  <c r="J900" i="37"/>
  <c r="I900" i="37"/>
  <c r="D900" i="37"/>
  <c r="C900" i="37"/>
  <c r="O899" i="37"/>
  <c r="P899" i="37"/>
  <c r="S899" i="37"/>
  <c r="R899" i="37"/>
  <c r="L900" i="37"/>
  <c r="M900" i="37"/>
  <c r="F900" i="37"/>
  <c r="G900" i="37"/>
  <c r="B1089" i="24" l="1"/>
  <c r="C1089" i="24" s="1"/>
  <c r="J1089" i="24"/>
  <c r="K1089" i="24" s="1"/>
  <c r="D1089" i="24"/>
  <c r="E1089" i="24" s="1"/>
  <c r="T1089" i="24"/>
  <c r="U1089" i="24" s="1"/>
  <c r="F1089" i="24"/>
  <c r="G1089" i="24" s="1"/>
  <c r="N1089" i="24"/>
  <c r="O1089" i="24" s="1"/>
  <c r="V1089" i="24"/>
  <c r="W1089" i="24" s="1"/>
  <c r="L1089" i="24"/>
  <c r="M1089" i="24" s="1"/>
  <c r="P1089" i="24"/>
  <c r="Q1089" i="24" s="1"/>
  <c r="H1089" i="24"/>
  <c r="I1089" i="24" s="1"/>
  <c r="R1089" i="24"/>
  <c r="S1089" i="24" s="1"/>
  <c r="A1090" i="24"/>
  <c r="I901" i="37"/>
  <c r="J901" i="37"/>
  <c r="D901" i="37"/>
  <c r="C901" i="37"/>
  <c r="P900" i="37"/>
  <c r="O900" i="37"/>
  <c r="F901" i="37"/>
  <c r="G901" i="37"/>
  <c r="R900" i="37"/>
  <c r="S900" i="37"/>
  <c r="L901" i="37"/>
  <c r="M901" i="37"/>
  <c r="F1090" i="24" l="1"/>
  <c r="G1090" i="24" s="1"/>
  <c r="R1090" i="24"/>
  <c r="S1090" i="24" s="1"/>
  <c r="H1090" i="24"/>
  <c r="I1090" i="24" s="1"/>
  <c r="B1090" i="24"/>
  <c r="C1090" i="24" s="1"/>
  <c r="J1090" i="24"/>
  <c r="K1090" i="24" s="1"/>
  <c r="L1090" i="24"/>
  <c r="M1090" i="24" s="1"/>
  <c r="T1090" i="24"/>
  <c r="U1090" i="24" s="1"/>
  <c r="D1090" i="24"/>
  <c r="E1090" i="24" s="1"/>
  <c r="A1091" i="24"/>
  <c r="N1090" i="24"/>
  <c r="O1090" i="24" s="1"/>
  <c r="V1090" i="24"/>
  <c r="W1090" i="24" s="1"/>
  <c r="P1090" i="24"/>
  <c r="Q1090" i="24" s="1"/>
  <c r="J902" i="37"/>
  <c r="I902" i="37"/>
  <c r="D902" i="37"/>
  <c r="C902" i="37"/>
  <c r="P901" i="37"/>
  <c r="O901" i="37"/>
  <c r="L902" i="37"/>
  <c r="M902" i="37"/>
  <c r="R901" i="37"/>
  <c r="S901" i="37"/>
  <c r="G902" i="37"/>
  <c r="F902" i="37"/>
  <c r="J1091" i="24" l="1"/>
  <c r="K1091" i="24" s="1"/>
  <c r="R1091" i="24"/>
  <c r="S1091" i="24" s="1"/>
  <c r="P1091" i="24"/>
  <c r="Q1091" i="24" s="1"/>
  <c r="V1091" i="24"/>
  <c r="W1091" i="24" s="1"/>
  <c r="H1091" i="24"/>
  <c r="I1091" i="24" s="1"/>
  <c r="L1091" i="24"/>
  <c r="M1091" i="24" s="1"/>
  <c r="N1091" i="24"/>
  <c r="O1091" i="24" s="1"/>
  <c r="A1092" i="24"/>
  <c r="B1091" i="24"/>
  <c r="C1091" i="24" s="1"/>
  <c r="F1091" i="24"/>
  <c r="G1091" i="24" s="1"/>
  <c r="T1091" i="24"/>
  <c r="U1091" i="24" s="1"/>
  <c r="D1091" i="24"/>
  <c r="E1091" i="24" s="1"/>
  <c r="I903" i="37"/>
  <c r="J903" i="37"/>
  <c r="D903" i="37"/>
  <c r="C903" i="37"/>
  <c r="P902" i="37"/>
  <c r="O902" i="37"/>
  <c r="R902" i="37"/>
  <c r="S902" i="37"/>
  <c r="G903" i="37"/>
  <c r="F903" i="37"/>
  <c r="L903" i="37"/>
  <c r="M903" i="37"/>
  <c r="L1092" i="24" l="1"/>
  <c r="M1092" i="24" s="1"/>
  <c r="T1092" i="24"/>
  <c r="U1092" i="24" s="1"/>
  <c r="N1092" i="24"/>
  <c r="O1092" i="24" s="1"/>
  <c r="A1093" i="24"/>
  <c r="R1092" i="24"/>
  <c r="S1092" i="24" s="1"/>
  <c r="B1092" i="24"/>
  <c r="C1092" i="24" s="1"/>
  <c r="H1092" i="24"/>
  <c r="I1092" i="24" s="1"/>
  <c r="V1092" i="24"/>
  <c r="W1092" i="24" s="1"/>
  <c r="P1092" i="24"/>
  <c r="Q1092" i="24" s="1"/>
  <c r="D1092" i="24"/>
  <c r="E1092" i="24" s="1"/>
  <c r="F1092" i="24"/>
  <c r="G1092" i="24" s="1"/>
  <c r="J1092" i="24"/>
  <c r="K1092" i="24" s="1"/>
  <c r="J904" i="37"/>
  <c r="I904" i="37"/>
  <c r="C904" i="37"/>
  <c r="D904" i="37"/>
  <c r="O903" i="37"/>
  <c r="P903" i="37"/>
  <c r="F904" i="37"/>
  <c r="G904" i="37"/>
  <c r="M904" i="37"/>
  <c r="L904" i="37"/>
  <c r="S903" i="37"/>
  <c r="R903" i="37"/>
  <c r="L1093" i="24" l="1"/>
  <c r="M1093" i="24" s="1"/>
  <c r="R1093" i="24"/>
  <c r="S1093" i="24" s="1"/>
  <c r="H1093" i="24"/>
  <c r="I1093" i="24" s="1"/>
  <c r="J1093" i="24"/>
  <c r="K1093" i="24" s="1"/>
  <c r="N1093" i="24"/>
  <c r="O1093" i="24" s="1"/>
  <c r="P1093" i="24"/>
  <c r="Q1093" i="24" s="1"/>
  <c r="F1093" i="24"/>
  <c r="G1093" i="24" s="1"/>
  <c r="T1093" i="24"/>
  <c r="U1093" i="24" s="1"/>
  <c r="A1094" i="24"/>
  <c r="D1093" i="24"/>
  <c r="E1093" i="24" s="1"/>
  <c r="B1093" i="24"/>
  <c r="C1093" i="24" s="1"/>
  <c r="V1093" i="24"/>
  <c r="W1093" i="24" s="1"/>
  <c r="I905" i="37"/>
  <c r="J905" i="37"/>
  <c r="C905" i="37"/>
  <c r="D905" i="37"/>
  <c r="P904" i="37"/>
  <c r="O904" i="37"/>
  <c r="L905" i="37"/>
  <c r="M905" i="37"/>
  <c r="R904" i="37"/>
  <c r="S904" i="37"/>
  <c r="G905" i="37"/>
  <c r="F905" i="37"/>
  <c r="F1094" i="24" l="1"/>
  <c r="G1094" i="24" s="1"/>
  <c r="R1094" i="24"/>
  <c r="S1094" i="24" s="1"/>
  <c r="B1094" i="24"/>
  <c r="C1094" i="24" s="1"/>
  <c r="D1094" i="24"/>
  <c r="E1094" i="24" s="1"/>
  <c r="L1094" i="24"/>
  <c r="M1094" i="24" s="1"/>
  <c r="N1094" i="24"/>
  <c r="O1094" i="24" s="1"/>
  <c r="V1094" i="24"/>
  <c r="W1094" i="24" s="1"/>
  <c r="J1094" i="24"/>
  <c r="K1094" i="24" s="1"/>
  <c r="P1094" i="24"/>
  <c r="Q1094" i="24" s="1"/>
  <c r="T1094" i="24"/>
  <c r="U1094" i="24" s="1"/>
  <c r="A1095" i="24"/>
  <c r="H1094" i="24"/>
  <c r="I1094" i="24" s="1"/>
  <c r="J906" i="37"/>
  <c r="I906" i="37"/>
  <c r="C906" i="37"/>
  <c r="D906" i="37"/>
  <c r="O905" i="37"/>
  <c r="P905" i="37"/>
  <c r="S905" i="37"/>
  <c r="R905" i="37"/>
  <c r="G906" i="37"/>
  <c r="F906" i="37"/>
  <c r="L906" i="37"/>
  <c r="M906" i="37"/>
  <c r="D1095" i="24" l="1"/>
  <c r="E1095" i="24" s="1"/>
  <c r="N1095" i="24"/>
  <c r="O1095" i="24" s="1"/>
  <c r="T1095" i="24"/>
  <c r="U1095" i="24" s="1"/>
  <c r="L1095" i="24"/>
  <c r="M1095" i="24" s="1"/>
  <c r="A1096" i="24"/>
  <c r="B1095" i="24"/>
  <c r="C1095" i="24" s="1"/>
  <c r="H1095" i="24"/>
  <c r="I1095" i="24" s="1"/>
  <c r="J1095" i="24"/>
  <c r="K1095" i="24" s="1"/>
  <c r="P1095" i="24"/>
  <c r="Q1095" i="24" s="1"/>
  <c r="V1095" i="24"/>
  <c r="W1095" i="24" s="1"/>
  <c r="R1095" i="24"/>
  <c r="S1095" i="24" s="1"/>
  <c r="F1095" i="24"/>
  <c r="G1095" i="24" s="1"/>
  <c r="J907" i="37"/>
  <c r="I907" i="37"/>
  <c r="D907" i="37"/>
  <c r="C907" i="37"/>
  <c r="O906" i="37"/>
  <c r="P906" i="37"/>
  <c r="G907" i="37"/>
  <c r="F907" i="37"/>
  <c r="R906" i="37"/>
  <c r="S906" i="37"/>
  <c r="M907" i="37"/>
  <c r="L907" i="37"/>
  <c r="F1096" i="24" l="1"/>
  <c r="G1096" i="24" s="1"/>
  <c r="B1096" i="24"/>
  <c r="C1096" i="24" s="1"/>
  <c r="H1096" i="24"/>
  <c r="I1096" i="24" s="1"/>
  <c r="J1096" i="24"/>
  <c r="K1096" i="24" s="1"/>
  <c r="L1096" i="24"/>
  <c r="M1096" i="24" s="1"/>
  <c r="T1096" i="24"/>
  <c r="U1096" i="24" s="1"/>
  <c r="V1096" i="24"/>
  <c r="W1096" i="24" s="1"/>
  <c r="P1096" i="24"/>
  <c r="Q1096" i="24" s="1"/>
  <c r="N1096" i="24"/>
  <c r="O1096" i="24" s="1"/>
  <c r="A1097" i="24"/>
  <c r="R1096" i="24"/>
  <c r="S1096" i="24" s="1"/>
  <c r="D1096" i="24"/>
  <c r="E1096" i="24" s="1"/>
  <c r="J908" i="37"/>
  <c r="I908" i="37"/>
  <c r="D908" i="37"/>
  <c r="C908" i="37"/>
  <c r="P907" i="37"/>
  <c r="O907" i="37"/>
  <c r="S907" i="37"/>
  <c r="R907" i="37"/>
  <c r="G908" i="37"/>
  <c r="F908" i="37"/>
  <c r="L908" i="37"/>
  <c r="M908" i="37"/>
  <c r="L1097" i="24" l="1"/>
  <c r="M1097" i="24" s="1"/>
  <c r="J1097" i="24"/>
  <c r="K1097" i="24" s="1"/>
  <c r="P1097" i="24"/>
  <c r="Q1097" i="24" s="1"/>
  <c r="B1097" i="24"/>
  <c r="C1097" i="24" s="1"/>
  <c r="F1097" i="24"/>
  <c r="G1097" i="24" s="1"/>
  <c r="H1097" i="24"/>
  <c r="I1097" i="24" s="1"/>
  <c r="R1097" i="24"/>
  <c r="S1097" i="24" s="1"/>
  <c r="D1097" i="24"/>
  <c r="E1097" i="24" s="1"/>
  <c r="T1097" i="24"/>
  <c r="U1097" i="24" s="1"/>
  <c r="N1097" i="24"/>
  <c r="O1097" i="24" s="1"/>
  <c r="V1097" i="24"/>
  <c r="W1097" i="24" s="1"/>
  <c r="A1098" i="24"/>
  <c r="J909" i="37"/>
  <c r="I909" i="37"/>
  <c r="C909" i="37"/>
  <c r="D909" i="37"/>
  <c r="P908" i="37"/>
  <c r="O908" i="37"/>
  <c r="F909" i="37"/>
  <c r="G909" i="37"/>
  <c r="R908" i="37"/>
  <c r="S908" i="37"/>
  <c r="L909" i="37"/>
  <c r="M909" i="37"/>
  <c r="B1098" i="24" l="1"/>
  <c r="C1098" i="24" s="1"/>
  <c r="A1099" i="24"/>
  <c r="J1098" i="24"/>
  <c r="K1098" i="24" s="1"/>
  <c r="H1098" i="24"/>
  <c r="I1098" i="24" s="1"/>
  <c r="P1098" i="24"/>
  <c r="Q1098" i="24" s="1"/>
  <c r="D1098" i="24"/>
  <c r="E1098" i="24" s="1"/>
  <c r="F1098" i="24"/>
  <c r="G1098" i="24" s="1"/>
  <c r="T1098" i="24"/>
  <c r="U1098" i="24" s="1"/>
  <c r="R1098" i="24"/>
  <c r="S1098" i="24" s="1"/>
  <c r="L1098" i="24"/>
  <c r="M1098" i="24" s="1"/>
  <c r="N1098" i="24"/>
  <c r="O1098" i="24" s="1"/>
  <c r="V1098" i="24"/>
  <c r="W1098" i="24" s="1"/>
  <c r="I910" i="37"/>
  <c r="J910" i="37"/>
  <c r="D910" i="37"/>
  <c r="C910" i="37"/>
  <c r="O909" i="37"/>
  <c r="P909" i="37"/>
  <c r="M910" i="37"/>
  <c r="L910" i="37"/>
  <c r="S909" i="37"/>
  <c r="R909" i="37"/>
  <c r="F910" i="37"/>
  <c r="G910" i="37"/>
  <c r="D1099" i="24" l="1"/>
  <c r="E1099" i="24" s="1"/>
  <c r="H1099" i="24"/>
  <c r="I1099" i="24" s="1"/>
  <c r="R1099" i="24"/>
  <c r="S1099" i="24" s="1"/>
  <c r="B1099" i="24"/>
  <c r="C1099" i="24" s="1"/>
  <c r="F1099" i="24"/>
  <c r="G1099" i="24" s="1"/>
  <c r="N1099" i="24"/>
  <c r="O1099" i="24" s="1"/>
  <c r="T1099" i="24"/>
  <c r="U1099" i="24" s="1"/>
  <c r="J1099" i="24"/>
  <c r="K1099" i="24" s="1"/>
  <c r="L1099" i="24"/>
  <c r="M1099" i="24" s="1"/>
  <c r="A1100" i="24"/>
  <c r="P1099" i="24"/>
  <c r="Q1099" i="24" s="1"/>
  <c r="V1099" i="24"/>
  <c r="W1099" i="24" s="1"/>
  <c r="J911" i="37"/>
  <c r="I911" i="37"/>
  <c r="C911" i="37"/>
  <c r="D911" i="37"/>
  <c r="P910" i="37"/>
  <c r="O910" i="37"/>
  <c r="S910" i="37"/>
  <c r="R910" i="37"/>
  <c r="M911" i="37"/>
  <c r="L911" i="37"/>
  <c r="G911" i="37"/>
  <c r="F911" i="37"/>
  <c r="R1100" i="24" l="1"/>
  <c r="S1100" i="24" s="1"/>
  <c r="J1100" i="24"/>
  <c r="K1100" i="24" s="1"/>
  <c r="N1100" i="24"/>
  <c r="D1100" i="24"/>
  <c r="E1100" i="24" s="1"/>
  <c r="F1100" i="24"/>
  <c r="G1100" i="24" s="1"/>
  <c r="T1100" i="24"/>
  <c r="U1100" i="24" s="1"/>
  <c r="L1100" i="24"/>
  <c r="M1100" i="24" s="1"/>
  <c r="P1100" i="24"/>
  <c r="Q1100" i="24" s="1"/>
  <c r="A1101" i="24"/>
  <c r="H1100" i="24"/>
  <c r="I1100" i="24" s="1"/>
  <c r="V1100" i="24"/>
  <c r="W1100" i="24" s="1"/>
  <c r="B1100" i="24"/>
  <c r="C1100" i="24" s="1"/>
  <c r="O1100" i="24"/>
  <c r="J912" i="37"/>
  <c r="I912" i="37"/>
  <c r="D912" i="37"/>
  <c r="C912" i="37"/>
  <c r="P911" i="37"/>
  <c r="O911" i="37"/>
  <c r="M912" i="37"/>
  <c r="L912" i="37"/>
  <c r="S911" i="37"/>
  <c r="R911" i="37"/>
  <c r="G912" i="37"/>
  <c r="F912" i="37"/>
  <c r="L1101" i="24" l="1"/>
  <c r="M1101" i="24" s="1"/>
  <c r="R1101" i="24"/>
  <c r="S1101" i="24" s="1"/>
  <c r="A1102" i="24"/>
  <c r="V1101" i="24"/>
  <c r="W1101" i="24" s="1"/>
  <c r="F1101" i="24"/>
  <c r="G1101" i="24" s="1"/>
  <c r="D1101" i="24"/>
  <c r="E1101" i="24" s="1"/>
  <c r="J1101" i="24"/>
  <c r="K1101" i="24" s="1"/>
  <c r="T1101" i="24"/>
  <c r="U1101" i="24" s="1"/>
  <c r="H1101" i="24"/>
  <c r="I1101" i="24" s="1"/>
  <c r="B1101" i="24"/>
  <c r="C1101" i="24" s="1"/>
  <c r="N1101" i="24"/>
  <c r="O1101" i="24" s="1"/>
  <c r="P1101" i="24"/>
  <c r="Q1101" i="24" s="1"/>
  <c r="J913" i="37"/>
  <c r="I913" i="37"/>
  <c r="D913" i="37"/>
  <c r="C913" i="37"/>
  <c r="O912" i="37"/>
  <c r="P912" i="37"/>
  <c r="F913" i="37"/>
  <c r="G913" i="37"/>
  <c r="M913" i="37"/>
  <c r="L913" i="37"/>
  <c r="S912" i="37"/>
  <c r="R912" i="37"/>
  <c r="N1102" i="24" l="1"/>
  <c r="O1102" i="24" s="1"/>
  <c r="R1102" i="24"/>
  <c r="S1102" i="24" s="1"/>
  <c r="T1102" i="24"/>
  <c r="U1102" i="24" s="1"/>
  <c r="V1102" i="24"/>
  <c r="W1102" i="24" s="1"/>
  <c r="B1102" i="24"/>
  <c r="C1102" i="24" s="1"/>
  <c r="J1102" i="24"/>
  <c r="K1102" i="24" s="1"/>
  <c r="A1103" i="24"/>
  <c r="L1102" i="24"/>
  <c r="M1102" i="24" s="1"/>
  <c r="P1102" i="24"/>
  <c r="Q1102" i="24" s="1"/>
  <c r="F1102" i="24"/>
  <c r="G1102" i="24" s="1"/>
  <c r="H1102" i="24"/>
  <c r="I1102" i="24" s="1"/>
  <c r="D1102" i="24"/>
  <c r="E1102" i="24" s="1"/>
  <c r="J914" i="37"/>
  <c r="I914" i="37"/>
  <c r="C914" i="37"/>
  <c r="D914" i="37"/>
  <c r="P913" i="37"/>
  <c r="O913" i="37"/>
  <c r="S913" i="37"/>
  <c r="R913" i="37"/>
  <c r="M914" i="37"/>
  <c r="L914" i="37"/>
  <c r="G914" i="37"/>
  <c r="F914" i="37"/>
  <c r="D1103" i="24" l="1"/>
  <c r="E1103" i="24" s="1"/>
  <c r="P1103" i="24"/>
  <c r="Q1103" i="24" s="1"/>
  <c r="F1103" i="24"/>
  <c r="G1103" i="24" s="1"/>
  <c r="J1103" i="24"/>
  <c r="K1103" i="24" s="1"/>
  <c r="N1103" i="24"/>
  <c r="O1103" i="24" s="1"/>
  <c r="R1103" i="24"/>
  <c r="S1103" i="24" s="1"/>
  <c r="T1103" i="24"/>
  <c r="U1103" i="24" s="1"/>
  <c r="B1103" i="24"/>
  <c r="C1103" i="24" s="1"/>
  <c r="A1104" i="24"/>
  <c r="V1103" i="24"/>
  <c r="W1103" i="24" s="1"/>
  <c r="L1103" i="24"/>
  <c r="M1103" i="24" s="1"/>
  <c r="H1103" i="24"/>
  <c r="I1103" i="24" s="1"/>
  <c r="J915" i="37"/>
  <c r="I915" i="37"/>
  <c r="C915" i="37"/>
  <c r="D915" i="37"/>
  <c r="P914" i="37"/>
  <c r="O914" i="37"/>
  <c r="L915" i="37"/>
  <c r="M915" i="37"/>
  <c r="G915" i="37"/>
  <c r="F915" i="37"/>
  <c r="R914" i="37"/>
  <c r="S914" i="37"/>
  <c r="H1104" i="24" l="1"/>
  <c r="I1104" i="24" s="1"/>
  <c r="P1104" i="24"/>
  <c r="Q1104" i="24" s="1"/>
  <c r="F1104" i="24"/>
  <c r="G1104" i="24" s="1"/>
  <c r="B1104" i="24"/>
  <c r="C1104" i="24" s="1"/>
  <c r="N1104" i="24"/>
  <c r="O1104" i="24" s="1"/>
  <c r="R1104" i="24"/>
  <c r="S1104" i="24" s="1"/>
  <c r="T1104" i="24"/>
  <c r="U1104" i="24" s="1"/>
  <c r="V1104" i="24"/>
  <c r="W1104" i="24" s="1"/>
  <c r="D1104" i="24"/>
  <c r="E1104" i="24" s="1"/>
  <c r="A1105" i="24"/>
  <c r="J1104" i="24"/>
  <c r="K1104" i="24" s="1"/>
  <c r="L1104" i="24"/>
  <c r="M1104" i="24" s="1"/>
  <c r="J916" i="37"/>
  <c r="I916" i="37"/>
  <c r="C916" i="37"/>
  <c r="D916" i="37"/>
  <c r="P915" i="37"/>
  <c r="O915" i="37"/>
  <c r="G916" i="37"/>
  <c r="F916" i="37"/>
  <c r="S915" i="37"/>
  <c r="R915" i="37"/>
  <c r="L916" i="37"/>
  <c r="M916" i="37"/>
  <c r="L1105" i="24" l="1"/>
  <c r="M1105" i="24" s="1"/>
  <c r="N1105" i="24"/>
  <c r="O1105" i="24" s="1"/>
  <c r="D1105" i="24"/>
  <c r="E1105" i="24" s="1"/>
  <c r="T1105" i="24"/>
  <c r="U1105" i="24" s="1"/>
  <c r="J1105" i="24"/>
  <c r="K1105" i="24" s="1"/>
  <c r="P1105" i="24"/>
  <c r="Q1105" i="24" s="1"/>
  <c r="A1106" i="24"/>
  <c r="H1105" i="24"/>
  <c r="I1105" i="24" s="1"/>
  <c r="R1105" i="24"/>
  <c r="S1105" i="24" s="1"/>
  <c r="B1105" i="24"/>
  <c r="C1105" i="24" s="1"/>
  <c r="V1105" i="24"/>
  <c r="W1105" i="24" s="1"/>
  <c r="F1105" i="24"/>
  <c r="G1105" i="24" s="1"/>
  <c r="I917" i="37"/>
  <c r="J917" i="37"/>
  <c r="D917" i="37"/>
  <c r="C917" i="37"/>
  <c r="O916" i="37"/>
  <c r="P916" i="37"/>
  <c r="F917" i="37"/>
  <c r="G917" i="37"/>
  <c r="M917" i="37"/>
  <c r="L917" i="37"/>
  <c r="S916" i="37"/>
  <c r="R916" i="37"/>
  <c r="F1106" i="24" l="1"/>
  <c r="G1106" i="24" s="1"/>
  <c r="D1106" i="24"/>
  <c r="E1106" i="24" s="1"/>
  <c r="J1106" i="24"/>
  <c r="K1106" i="24" s="1"/>
  <c r="V1106" i="24"/>
  <c r="W1106" i="24" s="1"/>
  <c r="T1106" i="24"/>
  <c r="U1106" i="24" s="1"/>
  <c r="B1106" i="24"/>
  <c r="C1106" i="24" s="1"/>
  <c r="A1107" i="24"/>
  <c r="H1106" i="24"/>
  <c r="I1106" i="24" s="1"/>
  <c r="L1106" i="24"/>
  <c r="M1106" i="24" s="1"/>
  <c r="N1106" i="24"/>
  <c r="O1106" i="24" s="1"/>
  <c r="P1106" i="24"/>
  <c r="Q1106" i="24" s="1"/>
  <c r="R1106" i="24"/>
  <c r="S1106" i="24" s="1"/>
  <c r="J918" i="37"/>
  <c r="I918" i="37"/>
  <c r="D918" i="37"/>
  <c r="C918" i="37"/>
  <c r="O917" i="37"/>
  <c r="P917" i="37"/>
  <c r="S917" i="37"/>
  <c r="R917" i="37"/>
  <c r="G918" i="37"/>
  <c r="F918" i="37"/>
  <c r="M918" i="37"/>
  <c r="L918" i="37"/>
  <c r="D1107" i="24" l="1"/>
  <c r="E1107" i="24" s="1"/>
  <c r="L1107" i="24"/>
  <c r="M1107" i="24" s="1"/>
  <c r="V1107" i="24"/>
  <c r="W1107" i="24" s="1"/>
  <c r="N1107" i="24"/>
  <c r="O1107" i="24" s="1"/>
  <c r="J1107" i="24"/>
  <c r="K1107" i="24" s="1"/>
  <c r="R1107" i="24"/>
  <c r="S1107" i="24" s="1"/>
  <c r="T1107" i="24"/>
  <c r="U1107" i="24" s="1"/>
  <c r="B1107" i="24"/>
  <c r="C1107" i="24" s="1"/>
  <c r="F1107" i="24"/>
  <c r="G1107" i="24" s="1"/>
  <c r="H1107" i="24"/>
  <c r="I1107" i="24" s="1"/>
  <c r="P1107" i="24"/>
  <c r="Q1107" i="24" s="1"/>
  <c r="A1108" i="24"/>
  <c r="J919" i="37"/>
  <c r="I919" i="37"/>
  <c r="C919" i="37"/>
  <c r="D919" i="37"/>
  <c r="O918" i="37"/>
  <c r="P918" i="37"/>
  <c r="G919" i="37"/>
  <c r="F919" i="37"/>
  <c r="M919" i="37"/>
  <c r="L919" i="37"/>
  <c r="S918" i="37"/>
  <c r="R918" i="37"/>
  <c r="V1108" i="24" l="1"/>
  <c r="W1108" i="24" s="1"/>
  <c r="T1108" i="24"/>
  <c r="U1108" i="24" s="1"/>
  <c r="H1108" i="24"/>
  <c r="I1108" i="24" s="1"/>
  <c r="A1109" i="24"/>
  <c r="J1108" i="24"/>
  <c r="K1108" i="24" s="1"/>
  <c r="R1108" i="24"/>
  <c r="S1108" i="24" s="1"/>
  <c r="P1108" i="24"/>
  <c r="Q1108" i="24" s="1"/>
  <c r="N1108" i="24"/>
  <c r="O1108" i="24" s="1"/>
  <c r="L1108" i="24"/>
  <c r="M1108" i="24" s="1"/>
  <c r="B1108" i="24"/>
  <c r="C1108" i="24" s="1"/>
  <c r="D1108" i="24"/>
  <c r="E1108" i="24" s="1"/>
  <c r="F1108" i="24"/>
  <c r="G1108" i="24" s="1"/>
  <c r="J920" i="37"/>
  <c r="I920" i="37"/>
  <c r="C920" i="37"/>
  <c r="D920" i="37"/>
  <c r="P919" i="37"/>
  <c r="O919" i="37"/>
  <c r="F920" i="37"/>
  <c r="G920" i="37"/>
  <c r="R919" i="37"/>
  <c r="S919" i="37"/>
  <c r="L920" i="37"/>
  <c r="M920" i="37"/>
  <c r="L1109" i="24" l="1"/>
  <c r="M1109" i="24" s="1"/>
  <c r="H1109" i="24"/>
  <c r="I1109" i="24" s="1"/>
  <c r="B1109" i="24"/>
  <c r="C1109" i="24" s="1"/>
  <c r="V1109" i="24"/>
  <c r="W1109" i="24" s="1"/>
  <c r="P1109" i="24"/>
  <c r="Q1109" i="24" s="1"/>
  <c r="T1109" i="24"/>
  <c r="U1109" i="24" s="1"/>
  <c r="A1110" i="24"/>
  <c r="J1109" i="24"/>
  <c r="K1109" i="24" s="1"/>
  <c r="N1109" i="24"/>
  <c r="O1109" i="24" s="1"/>
  <c r="F1109" i="24"/>
  <c r="G1109" i="24" s="1"/>
  <c r="D1109" i="24"/>
  <c r="E1109" i="24" s="1"/>
  <c r="R1109" i="24"/>
  <c r="S1109" i="24" s="1"/>
  <c r="I921" i="37"/>
  <c r="J921" i="37"/>
  <c r="C921" i="37"/>
  <c r="D921" i="37"/>
  <c r="O920" i="37"/>
  <c r="P920" i="37"/>
  <c r="M921" i="37"/>
  <c r="L921" i="37"/>
  <c r="S920" i="37"/>
  <c r="R920" i="37"/>
  <c r="G921" i="37"/>
  <c r="F921" i="37"/>
  <c r="R1110" i="24" l="1"/>
  <c r="S1110" i="24" s="1"/>
  <c r="J1110" i="24"/>
  <c r="K1110" i="24" s="1"/>
  <c r="L1110" i="24"/>
  <c r="M1110" i="24" s="1"/>
  <c r="N1110" i="24"/>
  <c r="O1110" i="24" s="1"/>
  <c r="T1110" i="24"/>
  <c r="U1110" i="24" s="1"/>
  <c r="V1110" i="24"/>
  <c r="W1110" i="24" s="1"/>
  <c r="A1111" i="24"/>
  <c r="D1110" i="24"/>
  <c r="E1110" i="24" s="1"/>
  <c r="F1110" i="24"/>
  <c r="G1110" i="24" s="1"/>
  <c r="P1110" i="24"/>
  <c r="Q1110" i="24" s="1"/>
  <c r="B1110" i="24"/>
  <c r="C1110" i="24" s="1"/>
  <c r="H1110" i="24"/>
  <c r="I1110" i="24" s="1"/>
  <c r="I922" i="37"/>
  <c r="J922" i="37"/>
  <c r="D922" i="37"/>
  <c r="C922" i="37"/>
  <c r="O921" i="37"/>
  <c r="P921" i="37"/>
  <c r="R921" i="37"/>
  <c r="S921" i="37"/>
  <c r="M922" i="37"/>
  <c r="L922" i="37"/>
  <c r="G922" i="37"/>
  <c r="F922" i="37"/>
  <c r="D1111" i="24" l="1"/>
  <c r="E1111" i="24" s="1"/>
  <c r="F1111" i="24"/>
  <c r="G1111" i="24" s="1"/>
  <c r="T1111" i="24"/>
  <c r="U1111" i="24" s="1"/>
  <c r="B1111" i="24"/>
  <c r="C1111" i="24" s="1"/>
  <c r="A1112" i="24"/>
  <c r="L1111" i="24"/>
  <c r="M1111" i="24" s="1"/>
  <c r="V1111" i="24"/>
  <c r="W1111" i="24" s="1"/>
  <c r="N1111" i="24"/>
  <c r="O1111" i="24" s="1"/>
  <c r="H1111" i="24"/>
  <c r="I1111" i="24" s="1"/>
  <c r="R1111" i="24"/>
  <c r="S1111" i="24" s="1"/>
  <c r="J1111" i="24"/>
  <c r="K1111" i="24" s="1"/>
  <c r="P1111" i="24"/>
  <c r="Q1111" i="24" s="1"/>
  <c r="J923" i="37"/>
  <c r="I923" i="37"/>
  <c r="D923" i="37"/>
  <c r="C923" i="37"/>
  <c r="P922" i="37"/>
  <c r="O922" i="37"/>
  <c r="F923" i="37"/>
  <c r="G923" i="37"/>
  <c r="S922" i="37"/>
  <c r="R922" i="37"/>
  <c r="L923" i="37"/>
  <c r="M923" i="37"/>
  <c r="N1112" i="24" l="1"/>
  <c r="O1112" i="24" s="1"/>
  <c r="B1112" i="24"/>
  <c r="C1112" i="24" s="1"/>
  <c r="D1112" i="24"/>
  <c r="E1112" i="24" s="1"/>
  <c r="T1112" i="24"/>
  <c r="U1112" i="24" s="1"/>
  <c r="V1112" i="24"/>
  <c r="W1112" i="24" s="1"/>
  <c r="A1113" i="24"/>
  <c r="P1112" i="24"/>
  <c r="Q1112" i="24" s="1"/>
  <c r="H1112" i="24"/>
  <c r="I1112" i="24" s="1"/>
  <c r="L1112" i="24"/>
  <c r="M1112" i="24" s="1"/>
  <c r="R1112" i="24"/>
  <c r="S1112" i="24" s="1"/>
  <c r="F1112" i="24"/>
  <c r="G1112" i="24" s="1"/>
  <c r="J1112" i="24"/>
  <c r="K1112" i="24" s="1"/>
  <c r="J924" i="37"/>
  <c r="I924" i="37"/>
  <c r="D924" i="37"/>
  <c r="C924" i="37"/>
  <c r="P923" i="37"/>
  <c r="O923" i="37"/>
  <c r="G924" i="37"/>
  <c r="F924" i="37"/>
  <c r="L924" i="37"/>
  <c r="M924" i="37"/>
  <c r="S923" i="37"/>
  <c r="R923" i="37"/>
  <c r="L1113" i="24" l="1"/>
  <c r="M1113" i="24" s="1"/>
  <c r="B1113" i="24"/>
  <c r="C1113" i="24" s="1"/>
  <c r="F1113" i="24"/>
  <c r="G1113" i="24" s="1"/>
  <c r="J1113" i="24"/>
  <c r="K1113" i="24" s="1"/>
  <c r="H1113" i="24"/>
  <c r="I1113" i="24" s="1"/>
  <c r="T1113" i="24"/>
  <c r="U1113" i="24" s="1"/>
  <c r="A1114" i="24"/>
  <c r="V1113" i="24"/>
  <c r="W1113" i="24" s="1"/>
  <c r="D1113" i="24"/>
  <c r="E1113" i="24" s="1"/>
  <c r="N1113" i="24"/>
  <c r="O1113" i="24" s="1"/>
  <c r="P1113" i="24"/>
  <c r="Q1113" i="24" s="1"/>
  <c r="R1113" i="24"/>
  <c r="S1113" i="24" s="1"/>
  <c r="I925" i="37"/>
  <c r="J925" i="37"/>
  <c r="C925" i="37"/>
  <c r="D925" i="37"/>
  <c r="P924" i="37"/>
  <c r="O924" i="37"/>
  <c r="F925" i="37"/>
  <c r="G925" i="37"/>
  <c r="R924" i="37"/>
  <c r="S924" i="37"/>
  <c r="M925" i="37"/>
  <c r="L925" i="37"/>
  <c r="J1114" i="24" l="1"/>
  <c r="K1114" i="24" s="1"/>
  <c r="A1115" i="24"/>
  <c r="P1114" i="24"/>
  <c r="Q1114" i="24" s="1"/>
  <c r="H1114" i="24"/>
  <c r="I1114" i="24" s="1"/>
  <c r="R1114" i="24"/>
  <c r="S1114" i="24" s="1"/>
  <c r="T1114" i="24"/>
  <c r="U1114" i="24" s="1"/>
  <c r="B1114" i="24"/>
  <c r="C1114" i="24" s="1"/>
  <c r="V1114" i="24"/>
  <c r="W1114" i="24" s="1"/>
  <c r="F1114" i="24"/>
  <c r="G1114" i="24" s="1"/>
  <c r="N1114" i="24"/>
  <c r="O1114" i="24" s="1"/>
  <c r="D1114" i="24"/>
  <c r="E1114" i="24" s="1"/>
  <c r="L1114" i="24"/>
  <c r="M1114" i="24" s="1"/>
  <c r="J926" i="37"/>
  <c r="I926" i="37"/>
  <c r="D926" i="37"/>
  <c r="C926" i="37"/>
  <c r="P925" i="37"/>
  <c r="O925" i="37"/>
  <c r="M926" i="37"/>
  <c r="L926" i="37"/>
  <c r="G926" i="37"/>
  <c r="F926" i="37"/>
  <c r="R925" i="37"/>
  <c r="S925" i="37"/>
  <c r="D1115" i="24" l="1"/>
  <c r="E1115" i="24" s="1"/>
  <c r="P1115" i="24"/>
  <c r="Q1115" i="24" s="1"/>
  <c r="J1115" i="24"/>
  <c r="K1115" i="24" s="1"/>
  <c r="L1115" i="24"/>
  <c r="M1115" i="24" s="1"/>
  <c r="T1115" i="24"/>
  <c r="U1115" i="24" s="1"/>
  <c r="A1116" i="24"/>
  <c r="V1115" i="24"/>
  <c r="W1115" i="24" s="1"/>
  <c r="H1115" i="24"/>
  <c r="I1115" i="24" s="1"/>
  <c r="N1115" i="24"/>
  <c r="O1115" i="24" s="1"/>
  <c r="B1115" i="24"/>
  <c r="C1115" i="24" s="1"/>
  <c r="F1115" i="24"/>
  <c r="G1115" i="24" s="1"/>
  <c r="R1115" i="24"/>
  <c r="S1115" i="24" s="1"/>
  <c r="I927" i="37"/>
  <c r="J927" i="37"/>
  <c r="C927" i="37"/>
  <c r="D927" i="37"/>
  <c r="O926" i="37"/>
  <c r="P926" i="37"/>
  <c r="G927" i="37"/>
  <c r="F927" i="37"/>
  <c r="M927" i="37"/>
  <c r="L927" i="37"/>
  <c r="S926" i="37"/>
  <c r="R926" i="37"/>
  <c r="F1116" i="24" l="1"/>
  <c r="G1116" i="24" s="1"/>
  <c r="B1116" i="24"/>
  <c r="C1116" i="24" s="1"/>
  <c r="V1116" i="24"/>
  <c r="W1116" i="24" s="1"/>
  <c r="T1116" i="24"/>
  <c r="U1116" i="24" s="1"/>
  <c r="N1116" i="24"/>
  <c r="O1116" i="24" s="1"/>
  <c r="A1117" i="24"/>
  <c r="P1116" i="24"/>
  <c r="Q1116" i="24" s="1"/>
  <c r="H1116" i="24"/>
  <c r="I1116" i="24" s="1"/>
  <c r="R1116" i="24"/>
  <c r="S1116" i="24" s="1"/>
  <c r="L1116" i="24"/>
  <c r="M1116" i="24" s="1"/>
  <c r="D1116" i="24"/>
  <c r="E1116" i="24" s="1"/>
  <c r="J1116" i="24"/>
  <c r="K1116" i="24" s="1"/>
  <c r="J928" i="37"/>
  <c r="I928" i="37"/>
  <c r="D928" i="37"/>
  <c r="C928" i="37"/>
  <c r="O927" i="37"/>
  <c r="P927" i="37"/>
  <c r="L928" i="37"/>
  <c r="M928" i="37"/>
  <c r="S927" i="37"/>
  <c r="R927" i="37"/>
  <c r="G928" i="37"/>
  <c r="F928" i="37"/>
  <c r="L1117" i="24" l="1"/>
  <c r="M1117" i="24" s="1"/>
  <c r="V1117" i="24"/>
  <c r="W1117" i="24" s="1"/>
  <c r="A1118" i="24"/>
  <c r="B1117" i="24"/>
  <c r="C1117" i="24" s="1"/>
  <c r="P1117" i="24"/>
  <c r="Q1117" i="24" s="1"/>
  <c r="T1117" i="24"/>
  <c r="U1117" i="24" s="1"/>
  <c r="R1117" i="24"/>
  <c r="S1117" i="24" s="1"/>
  <c r="D1117" i="24"/>
  <c r="E1117" i="24" s="1"/>
  <c r="F1117" i="24"/>
  <c r="G1117" i="24" s="1"/>
  <c r="N1117" i="24"/>
  <c r="O1117" i="24" s="1"/>
  <c r="H1117" i="24"/>
  <c r="I1117" i="24" s="1"/>
  <c r="J1117" i="24"/>
  <c r="K1117" i="24" s="1"/>
  <c r="I929" i="37"/>
  <c r="J929" i="37"/>
  <c r="C929" i="37"/>
  <c r="D929" i="37"/>
  <c r="O928" i="37"/>
  <c r="P928" i="37"/>
  <c r="G929" i="37"/>
  <c r="F929" i="37"/>
  <c r="S928" i="37"/>
  <c r="R928" i="37"/>
  <c r="L929" i="37"/>
  <c r="M929" i="37"/>
  <c r="V1118" i="24" l="1"/>
  <c r="W1118" i="24" s="1"/>
  <c r="F1118" i="24"/>
  <c r="G1118" i="24" s="1"/>
  <c r="T1118" i="24"/>
  <c r="U1118" i="24" s="1"/>
  <c r="J1118" i="24"/>
  <c r="K1118" i="24" s="1"/>
  <c r="A1119" i="24"/>
  <c r="H1118" i="24"/>
  <c r="I1118" i="24" s="1"/>
  <c r="N1118" i="24"/>
  <c r="O1118" i="24" s="1"/>
  <c r="L1118" i="24"/>
  <c r="M1118" i="24" s="1"/>
  <c r="R1118" i="24"/>
  <c r="S1118" i="24" s="1"/>
  <c r="P1118" i="24"/>
  <c r="Q1118" i="24" s="1"/>
  <c r="B1118" i="24"/>
  <c r="C1118" i="24" s="1"/>
  <c r="D1118" i="24"/>
  <c r="E1118" i="24" s="1"/>
  <c r="J930" i="37"/>
  <c r="I930" i="37"/>
  <c r="D930" i="37"/>
  <c r="C930" i="37"/>
  <c r="O929" i="37"/>
  <c r="P929" i="37"/>
  <c r="G930" i="37"/>
  <c r="F930" i="37"/>
  <c r="R929" i="37"/>
  <c r="S929" i="37"/>
  <c r="M930" i="37"/>
  <c r="L930" i="37"/>
  <c r="D1119" i="24" l="1"/>
  <c r="E1119" i="24" s="1"/>
  <c r="J1119" i="24"/>
  <c r="K1119" i="24" s="1"/>
  <c r="N1119" i="24"/>
  <c r="O1119" i="24" s="1"/>
  <c r="R1119" i="24"/>
  <c r="S1119" i="24" s="1"/>
  <c r="T1119" i="24"/>
  <c r="U1119" i="24" s="1"/>
  <c r="A1120" i="24"/>
  <c r="V1119" i="24"/>
  <c r="W1119" i="24" s="1"/>
  <c r="F1119" i="24"/>
  <c r="G1119" i="24" s="1"/>
  <c r="L1119" i="24"/>
  <c r="M1119" i="24" s="1"/>
  <c r="B1119" i="24"/>
  <c r="C1119" i="24" s="1"/>
  <c r="H1119" i="24"/>
  <c r="I1119" i="24" s="1"/>
  <c r="P1119" i="24"/>
  <c r="Q1119" i="24" s="1"/>
  <c r="I931" i="37"/>
  <c r="J931" i="37"/>
  <c r="D931" i="37"/>
  <c r="C931" i="37"/>
  <c r="O930" i="37"/>
  <c r="P930" i="37"/>
  <c r="M931" i="37"/>
  <c r="L931" i="37"/>
  <c r="G931" i="37"/>
  <c r="F931" i="37"/>
  <c r="R930" i="37"/>
  <c r="S930" i="37"/>
  <c r="B1120" i="24" l="1"/>
  <c r="C1120" i="24" s="1"/>
  <c r="P1120" i="24"/>
  <c r="Q1120" i="24" s="1"/>
  <c r="N1120" i="24"/>
  <c r="O1120" i="24" s="1"/>
  <c r="J1120" i="24"/>
  <c r="K1120" i="24" s="1"/>
  <c r="T1120" i="24"/>
  <c r="U1120" i="24" s="1"/>
  <c r="A1121" i="24"/>
  <c r="L1120" i="24"/>
  <c r="M1120" i="24" s="1"/>
  <c r="V1120" i="24"/>
  <c r="W1120" i="24" s="1"/>
  <c r="D1120" i="24"/>
  <c r="E1120" i="24" s="1"/>
  <c r="F1120" i="24"/>
  <c r="G1120" i="24" s="1"/>
  <c r="H1120" i="24"/>
  <c r="I1120" i="24" s="1"/>
  <c r="R1120" i="24"/>
  <c r="S1120" i="24" s="1"/>
  <c r="I932" i="37"/>
  <c r="J932" i="37"/>
  <c r="D932" i="37"/>
  <c r="C932" i="37"/>
  <c r="O931" i="37"/>
  <c r="P931" i="37"/>
  <c r="G932" i="37"/>
  <c r="F932" i="37"/>
  <c r="R931" i="37"/>
  <c r="S931" i="37"/>
  <c r="L932" i="37"/>
  <c r="M932" i="37"/>
  <c r="L1121" i="24" l="1"/>
  <c r="M1121" i="24" s="1"/>
  <c r="N1121" i="24"/>
  <c r="O1121" i="24" s="1"/>
  <c r="D1121" i="24"/>
  <c r="E1121" i="24" s="1"/>
  <c r="T1121" i="24"/>
  <c r="U1121" i="24" s="1"/>
  <c r="F1121" i="24"/>
  <c r="G1121" i="24" s="1"/>
  <c r="A1122" i="24"/>
  <c r="H1121" i="24"/>
  <c r="I1121" i="24" s="1"/>
  <c r="J1121" i="24"/>
  <c r="K1121" i="24" s="1"/>
  <c r="P1121" i="24"/>
  <c r="Q1121" i="24" s="1"/>
  <c r="R1121" i="24"/>
  <c r="S1121" i="24" s="1"/>
  <c r="B1121" i="24"/>
  <c r="C1121" i="24" s="1"/>
  <c r="V1121" i="24"/>
  <c r="W1121" i="24" s="1"/>
  <c r="I933" i="37"/>
  <c r="J933" i="37"/>
  <c r="C933" i="37"/>
  <c r="D933" i="37"/>
  <c r="P932" i="37"/>
  <c r="O932" i="37"/>
  <c r="R932" i="37"/>
  <c r="S932" i="37"/>
  <c r="M933" i="37"/>
  <c r="L933" i="37"/>
  <c r="G933" i="37"/>
  <c r="F933" i="37"/>
  <c r="P1122" i="24" l="1"/>
  <c r="Q1122" i="24" s="1"/>
  <c r="N1122" i="24"/>
  <c r="O1122" i="24" s="1"/>
  <c r="R1122" i="24"/>
  <c r="S1122" i="24" s="1"/>
  <c r="A1123" i="24"/>
  <c r="H1122" i="24"/>
  <c r="I1122" i="24" s="1"/>
  <c r="F1122" i="24"/>
  <c r="G1122" i="24" s="1"/>
  <c r="T1122" i="24"/>
  <c r="U1122" i="24" s="1"/>
  <c r="J1122" i="24"/>
  <c r="K1122" i="24" s="1"/>
  <c r="D1122" i="24"/>
  <c r="E1122" i="24" s="1"/>
  <c r="V1122" i="24"/>
  <c r="W1122" i="24" s="1"/>
  <c r="L1122" i="24"/>
  <c r="M1122" i="24" s="1"/>
  <c r="B1122" i="24"/>
  <c r="C1122" i="24" s="1"/>
  <c r="J934" i="37"/>
  <c r="I934" i="37"/>
  <c r="D934" i="37"/>
  <c r="C934" i="37"/>
  <c r="O933" i="37"/>
  <c r="P933" i="37"/>
  <c r="G934" i="37"/>
  <c r="F934" i="37"/>
  <c r="L934" i="37"/>
  <c r="M934" i="37"/>
  <c r="R933" i="37"/>
  <c r="S933" i="37"/>
  <c r="D1123" i="24" l="1"/>
  <c r="E1123" i="24" s="1"/>
  <c r="P1123" i="24"/>
  <c r="Q1123" i="24" s="1"/>
  <c r="V1123" i="24"/>
  <c r="W1123" i="24" s="1"/>
  <c r="F1123" i="24"/>
  <c r="G1123" i="24" s="1"/>
  <c r="T1123" i="24"/>
  <c r="U1123" i="24" s="1"/>
  <c r="A1124" i="24"/>
  <c r="H1123" i="24"/>
  <c r="I1123" i="24" s="1"/>
  <c r="B1123" i="24"/>
  <c r="C1123" i="24" s="1"/>
  <c r="J1123" i="24"/>
  <c r="K1123" i="24" s="1"/>
  <c r="L1123" i="24"/>
  <c r="M1123" i="24" s="1"/>
  <c r="N1123" i="24"/>
  <c r="O1123" i="24" s="1"/>
  <c r="R1123" i="24"/>
  <c r="S1123" i="24" s="1"/>
  <c r="J935" i="37"/>
  <c r="I935" i="37"/>
  <c r="D935" i="37"/>
  <c r="C935" i="37"/>
  <c r="P934" i="37"/>
  <c r="O934" i="37"/>
  <c r="S934" i="37"/>
  <c r="R934" i="37"/>
  <c r="M935" i="37"/>
  <c r="L935" i="37"/>
  <c r="G935" i="37"/>
  <c r="F935" i="37"/>
  <c r="L1124" i="24" l="1"/>
  <c r="M1124" i="24" s="1"/>
  <c r="T1124" i="24"/>
  <c r="U1124" i="24" s="1"/>
  <c r="V1124" i="24"/>
  <c r="W1124" i="24" s="1"/>
  <c r="A1125" i="24"/>
  <c r="B1124" i="24"/>
  <c r="C1124" i="24" s="1"/>
  <c r="P1124" i="24"/>
  <c r="Q1124" i="24" s="1"/>
  <c r="D1124" i="24"/>
  <c r="E1124" i="24" s="1"/>
  <c r="F1124" i="24"/>
  <c r="G1124" i="24" s="1"/>
  <c r="N1124" i="24"/>
  <c r="O1124" i="24" s="1"/>
  <c r="J1124" i="24"/>
  <c r="K1124" i="24" s="1"/>
  <c r="R1124" i="24"/>
  <c r="S1124" i="24" s="1"/>
  <c r="H1124" i="24"/>
  <c r="I1124" i="24" s="1"/>
  <c r="J936" i="37"/>
  <c r="I936" i="37"/>
  <c r="D936" i="37"/>
  <c r="C936" i="37"/>
  <c r="O935" i="37"/>
  <c r="P935" i="37"/>
  <c r="R935" i="37"/>
  <c r="S935" i="37"/>
  <c r="L936" i="37"/>
  <c r="M936" i="37"/>
  <c r="G936" i="37"/>
  <c r="F936" i="37"/>
  <c r="L1125" i="24" l="1"/>
  <c r="M1125" i="24" s="1"/>
  <c r="P1125" i="24"/>
  <c r="Q1125" i="24" s="1"/>
  <c r="H1125" i="24"/>
  <c r="I1125" i="24" s="1"/>
  <c r="J1125" i="24"/>
  <c r="K1125" i="24" s="1"/>
  <c r="A1126" i="24"/>
  <c r="B1125" i="24"/>
  <c r="C1125" i="24" s="1"/>
  <c r="V1125" i="24"/>
  <c r="W1125" i="24" s="1"/>
  <c r="D1125" i="24"/>
  <c r="E1125" i="24" s="1"/>
  <c r="F1125" i="24"/>
  <c r="G1125" i="24" s="1"/>
  <c r="R1125" i="24"/>
  <c r="S1125" i="24" s="1"/>
  <c r="N1125" i="24"/>
  <c r="O1125" i="24" s="1"/>
  <c r="T1125" i="24"/>
  <c r="U1125" i="24" s="1"/>
  <c r="I937" i="37"/>
  <c r="J937" i="37"/>
  <c r="C937" i="37"/>
  <c r="D937" i="37"/>
  <c r="P936" i="37"/>
  <c r="O936" i="37"/>
  <c r="L937" i="37"/>
  <c r="M937" i="37"/>
  <c r="F937" i="37"/>
  <c r="G937" i="37"/>
  <c r="S936" i="37"/>
  <c r="R936" i="37"/>
  <c r="F1126" i="24" l="1"/>
  <c r="G1126" i="24" s="1"/>
  <c r="R1126" i="24"/>
  <c r="S1126" i="24" s="1"/>
  <c r="B1126" i="24"/>
  <c r="C1126" i="24" s="1"/>
  <c r="A1127" i="24"/>
  <c r="H1126" i="24"/>
  <c r="I1126" i="24" s="1"/>
  <c r="V1126" i="24"/>
  <c r="W1126" i="24" s="1"/>
  <c r="P1126" i="24"/>
  <c r="Q1126" i="24" s="1"/>
  <c r="D1126" i="24"/>
  <c r="E1126" i="24" s="1"/>
  <c r="T1126" i="24"/>
  <c r="U1126" i="24" s="1"/>
  <c r="J1126" i="24"/>
  <c r="K1126" i="24" s="1"/>
  <c r="L1126" i="24"/>
  <c r="M1126" i="24" s="1"/>
  <c r="N1126" i="24"/>
  <c r="O1126" i="24" s="1"/>
  <c r="J938" i="37"/>
  <c r="I938" i="37"/>
  <c r="D938" i="37"/>
  <c r="C938" i="37"/>
  <c r="P937" i="37"/>
  <c r="O937" i="37"/>
  <c r="R937" i="37"/>
  <c r="S937" i="37"/>
  <c r="G938" i="37"/>
  <c r="F938" i="37"/>
  <c r="M938" i="37"/>
  <c r="L938" i="37"/>
  <c r="D1127" i="24" l="1"/>
  <c r="E1127" i="24" s="1"/>
  <c r="L1127" i="24"/>
  <c r="M1127" i="24" s="1"/>
  <c r="T1127" i="24"/>
  <c r="U1127" i="24" s="1"/>
  <c r="J1127" i="24"/>
  <c r="K1127" i="24" s="1"/>
  <c r="A1128" i="24"/>
  <c r="N1127" i="24"/>
  <c r="O1127" i="24" s="1"/>
  <c r="V1127" i="24"/>
  <c r="W1127" i="24" s="1"/>
  <c r="P1127" i="24"/>
  <c r="Q1127" i="24" s="1"/>
  <c r="R1127" i="24"/>
  <c r="S1127" i="24" s="1"/>
  <c r="B1127" i="24"/>
  <c r="C1127" i="24" s="1"/>
  <c r="H1127" i="24"/>
  <c r="I1127" i="24" s="1"/>
  <c r="F1127" i="24"/>
  <c r="G1127" i="24" s="1"/>
  <c r="J939" i="37"/>
  <c r="I939" i="37"/>
  <c r="D939" i="37"/>
  <c r="C939" i="37"/>
  <c r="O938" i="37"/>
  <c r="P938" i="37"/>
  <c r="M939" i="37"/>
  <c r="L939" i="37"/>
  <c r="F939" i="37"/>
  <c r="G939" i="37"/>
  <c r="S938" i="37"/>
  <c r="R938" i="37"/>
  <c r="F1128" i="24" l="1"/>
  <c r="G1128" i="24" s="1"/>
  <c r="H1128" i="24"/>
  <c r="I1128" i="24" s="1"/>
  <c r="J1128" i="24"/>
  <c r="K1128" i="24" s="1"/>
  <c r="P1128" i="24"/>
  <c r="Q1128" i="24" s="1"/>
  <c r="N1128" i="24"/>
  <c r="O1128" i="24" s="1"/>
  <c r="R1128" i="24"/>
  <c r="S1128" i="24" s="1"/>
  <c r="L1128" i="24"/>
  <c r="M1128" i="24" s="1"/>
  <c r="V1128" i="24"/>
  <c r="W1128" i="24" s="1"/>
  <c r="D1128" i="24"/>
  <c r="E1128" i="24" s="1"/>
  <c r="B1128" i="24"/>
  <c r="C1128" i="24" s="1"/>
  <c r="T1128" i="24"/>
  <c r="U1128" i="24" s="1"/>
  <c r="A1129" i="24"/>
  <c r="I940" i="37"/>
  <c r="J940" i="37"/>
  <c r="D940" i="37"/>
  <c r="C940" i="37"/>
  <c r="P939" i="37"/>
  <c r="O939" i="37"/>
  <c r="G940" i="37"/>
  <c r="F940" i="37"/>
  <c r="S939" i="37"/>
  <c r="R939" i="37"/>
  <c r="L940" i="37"/>
  <c r="M940" i="37"/>
  <c r="L1129" i="24" l="1"/>
  <c r="M1129" i="24" s="1"/>
  <c r="J1129" i="24"/>
  <c r="K1129" i="24" s="1"/>
  <c r="P1129" i="24"/>
  <c r="Q1129" i="24" s="1"/>
  <c r="B1129" i="24"/>
  <c r="C1129" i="24" s="1"/>
  <c r="A1130" i="24"/>
  <c r="N1129" i="24"/>
  <c r="O1129" i="24" s="1"/>
  <c r="V1129" i="24"/>
  <c r="W1129" i="24" s="1"/>
  <c r="D1129" i="24"/>
  <c r="E1129" i="24" s="1"/>
  <c r="T1129" i="24"/>
  <c r="U1129" i="24" s="1"/>
  <c r="F1129" i="24"/>
  <c r="G1129" i="24" s="1"/>
  <c r="H1129" i="24"/>
  <c r="I1129" i="24" s="1"/>
  <c r="R1129" i="24"/>
  <c r="S1129" i="24" s="1"/>
  <c r="J941" i="37"/>
  <c r="I941" i="37"/>
  <c r="C941" i="37"/>
  <c r="D941" i="37"/>
  <c r="P940" i="37"/>
  <c r="O940" i="37"/>
  <c r="R940" i="37"/>
  <c r="S940" i="37"/>
  <c r="F941" i="37"/>
  <c r="G941" i="37"/>
  <c r="L941" i="37"/>
  <c r="M941" i="37"/>
  <c r="B1130" i="24" l="1"/>
  <c r="C1130" i="24" s="1"/>
  <c r="A1131" i="24"/>
  <c r="J1130" i="24"/>
  <c r="K1130" i="24" s="1"/>
  <c r="H1130" i="24"/>
  <c r="I1130" i="24" s="1"/>
  <c r="P1130" i="24"/>
  <c r="Q1130" i="24" s="1"/>
  <c r="L1130" i="24"/>
  <c r="M1130" i="24" s="1"/>
  <c r="N1130" i="24"/>
  <c r="O1130" i="24" s="1"/>
  <c r="R1130" i="24"/>
  <c r="S1130" i="24" s="1"/>
  <c r="T1130" i="24"/>
  <c r="U1130" i="24" s="1"/>
  <c r="V1130" i="24"/>
  <c r="W1130" i="24" s="1"/>
  <c r="F1130" i="24"/>
  <c r="G1130" i="24" s="1"/>
  <c r="D1130" i="24"/>
  <c r="E1130" i="24" s="1"/>
  <c r="J942" i="37"/>
  <c r="I942" i="37"/>
  <c r="C942" i="37"/>
  <c r="D942" i="37"/>
  <c r="P941" i="37"/>
  <c r="O941" i="37"/>
  <c r="G942" i="37"/>
  <c r="F942" i="37"/>
  <c r="R941" i="37"/>
  <c r="S941" i="37"/>
  <c r="M942" i="37"/>
  <c r="L942" i="37"/>
  <c r="D1131" i="24" l="1"/>
  <c r="E1131" i="24" s="1"/>
  <c r="H1131" i="24"/>
  <c r="I1131" i="24" s="1"/>
  <c r="R1131" i="24"/>
  <c r="S1131" i="24" s="1"/>
  <c r="V1131" i="24"/>
  <c r="W1131" i="24" s="1"/>
  <c r="J1131" i="24"/>
  <c r="K1131" i="24" s="1"/>
  <c r="L1131" i="24"/>
  <c r="M1131" i="24" s="1"/>
  <c r="F1131" i="24"/>
  <c r="G1131" i="24" s="1"/>
  <c r="N1131" i="24"/>
  <c r="O1131" i="24" s="1"/>
  <c r="T1131" i="24"/>
  <c r="U1131" i="24" s="1"/>
  <c r="A1132" i="24"/>
  <c r="P1131" i="24"/>
  <c r="Q1131" i="24" s="1"/>
  <c r="B1131" i="24"/>
  <c r="C1131" i="24" s="1"/>
  <c r="I943" i="37"/>
  <c r="J943" i="37"/>
  <c r="C943" i="37"/>
  <c r="D943" i="37"/>
  <c r="O942" i="37"/>
  <c r="P942" i="37"/>
  <c r="M943" i="37"/>
  <c r="L943" i="37"/>
  <c r="S942" i="37"/>
  <c r="R942" i="37"/>
  <c r="F943" i="37"/>
  <c r="G943" i="37"/>
  <c r="R1132" i="24" l="1"/>
  <c r="S1132" i="24" s="1"/>
  <c r="J1132" i="24"/>
  <c r="K1132" i="24" s="1"/>
  <c r="A1133" i="24"/>
  <c r="V1132" i="24"/>
  <c r="W1132" i="24" s="1"/>
  <c r="P1132" i="24"/>
  <c r="Q1132" i="24" s="1"/>
  <c r="H1132" i="24"/>
  <c r="I1132" i="24" s="1"/>
  <c r="B1132" i="24"/>
  <c r="C1132" i="24" s="1"/>
  <c r="D1132" i="24"/>
  <c r="E1132" i="24" s="1"/>
  <c r="T1132" i="24"/>
  <c r="U1132" i="24" s="1"/>
  <c r="N1132" i="24"/>
  <c r="O1132" i="24" s="1"/>
  <c r="F1132" i="24"/>
  <c r="G1132" i="24" s="1"/>
  <c r="L1132" i="24"/>
  <c r="M1132" i="24" s="1"/>
  <c r="J944" i="37"/>
  <c r="I944" i="37"/>
  <c r="D944" i="37"/>
  <c r="C944" i="37"/>
  <c r="P943" i="37"/>
  <c r="O943" i="37"/>
  <c r="R943" i="37"/>
  <c r="S943" i="37"/>
  <c r="G944" i="37"/>
  <c r="F944" i="37"/>
  <c r="L944" i="37"/>
  <c r="M944" i="37"/>
  <c r="L1133" i="24" l="1"/>
  <c r="M1133" i="24" s="1"/>
  <c r="D1133" i="24"/>
  <c r="E1133" i="24" s="1"/>
  <c r="A1134" i="24"/>
  <c r="J1133" i="24"/>
  <c r="K1133" i="24" s="1"/>
  <c r="B1133" i="24"/>
  <c r="C1133" i="24" s="1"/>
  <c r="T1133" i="24"/>
  <c r="U1133" i="24" s="1"/>
  <c r="F1133" i="24"/>
  <c r="G1133" i="24" s="1"/>
  <c r="H1133" i="24"/>
  <c r="I1133" i="24" s="1"/>
  <c r="N1133" i="24"/>
  <c r="O1133" i="24" s="1"/>
  <c r="V1133" i="24"/>
  <c r="W1133" i="24" s="1"/>
  <c r="P1133" i="24"/>
  <c r="Q1133" i="24" s="1"/>
  <c r="R1133" i="24"/>
  <c r="S1133" i="24" s="1"/>
  <c r="I945" i="37"/>
  <c r="J945" i="37"/>
  <c r="D945" i="37"/>
  <c r="C945" i="37"/>
  <c r="P944" i="37"/>
  <c r="O944" i="37"/>
  <c r="G945" i="37"/>
  <c r="F945" i="37"/>
  <c r="S944" i="37"/>
  <c r="R944" i="37"/>
  <c r="M945" i="37"/>
  <c r="L945" i="37"/>
  <c r="N1134" i="24" l="1"/>
  <c r="O1134" i="24" s="1"/>
  <c r="J1134" i="24"/>
  <c r="K1134" i="24" s="1"/>
  <c r="P1134" i="24"/>
  <c r="Q1134" i="24" s="1"/>
  <c r="T1134" i="24"/>
  <c r="U1134" i="24" s="1"/>
  <c r="R1134" i="24"/>
  <c r="S1134" i="24" s="1"/>
  <c r="V1134" i="24"/>
  <c r="W1134" i="24" s="1"/>
  <c r="A1135" i="24"/>
  <c r="L1134" i="24"/>
  <c r="M1134" i="24" s="1"/>
  <c r="B1134" i="24"/>
  <c r="C1134" i="24" s="1"/>
  <c r="H1134" i="24"/>
  <c r="I1134" i="24" s="1"/>
  <c r="D1134" i="24"/>
  <c r="E1134" i="24" s="1"/>
  <c r="F1134" i="24"/>
  <c r="G1134" i="24" s="1"/>
  <c r="J946" i="37"/>
  <c r="I946" i="37"/>
  <c r="C946" i="37"/>
  <c r="D946" i="37"/>
  <c r="P945" i="37"/>
  <c r="O945" i="37"/>
  <c r="M946" i="37"/>
  <c r="L946" i="37"/>
  <c r="R945" i="37"/>
  <c r="S945" i="37"/>
  <c r="G946" i="37"/>
  <c r="F946" i="37"/>
  <c r="D1135" i="24" l="1"/>
  <c r="E1135" i="24" s="1"/>
  <c r="R1135" i="24"/>
  <c r="S1135" i="24" s="1"/>
  <c r="F1135" i="24"/>
  <c r="G1135" i="24" s="1"/>
  <c r="L1135" i="24"/>
  <c r="M1135" i="24" s="1"/>
  <c r="N1135" i="24"/>
  <c r="O1135" i="24" s="1"/>
  <c r="P1135" i="24"/>
  <c r="Q1135" i="24" s="1"/>
  <c r="V1135" i="24"/>
  <c r="W1135" i="24" s="1"/>
  <c r="J1135" i="24"/>
  <c r="K1135" i="24" s="1"/>
  <c r="H1135" i="24"/>
  <c r="I1135" i="24" s="1"/>
  <c r="B1135" i="24"/>
  <c r="C1135" i="24" s="1"/>
  <c r="T1135" i="24"/>
  <c r="U1135" i="24" s="1"/>
  <c r="A1136" i="24"/>
  <c r="I947" i="37"/>
  <c r="J947" i="37"/>
  <c r="C947" i="37"/>
  <c r="D947" i="37"/>
  <c r="O946" i="37"/>
  <c r="P946" i="37"/>
  <c r="F947" i="37"/>
  <c r="G947" i="37"/>
  <c r="R946" i="37"/>
  <c r="S946" i="37"/>
  <c r="M947" i="37"/>
  <c r="L947" i="37"/>
  <c r="H1136" i="24" l="1"/>
  <c r="I1136" i="24" s="1"/>
  <c r="P1136" i="24"/>
  <c r="Q1136" i="24" s="1"/>
  <c r="R1136" i="24"/>
  <c r="S1136" i="24" s="1"/>
  <c r="D1136" i="24"/>
  <c r="E1136" i="24" s="1"/>
  <c r="J1136" i="24"/>
  <c r="K1136" i="24" s="1"/>
  <c r="F1136" i="24"/>
  <c r="G1136" i="24" s="1"/>
  <c r="T1136" i="24"/>
  <c r="U1136" i="24" s="1"/>
  <c r="A1137" i="24"/>
  <c r="L1136" i="24"/>
  <c r="M1136" i="24" s="1"/>
  <c r="B1136" i="24"/>
  <c r="C1136" i="24" s="1"/>
  <c r="V1136" i="24"/>
  <c r="W1136" i="24" s="1"/>
  <c r="N1136" i="24"/>
  <c r="O1136" i="24" s="1"/>
  <c r="I948" i="37"/>
  <c r="J948" i="37"/>
  <c r="D948" i="37"/>
  <c r="C948" i="37"/>
  <c r="P947" i="37"/>
  <c r="O947" i="37"/>
  <c r="L948" i="37"/>
  <c r="M948" i="37"/>
  <c r="S947" i="37"/>
  <c r="R947" i="37"/>
  <c r="G948" i="37"/>
  <c r="F948" i="37"/>
  <c r="L1137" i="24" l="1"/>
  <c r="M1137" i="24" s="1"/>
  <c r="P1137" i="24"/>
  <c r="Q1137" i="24" s="1"/>
  <c r="J1137" i="24"/>
  <c r="K1137" i="24" s="1"/>
  <c r="B1137" i="24"/>
  <c r="C1137" i="24" s="1"/>
  <c r="V1137" i="24"/>
  <c r="W1137" i="24" s="1"/>
  <c r="F1137" i="24"/>
  <c r="G1137" i="24" s="1"/>
  <c r="R1137" i="24"/>
  <c r="S1137" i="24" s="1"/>
  <c r="H1137" i="24"/>
  <c r="I1137" i="24" s="1"/>
  <c r="D1137" i="24"/>
  <c r="E1137" i="24" s="1"/>
  <c r="N1137" i="24"/>
  <c r="O1137" i="24" s="1"/>
  <c r="T1137" i="24"/>
  <c r="U1137" i="24" s="1"/>
  <c r="A1138" i="24"/>
  <c r="J949" i="37"/>
  <c r="I949" i="37"/>
  <c r="C949" i="37"/>
  <c r="D949" i="37"/>
  <c r="O948" i="37"/>
  <c r="P948" i="37"/>
  <c r="M949" i="37"/>
  <c r="L949" i="37"/>
  <c r="F949" i="37"/>
  <c r="G949" i="37"/>
  <c r="S948" i="37"/>
  <c r="R948" i="37"/>
  <c r="F1138" i="24" l="1"/>
  <c r="G1138" i="24" s="1"/>
  <c r="H1138" i="24"/>
  <c r="I1138" i="24" s="1"/>
  <c r="V1138" i="24"/>
  <c r="W1138" i="24" s="1"/>
  <c r="P1138" i="24"/>
  <c r="Q1138" i="24" s="1"/>
  <c r="R1138" i="24"/>
  <c r="S1138" i="24" s="1"/>
  <c r="J1138" i="24"/>
  <c r="K1138" i="24" s="1"/>
  <c r="L1138" i="24"/>
  <c r="M1138" i="24" s="1"/>
  <c r="T1138" i="24"/>
  <c r="U1138" i="24" s="1"/>
  <c r="A1139" i="24"/>
  <c r="D1138" i="24"/>
  <c r="E1138" i="24" s="1"/>
  <c r="B1138" i="24"/>
  <c r="C1138" i="24" s="1"/>
  <c r="N1138" i="24"/>
  <c r="O1138" i="24" s="1"/>
  <c r="J950" i="37"/>
  <c r="I950" i="37"/>
  <c r="D950" i="37"/>
  <c r="C950" i="37"/>
  <c r="O949" i="37"/>
  <c r="P949" i="37"/>
  <c r="S949" i="37"/>
  <c r="R949" i="37"/>
  <c r="L950" i="37"/>
  <c r="M950" i="37"/>
  <c r="F950" i="37"/>
  <c r="G950" i="37"/>
  <c r="D1139" i="24" l="1"/>
  <c r="E1139" i="24" s="1"/>
  <c r="L1139" i="24"/>
  <c r="M1139" i="24" s="1"/>
  <c r="H1139" i="24"/>
  <c r="I1139" i="24" s="1"/>
  <c r="T1139" i="24"/>
  <c r="U1139" i="24" s="1"/>
  <c r="J1139" i="24"/>
  <c r="K1139" i="24" s="1"/>
  <c r="A1140" i="24"/>
  <c r="R1139" i="24"/>
  <c r="S1139" i="24" s="1"/>
  <c r="N1139" i="24"/>
  <c r="O1139" i="24" s="1"/>
  <c r="F1139" i="24"/>
  <c r="G1139" i="24" s="1"/>
  <c r="B1139" i="24"/>
  <c r="C1139" i="24" s="1"/>
  <c r="P1139" i="24"/>
  <c r="Q1139" i="24" s="1"/>
  <c r="V1139" i="24"/>
  <c r="W1139" i="24" s="1"/>
  <c r="J951" i="37"/>
  <c r="I951" i="37"/>
  <c r="D951" i="37"/>
  <c r="C951" i="37"/>
  <c r="P950" i="37"/>
  <c r="O950" i="37"/>
  <c r="L951" i="37"/>
  <c r="M951" i="37"/>
  <c r="S950" i="37"/>
  <c r="R950" i="37"/>
  <c r="G951" i="37"/>
  <c r="F951" i="37"/>
  <c r="V1140" i="24" l="1"/>
  <c r="W1140" i="24" s="1"/>
  <c r="B1140" i="24"/>
  <c r="C1140" i="24" s="1"/>
  <c r="D1140" i="24"/>
  <c r="E1140" i="24" s="1"/>
  <c r="F1140" i="24"/>
  <c r="G1140" i="24" s="1"/>
  <c r="T1140" i="24"/>
  <c r="U1140" i="24" s="1"/>
  <c r="A1141" i="24"/>
  <c r="N1140" i="24"/>
  <c r="O1140" i="24" s="1"/>
  <c r="P1140" i="24"/>
  <c r="Q1140" i="24" s="1"/>
  <c r="L1140" i="24"/>
  <c r="M1140" i="24" s="1"/>
  <c r="H1140" i="24"/>
  <c r="I1140" i="24" s="1"/>
  <c r="J1140" i="24"/>
  <c r="K1140" i="24" s="1"/>
  <c r="R1140" i="24"/>
  <c r="S1140" i="24" s="1"/>
  <c r="J952" i="37"/>
  <c r="I952" i="37"/>
  <c r="D952" i="37"/>
  <c r="C952" i="37"/>
  <c r="P951" i="37"/>
  <c r="O951" i="37"/>
  <c r="R951" i="37"/>
  <c r="S951" i="37"/>
  <c r="G952" i="37"/>
  <c r="F952" i="37"/>
  <c r="L952" i="37"/>
  <c r="M952" i="37"/>
  <c r="L1141" i="24" l="1"/>
  <c r="M1141" i="24" s="1"/>
  <c r="H1141" i="24"/>
  <c r="I1141" i="24" s="1"/>
  <c r="J1141" i="24"/>
  <c r="K1141" i="24" s="1"/>
  <c r="N1141" i="24"/>
  <c r="O1141" i="24" s="1"/>
  <c r="R1141" i="24"/>
  <c r="S1141" i="24" s="1"/>
  <c r="T1141" i="24"/>
  <c r="U1141" i="24" s="1"/>
  <c r="A1142" i="24"/>
  <c r="D1141" i="24"/>
  <c r="E1141" i="24" s="1"/>
  <c r="F1141" i="24"/>
  <c r="G1141" i="24" s="1"/>
  <c r="P1141" i="24"/>
  <c r="Q1141" i="24" s="1"/>
  <c r="B1141" i="24"/>
  <c r="C1141" i="24" s="1"/>
  <c r="V1141" i="24"/>
  <c r="W1141" i="24" s="1"/>
  <c r="I953" i="37"/>
  <c r="J953" i="37"/>
  <c r="D953" i="37"/>
  <c r="C953" i="37"/>
  <c r="O952" i="37"/>
  <c r="P952" i="37"/>
  <c r="M953" i="37"/>
  <c r="L953" i="37"/>
  <c r="S952" i="37"/>
  <c r="R952" i="37"/>
  <c r="G953" i="37"/>
  <c r="F953" i="37"/>
  <c r="R1142" i="24" l="1"/>
  <c r="S1142" i="24" s="1"/>
  <c r="T1142" i="24"/>
  <c r="U1142" i="24" s="1"/>
  <c r="D1142" i="24"/>
  <c r="E1142" i="24" s="1"/>
  <c r="A1143" i="24"/>
  <c r="F1142" i="24"/>
  <c r="G1142" i="24" s="1"/>
  <c r="H1142" i="24"/>
  <c r="I1142" i="24" s="1"/>
  <c r="N1142" i="24"/>
  <c r="O1142" i="24" s="1"/>
  <c r="L1142" i="24"/>
  <c r="M1142" i="24" s="1"/>
  <c r="P1142" i="24"/>
  <c r="Q1142" i="24" s="1"/>
  <c r="J1142" i="24"/>
  <c r="K1142" i="24" s="1"/>
  <c r="V1142" i="24"/>
  <c r="W1142" i="24" s="1"/>
  <c r="B1142" i="24"/>
  <c r="C1142" i="24" s="1"/>
  <c r="I954" i="37"/>
  <c r="J954" i="37"/>
  <c r="D954" i="37"/>
  <c r="C954" i="37"/>
  <c r="P953" i="37"/>
  <c r="O953" i="37"/>
  <c r="R953" i="37"/>
  <c r="S953" i="37"/>
  <c r="G954" i="37"/>
  <c r="F954" i="37"/>
  <c r="L954" i="37"/>
  <c r="M954" i="37"/>
  <c r="D1143" i="24" l="1"/>
  <c r="E1143" i="24" s="1"/>
  <c r="L1143" i="24"/>
  <c r="M1143" i="24" s="1"/>
  <c r="N1143" i="24"/>
  <c r="O1143" i="24" s="1"/>
  <c r="P1143" i="24"/>
  <c r="Q1143" i="24" s="1"/>
  <c r="B1143" i="24"/>
  <c r="C1143" i="24" s="1"/>
  <c r="J1143" i="24"/>
  <c r="K1143" i="24" s="1"/>
  <c r="F1143" i="24"/>
  <c r="G1143" i="24" s="1"/>
  <c r="T1143" i="24"/>
  <c r="U1143" i="24" s="1"/>
  <c r="R1143" i="24"/>
  <c r="S1143" i="24" s="1"/>
  <c r="A1144" i="24"/>
  <c r="H1143" i="24"/>
  <c r="I1143" i="24" s="1"/>
  <c r="V1143" i="24"/>
  <c r="W1143" i="24" s="1"/>
  <c r="J955" i="37"/>
  <c r="I955" i="37"/>
  <c r="D955" i="37"/>
  <c r="C955" i="37"/>
  <c r="O954" i="37"/>
  <c r="P954" i="37"/>
  <c r="S954" i="37"/>
  <c r="R954" i="37"/>
  <c r="M955" i="37"/>
  <c r="L955" i="37"/>
  <c r="F955" i="37"/>
  <c r="G955" i="37"/>
  <c r="N1144" i="24" l="1"/>
  <c r="O1144" i="24" s="1"/>
  <c r="F1144" i="24"/>
  <c r="G1144" i="24" s="1"/>
  <c r="H1144" i="24"/>
  <c r="I1144" i="24" s="1"/>
  <c r="L1144" i="24"/>
  <c r="M1144" i="24" s="1"/>
  <c r="B1144" i="24"/>
  <c r="C1144" i="24" s="1"/>
  <c r="D1144" i="24"/>
  <c r="E1144" i="24" s="1"/>
  <c r="A1145" i="24"/>
  <c r="T1144" i="24"/>
  <c r="U1144" i="24" s="1"/>
  <c r="P1144" i="24"/>
  <c r="Q1144" i="24" s="1"/>
  <c r="J1144" i="24"/>
  <c r="K1144" i="24" s="1"/>
  <c r="R1144" i="24"/>
  <c r="S1144" i="24" s="1"/>
  <c r="V1144" i="24"/>
  <c r="W1144" i="24" s="1"/>
  <c r="J956" i="37"/>
  <c r="I956" i="37"/>
  <c r="D956" i="37"/>
  <c r="C956" i="37"/>
  <c r="P955" i="37"/>
  <c r="O955" i="37"/>
  <c r="F956" i="37"/>
  <c r="G956" i="37"/>
  <c r="R955" i="37"/>
  <c r="S955" i="37"/>
  <c r="L956" i="37"/>
  <c r="M956" i="37"/>
  <c r="L1145" i="24" l="1"/>
  <c r="M1145" i="24" s="1"/>
  <c r="R1145" i="24"/>
  <c r="S1145" i="24" s="1"/>
  <c r="T1145" i="24"/>
  <c r="U1145" i="24" s="1"/>
  <c r="P1145" i="24"/>
  <c r="Q1145" i="24" s="1"/>
  <c r="A1146" i="24"/>
  <c r="V1145" i="24"/>
  <c r="W1145" i="24" s="1"/>
  <c r="D1145" i="24"/>
  <c r="E1145" i="24" s="1"/>
  <c r="J1145" i="24"/>
  <c r="K1145" i="24" s="1"/>
  <c r="B1145" i="24"/>
  <c r="C1145" i="24" s="1"/>
  <c r="H1145" i="24"/>
  <c r="I1145" i="24" s="1"/>
  <c r="F1145" i="24"/>
  <c r="G1145" i="24" s="1"/>
  <c r="N1145" i="24"/>
  <c r="O1145" i="24" s="1"/>
  <c r="I957" i="37"/>
  <c r="J957" i="37"/>
  <c r="C957" i="37"/>
  <c r="D957" i="37"/>
  <c r="O956" i="37"/>
  <c r="P956" i="37"/>
  <c r="S956" i="37"/>
  <c r="R956" i="37"/>
  <c r="L957" i="37"/>
  <c r="M957" i="37"/>
  <c r="F957" i="37"/>
  <c r="G957" i="37"/>
  <c r="J1146" i="24" l="1"/>
  <c r="K1146" i="24" s="1"/>
  <c r="L1146" i="24"/>
  <c r="M1146" i="24" s="1"/>
  <c r="N1146" i="24"/>
  <c r="O1146" i="24" s="1"/>
  <c r="P1146" i="24"/>
  <c r="Q1146" i="24" s="1"/>
  <c r="T1146" i="24"/>
  <c r="U1146" i="24" s="1"/>
  <c r="A1147" i="24"/>
  <c r="H1146" i="24"/>
  <c r="I1146" i="24" s="1"/>
  <c r="D1146" i="24"/>
  <c r="E1146" i="24" s="1"/>
  <c r="B1146" i="24"/>
  <c r="C1146" i="24" s="1"/>
  <c r="V1146" i="24"/>
  <c r="W1146" i="24" s="1"/>
  <c r="R1146" i="24"/>
  <c r="S1146" i="24" s="1"/>
  <c r="F1146" i="24"/>
  <c r="G1146" i="24" s="1"/>
  <c r="J958" i="37"/>
  <c r="I958" i="37"/>
  <c r="C958" i="37"/>
  <c r="D958" i="37"/>
  <c r="O957" i="37"/>
  <c r="P957" i="37"/>
  <c r="S957" i="37"/>
  <c r="R957" i="37"/>
  <c r="F958" i="37"/>
  <c r="G958" i="37"/>
  <c r="M958" i="37"/>
  <c r="L958" i="37"/>
  <c r="D1147" i="24" l="1"/>
  <c r="E1147" i="24" s="1"/>
  <c r="N1147" i="24"/>
  <c r="O1147" i="24" s="1"/>
  <c r="R1147" i="24"/>
  <c r="S1147" i="24" s="1"/>
  <c r="B1147" i="24"/>
  <c r="C1147" i="24" s="1"/>
  <c r="H1147" i="24"/>
  <c r="I1147" i="24" s="1"/>
  <c r="A1148" i="24"/>
  <c r="V1147" i="24"/>
  <c r="W1147" i="24" s="1"/>
  <c r="L1147" i="24"/>
  <c r="M1147" i="24" s="1"/>
  <c r="F1147" i="24"/>
  <c r="G1147" i="24" s="1"/>
  <c r="P1147" i="24"/>
  <c r="Q1147" i="24" s="1"/>
  <c r="T1147" i="24"/>
  <c r="U1147" i="24" s="1"/>
  <c r="J1147" i="24"/>
  <c r="K1147" i="24" s="1"/>
  <c r="I959" i="37"/>
  <c r="J959" i="37"/>
  <c r="D959" i="37"/>
  <c r="C959" i="37"/>
  <c r="O958" i="37"/>
  <c r="P958" i="37"/>
  <c r="F959" i="37"/>
  <c r="G959" i="37"/>
  <c r="S958" i="37"/>
  <c r="R958" i="37"/>
  <c r="M959" i="37"/>
  <c r="L959" i="37"/>
  <c r="F1148" i="24" l="1"/>
  <c r="G1148" i="24" s="1"/>
  <c r="A1149" i="24"/>
  <c r="N1148" i="24"/>
  <c r="O1148" i="24" s="1"/>
  <c r="P1148" i="24"/>
  <c r="Q1148" i="24" s="1"/>
  <c r="D1148" i="24"/>
  <c r="E1148" i="24" s="1"/>
  <c r="R1148" i="24"/>
  <c r="S1148" i="24" s="1"/>
  <c r="V1148" i="24"/>
  <c r="W1148" i="24" s="1"/>
  <c r="H1148" i="24"/>
  <c r="I1148" i="24" s="1"/>
  <c r="T1148" i="24"/>
  <c r="U1148" i="24" s="1"/>
  <c r="L1148" i="24"/>
  <c r="M1148" i="24" s="1"/>
  <c r="B1148" i="24"/>
  <c r="C1148" i="24" s="1"/>
  <c r="J1148" i="24"/>
  <c r="K1148" i="24" s="1"/>
  <c r="J960" i="37"/>
  <c r="I960" i="37"/>
  <c r="D960" i="37"/>
  <c r="C960" i="37"/>
  <c r="P959" i="37"/>
  <c r="O959" i="37"/>
  <c r="R959" i="37"/>
  <c r="S959" i="37"/>
  <c r="M960" i="37"/>
  <c r="L960" i="37"/>
  <c r="F960" i="37"/>
  <c r="G960" i="37"/>
  <c r="L1149" i="24" l="1"/>
  <c r="M1149" i="24" s="1"/>
  <c r="N1149" i="24"/>
  <c r="O1149" i="24" s="1"/>
  <c r="B1149" i="24"/>
  <c r="C1149" i="24" s="1"/>
  <c r="H1149" i="24"/>
  <c r="I1149" i="24" s="1"/>
  <c r="J1149" i="24"/>
  <c r="K1149" i="24" s="1"/>
  <c r="T1149" i="24"/>
  <c r="U1149" i="24" s="1"/>
  <c r="F1149" i="24"/>
  <c r="G1149" i="24" s="1"/>
  <c r="V1149" i="24"/>
  <c r="W1149" i="24" s="1"/>
  <c r="A1150" i="24"/>
  <c r="D1149" i="24"/>
  <c r="E1149" i="24" s="1"/>
  <c r="R1149" i="24"/>
  <c r="S1149" i="24" s="1"/>
  <c r="P1149" i="24"/>
  <c r="Q1149" i="24" s="1"/>
  <c r="J961" i="37"/>
  <c r="I961" i="37"/>
  <c r="D961" i="37"/>
  <c r="C961" i="37"/>
  <c r="O960" i="37"/>
  <c r="P960" i="37"/>
  <c r="R960" i="37"/>
  <c r="S960" i="37"/>
  <c r="F961" i="37"/>
  <c r="G961" i="37"/>
  <c r="M961" i="37"/>
  <c r="L961" i="37"/>
  <c r="V1150" i="24" l="1"/>
  <c r="W1150" i="24" s="1"/>
  <c r="P1150" i="24"/>
  <c r="Q1150" i="24" s="1"/>
  <c r="B1150" i="24"/>
  <c r="C1150" i="24" s="1"/>
  <c r="D1150" i="24"/>
  <c r="E1150" i="24" s="1"/>
  <c r="L1150" i="24"/>
  <c r="M1150" i="24" s="1"/>
  <c r="R1150" i="24"/>
  <c r="S1150" i="24" s="1"/>
  <c r="H1150" i="24"/>
  <c r="I1150" i="24" s="1"/>
  <c r="T1150" i="24"/>
  <c r="U1150" i="24" s="1"/>
  <c r="A1151" i="24"/>
  <c r="J1150" i="24"/>
  <c r="K1150" i="24" s="1"/>
  <c r="N1150" i="24"/>
  <c r="O1150" i="24" s="1"/>
  <c r="F1150" i="24"/>
  <c r="G1150" i="24" s="1"/>
  <c r="J962" i="37"/>
  <c r="I962" i="37"/>
  <c r="C962" i="37"/>
  <c r="D962" i="37"/>
  <c r="P961" i="37"/>
  <c r="O961" i="37"/>
  <c r="G962" i="37"/>
  <c r="F962" i="37"/>
  <c r="L962" i="37"/>
  <c r="M962" i="37"/>
  <c r="S961" i="37"/>
  <c r="R961" i="37"/>
  <c r="D1151" i="24" l="1"/>
  <c r="E1151" i="24" s="1"/>
  <c r="J1151" i="24"/>
  <c r="K1151" i="24" s="1"/>
  <c r="A1152" i="24"/>
  <c r="P1151" i="24"/>
  <c r="Q1151" i="24" s="1"/>
  <c r="V1151" i="24"/>
  <c r="W1151" i="24" s="1"/>
  <c r="L1151" i="24"/>
  <c r="M1151" i="24" s="1"/>
  <c r="R1151" i="24"/>
  <c r="S1151" i="24" s="1"/>
  <c r="B1151" i="24"/>
  <c r="C1151" i="24" s="1"/>
  <c r="F1151" i="24"/>
  <c r="G1151" i="24" s="1"/>
  <c r="N1151" i="24"/>
  <c r="O1151" i="24" s="1"/>
  <c r="T1151" i="24"/>
  <c r="U1151" i="24" s="1"/>
  <c r="H1151" i="24"/>
  <c r="I1151" i="24" s="1"/>
  <c r="J963" i="37"/>
  <c r="I963" i="37"/>
  <c r="D963" i="37"/>
  <c r="C963" i="37"/>
  <c r="O962" i="37"/>
  <c r="P962" i="37"/>
  <c r="L963" i="37"/>
  <c r="M963" i="37"/>
  <c r="S962" i="37"/>
  <c r="R962" i="37"/>
  <c r="G963" i="37"/>
  <c r="F963" i="37"/>
  <c r="B1152" i="24" l="1"/>
  <c r="C1152" i="24" s="1"/>
  <c r="D1152" i="24"/>
  <c r="E1152" i="24" s="1"/>
  <c r="T1152" i="24"/>
  <c r="U1152" i="24" s="1"/>
  <c r="F1152" i="24"/>
  <c r="G1152" i="24" s="1"/>
  <c r="H1152" i="24"/>
  <c r="I1152" i="24" s="1"/>
  <c r="A1153" i="24"/>
  <c r="P1152" i="24"/>
  <c r="Q1152" i="24" s="1"/>
  <c r="J1152" i="24"/>
  <c r="K1152" i="24" s="1"/>
  <c r="V1152" i="24"/>
  <c r="W1152" i="24" s="1"/>
  <c r="L1152" i="24"/>
  <c r="M1152" i="24" s="1"/>
  <c r="R1152" i="24"/>
  <c r="S1152" i="24" s="1"/>
  <c r="N1152" i="24"/>
  <c r="O1152" i="24" s="1"/>
  <c r="I964" i="37"/>
  <c r="J964" i="37"/>
  <c r="D964" i="37"/>
  <c r="C964" i="37"/>
  <c r="P963" i="37"/>
  <c r="O963" i="37"/>
  <c r="R963" i="37"/>
  <c r="S963" i="37"/>
  <c r="M964" i="37"/>
  <c r="L964" i="37"/>
  <c r="G964" i="37"/>
  <c r="F964" i="37"/>
  <c r="L1153" i="24" l="1"/>
  <c r="M1153" i="24" s="1"/>
  <c r="F1153" i="24"/>
  <c r="G1153" i="24" s="1"/>
  <c r="P1153" i="24"/>
  <c r="Q1153" i="24" s="1"/>
  <c r="R1153" i="24"/>
  <c r="S1153" i="24" s="1"/>
  <c r="V1153" i="24"/>
  <c r="W1153" i="24" s="1"/>
  <c r="H1153" i="24"/>
  <c r="I1153" i="24" s="1"/>
  <c r="J1153" i="24"/>
  <c r="K1153" i="24" s="1"/>
  <c r="N1153" i="24"/>
  <c r="O1153" i="24" s="1"/>
  <c r="B1153" i="24"/>
  <c r="C1153" i="24" s="1"/>
  <c r="D1153" i="24"/>
  <c r="E1153" i="24" s="1"/>
  <c r="T1153" i="24"/>
  <c r="U1153" i="24" s="1"/>
  <c r="A1154" i="24"/>
  <c r="I965" i="37"/>
  <c r="J965" i="37"/>
  <c r="D965" i="37"/>
  <c r="C965" i="37"/>
  <c r="P964" i="37"/>
  <c r="O964" i="37"/>
  <c r="M965" i="37"/>
  <c r="L965" i="37"/>
  <c r="G965" i="37"/>
  <c r="F965" i="37"/>
  <c r="S964" i="37"/>
  <c r="R964" i="37"/>
  <c r="P1154" i="24" l="1"/>
  <c r="Q1154" i="24" s="1"/>
  <c r="H1154" i="24"/>
  <c r="I1154" i="24" s="1"/>
  <c r="V1154" i="24"/>
  <c r="W1154" i="24" s="1"/>
  <c r="F1154" i="24"/>
  <c r="G1154" i="24" s="1"/>
  <c r="J1154" i="24"/>
  <c r="K1154" i="24" s="1"/>
  <c r="B1154" i="24"/>
  <c r="C1154" i="24" s="1"/>
  <c r="D1154" i="24"/>
  <c r="E1154" i="24" s="1"/>
  <c r="T1154" i="24"/>
  <c r="U1154" i="24" s="1"/>
  <c r="L1154" i="24"/>
  <c r="M1154" i="24" s="1"/>
  <c r="R1154" i="24"/>
  <c r="S1154" i="24" s="1"/>
  <c r="A1155" i="24"/>
  <c r="N1154" i="24"/>
  <c r="O1154" i="24" s="1"/>
  <c r="I966" i="37"/>
  <c r="J966" i="37"/>
  <c r="D966" i="37"/>
  <c r="C966" i="37"/>
  <c r="O965" i="37"/>
  <c r="P965" i="37"/>
  <c r="F966" i="37"/>
  <c r="G966" i="37"/>
  <c r="S965" i="37"/>
  <c r="R965" i="37"/>
  <c r="M966" i="37"/>
  <c r="L966" i="37"/>
  <c r="D1155" i="24" l="1"/>
  <c r="E1155" i="24" s="1"/>
  <c r="B1155" i="24"/>
  <c r="C1155" i="24" s="1"/>
  <c r="P1155" i="24"/>
  <c r="Q1155" i="24" s="1"/>
  <c r="T1155" i="24"/>
  <c r="U1155" i="24" s="1"/>
  <c r="R1155" i="24"/>
  <c r="S1155" i="24" s="1"/>
  <c r="J1155" i="24"/>
  <c r="K1155" i="24" s="1"/>
  <c r="A1156" i="24"/>
  <c r="N1155" i="24"/>
  <c r="O1155" i="24" s="1"/>
  <c r="V1155" i="24"/>
  <c r="W1155" i="24" s="1"/>
  <c r="H1155" i="24"/>
  <c r="I1155" i="24" s="1"/>
  <c r="L1155" i="24"/>
  <c r="M1155" i="24" s="1"/>
  <c r="F1155" i="24"/>
  <c r="G1155" i="24" s="1"/>
  <c r="I967" i="37"/>
  <c r="J967" i="37"/>
  <c r="C967" i="37"/>
  <c r="D967" i="37"/>
  <c r="O966" i="37"/>
  <c r="P966" i="37"/>
  <c r="L967" i="37"/>
  <c r="M967" i="37"/>
  <c r="S966" i="37"/>
  <c r="R966" i="37"/>
  <c r="F967" i="37"/>
  <c r="G967" i="37"/>
  <c r="L1156" i="24" l="1"/>
  <c r="M1156" i="24" s="1"/>
  <c r="J1156" i="24"/>
  <c r="K1156" i="24" s="1"/>
  <c r="B1156" i="24"/>
  <c r="C1156" i="24" s="1"/>
  <c r="H1156" i="24"/>
  <c r="I1156" i="24" s="1"/>
  <c r="V1156" i="24"/>
  <c r="W1156" i="24" s="1"/>
  <c r="T1156" i="24"/>
  <c r="U1156" i="24" s="1"/>
  <c r="D1156" i="24"/>
  <c r="E1156" i="24" s="1"/>
  <c r="A1157" i="24"/>
  <c r="P1156" i="24"/>
  <c r="Q1156" i="24" s="1"/>
  <c r="F1156" i="24"/>
  <c r="G1156" i="24" s="1"/>
  <c r="R1156" i="24"/>
  <c r="S1156" i="24" s="1"/>
  <c r="N1156" i="24"/>
  <c r="O1156" i="24" s="1"/>
  <c r="I968" i="37"/>
  <c r="J968" i="37"/>
  <c r="C968" i="37"/>
  <c r="D968" i="37"/>
  <c r="P967" i="37"/>
  <c r="O967" i="37"/>
  <c r="R967" i="37"/>
  <c r="S967" i="37"/>
  <c r="G968" i="37"/>
  <c r="F968" i="37"/>
  <c r="M968" i="37"/>
  <c r="L968" i="37"/>
  <c r="L1157" i="24" l="1"/>
  <c r="M1157" i="24" s="1"/>
  <c r="R1157" i="24"/>
  <c r="S1157" i="24" s="1"/>
  <c r="B1157" i="24"/>
  <c r="C1157" i="24" s="1"/>
  <c r="V1157" i="24"/>
  <c r="W1157" i="24" s="1"/>
  <c r="D1157" i="24"/>
  <c r="E1157" i="24" s="1"/>
  <c r="T1157" i="24"/>
  <c r="U1157" i="24" s="1"/>
  <c r="J1157" i="24"/>
  <c r="K1157" i="24" s="1"/>
  <c r="H1157" i="24"/>
  <c r="I1157" i="24" s="1"/>
  <c r="N1157" i="24"/>
  <c r="O1157" i="24" s="1"/>
  <c r="P1157" i="24"/>
  <c r="Q1157" i="24" s="1"/>
  <c r="F1157" i="24"/>
  <c r="G1157" i="24" s="1"/>
  <c r="A1158" i="24"/>
  <c r="J969" i="37"/>
  <c r="I969" i="37"/>
  <c r="C969" i="37"/>
  <c r="D969" i="37"/>
  <c r="O968" i="37"/>
  <c r="P968" i="37"/>
  <c r="L969" i="37"/>
  <c r="M969" i="37"/>
  <c r="G969" i="37"/>
  <c r="F969" i="37"/>
  <c r="R968" i="37"/>
  <c r="S968" i="37"/>
  <c r="F1158" i="24" l="1"/>
  <c r="G1158" i="24" s="1"/>
  <c r="T1158" i="24"/>
  <c r="U1158" i="24" s="1"/>
  <c r="L1158" i="24"/>
  <c r="M1158" i="24" s="1"/>
  <c r="A1159" i="24"/>
  <c r="N1158" i="24"/>
  <c r="O1158" i="24" s="1"/>
  <c r="P1158" i="24"/>
  <c r="Q1158" i="24" s="1"/>
  <c r="H1158" i="24"/>
  <c r="I1158" i="24" s="1"/>
  <c r="R1158" i="24"/>
  <c r="S1158" i="24" s="1"/>
  <c r="B1158" i="24"/>
  <c r="C1158" i="24" s="1"/>
  <c r="D1158" i="24"/>
  <c r="E1158" i="24" s="1"/>
  <c r="J1158" i="24"/>
  <c r="K1158" i="24" s="1"/>
  <c r="V1158" i="24"/>
  <c r="W1158" i="24" s="1"/>
  <c r="I970" i="37"/>
  <c r="J970" i="37"/>
  <c r="D970" i="37"/>
  <c r="C970" i="37"/>
  <c r="P969" i="37"/>
  <c r="O969" i="37"/>
  <c r="F970" i="37"/>
  <c r="G970" i="37"/>
  <c r="R969" i="37"/>
  <c r="S969" i="37"/>
  <c r="L970" i="37"/>
  <c r="M970" i="37"/>
  <c r="D1159" i="24" l="1"/>
  <c r="E1159" i="24" s="1"/>
  <c r="N1159" i="24"/>
  <c r="O1159" i="24" s="1"/>
  <c r="F1159" i="24"/>
  <c r="G1159" i="24" s="1"/>
  <c r="H1159" i="24"/>
  <c r="I1159" i="24" s="1"/>
  <c r="J1159" i="24"/>
  <c r="K1159" i="24" s="1"/>
  <c r="P1159" i="24"/>
  <c r="Q1159" i="24" s="1"/>
  <c r="R1159" i="24"/>
  <c r="S1159" i="24" s="1"/>
  <c r="V1159" i="24"/>
  <c r="W1159" i="24" s="1"/>
  <c r="L1159" i="24"/>
  <c r="M1159" i="24" s="1"/>
  <c r="T1159" i="24"/>
  <c r="U1159" i="24" s="1"/>
  <c r="B1159" i="24"/>
  <c r="C1159" i="24" s="1"/>
  <c r="A1160" i="24"/>
  <c r="J971" i="37"/>
  <c r="I971" i="37"/>
  <c r="D971" i="37"/>
  <c r="C971" i="37"/>
  <c r="P970" i="37"/>
  <c r="O970" i="37"/>
  <c r="M971" i="37"/>
  <c r="L971" i="37"/>
  <c r="F971" i="37"/>
  <c r="G971" i="37"/>
  <c r="S970" i="37"/>
  <c r="R970" i="37"/>
  <c r="F1160" i="24" l="1"/>
  <c r="G1160" i="24" s="1"/>
  <c r="N1160" i="24"/>
  <c r="O1160" i="24" s="1"/>
  <c r="R1160" i="24"/>
  <c r="S1160" i="24" s="1"/>
  <c r="D1160" i="24"/>
  <c r="E1160" i="24" s="1"/>
  <c r="H1160" i="24"/>
  <c r="I1160" i="24" s="1"/>
  <c r="J1160" i="24"/>
  <c r="K1160" i="24" s="1"/>
  <c r="T1160" i="24"/>
  <c r="U1160" i="24" s="1"/>
  <c r="V1160" i="24"/>
  <c r="W1160" i="24" s="1"/>
  <c r="B1160" i="24"/>
  <c r="C1160" i="24" s="1"/>
  <c r="A1161" i="24"/>
  <c r="P1160" i="24"/>
  <c r="Q1160" i="24" s="1"/>
  <c r="L1160" i="24"/>
  <c r="M1160" i="24" s="1"/>
  <c r="J972" i="37"/>
  <c r="I972" i="37"/>
  <c r="D972" i="37"/>
  <c r="C972" i="37"/>
  <c r="P971" i="37"/>
  <c r="O971" i="37"/>
  <c r="F972" i="37"/>
  <c r="G972" i="37"/>
  <c r="L972" i="37"/>
  <c r="M972" i="37"/>
  <c r="S971" i="37"/>
  <c r="R971" i="37"/>
  <c r="L1161" i="24" l="1"/>
  <c r="M1161" i="24" s="1"/>
  <c r="J1161" i="24"/>
  <c r="K1161" i="24" s="1"/>
  <c r="T1161" i="24"/>
  <c r="U1161" i="24" s="1"/>
  <c r="H1161" i="24"/>
  <c r="I1161" i="24" s="1"/>
  <c r="A1162" i="24"/>
  <c r="R1161" i="24"/>
  <c r="S1161" i="24" s="1"/>
  <c r="N1161" i="24"/>
  <c r="O1161" i="24" s="1"/>
  <c r="F1161" i="24"/>
  <c r="G1161" i="24" s="1"/>
  <c r="P1161" i="24"/>
  <c r="Q1161" i="24" s="1"/>
  <c r="B1161" i="24"/>
  <c r="C1161" i="24" s="1"/>
  <c r="V1161" i="24"/>
  <c r="W1161" i="24" s="1"/>
  <c r="D1161" i="24"/>
  <c r="E1161" i="24" s="1"/>
  <c r="I973" i="37"/>
  <c r="J973" i="37"/>
  <c r="D973" i="37"/>
  <c r="C973" i="37"/>
  <c r="P972" i="37"/>
  <c r="O972" i="37"/>
  <c r="M973" i="37"/>
  <c r="L973" i="37"/>
  <c r="S972" i="37"/>
  <c r="R972" i="37"/>
  <c r="G973" i="37"/>
  <c r="F973" i="37"/>
  <c r="B1162" i="24" l="1"/>
  <c r="C1162" i="24" s="1"/>
  <c r="V1162" i="24"/>
  <c r="W1162" i="24" s="1"/>
  <c r="D1162" i="24"/>
  <c r="E1162" i="24" s="1"/>
  <c r="T1162" i="24"/>
  <c r="U1162" i="24" s="1"/>
  <c r="F1162" i="24"/>
  <c r="G1162" i="24" s="1"/>
  <c r="A1163" i="24"/>
  <c r="N1162" i="24"/>
  <c r="O1162" i="24" s="1"/>
  <c r="J1162" i="24"/>
  <c r="K1162" i="24" s="1"/>
  <c r="H1162" i="24"/>
  <c r="I1162" i="24" s="1"/>
  <c r="P1162" i="24"/>
  <c r="Q1162" i="24" s="1"/>
  <c r="L1162" i="24"/>
  <c r="M1162" i="24" s="1"/>
  <c r="R1162" i="24"/>
  <c r="S1162" i="24" s="1"/>
  <c r="I974" i="37"/>
  <c r="J974" i="37"/>
  <c r="D974" i="37"/>
  <c r="C974" i="37"/>
  <c r="P973" i="37"/>
  <c r="O973" i="37"/>
  <c r="S973" i="37"/>
  <c r="R973" i="37"/>
  <c r="G974" i="37"/>
  <c r="F974" i="37"/>
  <c r="M974" i="37"/>
  <c r="L974" i="37"/>
  <c r="D1163" i="24" l="1"/>
  <c r="E1163" i="24" s="1"/>
  <c r="H1163" i="24"/>
  <c r="I1163" i="24" s="1"/>
  <c r="J1163" i="24"/>
  <c r="K1163" i="24" s="1"/>
  <c r="L1163" i="24"/>
  <c r="M1163" i="24" s="1"/>
  <c r="P1163" i="24"/>
  <c r="Q1163" i="24" s="1"/>
  <c r="T1163" i="24"/>
  <c r="U1163" i="24" s="1"/>
  <c r="A1164" i="24"/>
  <c r="B1163" i="24"/>
  <c r="C1163" i="24" s="1"/>
  <c r="V1163" i="24"/>
  <c r="W1163" i="24" s="1"/>
  <c r="R1163" i="24"/>
  <c r="S1163" i="24" s="1"/>
  <c r="F1163" i="24"/>
  <c r="G1163" i="24" s="1"/>
  <c r="N1163" i="24"/>
  <c r="O1163" i="24" s="1"/>
  <c r="I975" i="37"/>
  <c r="J975" i="37"/>
  <c r="C975" i="37"/>
  <c r="D975" i="37"/>
  <c r="O974" i="37"/>
  <c r="P974" i="37"/>
  <c r="L975" i="37"/>
  <c r="M975" i="37"/>
  <c r="S974" i="37"/>
  <c r="R974" i="37"/>
  <c r="F975" i="37"/>
  <c r="G975" i="37"/>
  <c r="R1164" i="24" l="1"/>
  <c r="S1164" i="24" s="1"/>
  <c r="A1165" i="24"/>
  <c r="F1164" i="24"/>
  <c r="G1164" i="24" s="1"/>
  <c r="P1164" i="24"/>
  <c r="Q1164" i="24" s="1"/>
  <c r="L1164" i="24"/>
  <c r="M1164" i="24" s="1"/>
  <c r="H1164" i="24"/>
  <c r="I1164" i="24" s="1"/>
  <c r="J1164" i="24"/>
  <c r="K1164" i="24" s="1"/>
  <c r="N1164" i="24"/>
  <c r="O1164" i="24" s="1"/>
  <c r="D1164" i="24"/>
  <c r="E1164" i="24" s="1"/>
  <c r="V1164" i="24"/>
  <c r="W1164" i="24" s="1"/>
  <c r="T1164" i="24"/>
  <c r="U1164" i="24" s="1"/>
  <c r="B1164" i="24"/>
  <c r="C1164" i="24" s="1"/>
  <c r="I976" i="37"/>
  <c r="J976" i="37"/>
  <c r="D976" i="37"/>
  <c r="C976" i="37"/>
  <c r="O975" i="37"/>
  <c r="P975" i="37"/>
  <c r="G976" i="37"/>
  <c r="F976" i="37"/>
  <c r="S975" i="37"/>
  <c r="R975" i="37"/>
  <c r="M976" i="37"/>
  <c r="L976" i="37"/>
  <c r="L1165" i="24" l="1"/>
  <c r="M1165" i="24" s="1"/>
  <c r="R1165" i="24"/>
  <c r="S1165" i="24" s="1"/>
  <c r="B1165" i="24"/>
  <c r="C1165" i="24" s="1"/>
  <c r="D1165" i="24"/>
  <c r="E1165" i="24" s="1"/>
  <c r="T1165" i="24"/>
  <c r="U1165" i="24" s="1"/>
  <c r="J1165" i="24"/>
  <c r="K1165" i="24" s="1"/>
  <c r="N1165" i="24"/>
  <c r="O1165" i="24" s="1"/>
  <c r="P1165" i="24"/>
  <c r="Q1165" i="24" s="1"/>
  <c r="F1165" i="24"/>
  <c r="G1165" i="24" s="1"/>
  <c r="H1165" i="24"/>
  <c r="I1165" i="24" s="1"/>
  <c r="V1165" i="24"/>
  <c r="W1165" i="24" s="1"/>
  <c r="A1166" i="24"/>
  <c r="I977" i="37"/>
  <c r="J977" i="37"/>
  <c r="C977" i="37"/>
  <c r="D977" i="37"/>
  <c r="P976" i="37"/>
  <c r="O976" i="37"/>
  <c r="R976" i="37"/>
  <c r="S976" i="37"/>
  <c r="M977" i="37"/>
  <c r="L977" i="37"/>
  <c r="G977" i="37"/>
  <c r="F977" i="37"/>
  <c r="N1166" i="24" l="1"/>
  <c r="O1166" i="24" s="1"/>
  <c r="F1166" i="24"/>
  <c r="G1166" i="24" s="1"/>
  <c r="L1166" i="24"/>
  <c r="P1166" i="24"/>
  <c r="Q1166" i="24" s="1"/>
  <c r="V1166" i="24"/>
  <c r="W1166" i="24" s="1"/>
  <c r="B1166" i="24"/>
  <c r="C1166" i="24" s="1"/>
  <c r="A1167" i="24"/>
  <c r="R1166" i="24"/>
  <c r="S1166" i="24" s="1"/>
  <c r="J1166" i="24"/>
  <c r="K1166" i="24" s="1"/>
  <c r="T1166" i="24"/>
  <c r="U1166" i="24" s="1"/>
  <c r="H1166" i="24"/>
  <c r="I1166" i="24" s="1"/>
  <c r="D1166" i="24"/>
  <c r="E1166" i="24" s="1"/>
  <c r="M1166" i="24"/>
  <c r="J978" i="37"/>
  <c r="I978" i="37"/>
  <c r="C978" i="37"/>
  <c r="D978" i="37"/>
  <c r="O977" i="37"/>
  <c r="P977" i="37"/>
  <c r="F978" i="37"/>
  <c r="G978" i="37"/>
  <c r="M978" i="37"/>
  <c r="L978" i="37"/>
  <c r="S977" i="37"/>
  <c r="R977" i="37"/>
  <c r="D1167" i="24" l="1"/>
  <c r="E1167" i="24" s="1"/>
  <c r="P1167" i="24"/>
  <c r="Q1167" i="24" s="1"/>
  <c r="A1168" i="24"/>
  <c r="R1167" i="24"/>
  <c r="S1167" i="24" s="1"/>
  <c r="V1167" i="24"/>
  <c r="W1167" i="24" s="1"/>
  <c r="B1167" i="24"/>
  <c r="C1167" i="24" s="1"/>
  <c r="N1167" i="24"/>
  <c r="O1167" i="24" s="1"/>
  <c r="F1167" i="24"/>
  <c r="G1167" i="24" s="1"/>
  <c r="T1167" i="24"/>
  <c r="U1167" i="24" s="1"/>
  <c r="J1167" i="24"/>
  <c r="K1167" i="24" s="1"/>
  <c r="L1167" i="24"/>
  <c r="M1167" i="24" s="1"/>
  <c r="H1167" i="24"/>
  <c r="I1167" i="24" s="1"/>
  <c r="J979" i="37"/>
  <c r="I979" i="37"/>
  <c r="C979" i="37"/>
  <c r="D979" i="37"/>
  <c r="O978" i="37"/>
  <c r="P978" i="37"/>
  <c r="S978" i="37"/>
  <c r="R978" i="37"/>
  <c r="M979" i="37"/>
  <c r="L979" i="37"/>
  <c r="F979" i="37"/>
  <c r="G979" i="37"/>
  <c r="H1168" i="24" l="1"/>
  <c r="I1168" i="24" s="1"/>
  <c r="L1168" i="24"/>
  <c r="M1168" i="24" s="1"/>
  <c r="T1168" i="24"/>
  <c r="U1168" i="24" s="1"/>
  <c r="N1168" i="24"/>
  <c r="O1168" i="24" s="1"/>
  <c r="A1169" i="24"/>
  <c r="R1168" i="24"/>
  <c r="S1168" i="24" s="1"/>
  <c r="P1168" i="24"/>
  <c r="Q1168" i="24" s="1"/>
  <c r="D1168" i="24"/>
  <c r="E1168" i="24" s="1"/>
  <c r="V1168" i="24"/>
  <c r="W1168" i="24" s="1"/>
  <c r="F1168" i="24"/>
  <c r="G1168" i="24" s="1"/>
  <c r="J1168" i="24"/>
  <c r="K1168" i="24" s="1"/>
  <c r="B1168" i="24"/>
  <c r="C1168" i="24" s="1"/>
  <c r="J980" i="37"/>
  <c r="I980" i="37"/>
  <c r="C980" i="37"/>
  <c r="D980" i="37"/>
  <c r="P979" i="37"/>
  <c r="O979" i="37"/>
  <c r="L980" i="37"/>
  <c r="M980" i="37"/>
  <c r="G980" i="37"/>
  <c r="F980" i="37"/>
  <c r="R979" i="37"/>
  <c r="S979" i="37"/>
  <c r="L1169" i="24" l="1"/>
  <c r="M1169" i="24" s="1"/>
  <c r="N1169" i="24"/>
  <c r="O1169" i="24" s="1"/>
  <c r="V1169" i="24"/>
  <c r="W1169" i="24" s="1"/>
  <c r="F1169" i="24"/>
  <c r="G1169" i="24" s="1"/>
  <c r="H1169" i="24"/>
  <c r="I1169" i="24" s="1"/>
  <c r="A1170" i="24"/>
  <c r="R1169" i="24"/>
  <c r="S1169" i="24" s="1"/>
  <c r="J1169" i="24"/>
  <c r="K1169" i="24" s="1"/>
  <c r="T1169" i="24"/>
  <c r="U1169" i="24" s="1"/>
  <c r="B1169" i="24"/>
  <c r="C1169" i="24" s="1"/>
  <c r="D1169" i="24"/>
  <c r="E1169" i="24" s="1"/>
  <c r="P1169" i="24"/>
  <c r="Q1169" i="24" s="1"/>
  <c r="J981" i="37"/>
  <c r="I981" i="37"/>
  <c r="D981" i="37"/>
  <c r="C981" i="37"/>
  <c r="P980" i="37"/>
  <c r="O980" i="37"/>
  <c r="G981" i="37"/>
  <c r="F981" i="37"/>
  <c r="R980" i="37"/>
  <c r="S980" i="37"/>
  <c r="M981" i="37"/>
  <c r="L981" i="37"/>
  <c r="F1170" i="24" l="1"/>
  <c r="G1170" i="24" s="1"/>
  <c r="H1170" i="24"/>
  <c r="I1170" i="24" s="1"/>
  <c r="B1170" i="24"/>
  <c r="C1170" i="24" s="1"/>
  <c r="P1170" i="24"/>
  <c r="Q1170" i="24" s="1"/>
  <c r="R1170" i="24"/>
  <c r="S1170" i="24" s="1"/>
  <c r="D1170" i="24"/>
  <c r="E1170" i="24" s="1"/>
  <c r="J1170" i="24"/>
  <c r="K1170" i="24" s="1"/>
  <c r="V1170" i="24"/>
  <c r="W1170" i="24" s="1"/>
  <c r="T1170" i="24"/>
  <c r="U1170" i="24" s="1"/>
  <c r="L1170" i="24"/>
  <c r="M1170" i="24" s="1"/>
  <c r="N1170" i="24"/>
  <c r="O1170" i="24" s="1"/>
  <c r="A1171" i="24"/>
  <c r="J982" i="37"/>
  <c r="I982" i="37"/>
  <c r="C982" i="37"/>
  <c r="D982" i="37"/>
  <c r="O981" i="37"/>
  <c r="P981" i="37"/>
  <c r="R981" i="37"/>
  <c r="S981" i="37"/>
  <c r="F982" i="37"/>
  <c r="G982" i="37"/>
  <c r="M982" i="37"/>
  <c r="L982" i="37"/>
  <c r="D1171" i="24" l="1"/>
  <c r="E1171" i="24" s="1"/>
  <c r="L1171" i="24"/>
  <c r="M1171" i="24" s="1"/>
  <c r="H1171" i="24"/>
  <c r="I1171" i="24" s="1"/>
  <c r="T1171" i="24"/>
  <c r="U1171" i="24" s="1"/>
  <c r="J1171" i="24"/>
  <c r="K1171" i="24" s="1"/>
  <c r="A1172" i="24"/>
  <c r="R1171" i="24"/>
  <c r="S1171" i="24" s="1"/>
  <c r="B1171" i="24"/>
  <c r="C1171" i="24" s="1"/>
  <c r="F1171" i="24"/>
  <c r="G1171" i="24" s="1"/>
  <c r="V1171" i="24"/>
  <c r="W1171" i="24" s="1"/>
  <c r="N1171" i="24"/>
  <c r="O1171" i="24" s="1"/>
  <c r="P1171" i="24"/>
  <c r="Q1171" i="24" s="1"/>
  <c r="J983" i="37"/>
  <c r="I983" i="37"/>
  <c r="C983" i="37"/>
  <c r="D983" i="37"/>
  <c r="O982" i="37"/>
  <c r="P982" i="37"/>
  <c r="G983" i="37"/>
  <c r="F983" i="37"/>
  <c r="M983" i="37"/>
  <c r="L983" i="37"/>
  <c r="R982" i="37"/>
  <c r="S982" i="37"/>
  <c r="V1172" i="24" l="1"/>
  <c r="W1172" i="24" s="1"/>
  <c r="B1172" i="24"/>
  <c r="C1172" i="24" s="1"/>
  <c r="D1172" i="24"/>
  <c r="E1172" i="24" s="1"/>
  <c r="F1172" i="24"/>
  <c r="G1172" i="24" s="1"/>
  <c r="J1172" i="24"/>
  <c r="K1172" i="24" s="1"/>
  <c r="R1172" i="24"/>
  <c r="S1172" i="24" s="1"/>
  <c r="P1172" i="24"/>
  <c r="Q1172" i="24" s="1"/>
  <c r="L1172" i="24"/>
  <c r="M1172" i="24" s="1"/>
  <c r="T1172" i="24"/>
  <c r="U1172" i="24" s="1"/>
  <c r="A1173" i="24"/>
  <c r="N1172" i="24"/>
  <c r="O1172" i="24" s="1"/>
  <c r="H1172" i="24"/>
  <c r="I1172" i="24" s="1"/>
  <c r="J984" i="37"/>
  <c r="I984" i="37"/>
  <c r="D984" i="37"/>
  <c r="C984" i="37"/>
  <c r="P983" i="37"/>
  <c r="O983" i="37"/>
  <c r="M984" i="37"/>
  <c r="L984" i="37"/>
  <c r="F984" i="37"/>
  <c r="G984" i="37"/>
  <c r="S983" i="37"/>
  <c r="R983" i="37"/>
  <c r="L1173" i="24" l="1"/>
  <c r="M1173" i="24" s="1"/>
  <c r="H1173" i="24"/>
  <c r="I1173" i="24" s="1"/>
  <c r="J1173" i="24"/>
  <c r="K1173" i="24" s="1"/>
  <c r="N1173" i="24"/>
  <c r="O1173" i="24" s="1"/>
  <c r="R1173" i="24"/>
  <c r="S1173" i="24" s="1"/>
  <c r="P1173" i="24"/>
  <c r="Q1173" i="24" s="1"/>
  <c r="B1173" i="24"/>
  <c r="C1173" i="24" s="1"/>
  <c r="T1173" i="24"/>
  <c r="U1173" i="24" s="1"/>
  <c r="A1174" i="24"/>
  <c r="V1173" i="24"/>
  <c r="W1173" i="24" s="1"/>
  <c r="D1173" i="24"/>
  <c r="E1173" i="24" s="1"/>
  <c r="F1173" i="24"/>
  <c r="G1173" i="24" s="1"/>
  <c r="I985" i="37"/>
  <c r="J985" i="37"/>
  <c r="D985" i="37"/>
  <c r="C985" i="37"/>
  <c r="P984" i="37"/>
  <c r="O984" i="37"/>
  <c r="S984" i="37"/>
  <c r="R984" i="37"/>
  <c r="L985" i="37"/>
  <c r="M985" i="37"/>
  <c r="G985" i="37"/>
  <c r="F985" i="37"/>
  <c r="R1174" i="24" l="1"/>
  <c r="S1174" i="24" s="1"/>
  <c r="T1174" i="24"/>
  <c r="U1174" i="24" s="1"/>
  <c r="F1174" i="24"/>
  <c r="G1174" i="24" s="1"/>
  <c r="A1175" i="24"/>
  <c r="N1174" i="24"/>
  <c r="O1174" i="24" s="1"/>
  <c r="V1174" i="24"/>
  <c r="W1174" i="24" s="1"/>
  <c r="H1174" i="24"/>
  <c r="I1174" i="24" s="1"/>
  <c r="J1174" i="24"/>
  <c r="K1174" i="24" s="1"/>
  <c r="B1174" i="24"/>
  <c r="C1174" i="24" s="1"/>
  <c r="P1174" i="24"/>
  <c r="Q1174" i="24" s="1"/>
  <c r="D1174" i="24"/>
  <c r="E1174" i="24" s="1"/>
  <c r="L1174" i="24"/>
  <c r="M1174" i="24" s="1"/>
  <c r="J986" i="37"/>
  <c r="I986" i="37"/>
  <c r="C986" i="37"/>
  <c r="D986" i="37"/>
  <c r="P985" i="37"/>
  <c r="O985" i="37"/>
  <c r="S985" i="37"/>
  <c r="R985" i="37"/>
  <c r="G986" i="37"/>
  <c r="F986" i="37"/>
  <c r="M986" i="37"/>
  <c r="L986" i="37"/>
  <c r="F1175" i="24" l="1"/>
  <c r="G1175" i="24" s="1"/>
  <c r="D1175" i="24"/>
  <c r="E1175" i="24" s="1"/>
  <c r="P1175" i="24"/>
  <c r="Q1175" i="24" s="1"/>
  <c r="R1175" i="24"/>
  <c r="S1175" i="24" s="1"/>
  <c r="V1175" i="24"/>
  <c r="W1175" i="24" s="1"/>
  <c r="H1175" i="24"/>
  <c r="I1175" i="24" s="1"/>
  <c r="L1175" i="24"/>
  <c r="M1175" i="24" s="1"/>
  <c r="T1175" i="24"/>
  <c r="U1175" i="24" s="1"/>
  <c r="A1176" i="24"/>
  <c r="N1175" i="24"/>
  <c r="O1175" i="24" s="1"/>
  <c r="B1175" i="24"/>
  <c r="C1175" i="24" s="1"/>
  <c r="J1175" i="24"/>
  <c r="K1175" i="24" s="1"/>
  <c r="J987" i="37"/>
  <c r="I987" i="37"/>
  <c r="D987" i="37"/>
  <c r="C987" i="37"/>
  <c r="P986" i="37"/>
  <c r="O986" i="37"/>
  <c r="R986" i="37"/>
  <c r="S986" i="37"/>
  <c r="F987" i="37"/>
  <c r="G987" i="37"/>
  <c r="M987" i="37"/>
  <c r="L987" i="37"/>
  <c r="H1176" i="24" l="1"/>
  <c r="I1176" i="24" s="1"/>
  <c r="R1176" i="24"/>
  <c r="S1176" i="24" s="1"/>
  <c r="D1176" i="24"/>
  <c r="E1176" i="24" s="1"/>
  <c r="V1176" i="24"/>
  <c r="W1176" i="24" s="1"/>
  <c r="J1176" i="24"/>
  <c r="K1176" i="24" s="1"/>
  <c r="F1176" i="24"/>
  <c r="G1176" i="24" s="1"/>
  <c r="L1176" i="24"/>
  <c r="M1176" i="24" s="1"/>
  <c r="N1176" i="24"/>
  <c r="O1176" i="24" s="1"/>
  <c r="P1176" i="24"/>
  <c r="Q1176" i="24" s="1"/>
  <c r="T1176" i="24"/>
  <c r="U1176" i="24" s="1"/>
  <c r="B1176" i="24"/>
  <c r="C1176" i="24" s="1"/>
  <c r="A1177" i="24"/>
  <c r="I988" i="37"/>
  <c r="J988" i="37"/>
  <c r="D988" i="37"/>
  <c r="C988" i="37"/>
  <c r="P987" i="37"/>
  <c r="O987" i="37"/>
  <c r="R987" i="37"/>
  <c r="S987" i="37"/>
  <c r="M988" i="37"/>
  <c r="L988" i="37"/>
  <c r="F988" i="37"/>
  <c r="G988" i="37"/>
  <c r="N1177" i="24" l="1"/>
  <c r="O1177" i="24" s="1"/>
  <c r="R1177" i="24"/>
  <c r="S1177" i="24" s="1"/>
  <c r="T1177" i="24"/>
  <c r="U1177" i="24" s="1"/>
  <c r="L1177" i="24"/>
  <c r="M1177" i="24" s="1"/>
  <c r="A1178" i="24"/>
  <c r="B1177" i="24"/>
  <c r="C1177" i="24" s="1"/>
  <c r="P1177" i="24"/>
  <c r="Q1177" i="24" s="1"/>
  <c r="H1177" i="24"/>
  <c r="I1177" i="24" s="1"/>
  <c r="J1177" i="24"/>
  <c r="K1177" i="24" s="1"/>
  <c r="D1177" i="24"/>
  <c r="E1177" i="24" s="1"/>
  <c r="V1177" i="24"/>
  <c r="W1177" i="24" s="1"/>
  <c r="F1177" i="24"/>
  <c r="G1177" i="24" s="1"/>
  <c r="J989" i="37"/>
  <c r="I989" i="37"/>
  <c r="C989" i="37"/>
  <c r="D989" i="37"/>
  <c r="O988" i="37"/>
  <c r="P988" i="37"/>
  <c r="G989" i="37"/>
  <c r="F989" i="37"/>
  <c r="M989" i="37"/>
  <c r="L989" i="37"/>
  <c r="R988" i="37"/>
  <c r="S988" i="37"/>
  <c r="R1178" i="24" l="1"/>
  <c r="V1178" i="24"/>
  <c r="W1178" i="24" s="1"/>
  <c r="D1178" i="24"/>
  <c r="E1178" i="24" s="1"/>
  <c r="T1178" i="24"/>
  <c r="U1178" i="24" s="1"/>
  <c r="F1178" i="24"/>
  <c r="G1178" i="24" s="1"/>
  <c r="N1178" i="24"/>
  <c r="O1178" i="24" s="1"/>
  <c r="L1178" i="24"/>
  <c r="M1178" i="24" s="1"/>
  <c r="A1179" i="24"/>
  <c r="J1178" i="24"/>
  <c r="K1178" i="24" s="1"/>
  <c r="P1178" i="24"/>
  <c r="Q1178" i="24" s="1"/>
  <c r="B1178" i="24"/>
  <c r="C1178" i="24" s="1"/>
  <c r="H1178" i="24"/>
  <c r="I1178" i="24" s="1"/>
  <c r="S1178" i="24"/>
  <c r="I990" i="37"/>
  <c r="J990" i="37"/>
  <c r="D69" i="32" s="1"/>
  <c r="C990" i="37"/>
  <c r="D990" i="37"/>
  <c r="D68" i="32" s="1"/>
  <c r="P989" i="37"/>
  <c r="O989" i="37"/>
  <c r="R989" i="37"/>
  <c r="S989" i="37"/>
  <c r="L990" i="37"/>
  <c r="M990" i="37"/>
  <c r="D71" i="32" s="1"/>
  <c r="G990" i="37"/>
  <c r="F990" i="37"/>
  <c r="F1179" i="24" l="1"/>
  <c r="G1179" i="24" s="1"/>
  <c r="R1179" i="24"/>
  <c r="S1179" i="24" s="1"/>
  <c r="L1179" i="24"/>
  <c r="M1179" i="24" s="1"/>
  <c r="N1179" i="24"/>
  <c r="O1179" i="24" s="1"/>
  <c r="B1179" i="24"/>
  <c r="C1179" i="24" s="1"/>
  <c r="T1179" i="24"/>
  <c r="U1179" i="24" s="1"/>
  <c r="P1179" i="24"/>
  <c r="Q1179" i="24" s="1"/>
  <c r="V1179" i="24"/>
  <c r="W1179" i="24" s="1"/>
  <c r="H1179" i="24"/>
  <c r="I1179" i="24" s="1"/>
  <c r="D1179" i="24"/>
  <c r="E1179" i="24" s="1"/>
  <c r="J1179" i="24"/>
  <c r="K1179" i="24" s="1"/>
  <c r="A1180" i="24"/>
  <c r="M69" i="32"/>
  <c r="D9" i="36"/>
  <c r="F9" i="36" s="1"/>
  <c r="K69" i="32"/>
  <c r="L69" i="32" s="1"/>
  <c r="V69" i="32" s="1"/>
  <c r="M68" i="32"/>
  <c r="K68" i="32"/>
  <c r="D6" i="36"/>
  <c r="F6" i="36" s="1"/>
  <c r="P990" i="37"/>
  <c r="D70" i="32" s="1"/>
  <c r="D72" i="32" s="1"/>
  <c r="E4" i="32" s="1"/>
  <c r="E5" i="32" s="1"/>
  <c r="E7" i="32" s="1"/>
  <c r="O990" i="37"/>
  <c r="K71" i="32"/>
  <c r="M71" i="32"/>
  <c r="R990" i="37"/>
  <c r="S990" i="37"/>
  <c r="H1180" i="24" l="1"/>
  <c r="I1180" i="24" s="1"/>
  <c r="A1181" i="24"/>
  <c r="P1180" i="24"/>
  <c r="Q1180" i="24" s="1"/>
  <c r="B1180" i="24"/>
  <c r="C1180" i="24" s="1"/>
  <c r="F1180" i="24"/>
  <c r="G1180" i="24" s="1"/>
  <c r="R1180" i="24"/>
  <c r="S1180" i="24" s="1"/>
  <c r="T1180" i="24"/>
  <c r="U1180" i="24" s="1"/>
  <c r="D1180" i="24"/>
  <c r="E1180" i="24" s="1"/>
  <c r="V1180" i="24"/>
  <c r="W1180" i="24" s="1"/>
  <c r="J1180" i="24"/>
  <c r="K1180" i="24" s="1"/>
  <c r="L1180" i="24"/>
  <c r="M1180" i="24" s="1"/>
  <c r="N1180" i="24"/>
  <c r="O1180" i="24" s="1"/>
  <c r="L68" i="32"/>
  <c r="K24" i="25"/>
  <c r="D10" i="36"/>
  <c r="F10" i="36" s="1"/>
  <c r="K70" i="32"/>
  <c r="L70" i="32" s="1"/>
  <c r="V70" i="32" s="1"/>
  <c r="D24" i="25"/>
  <c r="M70" i="32"/>
  <c r="M72" i="32" s="1"/>
  <c r="D8" i="36"/>
  <c r="F8" i="36" s="1"/>
  <c r="L71" i="32"/>
  <c r="E2" i="36" l="1"/>
  <c r="N1181" i="24"/>
  <c r="O1181" i="24" s="1"/>
  <c r="L1181" i="24"/>
  <c r="M1181" i="24" s="1"/>
  <c r="B1181" i="24"/>
  <c r="C1181" i="24" s="1"/>
  <c r="H1181" i="24"/>
  <c r="I1181" i="24" s="1"/>
  <c r="T1181" i="24"/>
  <c r="U1181" i="24" s="1"/>
  <c r="J1181" i="24"/>
  <c r="K1181" i="24" s="1"/>
  <c r="D1181" i="24"/>
  <c r="E1181" i="24" s="1"/>
  <c r="V1181" i="24"/>
  <c r="W1181" i="24" s="1"/>
  <c r="F1181" i="24"/>
  <c r="G1181" i="24" s="1"/>
  <c r="R1181" i="24"/>
  <c r="S1181" i="24" s="1"/>
  <c r="A1182" i="24"/>
  <c r="P1181" i="24"/>
  <c r="Q1181" i="24" s="1"/>
  <c r="V68" i="32"/>
  <c r="L24" i="25"/>
  <c r="B40" i="25" s="1"/>
  <c r="B41" i="25" s="1"/>
  <c r="K72" i="32"/>
  <c r="K26" i="25" s="1"/>
  <c r="V71" i="32"/>
  <c r="L14" i="32"/>
  <c r="L72" i="32"/>
  <c r="L18" i="32" l="1"/>
  <c r="L20" i="32" s="1"/>
  <c r="E20" i="32"/>
  <c r="R1182" i="24"/>
  <c r="S1182" i="24" s="1"/>
  <c r="P1182" i="24"/>
  <c r="Q1182" i="24" s="1"/>
  <c r="B1182" i="24"/>
  <c r="C1182" i="24" s="1"/>
  <c r="D1182" i="24"/>
  <c r="E1182" i="24" s="1"/>
  <c r="F1182" i="24"/>
  <c r="G1182" i="24" s="1"/>
  <c r="H1182" i="24"/>
  <c r="I1182" i="24" s="1"/>
  <c r="T1182" i="24"/>
  <c r="U1182" i="24" s="1"/>
  <c r="L1182" i="24"/>
  <c r="M1182" i="24" s="1"/>
  <c r="A1183" i="24"/>
  <c r="J1182" i="24"/>
  <c r="K1182" i="24" s="1"/>
  <c r="N1182" i="24"/>
  <c r="O1182" i="24" s="1"/>
  <c r="V1182" i="24"/>
  <c r="W1182" i="24" s="1"/>
  <c r="B11" i="32"/>
  <c r="E18" i="32" s="1"/>
  <c r="L26" i="25"/>
  <c r="V72" i="32"/>
  <c r="J12" i="32" l="1"/>
  <c r="J10" i="32"/>
  <c r="J9" i="32"/>
  <c r="J11" i="32"/>
  <c r="K6" i="32"/>
  <c r="F1183" i="24"/>
  <c r="G1183" i="24" s="1"/>
  <c r="D1183" i="24"/>
  <c r="E1183" i="24" s="1"/>
  <c r="A1184" i="24"/>
  <c r="J1183" i="24"/>
  <c r="K1183" i="24" s="1"/>
  <c r="H1183" i="24"/>
  <c r="I1183" i="24" s="1"/>
  <c r="L1183" i="24"/>
  <c r="M1183" i="24" s="1"/>
  <c r="V1183" i="24"/>
  <c r="W1183" i="24" s="1"/>
  <c r="B1183" i="24"/>
  <c r="C1183" i="24" s="1"/>
  <c r="T1183" i="24"/>
  <c r="U1183" i="24" s="1"/>
  <c r="N1183" i="24"/>
  <c r="O1183" i="24" s="1"/>
  <c r="P1183" i="24"/>
  <c r="Q1183" i="24" s="1"/>
  <c r="R1183" i="24"/>
  <c r="S1183" i="24" s="1"/>
  <c r="B12" i="32"/>
  <c r="H12" i="32" s="1"/>
  <c r="E11" i="32"/>
  <c r="E12" i="32" s="1"/>
  <c r="H1184" i="24" l="1"/>
  <c r="I1184" i="24" s="1"/>
  <c r="F1184" i="24"/>
  <c r="G1184" i="24" s="1"/>
  <c r="A1185" i="24"/>
  <c r="T1184" i="24"/>
  <c r="U1184" i="24" s="1"/>
  <c r="L1184" i="24"/>
  <c r="M1184" i="24" s="1"/>
  <c r="N1184" i="24"/>
  <c r="O1184" i="24" s="1"/>
  <c r="J1184" i="24"/>
  <c r="K1184" i="24" s="1"/>
  <c r="D1184" i="24"/>
  <c r="E1184" i="24" s="1"/>
  <c r="P1184" i="24"/>
  <c r="Q1184" i="24" s="1"/>
  <c r="V1184" i="24"/>
  <c r="W1184" i="24" s="1"/>
  <c r="B1184" i="24"/>
  <c r="C1184" i="24" s="1"/>
  <c r="R1184" i="24"/>
  <c r="S1184" i="24" s="1"/>
  <c r="K8" i="32"/>
  <c r="K7" i="32"/>
  <c r="K9" i="32"/>
  <c r="K10" i="32"/>
  <c r="K11" i="32"/>
  <c r="K12" i="32"/>
  <c r="N1185" i="24" l="1"/>
  <c r="R1185" i="24"/>
  <c r="S1185" i="24" s="1"/>
  <c r="V1185" i="24"/>
  <c r="W1185" i="24" s="1"/>
  <c r="F1185" i="24"/>
  <c r="G1185" i="24" s="1"/>
  <c r="H1185" i="24"/>
  <c r="I1185" i="24" s="1"/>
  <c r="T1185" i="24"/>
  <c r="U1185" i="24" s="1"/>
  <c r="A1186" i="24"/>
  <c r="L1185" i="24"/>
  <c r="M1185" i="24" s="1"/>
  <c r="P1185" i="24"/>
  <c r="Q1185" i="24" s="1"/>
  <c r="D1185" i="24"/>
  <c r="E1185" i="24" s="1"/>
  <c r="J1185" i="24"/>
  <c r="K1185" i="24" s="1"/>
  <c r="B1185" i="24"/>
  <c r="C1185" i="24" s="1"/>
  <c r="O1185" i="24"/>
  <c r="R1186" i="24" l="1"/>
  <c r="S1186" i="24" s="1"/>
  <c r="J1186" i="24"/>
  <c r="K1186" i="24" s="1"/>
  <c r="N1186" i="24"/>
  <c r="O1186" i="24" s="1"/>
  <c r="L1186" i="24"/>
  <c r="M1186" i="24" s="1"/>
  <c r="P1186" i="24"/>
  <c r="Q1186" i="24" s="1"/>
  <c r="A1187" i="24"/>
  <c r="B1186" i="24"/>
  <c r="C1186" i="24" s="1"/>
  <c r="V1186" i="24"/>
  <c r="W1186" i="24" s="1"/>
  <c r="T1186" i="24"/>
  <c r="U1186" i="24" s="1"/>
  <c r="D1186" i="24"/>
  <c r="E1186" i="24" s="1"/>
  <c r="F1186" i="24"/>
  <c r="G1186" i="24" s="1"/>
  <c r="H1186" i="24"/>
  <c r="I1186" i="24" s="1"/>
  <c r="F1187" i="24" l="1"/>
  <c r="G1187" i="24" s="1"/>
  <c r="R1187" i="24"/>
  <c r="S1187" i="24" s="1"/>
  <c r="J1187" i="24"/>
  <c r="K1187" i="24" s="1"/>
  <c r="T1187" i="24"/>
  <c r="U1187" i="24" s="1"/>
  <c r="P1187" i="24"/>
  <c r="Q1187" i="24" s="1"/>
  <c r="A1188" i="24"/>
  <c r="V1187" i="24"/>
  <c r="W1187" i="24" s="1"/>
  <c r="N1187" i="24"/>
  <c r="O1187" i="24" s="1"/>
  <c r="B1187" i="24"/>
  <c r="C1187" i="24" s="1"/>
  <c r="D1187" i="24"/>
  <c r="E1187" i="24" s="1"/>
  <c r="L1187" i="24"/>
  <c r="M1187" i="24" s="1"/>
  <c r="H1187" i="24"/>
  <c r="I1187" i="24" s="1"/>
  <c r="H1188" i="24" l="1"/>
  <c r="I1188" i="24" s="1"/>
  <c r="V1188" i="24"/>
  <c r="W1188" i="24" s="1"/>
  <c r="J1188" i="24"/>
  <c r="K1188" i="24" s="1"/>
  <c r="L1188" i="24"/>
  <c r="M1188" i="24" s="1"/>
  <c r="N1188" i="24"/>
  <c r="O1188" i="24" s="1"/>
  <c r="P1188" i="24"/>
  <c r="Q1188" i="24" s="1"/>
  <c r="A1189" i="24"/>
  <c r="B1188" i="24"/>
  <c r="C1188" i="24" s="1"/>
  <c r="R1188" i="24"/>
  <c r="S1188" i="24" s="1"/>
  <c r="D1188" i="24"/>
  <c r="E1188" i="24" s="1"/>
  <c r="F1188" i="24"/>
  <c r="G1188" i="24" s="1"/>
  <c r="T1188" i="24"/>
  <c r="U1188" i="24" s="1"/>
  <c r="N1189" i="24" l="1"/>
  <c r="O1189" i="24" s="1"/>
  <c r="L1189" i="24"/>
  <c r="M1189" i="24" s="1"/>
  <c r="P1189" i="24"/>
  <c r="Q1189" i="24" s="1"/>
  <c r="D1189" i="24"/>
  <c r="E1189" i="24" s="1"/>
  <c r="V1189" i="24"/>
  <c r="W1189" i="24" s="1"/>
  <c r="J1189" i="24"/>
  <c r="K1189" i="24" s="1"/>
  <c r="R1189" i="24"/>
  <c r="S1189" i="24" s="1"/>
  <c r="B1189" i="24"/>
  <c r="C1189" i="24" s="1"/>
  <c r="H1189" i="24"/>
  <c r="I1189" i="24" s="1"/>
  <c r="A1190" i="24"/>
  <c r="F1189" i="24"/>
  <c r="G1189" i="24" s="1"/>
  <c r="T1189" i="24"/>
  <c r="U1189" i="24" s="1"/>
  <c r="R1190" i="24" l="1"/>
  <c r="S1190" i="24" s="1"/>
  <c r="T1190" i="24"/>
  <c r="U1190" i="24" s="1"/>
  <c r="H1190" i="24"/>
  <c r="I1190" i="24" s="1"/>
  <c r="A1191" i="24"/>
  <c r="N1190" i="24"/>
  <c r="O1190" i="24" s="1"/>
  <c r="J1190" i="24"/>
  <c r="K1190" i="24" s="1"/>
  <c r="V1190" i="24"/>
  <c r="W1190" i="24" s="1"/>
  <c r="D1190" i="24"/>
  <c r="E1190" i="24" s="1"/>
  <c r="L1190" i="24"/>
  <c r="M1190" i="24" s="1"/>
  <c r="P1190" i="24"/>
  <c r="Q1190" i="24" s="1"/>
  <c r="B1190" i="24"/>
  <c r="C1190" i="24" s="1"/>
  <c r="F1190" i="24"/>
  <c r="G1190" i="24" s="1"/>
  <c r="F1191" i="24" l="1"/>
  <c r="G1191" i="24" s="1"/>
  <c r="D1191" i="24"/>
  <c r="E1191" i="24" s="1"/>
  <c r="P1191" i="24"/>
  <c r="Q1191" i="24" s="1"/>
  <c r="R1191" i="24"/>
  <c r="S1191" i="24" s="1"/>
  <c r="V1191" i="24"/>
  <c r="W1191" i="24" s="1"/>
  <c r="A1192" i="24"/>
  <c r="H1191" i="24"/>
  <c r="I1191" i="24" s="1"/>
  <c r="L1191" i="24"/>
  <c r="M1191" i="24" s="1"/>
  <c r="N1191" i="24"/>
  <c r="O1191" i="24" s="1"/>
  <c r="B1191" i="24"/>
  <c r="C1191" i="24" s="1"/>
  <c r="T1191" i="24"/>
  <c r="U1191" i="24" s="1"/>
  <c r="J1191" i="24"/>
  <c r="K1191" i="24" s="1"/>
  <c r="H1192" i="24" l="1"/>
  <c r="I1192" i="24" s="1"/>
  <c r="R1192" i="24"/>
  <c r="S1192" i="24" s="1"/>
  <c r="D1192" i="24"/>
  <c r="E1192" i="24" s="1"/>
  <c r="V1192" i="24"/>
  <c r="W1192" i="24" s="1"/>
  <c r="B1192" i="24"/>
  <c r="C1192" i="24" s="1"/>
  <c r="J1192" i="24"/>
  <c r="K1192" i="24" s="1"/>
  <c r="N1192" i="24"/>
  <c r="O1192" i="24" s="1"/>
  <c r="F1192" i="24"/>
  <c r="G1192" i="24" s="1"/>
  <c r="P1192" i="24"/>
  <c r="Q1192" i="24" s="1"/>
  <c r="A1193" i="24"/>
  <c r="T1192" i="24"/>
  <c r="U1192" i="24" s="1"/>
  <c r="L1192" i="24"/>
  <c r="M1192" i="24" s="1"/>
  <c r="N1193" i="24" l="1"/>
  <c r="O1193" i="24" s="1"/>
  <c r="R1193" i="24"/>
  <c r="S1193" i="24" s="1"/>
  <c r="T1193" i="24"/>
  <c r="U1193" i="24" s="1"/>
  <c r="L1193" i="24"/>
  <c r="M1193" i="24" s="1"/>
  <c r="A1194" i="24"/>
  <c r="B1193" i="24"/>
  <c r="C1193" i="24" s="1"/>
  <c r="P1193" i="24"/>
  <c r="Q1193" i="24" s="1"/>
  <c r="F1193" i="24"/>
  <c r="G1193" i="24" s="1"/>
  <c r="H1193" i="24"/>
  <c r="I1193" i="24" s="1"/>
  <c r="D1193" i="24"/>
  <c r="E1193" i="24" s="1"/>
  <c r="V1193" i="24"/>
  <c r="W1193" i="24" s="1"/>
  <c r="J1193" i="24"/>
  <c r="K1193" i="24" s="1"/>
  <c r="R1194" i="24" l="1"/>
  <c r="S1194" i="24" s="1"/>
  <c r="V1194" i="24"/>
  <c r="W1194" i="24" s="1"/>
  <c r="D1194" i="24"/>
  <c r="E1194" i="24" s="1"/>
  <c r="F1194" i="24"/>
  <c r="G1194" i="24" s="1"/>
  <c r="T1194" i="24"/>
  <c r="U1194" i="24" s="1"/>
  <c r="H1194" i="24"/>
  <c r="I1194" i="24" s="1"/>
  <c r="N1194" i="24"/>
  <c r="O1194" i="24" s="1"/>
  <c r="P1194" i="24"/>
  <c r="Q1194" i="24" s="1"/>
  <c r="B1194" i="24"/>
  <c r="C1194" i="24" s="1"/>
  <c r="A1195" i="24"/>
  <c r="J1194" i="24"/>
  <c r="K1194" i="24" s="1"/>
  <c r="L1194" i="24"/>
  <c r="M1194" i="24" s="1"/>
  <c r="F1195" i="24" l="1"/>
  <c r="G1195" i="24" s="1"/>
  <c r="R1195" i="24"/>
  <c r="S1195" i="24" s="1"/>
  <c r="L1195" i="24"/>
  <c r="M1195" i="24" s="1"/>
  <c r="N1195" i="24"/>
  <c r="O1195" i="24" s="1"/>
  <c r="B1195" i="24"/>
  <c r="C1195" i="24" s="1"/>
  <c r="V1195" i="24"/>
  <c r="W1195" i="24" s="1"/>
  <c r="T1195" i="24"/>
  <c r="U1195" i="24" s="1"/>
  <c r="A1196" i="24"/>
  <c r="H1195" i="24"/>
  <c r="I1195" i="24" s="1"/>
  <c r="P1195" i="24"/>
  <c r="Q1195" i="24" s="1"/>
  <c r="D1195" i="24"/>
  <c r="E1195" i="24" s="1"/>
  <c r="J1195" i="24"/>
  <c r="K1195" i="24" s="1"/>
  <c r="H1196" i="24" l="1"/>
  <c r="I1196" i="24" s="1"/>
  <c r="A1197" i="24"/>
  <c r="P1196" i="24"/>
  <c r="Q1196" i="24" s="1"/>
  <c r="B1196" i="24"/>
  <c r="C1196" i="24" s="1"/>
  <c r="F1196" i="24"/>
  <c r="G1196" i="24" s="1"/>
  <c r="R1196" i="24"/>
  <c r="S1196" i="24" s="1"/>
  <c r="T1196" i="24"/>
  <c r="U1196" i="24" s="1"/>
  <c r="D1196" i="24"/>
  <c r="E1196" i="24" s="1"/>
  <c r="V1196" i="24"/>
  <c r="W1196" i="24" s="1"/>
  <c r="J1196" i="24"/>
  <c r="K1196" i="24" s="1"/>
  <c r="L1196" i="24"/>
  <c r="M1196" i="24" s="1"/>
  <c r="N1196" i="24"/>
  <c r="O1196" i="24" s="1"/>
  <c r="N1197" i="24" l="1"/>
  <c r="O1197" i="24" s="1"/>
  <c r="L1197" i="24"/>
  <c r="M1197" i="24" s="1"/>
  <c r="B1197" i="24"/>
  <c r="C1197" i="24" s="1"/>
  <c r="H1197" i="24"/>
  <c r="I1197" i="24" s="1"/>
  <c r="J1197" i="24"/>
  <c r="K1197" i="24" s="1"/>
  <c r="T1197" i="24"/>
  <c r="U1197" i="24" s="1"/>
  <c r="P1197" i="24"/>
  <c r="Q1197" i="24" s="1"/>
  <c r="D1197" i="24"/>
  <c r="E1197" i="24" s="1"/>
  <c r="R1197" i="24"/>
  <c r="S1197" i="24" s="1"/>
  <c r="A1198" i="24"/>
  <c r="F1197" i="24"/>
  <c r="G1197" i="24" s="1"/>
  <c r="V1197" i="24"/>
  <c r="W1197" i="24" s="1"/>
  <c r="R1198" i="24" l="1"/>
  <c r="S1198" i="24" s="1"/>
  <c r="P1198" i="24"/>
  <c r="Q1198" i="24" s="1"/>
  <c r="B1198" i="24"/>
  <c r="C1198" i="24" s="1"/>
  <c r="D1198" i="24"/>
  <c r="E1198" i="24" s="1"/>
  <c r="L1198" i="24"/>
  <c r="M1198" i="24" s="1"/>
  <c r="F1198" i="24"/>
  <c r="G1198" i="24" s="1"/>
  <c r="V1198" i="24"/>
  <c r="W1198" i="24" s="1"/>
  <c r="T1198" i="24"/>
  <c r="U1198" i="24" s="1"/>
  <c r="A1199" i="24"/>
  <c r="N1198" i="24"/>
  <c r="O1198" i="24" s="1"/>
  <c r="J1198" i="24"/>
  <c r="K1198" i="24" s="1"/>
  <c r="H1198" i="24"/>
  <c r="I1198" i="24" s="1"/>
  <c r="F1199" i="24" l="1"/>
  <c r="G1199" i="24" s="1"/>
  <c r="D1199" i="24"/>
  <c r="E1199" i="24" s="1"/>
  <c r="A1200" i="24"/>
  <c r="J1199" i="24"/>
  <c r="K1199" i="24" s="1"/>
  <c r="H1199" i="24"/>
  <c r="I1199" i="24" s="1"/>
  <c r="L1199" i="24"/>
  <c r="M1199" i="24" s="1"/>
  <c r="R1199" i="24"/>
  <c r="S1199" i="24" s="1"/>
  <c r="V1199" i="24"/>
  <c r="W1199" i="24" s="1"/>
  <c r="N1199" i="24"/>
  <c r="O1199" i="24" s="1"/>
  <c r="P1199" i="24"/>
  <c r="Q1199" i="24" s="1"/>
  <c r="T1199" i="24"/>
  <c r="U1199" i="24" s="1"/>
  <c r="B1199" i="24"/>
  <c r="C1199" i="24" s="1"/>
  <c r="H1200" i="24" l="1"/>
  <c r="I1200" i="24" s="1"/>
  <c r="F1200" i="24"/>
  <c r="G1200" i="24" s="1"/>
  <c r="T1200" i="24"/>
  <c r="U1200" i="24" s="1"/>
  <c r="L1200" i="24"/>
  <c r="M1200" i="24" s="1"/>
  <c r="N1200" i="24"/>
  <c r="O1200" i="24" s="1"/>
  <c r="A1201" i="24"/>
  <c r="P1200" i="24"/>
  <c r="Q1200" i="24" s="1"/>
  <c r="D1200" i="24"/>
  <c r="E1200" i="24" s="1"/>
  <c r="B1200" i="24"/>
  <c r="C1200" i="24" s="1"/>
  <c r="R1200" i="24"/>
  <c r="S1200" i="24" s="1"/>
  <c r="V1200" i="24"/>
  <c r="W1200" i="24" s="1"/>
  <c r="J1200" i="24"/>
  <c r="K1200" i="24" s="1"/>
  <c r="N1201" i="24" l="1"/>
  <c r="O1201" i="24" s="1"/>
  <c r="R1201" i="24"/>
  <c r="S1201" i="24" s="1"/>
  <c r="V1201" i="24"/>
  <c r="W1201" i="24" s="1"/>
  <c r="F1201" i="24"/>
  <c r="G1201" i="24" s="1"/>
  <c r="H1201" i="24"/>
  <c r="I1201" i="24" s="1"/>
  <c r="T1201" i="24"/>
  <c r="U1201" i="24" s="1"/>
  <c r="A1202" i="24"/>
  <c r="P1201" i="24"/>
  <c r="Q1201" i="24" s="1"/>
  <c r="D1201" i="24"/>
  <c r="E1201" i="24" s="1"/>
  <c r="J1201" i="24"/>
  <c r="K1201" i="24" s="1"/>
  <c r="L1201" i="24"/>
  <c r="M1201" i="24" s="1"/>
  <c r="B1201" i="24"/>
  <c r="C1201" i="24" s="1"/>
  <c r="R1202" i="24" l="1"/>
  <c r="S1202" i="24" s="1"/>
  <c r="J1202" i="24"/>
  <c r="K1202" i="24" s="1"/>
  <c r="N1202" i="24"/>
  <c r="O1202" i="24" s="1"/>
  <c r="L1202" i="24"/>
  <c r="M1202" i="24" s="1"/>
  <c r="P1202" i="24"/>
  <c r="Q1202" i="24" s="1"/>
  <c r="T1202" i="24"/>
  <c r="U1202" i="24" s="1"/>
  <c r="A1203" i="24"/>
  <c r="D1202" i="24"/>
  <c r="E1202" i="24" s="1"/>
  <c r="F1202" i="24"/>
  <c r="G1202" i="24" s="1"/>
  <c r="H1202" i="24"/>
  <c r="I1202" i="24" s="1"/>
  <c r="B1202" i="24"/>
  <c r="C1202" i="24" s="1"/>
  <c r="V1202" i="24"/>
  <c r="W1202" i="24" s="1"/>
  <c r="F1203" i="24" l="1"/>
  <c r="G1203" i="24" s="1"/>
  <c r="R1203" i="24"/>
  <c r="S1203" i="24" s="1"/>
  <c r="J1203" i="24"/>
  <c r="K1203" i="24" s="1"/>
  <c r="T1203" i="24"/>
  <c r="U1203" i="24" s="1"/>
  <c r="P1203" i="24"/>
  <c r="Q1203" i="24" s="1"/>
  <c r="A1204" i="24"/>
  <c r="V1203" i="24"/>
  <c r="W1203" i="24" s="1"/>
  <c r="L1203" i="24"/>
  <c r="M1203" i="24" s="1"/>
  <c r="N1203" i="24"/>
  <c r="O1203" i="24" s="1"/>
  <c r="D1203" i="24"/>
  <c r="E1203" i="24" s="1"/>
  <c r="H1203" i="24"/>
  <c r="I1203" i="24" s="1"/>
  <c r="B1203" i="24"/>
  <c r="C1203" i="24" s="1"/>
  <c r="H1204" i="24" l="1"/>
  <c r="I1204" i="24" s="1"/>
  <c r="V1204" i="24"/>
  <c r="W1204" i="24" s="1"/>
  <c r="J1204" i="24"/>
  <c r="K1204" i="24" s="1"/>
  <c r="L1204" i="24"/>
  <c r="M1204" i="24" s="1"/>
  <c r="D1204" i="24"/>
  <c r="E1204" i="24" s="1"/>
  <c r="N1204" i="24"/>
  <c r="O1204" i="24" s="1"/>
  <c r="B1204" i="24"/>
  <c r="C1204" i="24" s="1"/>
  <c r="R1204" i="24"/>
  <c r="S1204" i="24" s="1"/>
  <c r="P1204" i="24"/>
  <c r="Q1204" i="24" s="1"/>
  <c r="A1205" i="24"/>
  <c r="F1204" i="24"/>
  <c r="G1204" i="24" s="1"/>
  <c r="T1204" i="24"/>
  <c r="U1204" i="24" s="1"/>
  <c r="N1205" i="24" l="1"/>
  <c r="O1205" i="24" s="1"/>
  <c r="L1205" i="24"/>
  <c r="M1205" i="24" s="1"/>
  <c r="P1205" i="24"/>
  <c r="Q1205" i="24" s="1"/>
  <c r="D1205" i="24"/>
  <c r="E1205" i="24" s="1"/>
  <c r="V1205" i="24"/>
  <c r="W1205" i="24" s="1"/>
  <c r="H1205" i="24"/>
  <c r="I1205" i="24" s="1"/>
  <c r="J1205" i="24"/>
  <c r="K1205" i="24" s="1"/>
  <c r="R1205" i="24"/>
  <c r="S1205" i="24" s="1"/>
  <c r="A1206" i="24"/>
  <c r="F1205" i="24"/>
  <c r="G1205" i="24" s="1"/>
  <c r="T1205" i="24"/>
  <c r="U1205" i="24" s="1"/>
  <c r="B1205" i="24"/>
  <c r="C1205" i="24" s="1"/>
  <c r="R1206" i="24" l="1"/>
  <c r="S1206" i="24" s="1"/>
  <c r="T1206" i="24"/>
  <c r="U1206" i="24" s="1"/>
  <c r="H1206" i="24"/>
  <c r="I1206" i="24" s="1"/>
  <c r="A1207" i="24"/>
  <c r="N1206" i="24"/>
  <c r="O1206" i="24" s="1"/>
  <c r="J1206" i="24"/>
  <c r="K1206" i="24" s="1"/>
  <c r="V1206" i="24"/>
  <c r="W1206" i="24" s="1"/>
  <c r="F1206" i="24"/>
  <c r="G1206" i="24" s="1"/>
  <c r="L1206" i="24"/>
  <c r="M1206" i="24" s="1"/>
  <c r="P1206" i="24"/>
  <c r="Q1206" i="24" s="1"/>
  <c r="B1206" i="24"/>
  <c r="C1206" i="24" s="1"/>
  <c r="D1206" i="24"/>
  <c r="E1206" i="24" s="1"/>
  <c r="F1207" i="24" l="1"/>
  <c r="G1207" i="24" s="1"/>
  <c r="D1207" i="24"/>
  <c r="E1207" i="24" s="1"/>
  <c r="P1207" i="24"/>
  <c r="Q1207" i="24" s="1"/>
  <c r="R1207" i="24"/>
  <c r="S1207" i="24" s="1"/>
  <c r="V1207" i="24"/>
  <c r="W1207" i="24" s="1"/>
  <c r="T1207" i="24"/>
  <c r="U1207" i="24" s="1"/>
  <c r="A1208" i="24"/>
  <c r="N1207" i="24"/>
  <c r="O1207" i="24" s="1"/>
  <c r="B1207" i="24"/>
  <c r="C1207" i="24" s="1"/>
  <c r="J1207" i="24"/>
  <c r="K1207" i="24" s="1"/>
  <c r="L1207" i="24"/>
  <c r="M1207" i="24" s="1"/>
  <c r="H1207" i="24"/>
  <c r="I1207" i="24" s="1"/>
  <c r="H1208" i="24" l="1"/>
  <c r="I1208" i="24" s="1"/>
  <c r="R1208" i="24"/>
  <c r="S1208" i="24" s="1"/>
  <c r="D1208" i="24"/>
  <c r="E1208" i="24" s="1"/>
  <c r="V1208" i="24"/>
  <c r="W1208" i="24" s="1"/>
  <c r="A1209" i="24"/>
  <c r="B1208" i="24"/>
  <c r="C1208" i="24" s="1"/>
  <c r="P1208" i="24"/>
  <c r="Q1208" i="24" s="1"/>
  <c r="L1208" i="24"/>
  <c r="M1208" i="24" s="1"/>
  <c r="T1208" i="24"/>
  <c r="U1208" i="24" s="1"/>
  <c r="J1208" i="24"/>
  <c r="K1208" i="24" s="1"/>
  <c r="F1208" i="24"/>
  <c r="G1208" i="24" s="1"/>
  <c r="N1208" i="24"/>
  <c r="O1208" i="24" s="1"/>
  <c r="N1209" i="24" l="1"/>
  <c r="O1209" i="24" s="1"/>
  <c r="R1209" i="24"/>
  <c r="S1209" i="24" s="1"/>
  <c r="T1209" i="24"/>
  <c r="U1209" i="24" s="1"/>
  <c r="L1209" i="24"/>
  <c r="M1209" i="24" s="1"/>
  <c r="A1210" i="24"/>
  <c r="B1209" i="24"/>
  <c r="C1209" i="24" s="1"/>
  <c r="P1209" i="24"/>
  <c r="Q1209" i="24" s="1"/>
  <c r="V1209" i="24"/>
  <c r="W1209" i="24" s="1"/>
  <c r="F1209" i="24"/>
  <c r="G1209" i="24" s="1"/>
  <c r="D1209" i="24"/>
  <c r="E1209" i="24" s="1"/>
  <c r="H1209" i="24"/>
  <c r="I1209" i="24" s="1"/>
  <c r="J1209" i="24"/>
  <c r="K1209" i="24" s="1"/>
  <c r="R1210" i="24" l="1"/>
  <c r="S1210" i="24" s="1"/>
  <c r="V1210" i="24"/>
  <c r="W1210" i="24" s="1"/>
  <c r="D1210" i="24"/>
  <c r="E1210" i="24" s="1"/>
  <c r="F1210" i="24"/>
  <c r="G1210" i="24" s="1"/>
  <c r="T1210" i="24"/>
  <c r="U1210" i="24" s="1"/>
  <c r="B1210" i="24"/>
  <c r="C1210" i="24" s="1"/>
  <c r="H1210" i="24"/>
  <c r="I1210" i="24" s="1"/>
  <c r="N1210" i="24"/>
  <c r="O1210" i="24" s="1"/>
  <c r="L1210" i="24"/>
  <c r="M1210" i="24" s="1"/>
  <c r="P1210" i="24"/>
  <c r="Q1210" i="24" s="1"/>
  <c r="J1210" i="24"/>
  <c r="K1210" i="24" s="1"/>
  <c r="A1211" i="24"/>
  <c r="F1211" i="24" l="1"/>
  <c r="G1211" i="24" s="1"/>
  <c r="R1211" i="24"/>
  <c r="S1211" i="24" s="1"/>
  <c r="L1211" i="24"/>
  <c r="M1211" i="24" s="1"/>
  <c r="N1211" i="24"/>
  <c r="O1211" i="24" s="1"/>
  <c r="B1211" i="24"/>
  <c r="C1211" i="24" s="1"/>
  <c r="P1211" i="24"/>
  <c r="Q1211" i="24" s="1"/>
  <c r="V1211" i="24"/>
  <c r="W1211" i="24" s="1"/>
  <c r="J1211" i="24"/>
  <c r="K1211" i="24" s="1"/>
  <c r="T1211" i="24"/>
  <c r="U1211" i="24" s="1"/>
  <c r="A1212" i="24"/>
  <c r="H1211" i="24"/>
  <c r="I1211" i="24" s="1"/>
  <c r="D1211" i="24"/>
  <c r="E1211" i="24" s="1"/>
  <c r="H1212" i="24" l="1"/>
  <c r="I1212" i="24" s="1"/>
  <c r="A1213" i="24"/>
  <c r="P1212" i="24"/>
  <c r="Q1212" i="24" s="1"/>
  <c r="B1212" i="24"/>
  <c r="C1212" i="24" s="1"/>
  <c r="F1212" i="24"/>
  <c r="G1212" i="24" s="1"/>
  <c r="R1212" i="24"/>
  <c r="S1212" i="24" s="1"/>
  <c r="V1212" i="24"/>
  <c r="W1212" i="24" s="1"/>
  <c r="J1212" i="24"/>
  <c r="K1212" i="24" s="1"/>
  <c r="L1212" i="24"/>
  <c r="M1212" i="24" s="1"/>
  <c r="N1212" i="24"/>
  <c r="O1212" i="24" s="1"/>
  <c r="T1212" i="24"/>
  <c r="U1212" i="24" s="1"/>
  <c r="D1212" i="24"/>
  <c r="E1212" i="24" s="1"/>
  <c r="N1213" i="24" l="1"/>
  <c r="O1213" i="24" s="1"/>
  <c r="L1213" i="24"/>
  <c r="M1213" i="24" s="1"/>
  <c r="B1213" i="24"/>
  <c r="C1213" i="24" s="1"/>
  <c r="H1213" i="24"/>
  <c r="I1213" i="24" s="1"/>
  <c r="J1213" i="24"/>
  <c r="K1213" i="24" s="1"/>
  <c r="T1213" i="24"/>
  <c r="U1213" i="24" s="1"/>
  <c r="A1214" i="24"/>
  <c r="P1213" i="24"/>
  <c r="Q1213" i="24" s="1"/>
  <c r="F1213" i="24"/>
  <c r="G1213" i="24" s="1"/>
  <c r="R1213" i="24"/>
  <c r="S1213" i="24" s="1"/>
  <c r="V1213" i="24"/>
  <c r="W1213" i="24" s="1"/>
  <c r="D1213" i="24"/>
  <c r="E1213" i="24" s="1"/>
  <c r="R1214" i="24" l="1"/>
  <c r="S1214" i="24" s="1"/>
  <c r="P1214" i="24"/>
  <c r="Q1214" i="24" s="1"/>
  <c r="B1214" i="24"/>
  <c r="C1214" i="24" s="1"/>
  <c r="D1214" i="24"/>
  <c r="E1214" i="24" s="1"/>
  <c r="J1214" i="24"/>
  <c r="K1214" i="24" s="1"/>
  <c r="L1214" i="24"/>
  <c r="M1214" i="24" s="1"/>
  <c r="T1214" i="24"/>
  <c r="U1214" i="24" s="1"/>
  <c r="V1214" i="24"/>
  <c r="W1214" i="24" s="1"/>
  <c r="A1215" i="24"/>
  <c r="F1214" i="24"/>
  <c r="G1214" i="24" s="1"/>
  <c r="H1214" i="24"/>
  <c r="I1214" i="24" s="1"/>
  <c r="N1214" i="24"/>
  <c r="O1214" i="24" s="1"/>
  <c r="F1215" i="24" l="1"/>
  <c r="G1215" i="24" s="1"/>
  <c r="D1215" i="24"/>
  <c r="E1215" i="24" s="1"/>
  <c r="A1216" i="24"/>
  <c r="J1215" i="24"/>
  <c r="K1215" i="24" s="1"/>
  <c r="H1215" i="24"/>
  <c r="I1215" i="24" s="1"/>
  <c r="L1215" i="24"/>
  <c r="M1215" i="24" s="1"/>
  <c r="P1215" i="24"/>
  <c r="Q1215" i="24" s="1"/>
  <c r="R1215" i="24"/>
  <c r="S1215" i="24" s="1"/>
  <c r="V1215" i="24"/>
  <c r="W1215" i="24" s="1"/>
  <c r="B1215" i="24"/>
  <c r="C1215" i="24" s="1"/>
  <c r="T1215" i="24"/>
  <c r="U1215" i="24" s="1"/>
  <c r="N1215" i="24"/>
  <c r="O1215" i="24" s="1"/>
  <c r="H1216" i="24" l="1"/>
  <c r="I1216" i="24" s="1"/>
  <c r="F1216" i="24"/>
  <c r="G1216" i="24" s="1"/>
  <c r="T1216" i="24"/>
  <c r="U1216" i="24" s="1"/>
  <c r="L1216" i="24"/>
  <c r="M1216" i="24" s="1"/>
  <c r="N1216" i="24"/>
  <c r="O1216" i="24" s="1"/>
  <c r="A1217" i="24"/>
  <c r="J1216" i="24"/>
  <c r="K1216" i="24" s="1"/>
  <c r="P1216" i="24"/>
  <c r="Q1216" i="24" s="1"/>
  <c r="B1216" i="24"/>
  <c r="C1216" i="24" s="1"/>
  <c r="V1216" i="24"/>
  <c r="W1216" i="24" s="1"/>
  <c r="R1216" i="24"/>
  <c r="S1216" i="24" s="1"/>
  <c r="D1216" i="24"/>
  <c r="E1216" i="24" s="1"/>
  <c r="N1217" i="24" l="1"/>
  <c r="O1217" i="24" s="1"/>
  <c r="R1217" i="24"/>
  <c r="S1217" i="24" s="1"/>
  <c r="V1217" i="24"/>
  <c r="W1217" i="24" s="1"/>
  <c r="F1217" i="24"/>
  <c r="G1217" i="24" s="1"/>
  <c r="H1217" i="24"/>
  <c r="I1217" i="24" s="1"/>
  <c r="B1217" i="24"/>
  <c r="C1217" i="24" s="1"/>
  <c r="P1217" i="24"/>
  <c r="Q1217" i="24" s="1"/>
  <c r="D1217" i="24"/>
  <c r="E1217" i="24" s="1"/>
  <c r="A1218" i="24"/>
  <c r="J1217" i="24"/>
  <c r="K1217" i="24" s="1"/>
  <c r="L1217" i="24"/>
  <c r="M1217" i="24" s="1"/>
  <c r="T1217" i="24"/>
  <c r="U1217" i="24" s="1"/>
  <c r="R1218" i="24" l="1"/>
  <c r="S1218" i="24" s="1"/>
  <c r="J1218" i="24"/>
  <c r="K1218" i="24" s="1"/>
  <c r="N1218" i="24"/>
  <c r="O1218" i="24" s="1"/>
  <c r="L1218" i="24"/>
  <c r="M1218" i="24" s="1"/>
  <c r="P1218" i="24"/>
  <c r="Q1218" i="24" s="1"/>
  <c r="T1218" i="24"/>
  <c r="U1218" i="24" s="1"/>
  <c r="F1218" i="24"/>
  <c r="G1218" i="24" s="1"/>
  <c r="H1218" i="24"/>
  <c r="I1218" i="24" s="1"/>
  <c r="A1219" i="24"/>
  <c r="B1218" i="24"/>
  <c r="C1218" i="24" s="1"/>
  <c r="D1218" i="24"/>
  <c r="E1218" i="24" s="1"/>
  <c r="V1218" i="24"/>
  <c r="W1218" i="24" s="1"/>
  <c r="F1219" i="24" l="1"/>
  <c r="G1219" i="24" s="1"/>
  <c r="R1219" i="24"/>
  <c r="S1219" i="24" s="1"/>
  <c r="J1219" i="24"/>
  <c r="K1219" i="24" s="1"/>
  <c r="T1219" i="24"/>
  <c r="U1219" i="24" s="1"/>
  <c r="P1219" i="24"/>
  <c r="Q1219" i="24" s="1"/>
  <c r="A1220" i="24"/>
  <c r="V1219" i="24"/>
  <c r="W1219" i="24" s="1"/>
  <c r="H1219" i="24"/>
  <c r="I1219" i="24" s="1"/>
  <c r="L1219" i="24"/>
  <c r="M1219" i="24" s="1"/>
  <c r="N1219" i="24"/>
  <c r="O1219" i="24" s="1"/>
  <c r="B1219" i="24"/>
  <c r="C1219" i="24" s="1"/>
  <c r="D1219" i="24"/>
  <c r="E1219" i="24" s="1"/>
  <c r="H1220" i="24" l="1"/>
  <c r="I1220" i="24" s="1"/>
  <c r="V1220" i="24"/>
  <c r="W1220" i="24" s="1"/>
  <c r="J1220" i="24"/>
  <c r="K1220" i="24" s="1"/>
  <c r="L1220" i="24"/>
  <c r="M1220" i="24" s="1"/>
  <c r="R1220" i="24"/>
  <c r="S1220" i="24" s="1"/>
  <c r="D1220" i="24"/>
  <c r="E1220" i="24" s="1"/>
  <c r="N1220" i="24"/>
  <c r="O1220" i="24" s="1"/>
  <c r="T1220" i="24"/>
  <c r="U1220" i="24" s="1"/>
  <c r="A1221" i="24"/>
  <c r="B1220" i="24"/>
  <c r="C1220" i="24" s="1"/>
  <c r="P1220" i="24"/>
  <c r="Q1220" i="24" s="1"/>
  <c r="F1220" i="24"/>
  <c r="G1220" i="24" s="1"/>
  <c r="N1221" i="24" l="1"/>
  <c r="O1221" i="24" s="1"/>
  <c r="L1221" i="24"/>
  <c r="M1221" i="24" s="1"/>
  <c r="P1221" i="24"/>
  <c r="Q1221" i="24" s="1"/>
  <c r="D1221" i="24"/>
  <c r="E1221" i="24" s="1"/>
  <c r="V1221" i="24"/>
  <c r="W1221" i="24" s="1"/>
  <c r="B1221" i="24"/>
  <c r="C1221" i="24" s="1"/>
  <c r="H1221" i="24"/>
  <c r="I1221" i="24" s="1"/>
  <c r="F1221" i="24"/>
  <c r="G1221" i="24" s="1"/>
  <c r="R1221" i="24"/>
  <c r="S1221" i="24" s="1"/>
  <c r="T1221" i="24"/>
  <c r="U1221" i="24" s="1"/>
  <c r="J1221" i="24"/>
  <c r="K1221" i="24" s="1"/>
  <c r="A1222" i="24"/>
  <c r="R1222" i="24" l="1"/>
  <c r="S1222" i="24" s="1"/>
  <c r="T1222" i="24"/>
  <c r="U1222" i="24" s="1"/>
  <c r="H1222" i="24"/>
  <c r="I1222" i="24" s="1"/>
  <c r="A1223" i="24"/>
  <c r="N1222" i="24"/>
  <c r="O1222" i="24" s="1"/>
  <c r="J1222" i="24"/>
  <c r="K1222" i="24" s="1"/>
  <c r="V1222" i="24"/>
  <c r="W1222" i="24" s="1"/>
  <c r="F1222" i="24"/>
  <c r="G1222" i="24" s="1"/>
  <c r="L1222" i="24"/>
  <c r="M1222" i="24" s="1"/>
  <c r="P1222" i="24"/>
  <c r="Q1222" i="24" s="1"/>
  <c r="B1222" i="24"/>
  <c r="C1222" i="24" s="1"/>
  <c r="D1222" i="24"/>
  <c r="E1222" i="24" s="1"/>
  <c r="F1223" i="24" l="1"/>
  <c r="G1223" i="24" s="1"/>
  <c r="D1223" i="24"/>
  <c r="E1223" i="24" s="1"/>
  <c r="P1223" i="24"/>
  <c r="Q1223" i="24" s="1"/>
  <c r="R1223" i="24"/>
  <c r="S1223" i="24" s="1"/>
  <c r="V1223" i="24"/>
  <c r="W1223" i="24" s="1"/>
  <c r="T1223" i="24"/>
  <c r="U1223" i="24" s="1"/>
  <c r="B1223" i="24"/>
  <c r="C1223" i="24" s="1"/>
  <c r="J1223" i="24"/>
  <c r="K1223" i="24" s="1"/>
  <c r="H1223" i="24"/>
  <c r="I1223" i="24" s="1"/>
  <c r="L1223" i="24"/>
  <c r="M1223" i="24" s="1"/>
  <c r="N1223" i="24"/>
  <c r="O1223" i="24" s="1"/>
  <c r="A1224" i="24"/>
  <c r="H1224" i="24" l="1"/>
  <c r="I1224" i="24" s="1"/>
  <c r="R1224" i="24"/>
  <c r="S1224" i="24" s="1"/>
  <c r="D1224" i="24"/>
  <c r="E1224" i="24" s="1"/>
  <c r="V1224" i="24"/>
  <c r="W1224" i="24" s="1"/>
  <c r="T1224" i="24"/>
  <c r="U1224" i="24" s="1"/>
  <c r="A1225" i="24"/>
  <c r="L1224" i="24"/>
  <c r="M1224" i="24" s="1"/>
  <c r="B1224" i="24"/>
  <c r="C1224" i="24" s="1"/>
  <c r="J1224" i="24"/>
  <c r="K1224" i="24" s="1"/>
  <c r="F1224" i="24"/>
  <c r="G1224" i="24" s="1"/>
  <c r="N1224" i="24"/>
  <c r="O1224" i="24" s="1"/>
  <c r="P1224" i="24"/>
  <c r="Q1224" i="24" s="1"/>
  <c r="N1225" i="24" l="1"/>
  <c r="O1225" i="24" s="1"/>
  <c r="R1225" i="24"/>
  <c r="S1225" i="24" s="1"/>
  <c r="T1225" i="24"/>
  <c r="U1225" i="24" s="1"/>
  <c r="L1225" i="24"/>
  <c r="M1225" i="24" s="1"/>
  <c r="A1226" i="24"/>
  <c r="B1225" i="24"/>
  <c r="C1225" i="24" s="1"/>
  <c r="P1225" i="24"/>
  <c r="Q1225" i="24" s="1"/>
  <c r="D1225" i="24"/>
  <c r="E1225" i="24" s="1"/>
  <c r="V1225" i="24"/>
  <c r="W1225" i="24" s="1"/>
  <c r="F1225" i="24"/>
  <c r="G1225" i="24" s="1"/>
  <c r="H1225" i="24"/>
  <c r="I1225" i="24" s="1"/>
  <c r="J1225" i="24"/>
  <c r="K1225" i="24" s="1"/>
  <c r="R1226" i="24" l="1"/>
  <c r="S1226" i="24" s="1"/>
  <c r="V1226" i="24"/>
  <c r="W1226" i="24" s="1"/>
  <c r="D1226" i="24"/>
  <c r="E1226" i="24" s="1"/>
  <c r="F1226" i="24"/>
  <c r="G1226" i="24" s="1"/>
  <c r="T1226" i="24"/>
  <c r="U1226" i="24" s="1"/>
  <c r="P1226" i="24"/>
  <c r="Q1226" i="24" s="1"/>
  <c r="B1226" i="24"/>
  <c r="C1226" i="24" s="1"/>
  <c r="N1226" i="24"/>
  <c r="O1226" i="24" s="1"/>
  <c r="A1227" i="24"/>
  <c r="J1226" i="24"/>
  <c r="K1226" i="24" s="1"/>
  <c r="H1226" i="24"/>
  <c r="I1226" i="24" s="1"/>
  <c r="L1226" i="24"/>
  <c r="M1226" i="24" s="1"/>
  <c r="F1227" i="24" l="1"/>
  <c r="G1227" i="24" s="1"/>
  <c r="R1227" i="24"/>
  <c r="S1227" i="24" s="1"/>
  <c r="L1227" i="24"/>
  <c r="M1227" i="24" s="1"/>
  <c r="N1227" i="24"/>
  <c r="O1227" i="24" s="1"/>
  <c r="B1227" i="24"/>
  <c r="C1227" i="24" s="1"/>
  <c r="J1227" i="24"/>
  <c r="K1227" i="24" s="1"/>
  <c r="P1227" i="24"/>
  <c r="Q1227" i="24" s="1"/>
  <c r="T1227" i="24"/>
  <c r="U1227" i="24" s="1"/>
  <c r="A1228" i="24"/>
  <c r="H1227" i="24"/>
  <c r="I1227" i="24" s="1"/>
  <c r="D1227" i="24"/>
  <c r="E1227" i="24" s="1"/>
  <c r="V1227" i="24"/>
  <c r="W1227" i="24" s="1"/>
  <c r="H1228" i="24" l="1"/>
  <c r="I1228" i="24" s="1"/>
  <c r="A1229" i="24"/>
  <c r="P1228" i="24"/>
  <c r="Q1228" i="24" s="1"/>
  <c r="B1228" i="24"/>
  <c r="C1228" i="24" s="1"/>
  <c r="F1228" i="24"/>
  <c r="G1228" i="24" s="1"/>
  <c r="R1228" i="24"/>
  <c r="S1228" i="24" s="1"/>
  <c r="N1228" i="24"/>
  <c r="O1228" i="24" s="1"/>
  <c r="J1228" i="24"/>
  <c r="K1228" i="24" s="1"/>
  <c r="D1228" i="24"/>
  <c r="E1228" i="24" s="1"/>
  <c r="L1228" i="24"/>
  <c r="M1228" i="24" s="1"/>
  <c r="T1228" i="24"/>
  <c r="U1228" i="24" s="1"/>
  <c r="V1228" i="24"/>
  <c r="W1228" i="24" s="1"/>
  <c r="N1229" i="24" l="1"/>
  <c r="O1229" i="24" s="1"/>
  <c r="L1229" i="24"/>
  <c r="M1229" i="24" s="1"/>
  <c r="B1229" i="24"/>
  <c r="C1229" i="24" s="1"/>
  <c r="H1229" i="24"/>
  <c r="I1229" i="24" s="1"/>
  <c r="J1229" i="24"/>
  <c r="K1229" i="24" s="1"/>
  <c r="T1229" i="24"/>
  <c r="U1229" i="24" s="1"/>
  <c r="A1230" i="24"/>
  <c r="F1229" i="24"/>
  <c r="G1229" i="24" s="1"/>
  <c r="R1229" i="24"/>
  <c r="S1229" i="24" s="1"/>
  <c r="P1229" i="24"/>
  <c r="Q1229" i="24" s="1"/>
  <c r="D1229" i="24"/>
  <c r="E1229" i="24" s="1"/>
  <c r="V1229" i="24"/>
  <c r="W1229" i="24" s="1"/>
  <c r="R1230" i="24" l="1"/>
  <c r="S1230" i="24" s="1"/>
  <c r="P1230" i="24"/>
  <c r="Q1230" i="24" s="1"/>
  <c r="B1230" i="24"/>
  <c r="C1230" i="24" s="1"/>
  <c r="D1230" i="24"/>
  <c r="E1230" i="24" s="1"/>
  <c r="A1231" i="24"/>
  <c r="J1230" i="24"/>
  <c r="K1230" i="24" s="1"/>
  <c r="L1230" i="24"/>
  <c r="M1230" i="24" s="1"/>
  <c r="F1230" i="24"/>
  <c r="G1230" i="24" s="1"/>
  <c r="H1230" i="24"/>
  <c r="I1230" i="24" s="1"/>
  <c r="N1230" i="24"/>
  <c r="O1230" i="24" s="1"/>
  <c r="V1230" i="24"/>
  <c r="W1230" i="24" s="1"/>
  <c r="T1230" i="24"/>
  <c r="U1230" i="24" s="1"/>
  <c r="F1231" i="24" l="1"/>
  <c r="G1231" i="24" s="1"/>
  <c r="D1231" i="24"/>
  <c r="E1231" i="24" s="1"/>
  <c r="A1232" i="24"/>
  <c r="J1231" i="24"/>
  <c r="K1231" i="24" s="1"/>
  <c r="H1231" i="24"/>
  <c r="I1231" i="24" s="1"/>
  <c r="L1231" i="24"/>
  <c r="M1231" i="24" s="1"/>
  <c r="N1231" i="24"/>
  <c r="O1231" i="24" s="1"/>
  <c r="P1231" i="24"/>
  <c r="Q1231" i="24" s="1"/>
  <c r="B1231" i="24"/>
  <c r="C1231" i="24" s="1"/>
  <c r="V1231" i="24"/>
  <c r="W1231" i="24" s="1"/>
  <c r="T1231" i="24"/>
  <c r="U1231" i="24" s="1"/>
  <c r="R1231" i="24"/>
  <c r="S1231" i="24" s="1"/>
  <c r="H1232" i="24" l="1"/>
  <c r="I1232" i="24" s="1"/>
  <c r="F1232" i="24"/>
  <c r="G1232" i="24" s="1"/>
  <c r="T1232" i="24"/>
  <c r="U1232" i="24" s="1"/>
  <c r="L1232" i="24"/>
  <c r="M1232" i="24" s="1"/>
  <c r="A1233" i="24"/>
  <c r="N1232" i="24"/>
  <c r="O1232" i="24" s="1"/>
  <c r="V1232" i="24"/>
  <c r="W1232" i="24" s="1"/>
  <c r="J1232" i="24"/>
  <c r="K1232" i="24" s="1"/>
  <c r="B1232" i="24"/>
  <c r="C1232" i="24" s="1"/>
  <c r="R1232" i="24"/>
  <c r="S1232" i="24" s="1"/>
  <c r="D1232" i="24"/>
  <c r="E1232" i="24" s="1"/>
  <c r="P1232" i="24"/>
  <c r="Q1232" i="24" s="1"/>
  <c r="N1233" i="24" l="1"/>
  <c r="O1233" i="24" s="1"/>
  <c r="R1233" i="24"/>
  <c r="S1233" i="24" s="1"/>
  <c r="V1233" i="24"/>
  <c r="W1233" i="24" s="1"/>
  <c r="F1233" i="24"/>
  <c r="G1233" i="24" s="1"/>
  <c r="H1233" i="24"/>
  <c r="I1233" i="24" s="1"/>
  <c r="L1233" i="24"/>
  <c r="M1233" i="24" s="1"/>
  <c r="B1233" i="24"/>
  <c r="C1233" i="24" s="1"/>
  <c r="D1233" i="24"/>
  <c r="E1233" i="24" s="1"/>
  <c r="T1233" i="24"/>
  <c r="U1233" i="24" s="1"/>
  <c r="J1233" i="24"/>
  <c r="K1233" i="24" s="1"/>
  <c r="A1234" i="24"/>
  <c r="P1233" i="24"/>
  <c r="Q1233" i="24" s="1"/>
  <c r="R1234" i="24" l="1"/>
  <c r="S1234" i="24" s="1"/>
  <c r="J1234" i="24"/>
  <c r="K1234" i="24" s="1"/>
  <c r="N1234" i="24"/>
  <c r="O1234" i="24" s="1"/>
  <c r="L1234" i="24"/>
  <c r="M1234" i="24" s="1"/>
  <c r="P1234" i="24"/>
  <c r="Q1234" i="24" s="1"/>
  <c r="H1234" i="24"/>
  <c r="I1234" i="24" s="1"/>
  <c r="D1234" i="24"/>
  <c r="E1234" i="24" s="1"/>
  <c r="T1234" i="24"/>
  <c r="U1234" i="24" s="1"/>
  <c r="V1234" i="24"/>
  <c r="W1234" i="24" s="1"/>
  <c r="A1235" i="24"/>
  <c r="B1234" i="24"/>
  <c r="C1234" i="24" s="1"/>
  <c r="F1234" i="24"/>
  <c r="G1234" i="24" s="1"/>
  <c r="F1235" i="24" l="1"/>
  <c r="G1235" i="24" s="1"/>
  <c r="R1235" i="24"/>
  <c r="S1235" i="24" s="1"/>
  <c r="J1235" i="24"/>
  <c r="K1235" i="24" s="1"/>
  <c r="T1235" i="24"/>
  <c r="U1235" i="24" s="1"/>
  <c r="P1235" i="24"/>
  <c r="Q1235" i="24" s="1"/>
  <c r="A1236" i="24"/>
  <c r="V1235" i="24"/>
  <c r="W1235" i="24" s="1"/>
  <c r="H1235" i="24"/>
  <c r="I1235" i="24" s="1"/>
  <c r="L1235" i="24"/>
  <c r="M1235" i="24" s="1"/>
  <c r="N1235" i="24"/>
  <c r="O1235" i="24" s="1"/>
  <c r="B1235" i="24"/>
  <c r="C1235" i="24" s="1"/>
  <c r="D1235" i="24"/>
  <c r="E1235" i="24" s="1"/>
  <c r="H1236" i="24" l="1"/>
  <c r="I1236" i="24" s="1"/>
  <c r="V1236" i="24"/>
  <c r="W1236" i="24" s="1"/>
  <c r="J1236" i="24"/>
  <c r="K1236" i="24" s="1"/>
  <c r="L1236" i="24"/>
  <c r="M1236" i="24" s="1"/>
  <c r="B1236" i="24"/>
  <c r="C1236" i="24" s="1"/>
  <c r="R1236" i="24"/>
  <c r="S1236" i="24" s="1"/>
  <c r="P1236" i="24"/>
  <c r="Q1236" i="24" s="1"/>
  <c r="F1236" i="24"/>
  <c r="G1236" i="24" s="1"/>
  <c r="A1237" i="24"/>
  <c r="D1236" i="24"/>
  <c r="E1236" i="24" s="1"/>
  <c r="N1236" i="24"/>
  <c r="O1236" i="24" s="1"/>
  <c r="T1236" i="24"/>
  <c r="U1236" i="24" s="1"/>
  <c r="N1237" i="24" l="1"/>
  <c r="O1237" i="24" s="1"/>
  <c r="L1237" i="24"/>
  <c r="M1237" i="24" s="1"/>
  <c r="P1237" i="24"/>
  <c r="Q1237" i="24" s="1"/>
  <c r="D1237" i="24"/>
  <c r="E1237" i="24" s="1"/>
  <c r="V1237" i="24"/>
  <c r="W1237" i="24" s="1"/>
  <c r="F1237" i="24"/>
  <c r="G1237" i="24" s="1"/>
  <c r="B1237" i="24"/>
  <c r="C1237" i="24" s="1"/>
  <c r="J1237" i="24"/>
  <c r="K1237" i="24" s="1"/>
  <c r="T1237" i="24"/>
  <c r="U1237" i="24" s="1"/>
  <c r="A1238" i="24"/>
  <c r="H1237" i="24"/>
  <c r="I1237" i="24" s="1"/>
  <c r="R1237" i="24"/>
  <c r="S1237" i="24" s="1"/>
  <c r="R1238" i="24" l="1"/>
  <c r="S1238" i="24" s="1"/>
  <c r="T1238" i="24"/>
  <c r="U1238" i="24" s="1"/>
  <c r="H1238" i="24"/>
  <c r="I1238" i="24" s="1"/>
  <c r="A1239" i="24"/>
  <c r="N1238" i="24"/>
  <c r="O1238" i="24" s="1"/>
  <c r="V1238" i="24"/>
  <c r="W1238" i="24" s="1"/>
  <c r="J1238" i="24"/>
  <c r="K1238" i="24" s="1"/>
  <c r="D1238" i="24"/>
  <c r="E1238" i="24" s="1"/>
  <c r="F1238" i="24"/>
  <c r="G1238" i="24" s="1"/>
  <c r="P1238" i="24"/>
  <c r="Q1238" i="24" s="1"/>
  <c r="B1238" i="24"/>
  <c r="C1238" i="24" s="1"/>
  <c r="L1238" i="24"/>
  <c r="M1238" i="24" s="1"/>
  <c r="F1239" i="24" l="1"/>
  <c r="G1239" i="24" s="1"/>
  <c r="D1239" i="24"/>
  <c r="E1239" i="24" s="1"/>
  <c r="P1239" i="24"/>
  <c r="Q1239" i="24" s="1"/>
  <c r="R1239" i="24"/>
  <c r="S1239" i="24" s="1"/>
  <c r="V1239" i="24"/>
  <c r="W1239" i="24" s="1"/>
  <c r="J1239" i="24"/>
  <c r="K1239" i="24" s="1"/>
  <c r="T1239" i="24"/>
  <c r="U1239" i="24" s="1"/>
  <c r="A1240" i="24"/>
  <c r="N1239" i="24"/>
  <c r="O1239" i="24" s="1"/>
  <c r="H1239" i="24"/>
  <c r="I1239" i="24" s="1"/>
  <c r="L1239" i="24"/>
  <c r="M1239" i="24" s="1"/>
  <c r="B1239" i="24"/>
  <c r="C1239" i="24" s="1"/>
  <c r="H1240" i="24" l="1"/>
  <c r="I1240" i="24" s="1"/>
  <c r="R1240" i="24"/>
  <c r="S1240" i="24" s="1"/>
  <c r="D1240" i="24"/>
  <c r="E1240" i="24" s="1"/>
  <c r="V1240" i="24"/>
  <c r="W1240" i="24" s="1"/>
  <c r="P1240" i="24"/>
  <c r="Q1240" i="24" s="1"/>
  <c r="T1240" i="24"/>
  <c r="U1240" i="24" s="1"/>
  <c r="A1241" i="24"/>
  <c r="B1240" i="24"/>
  <c r="C1240" i="24" s="1"/>
  <c r="J1240" i="24"/>
  <c r="K1240" i="24" s="1"/>
  <c r="N1240" i="24"/>
  <c r="O1240" i="24" s="1"/>
  <c r="F1240" i="24"/>
  <c r="G1240" i="24" s="1"/>
  <c r="L1240" i="24"/>
  <c r="M1240" i="24" s="1"/>
  <c r="N1241" i="24" l="1"/>
  <c r="O1241" i="24" s="1"/>
  <c r="V1241" i="24"/>
  <c r="W1241" i="24" s="1"/>
  <c r="T1241" i="24"/>
  <c r="U1241" i="24" s="1"/>
  <c r="R1241" i="24"/>
  <c r="S1241" i="24" s="1"/>
  <c r="A1242" i="24"/>
  <c r="B1241" i="24"/>
  <c r="C1241" i="24" s="1"/>
  <c r="P1241" i="24"/>
  <c r="Q1241" i="24" s="1"/>
  <c r="D1241" i="24"/>
  <c r="E1241" i="24" s="1"/>
  <c r="J1241" i="24"/>
  <c r="K1241" i="24" s="1"/>
  <c r="L1241" i="24"/>
  <c r="M1241" i="24" s="1"/>
  <c r="F1241" i="24"/>
  <c r="G1241" i="24" s="1"/>
  <c r="H1241" i="24"/>
  <c r="I1241" i="24" s="1"/>
  <c r="N1242" i="24" l="1"/>
  <c r="O1242" i="24" s="1"/>
  <c r="P1242" i="24"/>
  <c r="Q1242" i="24" s="1"/>
  <c r="V1242" i="24"/>
  <c r="W1242" i="24" s="1"/>
  <c r="T1242" i="24"/>
  <c r="U1242" i="24" s="1"/>
  <c r="D1242" i="24"/>
  <c r="E1242" i="24" s="1"/>
  <c r="L1242" i="24"/>
  <c r="M1242" i="24" s="1"/>
  <c r="B1242" i="24"/>
  <c r="C1242" i="24" s="1"/>
  <c r="F1242" i="24"/>
  <c r="G1242" i="24" s="1"/>
  <c r="H1242" i="24"/>
  <c r="I1242" i="24" s="1"/>
  <c r="A1243" i="24"/>
  <c r="J1242" i="24"/>
  <c r="K1242" i="24" s="1"/>
  <c r="R1242" i="24"/>
  <c r="S1242" i="24" s="1"/>
  <c r="F1243" i="24" l="1"/>
  <c r="G1243" i="24" s="1"/>
  <c r="L1243" i="24"/>
  <c r="M1243" i="24" s="1"/>
  <c r="N1243" i="24"/>
  <c r="O1243" i="24" s="1"/>
  <c r="R1243" i="24"/>
  <c r="S1243" i="24" s="1"/>
  <c r="V1243" i="24"/>
  <c r="W1243" i="24" s="1"/>
  <c r="B1243" i="24"/>
  <c r="C1243" i="24" s="1"/>
  <c r="D1243" i="24"/>
  <c r="E1243" i="24" s="1"/>
  <c r="A1244" i="24"/>
  <c r="T1243" i="24"/>
  <c r="U1243" i="24" s="1"/>
  <c r="H1243" i="24"/>
  <c r="I1243" i="24" s="1"/>
  <c r="J1243" i="24"/>
  <c r="K1243" i="24" s="1"/>
  <c r="P1243" i="24"/>
  <c r="Q1243" i="24" s="1"/>
  <c r="J1244" i="24" l="1"/>
  <c r="K1244" i="24" s="1"/>
  <c r="A1245" i="24"/>
  <c r="N1244" i="24"/>
  <c r="O1244" i="24" s="1"/>
  <c r="B1244" i="24"/>
  <c r="C1244" i="24" s="1"/>
  <c r="P1244" i="24"/>
  <c r="Q1244" i="24" s="1"/>
  <c r="R1244" i="24"/>
  <c r="S1244" i="24" s="1"/>
  <c r="H1244" i="24"/>
  <c r="I1244" i="24" s="1"/>
  <c r="L1244" i="24"/>
  <c r="M1244" i="24" s="1"/>
  <c r="D1244" i="24"/>
  <c r="E1244" i="24" s="1"/>
  <c r="F1244" i="24"/>
  <c r="G1244" i="24" s="1"/>
  <c r="T1244" i="24"/>
  <c r="U1244" i="24" s="1"/>
  <c r="V1244" i="24"/>
  <c r="W1244" i="24" s="1"/>
  <c r="N1245" i="24" l="1"/>
  <c r="O1245" i="24" s="1"/>
  <c r="V1245" i="24"/>
  <c r="W1245" i="24" s="1"/>
  <c r="J1245" i="24"/>
  <c r="K1245" i="24" s="1"/>
  <c r="L1245" i="24"/>
  <c r="M1245" i="24" s="1"/>
  <c r="T1245" i="24"/>
  <c r="U1245" i="24" s="1"/>
  <c r="R1245" i="24"/>
  <c r="S1245" i="24" s="1"/>
  <c r="A1246" i="24"/>
  <c r="B1245" i="24"/>
  <c r="C1245" i="24" s="1"/>
  <c r="P1245" i="24"/>
  <c r="Q1245" i="24" s="1"/>
  <c r="F1245" i="24"/>
  <c r="G1245" i="24" s="1"/>
  <c r="D1245" i="24"/>
  <c r="E1245" i="24" s="1"/>
  <c r="H1245" i="24"/>
  <c r="I1245" i="24" s="1"/>
  <c r="H1246" i="24" l="1"/>
  <c r="I1246" i="24" s="1"/>
  <c r="B1246" i="24"/>
  <c r="C1246" i="24" s="1"/>
  <c r="R1246" i="24"/>
  <c r="S1246" i="24" s="1"/>
  <c r="N1246" i="24"/>
  <c r="O1246" i="24" s="1"/>
  <c r="T1246" i="24"/>
  <c r="U1246" i="24" s="1"/>
  <c r="A1247" i="24"/>
  <c r="P1246" i="24"/>
  <c r="Q1246" i="24" s="1"/>
  <c r="V1246" i="24"/>
  <c r="W1246" i="24" s="1"/>
  <c r="D1246" i="24"/>
  <c r="E1246" i="24" s="1"/>
  <c r="J1246" i="24"/>
  <c r="K1246" i="24" s="1"/>
  <c r="F1246" i="24"/>
  <c r="G1246" i="24" s="1"/>
  <c r="L1246" i="24"/>
  <c r="M1246" i="24" s="1"/>
  <c r="F1247" i="24" l="1"/>
  <c r="G1247" i="24" s="1"/>
  <c r="J1247" i="24"/>
  <c r="K1247" i="24" s="1"/>
  <c r="A1248" i="24"/>
  <c r="L1247" i="24"/>
  <c r="M1247" i="24" s="1"/>
  <c r="H1247" i="24"/>
  <c r="I1247" i="24" s="1"/>
  <c r="N1247" i="24"/>
  <c r="O1247" i="24" s="1"/>
  <c r="T1247" i="24"/>
  <c r="U1247" i="24" s="1"/>
  <c r="P1247" i="24"/>
  <c r="Q1247" i="24" s="1"/>
  <c r="R1247" i="24"/>
  <c r="S1247" i="24" s="1"/>
  <c r="B1247" i="24"/>
  <c r="C1247" i="24" s="1"/>
  <c r="V1247" i="24"/>
  <c r="W1247" i="24" s="1"/>
  <c r="D1247" i="24"/>
  <c r="E1247" i="24" s="1"/>
  <c r="J1248" i="24" l="1"/>
  <c r="K1248" i="24" s="1"/>
  <c r="H1248" i="24"/>
  <c r="I1248" i="24" s="1"/>
  <c r="T1248" i="24"/>
  <c r="U1248" i="24" s="1"/>
  <c r="L1248" i="24"/>
  <c r="M1248" i="24" s="1"/>
  <c r="A1249" i="24"/>
  <c r="N1248" i="24"/>
  <c r="O1248" i="24" s="1"/>
  <c r="D1248" i="24"/>
  <c r="E1248" i="24" s="1"/>
  <c r="V1248" i="24"/>
  <c r="W1248" i="24" s="1"/>
  <c r="B1248" i="24"/>
  <c r="C1248" i="24" s="1"/>
  <c r="R1248" i="24"/>
  <c r="S1248" i="24" s="1"/>
  <c r="F1248" i="24"/>
  <c r="G1248" i="24" s="1"/>
  <c r="P1248" i="24"/>
  <c r="Q1248" i="24" s="1"/>
  <c r="N1249" i="24" l="1"/>
  <c r="O1249" i="24" s="1"/>
  <c r="R1249" i="24"/>
  <c r="S1249" i="24" s="1"/>
  <c r="B1249" i="24"/>
  <c r="C1249" i="24" s="1"/>
  <c r="D1249" i="24"/>
  <c r="E1249" i="24" s="1"/>
  <c r="H1249" i="24"/>
  <c r="I1249" i="24" s="1"/>
  <c r="J1249" i="24"/>
  <c r="K1249" i="24" s="1"/>
  <c r="L1249" i="24"/>
  <c r="M1249" i="24" s="1"/>
  <c r="V1249" i="24"/>
  <c r="W1249" i="24" s="1"/>
  <c r="F1249" i="24"/>
  <c r="G1249" i="24" s="1"/>
  <c r="A1250" i="24"/>
  <c r="T1249" i="24"/>
  <c r="U1249" i="24" s="1"/>
  <c r="P1249" i="24"/>
  <c r="Q1249" i="24" s="1"/>
  <c r="F1250" i="24" l="1"/>
  <c r="G1250" i="24" s="1"/>
  <c r="J1250" i="24"/>
  <c r="K1250" i="24" s="1"/>
  <c r="D1250" i="24"/>
  <c r="E1250" i="24" s="1"/>
  <c r="L1250" i="24"/>
  <c r="M1250" i="24" s="1"/>
  <c r="B1250" i="24"/>
  <c r="C1250" i="24" s="1"/>
  <c r="P1250" i="24"/>
  <c r="Q1250" i="24" s="1"/>
  <c r="V1250" i="24"/>
  <c r="W1250" i="24" s="1"/>
  <c r="N1250" i="24"/>
  <c r="O1250" i="24" s="1"/>
  <c r="T1250" i="24"/>
  <c r="U1250" i="24" s="1"/>
  <c r="A1251" i="24"/>
  <c r="R1250" i="24"/>
  <c r="S1250" i="24" s="1"/>
  <c r="H1250" i="24"/>
  <c r="I1250" i="24" s="1"/>
  <c r="F1251" i="24" l="1"/>
  <c r="G1251" i="24" s="1"/>
  <c r="D1251" i="24"/>
  <c r="E1251" i="24" s="1"/>
  <c r="V1251" i="24"/>
  <c r="W1251" i="24" s="1"/>
  <c r="T1251" i="24"/>
  <c r="U1251" i="24" s="1"/>
  <c r="B1251" i="24"/>
  <c r="C1251" i="24" s="1"/>
  <c r="A1252" i="24"/>
  <c r="J1251" i="24"/>
  <c r="K1251" i="24" s="1"/>
  <c r="L1251" i="24"/>
  <c r="M1251" i="24" s="1"/>
  <c r="P1251" i="24"/>
  <c r="Q1251" i="24" s="1"/>
  <c r="H1251" i="24"/>
  <c r="I1251" i="24" s="1"/>
  <c r="R1251" i="24"/>
  <c r="S1251" i="24" s="1"/>
  <c r="N1251" i="24"/>
  <c r="O1251" i="24" s="1"/>
  <c r="J1252" i="24" l="1"/>
  <c r="K1252" i="24" s="1"/>
  <c r="V1252" i="24"/>
  <c r="W1252" i="24" s="1"/>
  <c r="P1252" i="24"/>
  <c r="Q1252" i="24" s="1"/>
  <c r="F1252" i="24"/>
  <c r="G1252" i="24" s="1"/>
  <c r="A1253" i="24"/>
  <c r="B1252" i="24"/>
  <c r="C1252" i="24" s="1"/>
  <c r="N1252" i="24"/>
  <c r="O1252" i="24" s="1"/>
  <c r="D1252" i="24"/>
  <c r="E1252" i="24" s="1"/>
  <c r="T1252" i="24"/>
  <c r="U1252" i="24" s="1"/>
  <c r="R1252" i="24"/>
  <c r="S1252" i="24" s="1"/>
  <c r="H1252" i="24"/>
  <c r="I1252" i="24" s="1"/>
  <c r="L1252" i="24"/>
  <c r="M1252" i="24" s="1"/>
  <c r="N1253" i="24" l="1"/>
  <c r="O1253" i="24" s="1"/>
  <c r="R1253" i="24"/>
  <c r="S1253" i="24" s="1"/>
  <c r="P1253" i="24"/>
  <c r="Q1253" i="24" s="1"/>
  <c r="F1253" i="24"/>
  <c r="G1253" i="24" s="1"/>
  <c r="B1253" i="24"/>
  <c r="C1253" i="24" s="1"/>
  <c r="A1254" i="24"/>
  <c r="D1253" i="24"/>
  <c r="E1253" i="24" s="1"/>
  <c r="V1253" i="24"/>
  <c r="W1253" i="24" s="1"/>
  <c r="T1253" i="24"/>
  <c r="U1253" i="24" s="1"/>
  <c r="H1253" i="24"/>
  <c r="I1253" i="24" s="1"/>
  <c r="J1253" i="24"/>
  <c r="K1253" i="24" s="1"/>
  <c r="L1253" i="24"/>
  <c r="M1253" i="24" s="1"/>
  <c r="D1254" i="24" l="1"/>
  <c r="E1254" i="24" s="1"/>
  <c r="T1254" i="24"/>
  <c r="U1254" i="24" s="1"/>
  <c r="N1254" i="24"/>
  <c r="O1254" i="24" s="1"/>
  <c r="A1255" i="24"/>
  <c r="P1254" i="24"/>
  <c r="Q1254" i="24" s="1"/>
  <c r="J1254" i="24"/>
  <c r="K1254" i="24" s="1"/>
  <c r="V1254" i="24"/>
  <c r="W1254" i="24" s="1"/>
  <c r="R1254" i="24"/>
  <c r="S1254" i="24" s="1"/>
  <c r="F1254" i="24"/>
  <c r="G1254" i="24" s="1"/>
  <c r="H1254" i="24"/>
  <c r="I1254" i="24" s="1"/>
  <c r="L1254" i="24"/>
  <c r="M1254" i="24" s="1"/>
  <c r="B1254" i="24"/>
  <c r="C1254" i="24" s="1"/>
  <c r="F1255" i="24" l="1"/>
  <c r="G1255" i="24" s="1"/>
  <c r="B1255" i="24"/>
  <c r="C1255" i="24" s="1"/>
  <c r="L1255" i="24"/>
  <c r="M1255" i="24" s="1"/>
  <c r="P1255" i="24"/>
  <c r="Q1255" i="24" s="1"/>
  <c r="R1255" i="24"/>
  <c r="S1255" i="24" s="1"/>
  <c r="V1255" i="24"/>
  <c r="W1255" i="24" s="1"/>
  <c r="D1255" i="24"/>
  <c r="E1255" i="24" s="1"/>
  <c r="T1255" i="24"/>
  <c r="U1255" i="24" s="1"/>
  <c r="A1256" i="24"/>
  <c r="H1255" i="24"/>
  <c r="I1255" i="24" s="1"/>
  <c r="N1255" i="24"/>
  <c r="O1255" i="24" s="1"/>
  <c r="J1255" i="24"/>
  <c r="K1255" i="24" s="1"/>
  <c r="J1256" i="24" l="1"/>
  <c r="K1256" i="24" s="1"/>
  <c r="R1256" i="24"/>
  <c r="S1256" i="24" s="1"/>
  <c r="D1256" i="24"/>
  <c r="E1256" i="24" s="1"/>
  <c r="V1256" i="24"/>
  <c r="W1256" i="24" s="1"/>
  <c r="H1256" i="24"/>
  <c r="I1256" i="24" s="1"/>
  <c r="L1256" i="24"/>
  <c r="M1256" i="24" s="1"/>
  <c r="B1256" i="24"/>
  <c r="C1256" i="24" s="1"/>
  <c r="N1256" i="24"/>
  <c r="O1256" i="24" s="1"/>
  <c r="P1256" i="24"/>
  <c r="Q1256" i="24" s="1"/>
  <c r="F1256" i="24"/>
  <c r="G1256" i="24" s="1"/>
  <c r="T1256" i="24"/>
  <c r="U1256" i="24" s="1"/>
  <c r="A1257" i="24"/>
  <c r="N1257" i="24" l="1"/>
  <c r="O1257" i="24" s="1"/>
  <c r="L1257" i="24"/>
  <c r="M1257" i="24" s="1"/>
  <c r="T1257" i="24"/>
  <c r="U1257" i="24" s="1"/>
  <c r="J1257" i="24"/>
  <c r="K1257" i="24" s="1"/>
  <c r="A1258" i="24"/>
  <c r="R1257" i="24"/>
  <c r="S1257" i="24" s="1"/>
  <c r="P1257" i="24"/>
  <c r="Q1257" i="24" s="1"/>
  <c r="H1257" i="24"/>
  <c r="I1257" i="24" s="1"/>
  <c r="V1257" i="24"/>
  <c r="W1257" i="24" s="1"/>
  <c r="B1257" i="24"/>
  <c r="C1257" i="24" s="1"/>
  <c r="F1257" i="24"/>
  <c r="G1257" i="24" s="1"/>
  <c r="D1257" i="24"/>
  <c r="E1257" i="24" s="1"/>
  <c r="D1258" i="24" l="1"/>
  <c r="E1258" i="24" s="1"/>
  <c r="F1258" i="24"/>
  <c r="G1258" i="24" s="1"/>
  <c r="H1258" i="24"/>
  <c r="I1258" i="24" s="1"/>
  <c r="N1258" i="24"/>
  <c r="O1258" i="24" s="1"/>
  <c r="T1258" i="24"/>
  <c r="U1258" i="24" s="1"/>
  <c r="J1258" i="24"/>
  <c r="K1258" i="24" s="1"/>
  <c r="L1258" i="24"/>
  <c r="M1258" i="24" s="1"/>
  <c r="A1259" i="24"/>
  <c r="V1258" i="24"/>
  <c r="W1258" i="24" s="1"/>
  <c r="B1258" i="24"/>
  <c r="C1258" i="24" s="1"/>
  <c r="R1258" i="24"/>
  <c r="S1258" i="24" s="1"/>
  <c r="P1258" i="24"/>
  <c r="Q1258" i="24" s="1"/>
  <c r="F1259" i="24" l="1"/>
  <c r="G1259" i="24" s="1"/>
  <c r="V1259" i="24"/>
  <c r="W1259" i="24" s="1"/>
  <c r="N1259" i="24"/>
  <c r="O1259" i="24" s="1"/>
  <c r="D1259" i="24"/>
  <c r="E1259" i="24" s="1"/>
  <c r="J1259" i="24"/>
  <c r="K1259" i="24" s="1"/>
  <c r="H1259" i="24"/>
  <c r="I1259" i="24" s="1"/>
  <c r="L1259" i="24"/>
  <c r="M1259" i="24" s="1"/>
  <c r="P1259" i="24"/>
  <c r="Q1259" i="24" s="1"/>
  <c r="R1259" i="24"/>
  <c r="S1259" i="24" s="1"/>
  <c r="B1259" i="24"/>
  <c r="C1259" i="24" s="1"/>
  <c r="A1260" i="24"/>
  <c r="T1259" i="24"/>
  <c r="U1259" i="24" s="1"/>
  <c r="J1260" i="24" l="1"/>
  <c r="K1260" i="24" s="1"/>
  <c r="A1261" i="24"/>
  <c r="F1260" i="24"/>
  <c r="G1260" i="24" s="1"/>
  <c r="B1260" i="24"/>
  <c r="C1260" i="24" s="1"/>
  <c r="H1260" i="24"/>
  <c r="I1260" i="24" s="1"/>
  <c r="R1260" i="24"/>
  <c r="S1260" i="24" s="1"/>
  <c r="L1260" i="24"/>
  <c r="M1260" i="24" s="1"/>
  <c r="N1260" i="24"/>
  <c r="O1260" i="24" s="1"/>
  <c r="V1260" i="24"/>
  <c r="W1260" i="24" s="1"/>
  <c r="P1260" i="24"/>
  <c r="Q1260" i="24" s="1"/>
  <c r="T1260" i="24"/>
  <c r="U1260" i="24" s="1"/>
  <c r="D1260" i="24"/>
  <c r="E1260" i="24" s="1"/>
  <c r="N1261" i="24" l="1"/>
  <c r="O1261" i="24" s="1"/>
  <c r="J1261" i="24"/>
  <c r="K1261" i="24" s="1"/>
  <c r="B1261" i="24"/>
  <c r="C1261" i="24" s="1"/>
  <c r="D1261" i="24"/>
  <c r="E1261" i="24" s="1"/>
  <c r="H1261" i="24"/>
  <c r="I1261" i="24" s="1"/>
  <c r="T1261" i="24"/>
  <c r="U1261" i="24" s="1"/>
  <c r="L1261" i="24"/>
  <c r="M1261" i="24" s="1"/>
  <c r="P1261" i="24"/>
  <c r="Q1261" i="24" s="1"/>
  <c r="F1261" i="24"/>
  <c r="G1261" i="24" s="1"/>
  <c r="R1261" i="24"/>
  <c r="S1261" i="24" s="1"/>
  <c r="V1261" i="24"/>
  <c r="W1261" i="24" s="1"/>
  <c r="A1262" i="24"/>
  <c r="D1262" i="24" l="1"/>
  <c r="E1262" i="24" s="1"/>
  <c r="B1262" i="24"/>
  <c r="C1262" i="24" s="1"/>
  <c r="R1262" i="24"/>
  <c r="S1262" i="24" s="1"/>
  <c r="F1262" i="24"/>
  <c r="G1262" i="24" s="1"/>
  <c r="V1262" i="24"/>
  <c r="W1262" i="24" s="1"/>
  <c r="T1262" i="24"/>
  <c r="U1262" i="24" s="1"/>
  <c r="N1262" i="24"/>
  <c r="O1262" i="24" s="1"/>
  <c r="P1262" i="24"/>
  <c r="Q1262" i="24" s="1"/>
  <c r="H1262" i="24"/>
  <c r="I1262" i="24" s="1"/>
  <c r="A1263" i="24"/>
  <c r="J1262" i="24"/>
  <c r="K1262" i="24" s="1"/>
  <c r="L1262" i="24"/>
  <c r="M1262" i="24" s="1"/>
  <c r="F1263" i="24" l="1"/>
  <c r="G1263" i="24" s="1"/>
  <c r="R1263" i="24"/>
  <c r="S1263" i="24" s="1"/>
  <c r="A1264" i="24"/>
  <c r="V1263" i="24"/>
  <c r="W1263" i="24" s="1"/>
  <c r="H1263" i="24"/>
  <c r="I1263" i="24" s="1"/>
  <c r="N1263" i="24"/>
  <c r="O1263" i="24" s="1"/>
  <c r="T1263" i="24"/>
  <c r="U1263" i="24" s="1"/>
  <c r="B1263" i="24"/>
  <c r="C1263" i="24" s="1"/>
  <c r="D1263" i="24"/>
  <c r="E1263" i="24" s="1"/>
  <c r="J1263" i="24"/>
  <c r="K1263" i="24" s="1"/>
  <c r="P1263" i="24"/>
  <c r="Q1263" i="24" s="1"/>
  <c r="L1263" i="24"/>
  <c r="M1263" i="24" s="1"/>
  <c r="J1264" i="24" l="1"/>
  <c r="K1264" i="24" s="1"/>
  <c r="L1264" i="24"/>
  <c r="M1264" i="24" s="1"/>
  <c r="T1264" i="24"/>
  <c r="U1264" i="24" s="1"/>
  <c r="N1264" i="24"/>
  <c r="O1264" i="24" s="1"/>
  <c r="A1265" i="24"/>
  <c r="P1264" i="24"/>
  <c r="Q1264" i="24" s="1"/>
  <c r="R1264" i="24"/>
  <c r="S1264" i="24" s="1"/>
  <c r="D1264" i="24"/>
  <c r="E1264" i="24" s="1"/>
  <c r="V1264" i="24"/>
  <c r="W1264" i="24" s="1"/>
  <c r="H1264" i="24"/>
  <c r="I1264" i="24" s="1"/>
  <c r="F1264" i="24"/>
  <c r="G1264" i="24" s="1"/>
  <c r="B1264" i="24"/>
  <c r="C1264" i="24" s="1"/>
  <c r="N1265" i="24" l="1"/>
  <c r="O1265" i="24" s="1"/>
  <c r="H1265" i="24"/>
  <c r="I1265" i="24" s="1"/>
  <c r="L1265" i="24"/>
  <c r="M1265" i="24" s="1"/>
  <c r="R1265" i="24"/>
  <c r="S1265" i="24" s="1"/>
  <c r="V1265" i="24"/>
  <c r="W1265" i="24" s="1"/>
  <c r="F1265" i="24"/>
  <c r="G1265" i="24" s="1"/>
  <c r="B1265" i="24"/>
  <c r="C1265" i="24" s="1"/>
  <c r="D1265" i="24"/>
  <c r="E1265" i="24" s="1"/>
  <c r="P1265" i="24"/>
  <c r="Q1265" i="24" s="1"/>
  <c r="T1265" i="24"/>
  <c r="U1265" i="24" s="1"/>
  <c r="A1266" i="24"/>
  <c r="J1265" i="24"/>
  <c r="K1265" i="24" s="1"/>
  <c r="V1266" i="24" l="1"/>
  <c r="W1266" i="24" s="1"/>
  <c r="J1266" i="24"/>
  <c r="K1266" i="24" s="1"/>
  <c r="P1266" i="24"/>
  <c r="Q1266" i="24" s="1"/>
  <c r="L1266" i="24"/>
  <c r="M1266" i="24" s="1"/>
  <c r="B1266" i="24"/>
  <c r="C1266" i="24" s="1"/>
  <c r="F1266" i="24"/>
  <c r="G1266" i="24" s="1"/>
  <c r="H1266" i="24"/>
  <c r="I1266" i="24" s="1"/>
  <c r="T1266" i="24"/>
  <c r="U1266" i="24" s="1"/>
  <c r="A1267" i="24"/>
  <c r="R1266" i="24"/>
  <c r="S1266" i="24" s="1"/>
  <c r="D1266" i="24"/>
  <c r="E1266" i="24" s="1"/>
  <c r="N1266" i="24"/>
  <c r="O1266" i="24" s="1"/>
  <c r="F1267" i="24" l="1"/>
  <c r="G1267" i="24" s="1"/>
  <c r="R1267" i="24"/>
  <c r="S1267" i="24" s="1"/>
  <c r="L1267" i="24"/>
  <c r="M1267" i="24" s="1"/>
  <c r="T1267" i="24"/>
  <c r="U1267" i="24" s="1"/>
  <c r="P1267" i="24"/>
  <c r="Q1267" i="24" s="1"/>
  <c r="A1268" i="24"/>
  <c r="V1267" i="24"/>
  <c r="W1267" i="24" s="1"/>
  <c r="D1267" i="24"/>
  <c r="E1267" i="24" s="1"/>
  <c r="H1267" i="24"/>
  <c r="I1267" i="24" s="1"/>
  <c r="J1267" i="24"/>
  <c r="K1267" i="24" s="1"/>
  <c r="N1267" i="24"/>
  <c r="O1267" i="24" s="1"/>
  <c r="B1267" i="24"/>
  <c r="C1267" i="24" s="1"/>
  <c r="J1268" i="24" l="1"/>
  <c r="K1268" i="24" s="1"/>
  <c r="V1268" i="24"/>
  <c r="W1268" i="24" s="1"/>
  <c r="F1268" i="24"/>
  <c r="G1268" i="24" s="1"/>
  <c r="H1268" i="24"/>
  <c r="I1268" i="24" s="1"/>
  <c r="T1268" i="24"/>
  <c r="U1268" i="24" s="1"/>
  <c r="A1269" i="24"/>
  <c r="P1268" i="24"/>
  <c r="Q1268" i="24" s="1"/>
  <c r="B1268" i="24"/>
  <c r="C1268" i="24" s="1"/>
  <c r="L1268" i="24"/>
  <c r="M1268" i="24" s="1"/>
  <c r="R1268" i="24"/>
  <c r="S1268" i="24" s="1"/>
  <c r="D1268" i="24"/>
  <c r="E1268" i="24" s="1"/>
  <c r="N1268" i="24"/>
  <c r="O1268" i="24" s="1"/>
  <c r="N1269" i="24" l="1"/>
  <c r="O1269" i="24" s="1"/>
  <c r="D1269" i="24"/>
  <c r="E1269" i="24" s="1"/>
  <c r="P1269" i="24"/>
  <c r="Q1269" i="24" s="1"/>
  <c r="F1269" i="24"/>
  <c r="G1269" i="24" s="1"/>
  <c r="J1269" i="24"/>
  <c r="K1269" i="24" s="1"/>
  <c r="T1269" i="24"/>
  <c r="U1269" i="24" s="1"/>
  <c r="A1270" i="24"/>
  <c r="L1269" i="24"/>
  <c r="M1269" i="24" s="1"/>
  <c r="R1269" i="24"/>
  <c r="S1269" i="24" s="1"/>
  <c r="V1269" i="24"/>
  <c r="W1269" i="24" s="1"/>
  <c r="B1269" i="24"/>
  <c r="C1269" i="24" s="1"/>
  <c r="H1269" i="24"/>
  <c r="I1269" i="24" s="1"/>
  <c r="P1270" i="24" l="1"/>
  <c r="Q1270" i="24" s="1"/>
  <c r="T1270" i="24"/>
  <c r="U1270" i="24" s="1"/>
  <c r="F1270" i="24"/>
  <c r="G1270" i="24" s="1"/>
  <c r="A1271" i="24"/>
  <c r="H1270" i="24"/>
  <c r="I1270" i="24" s="1"/>
  <c r="N1270" i="24"/>
  <c r="O1270" i="24" s="1"/>
  <c r="J1270" i="24"/>
  <c r="K1270" i="24" s="1"/>
  <c r="B1270" i="24"/>
  <c r="C1270" i="24" s="1"/>
  <c r="R1270" i="24"/>
  <c r="S1270" i="24" s="1"/>
  <c r="D1270" i="24"/>
  <c r="E1270" i="24" s="1"/>
  <c r="L1270" i="24"/>
  <c r="M1270" i="24" s="1"/>
  <c r="V1270" i="24"/>
  <c r="W1270" i="24" s="1"/>
  <c r="F1271" i="24" l="1"/>
  <c r="G1271" i="24" s="1"/>
  <c r="P1271" i="24"/>
  <c r="Q1271" i="24" s="1"/>
  <c r="B1271" i="24"/>
  <c r="C1271" i="24" s="1"/>
  <c r="D1271" i="24"/>
  <c r="E1271" i="24" s="1"/>
  <c r="J1271" i="24"/>
  <c r="K1271" i="24" s="1"/>
  <c r="V1271" i="24"/>
  <c r="W1271" i="24" s="1"/>
  <c r="L1271" i="24"/>
  <c r="M1271" i="24" s="1"/>
  <c r="T1271" i="24"/>
  <c r="U1271" i="24" s="1"/>
  <c r="A1272" i="24"/>
  <c r="H1271" i="24"/>
  <c r="I1271" i="24" s="1"/>
  <c r="N1271" i="24"/>
  <c r="O1271" i="24" s="1"/>
  <c r="R1271" i="24"/>
  <c r="S1271" i="24" s="1"/>
  <c r="J1272" i="24" l="1"/>
  <c r="K1272" i="24" s="1"/>
  <c r="R1272" i="24"/>
  <c r="S1272" i="24" s="1"/>
  <c r="D1272" i="24"/>
  <c r="E1272" i="24" s="1"/>
  <c r="V1272" i="24"/>
  <c r="W1272" i="24" s="1"/>
  <c r="L1272" i="24"/>
  <c r="M1272" i="24" s="1"/>
  <c r="N1272" i="24"/>
  <c r="O1272" i="24" s="1"/>
  <c r="F1272" i="24"/>
  <c r="G1272" i="24" s="1"/>
  <c r="H1272" i="24"/>
  <c r="I1272" i="24" s="1"/>
  <c r="T1272" i="24"/>
  <c r="U1272" i="24" s="1"/>
  <c r="A1273" i="24"/>
  <c r="P1272" i="24"/>
  <c r="Q1272" i="24" s="1"/>
  <c r="B1272" i="24"/>
  <c r="C1272" i="24" s="1"/>
  <c r="N1273" i="24" l="1"/>
  <c r="O1273" i="24" s="1"/>
  <c r="B1273" i="24"/>
  <c r="C1273" i="24" s="1"/>
  <c r="T1273" i="24"/>
  <c r="U1273" i="24" s="1"/>
  <c r="V1273" i="24"/>
  <c r="W1273" i="24" s="1"/>
  <c r="A1274" i="24"/>
  <c r="D1273" i="24"/>
  <c r="E1273" i="24" s="1"/>
  <c r="P1273" i="24"/>
  <c r="Q1273" i="24" s="1"/>
  <c r="J1273" i="24"/>
  <c r="K1273" i="24" s="1"/>
  <c r="F1273" i="24"/>
  <c r="G1273" i="24" s="1"/>
  <c r="H1273" i="24"/>
  <c r="I1273" i="24" s="1"/>
  <c r="L1273" i="24"/>
  <c r="M1273" i="24" s="1"/>
  <c r="R1273" i="24"/>
  <c r="S1273" i="24" s="1"/>
  <c r="N1274" i="24" l="1"/>
  <c r="O1274" i="24" s="1"/>
  <c r="P1274" i="24"/>
  <c r="Q1274" i="24" s="1"/>
  <c r="V1274" i="24"/>
  <c r="W1274" i="24" s="1"/>
  <c r="T1274" i="24"/>
  <c r="U1274" i="24" s="1"/>
  <c r="D1274" i="24"/>
  <c r="E1274" i="24" s="1"/>
  <c r="A1275" i="24"/>
  <c r="J1274" i="24"/>
  <c r="K1274" i="24" s="1"/>
  <c r="L1274" i="24"/>
  <c r="M1274" i="24" s="1"/>
  <c r="B1274" i="24"/>
  <c r="C1274" i="24" s="1"/>
  <c r="R1274" i="24"/>
  <c r="S1274" i="24" s="1"/>
  <c r="F1274" i="24"/>
  <c r="G1274" i="24" s="1"/>
  <c r="H1274" i="24"/>
  <c r="I1274" i="24" s="1"/>
  <c r="F1275" i="24" l="1"/>
  <c r="G1275" i="24" s="1"/>
  <c r="L1275" i="24"/>
  <c r="M1275" i="24" s="1"/>
  <c r="N1275" i="24"/>
  <c r="O1275" i="24" s="1"/>
  <c r="R1275" i="24"/>
  <c r="S1275" i="24" s="1"/>
  <c r="V1275" i="24"/>
  <c r="W1275" i="24" s="1"/>
  <c r="A1276" i="24"/>
  <c r="H1275" i="24"/>
  <c r="I1275" i="24" s="1"/>
  <c r="J1275" i="24"/>
  <c r="K1275" i="24" s="1"/>
  <c r="B1275" i="24"/>
  <c r="C1275" i="24" s="1"/>
  <c r="P1275" i="24"/>
  <c r="Q1275" i="24" s="1"/>
  <c r="D1275" i="24"/>
  <c r="E1275" i="24" s="1"/>
  <c r="T1275" i="24"/>
  <c r="U1275" i="24" s="1"/>
  <c r="J1276" i="24" l="1"/>
  <c r="K1276" i="24" s="1"/>
  <c r="A1277" i="24"/>
  <c r="N1276" i="24"/>
  <c r="O1276" i="24" s="1"/>
  <c r="B1276" i="24"/>
  <c r="C1276" i="24" s="1"/>
  <c r="P1276" i="24"/>
  <c r="Q1276" i="24" s="1"/>
  <c r="R1276" i="24"/>
  <c r="S1276" i="24" s="1"/>
  <c r="V1276" i="24"/>
  <c r="W1276" i="24" s="1"/>
  <c r="F1276" i="24"/>
  <c r="G1276" i="24" s="1"/>
  <c r="L1276" i="24"/>
  <c r="M1276" i="24" s="1"/>
  <c r="T1276" i="24"/>
  <c r="U1276" i="24" s="1"/>
  <c r="D1276" i="24"/>
  <c r="E1276" i="24" s="1"/>
  <c r="H1276" i="24"/>
  <c r="I1276" i="24" s="1"/>
  <c r="N1277" i="24" l="1"/>
  <c r="O1277" i="24" s="1"/>
  <c r="V1277" i="24"/>
  <c r="W1277" i="24" s="1"/>
  <c r="J1277" i="24"/>
  <c r="K1277" i="24" s="1"/>
  <c r="L1277" i="24"/>
  <c r="M1277" i="24" s="1"/>
  <c r="T1277" i="24"/>
  <c r="U1277" i="24" s="1"/>
  <c r="R1277" i="24"/>
  <c r="S1277" i="24" s="1"/>
  <c r="H1277" i="24"/>
  <c r="I1277" i="24" s="1"/>
  <c r="B1277" i="24"/>
  <c r="C1277" i="24" s="1"/>
  <c r="F1277" i="24"/>
  <c r="G1277" i="24" s="1"/>
  <c r="D1277" i="24"/>
  <c r="E1277" i="24" s="1"/>
  <c r="P1277" i="24"/>
  <c r="Q1277" i="24" s="1"/>
  <c r="A1278" i="24"/>
  <c r="H1278" i="24" l="1"/>
  <c r="I1278" i="24" s="1"/>
  <c r="B1278" i="24"/>
  <c r="C1278" i="24" s="1"/>
  <c r="R1278" i="24"/>
  <c r="S1278" i="24" s="1"/>
  <c r="N1278" i="24"/>
  <c r="O1278" i="24" s="1"/>
  <c r="D1278" i="24"/>
  <c r="E1278" i="24" s="1"/>
  <c r="F1278" i="24"/>
  <c r="G1278" i="24" s="1"/>
  <c r="P1278" i="24"/>
  <c r="Q1278" i="24" s="1"/>
  <c r="T1278" i="24"/>
  <c r="U1278" i="24" s="1"/>
  <c r="L1278" i="24"/>
  <c r="M1278" i="24" s="1"/>
  <c r="A1279" i="24"/>
  <c r="J1278" i="24"/>
  <c r="K1278" i="24" s="1"/>
  <c r="V1278" i="24"/>
  <c r="W1278" i="24" s="1"/>
  <c r="F1279" i="24" l="1"/>
  <c r="G1279" i="24" s="1"/>
  <c r="J1279" i="24"/>
  <c r="K1279" i="24" s="1"/>
  <c r="A1280" i="24"/>
  <c r="L1279" i="24"/>
  <c r="M1279" i="24" s="1"/>
  <c r="H1279" i="24"/>
  <c r="I1279" i="24" s="1"/>
  <c r="N1279" i="24"/>
  <c r="O1279" i="24" s="1"/>
  <c r="T1279" i="24"/>
  <c r="U1279" i="24" s="1"/>
  <c r="D1279" i="24"/>
  <c r="E1279" i="24" s="1"/>
  <c r="P1279" i="24"/>
  <c r="Q1279" i="24" s="1"/>
  <c r="R1279" i="24"/>
  <c r="S1279" i="24" s="1"/>
  <c r="V1279" i="24"/>
  <c r="W1279" i="24" s="1"/>
  <c r="B1279" i="24"/>
  <c r="C1279" i="24" s="1"/>
  <c r="J1280" i="24" l="1"/>
  <c r="K1280" i="24" s="1"/>
  <c r="H1280" i="24"/>
  <c r="I1280" i="24" s="1"/>
  <c r="T1280" i="24"/>
  <c r="U1280" i="24" s="1"/>
  <c r="L1280" i="24"/>
  <c r="M1280" i="24" s="1"/>
  <c r="A1281" i="24"/>
  <c r="N1280" i="24"/>
  <c r="O1280" i="24" s="1"/>
  <c r="B1280" i="24"/>
  <c r="C1280" i="24" s="1"/>
  <c r="R1280" i="24"/>
  <c r="S1280" i="24" s="1"/>
  <c r="F1280" i="24"/>
  <c r="G1280" i="24" s="1"/>
  <c r="P1280" i="24"/>
  <c r="Q1280" i="24" s="1"/>
  <c r="D1280" i="24"/>
  <c r="E1280" i="24" s="1"/>
  <c r="V1280" i="24"/>
  <c r="W1280" i="24" s="1"/>
  <c r="N1281" i="24" l="1"/>
  <c r="O1281" i="24" s="1"/>
  <c r="R1281" i="24"/>
  <c r="S1281" i="24" s="1"/>
  <c r="B1281" i="24"/>
  <c r="C1281" i="24" s="1"/>
  <c r="D1281" i="24"/>
  <c r="E1281" i="24" s="1"/>
  <c r="H1281" i="24"/>
  <c r="I1281" i="24" s="1"/>
  <c r="P1281" i="24"/>
  <c r="Q1281" i="24" s="1"/>
  <c r="F1281" i="24"/>
  <c r="G1281" i="24" s="1"/>
  <c r="T1281" i="24"/>
  <c r="U1281" i="24" s="1"/>
  <c r="A1282" i="24"/>
  <c r="J1281" i="24"/>
  <c r="K1281" i="24" s="1"/>
  <c r="L1281" i="24"/>
  <c r="M1281" i="24" s="1"/>
  <c r="V1281" i="24"/>
  <c r="W1281" i="24" s="1"/>
  <c r="F1282" i="24" l="1"/>
  <c r="G1282" i="24" s="1"/>
  <c r="J1282" i="24"/>
  <c r="K1282" i="24" s="1"/>
  <c r="D1282" i="24"/>
  <c r="E1282" i="24" s="1"/>
  <c r="L1282" i="24"/>
  <c r="M1282" i="24" s="1"/>
  <c r="B1282" i="24"/>
  <c r="C1282" i="24" s="1"/>
  <c r="H1282" i="24"/>
  <c r="I1282" i="24" s="1"/>
  <c r="N1282" i="24"/>
  <c r="O1282" i="24" s="1"/>
  <c r="A1283" i="24"/>
  <c r="T1282" i="24"/>
  <c r="U1282" i="24" s="1"/>
  <c r="R1282" i="24"/>
  <c r="S1282" i="24" s="1"/>
  <c r="P1282" i="24"/>
  <c r="Q1282" i="24" s="1"/>
  <c r="V1282" i="24"/>
  <c r="W1282" i="24" s="1"/>
  <c r="F1283" i="24" l="1"/>
  <c r="G1283" i="24" s="1"/>
  <c r="D1283" i="24"/>
  <c r="E1283" i="24" s="1"/>
  <c r="V1283" i="24"/>
  <c r="W1283" i="24" s="1"/>
  <c r="T1283" i="24"/>
  <c r="U1283" i="24" s="1"/>
  <c r="B1283" i="24"/>
  <c r="C1283" i="24" s="1"/>
  <c r="J1283" i="24"/>
  <c r="K1283" i="24" s="1"/>
  <c r="A1284" i="24"/>
  <c r="R1283" i="24"/>
  <c r="S1283" i="24" s="1"/>
  <c r="N1283" i="24"/>
  <c r="O1283" i="24" s="1"/>
  <c r="P1283" i="24"/>
  <c r="Q1283" i="24" s="1"/>
  <c r="H1283" i="24"/>
  <c r="I1283" i="24" s="1"/>
  <c r="L1283" i="24"/>
  <c r="M1283" i="24" s="1"/>
  <c r="J1284" i="24" l="1"/>
  <c r="K1284" i="24" s="1"/>
  <c r="V1284" i="24"/>
  <c r="W1284" i="24" s="1"/>
  <c r="P1284" i="24"/>
  <c r="Q1284" i="24" s="1"/>
  <c r="F1284" i="24"/>
  <c r="G1284" i="24" s="1"/>
  <c r="N1284" i="24"/>
  <c r="O1284" i="24" s="1"/>
  <c r="T1284" i="24"/>
  <c r="U1284" i="24" s="1"/>
  <c r="A1285" i="24"/>
  <c r="L1284" i="24"/>
  <c r="M1284" i="24" s="1"/>
  <c r="B1284" i="24"/>
  <c r="C1284" i="24" s="1"/>
  <c r="R1284" i="24"/>
  <c r="S1284" i="24" s="1"/>
  <c r="D1284" i="24"/>
  <c r="E1284" i="24" s="1"/>
  <c r="H1284" i="24"/>
  <c r="I1284" i="24" s="1"/>
  <c r="N1285" i="24" l="1"/>
  <c r="O1285" i="24" s="1"/>
  <c r="R1285" i="24"/>
  <c r="S1285" i="24" s="1"/>
  <c r="P1285" i="24"/>
  <c r="Q1285" i="24" s="1"/>
  <c r="F1285" i="24"/>
  <c r="G1285" i="24" s="1"/>
  <c r="B1285" i="24"/>
  <c r="C1285" i="24" s="1"/>
  <c r="T1285" i="24"/>
  <c r="U1285" i="24" s="1"/>
  <c r="H1285" i="24"/>
  <c r="I1285" i="24" s="1"/>
  <c r="J1285" i="24"/>
  <c r="K1285" i="24" s="1"/>
  <c r="L1285" i="24"/>
  <c r="M1285" i="24" s="1"/>
  <c r="D1285" i="24"/>
  <c r="E1285" i="24" s="1"/>
  <c r="V1285" i="24"/>
  <c r="W1285" i="24" s="1"/>
  <c r="A1286" i="24"/>
  <c r="D1286" i="24" l="1"/>
  <c r="E1286" i="24" s="1"/>
  <c r="T1286" i="24"/>
  <c r="U1286" i="24" s="1"/>
  <c r="N1286" i="24"/>
  <c r="O1286" i="24" s="1"/>
  <c r="A1287" i="24"/>
  <c r="P1286" i="24"/>
  <c r="Q1286" i="24" s="1"/>
  <c r="V1286" i="24"/>
  <c r="W1286" i="24" s="1"/>
  <c r="J1286" i="24"/>
  <c r="K1286" i="24" s="1"/>
  <c r="L1286" i="24"/>
  <c r="M1286" i="24" s="1"/>
  <c r="B1286" i="24"/>
  <c r="C1286" i="24" s="1"/>
  <c r="H1286" i="24"/>
  <c r="I1286" i="24" s="1"/>
  <c r="F1286" i="24"/>
  <c r="G1286" i="24" s="1"/>
  <c r="R1286" i="24"/>
  <c r="S1286" i="24" s="1"/>
  <c r="F1287" i="24" l="1"/>
  <c r="G1287" i="24" s="1"/>
  <c r="B1287" i="24"/>
  <c r="C1287" i="24" s="1"/>
  <c r="L1287" i="24"/>
  <c r="M1287" i="24" s="1"/>
  <c r="P1287" i="24"/>
  <c r="Q1287" i="24" s="1"/>
  <c r="R1287" i="24"/>
  <c r="S1287" i="24" s="1"/>
  <c r="N1287" i="24"/>
  <c r="O1287" i="24" s="1"/>
  <c r="J1287" i="24"/>
  <c r="K1287" i="24" s="1"/>
  <c r="A1288" i="24"/>
  <c r="H1287" i="24"/>
  <c r="I1287" i="24" s="1"/>
  <c r="V1287" i="24"/>
  <c r="W1287" i="24" s="1"/>
  <c r="D1287" i="24"/>
  <c r="E1287" i="24" s="1"/>
  <c r="T1287" i="24"/>
  <c r="U1287" i="24" s="1"/>
  <c r="J1288" i="24" l="1"/>
  <c r="K1288" i="24" s="1"/>
  <c r="R1288" i="24"/>
  <c r="S1288" i="24" s="1"/>
  <c r="D1288" i="24"/>
  <c r="E1288" i="24" s="1"/>
  <c r="V1288" i="24"/>
  <c r="W1288" i="24" s="1"/>
  <c r="P1288" i="24"/>
  <c r="Q1288" i="24" s="1"/>
  <c r="F1288" i="24"/>
  <c r="G1288" i="24" s="1"/>
  <c r="H1288" i="24"/>
  <c r="I1288" i="24" s="1"/>
  <c r="L1288" i="24"/>
  <c r="M1288" i="24" s="1"/>
  <c r="B1288" i="24"/>
  <c r="C1288" i="24" s="1"/>
  <c r="N1288" i="24"/>
  <c r="O1288" i="24" s="1"/>
  <c r="T1288" i="24"/>
  <c r="U1288" i="24" s="1"/>
  <c r="A1289" i="24"/>
  <c r="N1289" i="24" l="1"/>
  <c r="O1289" i="24" s="1"/>
  <c r="L1289" i="24"/>
  <c r="M1289" i="24" s="1"/>
  <c r="T1289" i="24"/>
  <c r="U1289" i="24" s="1"/>
  <c r="J1289" i="24"/>
  <c r="K1289" i="24" s="1"/>
  <c r="A1290" i="24"/>
  <c r="R1289" i="24"/>
  <c r="S1289" i="24" s="1"/>
  <c r="P1289" i="24"/>
  <c r="Q1289" i="24" s="1"/>
  <c r="H1289" i="24"/>
  <c r="I1289" i="24" s="1"/>
  <c r="D1289" i="24"/>
  <c r="E1289" i="24" s="1"/>
  <c r="F1289" i="24"/>
  <c r="G1289" i="24" s="1"/>
  <c r="V1289" i="24"/>
  <c r="W1289" i="24" s="1"/>
  <c r="B1289" i="24"/>
  <c r="C1289" i="24" s="1"/>
  <c r="D1290" i="24" l="1"/>
  <c r="E1290" i="24" s="1"/>
  <c r="F1290" i="24"/>
  <c r="G1290" i="24" s="1"/>
  <c r="H1290" i="24"/>
  <c r="I1290" i="24" s="1"/>
  <c r="T1290" i="24"/>
  <c r="U1290" i="24" s="1"/>
  <c r="N1290" i="24"/>
  <c r="O1290" i="24" s="1"/>
  <c r="A1291" i="24"/>
  <c r="B1290" i="24"/>
  <c r="C1290" i="24" s="1"/>
  <c r="R1290" i="24"/>
  <c r="S1290" i="24" s="1"/>
  <c r="P1290" i="24"/>
  <c r="Q1290" i="24" s="1"/>
  <c r="V1290" i="24"/>
  <c r="W1290" i="24" s="1"/>
  <c r="J1290" i="24"/>
  <c r="K1290" i="24" s="1"/>
  <c r="L1290" i="24"/>
  <c r="M1290" i="24" s="1"/>
  <c r="F1291" i="24" l="1"/>
  <c r="G1291" i="24" s="1"/>
  <c r="V1291" i="24"/>
  <c r="W1291" i="24" s="1"/>
  <c r="N1291" i="24"/>
  <c r="O1291" i="24" s="1"/>
  <c r="D1291" i="24"/>
  <c r="E1291" i="24" s="1"/>
  <c r="J1291" i="24"/>
  <c r="K1291" i="24" s="1"/>
  <c r="T1291" i="24"/>
  <c r="U1291" i="24" s="1"/>
  <c r="A1292" i="24"/>
  <c r="B1291" i="24"/>
  <c r="C1291" i="24" s="1"/>
  <c r="L1291" i="24"/>
  <c r="M1291" i="24" s="1"/>
  <c r="R1291" i="24"/>
  <c r="S1291" i="24" s="1"/>
  <c r="H1291" i="24"/>
  <c r="I1291" i="24" s="1"/>
  <c r="P1291" i="24"/>
  <c r="Q1291" i="24" s="1"/>
  <c r="J1292" i="24" l="1"/>
  <c r="K1292" i="24" s="1"/>
  <c r="A1293" i="24"/>
  <c r="F1292" i="24"/>
  <c r="G1292" i="24" s="1"/>
  <c r="B1292" i="24"/>
  <c r="C1292" i="24" s="1"/>
  <c r="H1292" i="24"/>
  <c r="I1292" i="24" s="1"/>
  <c r="R1292" i="24"/>
  <c r="S1292" i="24" s="1"/>
  <c r="D1292" i="24"/>
  <c r="E1292" i="24" s="1"/>
  <c r="V1292" i="24"/>
  <c r="W1292" i="24" s="1"/>
  <c r="T1292" i="24"/>
  <c r="U1292" i="24" s="1"/>
  <c r="L1292" i="24"/>
  <c r="M1292" i="24" s="1"/>
  <c r="N1292" i="24"/>
  <c r="O1292" i="24" s="1"/>
  <c r="P1292" i="24"/>
  <c r="Q1292" i="24" s="1"/>
  <c r="N1293" i="24" l="1"/>
  <c r="O1293" i="24" s="1"/>
  <c r="J1293" i="24"/>
  <c r="K1293" i="24" s="1"/>
  <c r="B1293" i="24"/>
  <c r="C1293" i="24" s="1"/>
  <c r="D1293" i="24"/>
  <c r="E1293" i="24" s="1"/>
  <c r="T1293" i="24"/>
  <c r="U1293" i="24" s="1"/>
  <c r="H1293" i="24"/>
  <c r="I1293" i="24" s="1"/>
  <c r="R1293" i="24"/>
  <c r="S1293" i="24" s="1"/>
  <c r="V1293" i="24"/>
  <c r="W1293" i="24" s="1"/>
  <c r="L1293" i="24"/>
  <c r="M1293" i="24" s="1"/>
  <c r="P1293" i="24"/>
  <c r="Q1293" i="24" s="1"/>
  <c r="F1293" i="24"/>
  <c r="G1293" i="24" s="1"/>
  <c r="A1294" i="24"/>
  <c r="D1294" i="24" l="1"/>
  <c r="E1294" i="24" s="1"/>
  <c r="B1294" i="24"/>
  <c r="C1294" i="24" s="1"/>
  <c r="R1294" i="24"/>
  <c r="S1294" i="24" s="1"/>
  <c r="F1294" i="24"/>
  <c r="G1294" i="24" s="1"/>
  <c r="N1294" i="24"/>
  <c r="O1294" i="24" s="1"/>
  <c r="P1294" i="24"/>
  <c r="Q1294" i="24" s="1"/>
  <c r="T1294" i="24"/>
  <c r="U1294" i="24" s="1"/>
  <c r="H1294" i="24"/>
  <c r="I1294" i="24" s="1"/>
  <c r="A1295" i="24"/>
  <c r="V1294" i="24"/>
  <c r="W1294" i="24" s="1"/>
  <c r="J1294" i="24"/>
  <c r="K1294" i="24" s="1"/>
  <c r="L1294" i="24"/>
  <c r="M1294" i="24" s="1"/>
  <c r="F1295" i="24" l="1"/>
  <c r="G1295" i="24" s="1"/>
  <c r="R1295" i="24"/>
  <c r="S1295" i="24" s="1"/>
  <c r="A1296" i="24"/>
  <c r="V1295" i="24"/>
  <c r="W1295" i="24" s="1"/>
  <c r="H1295" i="24"/>
  <c r="I1295" i="24" s="1"/>
  <c r="N1295" i="24"/>
  <c r="O1295" i="24" s="1"/>
  <c r="P1295" i="24"/>
  <c r="Q1295" i="24" s="1"/>
  <c r="B1295" i="24"/>
  <c r="C1295" i="24" s="1"/>
  <c r="D1295" i="24"/>
  <c r="E1295" i="24" s="1"/>
  <c r="J1295" i="24"/>
  <c r="K1295" i="24" s="1"/>
  <c r="T1295" i="24"/>
  <c r="U1295" i="24" s="1"/>
  <c r="L1295" i="24"/>
  <c r="M1295" i="24" s="1"/>
  <c r="J1296" i="24" l="1"/>
  <c r="K1296" i="24" s="1"/>
  <c r="L1296" i="24"/>
  <c r="M1296" i="24" s="1"/>
  <c r="T1296" i="24"/>
  <c r="U1296" i="24" s="1"/>
  <c r="N1296" i="24"/>
  <c r="O1296" i="24" s="1"/>
  <c r="A1297" i="24"/>
  <c r="P1296" i="24"/>
  <c r="Q1296" i="24" s="1"/>
  <c r="B1296" i="24"/>
  <c r="C1296" i="24" s="1"/>
  <c r="F1296" i="24"/>
  <c r="G1296" i="24" s="1"/>
  <c r="D1296" i="24"/>
  <c r="E1296" i="24" s="1"/>
  <c r="R1296" i="24"/>
  <c r="S1296" i="24" s="1"/>
  <c r="V1296" i="24"/>
  <c r="W1296" i="24" s="1"/>
  <c r="H1296" i="24"/>
  <c r="I1296" i="24" s="1"/>
  <c r="N1297" i="24" l="1"/>
  <c r="O1297" i="24" s="1"/>
  <c r="H1297" i="24"/>
  <c r="I1297" i="24" s="1"/>
  <c r="L1297" i="24"/>
  <c r="M1297" i="24" s="1"/>
  <c r="R1297" i="24"/>
  <c r="S1297" i="24" s="1"/>
  <c r="V1297" i="24"/>
  <c r="W1297" i="24" s="1"/>
  <c r="A1298" i="24"/>
  <c r="P1297" i="24"/>
  <c r="Q1297" i="24" s="1"/>
  <c r="J1297" i="24"/>
  <c r="K1297" i="24" s="1"/>
  <c r="T1297" i="24"/>
  <c r="U1297" i="24" s="1"/>
  <c r="F1297" i="24"/>
  <c r="G1297" i="24" s="1"/>
  <c r="B1297" i="24"/>
  <c r="C1297" i="24" s="1"/>
  <c r="D1297" i="24"/>
  <c r="E1297" i="24" s="1"/>
  <c r="V1298" i="24" l="1"/>
  <c r="W1298" i="24" s="1"/>
  <c r="J1298" i="24"/>
  <c r="K1298" i="24" s="1"/>
  <c r="P1298" i="24"/>
  <c r="Q1298" i="24" s="1"/>
  <c r="L1298" i="24"/>
  <c r="M1298" i="24" s="1"/>
  <c r="B1298" i="24"/>
  <c r="C1298" i="24" s="1"/>
  <c r="R1298" i="24"/>
  <c r="S1298" i="24" s="1"/>
  <c r="D1298" i="24"/>
  <c r="E1298" i="24" s="1"/>
  <c r="F1298" i="24"/>
  <c r="G1298" i="24" s="1"/>
  <c r="H1298" i="24"/>
  <c r="I1298" i="24" s="1"/>
  <c r="A1299" i="24"/>
  <c r="N1298" i="24"/>
  <c r="O1298" i="24" s="1"/>
  <c r="T1298" i="24"/>
  <c r="U1298" i="24" s="1"/>
  <c r="F1299" i="24" l="1"/>
  <c r="G1299" i="24" s="1"/>
  <c r="R1299" i="24"/>
  <c r="S1299" i="24" s="1"/>
  <c r="L1299" i="24"/>
  <c r="M1299" i="24" s="1"/>
  <c r="T1299" i="24"/>
  <c r="U1299" i="24" s="1"/>
  <c r="P1299" i="24"/>
  <c r="Q1299" i="24" s="1"/>
  <c r="A1300" i="24"/>
  <c r="V1299" i="24"/>
  <c r="W1299" i="24" s="1"/>
  <c r="D1299" i="24"/>
  <c r="E1299" i="24" s="1"/>
  <c r="J1299" i="24"/>
  <c r="K1299" i="24" s="1"/>
  <c r="H1299" i="24"/>
  <c r="I1299" i="24" s="1"/>
  <c r="N1299" i="24"/>
  <c r="O1299" i="24" s="1"/>
  <c r="B1299" i="24"/>
  <c r="C1299" i="24" s="1"/>
  <c r="J1300" i="24" l="1"/>
  <c r="K1300" i="24" s="1"/>
  <c r="V1300" i="24"/>
  <c r="W1300" i="24" s="1"/>
  <c r="F1300" i="24"/>
  <c r="G1300" i="24" s="1"/>
  <c r="H1300" i="24"/>
  <c r="I1300" i="24" s="1"/>
  <c r="N1300" i="24"/>
  <c r="O1300" i="24" s="1"/>
  <c r="P1300" i="24"/>
  <c r="Q1300" i="24" s="1"/>
  <c r="B1300" i="24"/>
  <c r="C1300" i="24" s="1"/>
  <c r="R1300" i="24"/>
  <c r="S1300" i="24" s="1"/>
  <c r="D1300" i="24"/>
  <c r="E1300" i="24" s="1"/>
  <c r="L1300" i="24"/>
  <c r="M1300" i="24" s="1"/>
  <c r="A1301" i="24"/>
  <c r="T1300" i="24"/>
  <c r="U1300" i="24" s="1"/>
  <c r="N1301" i="24" l="1"/>
  <c r="O1301" i="24" s="1"/>
  <c r="D1301" i="24"/>
  <c r="E1301" i="24" s="1"/>
  <c r="P1301" i="24"/>
  <c r="Q1301" i="24" s="1"/>
  <c r="F1301" i="24"/>
  <c r="G1301" i="24" s="1"/>
  <c r="J1301" i="24"/>
  <c r="K1301" i="24" s="1"/>
  <c r="H1301" i="24"/>
  <c r="I1301" i="24" s="1"/>
  <c r="V1301" i="24"/>
  <c r="W1301" i="24" s="1"/>
  <c r="B1301" i="24"/>
  <c r="C1301" i="24" s="1"/>
  <c r="A1302" i="24"/>
  <c r="L1301" i="24"/>
  <c r="M1301" i="24" s="1"/>
  <c r="R1301" i="24"/>
  <c r="S1301" i="24" s="1"/>
  <c r="T1301" i="24"/>
  <c r="U1301" i="24" s="1"/>
  <c r="P1302" i="24" l="1"/>
  <c r="Q1302" i="24" s="1"/>
  <c r="T1302" i="24"/>
  <c r="U1302" i="24" s="1"/>
  <c r="F1302" i="24"/>
  <c r="G1302" i="24" s="1"/>
  <c r="A1303" i="24"/>
  <c r="H1302" i="24"/>
  <c r="I1302" i="24" s="1"/>
  <c r="N1302" i="24"/>
  <c r="O1302" i="24" s="1"/>
  <c r="J1302" i="24"/>
  <c r="K1302" i="24" s="1"/>
  <c r="L1302" i="24"/>
  <c r="M1302" i="24" s="1"/>
  <c r="D1302" i="24"/>
  <c r="E1302" i="24" s="1"/>
  <c r="B1302" i="24"/>
  <c r="C1302" i="24" s="1"/>
  <c r="R1302" i="24"/>
  <c r="S1302" i="24" s="1"/>
  <c r="V1302" i="24"/>
  <c r="W1302" i="24" s="1"/>
  <c r="F1303" i="24" l="1"/>
  <c r="G1303" i="24" s="1"/>
  <c r="P1303" i="24"/>
  <c r="Q1303" i="24" s="1"/>
  <c r="B1303" i="24"/>
  <c r="C1303" i="24" s="1"/>
  <c r="D1303" i="24"/>
  <c r="E1303" i="24" s="1"/>
  <c r="J1303" i="24"/>
  <c r="K1303" i="24" s="1"/>
  <c r="H1303" i="24"/>
  <c r="I1303" i="24" s="1"/>
  <c r="N1303" i="24"/>
  <c r="O1303" i="24" s="1"/>
  <c r="V1303" i="24"/>
  <c r="W1303" i="24" s="1"/>
  <c r="T1303" i="24"/>
  <c r="U1303" i="24" s="1"/>
  <c r="A1304" i="24"/>
  <c r="L1303" i="24"/>
  <c r="M1303" i="24" s="1"/>
  <c r="R1303" i="24"/>
  <c r="S1303" i="24" s="1"/>
  <c r="J1304" i="24" l="1"/>
  <c r="K1304" i="24" s="1"/>
  <c r="R1304" i="24"/>
  <c r="S1304" i="24" s="1"/>
  <c r="D1304" i="24"/>
  <c r="E1304" i="24" s="1"/>
  <c r="V1304" i="24"/>
  <c r="W1304" i="24" s="1"/>
  <c r="F1304" i="24"/>
  <c r="G1304" i="24" s="1"/>
  <c r="H1304" i="24"/>
  <c r="I1304" i="24" s="1"/>
  <c r="P1304" i="24"/>
  <c r="Q1304" i="24" s="1"/>
  <c r="B1304" i="24"/>
  <c r="C1304" i="24" s="1"/>
  <c r="L1304" i="24"/>
  <c r="M1304" i="24" s="1"/>
  <c r="T1304" i="24"/>
  <c r="U1304" i="24" s="1"/>
  <c r="N1304" i="24"/>
  <c r="O1304" i="24" s="1"/>
  <c r="A1305" i="24"/>
  <c r="N1305" i="24" l="1"/>
  <c r="O1305" i="24" s="1"/>
  <c r="B1305" i="24"/>
  <c r="C1305" i="24" s="1"/>
  <c r="T1305" i="24"/>
  <c r="U1305" i="24" s="1"/>
  <c r="V1305" i="24"/>
  <c r="W1305" i="24" s="1"/>
  <c r="A1306" i="24"/>
  <c r="D1305" i="24"/>
  <c r="E1305" i="24" s="1"/>
  <c r="P1305" i="24"/>
  <c r="Q1305" i="24" s="1"/>
  <c r="L1305" i="24"/>
  <c r="M1305" i="24" s="1"/>
  <c r="R1305" i="24"/>
  <c r="S1305" i="24" s="1"/>
  <c r="F1305" i="24"/>
  <c r="G1305" i="24" s="1"/>
  <c r="H1305" i="24"/>
  <c r="I1305" i="24" s="1"/>
  <c r="J1305" i="24"/>
  <c r="K1305" i="24" s="1"/>
  <c r="N1306" i="24" l="1"/>
  <c r="O1306" i="24" s="1"/>
  <c r="P1306" i="24"/>
  <c r="Q1306" i="24" s="1"/>
  <c r="V1306" i="24"/>
  <c r="W1306" i="24" s="1"/>
  <c r="T1306" i="24"/>
  <c r="U1306" i="24" s="1"/>
  <c r="D1306" i="24"/>
  <c r="E1306" i="24" s="1"/>
  <c r="H1306" i="24"/>
  <c r="I1306" i="24" s="1"/>
  <c r="R1306" i="24"/>
  <c r="S1306" i="24" s="1"/>
  <c r="F1306" i="24"/>
  <c r="G1306" i="24" s="1"/>
  <c r="A1307" i="24"/>
  <c r="J1306" i="24"/>
  <c r="K1306" i="24" s="1"/>
  <c r="L1306" i="24"/>
  <c r="M1306" i="24" s="1"/>
  <c r="B1306" i="24"/>
  <c r="C1306" i="24" s="1"/>
  <c r="F1307" i="24" l="1"/>
  <c r="G1307" i="24" s="1"/>
  <c r="N1307" i="24"/>
  <c r="O1307" i="24" s="1"/>
  <c r="R1307" i="24"/>
  <c r="S1307" i="24" s="1"/>
  <c r="V1307" i="24"/>
  <c r="W1307" i="24" s="1"/>
  <c r="P1307" i="24"/>
  <c r="Q1307" i="24" s="1"/>
  <c r="T1307" i="24"/>
  <c r="U1307" i="24" s="1"/>
  <c r="L1307" i="24"/>
  <c r="M1307" i="24" s="1"/>
  <c r="A1308" i="24"/>
  <c r="D1307" i="24"/>
  <c r="E1307" i="24" s="1"/>
  <c r="H1307" i="24"/>
  <c r="I1307" i="24" s="1"/>
  <c r="J1307" i="24"/>
  <c r="K1307" i="24" s="1"/>
  <c r="B1307" i="24"/>
  <c r="C1307" i="24" s="1"/>
  <c r="T1308" i="24" l="1"/>
  <c r="U1308" i="24" s="1"/>
  <c r="H1308" i="24"/>
  <c r="I1308" i="24" s="1"/>
  <c r="A1309" i="24"/>
  <c r="L1308" i="24"/>
  <c r="M1308" i="24" s="1"/>
  <c r="N1308" i="24"/>
  <c r="O1308" i="24" s="1"/>
  <c r="B1308" i="24"/>
  <c r="C1308" i="24" s="1"/>
  <c r="R1308" i="24"/>
  <c r="S1308" i="24" s="1"/>
  <c r="D1308" i="24"/>
  <c r="E1308" i="24" s="1"/>
  <c r="V1308" i="24"/>
  <c r="W1308" i="24" s="1"/>
  <c r="J1308" i="24"/>
  <c r="K1308" i="24" s="1"/>
  <c r="F1308" i="24"/>
  <c r="G1308" i="24" s="1"/>
  <c r="P1308" i="24"/>
  <c r="Q1308" i="24" s="1"/>
  <c r="F1309" i="24" l="1"/>
  <c r="G1309" i="24" s="1"/>
  <c r="D1309" i="24"/>
  <c r="E1309" i="24" s="1"/>
  <c r="H1309" i="24"/>
  <c r="I1309" i="24" s="1"/>
  <c r="A1310" i="24"/>
  <c r="N1309" i="24"/>
  <c r="O1309" i="24" s="1"/>
  <c r="L1309" i="24"/>
  <c r="M1309" i="24" s="1"/>
  <c r="R1309" i="24"/>
  <c r="S1309" i="24" s="1"/>
  <c r="T1309" i="24"/>
  <c r="U1309" i="24" s="1"/>
  <c r="V1309" i="24"/>
  <c r="W1309" i="24" s="1"/>
  <c r="B1309" i="24"/>
  <c r="C1309" i="24" s="1"/>
  <c r="P1309" i="24"/>
  <c r="Q1309" i="24" s="1"/>
  <c r="J1309" i="24"/>
  <c r="K1309" i="24" s="1"/>
  <c r="T1310" i="24" l="1"/>
  <c r="U1310" i="24" s="1"/>
  <c r="P1310" i="24"/>
  <c r="Q1310" i="24" s="1"/>
  <c r="A1311" i="24"/>
  <c r="V1310" i="24"/>
  <c r="W1310" i="24" s="1"/>
  <c r="J1310" i="24"/>
  <c r="K1310" i="24" s="1"/>
  <c r="D1310" i="24"/>
  <c r="E1310" i="24" s="1"/>
  <c r="L1310" i="24"/>
  <c r="M1310" i="24" s="1"/>
  <c r="B1310" i="24"/>
  <c r="C1310" i="24" s="1"/>
  <c r="H1310" i="24"/>
  <c r="I1310" i="24" s="1"/>
  <c r="N1310" i="24"/>
  <c r="O1310" i="24" s="1"/>
  <c r="F1310" i="24"/>
  <c r="G1310" i="24" s="1"/>
  <c r="R1310" i="24"/>
  <c r="S1310" i="24" s="1"/>
  <c r="N1311" i="24" l="1"/>
  <c r="O1311" i="24" s="1"/>
  <c r="P1311" i="24"/>
  <c r="Q1311" i="24" s="1"/>
  <c r="R1311" i="24"/>
  <c r="S1311" i="24" s="1"/>
  <c r="F1311" i="24"/>
  <c r="G1311" i="24" s="1"/>
  <c r="H1311" i="24"/>
  <c r="I1311" i="24" s="1"/>
  <c r="T1311" i="24"/>
  <c r="U1311" i="24" s="1"/>
  <c r="L1311" i="24"/>
  <c r="M1311" i="24" s="1"/>
  <c r="A1312" i="24"/>
  <c r="V1311" i="24"/>
  <c r="W1311" i="24" s="1"/>
  <c r="B1311" i="24"/>
  <c r="C1311" i="24" s="1"/>
  <c r="D1311" i="24"/>
  <c r="E1311" i="24" s="1"/>
  <c r="J1311" i="24"/>
  <c r="K1311" i="24" s="1"/>
  <c r="T1312" i="24" l="1"/>
  <c r="U1312" i="24" s="1"/>
  <c r="H1312" i="24"/>
  <c r="I1312" i="24" s="1"/>
  <c r="A1313" i="24"/>
  <c r="L1312" i="24"/>
  <c r="M1312" i="24" s="1"/>
  <c r="N1312" i="24"/>
  <c r="O1312" i="24" s="1"/>
  <c r="B1312" i="24"/>
  <c r="C1312" i="24" s="1"/>
  <c r="D1312" i="24"/>
  <c r="E1312" i="24" s="1"/>
  <c r="V1312" i="24"/>
  <c r="W1312" i="24" s="1"/>
  <c r="J1312" i="24"/>
  <c r="K1312" i="24" s="1"/>
  <c r="R1312" i="24"/>
  <c r="S1312" i="24" s="1"/>
  <c r="F1312" i="24"/>
  <c r="G1312" i="24" s="1"/>
  <c r="P1312" i="24"/>
  <c r="Q1312" i="24" s="1"/>
  <c r="F1313" i="24" l="1"/>
  <c r="G1313" i="24" s="1"/>
  <c r="B1313" i="24"/>
  <c r="C1313" i="24" s="1"/>
  <c r="D1313" i="24"/>
  <c r="E1313" i="24" s="1"/>
  <c r="P1313" i="24"/>
  <c r="Q1313" i="24" s="1"/>
  <c r="H1313" i="24"/>
  <c r="I1313" i="24" s="1"/>
  <c r="R1313" i="24"/>
  <c r="S1313" i="24" s="1"/>
  <c r="V1313" i="24"/>
  <c r="W1313" i="24" s="1"/>
  <c r="N1313" i="24"/>
  <c r="O1313" i="24" s="1"/>
  <c r="T1313" i="24"/>
  <c r="U1313" i="24" s="1"/>
  <c r="A1314" i="24"/>
  <c r="J1313" i="24"/>
  <c r="K1313" i="24" s="1"/>
  <c r="L1313" i="24"/>
  <c r="M1313" i="24" s="1"/>
  <c r="T1314" i="24" l="1"/>
  <c r="U1314" i="24" s="1"/>
  <c r="N1314" i="24"/>
  <c r="A1315" i="24"/>
  <c r="P1314" i="24"/>
  <c r="Q1314" i="24" s="1"/>
  <c r="J1314" i="24"/>
  <c r="K1314" i="24" s="1"/>
  <c r="V1314" i="24"/>
  <c r="W1314" i="24" s="1"/>
  <c r="R1314" i="24"/>
  <c r="S1314" i="24" s="1"/>
  <c r="F1314" i="24"/>
  <c r="G1314" i="24" s="1"/>
  <c r="D1314" i="24"/>
  <c r="E1314" i="24" s="1"/>
  <c r="L1314" i="24"/>
  <c r="M1314" i="24" s="1"/>
  <c r="B1314" i="24"/>
  <c r="C1314" i="24" s="1"/>
  <c r="H1314" i="24"/>
  <c r="I1314" i="24" s="1"/>
  <c r="O1314" i="24"/>
  <c r="N1315" i="24" l="1"/>
  <c r="O1315" i="24" s="1"/>
  <c r="L1315" i="24"/>
  <c r="M1315" i="24" s="1"/>
  <c r="P1315" i="24"/>
  <c r="Q1315" i="24" s="1"/>
  <c r="R1315" i="24"/>
  <c r="S1315" i="24" s="1"/>
  <c r="V1315" i="24"/>
  <c r="W1315" i="24" s="1"/>
  <c r="F1315" i="24"/>
  <c r="G1315" i="24" s="1"/>
  <c r="H1315" i="24"/>
  <c r="I1315" i="24" s="1"/>
  <c r="B1315" i="24"/>
  <c r="C1315" i="24" s="1"/>
  <c r="T1315" i="24"/>
  <c r="U1315" i="24" s="1"/>
  <c r="D1315" i="24"/>
  <c r="E1315" i="24" s="1"/>
  <c r="A1316" i="24"/>
  <c r="J1315" i="24"/>
  <c r="K1315" i="24" s="1"/>
  <c r="T1316" i="24" l="1"/>
  <c r="U1316" i="24" s="1"/>
  <c r="F1316" i="24"/>
  <c r="G1316" i="24" s="1"/>
  <c r="A1317" i="24"/>
  <c r="H1316" i="24"/>
  <c r="I1316" i="24" s="1"/>
  <c r="L1316" i="24"/>
  <c r="M1316" i="24" s="1"/>
  <c r="B1316" i="24"/>
  <c r="C1316" i="24" s="1"/>
  <c r="J1316" i="24"/>
  <c r="K1316" i="24" s="1"/>
  <c r="P1316" i="24"/>
  <c r="Q1316" i="24" s="1"/>
  <c r="N1316" i="24"/>
  <c r="O1316" i="24" s="1"/>
  <c r="V1316" i="24"/>
  <c r="W1316" i="24" s="1"/>
  <c r="R1316" i="24"/>
  <c r="S1316" i="24" s="1"/>
  <c r="D1316" i="24"/>
  <c r="E1316" i="24" s="1"/>
  <c r="F1317" i="24" l="1"/>
  <c r="G1317" i="24" s="1"/>
  <c r="B1317" i="24"/>
  <c r="C1317" i="24" s="1"/>
  <c r="D1317" i="24"/>
  <c r="E1317" i="24" s="1"/>
  <c r="J1317" i="24"/>
  <c r="K1317" i="24" s="1"/>
  <c r="L1317" i="24"/>
  <c r="M1317" i="24" s="1"/>
  <c r="T1317" i="24"/>
  <c r="U1317" i="24" s="1"/>
  <c r="A1318" i="24"/>
  <c r="H1317" i="24"/>
  <c r="I1317" i="24" s="1"/>
  <c r="N1317" i="24"/>
  <c r="O1317" i="24" s="1"/>
  <c r="P1317" i="24"/>
  <c r="Q1317" i="24" s="1"/>
  <c r="R1317" i="24"/>
  <c r="S1317" i="24" s="1"/>
  <c r="V1317" i="24"/>
  <c r="W1317" i="24" s="1"/>
  <c r="T1318" i="24" l="1"/>
  <c r="U1318" i="24" s="1"/>
  <c r="H1318" i="24"/>
  <c r="I1318" i="24" s="1"/>
  <c r="A1319" i="24"/>
  <c r="N1318" i="24"/>
  <c r="O1318" i="24" s="1"/>
  <c r="J1318" i="24"/>
  <c r="K1318" i="24" s="1"/>
  <c r="P1318" i="24"/>
  <c r="Q1318" i="24" s="1"/>
  <c r="F1318" i="24"/>
  <c r="G1318" i="24" s="1"/>
  <c r="V1318" i="24"/>
  <c r="W1318" i="24" s="1"/>
  <c r="L1318" i="24"/>
  <c r="M1318" i="24" s="1"/>
  <c r="B1318" i="24"/>
  <c r="C1318" i="24" s="1"/>
  <c r="R1318" i="24"/>
  <c r="S1318" i="24" s="1"/>
  <c r="D1318" i="24"/>
  <c r="E1318" i="24" s="1"/>
  <c r="N1319" i="24" l="1"/>
  <c r="O1319" i="24" s="1"/>
  <c r="J1319" i="24"/>
  <c r="K1319" i="24" s="1"/>
  <c r="L1319" i="24"/>
  <c r="M1319" i="24" s="1"/>
  <c r="V1319" i="24"/>
  <c r="W1319" i="24" s="1"/>
  <c r="B1319" i="24"/>
  <c r="C1319" i="24" s="1"/>
  <c r="P1319" i="24"/>
  <c r="Q1319" i="24" s="1"/>
  <c r="F1319" i="24"/>
  <c r="G1319" i="24" s="1"/>
  <c r="R1319" i="24"/>
  <c r="S1319" i="24" s="1"/>
  <c r="A1320" i="24"/>
  <c r="D1319" i="24"/>
  <c r="E1319" i="24" s="1"/>
  <c r="H1319" i="24"/>
  <c r="I1319" i="24" s="1"/>
  <c r="T1319" i="24"/>
  <c r="U1319" i="24" s="1"/>
  <c r="T1320" i="24" l="1"/>
  <c r="U1320" i="24" s="1"/>
  <c r="P1320" i="24"/>
  <c r="Q1320" i="24" s="1"/>
  <c r="A1321" i="24"/>
  <c r="F1320" i="24"/>
  <c r="G1320" i="24" s="1"/>
  <c r="H1320" i="24"/>
  <c r="I1320" i="24" s="1"/>
  <c r="B1320" i="24"/>
  <c r="C1320" i="24" s="1"/>
  <c r="L1320" i="24"/>
  <c r="M1320" i="24" s="1"/>
  <c r="N1320" i="24"/>
  <c r="O1320" i="24" s="1"/>
  <c r="V1320" i="24"/>
  <c r="W1320" i="24" s="1"/>
  <c r="J1320" i="24"/>
  <c r="K1320" i="24" s="1"/>
  <c r="R1320" i="24"/>
  <c r="S1320" i="24" s="1"/>
  <c r="D1320" i="24"/>
  <c r="E1320" i="24" s="1"/>
  <c r="V1321" i="24" l="1"/>
  <c r="W1321" i="24" s="1"/>
  <c r="B1321" i="24"/>
  <c r="C1321" i="24" s="1"/>
  <c r="D1321" i="24"/>
  <c r="E1321" i="24" s="1"/>
  <c r="T1321" i="24"/>
  <c r="U1321" i="24" s="1"/>
  <c r="A1322" i="24"/>
  <c r="R1321" i="24"/>
  <c r="S1321" i="24" s="1"/>
  <c r="N1321" i="24"/>
  <c r="O1321" i="24" s="1"/>
  <c r="L1321" i="24"/>
  <c r="M1321" i="24" s="1"/>
  <c r="P1321" i="24"/>
  <c r="Q1321" i="24" s="1"/>
  <c r="F1321" i="24"/>
  <c r="G1321" i="24" s="1"/>
  <c r="H1321" i="24"/>
  <c r="I1321" i="24" s="1"/>
  <c r="J1321" i="24"/>
  <c r="K1321" i="24" s="1"/>
  <c r="T1322" i="24" l="1"/>
  <c r="U1322" i="24" s="1"/>
  <c r="N1322" i="24"/>
  <c r="O1322" i="24" s="1"/>
  <c r="J1322" i="24"/>
  <c r="K1322" i="24" s="1"/>
  <c r="P1322" i="24"/>
  <c r="Q1322" i="24" s="1"/>
  <c r="L1322" i="24"/>
  <c r="M1322" i="24" s="1"/>
  <c r="V1322" i="24"/>
  <c r="W1322" i="24" s="1"/>
  <c r="D1322" i="24"/>
  <c r="E1322" i="24" s="1"/>
  <c r="F1322" i="24"/>
  <c r="G1322" i="24" s="1"/>
  <c r="H1322" i="24"/>
  <c r="I1322" i="24" s="1"/>
  <c r="B1322" i="24"/>
  <c r="C1322" i="24" s="1"/>
  <c r="R1322" i="24"/>
  <c r="S1322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  <author>Martin St. Pierre</author>
  </authors>
  <commentList>
    <comment ref="H15" authorId="0" shapeId="0" xr:uid="{35F5F8D1-8DA2-46CB-B10B-9DF2BC48EBD6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Amount we charge mgmt fees on</t>
        </r>
      </text>
    </comment>
    <comment ref="H16" authorId="0" shapeId="0" xr:uid="{62F8E7F4-F46D-4FD8-98A4-509B778A30A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Actual AUM</t>
        </r>
      </text>
    </comment>
    <comment ref="K78" authorId="1" shapeId="0" xr:uid="{FCB7903D-6AB1-4DEE-A79F-9D9FA638BAA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This is the % of the Fund that the original money in theFund at the prervious valuation date represents</t>
        </r>
      </text>
    </comment>
    <comment ref="B79" authorId="1" shapeId="0" xr:uid="{C6493C65-C413-4C80-B1B0-26ED885EE40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C79" authorId="1" shapeId="0" xr:uid="{FC23CF37-D3A3-4605-9FFD-4632AF6D769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entire Facility</t>
        </r>
      </text>
    </comment>
    <comment ref="D79" authorId="1" shapeId="0" xr:uid="{6474F5FC-0404-4EEE-A977-423150CDB623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E79" authorId="1" shapeId="0" xr:uid="{2F1E56C6-E9D1-4F18-94E5-37E08925D708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F79" authorId="1" shapeId="0" xr:uid="{5A2D2150-FC10-48E4-911C-6E01889A1D2F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G79" authorId="1" shapeId="0" xr:uid="{DC76ED7F-7E77-46B9-931B-758CAB37A024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H79" authorId="1" shapeId="0" xr:uid="{4D47E893-089D-4960-BC53-3C2201298509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On Used
</t>
        </r>
      </text>
    </comment>
    <comment ref="I86" authorId="0" shapeId="0" xr:uid="{1A22B93A-3805-4251-8359-723F3450FF4F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mourant bill 8/23 put here based on what msp has done previiously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C3" authorId="0" shapeId="0" xr:uid="{FCD71F5D-76A8-4861-B4E0-A7931BD553C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current face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Jamison Vulopas</author>
  </authors>
  <commentList>
    <comment ref="G13" authorId="0" shapeId="0" xr:uid="{9BB3ACBA-23AA-402F-B40E-61A347DAC21E}">
      <text>
        <r>
          <rPr>
            <b/>
            <sz val="9"/>
            <color indexed="81"/>
            <rFont val="Tahoma"/>
            <family val="2"/>
          </rPr>
          <t>Jamison Vulopas:</t>
        </r>
        <r>
          <rPr>
            <sz val="9"/>
            <color indexed="81"/>
            <rFont val="Tahoma"/>
            <family val="2"/>
          </rPr>
          <t xml:space="preserve">
diff because of original &lt;&gt; current face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Trading</author>
  </authors>
  <commentList>
    <comment ref="P5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Trading:</t>
        </r>
        <r>
          <rPr>
            <sz val="9"/>
            <color indexed="81"/>
            <rFont val="Tahoma"/>
            <family val="2"/>
          </rPr>
          <t xml:space="preserve">
Updated as of June 30, 2017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D16" authorId="0" shapeId="0" xr:uid="{6E0BF67D-A5CF-4641-A6EF-C4DBB0982986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  <comment ref="D17" authorId="0" shapeId="0" xr:uid="{97B161D2-2CBD-41E7-9180-73DDC8E25322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AA- S&amp;P with negative outlook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St. Pierre</author>
  </authors>
  <commentList>
    <comment ref="G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I put $10M or the full issue size, whichever is smaller</t>
        </r>
      </text>
    </comment>
    <comment ref="H6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Liquidity Score vs all bonds</t>
        </r>
      </text>
    </comment>
    <comment ref="I6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What out! This includes all "similar" bonds</t>
        </r>
      </text>
    </comment>
    <comment ref="J6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 higher this number is, the better</t>
        </r>
      </text>
    </comment>
    <comment ref="K6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Martin St. Pierre:</t>
        </r>
        <r>
          <rPr>
            <sz val="9"/>
            <color indexed="81"/>
            <rFont val="Tahoma"/>
            <family val="2"/>
          </rPr>
          <t xml:space="preserve">
their "daily" vol multiplied by 20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<sst xmlns="http://schemas.openxmlformats.org/spreadsheetml/2006/main" count="21966" uniqueCount="5261">
  <si>
    <t>B+</t>
  </si>
  <si>
    <t>Recovery</t>
  </si>
  <si>
    <t>Hair Cut</t>
  </si>
  <si>
    <t>Error Margin</t>
  </si>
  <si>
    <t>Default Prob</t>
  </si>
  <si>
    <t>BB-</t>
  </si>
  <si>
    <t>Paths</t>
  </si>
  <si>
    <t>AAA</t>
  </si>
  <si>
    <t>AA</t>
  </si>
  <si>
    <t>A</t>
  </si>
  <si>
    <t>BBB</t>
  </si>
  <si>
    <t>CCC</t>
  </si>
  <si>
    <t>Default</t>
  </si>
  <si>
    <t>BB</t>
  </si>
  <si>
    <t>B</t>
  </si>
  <si>
    <t>AA+</t>
  </si>
  <si>
    <t>AA-</t>
  </si>
  <si>
    <t>A+</t>
  </si>
  <si>
    <t>A-</t>
  </si>
  <si>
    <t>BBB+</t>
  </si>
  <si>
    <t>BBB-</t>
  </si>
  <si>
    <t>BB+</t>
  </si>
  <si>
    <t>B-</t>
  </si>
  <si>
    <t>Cusip</t>
  </si>
  <si>
    <t>Loan Amount</t>
  </si>
  <si>
    <t>Volatility</t>
  </si>
  <si>
    <t>DATE</t>
  </si>
  <si>
    <t>Stressed Collateral Value</t>
  </si>
  <si>
    <t>Trade Date</t>
  </si>
  <si>
    <t>Market Value</t>
  </si>
  <si>
    <t>Rate</t>
  </si>
  <si>
    <t>Daily Accrued</t>
  </si>
  <si>
    <t>Acc'd to date</t>
  </si>
  <si>
    <t>Discount Rate to Maty</t>
  </si>
  <si>
    <t>Coupon Rate</t>
  </si>
  <si>
    <t>Liquidation Period (yrs)</t>
  </si>
  <si>
    <t>Repo Collateral</t>
  </si>
  <si>
    <t>Maturity</t>
  </si>
  <si>
    <t>Bloomberg Date</t>
  </si>
  <si>
    <t>Issuer</t>
  </si>
  <si>
    <t>Collat Typ</t>
  </si>
  <si>
    <t>Int Acc</t>
  </si>
  <si>
    <t>MTG Factor</t>
  </si>
  <si>
    <t>Days Acc</t>
  </si>
  <si>
    <t>Mtg WAL</t>
  </si>
  <si>
    <t>Dur Spread Bid</t>
  </si>
  <si>
    <t>MTG EFF DUR BID</t>
  </si>
  <si>
    <t>Liq'n Per (days)</t>
  </si>
  <si>
    <t>DISCLAIMER</t>
  </si>
  <si>
    <t>Lucid Cash Fund USG-Q LLC</t>
  </si>
  <si>
    <t>Today</t>
  </si>
  <si>
    <t>Previous Valuation Date</t>
  </si>
  <si>
    <t>Next Valuation Date</t>
  </si>
  <si>
    <t>Previous Valuation Date NAV</t>
  </si>
  <si>
    <t>Counterparty</t>
  </si>
  <si>
    <t>Over Collat</t>
  </si>
  <si>
    <t>Exposure</t>
  </si>
  <si>
    <t>3136AMWQ8</t>
  </si>
  <si>
    <t>3136AMVU0</t>
  </si>
  <si>
    <t>3136AMWR6</t>
  </si>
  <si>
    <t>Cash</t>
  </si>
  <si>
    <t>ASSETS</t>
  </si>
  <si>
    <t>LIABILITIES</t>
  </si>
  <si>
    <t>Accrued</t>
  </si>
  <si>
    <t>Admin</t>
  </si>
  <si>
    <t>Custody</t>
  </si>
  <si>
    <t>Audit &amp; Tax</t>
  </si>
  <si>
    <t>Accrual Rate (BPs)</t>
  </si>
  <si>
    <t>Totals</t>
  </si>
  <si>
    <t>Net WAC</t>
  </si>
  <si>
    <t>Benchmark</t>
  </si>
  <si>
    <t>Out Perform</t>
  </si>
  <si>
    <t>NAV Today</t>
  </si>
  <si>
    <t>TOTALS</t>
  </si>
  <si>
    <t>EXPENSE ACCOUNT</t>
  </si>
  <si>
    <t>MGMT ACCOUNT</t>
  </si>
  <si>
    <t>Date</t>
  </si>
  <si>
    <t>Cash Flow</t>
  </si>
  <si>
    <t>Balance</t>
  </si>
  <si>
    <t>DESCRIPTION</t>
  </si>
  <si>
    <t>Gross WAC</t>
  </si>
  <si>
    <t>MV per $1 Original</t>
  </si>
  <si>
    <t>PRIMARY BOND DETAILS</t>
  </si>
  <si>
    <t>Total Post</t>
  </si>
  <si>
    <t>REPO COLLATERAL DETAILS</t>
  </si>
  <si>
    <t>MODELLING DETAILS</t>
  </si>
  <si>
    <t>SECONDARY BOND DETAILS</t>
  </si>
  <si>
    <t>VaR MODEL PARAMETER RANGE</t>
  </si>
  <si>
    <t>Ann Def Rate</t>
  </si>
  <si>
    <t>Num Repos</t>
  </si>
  <si>
    <t>TRADE/GROUP ID</t>
  </si>
  <si>
    <t>REPO DETAILS</t>
  </si>
  <si>
    <t>VaR CALCULATION PARAMETERS</t>
  </si>
  <si>
    <t>Number of Borrowers</t>
  </si>
  <si>
    <t>Trade or Group ID</t>
  </si>
  <si>
    <t>Daily Accrual</t>
  </si>
  <si>
    <t>Yesterday's NAV</t>
  </si>
  <si>
    <t>P&amp;L Explain</t>
  </si>
  <si>
    <t>Yesterday</t>
  </si>
  <si>
    <t>Other</t>
  </si>
  <si>
    <t>TOTAL</t>
  </si>
  <si>
    <t>Comments</t>
  </si>
  <si>
    <t>O/N</t>
  </si>
  <si>
    <t>1 Wk</t>
  </si>
  <si>
    <t>2 Wk</t>
  </si>
  <si>
    <t>3 Wk</t>
  </si>
  <si>
    <t>1 mo</t>
  </si>
  <si>
    <t>2 mo</t>
  </si>
  <si>
    <t>3 mo</t>
  </si>
  <si>
    <t>Contract</t>
  </si>
  <si>
    <t>Ticker</t>
  </si>
  <si>
    <t>Unadj Maty</t>
  </si>
  <si>
    <t>Adj Maty</t>
  </si>
  <si>
    <t>MTM Check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</si>
  <si>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</si>
  <si>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(USD)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</si>
  <si>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MTM (%)</t>
    </r>
  </si>
  <si>
    <t>AMORTIZED COST CALCULATION OF ASSET VALUES</t>
  </si>
  <si>
    <t>MARGINING CHECK</t>
  </si>
  <si>
    <t>MBS Repo Rt</t>
  </si>
  <si>
    <t>Spd to Repo</t>
  </si>
  <si>
    <t>MTM CHECK</t>
  </si>
  <si>
    <t>1 day carry</t>
  </si>
  <si>
    <t>SUBSCRIPTION ACCOUNT</t>
  </si>
  <si>
    <t>Total FUND</t>
  </si>
  <si>
    <t>Settle Date</t>
  </si>
  <si>
    <t>Amount</t>
  </si>
  <si>
    <t>Dirty PX</t>
  </si>
  <si>
    <t>BloomBerg Date</t>
  </si>
  <si>
    <t>Coupon</t>
  </si>
  <si>
    <t>CUSIP</t>
  </si>
  <si>
    <t>Invest Amount</t>
  </si>
  <si>
    <t>SECURITY_TYP</t>
  </si>
  <si>
    <t>ISSUER</t>
  </si>
  <si>
    <t>PX Bid</t>
  </si>
  <si>
    <t>PX Mid</t>
  </si>
  <si>
    <t>YLD_ytm_BID</t>
  </si>
  <si>
    <t>I_SPRD_BID</t>
  </si>
  <si>
    <t>OAS_SPREAD_ASK</t>
  </si>
  <si>
    <t>MTG TRANCHE TYP LONG</t>
  </si>
  <si>
    <t>MTG PL CPR 1M</t>
  </si>
  <si>
    <t>MTG PL CPR 6M</t>
  </si>
  <si>
    <t>RTG_MOODY</t>
  </si>
  <si>
    <t>RTG_SP</t>
  </si>
  <si>
    <t>MBS ARM</t>
  </si>
  <si>
    <t>Freddie Mac</t>
  </si>
  <si>
    <t/>
  </si>
  <si>
    <t>MBS 15yr</t>
  </si>
  <si>
    <t>MBS 30yr</t>
  </si>
  <si>
    <t>FGLMC</t>
  </si>
  <si>
    <t>Fannie Mae</t>
  </si>
  <si>
    <t>FNCI</t>
  </si>
  <si>
    <t>FNARM</t>
  </si>
  <si>
    <t>FNCL</t>
  </si>
  <si>
    <t>MBS 20yr</t>
  </si>
  <si>
    <t>3138WCNR0</t>
  </si>
  <si>
    <t>3138XWQR2</t>
  </si>
  <si>
    <t>3138XWQT8</t>
  </si>
  <si>
    <t>Government National Mortgage A</t>
  </si>
  <si>
    <t>US GOVERNMENT</t>
  </si>
  <si>
    <t>US TREASURY N/B</t>
  </si>
  <si>
    <t>US GOVT</t>
  </si>
  <si>
    <t>Agncy CMO PO</t>
  </si>
  <si>
    <t>Agncy CMO IO</t>
  </si>
  <si>
    <t>IO,NTL</t>
  </si>
  <si>
    <t>Bond Data Update Sheet</t>
  </si>
  <si>
    <t>ValDate</t>
  </si>
  <si>
    <t>Days to Liquidate</t>
  </si>
  <si>
    <t>Losses</t>
  </si>
  <si>
    <t>Normal Market Parameters</t>
  </si>
  <si>
    <t>Stressed Parameters</t>
  </si>
  <si>
    <t>Description</t>
  </si>
  <si>
    <t>Ind Bid</t>
  </si>
  <si>
    <t>Ind Offer</t>
  </si>
  <si>
    <t>Bid Spd</t>
  </si>
  <si>
    <t>Size</t>
  </si>
  <si>
    <t>Liquidity</t>
  </si>
  <si>
    <t>Est'd Daily Vol</t>
  </si>
  <si>
    <t>Log Liq Ratio</t>
  </si>
  <si>
    <t>Vol</t>
  </si>
  <si>
    <t>0.5% Loss</t>
  </si>
  <si>
    <t>1% Loss</t>
  </si>
  <si>
    <t>2% Loss</t>
  </si>
  <si>
    <t>3% Loss</t>
  </si>
  <si>
    <t>1 Day Liq</t>
  </si>
  <si>
    <t>3 Day Liq</t>
  </si>
  <si>
    <t>7 Day Liq</t>
  </si>
  <si>
    <t>Px Drop</t>
  </si>
  <si>
    <t>Liq Period</t>
  </si>
  <si>
    <t>FNMA -- 4.00 06/01/2044</t>
  </si>
  <si>
    <t>FNMA -- 4.00 07/01/2044</t>
  </si>
  <si>
    <t>FNMA REMIC TRUST 2015-06 -- -- 03/25/2045</t>
  </si>
  <si>
    <t>FNMA REMIC TRUST 2015-06 -- -- 06/25/2043</t>
  </si>
  <si>
    <t>Prob 1st Loss</t>
  </si>
  <si>
    <t>Risk Run (N/S/C)</t>
  </si>
  <si>
    <t>(Normal/Stressed/Crisis)</t>
  </si>
  <si>
    <t>Spread Differential</t>
  </si>
  <si>
    <t>95-100</t>
  </si>
  <si>
    <t>90-95</t>
  </si>
  <si>
    <t>85-90</t>
  </si>
  <si>
    <t>80-85</t>
  </si>
  <si>
    <t>75-80</t>
  </si>
  <si>
    <t>70-75</t>
  </si>
  <si>
    <t>65-70</t>
  </si>
  <si>
    <t>60-65</t>
  </si>
  <si>
    <t>55-60</t>
  </si>
  <si>
    <t>50-55</t>
  </si>
  <si>
    <t>@@@</t>
  </si>
  <si>
    <t>45-50</t>
  </si>
  <si>
    <t>30-45</t>
  </si>
  <si>
    <t>0-30</t>
  </si>
  <si>
    <t>3140FE5J9</t>
  </si>
  <si>
    <t>FNMA -- 3.50 04/01/2047</t>
  </si>
  <si>
    <t>Invest Start</t>
  </si>
  <si>
    <t>COUNTERPARTY INFO</t>
  </si>
  <si>
    <t>ANNUALIZED DEFAULT RATES</t>
  </si>
  <si>
    <t>Like Asset ρ</t>
  </si>
  <si>
    <t>ρ UST</t>
  </si>
  <si>
    <t>ρ Agency</t>
  </si>
  <si>
    <t>ρ IO/PO</t>
  </si>
  <si>
    <t>Moody's</t>
  </si>
  <si>
    <t>S&amp;P</t>
  </si>
  <si>
    <t>External Rating</t>
  </si>
  <si>
    <t>Internal Rating</t>
  </si>
  <si>
    <t>Orchid Island Capital</t>
  </si>
  <si>
    <t>BDs/Banks</t>
  </si>
  <si>
    <t>Global Macro</t>
  </si>
  <si>
    <t>Asset Mgrs</t>
  </si>
  <si>
    <t>REITs</t>
  </si>
  <si>
    <t>UST</t>
  </si>
  <si>
    <t>Fixed MBS</t>
  </si>
  <si>
    <t>ARMs</t>
  </si>
  <si>
    <t>PO</t>
  </si>
  <si>
    <t>IO</t>
  </si>
  <si>
    <t>TDB</t>
  </si>
  <si>
    <t>STRESSED VaR</t>
  </si>
  <si>
    <t>CA 20%</t>
  </si>
  <si>
    <t>TX 10%</t>
  </si>
  <si>
    <t>CA 22%</t>
  </si>
  <si>
    <t>CA 17%</t>
  </si>
  <si>
    <t>CA 15%</t>
  </si>
  <si>
    <t>CA 14%</t>
  </si>
  <si>
    <t>CA 18%</t>
  </si>
  <si>
    <t>TX 12%</t>
  </si>
  <si>
    <t>FL 12%</t>
  </si>
  <si>
    <t>CA 16%</t>
  </si>
  <si>
    <t>FL 8%</t>
  </si>
  <si>
    <t>CA 9%</t>
  </si>
  <si>
    <t>NY 10%</t>
  </si>
  <si>
    <t>FL 7%</t>
  </si>
  <si>
    <t>FL 10%</t>
  </si>
  <si>
    <t>TX 11%</t>
  </si>
  <si>
    <t>TX 6%</t>
  </si>
  <si>
    <t>TX 9%</t>
  </si>
  <si>
    <t>FL 9%</t>
  </si>
  <si>
    <t>TX 7%</t>
  </si>
  <si>
    <t>NY 100%</t>
  </si>
  <si>
    <t>FL 11%</t>
  </si>
  <si>
    <t>TX 16%</t>
  </si>
  <si>
    <t>3132QP5K6</t>
  </si>
  <si>
    <t>3132QTTE6</t>
  </si>
  <si>
    <t>3132WKHM3</t>
  </si>
  <si>
    <t>3132WMN26</t>
  </si>
  <si>
    <t>3138WGBB9</t>
  </si>
  <si>
    <t>Issue DT</t>
  </si>
  <si>
    <t>Amt Outstanding</t>
  </si>
  <si>
    <t>MTG_WHLN_GEO1</t>
  </si>
  <si>
    <t>MTG_WHLN_GEO2</t>
  </si>
  <si>
    <t>MTG_WHLN_GEO3</t>
  </si>
  <si>
    <t>3138WKS22</t>
  </si>
  <si>
    <t>3138WK3S2</t>
  </si>
  <si>
    <t>G2SF</t>
  </si>
  <si>
    <t>FHLMC -- 4.00 04/01/2045</t>
  </si>
  <si>
    <t>FHLMC -- 4.50 01/01/2047</t>
  </si>
  <si>
    <t>FNMA -- 4.00 08/01/2044</t>
  </si>
  <si>
    <t>FNMA -- 4.50 12/01/2045</t>
  </si>
  <si>
    <t>FNMA -- 3.50 05/01/2047</t>
  </si>
  <si>
    <t>36179QB42</t>
  </si>
  <si>
    <t>36179RFF1</t>
  </si>
  <si>
    <t>GNMA II -- 4.00 06/20/2030</t>
  </si>
  <si>
    <t>36179SH42</t>
  </si>
  <si>
    <t>GNMA II -- 3.50 08/20/2031</t>
  </si>
  <si>
    <t>36179SXW2</t>
  </si>
  <si>
    <t>GNMA II -- 2.50 03/20/2032</t>
  </si>
  <si>
    <t>Implied O/C</t>
  </si>
  <si>
    <t>FNMA -- 4.50 06/01/2047</t>
  </si>
  <si>
    <t>Return Analysis Act/365</t>
  </si>
  <si>
    <t>Surplus w/Accd</t>
  </si>
  <si>
    <t>Surplus (clean)</t>
  </si>
  <si>
    <t>Clean Market Value</t>
  </si>
  <si>
    <t>Dirty Market Value</t>
  </si>
  <si>
    <t xml:space="preserve">Dirty    Surplus / Deficit </t>
  </si>
  <si>
    <t>Maximum Loan (Clean Bond)</t>
  </si>
  <si>
    <t>Maximum Loan (drty Bond)</t>
  </si>
  <si>
    <t>Lucid Cash Fund USG LLC - M Series   SECURITIES POSITIONS</t>
  </si>
  <si>
    <t xml:space="preserve">IDC PX </t>
  </si>
  <si>
    <t>Purchase date</t>
  </si>
  <si>
    <t>Purchase Proceeds</t>
  </si>
  <si>
    <t>Amortized Cost</t>
  </si>
  <si>
    <t>IDC Market Value</t>
  </si>
  <si>
    <r>
      <rPr>
        <sz val="14"/>
        <color theme="1"/>
        <rFont val="Calibri"/>
        <family val="2"/>
        <scheme val="minor"/>
      </rPr>
      <t>Δ</t>
    </r>
    <r>
      <rPr>
        <sz val="11"/>
        <color theme="1"/>
        <rFont val="Calibri"/>
        <family val="2"/>
        <scheme val="minor"/>
      </rPr>
      <t xml:space="preserve"> Market Value</t>
    </r>
  </si>
  <si>
    <t>Active Rates</t>
  </si>
  <si>
    <t>Used Rates</t>
  </si>
  <si>
    <t>Var RESULTS</t>
  </si>
  <si>
    <t>Cpty/Cpty Correlation</t>
  </si>
  <si>
    <t>C/B Corr</t>
  </si>
  <si>
    <t>B/B Corr</t>
  </si>
  <si>
    <t>Am Cost</t>
  </si>
  <si>
    <t xml:space="preserve">Clean    Surplus / Deficit </t>
  </si>
  <si>
    <t>IDC PX</t>
  </si>
  <si>
    <t>CASH</t>
  </si>
  <si>
    <t>MARGIN ACCOUNT</t>
  </si>
  <si>
    <t>Last Saved:</t>
  </si>
  <si>
    <t>Hist File Name</t>
  </si>
  <si>
    <t>US TREASURY</t>
  </si>
  <si>
    <t>7/4/1776</t>
  </si>
  <si>
    <t>12/31/2099</t>
  </si>
  <si>
    <t>Saved File</t>
  </si>
  <si>
    <t>Last Saved</t>
  </si>
  <si>
    <t>Acc'd to Maty</t>
  </si>
  <si>
    <t>MTA</t>
  </si>
  <si>
    <t>Min Transfer</t>
  </si>
  <si>
    <t>Dur'n dv01</t>
  </si>
  <si>
    <t>BPs to 0 H/C</t>
  </si>
  <si>
    <t>Exp Loss</t>
  </si>
  <si>
    <t>Repo Maty</t>
  </si>
  <si>
    <t>BPs to MTA</t>
  </si>
  <si>
    <t>Spd Diff</t>
  </si>
  <si>
    <t>Next Key Date</t>
  </si>
  <si>
    <t>Invest Maty</t>
  </si>
  <si>
    <t>Reverse</t>
  </si>
  <si>
    <t>Investment Type</t>
  </si>
  <si>
    <t>Collateral  Value</t>
  </si>
  <si>
    <t>Invest Type</t>
  </si>
  <si>
    <t>Acc'd</t>
  </si>
  <si>
    <t>Surplus (cln)</t>
  </si>
  <si>
    <t>Surplus (drt)</t>
  </si>
  <si>
    <t>Lines</t>
  </si>
  <si>
    <t>Invest Amt</t>
  </si>
  <si>
    <t>Mkt Value</t>
  </si>
  <si>
    <t>Tot Acc'd</t>
  </si>
  <si>
    <t>Impl'd O/C</t>
  </si>
  <si>
    <t>Trade/Group ID</t>
  </si>
  <si>
    <t>Factor</t>
  </si>
  <si>
    <t>Invest</t>
  </si>
  <si>
    <t>Cln MV</t>
  </si>
  <si>
    <t>Drty MV</t>
  </si>
  <si>
    <t>Trd H/C</t>
  </si>
  <si>
    <t>Drt Exp'r</t>
  </si>
  <si>
    <t>Vantage Vol</t>
  </si>
  <si>
    <t>Recvy</t>
  </si>
  <si>
    <t>Mod Drn</t>
  </si>
  <si>
    <t>Total Invest</t>
  </si>
  <si>
    <t>Cash/MMF</t>
  </si>
  <si>
    <t>Agency MBS</t>
  </si>
  <si>
    <t>Agency CMO</t>
  </si>
  <si>
    <t>Total</t>
  </si>
  <si>
    <t>Group ID</t>
  </si>
  <si>
    <t xml:space="preserve"> B. REPO COUNTERPARTY DETAILS</t>
  </si>
  <si>
    <t xml:space="preserve"> C. REPO COLLATERAL DETAILS</t>
  </si>
  <si>
    <t xml:space="preserve">           D.1 Collateral Allocation</t>
  </si>
  <si>
    <t>Cln Exp'r</t>
  </si>
  <si>
    <t>Descriptn</t>
  </si>
  <si>
    <t>WAL</t>
  </si>
  <si>
    <t>99.99% VaR</t>
  </si>
  <si>
    <t>99.995%</t>
  </si>
  <si>
    <t>99.999%</t>
  </si>
  <si>
    <t>Prev Rate</t>
  </si>
  <si>
    <t>Agency Mortgage Repo Rates</t>
  </si>
  <si>
    <t>5 yr</t>
  </si>
  <si>
    <t>10 yr</t>
  </si>
  <si>
    <t>GT5 govt</t>
  </si>
  <si>
    <t>GT10 govt</t>
  </si>
  <si>
    <t>Yest</t>
  </si>
  <si>
    <t>Diff</t>
  </si>
  <si>
    <t xml:space="preserve"> F. Ops Risk</t>
  </si>
  <si>
    <t>Unsett'd Trades</t>
  </si>
  <si>
    <t>Unsett'd Margin</t>
  </si>
  <si>
    <t>Breaks LMCP/BNYM</t>
  </si>
  <si>
    <t>Ongoing Breaches</t>
  </si>
  <si>
    <t>Breaches Last 6 mos</t>
  </si>
  <si>
    <t>3D STD MV</t>
  </si>
  <si>
    <t>End Cash</t>
  </si>
  <si>
    <t>PROJECTED to next Valuation</t>
  </si>
  <si>
    <t>S:\Lucid\Investment Committee &amp; Risk\Risk Daily Reports - Funds\Risk Report Template.xlsx</t>
  </si>
  <si>
    <t>Template File:</t>
  </si>
  <si>
    <t>Excel Risk File:</t>
  </si>
  <si>
    <t>PDF Risk File:</t>
  </si>
  <si>
    <t>Accrual Rates</t>
  </si>
  <si>
    <t>Accrual</t>
  </si>
  <si>
    <t>3140FWAC8</t>
  </si>
  <si>
    <t>3140FV7M2</t>
  </si>
  <si>
    <t>3140FWAV6</t>
  </si>
  <si>
    <t>3140FWAR5</t>
  </si>
  <si>
    <t>3140FWAQ7</t>
  </si>
  <si>
    <t>3140FWAP9</t>
  </si>
  <si>
    <t>Email Subject:</t>
  </si>
  <si>
    <t>Prev Valuation Date</t>
  </si>
  <si>
    <t>Yesterday's Tail VaR</t>
  </si>
  <si>
    <t>Today's Tail VaR</t>
  </si>
  <si>
    <t>Used Tail VaR</t>
  </si>
  <si>
    <t>Day Over Day VaR Changes</t>
  </si>
  <si>
    <t>Expenses</t>
  </si>
  <si>
    <t xml:space="preserve"> UST 10y</t>
  </si>
  <si>
    <t xml:space="preserve"> UST 5y</t>
  </si>
  <si>
    <t xml:space="preserve"> Bill 1Mo</t>
  </si>
  <si>
    <t xml:space="preserve"> GC O/N</t>
  </si>
  <si>
    <t xml:space="preserve"> GC 1M</t>
  </si>
  <si>
    <t xml:space="preserve"> GC 3M</t>
  </si>
  <si>
    <t>3140FPC98</t>
  </si>
  <si>
    <t>FNMA -- 3.50 06/01/2047</t>
  </si>
  <si>
    <t>&gt; 0.1</t>
  </si>
  <si>
    <t>Collat Posted</t>
  </si>
  <si>
    <t>Highly Confidential. For internal use only.</t>
  </si>
  <si>
    <t>Name</t>
  </si>
  <si>
    <t>Δ1D (%)</t>
  </si>
  <si>
    <t>Δ1W (%)</t>
  </si>
  <si>
    <t>Δ1M (%)</t>
  </si>
  <si>
    <t>PX</t>
  </si>
  <si>
    <t>Yesterday's Prices</t>
  </si>
  <si>
    <t>Today's Prices</t>
  </si>
  <si>
    <t>Used Prices</t>
  </si>
  <si>
    <t>Δ1D (Px)</t>
  </si>
  <si>
    <t>Recipients:</t>
  </si>
  <si>
    <t>david.carlson@lucidma.com</t>
  </si>
  <si>
    <t>mattias.almers@lucidma.com</t>
  </si>
  <si>
    <t xml:space="preserve">Int'l Score </t>
  </si>
  <si>
    <t>Equiv/Ext</t>
  </si>
  <si>
    <t>Credit Score</t>
  </si>
  <si>
    <t>Cred Score</t>
  </si>
  <si>
    <t>Notes:</t>
  </si>
  <si>
    <t>IMR Holdings</t>
  </si>
  <si>
    <t>990457</t>
  </si>
  <si>
    <t>657720</t>
  </si>
  <si>
    <t>Account Name</t>
  </si>
  <si>
    <t>Acct #</t>
  </si>
  <si>
    <t>657718</t>
  </si>
  <si>
    <t>657723</t>
  </si>
  <si>
    <t>Main Fund</t>
  </si>
  <si>
    <t>Margin Account</t>
  </si>
  <si>
    <t>Subscription Account</t>
  </si>
  <si>
    <t>Expense Account</t>
  </si>
  <si>
    <t>Mgmt Account</t>
  </si>
  <si>
    <t>AMOUNT</t>
  </si>
  <si>
    <t>DGCXX Money Funds</t>
  </si>
  <si>
    <t>Outrights</t>
  </si>
  <si>
    <t>BNYM CUSTODY Holdings</t>
  </si>
  <si>
    <t>BNYM AMOUNT</t>
  </si>
  <si>
    <t>ABS(Diff)</t>
  </si>
  <si>
    <t>Reconciled?</t>
  </si>
  <si>
    <t>IMR Amount</t>
  </si>
  <si>
    <t>martin.stpierre@lucidma.com</t>
  </si>
  <si>
    <t>MMF</t>
  </si>
  <si>
    <t>US Govt</t>
  </si>
  <si>
    <t>Org Cost</t>
  </si>
  <si>
    <t>38376MJ24</t>
  </si>
  <si>
    <t>DGCXX</t>
  </si>
  <si>
    <t xml:space="preserve">Account Number
</t>
  </si>
  <si>
    <t xml:space="preserve">               Lucid Cash Fund USG LLC - HAIRCUT REPORT</t>
  </si>
  <si>
    <t xml:space="preserve">               As of:</t>
  </si>
  <si>
    <t>As summary of collateral haircuts applicable at the time of execution for the current repo investments</t>
  </si>
  <si>
    <t>in the respective fund Series.</t>
  </si>
  <si>
    <t>Series W</t>
  </si>
  <si>
    <t>Eligible Collateral</t>
  </si>
  <si>
    <t>Sub-Categories:</t>
  </si>
  <si>
    <t>Repo Investments</t>
  </si>
  <si>
    <t>Collateral Value</t>
  </si>
  <si>
    <t>-</t>
  </si>
  <si>
    <t xml:space="preserve">  Agency MBS ARM</t>
  </si>
  <si>
    <t xml:space="preserve">  UST 10 Years+</t>
  </si>
  <si>
    <t xml:space="preserve">  UST 5-10 Years</t>
  </si>
  <si>
    <t xml:space="preserve">  UST 0-5 Years</t>
  </si>
  <si>
    <t>Series M</t>
  </si>
  <si>
    <t>Series Q</t>
  </si>
  <si>
    <t>Note:  Please refer to attached Important Disclaimer</t>
  </si>
  <si>
    <t>Collateral</t>
  </si>
  <si>
    <t>OC</t>
  </si>
  <si>
    <t xml:space="preserve">  Agency MBS 30yr</t>
  </si>
  <si>
    <t xml:space="preserve">  Agency MBS 15yr</t>
  </si>
  <si>
    <t xml:space="preserve">  Agency CMO</t>
  </si>
  <si>
    <t xml:space="preserve">  Other USG</t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</si>
  <si>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O/C Rate equals the market value of all pledged collateral divided by the Repo Investment as viewed today.</t>
    </r>
  </si>
  <si>
    <r>
      <t>O/C Rate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</si>
  <si>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Wtd Avg Haircut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</si>
  <si>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t xml:space="preserve">   </t>
    </r>
    <r>
      <rPr>
        <vertAlign val="super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Wtd Avg Haircut is the traded advance rate of the repo investment weighted by investment amount and maturity .</t>
    </r>
  </si>
  <si>
    <t>Repo Maturity</t>
  </si>
  <si>
    <t>Wtd Avg H/C</t>
  </si>
  <si>
    <t>Mth Df Rt</t>
  </si>
  <si>
    <t>SIDE CALCULATIONS</t>
  </si>
  <si>
    <t>Previously Accr'd but unpaid</t>
  </si>
  <si>
    <t xml:space="preserve">MMF Mgmt </t>
  </si>
  <si>
    <t>MMF Expns</t>
  </si>
  <si>
    <t>USRGCY1Z CMPN Curncy</t>
  </si>
  <si>
    <t>USRGCY1T CMPN Curncy</t>
  </si>
  <si>
    <t>USRGCYA CMPN Curncy</t>
  </si>
  <si>
    <t>USRGCYB CMPN Curncy</t>
  </si>
  <si>
    <t>USRGCYC CMPN Curncy</t>
  </si>
  <si>
    <t>USRGCY2Z CMPN Curncy</t>
  </si>
  <si>
    <t>USRGCY3Z CMPN Curncy</t>
  </si>
  <si>
    <t>USGG1M Index</t>
  </si>
  <si>
    <t>MV ($mm)</t>
  </si>
  <si>
    <t>Leverage</t>
  </si>
  <si>
    <t xml:space="preserve">       Counterparty Indicators</t>
  </si>
  <si>
    <t>3140EVVH7</t>
  </si>
  <si>
    <t>FNMA -- 3.50 08/01/2046</t>
  </si>
  <si>
    <t>P&amp;L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</si>
  <si>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 xml:space="preserve"> Actual P&amp;L</t>
    </r>
  </si>
  <si>
    <t>Margin at Liquidation</t>
  </si>
  <si>
    <t>3138ERC81</t>
  </si>
  <si>
    <t>FNMA -- 4.00 09/01/2046</t>
  </si>
  <si>
    <t>3140GQH90</t>
  </si>
  <si>
    <t>3140GNQU0</t>
  </si>
  <si>
    <t>FNMA -- 4.00 05/01/2047</t>
  </si>
  <si>
    <t>Other Liabilities</t>
  </si>
  <si>
    <t>Total Expense Liability</t>
  </si>
  <si>
    <t>Total Other Liability</t>
  </si>
  <si>
    <t>FNCL   4</t>
  </si>
  <si>
    <t>PA 9%</t>
  </si>
  <si>
    <t>31418CRG1</t>
  </si>
  <si>
    <t>31418CSE5</t>
  </si>
  <si>
    <t>FNMA -- 4.00 11/01/2037</t>
  </si>
  <si>
    <t>FHLMC -- 4.50 11/01/2047</t>
  </si>
  <si>
    <t>NR</t>
  </si>
  <si>
    <t>3132QUG49</t>
  </si>
  <si>
    <t>FHLMC -- 3.50 11/01/2045</t>
  </si>
  <si>
    <t>FNMA -- 4.00 12/01/2037</t>
  </si>
  <si>
    <t>ABS Other</t>
  </si>
  <si>
    <t>CMBS</t>
  </si>
  <si>
    <t>Prvt CMO Other</t>
  </si>
  <si>
    <t>CF</t>
  </si>
  <si>
    <t>CF-CLO-LL</t>
  </si>
  <si>
    <t>FLT</t>
  </si>
  <si>
    <t>MEZ,FLT</t>
  </si>
  <si>
    <t>Accrued to Date</t>
  </si>
  <si>
    <t>Accrued to Maturity</t>
  </si>
  <si>
    <t>31418CNE0</t>
  </si>
  <si>
    <t>FNMA -- 4.00 08/01/2047</t>
  </si>
  <si>
    <t>YAS_MOD_DUR</t>
  </si>
  <si>
    <t>GLOBAL</t>
  </si>
  <si>
    <t>SR UNSECURED</t>
  </si>
  <si>
    <t>US DOMESTIC</t>
  </si>
  <si>
    <t>SUBORDINATED</t>
  </si>
  <si>
    <t>USED DURATION</t>
  </si>
  <si>
    <t>Accrual Start Date</t>
  </si>
  <si>
    <t>FNCL 4</t>
  </si>
  <si>
    <t>FNCL 4.5</t>
  </si>
  <si>
    <t>FNCL4 mtge</t>
  </si>
  <si>
    <t>FNCL4.5 mtge</t>
  </si>
  <si>
    <t>3132XSDY3</t>
  </si>
  <si>
    <t>3140GRZ64</t>
  </si>
  <si>
    <t>3140GRZ80</t>
  </si>
  <si>
    <t>3140GUDL8</t>
  </si>
  <si>
    <t>3140GWK28</t>
  </si>
  <si>
    <t>3140GYA74</t>
  </si>
  <si>
    <t>3140GYA90</t>
  </si>
  <si>
    <t>3140H1KZ2</t>
  </si>
  <si>
    <t>3140H2V39</t>
  </si>
  <si>
    <t>FHLMC -- 4.00 08/01/2047</t>
  </si>
  <si>
    <t>FNMA -- 4.00 11/01/2047</t>
  </si>
  <si>
    <t>FNMA -- 4.00 09/01/2047</t>
  </si>
  <si>
    <t>FNMA -- 4.00 10/01/2047</t>
  </si>
  <si>
    <t>Previously Accr'd, not transferred</t>
  </si>
  <si>
    <t>3140H8GJ8</t>
  </si>
  <si>
    <t>3140GQCN4</t>
  </si>
  <si>
    <t>3140GRTV6</t>
  </si>
  <si>
    <t>3140H16X3</t>
  </si>
  <si>
    <t>3140H2L89</t>
  </si>
  <si>
    <t>3140H2MA3</t>
  </si>
  <si>
    <t>3140H5VV0</t>
  </si>
  <si>
    <t>3140H5W56</t>
  </si>
  <si>
    <t>3140H5YQ8</t>
  </si>
  <si>
    <t>3140H6RZ4</t>
  </si>
  <si>
    <t>31410LVN9</t>
  </si>
  <si>
    <t>FNMA -- 3.00 10/01/2032</t>
  </si>
  <si>
    <t>FNMA -- 3.00 12/01/2032</t>
  </si>
  <si>
    <t>FNMA -- 3.00 11/01/2032</t>
  </si>
  <si>
    <t>FNMA -- 4.00 01/01/2048</t>
  </si>
  <si>
    <t>FNMA -- 2.50 12/01/2032</t>
  </si>
  <si>
    <t>01 - January</t>
  </si>
  <si>
    <t>02 - February</t>
  </si>
  <si>
    <t>03 - March</t>
  </si>
  <si>
    <t>04 - April</t>
  </si>
  <si>
    <t>05 - May</t>
  </si>
  <si>
    <t>08 - August</t>
  </si>
  <si>
    <t>09 - September</t>
  </si>
  <si>
    <t>10 - October</t>
  </si>
  <si>
    <t>11 - November</t>
  </si>
  <si>
    <t>12 - December</t>
  </si>
  <si>
    <t>Book Name:</t>
  </si>
  <si>
    <t>3132XUQJ7</t>
  </si>
  <si>
    <t>31416YB31</t>
  </si>
  <si>
    <t>FNMA -- 4.00 04/01/2026</t>
  </si>
  <si>
    <t>--</t>
  </si>
  <si>
    <t>AGNC Investment Corp.</t>
  </si>
  <si>
    <t>3132QRQQ6</t>
  </si>
  <si>
    <t>FHLMC -- 4.00 07/01/2045</t>
  </si>
  <si>
    <t>3140HE7C0</t>
  </si>
  <si>
    <t>3140H72N6</t>
  </si>
  <si>
    <t>3140FHFS1</t>
  </si>
  <si>
    <t>3140FA7B2</t>
  </si>
  <si>
    <t>FNMA -- 3.50 02/01/2048</t>
  </si>
  <si>
    <t>FNMA -- 3.00 02/01/2047</t>
  </si>
  <si>
    <t>FNMA -- 3.50 03/01/2048</t>
  </si>
  <si>
    <t>Previous DGCXX Ex-div date</t>
  </si>
  <si>
    <t>3132L8QK6</t>
  </si>
  <si>
    <t>FHLMC -- 4.50 04/01/2047</t>
  </si>
  <si>
    <t>Liablty's ($mm)</t>
  </si>
  <si>
    <t>CASHUSD01</t>
  </si>
  <si>
    <t>SERIES</t>
  </si>
  <si>
    <t># Counterparties</t>
  </si>
  <si>
    <t>Ctpty Capacity</t>
  </si>
  <si>
    <t>Build Result:</t>
  </si>
  <si>
    <t>Everything Seems to have Worked!</t>
  </si>
  <si>
    <t>SPARE COUNTERPARTY CAPCITY BELOW</t>
  </si>
  <si>
    <t>USG Fund IMR Filtered Repo Trade Data</t>
  </si>
  <si>
    <t>Lucid Credit</t>
  </si>
  <si>
    <t>Lucid Def</t>
  </si>
  <si>
    <t>Score</t>
  </si>
  <si>
    <t>(1994)</t>
  </si>
  <si>
    <t>(1995)</t>
  </si>
  <si>
    <t xml:space="preserve"> Rate</t>
  </si>
  <si>
    <t>NRZ MORTGAGE HOLDINGS LLC</t>
  </si>
  <si>
    <t>ORCHID ISLAND CAPITAL, INC</t>
  </si>
  <si>
    <t>AMHERST PIERPONT SECURITIES LLC</t>
  </si>
  <si>
    <t>FUND</t>
  </si>
  <si>
    <t>USG</t>
  </si>
  <si>
    <t>3140HJUJ8</t>
  </si>
  <si>
    <t>3140H4AM6</t>
  </si>
  <si>
    <t>FNMA -- 4.00 04/01/2033</t>
  </si>
  <si>
    <t>FNMA -- 5.00 05/01/2048</t>
  </si>
  <si>
    <t>Spd to MBS GC</t>
  </si>
  <si>
    <t>:</t>
  </si>
  <si>
    <t>G.          Market Snap Shot</t>
  </si>
  <si>
    <t>Subscription</t>
  </si>
  <si>
    <t>NAV</t>
  </si>
  <si>
    <t>Explain</t>
  </si>
  <si>
    <t>31418CTA2</t>
  </si>
  <si>
    <t>FNMA -- 4.00 01/01/2038</t>
  </si>
  <si>
    <t>06 - June</t>
  </si>
  <si>
    <t>Error Message:</t>
  </si>
  <si>
    <t>{</t>
  </si>
  <si>
    <t>}</t>
  </si>
  <si>
    <t>THIS AREA UNDER CONSTRUCTION. TO BE AVAILABLE AT A LATER DATE</t>
  </si>
  <si>
    <t>Lucid Score</t>
  </si>
  <si>
    <t>Lower</t>
  </si>
  <si>
    <t>Upper</t>
  </si>
  <si>
    <t>VaR RESULTS</t>
  </si>
  <si>
    <t>07 - July</t>
  </si>
  <si>
    <t>3140HJZC8</t>
  </si>
  <si>
    <t>3140HJZU8</t>
  </si>
  <si>
    <t>3140HKME5</t>
  </si>
  <si>
    <t>3140FPFW4</t>
  </si>
  <si>
    <t>FNMA -- 4.50 07/01/2047</t>
  </si>
  <si>
    <t>FNMA -- 4.00 05/01/2048</t>
  </si>
  <si>
    <t>FNMA -- 4.50 06/01/2048</t>
  </si>
  <si>
    <t>20786WAD9</t>
  </si>
  <si>
    <t>PRIV PLACEMENT</t>
  </si>
  <si>
    <t>12/15/2027</t>
  </si>
  <si>
    <t>S:\Lucid\Data\Bond Data\Vantage Data USG.xlsm</t>
  </si>
  <si>
    <t>Vantage Data</t>
  </si>
  <si>
    <t>3140H6JW0</t>
  </si>
  <si>
    <t>31418CVF8</t>
  </si>
  <si>
    <t>SEQ</t>
  </si>
  <si>
    <t>SUB</t>
  </si>
  <si>
    <t>IO,NTL,PT</t>
  </si>
  <si>
    <t>9128284C1</t>
  </si>
  <si>
    <t>DVD unpaid Main</t>
  </si>
  <si>
    <t>DVD unpaid Expns</t>
  </si>
  <si>
    <t>DVD unpaid Mgmt</t>
  </si>
  <si>
    <t>DVD unpaid Mrgn</t>
  </si>
  <si>
    <t>RTG_FITCH</t>
  </si>
  <si>
    <t>RTG_KBRA</t>
  </si>
  <si>
    <t>RTG_DBRS</t>
  </si>
  <si>
    <t>31397VE45</t>
  </si>
  <si>
    <t>USGCMO</t>
  </si>
  <si>
    <t>RATINGS BUCKET</t>
  </si>
  <si>
    <t>3136B1KM5</t>
  </si>
  <si>
    <t>Ratings Bucket</t>
  </si>
  <si>
    <t>DELIVERY_TYP</t>
  </si>
  <si>
    <t>FED</t>
  </si>
  <si>
    <t>DTC</t>
  </si>
  <si>
    <t>FNMA -- 3.50 03/01/2033</t>
  </si>
  <si>
    <t>Connectone Bancorp Inc CNOB 5.20 02/01/2028</t>
  </si>
  <si>
    <t>FNMA REMIC TRUST 2018-15 -- -- 01/25/2048</t>
  </si>
  <si>
    <t>Prvt CMO FLT</t>
  </si>
  <si>
    <t>89176EAB6</t>
  </si>
  <si>
    <t>89176EAC4</t>
  </si>
  <si>
    <t>SUB,AFC</t>
  </si>
  <si>
    <t>89176EAD2</t>
  </si>
  <si>
    <t>3138WKZ32</t>
  </si>
  <si>
    <t>3140GSQ70</t>
  </si>
  <si>
    <t>Industry Sector</t>
  </si>
  <si>
    <t>Floater</t>
  </si>
  <si>
    <t>Est'd Asset Class</t>
  </si>
  <si>
    <t>Mortgage Securities</t>
  </si>
  <si>
    <t>Y</t>
  </si>
  <si>
    <t>N</t>
  </si>
  <si>
    <t>Government</t>
  </si>
  <si>
    <t>Asset Backed Securities</t>
  </si>
  <si>
    <t>Financial</t>
  </si>
  <si>
    <t>FNS 424 C12</t>
  </si>
  <si>
    <t>FNR 2018-15 IK</t>
  </si>
  <si>
    <t>TPMT 2018-1 A2</t>
  </si>
  <si>
    <t>TPMT 2018-1 M1</t>
  </si>
  <si>
    <t>TPMT 2018-1 M2</t>
  </si>
  <si>
    <t>MBSARM</t>
  </si>
  <si>
    <t>MBSFIX</t>
  </si>
  <si>
    <t>MBSCMO</t>
  </si>
  <si>
    <t>MBSPO</t>
  </si>
  <si>
    <t>RMBSRECNT</t>
  </si>
  <si>
    <t>ABSOTHER</t>
  </si>
  <si>
    <t>CLOBSL</t>
  </si>
  <si>
    <t>USD Cash</t>
  </si>
  <si>
    <t>3136A6XM1</t>
  </si>
  <si>
    <t>EXCH,IO,INV,NTL</t>
  </si>
  <si>
    <t>FNHLCQ 4</t>
  </si>
  <si>
    <t>FNR 2012-56 SK</t>
  </si>
  <si>
    <t>3140Q9MC4</t>
  </si>
  <si>
    <t>FNMA -- 4.50 08/01/2048</t>
  </si>
  <si>
    <t>Vantage Proxy List</t>
  </si>
  <si>
    <t>BOND</t>
  </si>
  <si>
    <t>Proxy</t>
  </si>
  <si>
    <t>TPMT 2018-1 B1</t>
  </si>
  <si>
    <t>89176EAE0</t>
  </si>
  <si>
    <t>Vantage CUSIPs to use</t>
  </si>
  <si>
    <t>RTG_EGAN_JONES</t>
  </si>
  <si>
    <t>IO,INV,NTL</t>
  </si>
  <si>
    <t>IO,CSTR,NTL</t>
  </si>
  <si>
    <t>89173FAA8</t>
  </si>
  <si>
    <t>TPMT 2017-1 A1</t>
  </si>
  <si>
    <t>AFC</t>
  </si>
  <si>
    <t>277540</t>
  </si>
  <si>
    <t>36179UCD2</t>
  </si>
  <si>
    <t>3140JGBF1</t>
  </si>
  <si>
    <t>FNMA -- 5.00 08/01/2048</t>
  </si>
  <si>
    <t>GNMA II -- 5.00 09/20/2048</t>
  </si>
  <si>
    <t>38379LHB5</t>
  </si>
  <si>
    <t>GNMA REMIC TRUST 2015-40 -- -- 03/20/2045</t>
  </si>
  <si>
    <t>G2SF   6</t>
  </si>
  <si>
    <t>GNR 2015-40 AI</t>
  </si>
  <si>
    <t>IMR ACCRUALS</t>
  </si>
  <si>
    <t>BNYM CUSTODY Accruals</t>
  </si>
  <si>
    <t xml:space="preserve">Category
</t>
  </si>
  <si>
    <t xml:space="preserve">Report Run Date
</t>
  </si>
  <si>
    <t xml:space="preserve">Account Name
</t>
  </si>
  <si>
    <t xml:space="preserve">Transaction Type Name
</t>
  </si>
  <si>
    <t xml:space="preserve">Security Description
</t>
  </si>
  <si>
    <t xml:space="preserve">Trade/Ex Date
</t>
  </si>
  <si>
    <t xml:space="preserve">Cash Value Date
</t>
  </si>
  <si>
    <t xml:space="preserve">Settle / Pay Date
</t>
  </si>
  <si>
    <t xml:space="preserve">Shares / Par
</t>
  </si>
  <si>
    <t xml:space="preserve">Local Price/ Rate
</t>
  </si>
  <si>
    <t xml:space="preserve">Gross Amount
</t>
  </si>
  <si>
    <t xml:space="preserve">Local Income Amount
</t>
  </si>
  <si>
    <t>IMR AMOUNT</t>
  </si>
  <si>
    <t>DIVIDEND</t>
  </si>
  <si>
    <t>DREYFUS GOVT CM INST 289</t>
  </si>
  <si>
    <t>LUCID CASH FUND AC</t>
  </si>
  <si>
    <t>LUCID MARGIN CASH AC</t>
  </si>
  <si>
    <t>LUCID OPERATING EXPENSE AC</t>
  </si>
  <si>
    <t>LUCID PRIME FUND AC</t>
  </si>
  <si>
    <t>LUCID PRIME MARGIN CASH AC</t>
  </si>
  <si>
    <t>LUCID PRIME OPERATING EXPENSE AC</t>
  </si>
  <si>
    <t>USG COMPANY ACCOUNT</t>
  </si>
  <si>
    <t>MMF Accr'l Check</t>
  </si>
  <si>
    <t>Spot Rate</t>
  </si>
  <si>
    <t>Issue Dt</t>
  </si>
  <si>
    <t>PROXY</t>
  </si>
  <si>
    <t>Build Result</t>
  </si>
  <si>
    <t>ABS Auto</t>
  </si>
  <si>
    <t>3140Q9NY5</t>
  </si>
  <si>
    <t>CUSIP/CINS</t>
  </si>
  <si>
    <t>As Of Date</t>
  </si>
  <si>
    <t>Account Number</t>
  </si>
  <si>
    <t>Traded Shares/Par</t>
  </si>
  <si>
    <t>Settled Shares/Par</t>
  </si>
  <si>
    <t>Security Status Name</t>
  </si>
  <si>
    <t>Value of 1bp</t>
  </si>
  <si>
    <t>EXCH,IO,NTL</t>
  </si>
  <si>
    <t>3140HNY89</t>
  </si>
  <si>
    <t>SPARE COUNTERPARTY CAPACITY BELOW</t>
  </si>
  <si>
    <t>FNMA -- 4.00 08/01/2048</t>
  </si>
  <si>
    <t>Agncy CMO Other</t>
  </si>
  <si>
    <t>Spread</t>
  </si>
  <si>
    <t>ELLINGTON GNMA MORTGAGE MASTER FUND LTD.</t>
  </si>
  <si>
    <t>278204</t>
  </si>
  <si>
    <t>278207</t>
  </si>
  <si>
    <t>211104</t>
  </si>
  <si>
    <t>278208</t>
  </si>
  <si>
    <t>Holidays</t>
  </si>
  <si>
    <t>3140GT6B1</t>
  </si>
  <si>
    <t>3140Q76Q5</t>
  </si>
  <si>
    <t>31307V2D7</t>
  </si>
  <si>
    <t>FGCI</t>
  </si>
  <si>
    <t>3132WJDZ1</t>
  </si>
  <si>
    <t>3132Y2RQ1</t>
  </si>
  <si>
    <t>3140HBJA7</t>
  </si>
  <si>
    <t>MBS Other</t>
  </si>
  <si>
    <t>GA 7%</t>
  </si>
  <si>
    <t>FHLMC -- 4.50 11/01/2046</t>
  </si>
  <si>
    <t>FHLMC -- 4.50 09/01/2048</t>
  </si>
  <si>
    <t>3138XBJV7</t>
  </si>
  <si>
    <t>FNMA -- 4.50 11/01/2043</t>
  </si>
  <si>
    <t>FNMA -- 4.00 06/01/2048</t>
  </si>
  <si>
    <t>FNMA -- 4.50 12/01/2047</t>
  </si>
  <si>
    <t>3132Y0MG2</t>
  </si>
  <si>
    <t>LUCID PRIME MANAGEMENT FEE AC</t>
  </si>
  <si>
    <t>3132XCSC0</t>
  </si>
  <si>
    <t>S</t>
  </si>
  <si>
    <t>TNote</t>
  </si>
  <si>
    <t>MBSIOFIX</t>
  </si>
  <si>
    <t>FINSENFIX</t>
  </si>
  <si>
    <t>FINSUBFIX</t>
  </si>
  <si>
    <t>RMBSLGCY</t>
  </si>
  <si>
    <t>MBSIOINV</t>
  </si>
  <si>
    <t>31418C4W1</t>
  </si>
  <si>
    <t>31406WSA3</t>
  </si>
  <si>
    <t>FN 822313</t>
  </si>
  <si>
    <t>FHLMC -- 4.50 08/01/2048</t>
  </si>
  <si>
    <t>FNMA -- 4.00 12/01/2048</t>
  </si>
  <si>
    <t>Original Portion</t>
  </si>
  <si>
    <t>LUCID SUBSCRP REDMP AC SERIES M</t>
  </si>
  <si>
    <t>Subscription Amounts</t>
  </si>
  <si>
    <t>MM Term Fund</t>
  </si>
  <si>
    <t>BMO CAPITAL MARKETS CORP</t>
  </si>
  <si>
    <t>MM Term Fund REPO POSITIONS AND VaR CALCULATION - Multiple Borrowers, Multiple Repos</t>
  </si>
  <si>
    <t>NATWEST MARKETS SECURITIES Inc</t>
  </si>
  <si>
    <t>Repo</t>
  </si>
  <si>
    <t>Bond</t>
  </si>
  <si>
    <t>Facility</t>
  </si>
  <si>
    <t>NY 8%</t>
  </si>
  <si>
    <t>XS1951177309 Change</t>
  </si>
  <si>
    <t>XS1951177309 Repo</t>
  </si>
  <si>
    <t>MAIN FUND - XS1951177309</t>
  </si>
  <si>
    <t>Facility Limit</t>
  </si>
  <si>
    <t>Term</t>
  </si>
  <si>
    <t>Repo Data File</t>
  </si>
  <si>
    <t>S:\Mandates\Operations\IMR Uploads\MM Term Filter Repo Data.xlsm</t>
  </si>
  <si>
    <t>NATWEST MARKETS PLC</t>
  </si>
  <si>
    <t>IA 6%</t>
  </si>
  <si>
    <t>Cayman</t>
  </si>
  <si>
    <t>3128MJ6C9</t>
  </si>
  <si>
    <t>Fee Payment from NatWest</t>
  </si>
  <si>
    <t>Investment from MM Term Fund</t>
  </si>
  <si>
    <t>X9USDCMSH</t>
  </si>
  <si>
    <t>MM Sweep</t>
  </si>
  <si>
    <t>Transfer subscription amounts to Main</t>
  </si>
  <si>
    <t>MMF Dvd</t>
  </si>
  <si>
    <t>3128MJ5X4</t>
  </si>
  <si>
    <t>Interest on Eastern Elm Bond</t>
  </si>
  <si>
    <t>Closing Leg repo on 8.88M EE Bond TrID 12683</t>
  </si>
  <si>
    <t>Closing Leg repo Treasury TrID 12306</t>
  </si>
  <si>
    <t>Closing Leg rev Treasury TrID 12306</t>
  </si>
  <si>
    <t>Closing Leg repo on 500K EE Bond TrID 12359</t>
  </si>
  <si>
    <t>Closing Leg repo Treasury TrID 12360</t>
  </si>
  <si>
    <t>Closing Leg rev Treasury TrID 12361</t>
  </si>
  <si>
    <t>Opening Leg EE Repo 9.38M</t>
  </si>
  <si>
    <t xml:space="preserve">Opening Leg Treasury Repo </t>
  </si>
  <si>
    <t>Opening Leg Treasury Rev</t>
  </si>
  <si>
    <t>adjustment</t>
  </si>
  <si>
    <t>Transfer expenses and mgmt fees to their accounts</t>
  </si>
  <si>
    <t>Pmt of unused facility fees</t>
  </si>
  <si>
    <t>Telos CLO Ltd</t>
  </si>
  <si>
    <t>SS&amp;C March Bill</t>
  </si>
  <si>
    <t>transfer of fees- bills are front loaded…</t>
  </si>
  <si>
    <t>Mourant Bills</t>
  </si>
  <si>
    <t>Initial BNYM Bill MMT IM</t>
  </si>
  <si>
    <t>Initial BNYM Bill MMT</t>
  </si>
  <si>
    <t>Mourant Legal bill for initial work.</t>
  </si>
  <si>
    <t>WH30 4.5</t>
  </si>
  <si>
    <t>CF-CLO-MML</t>
  </si>
  <si>
    <t>CLOMM</t>
  </si>
  <si>
    <t>series T set up fee</t>
  </si>
  <si>
    <t>reimbursement of retainer</t>
  </si>
  <si>
    <t>Management Fees 2/7-3/15</t>
  </si>
  <si>
    <t>DUR ADJ OAS BID</t>
  </si>
  <si>
    <t>SS&amp;C April Bill</t>
  </si>
  <si>
    <t>3140JLLZ5</t>
  </si>
  <si>
    <t>Return of Mourant wires</t>
  </si>
  <si>
    <t>SOSPRUCE1</t>
  </si>
  <si>
    <t>SOSPRUCE1 Change</t>
  </si>
  <si>
    <t>SOSPRUCE1 Repo</t>
  </si>
  <si>
    <t>MAIN FUND - SOSPRUCE1</t>
  </si>
  <si>
    <t>EASTERN ELM</t>
  </si>
  <si>
    <t>SOUTHERN SPRUCE</t>
  </si>
  <si>
    <t>Prev Pay Date</t>
  </si>
  <si>
    <t>Transfer mgmt fee</t>
  </si>
  <si>
    <t>Transfer expenses</t>
  </si>
  <si>
    <t>Rewire Mourant EXANES</t>
  </si>
  <si>
    <t>Rewire Mourant Gov Services (DUPLICATE!!! ONE SHOULD COME BACK)</t>
  </si>
  <si>
    <t>MMF dvds</t>
  </si>
  <si>
    <t>Upfront from NW</t>
  </si>
  <si>
    <t>3128MJ6N5</t>
  </si>
  <si>
    <t>3128MJ6J4</t>
  </si>
  <si>
    <t>31418DBH4</t>
  </si>
  <si>
    <t>3140J9Q46</t>
  </si>
  <si>
    <t>3140J5KF5</t>
  </si>
  <si>
    <t>Mgmt fee pmt 3/15-4/30</t>
  </si>
  <si>
    <t>Sec Hldgs File</t>
  </si>
  <si>
    <t>SS&amp;C May Bill</t>
  </si>
  <si>
    <t>Sec Rec</t>
  </si>
  <si>
    <t>31335AEQ7</t>
  </si>
  <si>
    <t>Repo Limits</t>
  </si>
  <si>
    <t>Max tenor</t>
  </si>
  <si>
    <t>ρ R(C)MBS</t>
  </si>
  <si>
    <t>ρ Corp/Fin</t>
  </si>
  <si>
    <t>ρ CLO</t>
  </si>
  <si>
    <t>3 months</t>
  </si>
  <si>
    <t>HOLLIS PARK OPPORTUNITIES MASTER FUND LT</t>
  </si>
  <si>
    <t>0 months</t>
  </si>
  <si>
    <t>RONIN CAPITAL, LLC</t>
  </si>
  <si>
    <t>External</t>
  </si>
  <si>
    <t>1 months</t>
  </si>
  <si>
    <t>NIC RMBS LLC</t>
  </si>
  <si>
    <t>J.V.B. FINANCIAL GROUP, LLC</t>
  </si>
  <si>
    <t>ELLINGTON MORTGAGE FUND-SC, LTD</t>
  </si>
  <si>
    <t>ELLINGTON MORTGAGE OPPS MASTER FUND, LTD</t>
  </si>
  <si>
    <t>ELLINGTON CREDIT OPPORTUNITIES, LTD.</t>
  </si>
  <si>
    <t>ELLINGTON SPECIAL OPPORTUNITIES LLC</t>
  </si>
  <si>
    <t>EF SECURITIES LLC</t>
  </si>
  <si>
    <t>EF CMO LLC</t>
  </si>
  <si>
    <t>HH ELLINGTON MASTER FUND LTD.</t>
  </si>
  <si>
    <t xml:space="preserve">Ctpty info File </t>
  </si>
  <si>
    <t>S:\Lucid\Investment Committee &amp; Risk\Approved Counterparties\Approved Counterparty Database.xlsx</t>
  </si>
  <si>
    <t>GUGGENHEIM SECURITIES LLC</t>
  </si>
  <si>
    <t>CRESCENT II FUND, L.P.</t>
  </si>
  <si>
    <t>BUCKHEAD ONE, LTD</t>
  </si>
  <si>
    <t>BUCKHEAD ONE FINANCIAL OPPS LLC</t>
  </si>
  <si>
    <t>ANGEL OAK STRAT MORTGAGE INC MASTER FUND</t>
  </si>
  <si>
    <t>FFI LTD.</t>
  </si>
  <si>
    <t>FYI LTD.</t>
  </si>
  <si>
    <t>OLIFANT FUND, LTD.</t>
  </si>
  <si>
    <t>RIMROCK HIGH INCOME PLUS (MASTER) FUND</t>
  </si>
  <si>
    <t>RIMROCK LOW VOLATILITY (MASTER) FUND</t>
  </si>
  <si>
    <t>RIMROCK STRUCT. PRODUCT (MASTER) FUND</t>
  </si>
  <si>
    <t>RIMROCK STRATEGIC INCOME FUND</t>
  </si>
  <si>
    <t>6 months</t>
  </si>
  <si>
    <t>MAIN FUND - Securities</t>
  </si>
  <si>
    <t>CCY</t>
  </si>
  <si>
    <t>USD</t>
  </si>
  <si>
    <t>`</t>
  </si>
  <si>
    <t>MAIN FUND - USD CASH</t>
  </si>
  <si>
    <t>Security Change</t>
  </si>
  <si>
    <t>Currency</t>
  </si>
  <si>
    <t>Mgmt Fee - USD</t>
  </si>
  <si>
    <t>Mgmt Fee - EUR</t>
  </si>
  <si>
    <t>3140QA2Y5</t>
  </si>
  <si>
    <t>NATWEST MARKETS PLC USD</t>
  </si>
  <si>
    <t>EUR</t>
  </si>
  <si>
    <t>FX Rate</t>
  </si>
  <si>
    <t>CUSIP or ISIN</t>
  </si>
  <si>
    <t xml:space="preserve"> ISIN</t>
  </si>
  <si>
    <t xml:space="preserve"> CUSIP</t>
  </si>
  <si>
    <t>EURO-ZONE</t>
  </si>
  <si>
    <t>BONDS</t>
  </si>
  <si>
    <t>MMTerm Income Fund - T Series  Funded Amounts</t>
  </si>
  <si>
    <t>MMTerm Income Fund - T Series  Accruals for Money Market Funds</t>
  </si>
  <si>
    <t>MAIN FUND USD CASH</t>
  </si>
  <si>
    <t>CASH USD</t>
  </si>
  <si>
    <t>CASH EUR</t>
  </si>
  <si>
    <t>Euro Zone</t>
  </si>
  <si>
    <t>EUR MMF</t>
  </si>
  <si>
    <t>MMF EUR</t>
  </si>
  <si>
    <t>MMF Main EUR</t>
  </si>
  <si>
    <t>MMF Main USD</t>
  </si>
  <si>
    <t>Assets</t>
  </si>
  <si>
    <t>Liabilities</t>
  </si>
  <si>
    <t>FX Moves</t>
  </si>
  <si>
    <t>Today's FX</t>
  </si>
  <si>
    <t>EASTERN CYPRESS</t>
  </si>
  <si>
    <t>Lucid MMTerm Income Fund - T Series   SECURITIES POSITIONS</t>
  </si>
  <si>
    <t>Lucid MMTerm Income Fund - T Series   FACILITIES POSITIONS</t>
  </si>
  <si>
    <t>Facility Name</t>
  </si>
  <si>
    <t>Prev Date Resid</t>
  </si>
  <si>
    <t>Present Resid</t>
  </si>
  <si>
    <t>Fee 1</t>
  </si>
  <si>
    <t>USD Carry</t>
  </si>
  <si>
    <t>USD Ord Exp</t>
  </si>
  <si>
    <t>MARGIN ACCOUNT USD</t>
  </si>
  <si>
    <t>Transfer mgmt fee &amp; expenses</t>
  </si>
  <si>
    <t>EASTCYPR1</t>
  </si>
  <si>
    <t>DE0001141794</t>
  </si>
  <si>
    <t>NATWEST MARKETS PLC EUR</t>
  </si>
  <si>
    <t>MAIN FUND - EASTCYPR1</t>
  </si>
  <si>
    <t>Upfront Eastern Cypress Fee</t>
  </si>
  <si>
    <t>DE0001141794 Reverse</t>
  </si>
  <si>
    <t>DE0001141794 Repo</t>
  </si>
  <si>
    <t>LMCP Set-up 2 bill</t>
  </si>
  <si>
    <t>31418DAR3</t>
  </si>
  <si>
    <t>3138WCUC5</t>
  </si>
  <si>
    <t>Sewkis Org Costs</t>
  </si>
  <si>
    <t>rebate org costs paid by expense account</t>
  </si>
  <si>
    <t>MEZ,FLT,REFI</t>
  </si>
  <si>
    <t>MEZ,FLT,RSET</t>
  </si>
  <si>
    <t>FLT,RSET</t>
  </si>
  <si>
    <t>SewKis Bill Pay</t>
  </si>
  <si>
    <t>3140JNAZ3</t>
  </si>
  <si>
    <t>E Elm coup 1</t>
  </si>
  <si>
    <t>E Elm coup 2</t>
  </si>
  <si>
    <t>So Spruce c oup</t>
  </si>
  <si>
    <t>Maturity all USD repos</t>
  </si>
  <si>
    <t>E Cypress coup</t>
  </si>
  <si>
    <t>Maturity all EUR repos</t>
  </si>
  <si>
    <t>E Elm undrawn fee</t>
  </si>
  <si>
    <t>S Spruce undrawn fee</t>
  </si>
  <si>
    <t>E Cypress undrawn fee</t>
  </si>
  <si>
    <t>GUGGENHEIM SECURITIES LLC USD</t>
  </si>
  <si>
    <t>E Cypress repo with Natwest</t>
  </si>
  <si>
    <t>UST Repo With Gugg</t>
  </si>
  <si>
    <t>XS1951177309 repo</t>
  </si>
  <si>
    <t>FN   0.2</t>
  </si>
  <si>
    <t>FN BN5423</t>
  </si>
  <si>
    <t>EASTCYPRESS1 Change</t>
  </si>
  <si>
    <t>EASTCYPRESS1 Repo</t>
  </si>
  <si>
    <t>SS&amp;C June Bill</t>
  </si>
  <si>
    <t>BNYM Feb-Apr for MMT Fund</t>
  </si>
  <si>
    <t>BNYM Feb-Apr for MMT IM Fund</t>
  </si>
  <si>
    <t>Lucid Invoice 103</t>
  </si>
  <si>
    <t>Angel Oak Mortgage Trust</t>
  </si>
  <si>
    <t>912828P87</t>
  </si>
  <si>
    <t>Adjustment</t>
  </si>
  <si>
    <t>SOSPRUCE2 Repo</t>
  </si>
  <si>
    <t>NatWest Treas repo</t>
  </si>
  <si>
    <t>GUGG Treas Repo</t>
  </si>
  <si>
    <t>SS&amp;C Bill</t>
  </si>
  <si>
    <t>Transfer expenses to expense account</t>
  </si>
  <si>
    <t>transfer mgmt fees</t>
  </si>
  <si>
    <t>pay mgmt fees</t>
  </si>
  <si>
    <t>pay set up fees #3</t>
  </si>
  <si>
    <t>MOURANT 300-21777</t>
  </si>
  <si>
    <t>Chapman 1848367</t>
  </si>
  <si>
    <t>Chapman 1856373</t>
  </si>
  <si>
    <t>Chapman 1861905</t>
  </si>
  <si>
    <t>36361UAG5</t>
  </si>
  <si>
    <t>05363UAL7</t>
  </si>
  <si>
    <t>Avery Point CLO Ltd</t>
  </si>
  <si>
    <t>AVERY 2014-1A D</t>
  </si>
  <si>
    <t>FHLMC -- 3.50 02/01/2049</t>
  </si>
  <si>
    <t>FHLMC -- 4.00 03/01/2049</t>
  </si>
  <si>
    <t>FHLMC -- 4.00 04/01/2049</t>
  </si>
  <si>
    <t>FHLMC -- 3.50 05/01/2049</t>
  </si>
  <si>
    <t>FHLMC -- 3.50 01/01/2045</t>
  </si>
  <si>
    <t>FNMA -- 3.50 09/01/2029</t>
  </si>
  <si>
    <t>FNMA -- 3.50 01/01/2048</t>
  </si>
  <si>
    <t>FNMA -- 4.00 01/01/2049</t>
  </si>
  <si>
    <t>FNMA -- 3.50 04/01/2049</t>
  </si>
  <si>
    <t>FNMA -- 4.00 05/01/2049</t>
  </si>
  <si>
    <t>FNMA -- 4.00 03/01/2049</t>
  </si>
  <si>
    <t>FNMA -- 4.50 04/01/2049</t>
  </si>
  <si>
    <t>FNRE   3</t>
  </si>
  <si>
    <t>Maty of Gugg Treas Repos</t>
  </si>
  <si>
    <t>New Gugg Treas Repo</t>
  </si>
  <si>
    <t>Mourant Bill</t>
  </si>
  <si>
    <t>SOSPRUCE3 Repo</t>
  </si>
  <si>
    <t>910710AA0</t>
  </si>
  <si>
    <t>UNITED INS HOLDINGS CORP</t>
  </si>
  <si>
    <t>12/13/2017</t>
  </si>
  <si>
    <t>Maty GUgg Trades</t>
  </si>
  <si>
    <t>3136A55N2</t>
  </si>
  <si>
    <t>FNR 2012-51 OK</t>
  </si>
  <si>
    <t>PO,PT</t>
  </si>
  <si>
    <t>AAAu</t>
  </si>
  <si>
    <t>Aaa</t>
  </si>
  <si>
    <t>Aa2</t>
  </si>
  <si>
    <t>A2</t>
  </si>
  <si>
    <t>Baa2</t>
  </si>
  <si>
    <t>WR</t>
  </si>
  <si>
    <t>SOSPRUCE4 Repo</t>
  </si>
  <si>
    <t>Lucid Invoice 105</t>
  </si>
  <si>
    <t>SS&amp;C August Bill</t>
  </si>
  <si>
    <t>MMT IM BNYM 4/30-7/31</t>
  </si>
  <si>
    <t>MMTBNYM 4/30-7/31</t>
  </si>
  <si>
    <t>G2JM</t>
  </si>
  <si>
    <t>swing from main</t>
  </si>
  <si>
    <t>3136B04Z6</t>
  </si>
  <si>
    <t>FNR 2018-18 G</t>
  </si>
  <si>
    <t>83190LAB5</t>
  </si>
  <si>
    <t>SMARTFINANCIAL INC</t>
  </si>
  <si>
    <t>mmf dvds</t>
  </si>
  <si>
    <t>Price File</t>
  </si>
  <si>
    <t>Clean PX</t>
  </si>
  <si>
    <t>Clean Price</t>
  </si>
  <si>
    <t>Price to Use</t>
  </si>
  <si>
    <t>SOSPRUCE5 Repo</t>
  </si>
  <si>
    <t>GUGG Repo</t>
  </si>
  <si>
    <t>S:\Lucid\Data\Bond Data\Used Prices.xls</t>
  </si>
  <si>
    <t>MBSFIXGMNA</t>
  </si>
  <si>
    <t>MBSIOFIXGMNA</t>
  </si>
  <si>
    <t>Maty NW Southern Spruce Repos</t>
  </si>
  <si>
    <t>Maty NW Eastern Elm Repos</t>
  </si>
  <si>
    <t>Maty NW Treas repos</t>
  </si>
  <si>
    <t>Maty NW Eastern Cypress Repos</t>
  </si>
  <si>
    <t>Maty GUGG Trades</t>
  </si>
  <si>
    <t>Eastern Cypress Facility Fee</t>
  </si>
  <si>
    <t>Eastern Elm Facility Fee</t>
  </si>
  <si>
    <t>Southern Spruce Facility Fee</t>
  </si>
  <si>
    <t>E Cypress coupon</t>
  </si>
  <si>
    <t>SOSpruce 1 coupon</t>
  </si>
  <si>
    <t>SOSpruce 2 coupon</t>
  </si>
  <si>
    <t>SOSpruce 3 coupon</t>
  </si>
  <si>
    <t>SOSpruce 4 coupon</t>
  </si>
  <si>
    <t>SOSpruce 5 coupon</t>
  </si>
  <si>
    <t>Eelm coupon</t>
  </si>
  <si>
    <t>NWM treas reverses</t>
  </si>
  <si>
    <t>Eelm Repo</t>
  </si>
  <si>
    <t>ECYPRESS REPO</t>
  </si>
  <si>
    <t>03/01/2019</t>
  </si>
  <si>
    <t>04/16/2014</t>
  </si>
  <si>
    <t>04/25/2026</t>
  </si>
  <si>
    <t>12/01/2017</t>
  </si>
  <si>
    <t>04/17/2017</t>
  </si>
  <si>
    <t>07/01/2012</t>
  </si>
  <si>
    <t>12/01/2048</t>
  </si>
  <si>
    <t>09/01/2017</t>
  </si>
  <si>
    <t>09/01/2047</t>
  </si>
  <si>
    <t>11/01/2017</t>
  </si>
  <si>
    <t>10/01/2047</t>
  </si>
  <si>
    <t>11/01/2047</t>
  </si>
  <si>
    <t>09/01/2016</t>
  </si>
  <si>
    <t>04/01/2045</t>
  </si>
  <si>
    <t>04/01/2012</t>
  </si>
  <si>
    <t>05/25/2042</t>
  </si>
  <si>
    <t>05/25/2012</t>
  </si>
  <si>
    <t>06/25/2042</t>
  </si>
  <si>
    <t>02/01/2018</t>
  </si>
  <si>
    <t>05/25/2046</t>
  </si>
  <si>
    <t>02/25/2048</t>
  </si>
  <si>
    <t>05/01/2015</t>
  </si>
  <si>
    <t>02/01/2017</t>
  </si>
  <si>
    <t>04/01/2018</t>
  </si>
  <si>
    <t>03/01/2018</t>
  </si>
  <si>
    <t>08/01/2005</t>
  </si>
  <si>
    <t>09/01/2035</t>
  </si>
  <si>
    <t>05/01/2018</t>
  </si>
  <si>
    <t>05/01/2048</t>
  </si>
  <si>
    <t>07/01/2018</t>
  </si>
  <si>
    <t>02/01/2019</t>
  </si>
  <si>
    <t>03/01/2049</t>
  </si>
  <si>
    <t>04/01/2019</t>
  </si>
  <si>
    <t>04/01/2049</t>
  </si>
  <si>
    <t>01/01/2018</t>
  </si>
  <si>
    <t>07/15/2027</t>
  </si>
  <si>
    <t>03/01/2015</t>
  </si>
  <si>
    <t>03/20/2045</t>
  </si>
  <si>
    <t>04/15/2025</t>
  </si>
  <si>
    <t>08/01/2018</t>
  </si>
  <si>
    <t>09/28/2018</t>
  </si>
  <si>
    <t>10/02/2028</t>
  </si>
  <si>
    <t>06/15/2029</t>
  </si>
  <si>
    <t>04/16/2018</t>
  </si>
  <si>
    <t>04/15/2027</t>
  </si>
  <si>
    <t>12/01/2026</t>
  </si>
  <si>
    <t>06/01/2015</t>
  </si>
  <si>
    <t>SS&amp;C Sep invoice</t>
  </si>
  <si>
    <t>FL 17%</t>
  </si>
  <si>
    <t>Swing Expenses to expense acct</t>
  </si>
  <si>
    <t>swing mgmt fees to mgmt account</t>
  </si>
  <si>
    <t>06/01/2017</t>
  </si>
  <si>
    <t>CONNECTONE BANCORP INC</t>
  </si>
  <si>
    <t>01/17/2018</t>
  </si>
  <si>
    <t>02/01/2028</t>
  </si>
  <si>
    <t>31283H3Y9</t>
  </si>
  <si>
    <t>FG G01715</t>
  </si>
  <si>
    <t>07/01/2004</t>
  </si>
  <si>
    <t>02/01/2034</t>
  </si>
  <si>
    <t>31283HWH4</t>
  </si>
  <si>
    <t>FG G01548</t>
  </si>
  <si>
    <t>04/01/2003</t>
  </si>
  <si>
    <t>07/01/2032</t>
  </si>
  <si>
    <t>PR 100%</t>
  </si>
  <si>
    <t>3128JR6P6</t>
  </si>
  <si>
    <t>FHARM</t>
  </si>
  <si>
    <t>FH 848078</t>
  </si>
  <si>
    <t>04/01/2009</t>
  </si>
  <si>
    <t>06/01/2027</t>
  </si>
  <si>
    <t>3128KGA99</t>
  </si>
  <si>
    <t>FG A53632</t>
  </si>
  <si>
    <t>10/01/2006</t>
  </si>
  <si>
    <t>10/01/2036</t>
  </si>
  <si>
    <t>3128M4HL0</t>
  </si>
  <si>
    <t>FG G02635</t>
  </si>
  <si>
    <t>01/01/2007</t>
  </si>
  <si>
    <t>01/01/2037</t>
  </si>
  <si>
    <t>TX 15%</t>
  </si>
  <si>
    <t>3128M4J38</t>
  </si>
  <si>
    <t>FG G02682</t>
  </si>
  <si>
    <t>02/01/2007</t>
  </si>
  <si>
    <t>02/01/2037</t>
  </si>
  <si>
    <t>3128M74G8</t>
  </si>
  <si>
    <t>FG G05923</t>
  </si>
  <si>
    <t>06/01/2010</t>
  </si>
  <si>
    <t>02/01/2040</t>
  </si>
  <si>
    <t>FL 6%</t>
  </si>
  <si>
    <t>3128MBXH5</t>
  </si>
  <si>
    <t>FG G13180</t>
  </si>
  <si>
    <t>05/01/2008</t>
  </si>
  <si>
    <t>06/01/2023</t>
  </si>
  <si>
    <t>08/01/2017</t>
  </si>
  <si>
    <t>FG G08861</t>
  </si>
  <si>
    <t>01/01/2019</t>
  </si>
  <si>
    <t>02/01/2049</t>
  </si>
  <si>
    <t>FG G08866</t>
  </si>
  <si>
    <t>TX 8%</t>
  </si>
  <si>
    <t>FG G08872</t>
  </si>
  <si>
    <t>FG G08876</t>
  </si>
  <si>
    <t>05/01/2049</t>
  </si>
  <si>
    <t>3128MME66</t>
  </si>
  <si>
    <t>FG G18156</t>
  </si>
  <si>
    <t>12/01/2006</t>
  </si>
  <si>
    <t>12/01/2021</t>
  </si>
  <si>
    <t>TX 13%</t>
  </si>
  <si>
    <t>3128PHJL6</t>
  </si>
  <si>
    <t>FG J05667</t>
  </si>
  <si>
    <t>10/01/2007</t>
  </si>
  <si>
    <t>10/01/2022</t>
  </si>
  <si>
    <t>3128PLKQ4</t>
  </si>
  <si>
    <t>FG J08403</t>
  </si>
  <si>
    <t>07/01/2008</t>
  </si>
  <si>
    <t>07/01/2023</t>
  </si>
  <si>
    <t>FL 14%</t>
  </si>
  <si>
    <t>3128PMG79</t>
  </si>
  <si>
    <t>FG J09222</t>
  </si>
  <si>
    <t>01/01/2009</t>
  </si>
  <si>
    <t>01/01/2024</t>
  </si>
  <si>
    <t>3128PRKY4</t>
  </si>
  <si>
    <t>FG J12111</t>
  </si>
  <si>
    <t>04/01/2010</t>
  </si>
  <si>
    <t>05/01/2025</t>
  </si>
  <si>
    <t>3128PST64</t>
  </si>
  <si>
    <t>FG J13273</t>
  </si>
  <si>
    <t>10/01/2010</t>
  </si>
  <si>
    <t>10/01/2025</t>
  </si>
  <si>
    <t>31306XNX7</t>
  </si>
  <si>
    <t>FG J20406</t>
  </si>
  <si>
    <t>09/01/2012</t>
  </si>
  <si>
    <t>09/01/2027</t>
  </si>
  <si>
    <t>31306YHH7</t>
  </si>
  <si>
    <t>FG J21132</t>
  </si>
  <si>
    <t>11/01/2012</t>
  </si>
  <si>
    <t>11/01/2027</t>
  </si>
  <si>
    <t>FG J38872</t>
  </si>
  <si>
    <t>04/01/2033</t>
  </si>
  <si>
    <t>31326HN42</t>
  </si>
  <si>
    <t>FH 2B3111</t>
  </si>
  <si>
    <t>08/01/2014</t>
  </si>
  <si>
    <t>09/01/2044</t>
  </si>
  <si>
    <t>GA 8%</t>
  </si>
  <si>
    <t>FG V83158</t>
  </si>
  <si>
    <t>04/01/2017</t>
  </si>
  <si>
    <t>04/01/2047</t>
  </si>
  <si>
    <t>FG Q33549</t>
  </si>
  <si>
    <t>FG Q34962</t>
  </si>
  <si>
    <t>07/01/2015</t>
  </si>
  <si>
    <t>07/01/2045</t>
  </si>
  <si>
    <t>CA 12%</t>
  </si>
  <si>
    <t>FG Q36848</t>
  </si>
  <si>
    <t>10/01/2015</t>
  </si>
  <si>
    <t>10/01/2045</t>
  </si>
  <si>
    <t>FG Q37418</t>
  </si>
  <si>
    <t>11/01/2015</t>
  </si>
  <si>
    <t>11/01/2045</t>
  </si>
  <si>
    <t>TX 17%</t>
  </si>
  <si>
    <t>FG Q44619</t>
  </si>
  <si>
    <t>11/01/2016</t>
  </si>
  <si>
    <t>11/01/2046</t>
  </si>
  <si>
    <t>FG Q45635</t>
  </si>
  <si>
    <t>01/01/2017</t>
  </si>
  <si>
    <t>01/01/2047</t>
  </si>
  <si>
    <t>TX 14%</t>
  </si>
  <si>
    <t>FG Q47608</t>
  </si>
  <si>
    <t>FG G67715</t>
  </si>
  <si>
    <t>08/01/2048</t>
  </si>
  <si>
    <t>FG Q50118</t>
  </si>
  <si>
    <t>08/01/2047</t>
  </si>
  <si>
    <t>FG Q52256</t>
  </si>
  <si>
    <t>FG Q56658</t>
  </si>
  <si>
    <t>06/01/2018</t>
  </si>
  <si>
    <t>06/01/2048</t>
  </si>
  <si>
    <t>FG Q58594</t>
  </si>
  <si>
    <t>09/01/2018</t>
  </si>
  <si>
    <t>09/01/2048</t>
  </si>
  <si>
    <t>CA 6%</t>
  </si>
  <si>
    <t>FG G60143</t>
  </si>
  <si>
    <t>01/01/2045</t>
  </si>
  <si>
    <t>OH 7%</t>
  </si>
  <si>
    <t>NC 5%</t>
  </si>
  <si>
    <t>FNR 2015-6 IX</t>
  </si>
  <si>
    <t>02/01/2015</t>
  </si>
  <si>
    <t>03/25/2045</t>
  </si>
  <si>
    <t>FNJMCK 3</t>
  </si>
  <si>
    <t>FNR 2015-6 MO</t>
  </si>
  <si>
    <t>02/25/2015</t>
  </si>
  <si>
    <t>06/25/2043</t>
  </si>
  <si>
    <t>SC,PO,PT</t>
  </si>
  <si>
    <t>FNR 2015-6 OM</t>
  </si>
  <si>
    <t>FNJMCK 4</t>
  </si>
  <si>
    <t>01/25/2048</t>
  </si>
  <si>
    <t>31371NPT6</t>
  </si>
  <si>
    <t>FN 257034</t>
  </si>
  <si>
    <t>11/01/2007</t>
  </si>
  <si>
    <t>12/01/2022</t>
  </si>
  <si>
    <t>04/01/2013</t>
  </si>
  <si>
    <t>FN AL9094</t>
  </si>
  <si>
    <t>09/01/2046</t>
  </si>
  <si>
    <t>CA 8%</t>
  </si>
  <si>
    <t>FN AS3099</t>
  </si>
  <si>
    <t>07/01/2014</t>
  </si>
  <si>
    <t>08/01/2044</t>
  </si>
  <si>
    <t>FN AS3278</t>
  </si>
  <si>
    <t>09/01/2029</t>
  </si>
  <si>
    <t>FN AS6333</t>
  </si>
  <si>
    <t>12/01/2015</t>
  </si>
  <si>
    <t>12/01/2045</t>
  </si>
  <si>
    <t>FN AS9808</t>
  </si>
  <si>
    <t>05/01/2017</t>
  </si>
  <si>
    <t>06/01/2047</t>
  </si>
  <si>
    <t>FN AS9536</t>
  </si>
  <si>
    <t>05/01/2047</t>
  </si>
  <si>
    <t>CA 19%</t>
  </si>
  <si>
    <t>FN AS9761</t>
  </si>
  <si>
    <t>3138X3HC9</t>
  </si>
  <si>
    <t>FN AU3826</t>
  </si>
  <si>
    <t>07/01/2013</t>
  </si>
  <si>
    <t>MA 14%</t>
  </si>
  <si>
    <t>FN AV0275</t>
  </si>
  <si>
    <t>11/01/2013</t>
  </si>
  <si>
    <t>11/01/2043</t>
  </si>
  <si>
    <t>FN AW6763</t>
  </si>
  <si>
    <t>06/01/2044</t>
  </si>
  <si>
    <t>FN AW6765</t>
  </si>
  <si>
    <t>07/01/2044</t>
  </si>
  <si>
    <t>31406YYU8</t>
  </si>
  <si>
    <t>FN 824323</t>
  </si>
  <si>
    <t>06/01/2005</t>
  </si>
  <si>
    <t>06/01/2035</t>
  </si>
  <si>
    <t>FN BC1515</t>
  </si>
  <si>
    <t>08/01/2016</t>
  </si>
  <si>
    <t>08/01/2046</t>
  </si>
  <si>
    <t>FN BD3589</t>
  </si>
  <si>
    <t>02/01/2048</t>
  </si>
  <si>
    <t>FN BD7148</t>
  </si>
  <si>
    <t>FN BD9176</t>
  </si>
  <si>
    <t>02/01/2047</t>
  </si>
  <si>
    <t>FN BE3695</t>
  </si>
  <si>
    <t>VA 6%</t>
  </si>
  <si>
    <t>FN BE3780</t>
  </si>
  <si>
    <t>07/01/2017</t>
  </si>
  <si>
    <t>07/01/2047</t>
  </si>
  <si>
    <t>CA 11%</t>
  </si>
  <si>
    <t>FN BE9899</t>
  </si>
  <si>
    <t>FN BE9902</t>
  </si>
  <si>
    <t>FN BE9913</t>
  </si>
  <si>
    <t>FN BE9914</t>
  </si>
  <si>
    <t>CA 24%</t>
  </si>
  <si>
    <t>FN BE9915</t>
  </si>
  <si>
    <t>FN BE9919</t>
  </si>
  <si>
    <t>FN BH0466</t>
  </si>
  <si>
    <t>FN BH1876</t>
  </si>
  <si>
    <t>10/01/2017</t>
  </si>
  <si>
    <t>10/01/2032</t>
  </si>
  <si>
    <t>FN BH2055</t>
  </si>
  <si>
    <t>FN BH3263</t>
  </si>
  <si>
    <t>FN BH3464</t>
  </si>
  <si>
    <t>FN BH3466</t>
  </si>
  <si>
    <t>FN BH4077</t>
  </si>
  <si>
    <t>FN BH5365</t>
  </si>
  <si>
    <t>FN BH5506</t>
  </si>
  <si>
    <t>FN BH7512</t>
  </si>
  <si>
    <t>FN BH9029</t>
  </si>
  <si>
    <t>FN BH9031</t>
  </si>
  <si>
    <t>FN BJ0885</t>
  </si>
  <si>
    <t>12/01/2032</t>
  </si>
  <si>
    <t>FN BJ0311</t>
  </si>
  <si>
    <t>FN BJ1250</t>
  </si>
  <si>
    <t>FN BJ1252</t>
  </si>
  <si>
    <t>11/01/2032</t>
  </si>
  <si>
    <t>FN BJ1533</t>
  </si>
  <si>
    <t>FN BJ2711</t>
  </si>
  <si>
    <t>FN BJ4227</t>
  </si>
  <si>
    <t>TX 19%</t>
  </si>
  <si>
    <t>FN BJ4267</t>
  </si>
  <si>
    <t>FN BJ4318</t>
  </si>
  <si>
    <t>FN BJ4776</t>
  </si>
  <si>
    <t>NY 11%</t>
  </si>
  <si>
    <t>FN BJ5003</t>
  </si>
  <si>
    <t>FN BJ6180</t>
  </si>
  <si>
    <t>FN BJ6500</t>
  </si>
  <si>
    <t>01/01/2048</t>
  </si>
  <si>
    <t>FN BJ9256</t>
  </si>
  <si>
    <t>FN BK1790</t>
  </si>
  <si>
    <t>03/01/2048</t>
  </si>
  <si>
    <t>FN BK5084</t>
  </si>
  <si>
    <t>FN BK5238</t>
  </si>
  <si>
    <t>TX 22%</t>
  </si>
  <si>
    <t>FN BK5254</t>
  </si>
  <si>
    <t>FN BK5756</t>
  </si>
  <si>
    <t>FN BK8834</t>
  </si>
  <si>
    <t>FN BM1193</t>
  </si>
  <si>
    <t>FN BM4974</t>
  </si>
  <si>
    <t>11/01/2018</t>
  </si>
  <si>
    <t>FN BN0037</t>
  </si>
  <si>
    <t>WA 100%</t>
  </si>
  <si>
    <t>FN BN3943</t>
  </si>
  <si>
    <t>01/01/2049</t>
  </si>
  <si>
    <t>NY 7%</t>
  </si>
  <si>
    <t>FN CA0878</t>
  </si>
  <si>
    <t>12/01/2047</t>
  </si>
  <si>
    <t>FN CA2154</t>
  </si>
  <si>
    <t>FN CA2206</t>
  </si>
  <si>
    <t>FN CA3490</t>
  </si>
  <si>
    <t>FN 890821</t>
  </si>
  <si>
    <t>31411NPT8</t>
  </si>
  <si>
    <t>FN 912234</t>
  </si>
  <si>
    <t>31412FS38</t>
  </si>
  <si>
    <t>FN 924038</t>
  </si>
  <si>
    <t>06/01/2007</t>
  </si>
  <si>
    <t>05/01/2037</t>
  </si>
  <si>
    <t>31412MJT6</t>
  </si>
  <si>
    <t>FN 929174</t>
  </si>
  <si>
    <t>03/01/2008</t>
  </si>
  <si>
    <t>02/01/2023</t>
  </si>
  <si>
    <t>31413YL74</t>
  </si>
  <si>
    <t>FN 959450</t>
  </si>
  <si>
    <t>31413YPW5</t>
  </si>
  <si>
    <t>FN 959537</t>
  </si>
  <si>
    <t>31415QAQ9</t>
  </si>
  <si>
    <t>FN 985715</t>
  </si>
  <si>
    <t>06/01/2008</t>
  </si>
  <si>
    <t>31416AEY2</t>
  </si>
  <si>
    <t>FN 993951</t>
  </si>
  <si>
    <t>03/01/2009</t>
  </si>
  <si>
    <t>02/01/2039</t>
  </si>
  <si>
    <t>31416BXF0</t>
  </si>
  <si>
    <t>FN 995378</t>
  </si>
  <si>
    <t>01/01/2039</t>
  </si>
  <si>
    <t>FN AB2757</t>
  </si>
  <si>
    <t>03/01/2011</t>
  </si>
  <si>
    <t>04/01/2026</t>
  </si>
  <si>
    <t>31417CRX5</t>
  </si>
  <si>
    <t>FN AB5901</t>
  </si>
  <si>
    <t>08/01/2027</t>
  </si>
  <si>
    <t>31417YPT8</t>
  </si>
  <si>
    <t>FN MA0433</t>
  </si>
  <si>
    <t>FN MA3536</t>
  </si>
  <si>
    <t>FN MA3088</t>
  </si>
  <si>
    <t>FNCT</t>
  </si>
  <si>
    <t>FN MA3186</t>
  </si>
  <si>
    <t>11/01/2037</t>
  </si>
  <si>
    <t>FN MA3216</t>
  </si>
  <si>
    <t>12/01/2037</t>
  </si>
  <si>
    <t>FN MA3244</t>
  </si>
  <si>
    <t>01/01/2038</t>
  </si>
  <si>
    <t>FN MA3313</t>
  </si>
  <si>
    <t>03/01/2033</t>
  </si>
  <si>
    <t>FN MA3615</t>
  </si>
  <si>
    <t>FN MA3639</t>
  </si>
  <si>
    <t>36179NAE8</t>
  </si>
  <si>
    <t>G2 MA0905</t>
  </si>
  <si>
    <t>04/20/2028</t>
  </si>
  <si>
    <t>36179NLQ9</t>
  </si>
  <si>
    <t>G2AF</t>
  </si>
  <si>
    <t>G2 MA1235</t>
  </si>
  <si>
    <t>08/01/2013</t>
  </si>
  <si>
    <t>08/20/2043</t>
  </si>
  <si>
    <t>MBSARMGMNA</t>
  </si>
  <si>
    <t>G2AS</t>
  </si>
  <si>
    <t>G2 MA1859</t>
  </si>
  <si>
    <t>04/01/2014</t>
  </si>
  <si>
    <t>04/20/2044</t>
  </si>
  <si>
    <t>G2JO</t>
  </si>
  <si>
    <t>G2 MA2866</t>
  </si>
  <si>
    <t>06/20/2030</t>
  </si>
  <si>
    <t>G2 MA3851</t>
  </si>
  <si>
    <t>08/20/2031</t>
  </si>
  <si>
    <t>G2 MA4293</t>
  </si>
  <si>
    <t>03/01/2017</t>
  </si>
  <si>
    <t>03/20/2032</t>
  </si>
  <si>
    <t>G2 MA5468</t>
  </si>
  <si>
    <t>09/20/2048</t>
  </si>
  <si>
    <t>36202D2W0</t>
  </si>
  <si>
    <t>G2 3489</t>
  </si>
  <si>
    <t>12/01/2003</t>
  </si>
  <si>
    <t>12/20/2033</t>
  </si>
  <si>
    <t>36202ETJ8</t>
  </si>
  <si>
    <t>G2 4153</t>
  </si>
  <si>
    <t>06/20/2023</t>
  </si>
  <si>
    <t>3620A7ZV0</t>
  </si>
  <si>
    <t>GNSF</t>
  </si>
  <si>
    <t>GN 721756</t>
  </si>
  <si>
    <t>08/01/2010</t>
  </si>
  <si>
    <t>08/15/2040</t>
  </si>
  <si>
    <t>3620A9YX3</t>
  </si>
  <si>
    <t>GN 723526</t>
  </si>
  <si>
    <t>12/01/2009</t>
  </si>
  <si>
    <t>12/15/2039</t>
  </si>
  <si>
    <t>36225BPM4</t>
  </si>
  <si>
    <t>GN 781328</t>
  </si>
  <si>
    <t>09/01/2001</t>
  </si>
  <si>
    <t>09/15/2031</t>
  </si>
  <si>
    <t>36225BUB2</t>
  </si>
  <si>
    <t>GN 781478</t>
  </si>
  <si>
    <t>08/01/2002</t>
  </si>
  <si>
    <t>03/15/2032</t>
  </si>
  <si>
    <t>36241K3U0</t>
  </si>
  <si>
    <t>G2 782611</t>
  </si>
  <si>
    <t>02/20/2039</t>
  </si>
  <si>
    <t>GA 6%</t>
  </si>
  <si>
    <t>36241KKD9</t>
  </si>
  <si>
    <t>GN 782092</t>
  </si>
  <si>
    <t>05/01/2006</t>
  </si>
  <si>
    <t>04/15/2036</t>
  </si>
  <si>
    <t>36241KM62</t>
  </si>
  <si>
    <t>GN 782181</t>
  </si>
  <si>
    <t>08/01/2007</t>
  </si>
  <si>
    <t>09/15/2036</t>
  </si>
  <si>
    <t>PA 7%</t>
  </si>
  <si>
    <t>36241LHJ8</t>
  </si>
  <si>
    <t>GNJO</t>
  </si>
  <si>
    <t>GN 782933</t>
  </si>
  <si>
    <t>10/15/2023</t>
  </si>
  <si>
    <t>36295KSQ7</t>
  </si>
  <si>
    <t>GN 672927</t>
  </si>
  <si>
    <t>08/01/2008</t>
  </si>
  <si>
    <t>08/15/2023</t>
  </si>
  <si>
    <t>36296KK84</t>
  </si>
  <si>
    <t>GN 693419</t>
  </si>
  <si>
    <t>06/15/2023</t>
  </si>
  <si>
    <t>36297FMD1</t>
  </si>
  <si>
    <t>GNMHB</t>
  </si>
  <si>
    <t>GN 710556</t>
  </si>
  <si>
    <t>10/01/2009</t>
  </si>
  <si>
    <t>10/15/2024</t>
  </si>
  <si>
    <t>G2SF 4.5</t>
  </si>
  <si>
    <t>GNR 2017-39 JS</t>
  </si>
  <si>
    <t>03/20/2017</t>
  </si>
  <si>
    <t>03/20/2047</t>
  </si>
  <si>
    <t>IO,INV,NTL,PT</t>
  </si>
  <si>
    <t>MBSIOINVGMNA</t>
  </si>
  <si>
    <t>03/15/2029</t>
  </si>
  <si>
    <t>Towd Point Mortgage Trust</t>
  </si>
  <si>
    <t>10/25/2056</t>
  </si>
  <si>
    <t>01/25/2058</t>
  </si>
  <si>
    <t>AFC,SEQ</t>
  </si>
  <si>
    <t>AAH</t>
  </si>
  <si>
    <t>BBBH</t>
  </si>
  <si>
    <t>04/02/2018</t>
  </si>
  <si>
    <t>03/31/2020</t>
  </si>
  <si>
    <t>9128287F1</t>
  </si>
  <si>
    <t>07/31/2019</t>
  </si>
  <si>
    <t>07/31/2021</t>
  </si>
  <si>
    <t>02/29/2016</t>
  </si>
  <si>
    <t>02/28/2021</t>
  </si>
  <si>
    <t>912828Y95</t>
  </si>
  <si>
    <t>07/31/2026</t>
  </si>
  <si>
    <t>pay aug-Sep mgmt fees</t>
  </si>
  <si>
    <t>NWM UST repo</t>
  </si>
  <si>
    <t>Eastern Elm</t>
  </si>
  <si>
    <t>SECURED</t>
  </si>
  <si>
    <t>Funds</t>
  </si>
  <si>
    <t>Eastern Cypress</t>
  </si>
  <si>
    <t>XS1951177309</t>
  </si>
  <si>
    <t>USG22039AG94</t>
  </si>
  <si>
    <t>EUR pmt</t>
  </si>
  <si>
    <t>mmf dvs</t>
  </si>
  <si>
    <t>OK 17%</t>
  </si>
  <si>
    <t>NY 6%</t>
  </si>
  <si>
    <t>CA 28%</t>
  </si>
  <si>
    <t>Gugg Repo</t>
  </si>
  <si>
    <t>NatWest Treas repo unwind</t>
  </si>
  <si>
    <t>CIFC Funding Ltd</t>
  </si>
  <si>
    <t>01/22/2019</t>
  </si>
  <si>
    <t>10/20/2027</t>
  </si>
  <si>
    <t>US89473LAH78</t>
  </si>
  <si>
    <t>Treman Park CLO Ltd</t>
  </si>
  <si>
    <t>TRMPK 2015-1A ARR</t>
  </si>
  <si>
    <t>11/20/2018</t>
  </si>
  <si>
    <t>10/20/2028</t>
  </si>
  <si>
    <t>CIFC 2015-4X A1R</t>
  </si>
  <si>
    <t>Swing previous mmf dvds to main account</t>
  </si>
  <si>
    <t>550550AC1</t>
  </si>
  <si>
    <t>LUTHER BURBANK CORP</t>
  </si>
  <si>
    <t>09/29/2014</t>
  </si>
  <si>
    <t>09/30/2024</t>
  </si>
  <si>
    <t>ECL</t>
  </si>
  <si>
    <t>Maty Gugg Repos</t>
  </si>
  <si>
    <t>New GUGG Repo</t>
  </si>
  <si>
    <t>SS&amp;C Oct invoice</t>
  </si>
  <si>
    <t>10/01/2019</t>
  </si>
  <si>
    <t>11/01/2049</t>
  </si>
  <si>
    <t>CO 6%</t>
  </si>
  <si>
    <t>Swing redemptions</t>
  </si>
  <si>
    <t>Pay mgmt fees</t>
  </si>
  <si>
    <t>Redemptions</t>
  </si>
  <si>
    <t>05377RDM3</t>
  </si>
  <si>
    <t>Avis Budget Rental Car Funding</t>
  </si>
  <si>
    <t>AESOP 2019-2A B</t>
  </si>
  <si>
    <t>04/23/2019</t>
  </si>
  <si>
    <t>09/22/2025</t>
  </si>
  <si>
    <t>A3</t>
  </si>
  <si>
    <t>Interest on UST bonds</t>
  </si>
  <si>
    <t>GUGG repos maturing</t>
  </si>
  <si>
    <t>New GUGG repo</t>
  </si>
  <si>
    <t>Wire of 9128284L1 coupon to NWM</t>
  </si>
  <si>
    <t xml:space="preserve"> A. FUND POSITION DETAILS</t>
  </si>
  <si>
    <t>Avg Rate</t>
  </si>
  <si>
    <t>Reserves</t>
  </si>
  <si>
    <t xml:space="preserve"> 1 Day Carry Analysis</t>
  </si>
  <si>
    <t>Positions</t>
  </si>
  <si>
    <t>Net Carry</t>
  </si>
  <si>
    <t>RBS</t>
  </si>
  <si>
    <t>Corporate Bonds</t>
  </si>
  <si>
    <t>Repo Agreements/Credit Facilities</t>
  </si>
  <si>
    <t xml:space="preserve">      D. Asset/Liability Allocation</t>
  </si>
  <si>
    <t>abs(MV)</t>
  </si>
  <si>
    <t>FLT_SPREAD</t>
  </si>
  <si>
    <t>EURO MTN</t>
  </si>
  <si>
    <t>DOMESTIC MTN</t>
  </si>
  <si>
    <t>BUNDS</t>
  </si>
  <si>
    <t>US CORPS</t>
  </si>
  <si>
    <t>EURO CORPS</t>
  </si>
  <si>
    <t>USD Corp</t>
  </si>
  <si>
    <t>EUR Corp</t>
  </si>
  <si>
    <t>MM Term Income Master Fund - NW1 Series PORTFOLIO REPORT</t>
  </si>
  <si>
    <t>46644UBC1</t>
  </si>
  <si>
    <t>JPMBB Commercial Mortgage Secu</t>
  </si>
  <si>
    <t>CMBS 4.3</t>
  </si>
  <si>
    <t>JPMBB 2015-C30 XA</t>
  </si>
  <si>
    <t>07/15/2048</t>
  </si>
  <si>
    <t>Aa1</t>
  </si>
  <si>
    <t>46649DAE1</t>
  </si>
  <si>
    <t>JMP Credit Advisors CLO Ltd</t>
  </si>
  <si>
    <t>JMP 2014-1RA C</t>
  </si>
  <si>
    <t>02/20/2018</t>
  </si>
  <si>
    <t>01/17/2028</t>
  </si>
  <si>
    <t>67106AAS8</t>
  </si>
  <si>
    <t>OFSI Fund LTD</t>
  </si>
  <si>
    <t>OFSBS 2014-6A CR</t>
  </si>
  <si>
    <t>03/20/2025</t>
  </si>
  <si>
    <t>Aa3</t>
  </si>
  <si>
    <t>3140HDLH5</t>
  </si>
  <si>
    <t>FN BK0327</t>
  </si>
  <si>
    <t>MI 11%</t>
  </si>
  <si>
    <t>11/01/2019</t>
  </si>
  <si>
    <t>Agncy CMBS</t>
  </si>
  <si>
    <t>CMRCLIOGMNA</t>
  </si>
  <si>
    <t>223622AG6</t>
  </si>
  <si>
    <t>COWEN INC</t>
  </si>
  <si>
    <t>315921AJ5</t>
  </si>
  <si>
    <t>FIDELITY FEDERAL BANCORP</t>
  </si>
  <si>
    <t>10/31/2019</t>
  </si>
  <si>
    <t>FEDNAT HOLDING CO</t>
  </si>
  <si>
    <t>05/06/2019</t>
  </si>
  <si>
    <t>05/06/2024</t>
  </si>
  <si>
    <t>11/01/2029</t>
  </si>
  <si>
    <t>Maturity GUGG Trades</t>
  </si>
  <si>
    <t>New GUGG Trades</t>
  </si>
  <si>
    <t>CLOCRE</t>
  </si>
  <si>
    <t>So Spruce coup</t>
  </si>
  <si>
    <t>Maty UST Repo</t>
  </si>
  <si>
    <t>Maty SoSpruce repo</t>
  </si>
  <si>
    <t>SS&amp;C bill</t>
  </si>
  <si>
    <t>UST reverse</t>
  </si>
  <si>
    <t>SoSpruce repo</t>
  </si>
  <si>
    <t>CA 21%</t>
  </si>
  <si>
    <t>ABSAUTOS</t>
  </si>
  <si>
    <t>FROAT</t>
  </si>
  <si>
    <t>MMT IM BNYM 7/31-10/31</t>
  </si>
  <si>
    <t>MMTBNYM 7/31-10/31</t>
  </si>
  <si>
    <t>RMBSNONQM</t>
  </si>
  <si>
    <t>Early Term NatWest Repo</t>
  </si>
  <si>
    <t>return to BNYM of interest received in error.</t>
  </si>
  <si>
    <t>Maty all GUGG trades</t>
  </si>
  <si>
    <t>New GUGG trade</t>
  </si>
  <si>
    <t>03464VAA2</t>
  </si>
  <si>
    <t>AOMT 2019-6 A1</t>
  </si>
  <si>
    <t>11/25/2059</t>
  </si>
  <si>
    <t>03464VAB0</t>
  </si>
  <si>
    <t>AOMT 2019-6 A2</t>
  </si>
  <si>
    <t>03464VAC8</t>
  </si>
  <si>
    <t>AOMT 2019-6 A3</t>
  </si>
  <si>
    <t>Net Invest Amount</t>
  </si>
  <si>
    <t>30312UAA1</t>
  </si>
  <si>
    <t>FS Rialto 2019-FL1 Issuer, Ltd</t>
  </si>
  <si>
    <t>CF-CDO-CRE</t>
  </si>
  <si>
    <t>FSRIA 2019-FL1 A</t>
  </si>
  <si>
    <t>12/16/2036</t>
  </si>
  <si>
    <t>FLT,STEP</t>
  </si>
  <si>
    <t>12/05/2019</t>
  </si>
  <si>
    <t>PACIFIC FIR</t>
  </si>
  <si>
    <t>MAIN FUND - Pacific Fir</t>
  </si>
  <si>
    <t>Upfront from NatWest on Pacific Fir</t>
  </si>
  <si>
    <t>Swing upfront payment to Lucid for Pacific Fir</t>
  </si>
  <si>
    <t>Fanniemae Strip</t>
  </si>
  <si>
    <t>Mourant Ozannes</t>
  </si>
  <si>
    <t>Mourant Governance</t>
  </si>
  <si>
    <t>XS2091648928</t>
  </si>
  <si>
    <t>Pacific Fir</t>
  </si>
  <si>
    <t>XS2091648928 Change</t>
  </si>
  <si>
    <t>repo on XS2091648928 with NatWest</t>
  </si>
  <si>
    <t>Reverse Repo on 9128284L1 with NatWest</t>
  </si>
  <si>
    <t>Opening leg repo 9128284L1 with GUGG</t>
  </si>
  <si>
    <t>89679EAB8</t>
  </si>
  <si>
    <t>TRIUMPH BANCORP INC</t>
  </si>
  <si>
    <t>11/27/2019</t>
  </si>
  <si>
    <t>11/27/2029</t>
  </si>
  <si>
    <t>Maty GUG repos</t>
  </si>
  <si>
    <t>Maty NatWeest USD Repos</t>
  </si>
  <si>
    <t>Maty NatWest EUR Repos</t>
  </si>
  <si>
    <t>EElm coupons</t>
  </si>
  <si>
    <t>SSpruce coupons</t>
  </si>
  <si>
    <t>ECypress coupons</t>
  </si>
  <si>
    <t>EElm Facility Fees</t>
  </si>
  <si>
    <t>SSpruce Facility Fees</t>
  </si>
  <si>
    <t>ECypress Facility Fees</t>
  </si>
  <si>
    <t>MMT Fund</t>
  </si>
  <si>
    <t>GUGG repo</t>
  </si>
  <si>
    <t>GUGG repo- new money</t>
  </si>
  <si>
    <t>New NatWest EUR repos</t>
  </si>
  <si>
    <t>SS&amp;C December invoice</t>
  </si>
  <si>
    <t>pay mgmt fees and setup fees</t>
  </si>
  <si>
    <t>12/10/2019</t>
  </si>
  <si>
    <t>pay mgmt fee Invoice 110</t>
  </si>
  <si>
    <t>swing</t>
  </si>
  <si>
    <t>EASTCYPRESS1 repo and Bund Repos</t>
  </si>
  <si>
    <t>SOSPRUCE2</t>
  </si>
  <si>
    <t>SOSPRUCE2 repo</t>
  </si>
  <si>
    <t>TX 18%</t>
  </si>
  <si>
    <t>TN 7%</t>
  </si>
  <si>
    <t>MEZ,AFC</t>
  </si>
  <si>
    <t>Freddie Mac - STACR</t>
  </si>
  <si>
    <t>3137G0FJ3</t>
  </si>
  <si>
    <t>WH30 3.7</t>
  </si>
  <si>
    <t>STACR 2015-HQ2 M3</t>
  </si>
  <si>
    <t>06/09/2015</t>
  </si>
  <si>
    <t>05/25/2025</t>
  </si>
  <si>
    <t>Baa1</t>
  </si>
  <si>
    <t>RMBSCRT</t>
  </si>
  <si>
    <t>Correction for cashflow on row 260, which was entered in wrong acct here</t>
  </si>
  <si>
    <t>SS&amp;C Jan bill</t>
  </si>
  <si>
    <t>Fannie Mae - CAS</t>
  </si>
  <si>
    <t>WH30 3.8</t>
  </si>
  <si>
    <t>CHECK SETTLEMENT</t>
  </si>
  <si>
    <t>XS1951177309 Repo with NatWest</t>
  </si>
  <si>
    <t>912828R36 reverse with NatWest</t>
  </si>
  <si>
    <t>912828R36 repo with Gugg</t>
  </si>
  <si>
    <t>KPMG 2019 bill</t>
  </si>
  <si>
    <t>05368JAC7</t>
  </si>
  <si>
    <t>AVIDBANK HOLDINGS INC</t>
  </si>
  <si>
    <t>12/20/2019</t>
  </si>
  <si>
    <t>12/30/2029</t>
  </si>
  <si>
    <t>BAR HARBOR BANKSHARES</t>
  </si>
  <si>
    <t>12/01/2029</t>
  </si>
  <si>
    <t>FL 5%</t>
  </si>
  <si>
    <t>BNYM Nov-Jan for MMT IM Fund</t>
  </si>
  <si>
    <t>BNYM Nov-Jan for MMT Fund</t>
  </si>
  <si>
    <t>SS&amp;C Feb bill</t>
  </si>
  <si>
    <t>31431BAC3</t>
  </si>
  <si>
    <t>03/04/2020</t>
  </si>
  <si>
    <t>repo on UST NatWest</t>
  </si>
  <si>
    <t>repo on UST GUGG</t>
  </si>
  <si>
    <t>pay mgmt fees 12/31/19-3/11/20</t>
  </si>
  <si>
    <t>03/01/2020</t>
  </si>
  <si>
    <t>Maturity of Gugg repos</t>
  </si>
  <si>
    <t>Maturity NWM USD repos</t>
  </si>
  <si>
    <t>Maturity NWM USD reverses</t>
  </si>
  <si>
    <t>Maturity NWM EUR repos</t>
  </si>
  <si>
    <t>PFir Facility Fees</t>
  </si>
  <si>
    <t>ECypr Facility Fees</t>
  </si>
  <si>
    <t>USD Repos with NWM</t>
  </si>
  <si>
    <t>EUR repos with NWM</t>
  </si>
  <si>
    <t>pay mgmt fees 3/11-3/16</t>
  </si>
  <si>
    <t>NatWest Fir repo</t>
  </si>
  <si>
    <t>066849AC4</t>
  </si>
  <si>
    <t>04/03/2020</t>
  </si>
  <si>
    <t>09629PAC0</t>
  </si>
  <si>
    <t>10/15/2026</t>
  </si>
  <si>
    <t>CA 10%</t>
  </si>
  <si>
    <t>3137G0CU1</t>
  </si>
  <si>
    <t>STACR 2014-DN4 M3</t>
  </si>
  <si>
    <t>10/28/2014</t>
  </si>
  <si>
    <t>10/25/2024</t>
  </si>
  <si>
    <t>3137G0HW2</t>
  </si>
  <si>
    <t>WH30 4.0</t>
  </si>
  <si>
    <t>STACR 2016-DNA1 M3</t>
  </si>
  <si>
    <t>01/21/2016</t>
  </si>
  <si>
    <t>07/25/2028</t>
  </si>
  <si>
    <t>3138XBF66</t>
  </si>
  <si>
    <t>FN AV0188</t>
  </si>
  <si>
    <t>10/01/2013</t>
  </si>
  <si>
    <t>10/01/2043</t>
  </si>
  <si>
    <t>3140HFP86</t>
  </si>
  <si>
    <t>FN BK2246</t>
  </si>
  <si>
    <t>04/01/2050</t>
  </si>
  <si>
    <t>3140HFQ28</t>
  </si>
  <si>
    <t>FN BK2272</t>
  </si>
  <si>
    <t>3140HFQQ5</t>
  </si>
  <si>
    <t>FN BK2262</t>
  </si>
  <si>
    <t>02/01/2020</t>
  </si>
  <si>
    <t>IL 9%</t>
  </si>
  <si>
    <t>31418CQB3</t>
  </si>
  <si>
    <t>FN MA3149</t>
  </si>
  <si>
    <t>A *-</t>
  </si>
  <si>
    <t>FL 18%</t>
  </si>
  <si>
    <t>G2RF</t>
  </si>
  <si>
    <t>36179ADN3</t>
  </si>
  <si>
    <t>G2 AC1009</t>
  </si>
  <si>
    <t>12/01/2013</t>
  </si>
  <si>
    <t>12/20/2063</t>
  </si>
  <si>
    <t>36179TLS2</t>
  </si>
  <si>
    <t>G2 MA4837</t>
  </si>
  <si>
    <t>11/20/2047</t>
  </si>
  <si>
    <t>3617JKK77</t>
  </si>
  <si>
    <t>3617JYB51</t>
  </si>
  <si>
    <t>36180SST2</t>
  </si>
  <si>
    <t>G2 AE0530</t>
  </si>
  <si>
    <t>12/01/2014</t>
  </si>
  <si>
    <t>11/20/2064</t>
  </si>
  <si>
    <t>PA 10%</t>
  </si>
  <si>
    <t>10/01/2014</t>
  </si>
  <si>
    <t>36181PDZ9</t>
  </si>
  <si>
    <t>G2 AF7320</t>
  </si>
  <si>
    <t>11/20/2063</t>
  </si>
  <si>
    <t>36182HEM4</t>
  </si>
  <si>
    <t>G2 AH1040</t>
  </si>
  <si>
    <t>04/01/2015</t>
  </si>
  <si>
    <t>03/20/2065</t>
  </si>
  <si>
    <t>36182HRB4</t>
  </si>
  <si>
    <t>G2 AH1382</t>
  </si>
  <si>
    <t>01/20/2065</t>
  </si>
  <si>
    <t>36183SWF4</t>
  </si>
  <si>
    <t>G2 AK8746</t>
  </si>
  <si>
    <t>36194HJ29</t>
  </si>
  <si>
    <t>GN AT8381</t>
  </si>
  <si>
    <t>11/15/2046</t>
  </si>
  <si>
    <t>36230KSA0</t>
  </si>
  <si>
    <t>G2 751413</t>
  </si>
  <si>
    <t>08/01/2011</t>
  </si>
  <si>
    <t>07/20/2061</t>
  </si>
  <si>
    <t>36361UAE0</t>
  </si>
  <si>
    <t>46616AAW6</t>
  </si>
  <si>
    <t>JFIN CLO Ltd</t>
  </si>
  <si>
    <t>JFIN 2012-1A CR</t>
  </si>
  <si>
    <t>08/17/2018</t>
  </si>
  <si>
    <t>07/20/2028</t>
  </si>
  <si>
    <t>47047MAS6</t>
  </si>
  <si>
    <t>Jamestown CLO Ltd</t>
  </si>
  <si>
    <t>JTWN 2013-2A CR</t>
  </si>
  <si>
    <t>04/10/2018</t>
  </si>
  <si>
    <t>04/22/2030</t>
  </si>
  <si>
    <t>48273LAD4</t>
  </si>
  <si>
    <t>05/29/2014</t>
  </si>
  <si>
    <t>59801QAQ2</t>
  </si>
  <si>
    <t>MidOcean Credit CLO</t>
  </si>
  <si>
    <t>MIDO 2015-4A DR</t>
  </si>
  <si>
    <t>87970UBA3</t>
  </si>
  <si>
    <t>TELOS 2014-6A CR</t>
  </si>
  <si>
    <t>01/17/2027</t>
  </si>
  <si>
    <t>March and April SS&amp;C</t>
  </si>
  <si>
    <t>Correction of previous error</t>
  </si>
  <si>
    <t>KPMG 2019 2nd bill</t>
  </si>
  <si>
    <t>XS2091648928 Repo</t>
  </si>
  <si>
    <t>SUB,FLT</t>
  </si>
  <si>
    <t>02665UAC9</t>
  </si>
  <si>
    <t>American Homes 4 Rent</t>
  </si>
  <si>
    <t>AH4R 2014-SFR2 C</t>
  </si>
  <si>
    <t>09/19/2014</t>
  </si>
  <si>
    <t>10/17/2036</t>
  </si>
  <si>
    <t>07/25/2024</t>
  </si>
  <si>
    <t>Swing MMF dvds</t>
  </si>
  <si>
    <t>12625UAG8</t>
  </si>
  <si>
    <t>COMM Mortgage Trust</t>
  </si>
  <si>
    <t>CMBS 4.2</t>
  </si>
  <si>
    <t>COMM 2013-CR9 C</t>
  </si>
  <si>
    <t>07/10/2045</t>
  </si>
  <si>
    <t>SUB,CSTR</t>
  </si>
  <si>
    <t>571183AG7</t>
  </si>
  <si>
    <t>61691DAA5</t>
  </si>
  <si>
    <t>Morgan Stanley Capital I Trust</t>
  </si>
  <si>
    <t>MSC 2018-MP A</t>
  </si>
  <si>
    <t>07/11/2040</t>
  </si>
  <si>
    <t>CSTR</t>
  </si>
  <si>
    <t>02666BAC0</t>
  </si>
  <si>
    <t>AH4R 2015-SFR2 C</t>
  </si>
  <si>
    <t>10/17/2052</t>
  </si>
  <si>
    <t>09/22/2015</t>
  </si>
  <si>
    <t>CMBSCOND</t>
  </si>
  <si>
    <t>3138AJSZ6</t>
  </si>
  <si>
    <t>FN AI5035</t>
  </si>
  <si>
    <t>06/01/2011</t>
  </si>
  <si>
    <t>06/01/2041</t>
  </si>
  <si>
    <t>31410FRW7</t>
  </si>
  <si>
    <t>FN 888001</t>
  </si>
  <si>
    <t>3617J5VG8</t>
  </si>
  <si>
    <t>CA 29%</t>
  </si>
  <si>
    <t>589962CN7</t>
  </si>
  <si>
    <t>Merit Securities Corporation</t>
  </si>
  <si>
    <t>MANUF8.5</t>
  </si>
  <si>
    <t>MESC 12-1 1M1</t>
  </si>
  <si>
    <t>03/01/1999</t>
  </si>
  <si>
    <t>07/28/2033</t>
  </si>
  <si>
    <t>MEZ,STEP</t>
  </si>
  <si>
    <t>Baa3</t>
  </si>
  <si>
    <t>33851HBB8</t>
  </si>
  <si>
    <t>Flagstar Mortgage Trust</t>
  </si>
  <si>
    <t>WH30 4.1</t>
  </si>
  <si>
    <t>FSMT 2018-2 B3</t>
  </si>
  <si>
    <t>SUB,CSTR,NAS</t>
  </si>
  <si>
    <t>11/25/2048</t>
  </si>
  <si>
    <t>SUB,W</t>
  </si>
  <si>
    <t>Swing expense</t>
  </si>
  <si>
    <t>04/25/2048</t>
  </si>
  <si>
    <t>term So Spruce Repo</t>
  </si>
  <si>
    <t>New So Spruce Repo</t>
  </si>
  <si>
    <t>00842DAU7</t>
  </si>
  <si>
    <t>ABMT 2015-6 B3</t>
  </si>
  <si>
    <t>09/01/2015</t>
  </si>
  <si>
    <t>09/25/2045</t>
  </si>
  <si>
    <t>12554CCD8</t>
  </si>
  <si>
    <t>CIM Trust</t>
  </si>
  <si>
    <t>CIM 2018-J1 B3</t>
  </si>
  <si>
    <t>03/25/2048</t>
  </si>
  <si>
    <t>CMBSNA</t>
  </si>
  <si>
    <t>WH30 4.6</t>
  </si>
  <si>
    <t>585499BS4</t>
  </si>
  <si>
    <t>Mello Mortgage Capital Accepta</t>
  </si>
  <si>
    <t>MELLO 2018-MTG2 B3</t>
  </si>
  <si>
    <t>10/01/2018</t>
  </si>
  <si>
    <t>10/25/2048</t>
  </si>
  <si>
    <t>81748MCD8</t>
  </si>
  <si>
    <t>Sequoia Mortgage Trust</t>
  </si>
  <si>
    <t>SEMT 2020-1 B3</t>
  </si>
  <si>
    <t>01/01/2020</t>
  </si>
  <si>
    <t>02/25/2050</t>
  </si>
  <si>
    <t>82809FAA5</t>
  </si>
  <si>
    <t>SILVER QUEEN FIN SERV</t>
  </si>
  <si>
    <t>11/29/2017</t>
  </si>
  <si>
    <t>12/01/2027</t>
  </si>
  <si>
    <t>88632ACD8</t>
  </si>
  <si>
    <t>TIAA Bank Mortgage Loan Trust</t>
  </si>
  <si>
    <t>TBMLT 2018-3 B3</t>
  </si>
  <si>
    <t>IL 7%</t>
  </si>
  <si>
    <t>WAMU Mortgage Pass-Through Cer</t>
  </si>
  <si>
    <t>06/06/2019</t>
  </si>
  <si>
    <t>AMHERST PIERPONT SECURITIES LLC USD</t>
  </si>
  <si>
    <t>APS repo Trades</t>
  </si>
  <si>
    <t>NWM repo trades</t>
  </si>
  <si>
    <t>WD</t>
  </si>
  <si>
    <t>12325JAF8</t>
  </si>
  <si>
    <t>BUSINESS DEVELOPMENT COR</t>
  </si>
  <si>
    <t>12/15/2024</t>
  </si>
  <si>
    <t>92922FBV9</t>
  </si>
  <si>
    <t>WAMU 2003-AR9 1A6</t>
  </si>
  <si>
    <t>MR,CSTR,AS</t>
  </si>
  <si>
    <t>TNOTE</t>
  </si>
  <si>
    <t>08/01/2003</t>
  </si>
  <si>
    <t>09/25/2033</t>
  </si>
  <si>
    <t>New Residential Mortgage Loan</t>
  </si>
  <si>
    <t>MI 6%</t>
  </si>
  <si>
    <t>Pmt BNYM MMT Jan-Apr</t>
  </si>
  <si>
    <t>61691UBK4</t>
  </si>
  <si>
    <t>12655GAJ6</t>
  </si>
  <si>
    <t>Pmt BNYM MMT IM Jan-Apr</t>
  </si>
  <si>
    <t>Credit Suisse Mortgage Trust</t>
  </si>
  <si>
    <t>01/15/2034</t>
  </si>
  <si>
    <t>02/15/2036</t>
  </si>
  <si>
    <t>CMBS 3.7</t>
  </si>
  <si>
    <t>MSC 2019-L3 C</t>
  </si>
  <si>
    <t>11/15/2052</t>
  </si>
  <si>
    <t>46591VBX6</t>
  </si>
  <si>
    <t>JP Morgan Mortgage Trust</t>
  </si>
  <si>
    <t>JPMMT 2020-INV1 B3A</t>
  </si>
  <si>
    <t>BBBL</t>
  </si>
  <si>
    <t>SLM Student Loan Trust</t>
  </si>
  <si>
    <t>36259BAJ6</t>
  </si>
  <si>
    <t>GPMT Ltd.</t>
  </si>
  <si>
    <t>GPMT 2019-FL2 D</t>
  </si>
  <si>
    <t>APS Margin</t>
  </si>
  <si>
    <t>02/28/2019</t>
  </si>
  <si>
    <t>02/22/2036</t>
  </si>
  <si>
    <t>08/25/2050</t>
  </si>
  <si>
    <t>SUB,FLT,STEP</t>
  </si>
  <si>
    <t>78443CCL6</t>
  </si>
  <si>
    <t>SLMA 2006-A A5</t>
  </si>
  <si>
    <t>Maty APS USD repos</t>
  </si>
  <si>
    <t>Maty NWM USD repos</t>
  </si>
  <si>
    <t>Maty NWM EUR repos</t>
  </si>
  <si>
    <t>Elm coups</t>
  </si>
  <si>
    <t>Spruce coups</t>
  </si>
  <si>
    <t>Fir coups</t>
  </si>
  <si>
    <t>Cypress coups</t>
  </si>
  <si>
    <t>Elm Facility Fees 1</t>
  </si>
  <si>
    <t>Spruce Facility fees</t>
  </si>
  <si>
    <t>Fir Facility Fees</t>
  </si>
  <si>
    <t>Cypress Facility Fees</t>
  </si>
  <si>
    <t>APS Repo start</t>
  </si>
  <si>
    <t>NWM repo USD trades</t>
  </si>
  <si>
    <t>NWM repo EUR trades</t>
  </si>
  <si>
    <t>Pair Offs</t>
  </si>
  <si>
    <t>APS</t>
  </si>
  <si>
    <t>NWM USD (includes bond coups)</t>
  </si>
  <si>
    <t>Theor</t>
  </si>
  <si>
    <t>Received</t>
  </si>
  <si>
    <t>NWM adjustment pairoff</t>
  </si>
  <si>
    <t>swing susciption</t>
  </si>
  <si>
    <t>Return APS Margin</t>
  </si>
  <si>
    <t>Swing fees</t>
  </si>
  <si>
    <t>04/06/2006</t>
  </si>
  <si>
    <t>06/15/2039</t>
  </si>
  <si>
    <t>12635HAF7</t>
  </si>
  <si>
    <t>COMM 2014-FL5 D</t>
  </si>
  <si>
    <t>12/04/2014</t>
  </si>
  <si>
    <t>10/15/2031</t>
  </si>
  <si>
    <t>SUB,FLT,AFC</t>
  </si>
  <si>
    <t>316041CP5</t>
  </si>
  <si>
    <t>FIDELITY BANK ATLANTA</t>
  </si>
  <si>
    <t>05/29/2015</t>
  </si>
  <si>
    <t>05/31/2030</t>
  </si>
  <si>
    <t>05/01/2020</t>
  </si>
  <si>
    <t>19688JAD9</t>
  </si>
  <si>
    <t>COLT Funding LLC</t>
  </si>
  <si>
    <t>COLT 2020-2 M1</t>
  </si>
  <si>
    <t>03/25/2065</t>
  </si>
  <si>
    <t>BBB *-</t>
  </si>
  <si>
    <t>06/01/2019</t>
  </si>
  <si>
    <t>92537TAF2</t>
  </si>
  <si>
    <t>Verus Securitization Trust</t>
  </si>
  <si>
    <t>VERUS 2020-INV1 M1</t>
  </si>
  <si>
    <t>MEZ,AFC,SEQ</t>
  </si>
  <si>
    <t>CA 50%</t>
  </si>
  <si>
    <t>NY 12%</t>
  </si>
  <si>
    <t>OH 11%</t>
  </si>
  <si>
    <t>Ellington CLO LTD</t>
  </si>
  <si>
    <t>APS margin</t>
  </si>
  <si>
    <t>VA 8%</t>
  </si>
  <si>
    <t>03464XAL4</t>
  </si>
  <si>
    <t>AOMT 2020-2 A1A</t>
  </si>
  <si>
    <t>AFC,SSNR</t>
  </si>
  <si>
    <t>03464XAM2</t>
  </si>
  <si>
    <t>AOMT 2020-2 A1B</t>
  </si>
  <si>
    <t>AFC,SSUP</t>
  </si>
  <si>
    <t>03464XAD2</t>
  </si>
  <si>
    <t>AOMT 2020-2 M1</t>
  </si>
  <si>
    <t>G2SF   3</t>
  </si>
  <si>
    <t>01/26/2065</t>
  </si>
  <si>
    <t>07/01/2020</t>
  </si>
  <si>
    <t>Maty APS repos</t>
  </si>
  <si>
    <t>New APS repos</t>
  </si>
  <si>
    <t>SS&amp;C July Bill</t>
  </si>
  <si>
    <t>03464XAC4</t>
  </si>
  <si>
    <t>03464XAB6</t>
  </si>
  <si>
    <t>05990KAC0</t>
  </si>
  <si>
    <t>BANC OF CALIFORNIA INC</t>
  </si>
  <si>
    <t>04/06/2015</t>
  </si>
  <si>
    <t>36255CAJ8</t>
  </si>
  <si>
    <t>05/09/2018</t>
  </si>
  <si>
    <t>11/21/2035</t>
  </si>
  <si>
    <t>MEZ,FLT,STEP,CMPLX</t>
  </si>
  <si>
    <t>PA 5%</t>
  </si>
  <si>
    <t>67740QAG1</t>
  </si>
  <si>
    <t>OHIO NAT FINANCIAL SRVS</t>
  </si>
  <si>
    <t>04/25/2011</t>
  </si>
  <si>
    <t>05/01/2031</t>
  </si>
  <si>
    <t>69346WAL1</t>
  </si>
  <si>
    <t>PFP III</t>
  </si>
  <si>
    <t>PFP 2019-6 E</t>
  </si>
  <si>
    <t>04/14/2037</t>
  </si>
  <si>
    <t>VMC Finance LLC</t>
  </si>
  <si>
    <t>10/03/2019</t>
  </si>
  <si>
    <t>07/20/2020</t>
  </si>
  <si>
    <t>Term open APS repo</t>
  </si>
  <si>
    <t>NWM reverse</t>
  </si>
  <si>
    <t>APS repo</t>
  </si>
  <si>
    <t>CA 45%</t>
  </si>
  <si>
    <t>66661NAE0</t>
  </si>
  <si>
    <t>NORTHPOINTE BANCSHARES I</t>
  </si>
  <si>
    <t>06/30/2030</t>
  </si>
  <si>
    <t>07/17/2034</t>
  </si>
  <si>
    <t>09/09/2019</t>
  </si>
  <si>
    <t>09/30/2029</t>
  </si>
  <si>
    <t>63544JAC3</t>
  </si>
  <si>
    <t>National Collegiate Trust</t>
  </si>
  <si>
    <t>STUDNT 0</t>
  </si>
  <si>
    <t>NCT 2006-A B</t>
  </si>
  <si>
    <t>06/08/2006</t>
  </si>
  <si>
    <t>09/25/2031</t>
  </si>
  <si>
    <t>AH</t>
  </si>
  <si>
    <t>Maturity APS repos</t>
  </si>
  <si>
    <t>New APS trepos</t>
  </si>
  <si>
    <t>Erroneous Cash from BNYM on 912828YB0</t>
  </si>
  <si>
    <t>Coupons received on 912828YB0</t>
  </si>
  <si>
    <t>252722AB9</t>
  </si>
  <si>
    <t>Diamond Resorts Owner Trust</t>
  </si>
  <si>
    <t>ASSE14.5</t>
  </si>
  <si>
    <t>DROT 2019-1A B</t>
  </si>
  <si>
    <t>08/20/2019</t>
  </si>
  <si>
    <t>02/20/2032</t>
  </si>
  <si>
    <t>09/15/2014</t>
  </si>
  <si>
    <t>Sonic Capital LLC</t>
  </si>
  <si>
    <t>ASSET</t>
  </si>
  <si>
    <t>01/22/2020</t>
  </si>
  <si>
    <t>01/20/2050</t>
  </si>
  <si>
    <t>83546DAJ7</t>
  </si>
  <si>
    <t>SONIC 2020-1A A2II</t>
  </si>
  <si>
    <t>Payment of coupons to NWM</t>
  </si>
  <si>
    <t>SS&amp;C Aug bill</t>
  </si>
  <si>
    <t>SS&amp;C 2019 FS</t>
  </si>
  <si>
    <t xml:space="preserve">reclaim of Interest on 912828YB0 </t>
  </si>
  <si>
    <t>03/25/2060</t>
  </si>
  <si>
    <t>87969DAS6</t>
  </si>
  <si>
    <t>TELOS 2013-3A DR</t>
  </si>
  <si>
    <t>08/10/2017</t>
  </si>
  <si>
    <t>07/17/2026</t>
  </si>
  <si>
    <t>35565MAH7</t>
  </si>
  <si>
    <t>EXCH,FLT</t>
  </si>
  <si>
    <t>46591LBT7</t>
  </si>
  <si>
    <t>JPMMT 2019-INV3 B2</t>
  </si>
  <si>
    <t>12/01/2019</t>
  </si>
  <si>
    <t>05/25/2050</t>
  </si>
  <si>
    <t>EXCH,SUB,CSTR</t>
  </si>
  <si>
    <t>67097XAH3</t>
  </si>
  <si>
    <t>Onslow Bay Financial LLC</t>
  </si>
  <si>
    <t>WH30 4.8</t>
  </si>
  <si>
    <t>OBX 2018-EXP2 1A9</t>
  </si>
  <si>
    <t>07/25/2058</t>
  </si>
  <si>
    <t>EXCH,AFC,SSNR</t>
  </si>
  <si>
    <t>67097XAY6</t>
  </si>
  <si>
    <t>OBX 2018-EXP2 B1A</t>
  </si>
  <si>
    <t>EXCH,SUB,W</t>
  </si>
  <si>
    <t>67113ABV1</t>
  </si>
  <si>
    <t>OBX 2019-EXP3 B22A</t>
  </si>
  <si>
    <t>10/25/2059</t>
  </si>
  <si>
    <t>843395AB0</t>
  </si>
  <si>
    <t>05969AAA3</t>
  </si>
  <si>
    <t>09/01/2030</t>
  </si>
  <si>
    <t>BANCORP BANK</t>
  </si>
  <si>
    <t>08/13/2020</t>
  </si>
  <si>
    <t>08/15/2025</t>
  </si>
  <si>
    <t>CA 38%</t>
  </si>
  <si>
    <t>08/25/2020</t>
  </si>
  <si>
    <t>APS UST repo</t>
  </si>
  <si>
    <t>NWM UST revrepo</t>
  </si>
  <si>
    <t>return APS margin</t>
  </si>
  <si>
    <t>64830UAA3</t>
  </si>
  <si>
    <t>NRZT 2020-NQM2 A1</t>
  </si>
  <si>
    <t>06/01/2020</t>
  </si>
  <si>
    <t>05/24/2060</t>
  </si>
  <si>
    <t>NJ 7%</t>
  </si>
  <si>
    <t>04/25/2019</t>
  </si>
  <si>
    <t>67097XBC3</t>
  </si>
  <si>
    <t>OBX 2018-EXP2 B3</t>
  </si>
  <si>
    <t>67113ABP4</t>
  </si>
  <si>
    <t>OBX 2019-EXP3 B3</t>
  </si>
  <si>
    <t>12553XAX1</t>
  </si>
  <si>
    <t>CIM 2018-INV1 B1</t>
  </si>
  <si>
    <t>12553XAY9</t>
  </si>
  <si>
    <t>CIM 2018-INV1 B2</t>
  </si>
  <si>
    <t>67097XBB5</t>
  </si>
  <si>
    <t>OBX 2018-EXP2 B2A</t>
  </si>
  <si>
    <t>08/25/2048</t>
  </si>
  <si>
    <t>Maty ELM UST reverse</t>
  </si>
  <si>
    <t>Maty Spruce UST reverse</t>
  </si>
  <si>
    <t>Maty FIR UST reverse</t>
  </si>
  <si>
    <t>Maty ELM upsize UST reverse</t>
  </si>
  <si>
    <t>Maty ELM repo</t>
  </si>
  <si>
    <t>Maty Spruce repo</t>
  </si>
  <si>
    <t>Maty FIR repo</t>
  </si>
  <si>
    <t>Maty ELM upsize repo</t>
  </si>
  <si>
    <t>EElm Facility Fees 1</t>
  </si>
  <si>
    <t>EElm Facility Fees 2</t>
  </si>
  <si>
    <t>New NWM EUR Repos</t>
  </si>
  <si>
    <t>APS Repo 26879</t>
  </si>
  <si>
    <t>APS Repo 26878</t>
  </si>
  <si>
    <t>margin return APS</t>
  </si>
  <si>
    <t>Interest received in error on EELM</t>
  </si>
  <si>
    <t>Diff between NWM and IMR inte</t>
  </si>
  <si>
    <t>10/16/2017</t>
  </si>
  <si>
    <t>912828YB0 interest correcttion</t>
  </si>
  <si>
    <t>reversal of interest on EELM note</t>
  </si>
  <si>
    <t>MTG_PREV_FACTOR</t>
  </si>
  <si>
    <t>MTG_RECORD_DT</t>
  </si>
  <si>
    <t>MTG_FACTOR_PAY_DT</t>
  </si>
  <si>
    <t>MTG_NXT_PAY_DT_SET_DT</t>
  </si>
  <si>
    <t>Unwind of APS open repo</t>
  </si>
  <si>
    <t>03789XAD0</t>
  </si>
  <si>
    <t>09/01/2020</t>
  </si>
  <si>
    <t>33767UAA5</t>
  </si>
  <si>
    <t>FIRSTSUN CAPITAL BCORP</t>
  </si>
  <si>
    <t>06/26/2020</t>
  </si>
  <si>
    <t>07/01/2030</t>
  </si>
  <si>
    <t>56607VAA8</t>
  </si>
  <si>
    <t>MARBLE PT LOAN FIN/MPLF</t>
  </si>
  <si>
    <t>11/16/2018</t>
  </si>
  <si>
    <t>11/16/2025</t>
  </si>
  <si>
    <t>CA 58%</t>
  </si>
  <si>
    <t>AZ 8%</t>
  </si>
  <si>
    <t>Pay mgmt fee # 115</t>
  </si>
  <si>
    <t>Custody invoice MM Term IM</t>
  </si>
  <si>
    <t>Custody invoice MM Term</t>
  </si>
  <si>
    <t>TPG Real Estate Finance</t>
  </si>
  <si>
    <t>10/25/2019</t>
  </si>
  <si>
    <t>10/15/2034</t>
  </si>
  <si>
    <t>29460XAC3</t>
  </si>
  <si>
    <t>Pay Oct SS&amp;C</t>
  </si>
  <si>
    <t>NY 13%</t>
  </si>
  <si>
    <t>EQUITY BANCSHARES INC</t>
  </si>
  <si>
    <t>09/30/2020</t>
  </si>
  <si>
    <t>AR 19%</t>
  </si>
  <si>
    <t>53946MAJ6</t>
  </si>
  <si>
    <t>LoanCore 2018-CRE1 Issuer, Ltd</t>
  </si>
  <si>
    <t>LNCR 2018-CRE1 D</t>
  </si>
  <si>
    <t>06/05/2018</t>
  </si>
  <si>
    <t>05/15/2028</t>
  </si>
  <si>
    <t>NLY Commercial Mortgage Trust</t>
  </si>
  <si>
    <t>AL</t>
  </si>
  <si>
    <t>USG4038CAE42</t>
  </si>
  <si>
    <t>476681AA9</t>
  </si>
  <si>
    <t>APS repo maturity</t>
  </si>
  <si>
    <t>APS repo new trade</t>
  </si>
  <si>
    <t>WH30 5.5</t>
  </si>
  <si>
    <t>61033WAN2</t>
  </si>
  <si>
    <t>Monroe Capital MML CLO</t>
  </si>
  <si>
    <t>MCMML 2019-2A D</t>
  </si>
  <si>
    <t>11/13/2019</t>
  </si>
  <si>
    <t>10/22/2031</t>
  </si>
  <si>
    <t>57109DAD3</t>
  </si>
  <si>
    <t>Marlette Funding Trust</t>
  </si>
  <si>
    <t>MFT 2017-3A D</t>
  </si>
  <si>
    <t>10/24/2017</t>
  </si>
  <si>
    <t>Interest on 9128284L1 treceived in error</t>
  </si>
  <si>
    <t>Pay SS&amp;C Oct bill</t>
  </si>
  <si>
    <t>reversal of Interest on 9128284L1 treceived in error</t>
  </si>
  <si>
    <t>CMBS 4.9</t>
  </si>
  <si>
    <t>3136B5TE5</t>
  </si>
  <si>
    <t>FNCL   5</t>
  </si>
  <si>
    <t>FNR 2019-41 IK</t>
  </si>
  <si>
    <t>3136ALCJ8</t>
  </si>
  <si>
    <t>FNR 2014-63 SL</t>
  </si>
  <si>
    <t>10/25/2044</t>
  </si>
  <si>
    <t>TX 23%</t>
  </si>
  <si>
    <t>09/25/2014</t>
  </si>
  <si>
    <t>07/01/2019</t>
  </si>
  <si>
    <t>07/25/2048</t>
  </si>
  <si>
    <t>IL 56%</t>
  </si>
  <si>
    <t>DE 44%</t>
  </si>
  <si>
    <t>CA 13%</t>
  </si>
  <si>
    <t>Prvt CMO IO</t>
  </si>
  <si>
    <t>Term APS Repos</t>
  </si>
  <si>
    <t>Term XS2091648928 Repo</t>
  </si>
  <si>
    <t>New MWM UST reverse</t>
  </si>
  <si>
    <t>Term NWM UST Reverse</t>
  </si>
  <si>
    <t>New XS2091648928 Repo</t>
  </si>
  <si>
    <t>New APS UST repo</t>
  </si>
  <si>
    <t>MD 8%</t>
  </si>
  <si>
    <t>TX 100%</t>
  </si>
  <si>
    <t>38381BTG9</t>
  </si>
  <si>
    <t>38378TVA5</t>
  </si>
  <si>
    <t>38382G2F8</t>
  </si>
  <si>
    <t>38382KBN2</t>
  </si>
  <si>
    <t>10/01/2020</t>
  </si>
  <si>
    <t>GNSF 4.5</t>
  </si>
  <si>
    <t>GNR 2013-86 IO</t>
  </si>
  <si>
    <t>06/01/2013</t>
  </si>
  <si>
    <t>06/16/2043</t>
  </si>
  <si>
    <t>G2SF 5.5</t>
  </si>
  <si>
    <t>GNR 2019-4 S</t>
  </si>
  <si>
    <t>01/20/2019</t>
  </si>
  <si>
    <t>01/20/2049</t>
  </si>
  <si>
    <t>GNR 2020-95 SB</t>
  </si>
  <si>
    <t>07/20/2050</t>
  </si>
  <si>
    <t>VA 13%</t>
  </si>
  <si>
    <t>NM 9%</t>
  </si>
  <si>
    <t>G2SF   4</t>
  </si>
  <si>
    <t>GNR 2020-149 SA</t>
  </si>
  <si>
    <t>10/20/2020</t>
  </si>
  <si>
    <t>10/20/2050</t>
  </si>
  <si>
    <t>MMT BNYM 7/31-10/31</t>
  </si>
  <si>
    <t>Interest received in errorr 912828R36</t>
  </si>
  <si>
    <t>NWM interest on 912810RG5</t>
  </si>
  <si>
    <t>APS Repo 29928</t>
  </si>
  <si>
    <t>APS Repo 29929</t>
  </si>
  <si>
    <t>APS Repo 29930</t>
  </si>
  <si>
    <t>return of NWM interest on 912810RG5</t>
  </si>
  <si>
    <t>11/01/2020</t>
  </si>
  <si>
    <t>SS&amp;C Nov bill</t>
  </si>
  <si>
    <t>3140QFTC3</t>
  </si>
  <si>
    <t>FN CA7746</t>
  </si>
  <si>
    <t>11/01/2050</t>
  </si>
  <si>
    <t>G2SF 3.5</t>
  </si>
  <si>
    <t>FX transaction</t>
  </si>
  <si>
    <t>3137F72R5</t>
  </si>
  <si>
    <t>FHLMC Multifamily Structured P</t>
  </si>
  <si>
    <t>MULTI2.8</t>
  </si>
  <si>
    <t>FHMS K120 X1</t>
  </si>
  <si>
    <t>10/25/2030</t>
  </si>
  <si>
    <t>CSTR,SC,IO,NTL</t>
  </si>
  <si>
    <t>CMRCLIO</t>
  </si>
  <si>
    <t>03465BAC1</t>
  </si>
  <si>
    <t>03465BAB3</t>
  </si>
  <si>
    <t>03465BAA5</t>
  </si>
  <si>
    <t>Return APS margin</t>
  </si>
  <si>
    <t>Term APS Repo 29928</t>
  </si>
  <si>
    <t>Term APS Repo 29929</t>
  </si>
  <si>
    <t>Term APS Repo 29930</t>
  </si>
  <si>
    <t>APS repo 30178</t>
  </si>
  <si>
    <t>APS repo 30176</t>
  </si>
  <si>
    <t>APS repo 30177</t>
  </si>
  <si>
    <t>Natwest repo 30179</t>
  </si>
  <si>
    <t>38382GR95</t>
  </si>
  <si>
    <t>38382EFE2</t>
  </si>
  <si>
    <t>38380P3Q5</t>
  </si>
  <si>
    <t>GNR 2020-143 IA</t>
  </si>
  <si>
    <t>03/16/2062</t>
  </si>
  <si>
    <t>G2SF   5</t>
  </si>
  <si>
    <t>GNR 2020-47 TA</t>
  </si>
  <si>
    <t>04/20/2020</t>
  </si>
  <si>
    <t>05/20/2044</t>
  </si>
  <si>
    <t>EXCH,SC,IO,INV,NTL,W,PT</t>
  </si>
  <si>
    <t>GNR 2020-96 PI</t>
  </si>
  <si>
    <t>02/20/2049</t>
  </si>
  <si>
    <t>EXCH,SC,IO,NTL,AD,PAC</t>
  </si>
  <si>
    <t>CA 73%</t>
  </si>
  <si>
    <t>KY 27%</t>
  </si>
  <si>
    <t>DC 19%</t>
  </si>
  <si>
    <t>IL 10%</t>
  </si>
  <si>
    <t>XS1951177309 repo 30222</t>
  </si>
  <si>
    <t>NWM UST repo 30221</t>
  </si>
  <si>
    <t>SAPS UST repo 30223</t>
  </si>
  <si>
    <t>CA 7%</t>
  </si>
  <si>
    <t>SC,IO,INV,NTL,PT</t>
  </si>
  <si>
    <t>CYPRESS</t>
  </si>
  <si>
    <t>Start</t>
  </si>
  <si>
    <t>End</t>
  </si>
  <si>
    <t>ELM</t>
  </si>
  <si>
    <t>FIR</t>
  </si>
  <si>
    <t>SPRUCE</t>
  </si>
  <si>
    <t>AUTO</t>
  </si>
  <si>
    <t>048269AD6</t>
  </si>
  <si>
    <t>Final KPMG Tax bill</t>
  </si>
  <si>
    <t>December SS&amp;C bill</t>
  </si>
  <si>
    <t>XS2225938831</t>
  </si>
  <si>
    <t>12/15/2020</t>
  </si>
  <si>
    <t>Maty of NWM ELM UST rev repos</t>
  </si>
  <si>
    <t>Maty of NWM EELM repos</t>
  </si>
  <si>
    <t>Maty of NWM FIR UST rev repos</t>
  </si>
  <si>
    <t>Maty of NWM FIR repos</t>
  </si>
  <si>
    <t>FIR coupon</t>
  </si>
  <si>
    <t>Cypress coupons</t>
  </si>
  <si>
    <t>Maty Cypress repos</t>
  </si>
  <si>
    <t>Maty of NWM SPRUCE UST rev repos</t>
  </si>
  <si>
    <t>Maty of NWM SPRUCE repos</t>
  </si>
  <si>
    <t>Spruce Coups</t>
  </si>
  <si>
    <t>NWM repos</t>
  </si>
  <si>
    <t>EASTERN ELM Facility payment 1</t>
  </si>
  <si>
    <t>EASTERN ELM Facility payment 2</t>
  </si>
  <si>
    <t>SOUTHERN SPRUCE Facility payment</t>
  </si>
  <si>
    <t>PACIFIC FIR Facility payment</t>
  </si>
  <si>
    <t>EASTERN CYPRESS Facility payment</t>
  </si>
  <si>
    <t>So Spruce Nts</t>
  </si>
  <si>
    <t>XS2004377136</t>
  </si>
  <si>
    <t>APS Repo</t>
  </si>
  <si>
    <t>Paydown of Spruce</t>
  </si>
  <si>
    <t>AOMT 2020-SBC1 A1</t>
  </si>
  <si>
    <t>AOMT 2020-SBC1 A2</t>
  </si>
  <si>
    <t>AOMT 2020-SBC1 A3</t>
  </si>
  <si>
    <t>06/04/2019</t>
  </si>
  <si>
    <t>05/29/2029</t>
  </si>
  <si>
    <t>02/12/2019</t>
  </si>
  <si>
    <t>03/15/2030</t>
  </si>
  <si>
    <t>Structuring Fee on Spruce restructure</t>
  </si>
  <si>
    <t>Management Fees 9/16-12/15</t>
  </si>
  <si>
    <t>MULTI2.9</t>
  </si>
  <si>
    <t>reversal of interest received in error on 11/16</t>
  </si>
  <si>
    <t>38376VHU4</t>
  </si>
  <si>
    <t>GNR 2010-20 SE</t>
  </si>
  <si>
    <t>EXCH,IO,INV,NTL,PT</t>
  </si>
  <si>
    <t>12/01/2020</t>
  </si>
  <si>
    <t>3136BCEG1</t>
  </si>
  <si>
    <t>FNR 2020-71 MI</t>
  </si>
  <si>
    <t>10/25/2050</t>
  </si>
  <si>
    <t>NY 5%</t>
  </si>
  <si>
    <t>08/01/2020</t>
  </si>
  <si>
    <t>CMBS 5.2</t>
  </si>
  <si>
    <t>02/20/2010</t>
  </si>
  <si>
    <t>02/20/2040</t>
  </si>
  <si>
    <t>swing set up fees to mgmt</t>
  </si>
  <si>
    <t>pay set up fees #5</t>
  </si>
  <si>
    <t>FL 22%</t>
  </si>
  <si>
    <t>FL 24%</t>
  </si>
  <si>
    <t>KPMG first bill 2020 audit MMT IM</t>
  </si>
  <si>
    <t>KPMG first bill 2020 audit MMT</t>
  </si>
  <si>
    <t>WH30 4.3</t>
  </si>
  <si>
    <t>G2JM 2.5</t>
  </si>
  <si>
    <t>IO,NTL,AD,PAC</t>
  </si>
  <si>
    <t>WA 8%</t>
  </si>
  <si>
    <t>Mourant bill</t>
  </si>
  <si>
    <t>A *+</t>
  </si>
  <si>
    <t>NC 100%</t>
  </si>
  <si>
    <t>OK 33%</t>
  </si>
  <si>
    <t>MI 21%</t>
  </si>
  <si>
    <t>IL 15%</t>
  </si>
  <si>
    <t>CO 100%</t>
  </si>
  <si>
    <t>MD 100%</t>
  </si>
  <si>
    <t>29978CCC2</t>
  </si>
  <si>
    <t>OH 8%</t>
  </si>
  <si>
    <t>Spruce repo</t>
  </si>
  <si>
    <t>Natwest UST Repo</t>
  </si>
  <si>
    <t>30711XAM6</t>
  </si>
  <si>
    <t>CAS 2014-C03 2M2</t>
  </si>
  <si>
    <t>07/25/2014</t>
  </si>
  <si>
    <t>Bund Rev</t>
  </si>
  <si>
    <t>Bund Repo</t>
  </si>
  <si>
    <t>CMBS 4.8</t>
  </si>
  <si>
    <t>Maty APS trades</t>
  </si>
  <si>
    <t>New APS trades</t>
  </si>
  <si>
    <t>46591HAG5</t>
  </si>
  <si>
    <t>Chase Mortgage Finance Corpora</t>
  </si>
  <si>
    <t>CHASE 2020-CL1 M1</t>
  </si>
  <si>
    <t>10/25/2057</t>
  </si>
  <si>
    <t>IL 8%</t>
  </si>
  <si>
    <t>CA 44%</t>
  </si>
  <si>
    <t>2021-04-25</t>
  </si>
  <si>
    <t>12622DAK0</t>
  </si>
  <si>
    <t>COMM 2010-C1 D</t>
  </si>
  <si>
    <t>11/01/2010</t>
  </si>
  <si>
    <t>07/10/2046</t>
  </si>
  <si>
    <t>A1</t>
  </si>
  <si>
    <t>EXCH,IO,NTL,PT</t>
  </si>
  <si>
    <t>Mourant Governance annual bill</t>
  </si>
  <si>
    <t>NJ 9%</t>
  </si>
  <si>
    <t>WA 7%</t>
  </si>
  <si>
    <t>CA 31%</t>
  </si>
  <si>
    <t>06/15/2030</t>
  </si>
  <si>
    <t>04004XAA3</t>
  </si>
  <si>
    <t>ARENA FINANCE II LLC</t>
  </si>
  <si>
    <t>SR SECURED</t>
  </si>
  <si>
    <t>09/29/2020</t>
  </si>
  <si>
    <t>09/30/2025</t>
  </si>
  <si>
    <t>05973LAB1</t>
  </si>
  <si>
    <t>BANCPLUS CORP</t>
  </si>
  <si>
    <t>06/04/2020</t>
  </si>
  <si>
    <t>05990KAD8</t>
  </si>
  <si>
    <t>10/30/2020</t>
  </si>
  <si>
    <t>10/30/2030</t>
  </si>
  <si>
    <t>124411AA7</t>
  </si>
  <si>
    <t>BYLINE BANCORP INC</t>
  </si>
  <si>
    <t>12634QAJ0</t>
  </si>
  <si>
    <t>CRB GROUP INC</t>
  </si>
  <si>
    <t>08/20/2020</t>
  </si>
  <si>
    <t>126685CB0</t>
  </si>
  <si>
    <t>Countrywide Home Equity Loan T</t>
  </si>
  <si>
    <t>CWHEL 2005-J 1A</t>
  </si>
  <si>
    <t>12/29/2005</t>
  </si>
  <si>
    <t>FLT,AFC</t>
  </si>
  <si>
    <t>12670PAA6</t>
  </si>
  <si>
    <t>CWHEL 2007-D A</t>
  </si>
  <si>
    <t>FLT,IRC</t>
  </si>
  <si>
    <t>14070TAC6</t>
  </si>
  <si>
    <t>CAPSTAR FIN HOLD INC</t>
  </si>
  <si>
    <t>10/02/2020</t>
  </si>
  <si>
    <t>18468HAC3</t>
  </si>
  <si>
    <t>CLEAR STREET CAPITAL</t>
  </si>
  <si>
    <t>Technology</t>
  </si>
  <si>
    <t>10/08/2020</t>
  </si>
  <si>
    <t>10/15/2025</t>
  </si>
  <si>
    <t>23204HBM9</t>
  </si>
  <si>
    <t>CUSTOMERS BANK</t>
  </si>
  <si>
    <t>06/26/2014</t>
  </si>
  <si>
    <t>06/26/2029</t>
  </si>
  <si>
    <t>337930AD3</t>
  </si>
  <si>
    <t>FLAGSTAR BANCORP INC</t>
  </si>
  <si>
    <t>10/28/2020</t>
  </si>
  <si>
    <t>11/01/2030</t>
  </si>
  <si>
    <t>VA 9%</t>
  </si>
  <si>
    <t>404111AA4</t>
  </si>
  <si>
    <t>HBT FINANCIAL INC</t>
  </si>
  <si>
    <t>09/03/2020</t>
  </si>
  <si>
    <t>09/15/2030</t>
  </si>
  <si>
    <t>41164MAB3</t>
  </si>
  <si>
    <t>HarborView Mortgage Loan Trust</t>
  </si>
  <si>
    <t>HVMLT 2007-1 1A1B</t>
  </si>
  <si>
    <t>03/09/2007</t>
  </si>
  <si>
    <t>04/19/2038</t>
  </si>
  <si>
    <t>FLT,STEP,IRC,AS</t>
  </si>
  <si>
    <t>MD 6%</t>
  </si>
  <si>
    <t>45384BAC0</t>
  </si>
  <si>
    <t>INDEPENDENT BANK GRP INC</t>
  </si>
  <si>
    <t>SUB NOTES</t>
  </si>
  <si>
    <t>09/15/2020</t>
  </si>
  <si>
    <t>46185HAE2</t>
  </si>
  <si>
    <t>Invitation Homes Trust</t>
  </si>
  <si>
    <t>IHSFR 2018-SFR2 C</t>
  </si>
  <si>
    <t>598511AC7</t>
  </si>
  <si>
    <t>MIDWESTONE FINANCIAL GRP</t>
  </si>
  <si>
    <t>10/23/2020</t>
  </si>
  <si>
    <t>07/30/2030</t>
  </si>
  <si>
    <t>67449JAA4</t>
  </si>
  <si>
    <t>OBSIDIAN INSURANCE HOLD</t>
  </si>
  <si>
    <t>12/18/2020</t>
  </si>
  <si>
    <t>12/30/2025</t>
  </si>
  <si>
    <t>88337YAB0</t>
  </si>
  <si>
    <t>Theorem Funding Trust 2020-1</t>
  </si>
  <si>
    <t>CNSMER</t>
  </si>
  <si>
    <t>THRM 2020-1A B</t>
  </si>
  <si>
    <t>08/19/2020</t>
  </si>
  <si>
    <t>BNYM 10/20-1/21 MMT Invoice</t>
  </si>
  <si>
    <t>BNYM 10/20-1/21 MMT IM Invoice</t>
  </si>
  <si>
    <t>23242LAB9</t>
  </si>
  <si>
    <t>12668FAB0</t>
  </si>
  <si>
    <t>126686AH7</t>
  </si>
  <si>
    <t>HELOC</t>
  </si>
  <si>
    <t>CWHEL 2006-HW 2A1B</t>
  </si>
  <si>
    <t>11/15/2036</t>
  </si>
  <si>
    <t>CWHEL 2006-I 2A</t>
  </si>
  <si>
    <t>12/29/2006</t>
  </si>
  <si>
    <t>CWHEL 2006-F 2A1A</t>
  </si>
  <si>
    <t>57109JAA6</t>
  </si>
  <si>
    <t>MFT 2020-1A A</t>
  </si>
  <si>
    <t>57109JAB4</t>
  </si>
  <si>
    <t>MFT 2020-1A B</t>
  </si>
  <si>
    <t>57109JAC2</t>
  </si>
  <si>
    <t>MFT 2020-1A C</t>
  </si>
  <si>
    <t>57109JAD0</t>
  </si>
  <si>
    <t>MFT 2020-1A D</t>
  </si>
  <si>
    <t>91741UAC0</t>
  </si>
  <si>
    <t>US METRO BANCORP</t>
  </si>
  <si>
    <t>29911QAA7</t>
  </si>
  <si>
    <t>EVANS BANCORP INC</t>
  </si>
  <si>
    <t>07272MAA5</t>
  </si>
  <si>
    <t>BAYCOM CORP</t>
  </si>
  <si>
    <t>SS&amp;C Feb 2021</t>
  </si>
  <si>
    <t>SS&amp;C 2020 FS</t>
  </si>
  <si>
    <t>08/10/2020</t>
  </si>
  <si>
    <t>11/09/2020</t>
  </si>
  <si>
    <t>07/15/2030</t>
  </si>
  <si>
    <t>01/29/2020</t>
  </si>
  <si>
    <t>APS repo 34968</t>
  </si>
  <si>
    <t>APS repo 34969</t>
  </si>
  <si>
    <t>Spruce repo Term Spruce repo</t>
  </si>
  <si>
    <t>Term UST NWM repo</t>
  </si>
  <si>
    <t>UST NWM repo</t>
  </si>
  <si>
    <t>03464NAK8</t>
  </si>
  <si>
    <t>03464NAD4</t>
  </si>
  <si>
    <t>03464NAC6</t>
  </si>
  <si>
    <t>03464NAB8</t>
  </si>
  <si>
    <t>03464NAA0</t>
  </si>
  <si>
    <t>AAL</t>
  </si>
  <si>
    <t>AOMT 2018-3 A1</t>
  </si>
  <si>
    <t>AOMT 2018-3 M1</t>
  </si>
  <si>
    <t>AOMT 2018-3 M2</t>
  </si>
  <si>
    <t>FEDERAL HOME LOAN BANK</t>
  </si>
  <si>
    <t>FNJMC2.5</t>
  </si>
  <si>
    <t>11/25/2050</t>
  </si>
  <si>
    <t>TX 24%</t>
  </si>
  <si>
    <t>38382MUG2</t>
  </si>
  <si>
    <t>GNR 2021-8 TI</t>
  </si>
  <si>
    <t>38381YRM8</t>
  </si>
  <si>
    <t>GNR 2019-117 AI</t>
  </si>
  <si>
    <t>38382L8L8</t>
  </si>
  <si>
    <t>GNR 2021-6 QI</t>
  </si>
  <si>
    <t>EXCH,IO,NTL,AD,PAC</t>
  </si>
  <si>
    <t>3136BDJY5</t>
  </si>
  <si>
    <t>FNJMCK 2</t>
  </si>
  <si>
    <t>FNR 2020-96 LI</t>
  </si>
  <si>
    <t>VA 11%</t>
  </si>
  <si>
    <t>38382JB96</t>
  </si>
  <si>
    <t>GNR 2020-133 CS</t>
  </si>
  <si>
    <t>XS1951177309 Repo 35068</t>
  </si>
  <si>
    <t>NWM UST repo 35069</t>
  </si>
  <si>
    <t>APS UST repo 35203</t>
  </si>
  <si>
    <t>01/25/2051</t>
  </si>
  <si>
    <t>09/01/2019</t>
  </si>
  <si>
    <t>09/20/2049</t>
  </si>
  <si>
    <t>09/20/2020</t>
  </si>
  <si>
    <t>09/20/2050</t>
  </si>
  <si>
    <t>01/01/2021</t>
  </si>
  <si>
    <t>01/20/2051</t>
  </si>
  <si>
    <t>91834PAG0</t>
  </si>
  <si>
    <t>VMC 2019-FL3 C</t>
  </si>
  <si>
    <t>92330MAS8</t>
  </si>
  <si>
    <t>Venture XXI CLO</t>
  </si>
  <si>
    <t>VENTR 2015-21A DR</t>
  </si>
  <si>
    <t>02/25/2021</t>
  </si>
  <si>
    <t>09/25/2048</t>
  </si>
  <si>
    <t>09/29/2006</t>
  </si>
  <si>
    <t>01/15/2037</t>
  </si>
  <si>
    <t>05/31/2007</t>
  </si>
  <si>
    <t>05/15/2037</t>
  </si>
  <si>
    <t>06/30/2006</t>
  </si>
  <si>
    <t>07/15/2036</t>
  </si>
  <si>
    <t>05/08/2018</t>
  </si>
  <si>
    <t>06/17/2037</t>
  </si>
  <si>
    <t>07/29/2020</t>
  </si>
  <si>
    <t>01/25/2036</t>
  </si>
  <si>
    <t>Helix 35563</t>
  </si>
  <si>
    <t>NW Bund repo</t>
  </si>
  <si>
    <t>056054AH2</t>
  </si>
  <si>
    <t>10/15/2036</t>
  </si>
  <si>
    <t>055377AF2</t>
  </si>
  <si>
    <t>TX 4%</t>
  </si>
  <si>
    <t>3130AHCX9</t>
  </si>
  <si>
    <t>10/18/2019</t>
  </si>
  <si>
    <t>10/18/2029</t>
  </si>
  <si>
    <t>MUNI</t>
  </si>
  <si>
    <t>3130AJXT1</t>
  </si>
  <si>
    <t>08/17/2020</t>
  </si>
  <si>
    <t>08/17/2028</t>
  </si>
  <si>
    <t>3130AL7A6</t>
  </si>
  <si>
    <t>02/25/2031</t>
  </si>
  <si>
    <t>MI 100%</t>
  </si>
  <si>
    <t>FL 16%</t>
  </si>
  <si>
    <t>VA 20%</t>
  </si>
  <si>
    <t>MA 5%</t>
  </si>
  <si>
    <t>30316AAJ2</t>
  </si>
  <si>
    <t>FRESB Multifamily Mortgage Pas</t>
  </si>
  <si>
    <t>FRESB 2020-SB77 X1</t>
  </si>
  <si>
    <t>12528PAB8</t>
  </si>
  <si>
    <t>76112BJT8</t>
  </si>
  <si>
    <t>RAAC Series</t>
  </si>
  <si>
    <t>RAAC 2005-RP1 M4</t>
  </si>
  <si>
    <t>MEZ,FLT,STEP</t>
  </si>
  <si>
    <t>06/25/2040</t>
  </si>
  <si>
    <t>02/04/2005</t>
  </si>
  <si>
    <t>07/25/2037</t>
  </si>
  <si>
    <t>629167AG2</t>
  </si>
  <si>
    <t>NLY 2019-FL2 C</t>
  </si>
  <si>
    <t>VA 100%</t>
  </si>
  <si>
    <t>MD 10%</t>
  </si>
  <si>
    <t>2021-05-25</t>
  </si>
  <si>
    <t>3137G0EW5</t>
  </si>
  <si>
    <t>WH30 3.6</t>
  </si>
  <si>
    <t>STACR 2015-DNA1 M3</t>
  </si>
  <si>
    <t>04/28/2015</t>
  </si>
  <si>
    <t>10/25/2027</t>
  </si>
  <si>
    <t>3140H8QH1</t>
  </si>
  <si>
    <t>FN BJ6755</t>
  </si>
  <si>
    <t>05/01/2019</t>
  </si>
  <si>
    <t>2021-06-15</t>
  </si>
  <si>
    <t>USU9237PAE70</t>
  </si>
  <si>
    <t>BBH</t>
  </si>
  <si>
    <t>EASTERN ELM Facility</t>
  </si>
  <si>
    <t>SOUTHERN SPRUCE Facility</t>
  </si>
  <si>
    <t>PACIFIC FIR Facility</t>
  </si>
  <si>
    <t>Eastern Elm coupon</t>
  </si>
  <si>
    <t>So Spruce Nts coupon</t>
  </si>
  <si>
    <t>Pacific Fir coupon</t>
  </si>
  <si>
    <t>Eastern Cypress coupon</t>
  </si>
  <si>
    <t>Maturity NWM USD trades</t>
  </si>
  <si>
    <t>Maturity NWM EUR trades</t>
  </si>
  <si>
    <t>Swing redemp to MMT</t>
  </si>
  <si>
    <t>38521VAJ0</t>
  </si>
  <si>
    <t>12546JAJ3</t>
  </si>
  <si>
    <t>Natwest new EUR repos</t>
  </si>
  <si>
    <t>CHCP 2021-FL1 Ltd.</t>
  </si>
  <si>
    <t>CHCP 2021-FL1 D</t>
  </si>
  <si>
    <t>03/02/2021</t>
  </si>
  <si>
    <t>02/15/2038</t>
  </si>
  <si>
    <t>Grand Avenue CRE 2019-FL1 Ltd.</t>
  </si>
  <si>
    <t>GACM 2019-FL1 D</t>
  </si>
  <si>
    <t>06/15/2037</t>
  </si>
  <si>
    <t>Pierpont repo start</t>
  </si>
  <si>
    <t>3137F6K55</t>
  </si>
  <si>
    <t>Southern Apple Change</t>
  </si>
  <si>
    <t>MAIN FUND - Southern Apple</t>
  </si>
  <si>
    <t>APPLE</t>
  </si>
  <si>
    <t>SOUTHERN APPLE</t>
  </si>
  <si>
    <t>FNCL   2</t>
  </si>
  <si>
    <t>FHR 5034 MI</t>
  </si>
  <si>
    <t>FLT,REFI,RSTD</t>
  </si>
  <si>
    <t>PIF</t>
  </si>
  <si>
    <t>66981FAC4</t>
  </si>
  <si>
    <t>AMSR Trust</t>
  </si>
  <si>
    <t>SF-Re1.9</t>
  </si>
  <si>
    <t>AMSR 2020-SFR4 C</t>
  </si>
  <si>
    <t>11/17/2037</t>
  </si>
  <si>
    <t>06036FAJ0</t>
  </si>
  <si>
    <t>Bank</t>
  </si>
  <si>
    <t>CMBS 4.6</t>
  </si>
  <si>
    <t>11/15/2061</t>
  </si>
  <si>
    <t>338422AW8</t>
  </si>
  <si>
    <t>50219QAN4</t>
  </si>
  <si>
    <t>LSTAR Commercial Mortgage Trus</t>
  </si>
  <si>
    <t>LNSTR 2016-4 D</t>
  </si>
  <si>
    <t>Ba1</t>
  </si>
  <si>
    <t>MM0020CDD</t>
  </si>
  <si>
    <t>NWM deposit for Apple</t>
  </si>
  <si>
    <t>FX Trade</t>
  </si>
  <si>
    <t>Adjustment post roll</t>
  </si>
  <si>
    <t>06/01/2016</t>
  </si>
  <si>
    <t>03/10/2049</t>
  </si>
  <si>
    <t>MAIN FUND EUR CASH</t>
  </si>
  <si>
    <t>LMCP Set-up 6</t>
  </si>
  <si>
    <t>Swing LMCP Set-up 6</t>
  </si>
  <si>
    <t>Mgmt fee pmt</t>
  </si>
  <si>
    <t>Swing Mgmt fee pmt</t>
  </si>
  <si>
    <t>SS&amp;C invoice</t>
  </si>
  <si>
    <t>Swing 3/15 Expense accruals to expense acct</t>
  </si>
  <si>
    <t>Southern Apple repo with NWM</t>
  </si>
  <si>
    <t>UST repo with NWM</t>
  </si>
  <si>
    <t>37271TCLS</t>
  </si>
  <si>
    <t>37273TCLS</t>
  </si>
  <si>
    <t>37272TCLS</t>
  </si>
  <si>
    <t>37238TCLS</t>
  </si>
  <si>
    <t>37902T</t>
  </si>
  <si>
    <t>37903T</t>
  </si>
  <si>
    <t>37904T</t>
  </si>
  <si>
    <t>(apple init settled)</t>
  </si>
  <si>
    <t>17284LAB0</t>
  </si>
  <si>
    <t>Agncy ABS Other</t>
  </si>
  <si>
    <t>CIT EDUCATION LOAN TRUST</t>
  </si>
  <si>
    <t>STUDNT</t>
  </si>
  <si>
    <t>CITEL 2007-1 B</t>
  </si>
  <si>
    <t>07/30/2007</t>
  </si>
  <si>
    <t>CA 26%</t>
  </si>
  <si>
    <t>NY 9%</t>
  </si>
  <si>
    <t>IL 6%</t>
  </si>
  <si>
    <t>06/23/2029</t>
  </si>
  <si>
    <t>* only looking at top few rows</t>
  </si>
  <si>
    <t>PRIMIS FINANCIAL CORP</t>
  </si>
  <si>
    <t>Collect DGCXX dvds</t>
  </si>
  <si>
    <t>TX 32%</t>
  </si>
  <si>
    <t>SC 28%</t>
  </si>
  <si>
    <t>TX 20%</t>
  </si>
  <si>
    <t>UT 10%</t>
  </si>
  <si>
    <t>OH 12%</t>
  </si>
  <si>
    <t>IL 11%</t>
  </si>
  <si>
    <t>GA 9%</t>
  </si>
  <si>
    <t>2021-07-15</t>
  </si>
  <si>
    <t>APS UST repo (38314)</t>
  </si>
  <si>
    <t>NWM switch</t>
  </si>
  <si>
    <t>NWM UST repos</t>
  </si>
  <si>
    <t>Fund Awbury SOSPRUCE1</t>
  </si>
  <si>
    <t>Fund Awbury Atlantic Fir</t>
  </si>
  <si>
    <t>83715RAH5</t>
  </si>
  <si>
    <t>78448DAE7</t>
  </si>
  <si>
    <t>361856DL8</t>
  </si>
  <si>
    <t>21051CAJ6</t>
  </si>
  <si>
    <t>31325UQ41</t>
  </si>
  <si>
    <t>Freddiemac Strip</t>
  </si>
  <si>
    <t>FGHLU9 4</t>
  </si>
  <si>
    <t>FHS 308 S1</t>
  </si>
  <si>
    <t>07/15/2013</t>
  </si>
  <si>
    <t>07/15/2043</t>
  </si>
  <si>
    <t>31325UTL0</t>
  </si>
  <si>
    <t>FGHLU3.5</t>
  </si>
  <si>
    <t>FHS 310 S4</t>
  </si>
  <si>
    <t>09/15/2013</t>
  </si>
  <si>
    <t>09/15/2043</t>
  </si>
  <si>
    <t>31325UVD5</t>
  </si>
  <si>
    <t>FHS 317 S3</t>
  </si>
  <si>
    <t>11/15/2013</t>
  </si>
  <si>
    <t>11/15/2043</t>
  </si>
  <si>
    <t>31325VJN5</t>
  </si>
  <si>
    <t>FHS 333 S6</t>
  </si>
  <si>
    <t>08/15/2014</t>
  </si>
  <si>
    <t>08/15/2044</t>
  </si>
  <si>
    <t>31325VLM4</t>
  </si>
  <si>
    <t>FHS 338 S2</t>
  </si>
  <si>
    <t>09/15/2044</t>
  </si>
  <si>
    <t>3136A32V2</t>
  </si>
  <si>
    <t>FNR 2012-12 SA</t>
  </si>
  <si>
    <t>01/25/2012</t>
  </si>
  <si>
    <t>02/25/2042</t>
  </si>
  <si>
    <t>3136AFEV2</t>
  </si>
  <si>
    <t>FNHLCR 4</t>
  </si>
  <si>
    <t>FNR 2013-67 SA</t>
  </si>
  <si>
    <t>06/25/2013</t>
  </si>
  <si>
    <t>SC,IO,INV,NTL</t>
  </si>
  <si>
    <t>3136AGXE7</t>
  </si>
  <si>
    <t>FNHLC3.5</t>
  </si>
  <si>
    <t>FNR 2013-102 SH</t>
  </si>
  <si>
    <t>09/25/2013</t>
  </si>
  <si>
    <t>10/25/2043</t>
  </si>
  <si>
    <t>3136AMNR6</t>
  </si>
  <si>
    <t>FNHLC4.5</t>
  </si>
  <si>
    <t>FNR 2015-3 TS</t>
  </si>
  <si>
    <t>01/25/2015</t>
  </si>
  <si>
    <t>02/25/2045</t>
  </si>
  <si>
    <t>3136AMQX0</t>
  </si>
  <si>
    <t>FNR 2015-4 BS</t>
  </si>
  <si>
    <t>3136AYKS1</t>
  </si>
  <si>
    <t>FNR 2017-80 SD</t>
  </si>
  <si>
    <t>09/25/2017</t>
  </si>
  <si>
    <t>10/25/2047</t>
  </si>
  <si>
    <t>3136B3DY3</t>
  </si>
  <si>
    <t>FNR 2018-73 SB</t>
  </si>
  <si>
    <t>09/25/2018</t>
  </si>
  <si>
    <t>3137BDT89</t>
  </si>
  <si>
    <t>FGLMC4.5</t>
  </si>
  <si>
    <t>FHR 4385 JS</t>
  </si>
  <si>
    <t>3137F8ZC0</t>
  </si>
  <si>
    <t>FHR 5065 IN</t>
  </si>
  <si>
    <t>3137FCV84</t>
  </si>
  <si>
    <t>FGLMC  4</t>
  </si>
  <si>
    <t>FHR 4749 SA</t>
  </si>
  <si>
    <t>12/15/2017</t>
  </si>
  <si>
    <t>01/15/2048</t>
  </si>
  <si>
    <t>Ba3</t>
  </si>
  <si>
    <t>GMAC Mortgage Corporation Loan</t>
  </si>
  <si>
    <t>HELOC3.6</t>
  </si>
  <si>
    <t>GMACM 2004-HE3 A3</t>
  </si>
  <si>
    <t>06/30/2004</t>
  </si>
  <si>
    <t>10/25/2034</t>
  </si>
  <si>
    <t>FLT,STEP,AFC</t>
  </si>
  <si>
    <t>CA 42%</t>
  </si>
  <si>
    <t>01/01/2014</t>
  </si>
  <si>
    <t>38379MHK3</t>
  </si>
  <si>
    <t>GNR 2015-94 SA</t>
  </si>
  <si>
    <t>07/20/2015</t>
  </si>
  <si>
    <t>07/20/2045</t>
  </si>
  <si>
    <t>CA 60%</t>
  </si>
  <si>
    <t>NY 4%</t>
  </si>
  <si>
    <t>46644RBB0</t>
  </si>
  <si>
    <t>JPMBB 2015-C29 XA</t>
  </si>
  <si>
    <t>05/15/2048</t>
  </si>
  <si>
    <t>SLMA 2014-A B</t>
  </si>
  <si>
    <t>03/06/2014</t>
  </si>
  <si>
    <t>11/15/2044</t>
  </si>
  <si>
    <t>South Carolina Student Loan Co</t>
  </si>
  <si>
    <t>SCSLC 2015-A A</t>
  </si>
  <si>
    <t>11/25/2015</t>
  </si>
  <si>
    <t>Pierpont roll</t>
  </si>
  <si>
    <t>CMBS 4.1</t>
  </si>
  <si>
    <t>55952XAG4</t>
  </si>
  <si>
    <t>Magnetite CLO Ltd</t>
  </si>
  <si>
    <t>MAGNE 2012-7A DR2</t>
  </si>
  <si>
    <t>02/13/2018</t>
  </si>
  <si>
    <t>01/15/2028</t>
  </si>
  <si>
    <t>2021-07-21</t>
  </si>
  <si>
    <t>87970UBC9</t>
  </si>
  <si>
    <t>TELOS 2014-6A DR</t>
  </si>
  <si>
    <t>3133AJ5W9</t>
  </si>
  <si>
    <t>Receive Pierpont margin</t>
  </si>
  <si>
    <t>04/01/2021</t>
  </si>
  <si>
    <t>Current AUM</t>
  </si>
  <si>
    <t>CA 30%</t>
  </si>
  <si>
    <t>GPMT 2018-FL1X D</t>
  </si>
  <si>
    <t>APS UST roll</t>
  </si>
  <si>
    <t>APS UST new (40218)</t>
  </si>
  <si>
    <t>Pay SS&amp;C LUCIDIII 125</t>
  </si>
  <si>
    <t>Pay APS margin</t>
  </si>
  <si>
    <t>PNI receipt - 9128284L1</t>
  </si>
  <si>
    <t>PNI receipt - 912828X47</t>
  </si>
  <si>
    <t>2021-03-17</t>
  </si>
  <si>
    <t>Pay X47 coupons</t>
  </si>
  <si>
    <t>APS rolls</t>
  </si>
  <si>
    <t>89175MAA1</t>
  </si>
  <si>
    <t>28852EAG4</t>
  </si>
  <si>
    <t>ECLO 2017-2A D</t>
  </si>
  <si>
    <t>01/30/2018</t>
  </si>
  <si>
    <t>02/15/2029</t>
  </si>
  <si>
    <t>VMC 2019-FL3X D</t>
  </si>
  <si>
    <t>PNI reversed - 9128284L1</t>
  </si>
  <si>
    <t>PNI reversed - 912828X47</t>
  </si>
  <si>
    <t>PNI claimed from Pierpont - 912828X47</t>
  </si>
  <si>
    <t>94989AAX3</t>
  </si>
  <si>
    <t>94989DAZ2</t>
  </si>
  <si>
    <t>WA 6%</t>
  </si>
  <si>
    <t>CA 5%</t>
  </si>
  <si>
    <t>OH 9%</t>
  </si>
  <si>
    <t>MI 14%</t>
  </si>
  <si>
    <t>07/01/2051</t>
  </si>
  <si>
    <t>Wells Fargo Commercial Mortgag</t>
  </si>
  <si>
    <t>CMBS 4.4</t>
  </si>
  <si>
    <t>WFCM 2014-LC18 XA</t>
  </si>
  <si>
    <t>12/15/2047</t>
  </si>
  <si>
    <t>CMBSCONDIO</t>
  </si>
  <si>
    <t>WFCM 2015-C27 XA</t>
  </si>
  <si>
    <t>02/15/2048</t>
  </si>
  <si>
    <t>3136BHDN6</t>
  </si>
  <si>
    <t>FNR 2021-25 IT</t>
  </si>
  <si>
    <t>38381VTA8</t>
  </si>
  <si>
    <t>G2JM   4</t>
  </si>
  <si>
    <t>GNR 2019-57 GS</t>
  </si>
  <si>
    <t>10/20/2048</t>
  </si>
  <si>
    <t>05/25/2051</t>
  </si>
  <si>
    <t>05/20/2019</t>
  </si>
  <si>
    <t>Exposure Check</t>
  </si>
  <si>
    <t>++</t>
  </si>
  <si>
    <t>CMBS 5.8</t>
  </si>
  <si>
    <t>3140QKSZ2</t>
  </si>
  <si>
    <t>FN CB0535</t>
  </si>
  <si>
    <t>05/01/2051</t>
  </si>
  <si>
    <t>65130VAE7</t>
  </si>
  <si>
    <t>Newfleet CLO, Ltd.</t>
  </si>
  <si>
    <t>NEWFL 2016-1A ER</t>
  </si>
  <si>
    <t>05/24/2018</t>
  </si>
  <si>
    <t>Custody invoice</t>
  </si>
  <si>
    <t>36264BAJ9</t>
  </si>
  <si>
    <t>912828R36 800k PNI</t>
  </si>
  <si>
    <t>46117MAQ7</t>
  </si>
  <si>
    <t>21053QAE4</t>
  </si>
  <si>
    <t>NWM Elm repo</t>
  </si>
  <si>
    <t>NWM UST reverse</t>
  </si>
  <si>
    <t>Fund Awubry - Elm Call #840</t>
  </si>
  <si>
    <t>APS UST repo - 42194</t>
  </si>
  <si>
    <t>RMBSSFR</t>
  </si>
  <si>
    <t>CMBSSBC</t>
  </si>
  <si>
    <t>ABSWBS</t>
  </si>
  <si>
    <t>ABSSTLN</t>
  </si>
  <si>
    <t>CNSM16.0</t>
  </si>
  <si>
    <t>ABSCON</t>
  </si>
  <si>
    <t>Consumer Lending Receivables T</t>
  </si>
  <si>
    <t>CLR 2019-A C</t>
  </si>
  <si>
    <t>02/22/2019</t>
  </si>
  <si>
    <t>04/15/2026</t>
  </si>
  <si>
    <t>ABSTSHR</t>
  </si>
  <si>
    <t>01/15/2033</t>
  </si>
  <si>
    <t>RMBSCRTPVT</t>
  </si>
  <si>
    <t>RMBSMNF</t>
  </si>
  <si>
    <t>OZLM Ltd</t>
  </si>
  <si>
    <t>Upstart Securitization Trust</t>
  </si>
  <si>
    <t>91835RAG5</t>
  </si>
  <si>
    <t>VMC 2021-FL4 C</t>
  </si>
  <si>
    <t>05/25/2021</t>
  </si>
  <si>
    <t>06/16/2036</t>
  </si>
  <si>
    <t>IIP OPERATING PARTNER</t>
  </si>
  <si>
    <t>COMPANY GUARNT</t>
  </si>
  <si>
    <t>CORPSENFIX</t>
  </si>
  <si>
    <t>74039RAA8</t>
  </si>
  <si>
    <t>6/1/2021</t>
  </si>
  <si>
    <t>12/31/2021</t>
  </si>
  <si>
    <t>PHYS</t>
  </si>
  <si>
    <t>MBSTRUST</t>
  </si>
  <si>
    <t>FL 23%</t>
  </si>
  <si>
    <t>CMBS 7.4</t>
  </si>
  <si>
    <t>05/25/2026</t>
  </si>
  <si>
    <t>repo 42224 APS</t>
  </si>
  <si>
    <t>Repo 42260 APS</t>
  </si>
  <si>
    <t>Fund Awbury - Elm Call #840</t>
  </si>
  <si>
    <t>Receive ZT0 PNI from UST</t>
  </si>
  <si>
    <t>Receive ZT0 PNI from APS</t>
  </si>
  <si>
    <t>38382JXR2</t>
  </si>
  <si>
    <t>GNR 2020-129 SD</t>
  </si>
  <si>
    <t>STHAPPLE2</t>
  </si>
  <si>
    <t>STHAPPLE3</t>
  </si>
  <si>
    <t>CA 39%</t>
  </si>
  <si>
    <t>FL 35%</t>
  </si>
  <si>
    <t>OK 13%</t>
  </si>
  <si>
    <t>NV 100%</t>
  </si>
  <si>
    <t>PA 8%</t>
  </si>
  <si>
    <t>WI 6%</t>
  </si>
  <si>
    <t>05/10/2021</t>
  </si>
  <si>
    <t>Wire ZT0 PNI</t>
  </si>
  <si>
    <t>912828R36 800k PNI reversed</t>
  </si>
  <si>
    <t>912828ZT0 PNI reversed</t>
  </si>
  <si>
    <t>LA 7%</t>
  </si>
  <si>
    <t>2021-06-04</t>
  </si>
  <si>
    <t>ELM PNI received</t>
  </si>
  <si>
    <t>Almond</t>
  </si>
  <si>
    <t>ALMOND USD</t>
  </si>
  <si>
    <t>ALMOND EUR</t>
  </si>
  <si>
    <t>03765RAG4</t>
  </si>
  <si>
    <t>24823DAY2</t>
  </si>
  <si>
    <t>DENALI CAPITAL CLO XI LTD</t>
  </si>
  <si>
    <t>DEN11 2015-1A CR</t>
  </si>
  <si>
    <t>10/22/2018</t>
  </si>
  <si>
    <t>68236WAD4</t>
  </si>
  <si>
    <t>Ondeck Asset Securitization Tr</t>
  </si>
  <si>
    <t>ONDK 2021-1A D</t>
  </si>
  <si>
    <t>38380WF53</t>
  </si>
  <si>
    <t>GNR 2018-72 S</t>
  </si>
  <si>
    <t>38380CSN4</t>
  </si>
  <si>
    <t>OH 6%</t>
  </si>
  <si>
    <t>38382GU83</t>
  </si>
  <si>
    <t>GNR 2020-96 SW</t>
  </si>
  <si>
    <t>EXCH,SC,IO,INV,NTL,PT</t>
  </si>
  <si>
    <t>38380FXQ4</t>
  </si>
  <si>
    <t>38382CD32</t>
  </si>
  <si>
    <t>GNR 2020-18 ES</t>
  </si>
  <si>
    <t>38380FXX9</t>
  </si>
  <si>
    <t>GNR 2017-115 SA</t>
  </si>
  <si>
    <t>38380XYB7</t>
  </si>
  <si>
    <t>GNR 2018-91 SJ</t>
  </si>
  <si>
    <t>23305MAN5</t>
  </si>
  <si>
    <t>DBCCRE Mortgage Trust</t>
  </si>
  <si>
    <t>DBCCR 2014-ARCP F</t>
  </si>
  <si>
    <t>CMBSSINGLE</t>
  </si>
  <si>
    <t>Almond up front</t>
  </si>
  <si>
    <t>Swing Almond set-up fee</t>
  </si>
  <si>
    <t>MAIN FUND - ALMONDUSD</t>
  </si>
  <si>
    <t>ALMONDUSD Change</t>
  </si>
  <si>
    <t>Fund Awbury - Almond 6/11</t>
  </si>
  <si>
    <t>ALMNDUSD1</t>
  </si>
  <si>
    <t>Pay set up fee 7</t>
  </si>
  <si>
    <t>Maty Aps Repos</t>
  </si>
  <si>
    <t>maty NWM USD repos</t>
  </si>
  <si>
    <t>maty NWM EUR repos</t>
  </si>
  <si>
    <t>Coupon on 61,000,000 Eastern Elm</t>
  </si>
  <si>
    <t>Coupon on 8,000,000 Eastern Elm</t>
  </si>
  <si>
    <t>Coupon on 5,000,000 Eastern Elm</t>
  </si>
  <si>
    <t>Coupon on 2,000,000 Eastern Elm</t>
  </si>
  <si>
    <t>Coupon on 3,000,000 Eastern Elm</t>
  </si>
  <si>
    <t>Coupon on 3,000,000 So Spruce Nts</t>
  </si>
  <si>
    <t>Coupon on 8,000,000 Pacific Fir</t>
  </si>
  <si>
    <t>Coupon on 330,7535.88 So Spruce Nts</t>
  </si>
  <si>
    <t>Coupon on 1,900,000 So Spruce Nts</t>
  </si>
  <si>
    <t>Coupon on -877,067.87 So Spruce Nts</t>
  </si>
  <si>
    <t>Coupon on 15,721,906 Pacific Fir</t>
  </si>
  <si>
    <t>Coupon on 3,900,000 Southern Apple</t>
  </si>
  <si>
    <t>Coupon on 1,400,000 Southern Apple 2</t>
  </si>
  <si>
    <t>Coupon on 1,400,000 Southern Apple 3</t>
  </si>
  <si>
    <t>Coupon on 40,600,000 Eastern Cypress</t>
  </si>
  <si>
    <t>Coupon on 400,000 Eastern Cypress</t>
  </si>
  <si>
    <t>Coupon on 1,900,000 Eastern Cypress</t>
  </si>
  <si>
    <t>EASTERN ELM Facility fee</t>
  </si>
  <si>
    <t>SOUTHERN SPRUCE Facility fee</t>
  </si>
  <si>
    <t>PACIFIC FIR Facility fee</t>
  </si>
  <si>
    <t>SOUTHERN APPLE Facility fee</t>
  </si>
  <si>
    <t>ALMOND USD Facility fee</t>
  </si>
  <si>
    <t>ALMOND EUR Facility fee</t>
  </si>
  <si>
    <t>EASTERN CYPRESS Facility fee</t>
  </si>
  <si>
    <t>STHAPPLE1</t>
  </si>
  <si>
    <t>APS Repo 44086</t>
  </si>
  <si>
    <t>APS Repo 44085</t>
  </si>
  <si>
    <t>APS Repo 44102</t>
  </si>
  <si>
    <t>APS Repo 44117</t>
  </si>
  <si>
    <t>APS Repo 44087</t>
  </si>
  <si>
    <t>NWM Repo 44263</t>
  </si>
  <si>
    <t>NWM Repo 44296</t>
  </si>
  <si>
    <t>NWM Repo 44077</t>
  </si>
  <si>
    <t>NWM Repo 44270</t>
  </si>
  <si>
    <t>NWM Repo 44076</t>
  </si>
  <si>
    <t>NWM Repo 44269</t>
  </si>
  <si>
    <t>NWM Repo 44078</t>
  </si>
  <si>
    <t>NWM Repo 44272</t>
  </si>
  <si>
    <t>NWM Repo 44271</t>
  </si>
  <si>
    <t>NWM Repo 44081</t>
  </si>
  <si>
    <t>NWM Repo 44104</t>
  </si>
  <si>
    <t>NWM Repo 44096</t>
  </si>
  <si>
    <t>NWM Repo 44106</t>
  </si>
  <si>
    <t>NWM Repo 44095</t>
  </si>
  <si>
    <t>NWM Repo 44105</t>
  </si>
  <si>
    <t>NWM Repo 44079</t>
  </si>
  <si>
    <t>NWM Repo 44273</t>
  </si>
  <si>
    <t>NWM EUR Repo 44080</t>
  </si>
  <si>
    <t>NWM EUR Repo 44262</t>
  </si>
  <si>
    <t>NWM EUR Repo 44261</t>
  </si>
  <si>
    <t>NWM EUR Repo 44084</t>
  </si>
  <si>
    <t>NWM EUR Repo 44097</t>
  </si>
  <si>
    <t>NWM EUR Repo 44094</t>
  </si>
  <si>
    <t>NWM</t>
  </si>
  <si>
    <t>NWM FF</t>
  </si>
  <si>
    <t>AWBURY</t>
  </si>
  <si>
    <t>KPMG Invoice</t>
  </si>
  <si>
    <t>BNY Invoice</t>
  </si>
  <si>
    <t>SS&amp;C Invoice</t>
  </si>
  <si>
    <t>46647YAG2</t>
  </si>
  <si>
    <t>05492MAE5</t>
  </si>
  <si>
    <t>87159QAW8</t>
  </si>
  <si>
    <t>Early term APS repo</t>
  </si>
  <si>
    <t>APS repo 44337</t>
  </si>
  <si>
    <t>APS repo 44338</t>
  </si>
  <si>
    <t>APS repo 44339</t>
  </si>
  <si>
    <t>NWM repo 44321</t>
  </si>
  <si>
    <t>NWM repo 44323</t>
  </si>
  <si>
    <t>NWM repo 44324</t>
  </si>
  <si>
    <t>NWM repo 44322</t>
  </si>
  <si>
    <t>85172MAD6</t>
  </si>
  <si>
    <t>85172MAC8</t>
  </si>
  <si>
    <t>50543LAB8</t>
  </si>
  <si>
    <t>3133KMEX9</t>
  </si>
  <si>
    <t>LMCP Invoice 118</t>
  </si>
  <si>
    <t>07/08/2021</t>
  </si>
  <si>
    <t>CF-CDO</t>
  </si>
  <si>
    <t>ALESC 7A A1B</t>
  </si>
  <si>
    <t>04/19/2005</t>
  </si>
  <si>
    <t>07/23/2035</t>
  </si>
  <si>
    <t>ALESC 7A A2</t>
  </si>
  <si>
    <t>05548WAJ6</t>
  </si>
  <si>
    <t>Barclays Commercial Mortgage S</t>
  </si>
  <si>
    <t>BBCMS 2018-TALL E</t>
  </si>
  <si>
    <t>03/28/2018</t>
  </si>
  <si>
    <t>03/15/2037</t>
  </si>
  <si>
    <t>CMBS 1.6</t>
  </si>
  <si>
    <t>Ba2</t>
  </si>
  <si>
    <t>01/10/2034</t>
  </si>
  <si>
    <t>30227FAL4</t>
  </si>
  <si>
    <t>Extended Stay America Trust</t>
  </si>
  <si>
    <t>ESA 2021-ESH E</t>
  </si>
  <si>
    <t>07/15/2038</t>
  </si>
  <si>
    <t>30227FAN0</t>
  </si>
  <si>
    <t>ESA 2021-ESH F</t>
  </si>
  <si>
    <t>2021-09-15</t>
  </si>
  <si>
    <t>FR RA5550</t>
  </si>
  <si>
    <t>06/01/2021</t>
  </si>
  <si>
    <t>WA 10%</t>
  </si>
  <si>
    <t>CA 37%</t>
  </si>
  <si>
    <t>VA 35%</t>
  </si>
  <si>
    <t>IA 33%</t>
  </si>
  <si>
    <t>07/20/2017</t>
  </si>
  <si>
    <t>07/20/2047</t>
  </si>
  <si>
    <t>05/20/2018</t>
  </si>
  <si>
    <t>05/20/2048</t>
  </si>
  <si>
    <t>07/20/2018</t>
  </si>
  <si>
    <t>07/20/2048</t>
  </si>
  <si>
    <t>02/20/2020</t>
  </si>
  <si>
    <t>08/20/2049</t>
  </si>
  <si>
    <t>06/20/2050</t>
  </si>
  <si>
    <t>05/20/2050</t>
  </si>
  <si>
    <t>JMP 2017-1A D</t>
  </si>
  <si>
    <t>06/29/2017</t>
  </si>
  <si>
    <t>07/17/2029</t>
  </si>
  <si>
    <t>Labrador Aviation Finance Limi</t>
  </si>
  <si>
    <t>PLANE  0</t>
  </si>
  <si>
    <t>LAFL 2016-1A B1</t>
  </si>
  <si>
    <t>12/15/2016</t>
  </si>
  <si>
    <t>01/15/2042</t>
  </si>
  <si>
    <t>ABSAIRCFT</t>
  </si>
  <si>
    <t>67107HAG8</t>
  </si>
  <si>
    <t>OZLM 2014-8A DRR</t>
  </si>
  <si>
    <t>11/15/2018</t>
  </si>
  <si>
    <t>10/17/2029</t>
  </si>
  <si>
    <t>05/05/2021</t>
  </si>
  <si>
    <t>05/17/2027</t>
  </si>
  <si>
    <t>Springleaf Funding Trust</t>
  </si>
  <si>
    <t>CNSM20.9</t>
  </si>
  <si>
    <t>SLFT 2015-BA C</t>
  </si>
  <si>
    <t>04/07/2015</t>
  </si>
  <si>
    <t>SLFT 2015-BA D</t>
  </si>
  <si>
    <t>Symphony CLO Ltd</t>
  </si>
  <si>
    <t>SYMP 2014-14A E</t>
  </si>
  <si>
    <t>07/14/2026</t>
  </si>
  <si>
    <t>06/15/2021</t>
  </si>
  <si>
    <t>Southern Apple 1</t>
  </si>
  <si>
    <t>50202KAA4</t>
  </si>
  <si>
    <t>Ladder Capital Commercial Mort</t>
  </si>
  <si>
    <t>LCCM 2021-FL2 A</t>
  </si>
  <si>
    <t>MMF dvds received</t>
  </si>
  <si>
    <t>APS borrow</t>
  </si>
  <si>
    <t>59801WAJ5</t>
  </si>
  <si>
    <t>94989AAC9</t>
  </si>
  <si>
    <t>ALMNDEUR1</t>
  </si>
  <si>
    <t>MAIN FUND - ALMONDEUR</t>
  </si>
  <si>
    <t>ALMONDEUR Change</t>
  </si>
  <si>
    <t>NWM Change</t>
  </si>
  <si>
    <t>58405JAA5</t>
  </si>
  <si>
    <t>58403XAE8</t>
  </si>
  <si>
    <t>12593QAL4</t>
  </si>
  <si>
    <t>June 16 BNY invoice returned</t>
  </si>
  <si>
    <t>38382VGL7</t>
  </si>
  <si>
    <t>38382VFQ7</t>
  </si>
  <si>
    <t>38382UBX8</t>
  </si>
  <si>
    <t>38382TP40</t>
  </si>
  <si>
    <t>38382THN7</t>
  </si>
  <si>
    <t>38382TD68</t>
  </si>
  <si>
    <t>38382TBX1</t>
  </si>
  <si>
    <t>38382NAP2</t>
  </si>
  <si>
    <t>38382FAY0</t>
  </si>
  <si>
    <t>3136BHU98</t>
  </si>
  <si>
    <t>3136BF5M1</t>
  </si>
  <si>
    <t>14686UAG0</t>
  </si>
  <si>
    <t>09630KAN4</t>
  </si>
  <si>
    <t>Pay SS&amp;C invoice</t>
  </si>
  <si>
    <t>ALMNDEUR2</t>
  </si>
  <si>
    <t>98885GAG3</t>
  </si>
  <si>
    <t>38382UHP9</t>
  </si>
  <si>
    <t>38382PZN5</t>
  </si>
  <si>
    <t>38382KQ48</t>
  </si>
  <si>
    <t>38382CXN6</t>
  </si>
  <si>
    <t>38380TXD3</t>
  </si>
  <si>
    <t>38380AVG9</t>
  </si>
  <si>
    <t>38379Q5M3</t>
  </si>
  <si>
    <t>33767BAC3</t>
  </si>
  <si>
    <t>31397VXD4</t>
  </si>
  <si>
    <t>3137FPZ73</t>
  </si>
  <si>
    <t>3137FLYE8</t>
  </si>
  <si>
    <t>3137F97B1</t>
  </si>
  <si>
    <t>3137F8RH8</t>
  </si>
  <si>
    <t>3137F7HN8</t>
  </si>
  <si>
    <t>3137BHE45</t>
  </si>
  <si>
    <t>3136B3X39</t>
  </si>
  <si>
    <t>3136ASL95</t>
  </si>
  <si>
    <t>25255DAA8</t>
  </si>
  <si>
    <t>171653AA6</t>
  </si>
  <si>
    <t>14889HAG4</t>
  </si>
  <si>
    <t>05580HAS8</t>
  </si>
  <si>
    <t>81761TAE5</t>
  </si>
  <si>
    <t>BNPP IP CLO LTD</t>
  </si>
  <si>
    <t>BNPIP 2014-2A DR</t>
  </si>
  <si>
    <t>07/31/2017</t>
  </si>
  <si>
    <t>10/30/2025</t>
  </si>
  <si>
    <t>2021-10-15</t>
  </si>
  <si>
    <t>COMM 2015-CR26 E</t>
  </si>
  <si>
    <t>10/10/2048</t>
  </si>
  <si>
    <t>Carvana Auto Receivables Trust</t>
  </si>
  <si>
    <t>CRVNA 2019-2A E</t>
  </si>
  <si>
    <t>06/27/2019</t>
  </si>
  <si>
    <t>Catamaran CLO Ltd</t>
  </si>
  <si>
    <t>CRMN 2014-2A C</t>
  </si>
  <si>
    <t>09/18/2014</t>
  </si>
  <si>
    <t>10/18/2026</t>
  </si>
  <si>
    <t>CIBANCO SA INS DE BANCA</t>
  </si>
  <si>
    <t>07/22/2021</t>
  </si>
  <si>
    <t>07/22/2031</t>
  </si>
  <si>
    <t>2022-01-18</t>
  </si>
  <si>
    <t>FNR 2016-40 ES</t>
  </si>
  <si>
    <t>07/25/2046</t>
  </si>
  <si>
    <t>EXCH,IO,NTL,W</t>
  </si>
  <si>
    <t>03/25/2049</t>
  </si>
  <si>
    <t>MI 8%</t>
  </si>
  <si>
    <t>FNJMC3.5</t>
  </si>
  <si>
    <t>FNR 2021-30 PS</t>
  </si>
  <si>
    <t>04/25/2021</t>
  </si>
  <si>
    <t>12/25/2047</t>
  </si>
  <si>
    <t>WA 9%</t>
  </si>
  <si>
    <t>FHR 4466 SB</t>
  </si>
  <si>
    <t>04/15/2015</t>
  </si>
  <si>
    <t>04/15/2045</t>
  </si>
  <si>
    <t>FHR 5052 KI</t>
  </si>
  <si>
    <t>12/25/2050</t>
  </si>
  <si>
    <t>FNCL 2.5</t>
  </si>
  <si>
    <t>FHR 5065 IH</t>
  </si>
  <si>
    <t>IO,NTL,PAC</t>
  </si>
  <si>
    <t>FNCL 3.5</t>
  </si>
  <si>
    <t>FHR 5072 IQ</t>
  </si>
  <si>
    <t>FGLMC  5</t>
  </si>
  <si>
    <t>FHR 4876 SA</t>
  </si>
  <si>
    <t>04/15/2019</t>
  </si>
  <si>
    <t>05/15/2049</t>
  </si>
  <si>
    <t>FN   0.1</t>
  </si>
  <si>
    <t>FNS 423 C8</t>
  </si>
  <si>
    <t>01/25/2047</t>
  </si>
  <si>
    <t>07/01/2021</t>
  </si>
  <si>
    <t>FIRSTENERGY TRANSMISSION</t>
  </si>
  <si>
    <t>Utilities</t>
  </si>
  <si>
    <t>03/28/2019</t>
  </si>
  <si>
    <t>NY 32%</t>
  </si>
  <si>
    <t>GS Mortgage-Backed Securities</t>
  </si>
  <si>
    <t>WH30 2.9</t>
  </si>
  <si>
    <t>09/25/2051</t>
  </si>
  <si>
    <t>G2JM 3.5</t>
  </si>
  <si>
    <t>GNR 2015-153 NI</t>
  </si>
  <si>
    <t>10/20/2045</t>
  </si>
  <si>
    <t>EXCH,IO,NTL,PAC</t>
  </si>
  <si>
    <t>GNR 2017-114 IK</t>
  </si>
  <si>
    <t>10/20/2044</t>
  </si>
  <si>
    <t>SC,IO,NTL,PT</t>
  </si>
  <si>
    <t>11/20/2049</t>
  </si>
  <si>
    <t>GNR 2020-18 SY</t>
  </si>
  <si>
    <t>02/20/2050</t>
  </si>
  <si>
    <t>NC 6%</t>
  </si>
  <si>
    <t>GNR 2020-77 MI</t>
  </si>
  <si>
    <t>03/20/2048</t>
  </si>
  <si>
    <t>G2SF   2</t>
  </si>
  <si>
    <t>GNR 2020-160 IG</t>
  </si>
  <si>
    <t>GNR 2021-16 IO</t>
  </si>
  <si>
    <t>SC,IO,DLY,NTL,W,PT</t>
  </si>
  <si>
    <t>G2SF 2.5</t>
  </si>
  <si>
    <t>03/01/2021</t>
  </si>
  <si>
    <t>05/01/2021</t>
  </si>
  <si>
    <t>06/20/2051</t>
  </si>
  <si>
    <t>GNR 2021-98 UI</t>
  </si>
  <si>
    <t>GNR 2021-107 JI</t>
  </si>
  <si>
    <t>GNR 2021-104 IL</t>
  </si>
  <si>
    <t>G2JM   3</t>
  </si>
  <si>
    <t>GNR 2021-97 EI</t>
  </si>
  <si>
    <t>05/20/2045</t>
  </si>
  <si>
    <t>SC,IO,NTL,AD,PAC</t>
  </si>
  <si>
    <t>GNR 2021-97 IA</t>
  </si>
  <si>
    <t>07/13/2021</t>
  </si>
  <si>
    <t>12/13/2038</t>
  </si>
  <si>
    <t>Medalist Partners Corporate Fi</t>
  </si>
  <si>
    <t>02/27/2020</t>
  </si>
  <si>
    <t>04/17/2033</t>
  </si>
  <si>
    <t>MPCF 2020-1A D</t>
  </si>
  <si>
    <t>MIDO 2017-7A D</t>
  </si>
  <si>
    <t>07/06/2017</t>
  </si>
  <si>
    <t>07/15/2029</t>
  </si>
  <si>
    <t>CA 52%</t>
  </si>
  <si>
    <t>ServiceMaster Brands</t>
  </si>
  <si>
    <t>SERV 2021-1 A2I</t>
  </si>
  <si>
    <t>WFCM 2014-LC18 E</t>
  </si>
  <si>
    <t>BBL</t>
  </si>
  <si>
    <t>Zais CLO 8, Limited</t>
  </si>
  <si>
    <t>ZAIS8 2018-1A D</t>
  </si>
  <si>
    <t>03/08/2018</t>
  </si>
  <si>
    <t>04/15/2029</t>
  </si>
  <si>
    <t>South'n Almnd E1</t>
  </si>
  <si>
    <t>07/15/2021</t>
  </si>
  <si>
    <t>South'n Almnd U1</t>
  </si>
  <si>
    <t>CORPFIX</t>
  </si>
  <si>
    <t>Pierpont margin</t>
  </si>
  <si>
    <t>Pierpont repo</t>
  </si>
  <si>
    <t>Almond repayment received (pledgor ref # 994)</t>
  </si>
  <si>
    <t>9128287D6</t>
  </si>
  <si>
    <t>28853BAA2</t>
  </si>
  <si>
    <t>Return Pierpont margin</t>
  </si>
  <si>
    <t>38378HJJ6</t>
  </si>
  <si>
    <t>629167AC1</t>
  </si>
  <si>
    <t>38382WJV0</t>
  </si>
  <si>
    <t>3140QLR73</t>
  </si>
  <si>
    <t>ALMNDEUR3</t>
  </si>
  <si>
    <t>33830JAB1</t>
  </si>
  <si>
    <t>3137H1XP6</t>
  </si>
  <si>
    <t>49054 repo</t>
  </si>
  <si>
    <t>49055 repo</t>
  </si>
  <si>
    <t>63874UAL8</t>
  </si>
  <si>
    <t>3133AQZP5</t>
  </si>
  <si>
    <t>29280LAA1</t>
  </si>
  <si>
    <t>19624HAN8</t>
  </si>
  <si>
    <t>07386HKJ9</t>
  </si>
  <si>
    <t>3136BF6C2</t>
  </si>
  <si>
    <t>371494AK1</t>
  </si>
  <si>
    <t>Tri Party IGCorp</t>
  </si>
  <si>
    <t>8/10/2021</t>
  </si>
  <si>
    <t>8/10/2031</t>
  </si>
  <si>
    <t>TRIPTYIGCORP</t>
  </si>
  <si>
    <t>2063C0VL3</t>
  </si>
  <si>
    <t>Concord</t>
  </si>
  <si>
    <t>8/13/2021</t>
  </si>
  <si>
    <t>8/20/2021</t>
  </si>
  <si>
    <t>A1/P1</t>
  </si>
  <si>
    <t>MMFCP</t>
  </si>
  <si>
    <t>BX Trust</t>
  </si>
  <si>
    <t>CMBS 4.7</t>
  </si>
  <si>
    <t>Bear Stearns Alt-A Trust</t>
  </si>
  <si>
    <t>BALTA 2004-7 1A1</t>
  </si>
  <si>
    <t>08/25/2034</t>
  </si>
  <si>
    <t>CSTR,AS</t>
  </si>
  <si>
    <t>COLONY MULTIFAMILY MORTGAGE TR</t>
  </si>
  <si>
    <t>COLNY 2014-1 F</t>
  </si>
  <si>
    <t>04/20/2050</t>
  </si>
  <si>
    <t>ECLO 2019-4A E1</t>
  </si>
  <si>
    <t>03/08/2019</t>
  </si>
  <si>
    <t>MEZ,FLT,RFID</t>
  </si>
  <si>
    <t>ENFRAGEN ENERGIA SUR SA</t>
  </si>
  <si>
    <t>12/17/2020</t>
  </si>
  <si>
    <t>12/30/2030</t>
  </si>
  <si>
    <t>MO 7%</t>
  </si>
  <si>
    <t>IL 12%</t>
  </si>
  <si>
    <t>08/01/2021</t>
  </si>
  <si>
    <t>IL 20%</t>
  </si>
  <si>
    <t>OR 11%</t>
  </si>
  <si>
    <t>FR QC6150</t>
  </si>
  <si>
    <t>08/01/2051</t>
  </si>
  <si>
    <t>NC 22%</t>
  </si>
  <si>
    <t>AL 18%</t>
  </si>
  <si>
    <t>MN 16%</t>
  </si>
  <si>
    <t>CA 70%</t>
  </si>
  <si>
    <t>WA 12%</t>
  </si>
  <si>
    <t>FNCT   3</t>
  </si>
  <si>
    <t>FNR 2021-30 AI</t>
  </si>
  <si>
    <t>05/25/2041</t>
  </si>
  <si>
    <t>FHR 5129 AI</t>
  </si>
  <si>
    <t>08/25/2041</t>
  </si>
  <si>
    <t>MS 36%</t>
  </si>
  <si>
    <t>PA 28%</t>
  </si>
  <si>
    <t>CT 15%</t>
  </si>
  <si>
    <t>FN CB1409</t>
  </si>
  <si>
    <t>Five Guys Funding, LLC</t>
  </si>
  <si>
    <t>GUYS 2017-1AW 1AW</t>
  </si>
  <si>
    <t>06/27/2017</t>
  </si>
  <si>
    <t>07/25/2047</t>
  </si>
  <si>
    <t>2019-10-25</t>
  </si>
  <si>
    <t>NC 19%</t>
  </si>
  <si>
    <t>06/01/2014</t>
  </si>
  <si>
    <t>06/10/2047</t>
  </si>
  <si>
    <t>GNR 2012-106 SE</t>
  </si>
  <si>
    <t>09/20/2012</t>
  </si>
  <si>
    <t>03/20/2042</t>
  </si>
  <si>
    <t>NY 16%</t>
  </si>
  <si>
    <t>GNR 2021-125 IN</t>
  </si>
  <si>
    <t>07/20/2051</t>
  </si>
  <si>
    <t>TX 65%</t>
  </si>
  <si>
    <t>54303PAW5</t>
  </si>
  <si>
    <t>Longfellow Place CLO Ltd</t>
  </si>
  <si>
    <t>LONGF 2013-1A DRR</t>
  </si>
  <si>
    <t>04/18/2017</t>
  </si>
  <si>
    <t>NLY 2019-FL2 AS</t>
  </si>
  <si>
    <t>Natixis Commercial Mortgage Se</t>
  </si>
  <si>
    <t>NCMS 2019-10K E</t>
  </si>
  <si>
    <t>05/15/2039</t>
  </si>
  <si>
    <t>67076XAJ4</t>
  </si>
  <si>
    <t>NYC Commercial Mortgage Trust</t>
  </si>
  <si>
    <t>CMBS 3.2</t>
  </si>
  <si>
    <t>NYC 2021-909 E</t>
  </si>
  <si>
    <t>04/10/2043</t>
  </si>
  <si>
    <t>TSY INFL IX N/B</t>
  </si>
  <si>
    <t>ALMNDUSD3</t>
  </si>
  <si>
    <t>South'n Almnd U3</t>
  </si>
  <si>
    <t>Southern Apple 2</t>
  </si>
  <si>
    <t>Southern Apple 3</t>
  </si>
  <si>
    <t>OCP CLO Ltd</t>
  </si>
  <si>
    <t>USG6744EAC42</t>
  </si>
  <si>
    <t>OCP 2016-12X DR</t>
  </si>
  <si>
    <t>10/18/2018</t>
  </si>
  <si>
    <t>10/18/2028</t>
  </si>
  <si>
    <t>40390GAA6</t>
  </si>
  <si>
    <t>HOA Funding LLC</t>
  </si>
  <si>
    <t>HOA 2021-1A A2</t>
  </si>
  <si>
    <t>Set Source</t>
  </si>
  <si>
    <t>IDC</t>
  </si>
  <si>
    <t>JPPD</t>
  </si>
  <si>
    <t>MMT</t>
  </si>
  <si>
    <t>Lucid</t>
  </si>
  <si>
    <t>YB</t>
  </si>
  <si>
    <t>Olive</t>
  </si>
  <si>
    <t>OLIVE EUR</t>
  </si>
  <si>
    <t>Swing mgmt fee to mgmt account</t>
  </si>
  <si>
    <t>Pay mgmt fee invoice 119</t>
  </si>
  <si>
    <t>42088AAA2</t>
  </si>
  <si>
    <t>08/20/2021</t>
  </si>
  <si>
    <t>08/19/2021</t>
  </si>
  <si>
    <t>08/20/2051</t>
  </si>
  <si>
    <t>2022-01-20</t>
  </si>
  <si>
    <t>52953BBJ1</t>
  </si>
  <si>
    <t>81747MCD9</t>
  </si>
  <si>
    <t>SEMT 2019-CH1 B1B</t>
  </si>
  <si>
    <t>46590YAF1</t>
  </si>
  <si>
    <t>JPMMT 2017-5 B4</t>
  </si>
  <si>
    <t>10/26/2048</t>
  </si>
  <si>
    <t>MA 7%</t>
  </si>
  <si>
    <t>Olive borrow delivered early</t>
  </si>
  <si>
    <t>09/01/2051</t>
  </si>
  <si>
    <t>Pay Mourant fees</t>
  </si>
  <si>
    <t>Pay BNYM fees</t>
  </si>
  <si>
    <t>Receive Olive upfront fee</t>
  </si>
  <si>
    <t>FX EUR</t>
  </si>
  <si>
    <t>XS2373029748</t>
  </si>
  <si>
    <t>MAIN FUND - OLIVEEUR</t>
  </si>
  <si>
    <t>OLIVEEUR Change</t>
  </si>
  <si>
    <t>CA 36%</t>
  </si>
  <si>
    <t>WA 18%</t>
  </si>
  <si>
    <t>RMBSIO</t>
  </si>
  <si>
    <t>IO,CSTR,DLY,NTL,PT</t>
  </si>
  <si>
    <t>WHARM3.1</t>
  </si>
  <si>
    <t>59801RAG2</t>
  </si>
  <si>
    <t>MIDO 2016-5A ER</t>
  </si>
  <si>
    <t>09/13/2018</t>
  </si>
  <si>
    <t>07/19/2028</t>
  </si>
  <si>
    <t>FL 4%</t>
  </si>
  <si>
    <t>Palmer Square Loan Funding Ltd</t>
  </si>
  <si>
    <t>87276VAL9</t>
  </si>
  <si>
    <t>TRTX 2019-FL3 E</t>
  </si>
  <si>
    <t>Lake Olive EUR</t>
  </si>
  <si>
    <t>NWM repo</t>
  </si>
  <si>
    <t>Pay Olive set up fee</t>
  </si>
  <si>
    <t>Swing Olive set up fee</t>
  </si>
  <si>
    <t>Accrued to date</t>
  </si>
  <si>
    <t>38382FAF1</t>
  </si>
  <si>
    <t>38381YRU0</t>
  </si>
  <si>
    <t>38380YYC3</t>
  </si>
  <si>
    <t>38379BMP0</t>
  </si>
  <si>
    <t>3136BGHV6</t>
  </si>
  <si>
    <t>98625VAG5</t>
  </si>
  <si>
    <t>98625RAE9</t>
  </si>
  <si>
    <t>83609GBS3</t>
  </si>
  <si>
    <t>50190DAY2</t>
  </si>
  <si>
    <t>3140QLZH2</t>
  </si>
  <si>
    <t>3140QG6G7</t>
  </si>
  <si>
    <t>3140LN4L8</t>
  </si>
  <si>
    <t>27830CAJ1</t>
  </si>
  <si>
    <t>23222XAQ4</t>
  </si>
  <si>
    <t>12591YAG0</t>
  </si>
  <si>
    <t>12591UAP8</t>
  </si>
  <si>
    <t>12591QAD4</t>
  </si>
  <si>
    <t>00176BAH6</t>
  </si>
  <si>
    <t>APS repos</t>
  </si>
  <si>
    <t>AMMC 2013-13A B2L1</t>
  </si>
  <si>
    <t>07/24/2017</t>
  </si>
  <si>
    <t>07/24/2029</t>
  </si>
  <si>
    <t>COMM 2014-UBS4 D</t>
  </si>
  <si>
    <t>08/10/2047</t>
  </si>
  <si>
    <t>CMBS   5</t>
  </si>
  <si>
    <t>COMM 2014-UBS2 D</t>
  </si>
  <si>
    <t>03/01/2014</t>
  </si>
  <si>
    <t>03/10/2047</t>
  </si>
  <si>
    <t>COMM 2014-UBS3 D</t>
  </si>
  <si>
    <t>Cutwater Ltd</t>
  </si>
  <si>
    <t>CTWTR 2014-2A CR</t>
  </si>
  <si>
    <t>03/29/2017</t>
  </si>
  <si>
    <t>01/15/2027</t>
  </si>
  <si>
    <t>Eaton Vance CDO Ltd</t>
  </si>
  <si>
    <t>EATON 2013-1A D3R</t>
  </si>
  <si>
    <t>02/10/2021</t>
  </si>
  <si>
    <t>2021-11-25</t>
  </si>
  <si>
    <t>TX 21%</t>
  </si>
  <si>
    <t>VA 4%</t>
  </si>
  <si>
    <t>08/25/2051</t>
  </si>
  <si>
    <t>NJ 31%</t>
  </si>
  <si>
    <t>DC 5%</t>
  </si>
  <si>
    <t>GA 67%</t>
  </si>
  <si>
    <t>FL 33%</t>
  </si>
  <si>
    <t>CO 65%</t>
  </si>
  <si>
    <t>MO 35%</t>
  </si>
  <si>
    <t>CA 35%</t>
  </si>
  <si>
    <t>MO 15%</t>
  </si>
  <si>
    <t>NC 8%</t>
  </si>
  <si>
    <t>FN BT0826</t>
  </si>
  <si>
    <t>06/01/2051</t>
  </si>
  <si>
    <t>FL 45%</t>
  </si>
  <si>
    <t>AL 4%</t>
  </si>
  <si>
    <t>FN CA8970</t>
  </si>
  <si>
    <t>02/01/2051</t>
  </si>
  <si>
    <t>FN CB1643</t>
  </si>
  <si>
    <t>NM 12%</t>
  </si>
  <si>
    <t>VA 14%</t>
  </si>
  <si>
    <t>09/01/2021</t>
  </si>
  <si>
    <t>33766NAJ3</t>
  </si>
  <si>
    <t>FIRSTBANK</t>
  </si>
  <si>
    <t>08/31/2020</t>
  </si>
  <si>
    <t>CA 34%</t>
  </si>
  <si>
    <t>AZ 6%</t>
  </si>
  <si>
    <t>GNR 2014-60 SE</t>
  </si>
  <si>
    <t>04/20/2014</t>
  </si>
  <si>
    <t>GNR 2018-127 IE</t>
  </si>
  <si>
    <t>01/20/2046</t>
  </si>
  <si>
    <t>GNR 2019-117 SN</t>
  </si>
  <si>
    <t>09/20/2019</t>
  </si>
  <si>
    <t>GNR 2020-77 ES</t>
  </si>
  <si>
    <t>05/20/2020</t>
  </si>
  <si>
    <t>CA 41%</t>
  </si>
  <si>
    <t>MD 12%</t>
  </si>
  <si>
    <t>LCCM 2017-LC26 D</t>
  </si>
  <si>
    <t>07/12/2050</t>
  </si>
  <si>
    <t>69689NAA0</t>
  </si>
  <si>
    <t>PSTAT 2019-3A D</t>
  </si>
  <si>
    <t>08/08/2019</t>
  </si>
  <si>
    <t>08/20/2027</t>
  </si>
  <si>
    <t>2021-12-15</t>
  </si>
  <si>
    <t>Sound Point CLO LTD</t>
  </si>
  <si>
    <t>SNDPT 2015-2A CRRR</t>
  </si>
  <si>
    <t>09/16/2021</t>
  </si>
  <si>
    <t>07/20/2032</t>
  </si>
  <si>
    <t>85917AAC4</t>
  </si>
  <si>
    <t>STERLING BANCORP/DE</t>
  </si>
  <si>
    <t>91678VAD3</t>
  </si>
  <si>
    <t>UPST 2018-2 D</t>
  </si>
  <si>
    <t>08/08/2018</t>
  </si>
  <si>
    <t>12/22/2025</t>
  </si>
  <si>
    <t>12/12/2017</t>
  </si>
  <si>
    <t>01/22/2031</t>
  </si>
  <si>
    <t>08/23/2017</t>
  </si>
  <si>
    <t>10/20/2029</t>
  </si>
  <si>
    <t>14889FAJ2</t>
  </si>
  <si>
    <t>OLIVE USD</t>
  </si>
  <si>
    <t>Errant coupon received NWM</t>
  </si>
  <si>
    <t>Corp bond coupons received</t>
  </si>
  <si>
    <t>New NWM EUR repos</t>
  </si>
  <si>
    <t>New NWM USD repos</t>
  </si>
  <si>
    <t>FX</t>
  </si>
  <si>
    <t>6/15-9/15 facility fees settled (USD more due to apple size $16mm not $14mm)</t>
  </si>
  <si>
    <t>Mgmt. fee swings settled 9/15</t>
  </si>
  <si>
    <t>Ord expense swings settled 9/15</t>
  </si>
  <si>
    <t>NWM errant coupon return</t>
  </si>
  <si>
    <t>Pay mgmt fee invoice 120</t>
  </si>
  <si>
    <t>06054ABE8</t>
  </si>
  <si>
    <t>APS pairoff</t>
  </si>
  <si>
    <t>Partial receipt Elm/Spruce paydowns from NWM</t>
  </si>
  <si>
    <t>62432PAJ1</t>
  </si>
  <si>
    <t>50543LAA0</t>
  </si>
  <si>
    <t>3140LVH69</t>
  </si>
  <si>
    <t>Banc of America Commercial Mor</t>
  </si>
  <si>
    <t>BACM 2015-UBS7 D</t>
  </si>
  <si>
    <t>09/15/2048</t>
  </si>
  <si>
    <t>CRMN 2014-1A DR</t>
  </si>
  <si>
    <t>10/31/2017</t>
  </si>
  <si>
    <t>FNJMCK</t>
  </si>
  <si>
    <t>FN BT6552</t>
  </si>
  <si>
    <t>CA 54%</t>
  </si>
  <si>
    <t>NJ 15%</t>
  </si>
  <si>
    <t>09/20/2051</t>
  </si>
  <si>
    <t>LAFL 2016-1A A1</t>
  </si>
  <si>
    <t>MOUNTAIN VIEW CLO</t>
  </si>
  <si>
    <t>MVEW 2019-2A D</t>
  </si>
  <si>
    <t>01/24/2020</t>
  </si>
  <si>
    <t>38381DUJ7</t>
  </si>
  <si>
    <t>MULTI2.6</t>
  </si>
  <si>
    <t>GNR 2021-124 IO</t>
  </si>
  <si>
    <t>10/16/2062</t>
  </si>
  <si>
    <t>VA 10%</t>
  </si>
  <si>
    <t>12481HAW5</t>
  </si>
  <si>
    <t>CBAM CLO Management</t>
  </si>
  <si>
    <t>CBAM 2017-3A DR</t>
  </si>
  <si>
    <t>12661XAC6</t>
  </si>
  <si>
    <t>WH30 3.2</t>
  </si>
  <si>
    <t>CSMC 2021-INV1 A3</t>
  </si>
  <si>
    <t>34417RAA4</t>
  </si>
  <si>
    <t>Focus Brands Funding LLC</t>
  </si>
  <si>
    <t>FOCUS 2017-1A A2IB</t>
  </si>
  <si>
    <t>05591XAA9</t>
  </si>
  <si>
    <t>55284AAA6</t>
  </si>
  <si>
    <t>Pierpont new borrow</t>
  </si>
  <si>
    <t>26209XAD3</t>
  </si>
  <si>
    <t>38382WC62</t>
  </si>
  <si>
    <t>38382WZR1</t>
  </si>
  <si>
    <t>38382WC70</t>
  </si>
  <si>
    <t>38382XUH6</t>
  </si>
  <si>
    <t>36263KAB7</t>
  </si>
  <si>
    <t>36263KAD3</t>
  </si>
  <si>
    <t>90354XAV2</t>
  </si>
  <si>
    <t>92331MAD0</t>
  </si>
  <si>
    <t>67109XAA4</t>
  </si>
  <si>
    <t>30297HAW1</t>
  </si>
  <si>
    <t>05609VAS4</t>
  </si>
  <si>
    <t>EUR adjustment</t>
  </si>
  <si>
    <t>36264PAH2</t>
  </si>
  <si>
    <t>APS term</t>
  </si>
  <si>
    <t>APS open</t>
  </si>
  <si>
    <t>58960CAC3</t>
  </si>
  <si>
    <t>55282XAJ9</t>
  </si>
  <si>
    <t>07336LBL6</t>
  </si>
  <si>
    <t>NWM 9/15 pairoff receive</t>
  </si>
  <si>
    <t>DGCXX DVD receipt</t>
  </si>
  <si>
    <t>38383ALC6</t>
  </si>
  <si>
    <t>38382XX42</t>
  </si>
  <si>
    <t>38382XLQ6</t>
  </si>
  <si>
    <t>38382WAV9</t>
  </si>
  <si>
    <t>38382W3Q8</t>
  </si>
  <si>
    <t>38382KDB6</t>
  </si>
  <si>
    <t>38382GK35</t>
  </si>
  <si>
    <t>38382DMR7</t>
  </si>
  <si>
    <t>38382DJV2</t>
  </si>
  <si>
    <t>38381WJT6</t>
  </si>
  <si>
    <t>38378UWY9</t>
  </si>
  <si>
    <t>3136BHPT0</t>
  </si>
  <si>
    <t>3136BHEL9</t>
  </si>
  <si>
    <t>3136BCQ29</t>
  </si>
  <si>
    <t>38381AFX9</t>
  </si>
  <si>
    <t>APS new</t>
  </si>
  <si>
    <t>Small adjustment to match bnym</t>
  </si>
  <si>
    <t>38381WQY7</t>
  </si>
  <si>
    <t>38381TYV1</t>
  </si>
  <si>
    <t>3136A17L3</t>
  </si>
  <si>
    <t>Fir interest settled to Awbury</t>
  </si>
  <si>
    <t>Fir principal settled to Awbury</t>
  </si>
  <si>
    <t>61772TBH6</t>
  </si>
  <si>
    <t>23076TAG2</t>
  </si>
  <si>
    <t>00180VAA1</t>
  </si>
  <si>
    <t>91832YAJ7</t>
  </si>
  <si>
    <t>87276VAJ4</t>
  </si>
  <si>
    <t>74387MAR0</t>
  </si>
  <si>
    <t>53946JAJ3</t>
  </si>
  <si>
    <t>48275RAL1</t>
  </si>
  <si>
    <t>48275RAJ6</t>
  </si>
  <si>
    <t>46634SAM7</t>
  </si>
  <si>
    <t>36361VAA6</t>
  </si>
  <si>
    <t>12566PBL8</t>
  </si>
  <si>
    <t>06761DAA5</t>
  </si>
  <si>
    <t>05586AAJ7</t>
  </si>
  <si>
    <t>03880VAL4</t>
  </si>
  <si>
    <t>02666BAE6</t>
  </si>
  <si>
    <t>96525YAJ8</t>
  </si>
  <si>
    <t>83610CBA8</t>
  </si>
  <si>
    <t>83609GBU8</t>
  </si>
  <si>
    <t>58549KBM2</t>
  </si>
  <si>
    <t>55284FBC0</t>
  </si>
  <si>
    <t>46650JAT1</t>
  </si>
  <si>
    <t>44933WAG4</t>
  </si>
  <si>
    <t>38379QZE8</t>
  </si>
  <si>
    <t>3617NMS54</t>
  </si>
  <si>
    <t>3140HKWD6</t>
  </si>
  <si>
    <t>52606YAC8</t>
  </si>
  <si>
    <t>44988FAD2</t>
  </si>
  <si>
    <t>38376UEG0</t>
  </si>
  <si>
    <t>3136BCE55</t>
  </si>
  <si>
    <t>Pierpont rolls</t>
  </si>
  <si>
    <t>ANB CORP</t>
  </si>
  <si>
    <t>09/28/2020</t>
  </si>
  <si>
    <t>09/30/2030</t>
  </si>
  <si>
    <t>AH4R 2015-SFR2 E</t>
  </si>
  <si>
    <t>Arbor Realty Collateralized Lo</t>
  </si>
  <si>
    <t>ARCLO 2019-FL2 E</t>
  </si>
  <si>
    <t>09/15/2034</t>
  </si>
  <si>
    <t>BSPRT 2018-FL4 Issuer, Ltd.</t>
  </si>
  <si>
    <t>BSPRT 2018-FL4 D</t>
  </si>
  <si>
    <t>10/12/2018</t>
  </si>
  <si>
    <t>09/15/2035</t>
  </si>
  <si>
    <t>07/20/2021</t>
  </si>
  <si>
    <t>05608WAA2</t>
  </si>
  <si>
    <t>BX 2021-SOAR A</t>
  </si>
  <si>
    <t>06/28/2021</t>
  </si>
  <si>
    <t>06/15/2038</t>
  </si>
  <si>
    <t>FLT,SEQ</t>
  </si>
  <si>
    <t>05608WAG9</t>
  </si>
  <si>
    <t>BX 2021-SOAR B</t>
  </si>
  <si>
    <t>05608WAJ3</t>
  </si>
  <si>
    <t>BX 2021-SOAR C</t>
  </si>
  <si>
    <t>05608WAL8</t>
  </si>
  <si>
    <t>BX 2021-SOAR D</t>
  </si>
  <si>
    <t>05608WAQ7</t>
  </si>
  <si>
    <t>BX 2021-SOAR F</t>
  </si>
  <si>
    <t>CMBS   2</t>
  </si>
  <si>
    <t>BX 2021-VOLT G</t>
  </si>
  <si>
    <t>09/29/2021</t>
  </si>
  <si>
    <t>10/01/2021</t>
  </si>
  <si>
    <t>2022-01-19</t>
  </si>
  <si>
    <t>Bayview MSR Opportunity Master</t>
  </si>
  <si>
    <t>WH30 3.4</t>
  </si>
  <si>
    <t>BVINV 2021-2 A20</t>
  </si>
  <si>
    <t>06/25/2051</t>
  </si>
  <si>
    <t>EXCH,AFC,SSUP</t>
  </si>
  <si>
    <t>CO 9%</t>
  </si>
  <si>
    <t>AltAA3.2</t>
  </si>
  <si>
    <t>07/19/2021</t>
  </si>
  <si>
    <t>CIM 2021-INV1 AX2</t>
  </si>
  <si>
    <t>EXCH,IO,CSTR,NTL</t>
  </si>
  <si>
    <t>CMBS 3.4</t>
  </si>
  <si>
    <t>07/25/2056</t>
  </si>
  <si>
    <t>HELOC3.8</t>
  </si>
  <si>
    <t>2022-01-24</t>
  </si>
  <si>
    <t>2021-12-27</t>
  </si>
  <si>
    <t>Driven Brands Funding, LLC</t>
  </si>
  <si>
    <t>HONK 2021-1A A2</t>
  </si>
  <si>
    <t>10/20/2051</t>
  </si>
  <si>
    <t>2022-01-14</t>
  </si>
  <si>
    <t>CA 25%</t>
  </si>
  <si>
    <t>FREMF Mortgage Trust</t>
  </si>
  <si>
    <t>MULTI4.3</t>
  </si>
  <si>
    <t>FREMF 2018-K81 X2B</t>
  </si>
  <si>
    <t>VA 64%</t>
  </si>
  <si>
    <t>NC 36%</t>
  </si>
  <si>
    <t>FL 30%</t>
  </si>
  <si>
    <t>FNR 2012-9 SK</t>
  </si>
  <si>
    <t>FL 36%</t>
  </si>
  <si>
    <t>FNR 2021-40 JI</t>
  </si>
  <si>
    <t>MN 26%</t>
  </si>
  <si>
    <t>NJ 25%</t>
  </si>
  <si>
    <t>TX 56%</t>
  </si>
  <si>
    <t>MI 44%</t>
  </si>
  <si>
    <t>CA 68%</t>
  </si>
  <si>
    <t>AZ 11%</t>
  </si>
  <si>
    <t>WV 9%</t>
  </si>
  <si>
    <t>NC 15%</t>
  </si>
  <si>
    <t>MO 10%</t>
  </si>
  <si>
    <t>AL 23%</t>
  </si>
  <si>
    <t>03/04/2021</t>
  </si>
  <si>
    <t>04/30/2047</t>
  </si>
  <si>
    <t>NY 33%</t>
  </si>
  <si>
    <t>PR 13%</t>
  </si>
  <si>
    <t>GNPN</t>
  </si>
  <si>
    <t>GN BV7740</t>
  </si>
  <si>
    <t>07/15/2050</t>
  </si>
  <si>
    <t>KS 100%</t>
  </si>
  <si>
    <t>AL 21%</t>
  </si>
  <si>
    <t>TN 6%</t>
  </si>
  <si>
    <t>WH30 3.3</t>
  </si>
  <si>
    <t>GSMBS 2021-INV1 A2</t>
  </si>
  <si>
    <t>12/25/2051</t>
  </si>
  <si>
    <t>EXCH,SSNR</t>
  </si>
  <si>
    <t>CA 40%</t>
  </si>
  <si>
    <t>GSMBS 2021-INV1 A4</t>
  </si>
  <si>
    <t>EXCH,SSUP</t>
  </si>
  <si>
    <t>G2SF 6.2</t>
  </si>
  <si>
    <t>GNR 2017-60 SC</t>
  </si>
  <si>
    <t>04/20/2017</t>
  </si>
  <si>
    <t>02/20/2038</t>
  </si>
  <si>
    <t>GNR 2013-152 HS</t>
  </si>
  <si>
    <t>10/20/2013</t>
  </si>
  <si>
    <t>06/20/2043</t>
  </si>
  <si>
    <t>IO,INV,NTL,AD,PAC</t>
  </si>
  <si>
    <t>GNR 2015-144 ES</t>
  </si>
  <si>
    <t>10/20/2015</t>
  </si>
  <si>
    <t>GNR 2018-147 SB</t>
  </si>
  <si>
    <t>10/20/2018</t>
  </si>
  <si>
    <t>GNR 2019-45 SN</t>
  </si>
  <si>
    <t>04/20/2019</t>
  </si>
  <si>
    <t>04/20/2049</t>
  </si>
  <si>
    <t>GNR 2019-72 CS</t>
  </si>
  <si>
    <t>06/20/2019</t>
  </si>
  <si>
    <t>06/20/2049</t>
  </si>
  <si>
    <t>GNR 2019-69 PI</t>
  </si>
  <si>
    <t>01/20/2048</t>
  </si>
  <si>
    <t>EXCH,SC,IO,NTL,PAC-1(11)</t>
  </si>
  <si>
    <t>IN 7%</t>
  </si>
  <si>
    <t>GNR 2020-21 SA</t>
  </si>
  <si>
    <t>GNR 2020-21 NS</t>
  </si>
  <si>
    <t>04/20/2048</t>
  </si>
  <si>
    <t>GNR 2020-96 SA</t>
  </si>
  <si>
    <t>NV 5%</t>
  </si>
  <si>
    <t>GNR 2020-149 EI</t>
  </si>
  <si>
    <t>GNR 2021-122 SA</t>
  </si>
  <si>
    <t>GNR 2021-146 EI</t>
  </si>
  <si>
    <t>NM 33%</t>
  </si>
  <si>
    <t>AR 11%</t>
  </si>
  <si>
    <t>GNR 2021-146 IE</t>
  </si>
  <si>
    <t>GNR 2021-146 HI</t>
  </si>
  <si>
    <t>GNR 2021-139 NI</t>
  </si>
  <si>
    <t>EXCH,IO,NTL,AD,PAC,PT</t>
  </si>
  <si>
    <t>GNR 2021-140 CS</t>
  </si>
  <si>
    <t>GNR 2021-158 CI</t>
  </si>
  <si>
    <t>SC,IO,NTL,AD,PAC,CPT</t>
  </si>
  <si>
    <t>ICG US CLO Ltd</t>
  </si>
  <si>
    <t>ICG 2015-2RA C</t>
  </si>
  <si>
    <t>02/12/2020</t>
  </si>
  <si>
    <t>01/16/2033</t>
  </si>
  <si>
    <t>JP Morgan Chase Commercial Mor</t>
  </si>
  <si>
    <t>CMBS 5.1</t>
  </si>
  <si>
    <t>JPMCC 2012-C6 E</t>
  </si>
  <si>
    <t>05/15/2045</t>
  </si>
  <si>
    <t>Caa1</t>
  </si>
  <si>
    <t>WH30 4.2</t>
  </si>
  <si>
    <t>JPMMT 2018-6 B2</t>
  </si>
  <si>
    <t>12/25/2048</t>
  </si>
  <si>
    <t>KREF 2021-FL2 Ltd</t>
  </si>
  <si>
    <t>KREF 2021-FL2 D</t>
  </si>
  <si>
    <t>08/16/2021</t>
  </si>
  <si>
    <t>02/15/2039</t>
  </si>
  <si>
    <t>MEZ,FLT,CMPLX</t>
  </si>
  <si>
    <t>KREF 2021-FL2 E</t>
  </si>
  <si>
    <t>MMABSCP</t>
  </si>
  <si>
    <t>LendingPoint Asset Securitizat</t>
  </si>
  <si>
    <t>LDPT 2020-REV1 C</t>
  </si>
  <si>
    <t>10/16/2020</t>
  </si>
  <si>
    <t>10/15/2028</t>
  </si>
  <si>
    <t>MF1 Multifamily Housing Mortga</t>
  </si>
  <si>
    <t>MF1 2021-FL5 D</t>
  </si>
  <si>
    <t>03/17/2021</t>
  </si>
  <si>
    <t>MF1 2021-FL7 A</t>
  </si>
  <si>
    <t>09/24/2021</t>
  </si>
  <si>
    <t>10/16/2036</t>
  </si>
  <si>
    <t>MFRA Trust</t>
  </si>
  <si>
    <t>MFRA 2021-AEI1 A11</t>
  </si>
  <si>
    <t>09/25/2021</t>
  </si>
  <si>
    <t>FLT,SSNR</t>
  </si>
  <si>
    <t>WH30 3.0</t>
  </si>
  <si>
    <t>MELLO 2021-INV1 A15</t>
  </si>
  <si>
    <t>NJ 4%</t>
  </si>
  <si>
    <t>MERIDIAN CORP</t>
  </si>
  <si>
    <t>05/27/2020</t>
  </si>
  <si>
    <t>MSC 2021-L7 A5</t>
  </si>
  <si>
    <t>CORPFLT</t>
  </si>
  <si>
    <t>OZLM 2015-12A D</t>
  </si>
  <si>
    <t>05/28/2015</t>
  </si>
  <si>
    <t>04/30/2027</t>
  </si>
  <si>
    <t>Provident Funding Mortgage Tru</t>
  </si>
  <si>
    <t>PFMT 2021-J1 AX2</t>
  </si>
  <si>
    <t>10/25/2051</t>
  </si>
  <si>
    <t>EXCH,IO,NTL,AFC</t>
  </si>
  <si>
    <t>Shelter Growth CRE</t>
  </si>
  <si>
    <t>09/27/2021</t>
  </si>
  <si>
    <t>SNDPT 2015-2A DRRR</t>
  </si>
  <si>
    <t>SNDPT 2016-2A CR2</t>
  </si>
  <si>
    <t>01/20/2021</t>
  </si>
  <si>
    <t>TRTX 2019-FL3 D</t>
  </si>
  <si>
    <t>United Wholesale Mortgage LLC</t>
  </si>
  <si>
    <t>UWM 2021-INV1 A15</t>
  </si>
  <si>
    <t>CA 47%</t>
  </si>
  <si>
    <t>CMBS 5.9</t>
  </si>
  <si>
    <t>VMC 2018-FL2 D</t>
  </si>
  <si>
    <t>11/07/2018</t>
  </si>
  <si>
    <t>10/15/2035</t>
  </si>
  <si>
    <t>Venture CDO Ltd</t>
  </si>
  <si>
    <t>VENTR 2017-26A D</t>
  </si>
  <si>
    <t>02/14/2017</t>
  </si>
  <si>
    <t>01/20/2029</t>
  </si>
  <si>
    <t>WHARM2.5</t>
  </si>
  <si>
    <t>Whitehorse Ltd</t>
  </si>
  <si>
    <t>WITEH 2018-12A D</t>
  </si>
  <si>
    <t>09/27/2018</t>
  </si>
  <si>
    <t>GNRT 2A ER</t>
  </si>
  <si>
    <t>GNRT 3A ER</t>
  </si>
  <si>
    <t>XS2019750426</t>
  </si>
  <si>
    <t>Banco Santander</t>
  </si>
  <si>
    <t>SSPAI 1 D</t>
  </si>
  <si>
    <t>09/25/2026</t>
  </si>
  <si>
    <t>MEZ</t>
  </si>
  <si>
    <t>XS2019750699</t>
  </si>
  <si>
    <t>SSPAI 1 E</t>
  </si>
  <si>
    <t>10/13/2021</t>
  </si>
  <si>
    <t>381740AN9</t>
  </si>
  <si>
    <t>2022-01-25</t>
  </si>
  <si>
    <t>Golub Capital Partners CLO Ltd</t>
  </si>
  <si>
    <t>GOCAP 2021-51A D2</t>
  </si>
  <si>
    <t>04/15/2021</t>
  </si>
  <si>
    <t>05/05/2034</t>
  </si>
  <si>
    <t>38383ALU6</t>
  </si>
  <si>
    <t>GNR 2021-155 JI</t>
  </si>
  <si>
    <t>Generate CLO Ltd.</t>
  </si>
  <si>
    <t>83607HAS4</t>
  </si>
  <si>
    <t>83607HAG0</t>
  </si>
  <si>
    <t>3133A02J2</t>
  </si>
  <si>
    <t>3137H27K4</t>
  </si>
  <si>
    <t>3137H1HU3</t>
  </si>
  <si>
    <t>3137FYCP9</t>
  </si>
  <si>
    <t>3137FMKY7</t>
  </si>
  <si>
    <t>3137B2XE5</t>
  </si>
  <si>
    <t>47048YAE0</t>
  </si>
  <si>
    <t>46648UAJ3</t>
  </si>
  <si>
    <t>46591FAR5</t>
  </si>
  <si>
    <t>23802WAJ0</t>
  </si>
  <si>
    <t>23076RAQ4</t>
  </si>
  <si>
    <t>55066WAL8</t>
  </si>
  <si>
    <t>38383AXJ8</t>
  </si>
  <si>
    <t>38383AVZ4</t>
  </si>
  <si>
    <t>38382UTX9</t>
  </si>
  <si>
    <t>40390JAG7</t>
  </si>
  <si>
    <t>2022-01-31</t>
  </si>
  <si>
    <t>VA 17%</t>
  </si>
  <si>
    <t>GA 14%</t>
  </si>
  <si>
    <t>OR 7%</t>
  </si>
  <si>
    <t>DataBank Issuer LLC</t>
  </si>
  <si>
    <t>COLO 2021-2A B</t>
  </si>
  <si>
    <t>10/27/2021</t>
  </si>
  <si>
    <t>MI 16%</t>
  </si>
  <si>
    <t>07/25/2049</t>
  </si>
  <si>
    <t>WA 11%</t>
  </si>
  <si>
    <t>CO 8%</t>
  </si>
  <si>
    <t>2022-01-30</t>
  </si>
  <si>
    <t>GNR 2021-96 BI</t>
  </si>
  <si>
    <t>09/20/2021</t>
  </si>
  <si>
    <t>GNR 2021-160 TS</t>
  </si>
  <si>
    <t>JPMMT 2019-5 A15</t>
  </si>
  <si>
    <t>11/25/2049</t>
  </si>
  <si>
    <t>JPMMT 2017-4 A9</t>
  </si>
  <si>
    <t>EXCH,AFC,AD,SEQ,SSNR</t>
  </si>
  <si>
    <t>JTWN 2019-14A DR</t>
  </si>
  <si>
    <t>10/20/2021</t>
  </si>
  <si>
    <t>10/20/2034</t>
  </si>
  <si>
    <t>52468KAT8</t>
  </si>
  <si>
    <t>52953BBQ5</t>
  </si>
  <si>
    <t>LUXE Commercial Mortgage Trust</t>
  </si>
  <si>
    <t>CMBS 2.4</t>
  </si>
  <si>
    <t>LUXE 2021-TRIP F</t>
  </si>
  <si>
    <t>10/19/2021</t>
  </si>
  <si>
    <t>10/15/2038</t>
  </si>
  <si>
    <t>10/15/2054</t>
  </si>
  <si>
    <t>WHARM4.6</t>
  </si>
  <si>
    <t>SNDPT 2015-1RA D1</t>
  </si>
  <si>
    <t>04/15/2030</t>
  </si>
  <si>
    <t>SNDPT 2015-1RA R2D2</t>
  </si>
  <si>
    <t>02/23/2021</t>
  </si>
  <si>
    <t>NY 21%</t>
  </si>
  <si>
    <t>Average</t>
  </si>
  <si>
    <t>Pierpont PNI receive</t>
  </si>
  <si>
    <t>ReverseFree</t>
  </si>
  <si>
    <t>3136AYE82</t>
  </si>
  <si>
    <t>58406CAG6</t>
  </si>
  <si>
    <t>MMF dvd receive</t>
  </si>
  <si>
    <t>Receive APS coupons</t>
  </si>
  <si>
    <t>38381AHM1</t>
  </si>
  <si>
    <t>36259DAL7</t>
  </si>
  <si>
    <t>05525DAL0</t>
  </si>
  <si>
    <t>Wire UST coupons to NWM</t>
  </si>
  <si>
    <t>Spruce PNI received</t>
  </si>
  <si>
    <t>3137G0KJ7</t>
  </si>
  <si>
    <t>39055TAU2</t>
  </si>
  <si>
    <t>Wired too many -X47 coupons to NWM - corrected</t>
  </si>
  <si>
    <t>912828R36 PNI received 11/15</t>
  </si>
  <si>
    <t>3136B8WF2</t>
  </si>
  <si>
    <t>Elm PNI reversed</t>
  </si>
  <si>
    <t>Projected Cash</t>
  </si>
  <si>
    <t>Pay BNYM invoice</t>
  </si>
  <si>
    <t>Banc of America Merrill Lynch</t>
  </si>
  <si>
    <t>HELOC3.9</t>
  </si>
  <si>
    <t>AUTO14.1</t>
  </si>
  <si>
    <t>2022-02-15</t>
  </si>
  <si>
    <t>IL 38%</t>
  </si>
  <si>
    <t>WV 27%</t>
  </si>
  <si>
    <t>AZ 20%</t>
  </si>
  <si>
    <t>FNR 2020-19 SM</t>
  </si>
  <si>
    <t>02/25/2020</t>
  </si>
  <si>
    <t>MI 9%</t>
  </si>
  <si>
    <t>WA 16%</t>
  </si>
  <si>
    <t>NV 15%</t>
  </si>
  <si>
    <t>UT 12%</t>
  </si>
  <si>
    <t>OH 14%</t>
  </si>
  <si>
    <t>GS Mortgage Securities Trust</t>
  </si>
  <si>
    <t>GSMS 2018-HART D</t>
  </si>
  <si>
    <t>10/31/2018</t>
  </si>
  <si>
    <t>SUB,FLT,CMPLX</t>
  </si>
  <si>
    <t>2022-02-07</t>
  </si>
  <si>
    <t>GNR 2018-148 CS</t>
  </si>
  <si>
    <t>TX 68%</t>
  </si>
  <si>
    <t>Great Lakes CLO Ltd</t>
  </si>
  <si>
    <t>GRTLK 2015-1A DR</t>
  </si>
  <si>
    <t>01/16/2018</t>
  </si>
  <si>
    <t>01/16/2030</t>
  </si>
  <si>
    <t>2022-04-05</t>
  </si>
  <si>
    <t>2022-04-20</t>
  </si>
  <si>
    <t>2022-02-20</t>
  </si>
  <si>
    <t>2022-02-22</t>
  </si>
  <si>
    <t>ADMN SSC 1</t>
  </si>
  <si>
    <t>38176VAJ8</t>
  </si>
  <si>
    <t>38176PAJ1</t>
  </si>
  <si>
    <t>38175DAG5</t>
  </si>
  <si>
    <t>38175BAJ3</t>
  </si>
  <si>
    <t>05591VAG0</t>
  </si>
  <si>
    <t>FL 26%</t>
  </si>
  <si>
    <t>BPR Trust</t>
  </si>
  <si>
    <t>BPR 2021-WILL D</t>
  </si>
  <si>
    <t>05/27/2021</t>
  </si>
  <si>
    <t>GOCAP 2018-36A D2</t>
  </si>
  <si>
    <t>03/13/2018</t>
  </si>
  <si>
    <t>02/05/2031</t>
  </si>
  <si>
    <t>GOCAP 2018-38A D</t>
  </si>
  <si>
    <t>08/07/2018</t>
  </si>
  <si>
    <t>07/20/2030</t>
  </si>
  <si>
    <t>GOCAP 2019-44A D</t>
  </si>
  <si>
    <t>06/21/2019</t>
  </si>
  <si>
    <t>06/21/2031</t>
  </si>
  <si>
    <t>GOCAP 2020-47A D</t>
  </si>
  <si>
    <t>03/17/2020</t>
  </si>
  <si>
    <t>05/05/2032</t>
  </si>
  <si>
    <t>WHARM3.3</t>
  </si>
  <si>
    <t>2022-02-11</t>
  </si>
  <si>
    <t>PxChgFromTicket</t>
  </si>
  <si>
    <t>912828ZT0 PNI received</t>
  </si>
  <si>
    <t>912828ZT0 P (no I) received from Pierpont</t>
  </si>
  <si>
    <t>06036FAN1</t>
  </si>
  <si>
    <t>BANK 2018-BN15 F</t>
  </si>
  <si>
    <t>06539LAJ9</t>
  </si>
  <si>
    <t>BANK 2018-BN13 D</t>
  </si>
  <si>
    <t>08/15/2061</t>
  </si>
  <si>
    <t>06541KAJ7</t>
  </si>
  <si>
    <t>CMBS 4.5</t>
  </si>
  <si>
    <t>BANK 2018-BN12 D</t>
  </si>
  <si>
    <t>05/15/2061</t>
  </si>
  <si>
    <t>07401DAL5</t>
  </si>
  <si>
    <t>Bear Stearns Commercial Mortga</t>
  </si>
  <si>
    <t>CMBS   0</t>
  </si>
  <si>
    <t>BSCMS 2007-PW18 B</t>
  </si>
  <si>
    <t>12/01/2007</t>
  </si>
  <si>
    <t>06/11/2050</t>
  </si>
  <si>
    <t>LMCP wire posted</t>
  </si>
  <si>
    <t>2022-02-28</t>
  </si>
  <si>
    <t>2022-03-05</t>
  </si>
  <si>
    <t>46590LAE2</t>
  </si>
  <si>
    <t>JPMDB Commercial Mortgage Secu</t>
  </si>
  <si>
    <t>JPMDB 2016-C2 D</t>
  </si>
  <si>
    <t>05/01/2016</t>
  </si>
  <si>
    <t>06/15/2049</t>
  </si>
  <si>
    <t>912828ZT0 PNI send to NWM</t>
  </si>
  <si>
    <t>Elm PNI received</t>
  </si>
  <si>
    <t>912828X47 PNI reversed</t>
  </si>
  <si>
    <t>9128284L1 PNI reversed</t>
  </si>
  <si>
    <t>Send APS margin</t>
  </si>
  <si>
    <t>MD 13%</t>
  </si>
  <si>
    <t>PA 11%</t>
  </si>
  <si>
    <t>CT 26%</t>
  </si>
  <si>
    <t>RI 33%</t>
  </si>
  <si>
    <t>MA 18%</t>
  </si>
  <si>
    <t>NJ 17%</t>
  </si>
  <si>
    <t>MN 11%</t>
  </si>
  <si>
    <t>CA 27%</t>
  </si>
  <si>
    <t>TN 14%</t>
  </si>
  <si>
    <t>MO 16%</t>
  </si>
  <si>
    <t>38172HAL8</t>
  </si>
  <si>
    <t>GOCAP 2019-45A D2</t>
  </si>
  <si>
    <t>09/05/2019</t>
  </si>
  <si>
    <t>10/20/2031</t>
  </si>
  <si>
    <t>38176KAJ2</t>
  </si>
  <si>
    <t>GOCAP 2019-42A D</t>
  </si>
  <si>
    <t>04/20/2031</t>
  </si>
  <si>
    <t>38176QAC4</t>
  </si>
  <si>
    <t>Golub Capital Partners CLO, LT</t>
  </si>
  <si>
    <t>GCBSL 2019-43A B1</t>
  </si>
  <si>
    <t>08/22/2019</t>
  </si>
  <si>
    <t>38176YAQ6</t>
  </si>
  <si>
    <t>GOCAP 2019-46A D</t>
  </si>
  <si>
    <t>04/20/2032</t>
  </si>
  <si>
    <t>07/30/2021</t>
  </si>
  <si>
    <t>07/30/2051</t>
  </si>
  <si>
    <t>3133KM4R3</t>
  </si>
  <si>
    <t>FR RA6232</t>
  </si>
  <si>
    <t>11/01/2051</t>
  </si>
  <si>
    <t>NY 15%</t>
  </si>
  <si>
    <t>AZ 5%</t>
  </si>
  <si>
    <t>IN 12%</t>
  </si>
  <si>
    <t>OH 10%</t>
  </si>
  <si>
    <t>OH 5%</t>
  </si>
  <si>
    <t>IN 10%</t>
  </si>
  <si>
    <t>TX 54%</t>
  </si>
  <si>
    <t>VA 16%</t>
  </si>
  <si>
    <t>MD 7%</t>
  </si>
  <si>
    <t>MN 6%</t>
  </si>
  <si>
    <t>SF-Re4.2</t>
  </si>
  <si>
    <t>2022-02-25</t>
  </si>
  <si>
    <t>-- -- -- --</t>
  </si>
  <si>
    <t>3130AKYH3</t>
  </si>
  <si>
    <t>Federal Home Loan Banks FHLB 0.83 02/10/2027</t>
  </si>
  <si>
    <t>31359MFP3</t>
  </si>
  <si>
    <t>Federal National Mortgage Association FNMA 7.25 05/15/2030</t>
  </si>
  <si>
    <t>FHLMC -- 8.00 02/01/2034</t>
  </si>
  <si>
    <t>FHLMC -- 7.50 07/01/2032</t>
  </si>
  <si>
    <t>FHLMC -- 2.14 06/01/2027</t>
  </si>
  <si>
    <t>FHLMC -- 6.00 10/01/2036</t>
  </si>
  <si>
    <t>FHLMC -- 6.50 01/01/2037</t>
  </si>
  <si>
    <t>FHLMC -- 7.00 02/01/2037</t>
  </si>
  <si>
    <t>FHLMC -- 5.50 02/01/2040</t>
  </si>
  <si>
    <t>FHLMC -- 5.50 06/01/2023</t>
  </si>
  <si>
    <t>FHLMC -- 5.00 12/01/2021</t>
  </si>
  <si>
    <t>FHLMC -- 6.50 10/01/2022</t>
  </si>
  <si>
    <t>FHLMC -- 6.00 07/01/2023</t>
  </si>
  <si>
    <t>FHLMC -- 4.50 01/01/2024</t>
  </si>
  <si>
    <t>FHLMC -- 4.00 05/01/2025</t>
  </si>
  <si>
    <t>FHLMC -- 3.50 10/01/2025</t>
  </si>
  <si>
    <t>FHLMC -- 1.88 09/01/2044</t>
  </si>
  <si>
    <t>FHLMC -- 3.50 01/01/2050</t>
  </si>
  <si>
    <t>3133ADGG5</t>
  </si>
  <si>
    <t>FHLMC -- 2.50 11/01/2050</t>
  </si>
  <si>
    <t>FHLMC -- 2.00 04/01/2051</t>
  </si>
  <si>
    <t>FHLMC -- 3.00 08/01/2051</t>
  </si>
  <si>
    <t>FHLMC -- 3.00 07/01/2051</t>
  </si>
  <si>
    <t>3133LPT80</t>
  </si>
  <si>
    <t>FHLMC -- 1.50 12/01/2031</t>
  </si>
  <si>
    <t>FNMA -- 6.50 12/01/2022</t>
  </si>
  <si>
    <t>FNMA -- 1.96 06/01/2041</t>
  </si>
  <si>
    <t>FNMA -- 3.00 12/01/2026</t>
  </si>
  <si>
    <t>FNMA -- 4.00 10/01/2043</t>
  </si>
  <si>
    <t>FNMA -- 2.069 09/01/2035</t>
  </si>
  <si>
    <t>FNMA -- 5.50 06/01/2035</t>
  </si>
  <si>
    <t>FNMA -- 4.50 05/01/2048</t>
  </si>
  <si>
    <t>FNMA -- 3.50 11/01/2049</t>
  </si>
  <si>
    <t>FNMA -- 4.00 04/01/2050</t>
  </si>
  <si>
    <t>FNMA -- 3.50 04/01/2050</t>
  </si>
  <si>
    <t>FNMA -- 4.50 09/01/2048</t>
  </si>
  <si>
    <t>FNMA -- 2.50 06/01/2051</t>
  </si>
  <si>
    <t>FNMA -- 3.00 11/01/2050</t>
  </si>
  <si>
    <t>FNMA -- 3.00 02/01/2051</t>
  </si>
  <si>
    <t>FNMA -- 3.00 05/01/2051</t>
  </si>
  <si>
    <t>FNMA -- 4.00 09/01/2051</t>
  </si>
  <si>
    <t>FNMA -- 5.50 10/01/2036</t>
  </si>
  <si>
    <t>FNMA -- 6.00 05/01/2037</t>
  </si>
  <si>
    <t>FNMA -- 5.50 02/01/2023</t>
  </si>
  <si>
    <t>FNMA -- 6.00 12/01/2022</t>
  </si>
  <si>
    <t>FNMA -- 7.50 12/01/2022</t>
  </si>
  <si>
    <t>FNMA -- 4.50 06/01/2023</t>
  </si>
  <si>
    <t>FNMA -- 7.00 02/01/2039</t>
  </si>
  <si>
    <t>FNMA -- 6.50 01/01/2039</t>
  </si>
  <si>
    <t>FNMA -- 2.50 08/01/2027</t>
  </si>
  <si>
    <t>FNMA -- 3.50 05/01/2025</t>
  </si>
  <si>
    <t>31418D2N1</t>
  </si>
  <si>
    <t>FNMA -- 3.00 07/01/2051</t>
  </si>
  <si>
    <t>31418DWZ1</t>
  </si>
  <si>
    <t>FNMA -- 1.50 02/01/2031</t>
  </si>
  <si>
    <t>GNMA I -- 4.00 07/15/2050</t>
  </si>
  <si>
    <t>GNMA I -- 4.00 11/15/2046</t>
  </si>
  <si>
    <t>GNMA I -- 4.00 08/15/2040</t>
  </si>
  <si>
    <t>GNMA I -- 4.50 12/15/2039</t>
  </si>
  <si>
    <t>GNMA I -- 7.00 09/15/2031</t>
  </si>
  <si>
    <t>GNMA I -- 7.50 03/15/2032</t>
  </si>
  <si>
    <t>GNMA I -- 6.50 04/15/2036</t>
  </si>
  <si>
    <t>GNMA I -- 8.00 09/15/2036</t>
  </si>
  <si>
    <t>GNMA I -- 6.50 10/15/2023</t>
  </si>
  <si>
    <t>GNMA I -- 5.00 08/15/2023</t>
  </si>
  <si>
    <t>GNMA I -- 5.50 06/15/2023</t>
  </si>
  <si>
    <t>GNMA I -- 4.50 10/15/2024</t>
  </si>
  <si>
    <t>GNMA II -- 4.627 12/20/2063</t>
  </si>
  <si>
    <t>GNMA II -- 3.00 04/20/2028</t>
  </si>
  <si>
    <t>GNMA II -- 1.625 08/20/2043</t>
  </si>
  <si>
    <t>GNMA II -- 1.50 04/20/2044</t>
  </si>
  <si>
    <t>GNMA II -- 3.50 11/20/2047</t>
  </si>
  <si>
    <t>GNMA II -- 4.215 03/20/2069</t>
  </si>
  <si>
    <t>GNMA II -- 4.085 01/20/2069</t>
  </si>
  <si>
    <t>GNMA II -- 4.455 03/20/2069</t>
  </si>
  <si>
    <t>GNMA II -- 4.47 11/20/2064</t>
  </si>
  <si>
    <t>GNMA II -- 4.669 11/20/2063</t>
  </si>
  <si>
    <t>GNMA II -- 4.663 03/20/2065</t>
  </si>
  <si>
    <t>GNMA II -- 4.531 01/20/2065</t>
  </si>
  <si>
    <t>GNMA II -- 4.577 01/20/2065</t>
  </si>
  <si>
    <t>GNMA II -- 6.00 12/20/2033</t>
  </si>
  <si>
    <t>GNMA II -- 6.00 06/20/2023</t>
  </si>
  <si>
    <t>GNMA II -- 4.14 07/20/2061</t>
  </si>
  <si>
    <t>GNMA II -- 5.50 02/20/2039</t>
  </si>
  <si>
    <t>AMER HOMES 4 RENT TR 2014-SFR2 -- -- 10/17/2036</t>
  </si>
  <si>
    <t>AMER HOMES 4 RENT TR 2015-SFR2 -- -- 10/18/2052</t>
  </si>
  <si>
    <t>Anb Corp ANBC 4.00 09/30/2030</t>
  </si>
  <si>
    <t>ANGEL OAK MTG TR 2019-6 -- 2.62 11/25/2059</t>
  </si>
  <si>
    <t>ANGEL OAK MTG TR 2019-6 -- 2.825 11/25/2059</t>
  </si>
  <si>
    <t>ANGEL OAK MTG TR 2019-6 -- 2.927 11/25/2059</t>
  </si>
  <si>
    <t>ANGEL OAK MTG TR 2020-2 -- 3.86 01/25/2065</t>
  </si>
  <si>
    <t>ANGEL OAK MTG TR 2020-2 -- 5.00 01/25/2065</t>
  </si>
  <si>
    <t>ANGEL OAK MTG TR 2020-2 -- 2.531 01/25/2065</t>
  </si>
  <si>
    <t>ANGEL OAK MTG TR 2020-2 -- 3.349 01/25/2065</t>
  </si>
  <si>
    <t>ANGEL OAK MTG TR I 2018-3 -- 3.649 09/25/2048</t>
  </si>
  <si>
    <t>ANGEL OAK MTG TR I 2018-3 -- 3.751 09/25/2048</t>
  </si>
  <si>
    <t>ANGEL OAK MTG TR I 2018-3 -- 3.853 09/25/2048</t>
  </si>
  <si>
    <t>ANGEL OAK MTG TR I 2018-3 -- 4.421 09/25/2048</t>
  </si>
  <si>
    <t>ANGEL OAK MTG TR I 2018-3 -- 4.721 09/25/2048</t>
  </si>
  <si>
    <t>APPLEBEES FDG 2019-1 -- -- 06/05/2049</t>
  </si>
  <si>
    <t>Arena Fin II Llc ARNFII 6.75 09/30/2025</t>
  </si>
  <si>
    <t>Atlantic Capital Bancshares, Inc. ACPB 5.50 09/01/2030</t>
  </si>
  <si>
    <t>Avidbank Holdings, Inc. AVBH 5.00 12/30/2029</t>
  </si>
  <si>
    <t>AVIS BUDGET RENTAL FD 2019-2 -- -- 09/20/2025</t>
  </si>
  <si>
    <t>BAMLL COML MTG TR 2015-UBS7 -- -- 09/17/2048</t>
  </si>
  <si>
    <t>BAMLL COML MTG TR 2019-AHT -- 2.591 03/15/2034</t>
  </si>
  <si>
    <t>Banc Of California Inc BANC 5.25 04/15/2025</t>
  </si>
  <si>
    <t>Banc Of California Inc BANC 4.375 10/30/2030</t>
  </si>
  <si>
    <t>Bancorp Inc TBBK 4.75 08/15/2025</t>
  </si>
  <si>
    <t>Bancplus Corp Miss BNCPLS 6.00 06/15/2030</t>
  </si>
  <si>
    <t>BANK 2018-BNK15 -- -- 11/17/2061</t>
  </si>
  <si>
    <t>BAR Harbour Banksh BHB 4.625 12/01/2029</t>
  </si>
  <si>
    <t>Baycom Corp BCML 5.25 09/15/2030</t>
  </si>
  <si>
    <t>BAYVIEW MSR OPP FUND 2021-INV2 -- 2.50 06/25/2051</t>
  </si>
  <si>
    <t>BBCMS MTG TR 2018-TALL -- 2.528 03/16/2037</t>
  </si>
  <si>
    <t>BCC FDG XIV 2018-1 -- -- 04/21/2025</t>
  </si>
  <si>
    <t>BCC FDG XVI 2019-1 -- -- 07/20/2027</t>
  </si>
  <si>
    <t>BEAR STEARNS ALT-A 2004-7 -- 3.1694 08/25/2034</t>
  </si>
  <si>
    <t>Business Development Corporation of America BDVC 4.85 12/15/2024</t>
  </si>
  <si>
    <t>BX CM MTG 2021-VOLT -- 2.9403 09/15/2036</t>
  </si>
  <si>
    <t>BX COML MTG TR 2019-XL -- 1.8903 10/15/2036</t>
  </si>
  <si>
    <t>Byline Bancorp Inc MRTE 6.00 07/01/2030</t>
  </si>
  <si>
    <t>Capstar Financial Holdings Inc CAPSTR 5.25 06/30/2030</t>
  </si>
  <si>
    <t>CARVANA AUTO REC TR 2019-2 -- -- 04/15/2026</t>
  </si>
  <si>
    <t>Cibanco S A Institucion De Banca Multiple Trust FISOMA 4.375 07/22/2031</t>
  </si>
  <si>
    <t>CIM TR 2018-INV1 -- 4.7535 08/25/2048</t>
  </si>
  <si>
    <t>CIT EDUCATION LN TR 2007-1 -- 0.4323 06/25/2042</t>
  </si>
  <si>
    <t>Clear Street Capital Llc CLSTCP 6.00 10/15/2025</t>
  </si>
  <si>
    <t>COLONY MULTI MTG TR 2014-1 -- 5.8012 04/22/2050</t>
  </si>
  <si>
    <t>COLT MTG LN TR 2020-2 -- 5.25 03/25/2065</t>
  </si>
  <si>
    <t>COMM 2010-C1 -- 5.6822 07/12/2046</t>
  </si>
  <si>
    <t>COMM MTG TR 2013-CCRE9 -- 4.2692 07/12/2045</t>
  </si>
  <si>
    <t>COMM MTG TR 2014-FL5 -- 1.482 10/17/2031</t>
  </si>
  <si>
    <t>COMM MTG TR 2015-CCRE26 -- -- 10/13/2048</t>
  </si>
  <si>
    <t>Concord Minutemen Capital Company LLC -- 0.00 08/20/2021</t>
  </si>
  <si>
    <t>CONS LENDING RECV TR 2019-A -- -- 04/15/2026</t>
  </si>
  <si>
    <t>CONSUMER LN BD CR TR 2017-P2 -- -- 01/15/2024</t>
  </si>
  <si>
    <t>Cowen Inc COWN 7.25 05/06/2024</t>
  </si>
  <si>
    <t>CRB Group Inc CRBGRP 6.50 09/01/2030</t>
  </si>
  <si>
    <t>CSMC 2019-SKLZ -- 2.841 01/17/2034</t>
  </si>
  <si>
    <t>CSMC TRUST  2021-INV1 -- -- 07/25/2056</t>
  </si>
  <si>
    <t>Customers Bank NCBKPA 6.125 06/26/2029</t>
  </si>
  <si>
    <t>CWHEQ REVOLVING HEQ 2005-J -- 0.3403 02/15/2036</t>
  </si>
  <si>
    <t>CWHEQ REVOLVING HEQ 2006-F -- 0.2303 07/15/2036</t>
  </si>
  <si>
    <t>CWHEQ REVOLVING HEQ 2006-H -- 1.3844 11/15/2036</t>
  </si>
  <si>
    <t>CWHEQ REVOLVING HEQ 2006-I -- 0.2303 01/15/2037</t>
  </si>
  <si>
    <t>CWHEQ REVOLVING HEQ 2007-D -- 0.2503 05/15/2037</t>
  </si>
  <si>
    <t>DBCCRE MTG TR 2014-ARCP -- 5.099 01/12/2034</t>
  </si>
  <si>
    <t>DIAMOND RESORTS TR 2019-1 -- -- 02/20/2032</t>
  </si>
  <si>
    <t>DRIVEN BRANDS FDG LLC 2021-1 HONK -- 10/20/2051</t>
  </si>
  <si>
    <t>Enfragen Energia Sur S A U / Prime Energia S P A / Enfragen Spain S A U ENFRAG 5.375 12/30/2030</t>
  </si>
  <si>
    <t>Evans Bancorp Incorporation EVBN 6.00 07/15/2030</t>
  </si>
  <si>
    <t>EXTENDED STAY AMER TR 2021-ESH EXTSTA -- 07/15/2038</t>
  </si>
  <si>
    <t>Federal Home Loan Banks FHLB 2.35 10/18/2029</t>
  </si>
  <si>
    <t>Federal Home Loan Banks FHLB 0.98 08/17/2028</t>
  </si>
  <si>
    <t>Federal Home Loan Banks FHLB 1.00 02/25/2031</t>
  </si>
  <si>
    <t>Fednat Holding Company FNHC 7.50 03/15/2029</t>
  </si>
  <si>
    <t>FHLMC -- 5.8597 07/01/2043</t>
  </si>
  <si>
    <t>FHLMC -- 5.8597 09/01/2043</t>
  </si>
  <si>
    <t>FHLMC -- 5.8897 11/01/2043</t>
  </si>
  <si>
    <t>FHLMC -- 5.9598 08/01/2044</t>
  </si>
  <si>
    <t>FHLMC -- 5.9598 09/01/2044</t>
  </si>
  <si>
    <t>FHLMC REMIC 2020-HQA3 -- 3.6893 07/25/2050</t>
  </si>
  <si>
    <t>FHLMC REMIC SERIES 4218 -- 6.1108 10/15/2040</t>
  </si>
  <si>
    <t>FHLMC REMIC SERIES 4385 -- 6.0108 09/15/2044</t>
  </si>
  <si>
    <t>FHLMC REMIC SERIES 4466 -- 6.0608 04/15/2045</t>
  </si>
  <si>
    <t>FHLMC REMIC SERIES 4749 -- 6.0608 01/15/2048</t>
  </si>
  <si>
    <t>FHLMC REMIC SERIES 4876 -- 5.7108 05/15/2049</t>
  </si>
  <si>
    <t>FHLMC REMIC SERIES 4901 -- 5.9608 07/25/2049</t>
  </si>
  <si>
    <t>FHLMC REMIC SERIES 4923 -- 5.9108 04/25/2048</t>
  </si>
  <si>
    <t>FHLMC REMIC SERIES 5034 -- -- 11/25/2050</t>
  </si>
  <si>
    <t>FHLMC REMIC SERIES 5052 -- -- 12/25/2050</t>
  </si>
  <si>
    <t>FHLMC REMIC SERIES 5065 -- -- 01/25/2051</t>
  </si>
  <si>
    <t>FHLMC REMIC SERIES 5072 -- -- 10/25/2050</t>
  </si>
  <si>
    <t>FHLMC REMIC SERIES 5092 -- -- 09/25/2050</t>
  </si>
  <si>
    <t>FHLMC REMIC SERIES 5124 -- -- 07/25/2051</t>
  </si>
  <si>
    <t>FHLMC REMIC SERIES 5129 -- -- 08/25/2041</t>
  </si>
  <si>
    <t>FHLMC REMIC SERIES 5145 -- -- 09/25/2051</t>
  </si>
  <si>
    <t>FHLMC REMIC SERIES K-120 -- 1.0389 10/25/2030</t>
  </si>
  <si>
    <t>FHLMC STACR 2014-DN4 -- 4.6393 10/25/2024</t>
  </si>
  <si>
    <t>FHLMC STACR 2015-DNA1 FHLMC 3.3893 10/25/2027</t>
  </si>
  <si>
    <t>FHLMC STACR 2015-HQ2 FHLMC 3.3393 05/27/2025</t>
  </si>
  <si>
    <t>FHLMC STACR 2016-DNA1 -- 5.6393 07/25/2028</t>
  </si>
  <si>
    <t>FHLMC STACR 2016-HQA2 FHLMC 5.2393 11/27/2028</t>
  </si>
  <si>
    <t>Fidelity Bank LION 5.875 05/31/2030</t>
  </si>
  <si>
    <t>Fidelity Federal Bancorp Inc FFED 6.00 11/01/2029</t>
  </si>
  <si>
    <t>FirstBank (Tennessee) AMECIB 4.50 09/01/2030</t>
  </si>
  <si>
    <t>Firstenergy Transmission  Llc FE 4.55 04/01/2049</t>
  </si>
  <si>
    <t>Flagstar Bancorp, Inc. FBC 4.125 11/01/2030</t>
  </si>
  <si>
    <t>FNMA -- 4.00 02/01/2048</t>
  </si>
  <si>
    <t>FNMA -- 3.50 01/01/2047</t>
  </si>
  <si>
    <t>FNMA  REMIC TRUST 2020-96 -- -- 01/25/2051</t>
  </si>
  <si>
    <t>FNMA CONN AVE SECS 2014-C03 FNMA 2.9893 07/25/2024</t>
  </si>
  <si>
    <t>FNMA REMIC TRUST 2012-12 -- 6.4108 02/25/2042</t>
  </si>
  <si>
    <t>FNMA REMIC TRUST 2012-51 -- 0.00 05/25/2042</t>
  </si>
  <si>
    <t>FNMA REMIC TRUST 2012-56 -- 5.9608 06/25/2042</t>
  </si>
  <si>
    <t>FNMA REMIC TRUST 2012-9 -- 6.4108 02/25/2042</t>
  </si>
  <si>
    <t>FNMA REMIC TRUST 2013-102 -- 5.8108 10/25/2043</t>
  </si>
  <si>
    <t>FNMA REMIC TRUST 2013-67 -- 6.0608 06/25/2043</t>
  </si>
  <si>
    <t>FNMA REMIC TRUST 2014-63 -- 6.0108 10/25/2044</t>
  </si>
  <si>
    <t>FNMA REMIC TRUST 2015-03 -- 5.9608 02/25/2045</t>
  </si>
  <si>
    <t>FNMA REMIC TRUST 2015-4 -- 6.0108 02/25/2045</t>
  </si>
  <si>
    <t>FNMA REMIC TRUST 2016-40 -- 1.7836 07/25/2046</t>
  </si>
  <si>
    <t>FNMA REMIC TRUST 2017-80 -- 6.0608 10/25/2047</t>
  </si>
  <si>
    <t>FNMA REMIC TRUST 2017-88 -- -- 11/25/2047</t>
  </si>
  <si>
    <t>FNMA REMIC TRUST 2018-18 -- -- 05/25/2046</t>
  </si>
  <si>
    <t>FNMA REMIC TRUST 2018-73 -- 6.0608 10/25/2048</t>
  </si>
  <si>
    <t>FNMA REMIC TRUST 2019-08 -- 5.7108 03/25/2049</t>
  </si>
  <si>
    <t>FNMA REMIC TRUST 2019-41 -- -- 07/25/2048</t>
  </si>
  <si>
    <t>FNMA REMIC TRUST 2020-71 -- -- 10/25/2050</t>
  </si>
  <si>
    <t>FNMA REMIC TRUST 2020-86 -- -- 12/25/2050</t>
  </si>
  <si>
    <t>FNMA REMIC TRUST 2020-89 -- -- 12/25/2050</t>
  </si>
  <si>
    <t>FNMA REMIC TRUST 2021-25 -- -- 05/25/2051</t>
  </si>
  <si>
    <t>FNMA REMIC TRUST 2021-30 -- 3.6513 12/25/2047</t>
  </si>
  <si>
    <t>FNMA REMIC TRUST 2021-30 -- -- 05/25/2041</t>
  </si>
  <si>
    <t>FNMA REMIC TRUST 2021-40 -- -- 06/25/2051</t>
  </si>
  <si>
    <t>FNMA REMIC TRUST 2021-41 -- -- 07/25/2051</t>
  </si>
  <si>
    <t>FNMA REMIC TRUST 2021-50 -- -- 08/25/2051</t>
  </si>
  <si>
    <t>FOCUS BRANDS FDG LLC 2017-1B -- -- 04/30/2047</t>
  </si>
  <si>
    <t>FRESB MTG TR 2020-SB77 -- 1.0891 06/25/2040</t>
  </si>
  <si>
    <t>GINNIE MAE REMIC TRST 2019-117 -- -- 09/20/2049</t>
  </si>
  <si>
    <t>GINNIE MAE REMIC TRST 2019-117 -- 5.9644 01/20/2049</t>
  </si>
  <si>
    <t>GMACM HM EQ LN TR 2004-HE3 -- 0.586 10/25/2034</t>
  </si>
  <si>
    <t>GNMA REMIC 2021-016 TRUST -- 3.2301 06/20/2050</t>
  </si>
  <si>
    <t>GNMA REMIC TRUST 2010-20 -- 6.1644 02/20/2040</t>
  </si>
  <si>
    <t>GNMA REMIC TRUST 2012-106 -- 6.6144 03/20/2042</t>
  </si>
  <si>
    <t>GNMA REMIC TRUST 2013-152 -- 6.6144 06/20/2043</t>
  </si>
  <si>
    <t>GNMA REMIC TRUST 2013-86 -- -- 06/16/2043</t>
  </si>
  <si>
    <t>GNMA REMIC TRUST 2014-60 -- 6.0144 04/20/2044</t>
  </si>
  <si>
    <t>GNMA REMIC TRUST 2015-144 -- 6.1144 10/20/2045</t>
  </si>
  <si>
    <t>GNMA REMIC TRUST 2015-153 -- -- 10/20/2045</t>
  </si>
  <si>
    <t>GNMA REMIC TRUST 2015-94 -- 6.1644 07/20/2045</t>
  </si>
  <si>
    <t>GNMA REMIC TRUST 2016-118 -- -- 03/20/2043</t>
  </si>
  <si>
    <t>GNMA REMIC TRUST 2017-015 -- -- 01/20/2047</t>
  </si>
  <si>
    <t>GNMA REMIC TRUST 2017-039 -- 6.0644 03/20/2047</t>
  </si>
  <si>
    <t>GNMA REMIC TRUST 2017-113 -- 6.1144 06/20/2047</t>
  </si>
  <si>
    <t>GNMA REMIC TRUST 2017-114 -- -- 10/20/2044</t>
  </si>
  <si>
    <t>GNMA REMIC TRUST 2017-115 -- 6.1144 07/20/2047</t>
  </si>
  <si>
    <t>GNMA REMIC TRUST 2017-60 -- 6.4144 02/20/2038</t>
  </si>
  <si>
    <t>GNMA REMIC TRUST 2018-072 -- 6.1644 05/20/2048</t>
  </si>
  <si>
    <t>GNMA REMIC TRUST 2018-127 -- -- 01/20/2046</t>
  </si>
  <si>
    <t>GNMA REMIC TRUST 2018-147 -- 6.1144 10/20/2048</t>
  </si>
  <si>
    <t>GNMA REMIC TRUST 2018-148 -- 6.1144 10/20/2048</t>
  </si>
  <si>
    <t>GNMA REMIC TRUST 2019-004 -- 5.9144 01/20/2049</t>
  </si>
  <si>
    <t>GNMA REMIC TRUST 2019-045 -- 3.7144 04/20/2049</t>
  </si>
  <si>
    <t>GNMA REMIC TRUST 2019-057 -- 3.7644 10/20/2048</t>
  </si>
  <si>
    <t>GNMA REMIC TRUST 2019-069 -- -- 01/20/2048</t>
  </si>
  <si>
    <t>GNMA REMIC TRUST 2019-072 -- 5.9644 06/20/2049</t>
  </si>
  <si>
    <t>GNMA REMIC TRUST 2020-018 -- 6.0144 08/20/2049</t>
  </si>
  <si>
    <t>GNMA REMIC TRUST 2020-018 -- 5.9644 02/20/2050</t>
  </si>
  <si>
    <t>GNMA REMIC TRUST 2020-021 -- 5.9644 02/20/2050</t>
  </si>
  <si>
    <t>GNMA REMIC TRUST 2020-021 -- 5.9644 04/20/2048</t>
  </si>
  <si>
    <t>GNMA REMIC TRUST 2020-077 -- 5.9644 11/20/2049</t>
  </si>
  <si>
    <t>GNMA REMIC TRUST 2020-077 -- -- 03/20/2048</t>
  </si>
  <si>
    <t>GNMA REMIC TRUST 2020-095 -- 6.1144 07/20/2050</t>
  </si>
  <si>
    <t>GNMA REMIC TRUST 2020-096 -- 6.0644 07/20/2050</t>
  </si>
  <si>
    <t>GNMA REMIC TRUST 2020-096 -- -- 02/20/2049</t>
  </si>
  <si>
    <t>GNMA REMIC TRUST 2020-096 -- 6.0144 05/20/2050</t>
  </si>
  <si>
    <t>GNMA REMIC TRUST 2020-129 -- 4.2144 09/20/2050</t>
  </si>
  <si>
    <t>GNMA REMIC TRUST 2020-133 -- 6.2144 09/20/2050</t>
  </si>
  <si>
    <t>GNMA REMIC TRUST 2020-149 -- 3.6144 10/20/2050</t>
  </si>
  <si>
    <t>GNMA REMIC TRUST 2020-149 -- -- 09/20/2050</t>
  </si>
  <si>
    <t>GNMA REMIC TRUST 2020-160 -- -- 10/20/2050</t>
  </si>
  <si>
    <t>GNMA REMIC TRUST 2020-47 -- -- 05/20/2044</t>
  </si>
  <si>
    <t>GNMA REMIC TRUST 2021-006 -- -- 01/20/2051</t>
  </si>
  <si>
    <t>GNMA REMIC TRUST 2021-008 -- -- 01/20/2051</t>
  </si>
  <si>
    <t>GNMA REMIC TRUST 2021-042 -- -- 03/20/2051</t>
  </si>
  <si>
    <t>GNMA REMIC TRUST 2021-078 -- -- 05/20/2051</t>
  </si>
  <si>
    <t>GNMA REMIC TRUST 2021-087 -- -- 05/20/2051</t>
  </si>
  <si>
    <t>GNMA REMIC TRUST 2021-096 -- -- 06/20/2051</t>
  </si>
  <si>
    <t>GNMA REMIC TRUST 2021-097 -- -- 05/20/2045</t>
  </si>
  <si>
    <t>GNMA REMIC TRUST 2021-097 -- -- 07/20/2050</t>
  </si>
  <si>
    <t>GNMA REMIC TRUST 2021-098 -- -- 06/20/2051</t>
  </si>
  <si>
    <t>GNMA REMIC TRUST 2021-104 -- -- 06/20/2051</t>
  </si>
  <si>
    <t>GNMA REMIC TRUST 2021-107 -- -- 06/20/2051</t>
  </si>
  <si>
    <t>GNMA REMIC TRUST 2021-122 -- 2.55 07/20/2051</t>
  </si>
  <si>
    <t>GNMA REMIC TRUST 2021-136 -- -- 08/20/2051</t>
  </si>
  <si>
    <t>GNMA REMIC TRUST 2021-139 -- -- 08/20/2051</t>
  </si>
  <si>
    <t>GNMA REMIC TRUST 2021-140 -- 4.23 04/20/2050</t>
  </si>
  <si>
    <t>GNMA REMIC TRUST 2021-146 -- -- 08/20/2051</t>
  </si>
  <si>
    <t>38382WZF7</t>
  </si>
  <si>
    <t>GNMA REMIC TRUST 2021-155 -- -- 09/20/2051</t>
  </si>
  <si>
    <t>GNMA REMIC TRUST 2021-158 -- -- 01/20/2050</t>
  </si>
  <si>
    <t>GNMA REMIC TRUST 2021-160 -- 2.60 09/20/2051</t>
  </si>
  <si>
    <t>GNMA REMIC TRUST 2021-160 -- 3.10 09/20/2051</t>
  </si>
  <si>
    <t>GNMA REMIC TRUST2018-091 -- 6.1644 07/20/2048</t>
  </si>
  <si>
    <t>GS MBS TR 2021-PJ4 -- 2.50 09/25/2051</t>
  </si>
  <si>
    <t>GS MRTG BCK SEC TR 2021-INV1 -- 2.50 12/25/2051</t>
  </si>
  <si>
    <t>GS MTG SEC TR 2018-HART -- 2.30 10/15/2031</t>
  </si>
  <si>
    <t>HARBORVIEW MTG LN TR 2007-1 -- 0.2204 04/19/2038</t>
  </si>
  <si>
    <t>HBT Financial Incorporation HBT 4.50 09/15/2030</t>
  </si>
  <si>
    <t>HOA FUNDING LLC 2021-1 -- -- 08/20/2051</t>
  </si>
  <si>
    <t>IIP Operating Partnership LP IIPR 5.50 05/25/2026</t>
  </si>
  <si>
    <t>Independent Bank Group Inc IBTX 4.00 09/15/2030</t>
  </si>
  <si>
    <t>INTOWN HOTEL PORT TR 2018-STAY -- 3.191 01/18/2033</t>
  </si>
  <si>
    <t>INVITATION HOMES TR 2018-SFR2 -- 1.366 06/18/2037</t>
  </si>
  <si>
    <t>JERSEY MIKES FDG 2019-1 -- -- 02/15/2050</t>
  </si>
  <si>
    <t>JP MORGAN CHASE CMBS 2012-C6 -- 5.3102 05/17/2045</t>
  </si>
  <si>
    <t>JP MORGAN MORTGAGE TR 2019-5 -- 4.00 11/25/2049</t>
  </si>
  <si>
    <t>JP MORGAN MTG TR 2017-4 -- 3.50 11/25/2048</t>
  </si>
  <si>
    <t>JP MORGAN MTG TR 2017-5 -- 3.1881 10/25/2048</t>
  </si>
  <si>
    <t>JP MORGAN MTG TR 2018-6 -- 4.0133 12/25/2048</t>
  </si>
  <si>
    <t>JP MORGAN MTG TR 2019-INV3 -- 4.4335 05/25/2050</t>
  </si>
  <si>
    <t>JPMBB COML MTG SEC TR 2015-C29 -- 0.7763 05/15/2048</t>
  </si>
  <si>
    <t>JPMBB COML MTG SEC TR 2015-C30 -- 0.501 07/17/2048</t>
  </si>
  <si>
    <t>LABRADOR AVIA FIN LTD 2016-1 -- 4.30 01/15/2042</t>
  </si>
  <si>
    <t>52468JZ15</t>
  </si>
  <si>
    <t>Legacy Capital Co Llc Series A -- 0.00 12/01/2021</t>
  </si>
  <si>
    <t>Legacy Capital Co Llc Series A -- 0.00 01/27/2022</t>
  </si>
  <si>
    <t>LENDINGPOINT  SEC 2020-REV1 TR -- -- 10/15/2028</t>
  </si>
  <si>
    <t>Lexington Parker Capital Company L.P. -- 0.00 02/24/2022</t>
  </si>
  <si>
    <t>Luther Burbank Corporation LTHBUR 6.50 09/30/2024</t>
  </si>
  <si>
    <t>LUXE TRUST 2021-TRIP -- -- 10/15/2038</t>
  </si>
  <si>
    <t>Marble Point Loan Financing Ltd / MPLF Funding I Llc MRBLPT 7.50 11/15/2025</t>
  </si>
  <si>
    <t>MARLETTE FDG TR 2017-3 -- -- 12/16/2024</t>
  </si>
  <si>
    <t>MARLETTE FDG TR 2020-1 -- -- 03/15/2030</t>
  </si>
  <si>
    <t>MARLIN RECV LLC 2018-1 -- -- 05/20/2025</t>
  </si>
  <si>
    <t>BX COMM MTG TR 2021-SOAR -- 0.761 06/15/2038</t>
  </si>
  <si>
    <t>BX COMM MTG TR 2021-SOAR -- 0.961 06/15/2038</t>
  </si>
  <si>
    <t>BX COMM MTG TR 2021-SOAR -- 1.191 06/15/2038</t>
  </si>
  <si>
    <t>BX COMM MTG TR 2021-SOAR -- 1.491 06/15/2038</t>
  </si>
  <si>
    <t>BX COMM MTG TR 2021-SOAR -- 2.441 06/15/2038</t>
  </si>
  <si>
    <t>S:\Lucid\Data\Bond Data\Historical\Vantage Proxies-2021-11-15</t>
  </si>
  <si>
    <t>06760VAE8</t>
  </si>
  <si>
    <t>AL 17%</t>
  </si>
  <si>
    <t>2022-03-15</t>
  </si>
  <si>
    <t>33938MAC3</t>
  </si>
  <si>
    <t>Flexential Issuer, LLC</t>
  </si>
  <si>
    <t>FLX 2021-1A C</t>
  </si>
  <si>
    <t>11/27/2051</t>
  </si>
  <si>
    <t>62431XBA3</t>
  </si>
  <si>
    <t>Mountain View CLO Ltd</t>
  </si>
  <si>
    <t>MVW 2014-1A DRR</t>
  </si>
  <si>
    <t>36361WAN6</t>
  </si>
  <si>
    <t>Gallatin Funding Ltd</t>
  </si>
  <si>
    <t>GALL 2018-1A D1</t>
  </si>
  <si>
    <t>05377RDN1</t>
  </si>
  <si>
    <t>AESOP 2019-2A C</t>
  </si>
  <si>
    <t>35564TAH3</t>
  </si>
  <si>
    <t>WH30 5.0</t>
  </si>
  <si>
    <t>STACR 2019-DNA3 M2</t>
  </si>
  <si>
    <t>F40411HN7</t>
  </si>
  <si>
    <t>Coups EUR Bonds</t>
  </si>
  <si>
    <t>USD unused facility fees</t>
  </si>
  <si>
    <t>EUR unused facility fees</t>
  </si>
  <si>
    <t>Factoring of Eelm for differences in factor form bonddata and positions on Facilities and Bond Details Tab</t>
  </si>
  <si>
    <t>Factoring of Spruce for differences in factor form bonddata and positions on Facilities and Bond Details Tab</t>
  </si>
  <si>
    <t>new Borrow</t>
  </si>
  <si>
    <t>MACQUARIE BANK LIMITED EUR</t>
  </si>
  <si>
    <t>FR0010916924</t>
  </si>
  <si>
    <t>FRANCE (GOVT OF)</t>
  </si>
  <si>
    <t>Aa2u</t>
  </si>
  <si>
    <t>AAu</t>
  </si>
  <si>
    <t>AAHu</t>
  </si>
  <si>
    <t>Macquarie repo starts</t>
  </si>
  <si>
    <t>NatWest Repo Starts</t>
  </si>
  <si>
    <t>Present Usage</t>
  </si>
  <si>
    <t>Prev Date Usage</t>
  </si>
  <si>
    <t>Pierpont Repo</t>
  </si>
  <si>
    <t>NWM Almond repo 60219</t>
  </si>
  <si>
    <t>NWM FROAT reverse 60221</t>
  </si>
  <si>
    <t>NWM FROAT repo 60222</t>
  </si>
  <si>
    <t>315921AL0</t>
  </si>
  <si>
    <t>20786WAE7</t>
  </si>
  <si>
    <t>12739AAA8</t>
  </si>
  <si>
    <t>03076KAB4</t>
  </si>
  <si>
    <t>020810AA5</t>
  </si>
  <si>
    <t>01748HAA5</t>
  </si>
  <si>
    <t>Annual Mourrant Governance invoice</t>
  </si>
  <si>
    <t>diffs in facility fees</t>
  </si>
  <si>
    <t>paydown on XS2225938831</t>
  </si>
  <si>
    <t>38176YAN3</t>
  </si>
  <si>
    <t>new APS repos</t>
  </si>
  <si>
    <t>HX 60259</t>
  </si>
  <si>
    <t>HX 60260</t>
  </si>
  <si>
    <t>12653BAU4</t>
  </si>
  <si>
    <t>HX 60316</t>
  </si>
  <si>
    <t>HX 60315</t>
  </si>
  <si>
    <t>HX 60317</t>
  </si>
  <si>
    <t>ALLEGIANCE BANCSHARES</t>
  </si>
  <si>
    <t>09/27/2019</t>
  </si>
  <si>
    <t>10/01/2029</t>
  </si>
  <si>
    <t>ALPINE BANKS OF COLORADO</t>
  </si>
  <si>
    <t>06/11/2020</t>
  </si>
  <si>
    <t>AMERIS BANCORP</t>
  </si>
  <si>
    <t>12/06/2019</t>
  </si>
  <si>
    <t>12/15/2029</t>
  </si>
  <si>
    <t>CA 32%</t>
  </si>
  <si>
    <t>NJ 6%</t>
  </si>
  <si>
    <t>Credit Suisse Commercial Mortg</t>
  </si>
  <si>
    <t>CSWF 2018-TOP H</t>
  </si>
  <si>
    <t>08/28/2018</t>
  </si>
  <si>
    <t>08/15/2035</t>
  </si>
  <si>
    <t>SUB,FLT,STEP,CMPLX</t>
  </si>
  <si>
    <t>CADENCE BANK</t>
  </si>
  <si>
    <t>06/26/2019</t>
  </si>
  <si>
    <t>06/30/2029</t>
  </si>
  <si>
    <t>2022-03-24</t>
  </si>
  <si>
    <t>2022-03-25</t>
  </si>
  <si>
    <t>06/15/2020</t>
  </si>
  <si>
    <t>03/19/2021</t>
  </si>
  <si>
    <t>03/30/2031</t>
  </si>
  <si>
    <t>12/02/2021</t>
  </si>
  <si>
    <t>07/23/2019</t>
  </si>
  <si>
    <t>08/30/2018</t>
  </si>
  <si>
    <t>01/21/2028</t>
  </si>
  <si>
    <t>2022-01-21</t>
  </si>
  <si>
    <t>GOCAP 2019-46A C3</t>
  </si>
  <si>
    <t>CO 5%</t>
  </si>
  <si>
    <t>06/28/2018</t>
  </si>
  <si>
    <t>2022-03-14</t>
  </si>
  <si>
    <t>VA 5%</t>
  </si>
  <si>
    <t>CA 23%</t>
  </si>
  <si>
    <t>07/06/2010</t>
  </si>
  <si>
    <t>Adjustment for Facility fees in  Euros</t>
  </si>
  <si>
    <t>MACQUARIE BANK LIMITED USD</t>
  </si>
  <si>
    <t>12/29/2021</t>
  </si>
  <si>
    <t>MA 8%</t>
  </si>
  <si>
    <t>WHARM5.0</t>
  </si>
  <si>
    <t>HX 60391</t>
  </si>
  <si>
    <t>HX 60390</t>
  </si>
  <si>
    <t>HX 60350</t>
  </si>
  <si>
    <t>Macquarie margin Helix 60346</t>
  </si>
  <si>
    <t>HX 60389</t>
  </si>
  <si>
    <t>HX 60388</t>
  </si>
  <si>
    <t>Upfront Ptarmigan</t>
  </si>
  <si>
    <t>swing set-up fees</t>
  </si>
  <si>
    <t>Pay set-up fees</t>
  </si>
  <si>
    <t>Pay Dec SS&amp;C</t>
  </si>
  <si>
    <t>Termination of Macquarie repo</t>
  </si>
  <si>
    <t>HELIX 60443</t>
  </si>
  <si>
    <t>Owed by NWM for net on 12.15 UST repos (as agreed)</t>
  </si>
  <si>
    <t>P&amp;I on 5mm FIR</t>
  </si>
  <si>
    <t>P&amp;I on 240,157 ELM</t>
  </si>
  <si>
    <t>Org Fees (+Additional org fees for Ptarmigan)</t>
  </si>
  <si>
    <t>ALMNDUSD4</t>
  </si>
  <si>
    <t>PIERPONT repo open</t>
  </si>
  <si>
    <t>Mgmt fee wire settled 1/3/22</t>
  </si>
  <si>
    <t>HEXZETA02</t>
  </si>
  <si>
    <t>HEXZETA01</t>
  </si>
  <si>
    <t>3137F9FB2</t>
  </si>
  <si>
    <t>CA 81%</t>
  </si>
  <si>
    <t>NY 22%</t>
  </si>
  <si>
    <t>MO 8%</t>
  </si>
  <si>
    <t>OK 21%</t>
  </si>
  <si>
    <t>OH 29%</t>
  </si>
  <si>
    <t>GA 23%</t>
  </si>
  <si>
    <t>MI 20%</t>
  </si>
  <si>
    <t>NJ 11%</t>
  </si>
  <si>
    <t>FL 50%</t>
  </si>
  <si>
    <t>MA 17%</t>
  </si>
  <si>
    <t>GA 5%</t>
  </si>
  <si>
    <t>FHR 5079 GI</t>
  </si>
  <si>
    <t>02/25/2051</t>
  </si>
  <si>
    <t>WI 10%</t>
  </si>
  <si>
    <t>TX 88%</t>
  </si>
  <si>
    <t>OK 12%</t>
  </si>
  <si>
    <t>AZ 51%</t>
  </si>
  <si>
    <t>TX 49%</t>
  </si>
  <si>
    <t>FL 43%</t>
  </si>
  <si>
    <t>CO 14%</t>
  </si>
  <si>
    <t>NC 13%</t>
  </si>
  <si>
    <t>NC 29%</t>
  </si>
  <si>
    <t>CT 25%</t>
  </si>
  <si>
    <t>SC 13%</t>
  </si>
  <si>
    <t>TX 29%</t>
  </si>
  <si>
    <t>WI 8%</t>
  </si>
  <si>
    <t>12/10/2021</t>
  </si>
  <si>
    <t>South'n Almnd U4</t>
  </si>
  <si>
    <t>Hex Zeta 1</t>
  </si>
  <si>
    <t>Hex Zeta 2</t>
  </si>
  <si>
    <t>19521UAE3</t>
  </si>
  <si>
    <t>Cologix Data Centers Issuer LL</t>
  </si>
  <si>
    <t>CLGIX 2021-1A C</t>
  </si>
  <si>
    <t>12/26/2051</t>
  </si>
  <si>
    <t>631709AE2</t>
  </si>
  <si>
    <t>Nassau 2017-II LTD</t>
  </si>
  <si>
    <t>NCC 2017-IIA D</t>
  </si>
  <si>
    <t>12/20/2017</t>
  </si>
  <si>
    <t>12529MDG0</t>
  </si>
  <si>
    <t>Cantor Commercial Real Estate</t>
  </si>
  <si>
    <t>CF 2019-CF1 65C</t>
  </si>
  <si>
    <t>CSTR,RAKE</t>
  </si>
  <si>
    <t>38382LF97</t>
  </si>
  <si>
    <t>GNR 2020-187 IO</t>
  </si>
  <si>
    <t>12/20/2050</t>
  </si>
  <si>
    <t>38383DHS0</t>
  </si>
  <si>
    <t>GNR 2021-194 PI</t>
  </si>
  <si>
    <t>11/20/2051</t>
  </si>
  <si>
    <t>3137FYJJ6</t>
  </si>
  <si>
    <t>FHR 5093 IV</t>
  </si>
  <si>
    <t>IL 5%</t>
  </si>
  <si>
    <t>38382VMC0</t>
  </si>
  <si>
    <t>GNR 2021-121 JI</t>
  </si>
  <si>
    <t>38382WPX9</t>
  </si>
  <si>
    <t>GNR 2021-116 LI</t>
  </si>
  <si>
    <t>MCQ OAT switch</t>
  </si>
  <si>
    <t>MCQ OAT repo</t>
  </si>
  <si>
    <t>NWM OAT reverse</t>
  </si>
  <si>
    <t>06540WAL7</t>
  </si>
  <si>
    <t>9128287D6 PNI receive</t>
  </si>
  <si>
    <t>Receive returned MCQ margin</t>
  </si>
  <si>
    <t>87264JAL0</t>
  </si>
  <si>
    <t>Pay NWM -7D6 PNI</t>
  </si>
  <si>
    <t>Receive -7D6 PNI from Pierpont</t>
  </si>
  <si>
    <t>43785VAE2</t>
  </si>
  <si>
    <t>3132VPDA3</t>
  </si>
  <si>
    <t>Receive MCQ margin</t>
  </si>
  <si>
    <t>912828X70</t>
  </si>
  <si>
    <t>AVAILABLE</t>
  </si>
  <si>
    <t>64831KAL0</t>
  </si>
  <si>
    <t>64831KAJ5</t>
  </si>
  <si>
    <t>55316VAJ3</t>
  </si>
  <si>
    <t>05609CAN7</t>
  </si>
  <si>
    <t>REPO COLLATERAL</t>
  </si>
  <si>
    <t>06540LAL1</t>
  </si>
  <si>
    <t>38383GUS8</t>
  </si>
  <si>
    <t>Difference between faotored amounts for Sep 15 2021 and amount sent by NWM</t>
  </si>
  <si>
    <t>Elm factoring between 15-Sep-21 and 15-Dec-21</t>
  </si>
  <si>
    <t>Spruce factoring between 15-Sep-21 and 15-Dec-21</t>
  </si>
  <si>
    <t>Spruce adjustment</t>
  </si>
  <si>
    <t>Fir adjustment</t>
  </si>
  <si>
    <t>Almond adjustment</t>
  </si>
  <si>
    <t>MAIN FUND - HEXZETA</t>
  </si>
  <si>
    <t>MAIN FUND - MNTNCHERRY</t>
  </si>
  <si>
    <t>HEXAGON ZETA</t>
  </si>
  <si>
    <t>MOUNTAIN CHERRY</t>
  </si>
  <si>
    <t>Daily Mgmt Fee Accrual</t>
  </si>
  <si>
    <t>MNTNCHRY1</t>
  </si>
  <si>
    <t>MNTNCHERRY Change</t>
  </si>
  <si>
    <t>Natwest wired $1k too much</t>
  </si>
  <si>
    <t>FROAT Switch</t>
  </si>
  <si>
    <t>FACILITY SIZES</t>
  </si>
  <si>
    <t>NAME</t>
  </si>
  <si>
    <t>TOTAL USD EQUIV</t>
  </si>
  <si>
    <t>Mgmt Fee Acc'l Start</t>
  </si>
  <si>
    <t>DAIWA CAPITAL MARKETS EUROPE LIMITED EUR</t>
  </si>
  <si>
    <t>DAIWA OAT repo</t>
  </si>
  <si>
    <t>46650RAQ9</t>
  </si>
  <si>
    <t>46645WBJ1</t>
  </si>
  <si>
    <t>3133A5CY7</t>
  </si>
  <si>
    <t>94949TAJ2</t>
  </si>
  <si>
    <t>81746XCD6</t>
  </si>
  <si>
    <t>822866AL3</t>
  </si>
  <si>
    <t>822866AJ8</t>
  </si>
  <si>
    <t>466365AE3</t>
  </si>
  <si>
    <t>38381YMW1</t>
  </si>
  <si>
    <t>3133AWZB3</t>
  </si>
  <si>
    <t>3132HNUU1</t>
  </si>
  <si>
    <t>12593QBK5</t>
  </si>
  <si>
    <t>05530SAN6</t>
  </si>
  <si>
    <t>XS2373029664</t>
  </si>
  <si>
    <t>OLIVEUSD Change</t>
  </si>
  <si>
    <t>MAIN FUND - OLIVE USD</t>
  </si>
  <si>
    <t>38383GTP6</t>
  </si>
  <si>
    <t>38383GMT5</t>
  </si>
  <si>
    <t>38381YJG0</t>
  </si>
  <si>
    <t>MQB repo maty</t>
  </si>
  <si>
    <t>Daiwa repo maty</t>
  </si>
  <si>
    <t>MQB repo new</t>
  </si>
  <si>
    <t>Daiwa repo new</t>
  </si>
  <si>
    <t>05610FAB3</t>
  </si>
  <si>
    <t>91282CAE1 PNI</t>
  </si>
  <si>
    <t>Pierpont new repo</t>
  </si>
  <si>
    <t>Receive set-up fee</t>
  </si>
  <si>
    <t>Pay mgmt fee</t>
  </si>
  <si>
    <t>2022-04-24</t>
  </si>
  <si>
    <t>2022-04-25</t>
  </si>
  <si>
    <t>2022-03-17</t>
  </si>
  <si>
    <t>NY 24%</t>
  </si>
  <si>
    <t>2022-04-04</t>
  </si>
  <si>
    <t>CMBS 2.5</t>
  </si>
  <si>
    <t>BAMLL 2022-DKLX E</t>
  </si>
  <si>
    <t>02/02/2022</t>
  </si>
  <si>
    <t>01/15/2039</t>
  </si>
  <si>
    <t>2022-04-11</t>
  </si>
  <si>
    <t>2022-05-02</t>
  </si>
  <si>
    <t>BX 2021-21M E</t>
  </si>
  <si>
    <t>11/08/2021</t>
  </si>
  <si>
    <t>BX 2022-AHP AS</t>
  </si>
  <si>
    <t>02/15/2022</t>
  </si>
  <si>
    <t>CMBS 3.1</t>
  </si>
  <si>
    <t>BANK 2021-BN37 E</t>
  </si>
  <si>
    <t>11/01/2021</t>
  </si>
  <si>
    <t>11/15/2064</t>
  </si>
  <si>
    <t>CMBS   4</t>
  </si>
  <si>
    <t>BANK 2019-BN19 E</t>
  </si>
  <si>
    <t>08/01/2019</t>
  </si>
  <si>
    <t>C</t>
  </si>
  <si>
    <t>2022-04-16</t>
  </si>
  <si>
    <t>2022-04-18</t>
  </si>
  <si>
    <t>05/15/2052</t>
  </si>
  <si>
    <t>2022-03-16</t>
  </si>
  <si>
    <t>COMM 2015-CR26 D</t>
  </si>
  <si>
    <t>2022-04-03</t>
  </si>
  <si>
    <t>2022-04-22</t>
  </si>
  <si>
    <t>2022-03-28</t>
  </si>
  <si>
    <t>2022-03-20</t>
  </si>
  <si>
    <t>RMBSN5.5</t>
  </si>
  <si>
    <t>2022-03-27</t>
  </si>
  <si>
    <t>2022-04-15</t>
  </si>
  <si>
    <t>2022-04-13</t>
  </si>
  <si>
    <t>2022-03-31</t>
  </si>
  <si>
    <t>2022-05-16</t>
  </si>
  <si>
    <t>2022-04-14</t>
  </si>
  <si>
    <t>2022-03-18</t>
  </si>
  <si>
    <t>GU 13%</t>
  </si>
  <si>
    <t>CA 61%</t>
  </si>
  <si>
    <t>AZ 21%</t>
  </si>
  <si>
    <t>DE 19%</t>
  </si>
  <si>
    <t>NY 49%</t>
  </si>
  <si>
    <t>FG Q12395</t>
  </si>
  <si>
    <t>10/01/2012</t>
  </si>
  <si>
    <t>11/01/2042</t>
  </si>
  <si>
    <t>FG Q62796</t>
  </si>
  <si>
    <t>OH 28%</t>
  </si>
  <si>
    <t>MI 18%</t>
  </si>
  <si>
    <t>PA 17%</t>
  </si>
  <si>
    <t>FR QA9987</t>
  </si>
  <si>
    <t>05/01/2050</t>
  </si>
  <si>
    <t>FR QD0738</t>
  </si>
  <si>
    <t>MI 22%</t>
  </si>
  <si>
    <t>MA 6%</t>
  </si>
  <si>
    <t>FL 28%</t>
  </si>
  <si>
    <t>MS 19%</t>
  </si>
  <si>
    <t>MT 18%</t>
  </si>
  <si>
    <t>NC 10%</t>
  </si>
  <si>
    <t>NV 21%</t>
  </si>
  <si>
    <t>MD 16%</t>
  </si>
  <si>
    <t>TX 26%</t>
  </si>
  <si>
    <t>ID 23%</t>
  </si>
  <si>
    <t>AZ 22%</t>
  </si>
  <si>
    <t>MN 13%</t>
  </si>
  <si>
    <t>AR 15%</t>
  </si>
  <si>
    <t>MN 14%</t>
  </si>
  <si>
    <t>KS 32%</t>
  </si>
  <si>
    <t>DC 32%</t>
  </si>
  <si>
    <t>MD 24%</t>
  </si>
  <si>
    <t>NC 9%</t>
  </si>
  <si>
    <t>MI 24%</t>
  </si>
  <si>
    <t>AZ 9%</t>
  </si>
  <si>
    <t>01/01/2052</t>
  </si>
  <si>
    <t>NC 7%</t>
  </si>
  <si>
    <t>NY 58%</t>
  </si>
  <si>
    <t>OH 62%</t>
  </si>
  <si>
    <t>MI 38%</t>
  </si>
  <si>
    <t>WI 17%</t>
  </si>
  <si>
    <t>2022-04-30</t>
  </si>
  <si>
    <t>MD 11%</t>
  </si>
  <si>
    <t>KS 44%</t>
  </si>
  <si>
    <t>TX 90%</t>
  </si>
  <si>
    <t>NV 10%</t>
  </si>
  <si>
    <t>IN 24%</t>
  </si>
  <si>
    <t>OK 31%</t>
  </si>
  <si>
    <t>MS 30%</t>
  </si>
  <si>
    <t>LA 15%</t>
  </si>
  <si>
    <t>2022-04-21</t>
  </si>
  <si>
    <t>2022-05-04</t>
  </si>
  <si>
    <t>2022-05-05</t>
  </si>
  <si>
    <t>2022-04-19</t>
  </si>
  <si>
    <t>NY 27%</t>
  </si>
  <si>
    <t>GNR 2019-97 SC</t>
  </si>
  <si>
    <t>GNR 2019-111 JS</t>
  </si>
  <si>
    <t>09/20/2036</t>
  </si>
  <si>
    <t>GA 10%</t>
  </si>
  <si>
    <t>G2RG 3.5</t>
  </si>
  <si>
    <t>VA 24%</t>
  </si>
  <si>
    <t>IN 8%</t>
  </si>
  <si>
    <t>CA 33%</t>
  </si>
  <si>
    <t>G2RG 4.5</t>
  </si>
  <si>
    <t>GNR 2022-19 SG</t>
  </si>
  <si>
    <t>01/20/2022</t>
  </si>
  <si>
    <t>01/20/2052</t>
  </si>
  <si>
    <t>GNR 2022-1 US</t>
  </si>
  <si>
    <t>GNR 2022-1 PI</t>
  </si>
  <si>
    <t>01/01/2022</t>
  </si>
  <si>
    <t>12/20/2051</t>
  </si>
  <si>
    <t>HOMESTREET INC</t>
  </si>
  <si>
    <t>01/19/2022</t>
  </si>
  <si>
    <t>01/30/2032</t>
  </si>
  <si>
    <t>Jack in the Box Funding, LLC</t>
  </si>
  <si>
    <t>JACK 2022-1A A2II</t>
  </si>
  <si>
    <t>02/11/2022</t>
  </si>
  <si>
    <t>02/26/2052</t>
  </si>
  <si>
    <t>2022-04-29</t>
  </si>
  <si>
    <t>2022-05-25</t>
  </si>
  <si>
    <t>JPMCC 2018-WPT FFX</t>
  </si>
  <si>
    <t>07/05/2033</t>
  </si>
  <si>
    <t>2022-04-02</t>
  </si>
  <si>
    <t>JPMCC 2019-ICON F</t>
  </si>
  <si>
    <t>01/05/2034</t>
  </si>
  <si>
    <t>52468KE49</t>
  </si>
  <si>
    <t>52468KGK1</t>
  </si>
  <si>
    <t>MHC Commercial Mortgage Trust</t>
  </si>
  <si>
    <t>MHC 2021-MHC E</t>
  </si>
  <si>
    <t>04/22/2021</t>
  </si>
  <si>
    <t>04/15/2038</t>
  </si>
  <si>
    <t>2022-04-07</t>
  </si>
  <si>
    <t>01/15/2030</t>
  </si>
  <si>
    <t>SF-Re3.5</t>
  </si>
  <si>
    <t>NRMLT 2022-SFR1 E1</t>
  </si>
  <si>
    <t>01/28/2022</t>
  </si>
  <si>
    <t>02/17/2039</t>
  </si>
  <si>
    <t>NRMLT 2022-SFR1 E2</t>
  </si>
  <si>
    <t>SEMT 2017-3 B3</t>
  </si>
  <si>
    <t>04/25/2047</t>
  </si>
  <si>
    <t>WH30 4.9</t>
  </si>
  <si>
    <t>SGCP 2021-FL3 D</t>
  </si>
  <si>
    <t>SGCP 2021-FL3 E</t>
  </si>
  <si>
    <t>2022-04-01</t>
  </si>
  <si>
    <t>TMSQ MORTGAGE TRUST</t>
  </si>
  <si>
    <t>CMBS 3.8</t>
  </si>
  <si>
    <t>TMSQ 2014-1500 D</t>
  </si>
  <si>
    <t>10/10/2036</t>
  </si>
  <si>
    <t>04/30/2024</t>
  </si>
  <si>
    <t>2022-04-08</t>
  </si>
  <si>
    <t>2022-04-10</t>
  </si>
  <si>
    <t>Wellfleet CLO Ltd</t>
  </si>
  <si>
    <t>WELF 2016-1A ER</t>
  </si>
  <si>
    <t>05/10/2018</t>
  </si>
  <si>
    <t>2022-03-30</t>
  </si>
  <si>
    <t>2022-03-29</t>
  </si>
  <si>
    <t>2022-04-17</t>
  </si>
  <si>
    <t>SN</t>
  </si>
  <si>
    <t>SYN-CDO</t>
  </si>
  <si>
    <t>Lake Olive USD</t>
  </si>
  <si>
    <t>EURFX</t>
  </si>
  <si>
    <t>SPOT</t>
  </si>
  <si>
    <t>Euro Spot</t>
  </si>
  <si>
    <t>01449NAJ5</t>
  </si>
  <si>
    <t>ALEN 2021-ACEN E</t>
  </si>
  <si>
    <t>126390AG8</t>
  </si>
  <si>
    <t>CSMC 2020-TMIC B</t>
  </si>
  <si>
    <t>12/15/2035</t>
  </si>
  <si>
    <t>33851TAL1</t>
  </si>
  <si>
    <t>WH30 3.5</t>
  </si>
  <si>
    <t>FSMT 2021-11IN A11</t>
  </si>
  <si>
    <t>10/25/2021</t>
  </si>
  <si>
    <t>11/25/2051</t>
  </si>
  <si>
    <t>12528AAQ8</t>
  </si>
  <si>
    <t>03/24/2021</t>
  </si>
  <si>
    <t>04/15/2034</t>
  </si>
  <si>
    <t>SF-Re4.4</t>
  </si>
  <si>
    <t>CFIP CLO LTD</t>
  </si>
  <si>
    <t>CFIP 2013-1A CR</t>
  </si>
  <si>
    <t>04/20/2029</t>
  </si>
  <si>
    <t>12/02/2020</t>
  </si>
  <si>
    <t>2022-03-21</t>
  </si>
  <si>
    <t>2022-05-20</t>
  </si>
  <si>
    <t>LEND42.9</t>
  </si>
  <si>
    <t>Mntn Cherry 1</t>
  </si>
  <si>
    <t>02/03/2022</t>
  </si>
  <si>
    <t>Return 91282CAE1 PNI</t>
  </si>
  <si>
    <t>ADMN SSC</t>
  </si>
  <si>
    <t>NWM pays add'l cleanup - SSPRUCE</t>
  </si>
  <si>
    <t>NWM pays add'l cleanup - PFIR</t>
  </si>
  <si>
    <t>NWM pays add'l cleanup - ALMONDUSD</t>
  </si>
  <si>
    <t>NWM pays accrued on UST repos - UST</t>
  </si>
  <si>
    <t>NWM not paid yet</t>
  </si>
  <si>
    <t>NWM pays add'l cleanup - ALMONDUSD (2/24)</t>
  </si>
  <si>
    <t>61762XAE7</t>
  </si>
  <si>
    <t>75410RBN5</t>
  </si>
  <si>
    <t>75410JBN3</t>
  </si>
  <si>
    <t>67113XBC3</t>
  </si>
  <si>
    <t>58549KBT7</t>
  </si>
  <si>
    <t>44590HBX3</t>
  </si>
  <si>
    <t>38383G3D1</t>
  </si>
  <si>
    <t>36266PBQ9</t>
  </si>
  <si>
    <t>36263VBB2</t>
  </si>
  <si>
    <t>36262CBF6</t>
  </si>
  <si>
    <t>33852EAZ2</t>
  </si>
  <si>
    <t>12566PCE3</t>
  </si>
  <si>
    <t>CIM 2021-INV1 AX30</t>
  </si>
  <si>
    <t>2022-05-15</t>
  </si>
  <si>
    <t>WH30 2.8</t>
  </si>
  <si>
    <t>FSMT 2021-2 AX4</t>
  </si>
  <si>
    <t>04/25/2051</t>
  </si>
  <si>
    <t>IO,NTL,AFC</t>
  </si>
  <si>
    <t>WH30 2.7</t>
  </si>
  <si>
    <t>GSMBS 2021-PJ7 AX4</t>
  </si>
  <si>
    <t>01/25/2052</t>
  </si>
  <si>
    <t>GSMBS 2021-PJ11 AX4</t>
  </si>
  <si>
    <t>04/25/2052</t>
  </si>
  <si>
    <t>CA 49%</t>
  </si>
  <si>
    <t>GSMBS 2022-MM1 AIOS</t>
  </si>
  <si>
    <t>07/25/2052</t>
  </si>
  <si>
    <t>IO,EXE,NTL</t>
  </si>
  <si>
    <t>NC 12%</t>
  </si>
  <si>
    <t>GNR 2022-25 IJ</t>
  </si>
  <si>
    <t>02/01/2022</t>
  </si>
  <si>
    <t>IO,NTL,SEQ</t>
  </si>
  <si>
    <t>Hundred Acre Wood Trust</t>
  </si>
  <si>
    <t>HAWT 2021-INV1 AX27</t>
  </si>
  <si>
    <t>07/25/2051</t>
  </si>
  <si>
    <t>CA 46%</t>
  </si>
  <si>
    <t>52473GAR4</t>
  </si>
  <si>
    <t>CALLABLE CP</t>
  </si>
  <si>
    <t>LEGACY CAPITAL LLC</t>
  </si>
  <si>
    <t>02/16/2022</t>
  </si>
  <si>
    <t>05/17/2022</t>
  </si>
  <si>
    <t>Error: Moody's rating where it shouldn't be</t>
  </si>
  <si>
    <t>A-1</t>
  </si>
  <si>
    <t>P-1</t>
  </si>
  <si>
    <t>MELLO 2021-INV1 AX4</t>
  </si>
  <si>
    <t>2022-04-28</t>
  </si>
  <si>
    <t>Morgan Stanley BAML Trust</t>
  </si>
  <si>
    <t>MSBAM 2013-C12 E</t>
  </si>
  <si>
    <t>10/15/2046</t>
  </si>
  <si>
    <t>Caa2</t>
  </si>
  <si>
    <t>NY 40%</t>
  </si>
  <si>
    <t>OBX 2021-J1 AIO3</t>
  </si>
  <si>
    <t>Rate Mortgage Trust</t>
  </si>
  <si>
    <t>RATE 2021-J4 AX1</t>
  </si>
  <si>
    <t>IO,NTL,W</t>
  </si>
  <si>
    <t>NJ 13%</t>
  </si>
  <si>
    <t>MA 12%</t>
  </si>
  <si>
    <t>RATE 2022-J1 AX1</t>
  </si>
  <si>
    <t>RESB/5.7</t>
  </si>
  <si>
    <t>85521DAJ1</t>
  </si>
  <si>
    <t>Star Trust</t>
  </si>
  <si>
    <t>STAR 2021-SFR1 E</t>
  </si>
  <si>
    <t>Swing redemptions to redemption account</t>
  </si>
  <si>
    <t>Swing redemptions from redemption account</t>
  </si>
  <si>
    <t>Olive PNI received 2/17</t>
  </si>
  <si>
    <t>Olive PNI received 2/16</t>
  </si>
  <si>
    <t>MQB margin receipt</t>
  </si>
  <si>
    <t>MQB margin swing</t>
  </si>
  <si>
    <t>912828R36 PNI reversed 2/25</t>
  </si>
  <si>
    <t>DGCXX dvds</t>
  </si>
  <si>
    <t>KPMG Invoices</t>
  </si>
  <si>
    <t>Swing Pierpont margin</t>
  </si>
  <si>
    <t>DAIWA CAPITAL MARKETS EUROPE LIMITED USD</t>
  </si>
  <si>
    <t>RepoFree</t>
  </si>
  <si>
    <t>CASHEUR01</t>
  </si>
  <si>
    <t>ECB</t>
  </si>
  <si>
    <t>EUR Cash</t>
  </si>
  <si>
    <t>1/1/1999</t>
  </si>
  <si>
    <t>01/17/2039</t>
  </si>
  <si>
    <t>WA 5%</t>
  </si>
  <si>
    <t>PR 9%</t>
  </si>
  <si>
    <t>OH 16%</t>
  </si>
  <si>
    <t>TN 40%</t>
  </si>
  <si>
    <t>NJ 18%</t>
  </si>
  <si>
    <t>MD 17%</t>
  </si>
  <si>
    <t>PA 13%</t>
  </si>
  <si>
    <t>IA 27%</t>
  </si>
  <si>
    <t>FL 21%</t>
  </si>
  <si>
    <t>FL 25%</t>
  </si>
  <si>
    <t>WA 23%</t>
  </si>
  <si>
    <t>FL 73%</t>
  </si>
  <si>
    <t>OK 27%</t>
  </si>
  <si>
    <t>FL 31%</t>
  </si>
  <si>
    <t>FL 37%</t>
  </si>
  <si>
    <t>FNARM2.4</t>
  </si>
  <si>
    <t>GA 4%</t>
  </si>
  <si>
    <t>3136BBQZ8</t>
  </si>
  <si>
    <t>FNR 2020-55 LI</t>
  </si>
  <si>
    <t>CA 71%</t>
  </si>
  <si>
    <t>CA 59%</t>
  </si>
  <si>
    <t>CA 76%</t>
  </si>
  <si>
    <t>NJ 10%</t>
  </si>
  <si>
    <t>GA 100%</t>
  </si>
  <si>
    <t>CT 10%</t>
  </si>
  <si>
    <t>MI 13%</t>
  </si>
  <si>
    <t>WV 26%</t>
  </si>
  <si>
    <t>MN 15%</t>
  </si>
  <si>
    <t>MA 15%</t>
  </si>
  <si>
    <t>OH 26%</t>
  </si>
  <si>
    <t>TN 16%</t>
  </si>
  <si>
    <t>NV 6%</t>
  </si>
  <si>
    <t>3140QNQW5</t>
  </si>
  <si>
    <t>FN CB3168</t>
  </si>
  <si>
    <t>03/01/2052</t>
  </si>
  <si>
    <t>FL 100%</t>
  </si>
  <si>
    <t>WA 14%</t>
  </si>
  <si>
    <t>319390AA8</t>
  </si>
  <si>
    <t>FIRST BUSINESS FINANCIAL</t>
  </si>
  <si>
    <t>08/15/2019</t>
  </si>
  <si>
    <t>08/15/2029</t>
  </si>
  <si>
    <t>GNR 2021-160 SJ</t>
  </si>
  <si>
    <t>52468KET4</t>
  </si>
  <si>
    <t>61765XAN4</t>
  </si>
  <si>
    <t>MSBAM 2015-C27 D</t>
  </si>
  <si>
    <t>03/10/2021</t>
  </si>
  <si>
    <t>04/17/2038</t>
  </si>
  <si>
    <t>92939HAJ4</t>
  </si>
  <si>
    <t>WF-RBS COMMERCIAL MORTGAGE TRU</t>
  </si>
  <si>
    <t>WFRBS 2014-C23 D</t>
  </si>
  <si>
    <t>09/01/2014</t>
  </si>
  <si>
    <t>10/15/2057</t>
  </si>
  <si>
    <t>XS2019751150</t>
  </si>
  <si>
    <t>SSPAI 1 F</t>
  </si>
  <si>
    <t>Sell EUR</t>
  </si>
  <si>
    <t>March 3 MQB pairoff posted</t>
  </si>
  <si>
    <t>Pierpont repo maturity</t>
  </si>
  <si>
    <t>New Pierpont repo</t>
  </si>
  <si>
    <t>RMBSN6.6</t>
  </si>
  <si>
    <t>ALMNDUSD5</t>
  </si>
  <si>
    <t>03/09/2022</t>
  </si>
  <si>
    <t>MD 9%</t>
  </si>
  <si>
    <t>TX 55%</t>
  </si>
  <si>
    <t>CA 74%</t>
  </si>
  <si>
    <t>MA 26%</t>
  </si>
  <si>
    <t>NY 14%</t>
  </si>
  <si>
    <t>IN 9%</t>
  </si>
  <si>
    <t>DE 7%</t>
  </si>
  <si>
    <t>OK 9%</t>
  </si>
  <si>
    <t>TX 43%</t>
  </si>
  <si>
    <t>MO 6%</t>
  </si>
  <si>
    <t>CA 83%</t>
  </si>
  <si>
    <t>FL 13%</t>
  </si>
  <si>
    <t>NM 27%</t>
  </si>
  <si>
    <t>VA 15%</t>
  </si>
  <si>
    <t>IL 27%</t>
  </si>
  <si>
    <t>3/31/2022</t>
  </si>
  <si>
    <t>3/25/2022</t>
  </si>
  <si>
    <t>4/25/2022</t>
  </si>
  <si>
    <t>46655DAC6</t>
  </si>
  <si>
    <t>JPMMT 2022-2 A3</t>
  </si>
  <si>
    <t>MQB margin</t>
  </si>
  <si>
    <t>MQB margin return</t>
  </si>
  <si>
    <t>Pierpont margin return</t>
  </si>
  <si>
    <t>MQB roll</t>
  </si>
  <si>
    <t>Daiwa roll</t>
  </si>
  <si>
    <t>X9USDDGCM</t>
  </si>
  <si>
    <t>U9237PAE7</t>
  </si>
  <si>
    <t>RP002G5Q0</t>
  </si>
  <si>
    <t>RP002G5PZ</t>
  </si>
  <si>
    <t>RP002EUHR</t>
  </si>
  <si>
    <t>MM003JIGR</t>
  </si>
  <si>
    <t>MM003JIGQ</t>
  </si>
  <si>
    <t>G6744EAC4</t>
  </si>
  <si>
    <t>G4038CAE4</t>
  </si>
  <si>
    <t>E2R99C2H9</t>
  </si>
  <si>
    <t>912828R36</t>
  </si>
  <si>
    <t>9128284L1</t>
  </si>
  <si>
    <t>74388MBK3</t>
  </si>
  <si>
    <t>74388MBB3</t>
  </si>
  <si>
    <t>74388MAQ1</t>
  </si>
  <si>
    <t>74387MAQ2</t>
  </si>
  <si>
    <t>46185HAA0</t>
  </si>
  <si>
    <t>Failing 3/15</t>
  </si>
  <si>
    <t>Pierpont repo settled</t>
  </si>
  <si>
    <t>RP003NN9K</t>
  </si>
  <si>
    <t>784309AA4</t>
  </si>
  <si>
    <t>46643GAY6</t>
  </si>
  <si>
    <t>38382WXY8</t>
  </si>
  <si>
    <t>38179JAJ2</t>
  </si>
  <si>
    <t>38179JAA1</t>
  </si>
  <si>
    <t>3132VPM88</t>
  </si>
  <si>
    <t>Pay SSC bill</t>
  </si>
  <si>
    <t>MMT pays EUR - breakdown in Par Compare wkbook (OAT repo interest net against PNI return)</t>
  </si>
  <si>
    <t>Swing mgmt fees to mgmt account</t>
  </si>
  <si>
    <t>Swing expenses to expense acct (accidental cross trade corrected 3/16)</t>
  </si>
  <si>
    <t>Adjs to correct borrow amounts</t>
  </si>
  <si>
    <t>MMT pays USD - breakdown in Par Compare wkbook (UST repo interest and 2/24 cleanup net against PNI return)</t>
  </si>
  <si>
    <t>Correct accidental cross trade</t>
  </si>
  <si>
    <t>Swing expenses to expense acct</t>
  </si>
  <si>
    <t>NWM Spruce reduction - need to reduce UST repos</t>
  </si>
  <si>
    <t>APS repo maty</t>
  </si>
  <si>
    <t>APS repo new</t>
  </si>
  <si>
    <t>NWM repo maty 3/17</t>
  </si>
  <si>
    <t>NWM repo new 3/17</t>
  </si>
  <si>
    <t>NWM Spruce reduction 3/15 - need to reduce ust repos 3/17</t>
  </si>
  <si>
    <t>3/15 MMT pays EUR - breakdown in Par Compare wkbook (OAT repo interest net against PNI return)</t>
  </si>
  <si>
    <t>RP003TVBZ</t>
  </si>
  <si>
    <t>RP003TVBY</t>
  </si>
  <si>
    <t>RP003TVBX</t>
  </si>
  <si>
    <t>RP003TVBW</t>
  </si>
  <si>
    <t>RP003TVBV</t>
  </si>
  <si>
    <t>33852EAL3</t>
  </si>
  <si>
    <t>3140QNQU9</t>
  </si>
  <si>
    <t>3136BAZZ0</t>
  </si>
  <si>
    <t>3136A7FD9</t>
  </si>
  <si>
    <t>3133B1RZ6</t>
  </si>
  <si>
    <t>3131YCTS5</t>
  </si>
  <si>
    <t>35564KMH9</t>
  </si>
  <si>
    <t>449289AA5</t>
  </si>
  <si>
    <t>NWM OAT roll Errant USD wire (should have been EUR)</t>
  </si>
  <si>
    <t>RP003O0W9</t>
  </si>
  <si>
    <t>918307AC3</t>
  </si>
  <si>
    <t>38383FKW2</t>
  </si>
  <si>
    <t>38379JKC4</t>
  </si>
  <si>
    <t>38378FDS6</t>
  </si>
  <si>
    <t>38178DAA5</t>
  </si>
  <si>
    <t>3133B0YP2</t>
  </si>
  <si>
    <t>22616CAG8</t>
  </si>
  <si>
    <t>03881CAA9</t>
  </si>
  <si>
    <t>Returned NWM OAT roll Errant USD wire (should have been EUR)</t>
  </si>
  <si>
    <t>RP003UCWS</t>
  </si>
  <si>
    <t>69357XAJ0</t>
  </si>
  <si>
    <t>03464MAD6</t>
  </si>
  <si>
    <t>03464MAC8</t>
  </si>
  <si>
    <t>03464MAB0</t>
  </si>
  <si>
    <t>03464MAA2</t>
  </si>
  <si>
    <t>$50 bank chargre for errant wire return (expensed to org cost)</t>
  </si>
  <si>
    <t>87246MAS1</t>
  </si>
  <si>
    <t>64131TAN4</t>
  </si>
  <si>
    <t>585490BH7</t>
  </si>
  <si>
    <t>ALMNDUSD2</t>
  </si>
  <si>
    <t>CashLoan</t>
  </si>
  <si>
    <t>NWM OAT pairoff settled</t>
  </si>
  <si>
    <t>91282CCT6</t>
  </si>
  <si>
    <t>RP003O405</t>
  </si>
  <si>
    <t>36262QAB5</t>
  </si>
  <si>
    <t>35563WAB0</t>
  </si>
  <si>
    <t>3140QNCD2</t>
  </si>
  <si>
    <t>3132LMPQ3</t>
  </si>
  <si>
    <t>03/28/2022 07:01</t>
  </si>
  <si>
    <t>03/28/2022</t>
  </si>
  <si>
    <t>S:/Lucid/Data/Bond Data/Historical/Bond_Data_03_28_2022_AM.xlsx</t>
  </si>
  <si>
    <t>20220328</t>
  </si>
  <si>
    <t>Preeti Trust SWMC 2021</t>
  </si>
  <si>
    <t>American Money Management Corp</t>
  </si>
  <si>
    <t>Agate Bay Mortgage Loan Trust</t>
  </si>
  <si>
    <t>01448YAB9</t>
  </si>
  <si>
    <t>Alesco Preferred Funding Ltd</t>
  </si>
  <si>
    <t>2022-05-30</t>
  </si>
  <si>
    <t>2022-06-23</t>
  </si>
  <si>
    <t>01448YAC7</t>
  </si>
  <si>
    <t>ALEN 2021-ACEN Mortgage Trust</t>
  </si>
  <si>
    <t>WHARM6.7</t>
  </si>
  <si>
    <t>AOMT 2019-1 A1</t>
  </si>
  <si>
    <t>W,SEQ</t>
  </si>
  <si>
    <t>AOMT 2019-1 A2</t>
  </si>
  <si>
    <t>AOMT 2019-1 A3</t>
  </si>
  <si>
    <t>AOMT 2019-1 M1</t>
  </si>
  <si>
    <t>MEZ,W,SEQ</t>
  </si>
  <si>
    <t>WHARM6.2</t>
  </si>
  <si>
    <t>WH30 6.0</t>
  </si>
  <si>
    <t>ARCLO 2021-FL1 A</t>
  </si>
  <si>
    <t>03/12/2021</t>
  </si>
  <si>
    <t>CMBS 2.1</t>
  </si>
  <si>
    <t>CMBS 1.8</t>
  </si>
  <si>
    <t>2022-03-11</t>
  </si>
  <si>
    <t>2022-03-10</t>
  </si>
  <si>
    <t>CMBS 3.6</t>
  </si>
  <si>
    <t>2022-06-26</t>
  </si>
  <si>
    <t>2022-06-27</t>
  </si>
  <si>
    <t>Crestline Denali CLO XV, Ltd.</t>
  </si>
  <si>
    <t>DEN15 2017-1A D</t>
  </si>
  <si>
    <t>05/10/2017</t>
  </si>
  <si>
    <t>04/20/2030</t>
  </si>
  <si>
    <t>CMBS 2.7</t>
  </si>
  <si>
    <t>2022-06-15</t>
  </si>
  <si>
    <t>FR ZN5961</t>
  </si>
  <si>
    <t>TN 22%</t>
  </si>
  <si>
    <t>OK 14%</t>
  </si>
  <si>
    <t>FG Q63082</t>
  </si>
  <si>
    <t>RI 14%</t>
  </si>
  <si>
    <t>FR QD3418</t>
  </si>
  <si>
    <t>12/01/2051</t>
  </si>
  <si>
    <t>FR QD4104</t>
  </si>
  <si>
    <t>FNR 2012-70 HS</t>
  </si>
  <si>
    <t>06/25/2012</t>
  </si>
  <si>
    <t>07/25/2042</t>
  </si>
  <si>
    <t>FNR 2020-50 IO</t>
  </si>
  <si>
    <t>03/25/2050</t>
  </si>
  <si>
    <t>NV 0%</t>
  </si>
  <si>
    <t>FL 0%</t>
  </si>
  <si>
    <t>FN CB3166</t>
  </si>
  <si>
    <t>FSMT 2021-2 A11</t>
  </si>
  <si>
    <t>STACR 2021-DNA7 M2</t>
  </si>
  <si>
    <t>11/12/2021</t>
  </si>
  <si>
    <t>11/25/2041</t>
  </si>
  <si>
    <t>EXCH,SUB,FLT</t>
  </si>
  <si>
    <t>LA 25%</t>
  </si>
  <si>
    <t>MS 16%</t>
  </si>
  <si>
    <t>GSMBS 2021-GR1 A2</t>
  </si>
  <si>
    <t>MA 13%</t>
  </si>
  <si>
    <t>WH30 3.1</t>
  </si>
  <si>
    <t>GCBSL 2020-50A A1R</t>
  </si>
  <si>
    <t>03/17/2022</t>
  </si>
  <si>
    <t>04/20/2035</t>
  </si>
  <si>
    <t>2022-07-20</t>
  </si>
  <si>
    <t>GOCAP 2016-30A AR2</t>
  </si>
  <si>
    <t>04/20/2034</t>
  </si>
  <si>
    <t>2022-07-19</t>
  </si>
  <si>
    <t>2022-03-09</t>
  </si>
  <si>
    <t>GOCAP 2016-30A DR2</t>
  </si>
  <si>
    <t>GNR 2013-9 DI</t>
  </si>
  <si>
    <t>01/01/2013</t>
  </si>
  <si>
    <t>01/20/2043</t>
  </si>
  <si>
    <t>GNR 2015-17 BI</t>
  </si>
  <si>
    <t>05/20/2043</t>
  </si>
  <si>
    <t>GNR 2021-137 GI</t>
  </si>
  <si>
    <t>VA 12%</t>
  </si>
  <si>
    <t>NC 11%</t>
  </si>
  <si>
    <t>G2RG   4</t>
  </si>
  <si>
    <t>GNR 2021-213 SG</t>
  </si>
  <si>
    <t>12/20/2021</t>
  </si>
  <si>
    <t>ICG 2021-1A E</t>
  </si>
  <si>
    <t>03/11/2021</t>
  </si>
  <si>
    <t>04/17/2034</t>
  </si>
  <si>
    <t>SF-Re1.2</t>
  </si>
  <si>
    <t>IHSFR 2018-SFR2 A</t>
  </si>
  <si>
    <t>JPMBB 2014-C24 D</t>
  </si>
  <si>
    <t>11/15/2047</t>
  </si>
  <si>
    <t>08/25/2052</t>
  </si>
  <si>
    <t>CNSM22.2</t>
  </si>
  <si>
    <t>52953BDE0</t>
  </si>
  <si>
    <t>CNSM15.7</t>
  </si>
  <si>
    <t>CNSM13.9</t>
  </si>
  <si>
    <t>MELLO 2022-INV1 A11</t>
  </si>
  <si>
    <t>01/25/2022</t>
  </si>
  <si>
    <t>03/25/2052</t>
  </si>
  <si>
    <t>FLT,AFC,SSNR</t>
  </si>
  <si>
    <t>Neuberger Berman CLO Ltd</t>
  </si>
  <si>
    <t>NEUB 2017-16SA AR</t>
  </si>
  <si>
    <t>03/30/2021</t>
  </si>
  <si>
    <t>RMBSN4.3</t>
  </si>
  <si>
    <t>NY 37%</t>
  </si>
  <si>
    <t>NY 41%</t>
  </si>
  <si>
    <t>PFP 2021-8 D</t>
  </si>
  <si>
    <t>09/30/2021</t>
  </si>
  <si>
    <t>08/09/2037</t>
  </si>
  <si>
    <t>PFMT 2021-J1 AX1</t>
  </si>
  <si>
    <t>EXCH,IO,EXE,NTL</t>
  </si>
  <si>
    <t>PFMT 2021-INV2 1AX1</t>
  </si>
  <si>
    <t>WH15 2.5</t>
  </si>
  <si>
    <t>PFMT 2021-INV2 2AX1</t>
  </si>
  <si>
    <t>PFMT 2021-INV2 1AX2</t>
  </si>
  <si>
    <t>S-JETS Limited</t>
  </si>
  <si>
    <t>PLANE</t>
  </si>
  <si>
    <t>SJETS 2017-1 A</t>
  </si>
  <si>
    <t>08/22/2017</t>
  </si>
  <si>
    <t>08/15/2042</t>
  </si>
  <si>
    <t>BBB+ *-</t>
  </si>
  <si>
    <t>STUDN5.3</t>
  </si>
  <si>
    <t>2022-06-14</t>
  </si>
  <si>
    <t>STUDN6.7</t>
  </si>
  <si>
    <t>SF-Re1.6</t>
  </si>
  <si>
    <t>TICP CLO Ltd</t>
  </si>
  <si>
    <t>TICP 2016-6A AR2</t>
  </si>
  <si>
    <t>WH30 4.7</t>
  </si>
  <si>
    <t>UWM 2021-INV4 A3</t>
  </si>
  <si>
    <t>CMBS 5.3</t>
  </si>
  <si>
    <t>CA 64%</t>
  </si>
  <si>
    <t>South'n Almnd U2</t>
  </si>
  <si>
    <t>09/22/2021</t>
  </si>
  <si>
    <t>01/06/2022</t>
  </si>
  <si>
    <t>09/22/2028</t>
  </si>
  <si>
    <t>03/22/2022</t>
  </si>
  <si>
    <t>US12550TAN54</t>
  </si>
  <si>
    <t>CIFC 2015-4A A1R</t>
  </si>
  <si>
    <t>2022-06-24</t>
  </si>
  <si>
    <t>2022-06-25</t>
  </si>
  <si>
    <t>03/30/2022</t>
  </si>
  <si>
    <t>FN CB2767</t>
  </si>
  <si>
    <t>1/1/2022</t>
  </si>
  <si>
    <t>1/1/2052</t>
  </si>
  <si>
    <t>5/25/2022</t>
  </si>
  <si>
    <t>FGTW</t>
  </si>
  <si>
    <t>FG K91431</t>
  </si>
  <si>
    <t>12/1/2013</t>
  </si>
  <si>
    <t>12/1/2033</t>
  </si>
  <si>
    <t>3/15/2022</t>
  </si>
  <si>
    <t>5/15/2022</t>
  </si>
  <si>
    <t>8/16/2021</t>
  </si>
  <si>
    <t>8/15/2024</t>
  </si>
  <si>
    <t>3/28/2022</t>
  </si>
  <si>
    <t>6/23/2029</t>
  </si>
  <si>
    <t>STACR 2018-DNA3 M2A</t>
  </si>
  <si>
    <t>9/21/2018</t>
  </si>
  <si>
    <t>9/25/2048</t>
  </si>
  <si>
    <t>4/24/2022</t>
  </si>
  <si>
    <t>73016BAC8</t>
  </si>
  <si>
    <t>12/15/21-3/15/22 facility fees (excl. Mntn Cherry)</t>
  </si>
  <si>
    <t>Cherry unused facility fee (12/15/21 - 3/15/22)</t>
  </si>
  <si>
    <t>Failing trades</t>
  </si>
  <si>
    <t>Redemption</t>
  </si>
  <si>
    <t>Redemption swing</t>
  </si>
  <si>
    <t>Legal reserve increased</t>
  </si>
  <si>
    <t>Principal amortizations</t>
  </si>
  <si>
    <t>Equity NAV</t>
  </si>
  <si>
    <t>Facilities</t>
  </si>
  <si>
    <t>Other Assets</t>
  </si>
  <si>
    <t>Bonds (USD)</t>
  </si>
  <si>
    <t>THE THREE GREEN SECTIONS CONTAIN VALUES TO BE INPUT INTO FORM PF</t>
  </si>
  <si>
    <t>N/A</t>
  </si>
  <si>
    <t>Royal Bank of Scotland</t>
  </si>
  <si>
    <t>DAIWA CAPITAL MARKETS EUROPE LIMITED</t>
  </si>
  <si>
    <t>Borrowings</t>
  </si>
  <si>
    <t>Borrow from US Inst</t>
  </si>
  <si>
    <t>Level 1 assets</t>
  </si>
  <si>
    <t>Level 2 assets</t>
  </si>
  <si>
    <t>Cost Based Assets</t>
  </si>
  <si>
    <t>Cost Based Liabilities</t>
  </si>
  <si>
    <t>Level 1 Liabilities</t>
  </si>
  <si>
    <t>Level 2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</si>
</sst>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%"/>
    <numFmt numFmtId="166" formatCode="0.000"/>
    <numFmt numFmtId="167" formatCode="_(* #,##0_);_(* \(#,##0\);_(* &quot;-&quot;???_);_(@_)"/>
    <numFmt numFmtId="168" formatCode="0.00000"/>
    <numFmt numFmtId="169" formatCode="_(* #,##0.00000_);_(* \(#,##0.00000\);_(* &quot;-&quot;??_);_(@_)"/>
    <numFmt numFmtId="170" formatCode="0.0000%"/>
    <numFmt numFmtId="171" formatCode="_(* #,##0.0000_);_(* \(#,##0.0000\);_(* &quot;-&quot;??_);_(@_)"/>
    <numFmt numFmtId="172" formatCode="_(&quot;$&quot;* #,##0_);_(&quot;$&quot;* \(#,##0\);_(&quot;$&quot;* &quot;-&quot;??_);_(@_)"/>
    <numFmt numFmtId="173" formatCode="0.0000000"/>
    <numFmt numFmtId="174" formatCode="0.0000000000000000%"/>
    <numFmt numFmtId="175" formatCode="_(* #,##0.000_);_(* \(#,##0.000\);_(* &quot;-&quot;??_);_(@_)"/>
    <numFmt numFmtId="176" formatCode="#,##0.000"/>
    <numFmt numFmtId="177" formatCode="0.0000"/>
    <numFmt numFmtId="178" formatCode="[$-409]m/d/yy\ h:mm\ AM/PM;@"/>
    <numFmt numFmtId="179" formatCode="0.000000000"/>
    <numFmt numFmtId="180" formatCode="0.0000000%"/>
    <numFmt numFmtId="181" formatCode="0.0"/>
    <numFmt numFmtId="182" formatCode="0.000000%"/>
    <numFmt numFmtId="183" formatCode="#,##0.0"/>
    <numFmt numFmtId="184" formatCode="0.000_);[Red]\(0.000\)"/>
    <numFmt numFmtId="185" formatCode="_(* #,##0.00_);_(* \(#,##0.00\);_(* &quot;-&quot;???_);_(@_)"/>
    <numFmt numFmtId="186" formatCode="_(* #,##0.000000_);_(* \(#,##0.000000\);_(* &quot;-&quot;??_);_(@_)"/>
    <numFmt numFmtId="187" formatCode="_(* #,##0.000_);_(* \(#,##0.000\);_(* &quot;-&quot;???_);_(@_)"/>
    <numFmt numFmtId="188" formatCode="0_);\(0\)"/>
    <numFmt numFmtId="189" formatCode="0;[Red]0"/>
    <numFmt numFmtId="190" formatCode="_(&quot;$&quot;* #,##0.0000_);_(&quot;$&quot;* \(#,##0.0000\);_(&quot;$&quot;* &quot;-&quot;??_);_(@_)"/>
    <numFmt numFmtId="191" formatCode="_([$€-2]\ * #,##0.00_);_([$€-2]\ * \(#,##0.00\);_([$€-2]\ * &quot;-&quot;??_);_(@_)"/>
    <numFmt numFmtId="192" formatCode="0.00000%"/>
    <numFmt numFmtId="193" formatCode="_([$€-2]\ * #,##0_);_([$€-2]\ * \(#,##0\);_([$€-2]\ * &quot;-&quot;??_);_(@_)"/>
    <numFmt numFmtId="194" formatCode="_(&quot;$&quot;* #,##0.00000_);_(&quot;$&quot;* \(#,##0.00000\);_(&quot;$&quot;* &quot;-&quot;??_);_(@_)"/>
    <numFmt numFmtId="195" formatCode="_([$$-409]* #,##0.00_);_([$$-409]* \(#,##0.00\);_([$$-409]* &quot;-&quot;??_);_(@_)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2" tint="-0.89999084444715716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4" tint="-0.249977111117893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8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tted">
        <color indexed="64"/>
      </left>
      <right/>
      <top style="double">
        <color indexed="64"/>
      </top>
      <bottom style="double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ashDotDot">
        <color auto="1"/>
      </right>
      <top/>
      <bottom style="dotted">
        <color auto="1"/>
      </bottom>
      <diagonal/>
    </border>
    <border>
      <left/>
      <right style="dashDotDot">
        <color auto="1"/>
      </right>
      <top/>
      <bottom/>
      <diagonal/>
    </border>
    <border>
      <left/>
      <right style="dashDotDot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ashDotDot">
        <color auto="1"/>
      </right>
      <top/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ashDotDot">
        <color auto="1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1" fillId="0" borderId="0"/>
  </cellStyleXfs>
  <cellXfs count="1334">
    <xf numFmtId="0" fontId="0" fillId="0" borderId="0" xfId="0"/>
    <xf numFmtId="0" fontId="0" fillId="2" borderId="1" xfId="0" applyFill="1" applyBorder="1"/>
    <xf numFmtId="0" fontId="0" fillId="2" borderId="0" xfId="0" applyFill="1"/>
    <xf numFmtId="0" fontId="3" fillId="2" borderId="1" xfId="0" applyFont="1" applyFill="1" applyBorder="1"/>
    <xf numFmtId="0" fontId="0" fillId="2" borderId="0" xfId="0" applyFill="1" applyBorder="1"/>
    <xf numFmtId="164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 applyAlignment="1">
      <alignment horizontal="center"/>
    </xf>
    <xf numFmtId="164" fontId="0" fillId="2" borderId="0" xfId="1" quotePrefix="1" applyNumberFormat="1" applyFont="1" applyFill="1" applyBorder="1"/>
    <xf numFmtId="9" fontId="0" fillId="2" borderId="0" xfId="0" applyNumberFormat="1" applyFill="1"/>
    <xf numFmtId="15" fontId="0" fillId="2" borderId="0" xfId="0" applyNumberFormat="1" applyFill="1"/>
    <xf numFmtId="0" fontId="3" fillId="2" borderId="0" xfId="0" applyFont="1" applyFill="1" applyBorder="1"/>
    <xf numFmtId="15" fontId="0" fillId="2" borderId="0" xfId="0" applyNumberFormat="1" applyFill="1" applyBorder="1"/>
    <xf numFmtId="164" fontId="0" fillId="2" borderId="17" xfId="1" applyNumberFormat="1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164" fontId="0" fillId="2" borderId="18" xfId="1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4" xfId="0" applyFill="1" applyBorder="1"/>
    <xf numFmtId="0" fontId="9" fillId="2" borderId="0" xfId="0" applyFont="1" applyFill="1"/>
    <xf numFmtId="0" fontId="0" fillId="2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0" fontId="3" fillId="2" borderId="21" xfId="0" applyFont="1" applyFill="1" applyBorder="1"/>
    <xf numFmtId="0" fontId="0" fillId="2" borderId="21" xfId="0" applyFill="1" applyBorder="1"/>
    <xf numFmtId="0" fontId="0" fillId="2" borderId="0" xfId="0" quotePrefix="1" applyFill="1"/>
    <xf numFmtId="44" fontId="0" fillId="2" borderId="0" xfId="3" applyNumberFormat="1" applyFont="1" applyFill="1"/>
    <xf numFmtId="44" fontId="0" fillId="2" borderId="0" xfId="0" applyNumberFormat="1" applyFill="1"/>
    <xf numFmtId="10" fontId="0" fillId="2" borderId="0" xfId="0" quotePrefix="1" applyNumberFormat="1" applyFill="1"/>
    <xf numFmtId="0" fontId="4" fillId="2" borderId="0" xfId="0" applyFont="1" applyFill="1"/>
    <xf numFmtId="44" fontId="0" fillId="2" borderId="1" xfId="0" applyNumberFormat="1" applyFill="1" applyBorder="1"/>
    <xf numFmtId="44" fontId="0" fillId="2" borderId="0" xfId="0" applyNumberFormat="1" applyFill="1" applyBorder="1"/>
    <xf numFmtId="0" fontId="0" fillId="2" borderId="2" xfId="0" applyFill="1" applyBorder="1"/>
    <xf numFmtId="44" fontId="0" fillId="2" borderId="2" xfId="0" applyNumberFormat="1" applyFill="1" applyBorder="1"/>
    <xf numFmtId="15" fontId="0" fillId="2" borderId="2" xfId="0" applyNumberFormat="1" applyFill="1" applyBorder="1"/>
    <xf numFmtId="10" fontId="0" fillId="2" borderId="2" xfId="0" applyNumberFormat="1" applyFill="1" applyBorder="1"/>
    <xf numFmtId="44" fontId="0" fillId="2" borderId="2" xfId="3" applyNumberFormat="1" applyFont="1" applyFill="1" applyBorder="1"/>
    <xf numFmtId="0" fontId="0" fillId="2" borderId="1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10" fillId="7" borderId="6" xfId="0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44" fontId="0" fillId="2" borderId="5" xfId="3" applyFont="1" applyFill="1" applyBorder="1"/>
    <xf numFmtId="44" fontId="0" fillId="2" borderId="5" xfId="0" applyNumberFormat="1" applyFill="1" applyBorder="1"/>
    <xf numFmtId="0" fontId="0" fillId="2" borderId="5" xfId="0" applyFill="1" applyBorder="1"/>
    <xf numFmtId="0" fontId="8" fillId="2" borderId="0" xfId="0" applyFont="1" applyFill="1"/>
    <xf numFmtId="10" fontId="0" fillId="2" borderId="0" xfId="0" applyNumberFormat="1" applyFill="1" applyAlignment="1">
      <alignment horizontal="center"/>
    </xf>
    <xf numFmtId="169" fontId="15" fillId="2" borderId="0" xfId="1" quotePrefix="1" applyNumberFormat="1" applyFont="1" applyFill="1" applyAlignment="1">
      <alignment horizontal="center"/>
    </xf>
    <xf numFmtId="0" fontId="0" fillId="2" borderId="30" xfId="0" applyFill="1" applyBorder="1"/>
    <xf numFmtId="0" fontId="5" fillId="2" borderId="0" xfId="0" applyFont="1" applyFill="1" applyBorder="1"/>
    <xf numFmtId="9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ont="1" applyFill="1" applyBorder="1" applyAlignment="1">
      <alignment horizontal="center"/>
    </xf>
    <xf numFmtId="15" fontId="0" fillId="2" borderId="0" xfId="0" applyNumberFormat="1" applyFill="1" applyBorder="1" applyAlignment="1">
      <alignment horizontal="center"/>
    </xf>
    <xf numFmtId="43" fontId="0" fillId="2" borderId="0" xfId="1" quotePrefix="1" applyFont="1" applyFill="1" applyAlignment="1">
      <alignment horizontal="center"/>
    </xf>
    <xf numFmtId="164" fontId="0" fillId="2" borderId="0" xfId="1" quotePrefix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6" fillId="2" borderId="24" xfId="0" applyFont="1" applyFill="1" applyBorder="1" applyAlignment="1">
      <alignment horizontal="center"/>
    </xf>
    <xf numFmtId="9" fontId="0" fillId="2" borderId="25" xfId="0" applyNumberForma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164" fontId="0" fillId="2" borderId="25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10" fontId="0" fillId="3" borderId="13" xfId="0" applyNumberFormat="1" applyFill="1" applyBorder="1"/>
    <xf numFmtId="164" fontId="0" fillId="3" borderId="15" xfId="1" applyNumberFormat="1" applyFont="1" applyFill="1" applyBorder="1"/>
    <xf numFmtId="165" fontId="11" fillId="2" borderId="0" xfId="2" applyNumberFormat="1" applyFont="1" applyFill="1" applyBorder="1"/>
    <xf numFmtId="165" fontId="11" fillId="2" borderId="0" xfId="2" applyNumberFormat="1" applyFont="1" applyFill="1"/>
    <xf numFmtId="0" fontId="0" fillId="2" borderId="0" xfId="0" applyFont="1" applyFill="1" applyBorder="1" applyAlignment="1">
      <alignment horizontal="center"/>
    </xf>
    <xf numFmtId="0" fontId="0" fillId="2" borderId="3" xfId="0" applyFill="1" applyBorder="1"/>
    <xf numFmtId="170" fontId="0" fillId="2" borderId="4" xfId="0" applyNumberFormat="1" applyFill="1" applyBorder="1"/>
    <xf numFmtId="170" fontId="0" fillId="2" borderId="32" xfId="0" applyNumberFormat="1" applyFill="1" applyBorder="1"/>
    <xf numFmtId="0" fontId="0" fillId="2" borderId="6" xfId="0" applyFill="1" applyBorder="1"/>
    <xf numFmtId="170" fontId="0" fillId="2" borderId="7" xfId="0" applyNumberFormat="1" applyFill="1" applyBorder="1"/>
    <xf numFmtId="44" fontId="18" fillId="2" borderId="23" xfId="0" applyNumberFormat="1" applyFont="1" applyFill="1" applyBorder="1"/>
    <xf numFmtId="0" fontId="2" fillId="2" borderId="2" xfId="0" applyFont="1" applyFill="1" applyBorder="1" applyAlignment="1">
      <alignment horizontal="right"/>
    </xf>
    <xf numFmtId="0" fontId="2" fillId="2" borderId="30" xfId="0" applyFont="1" applyFill="1" applyBorder="1" applyAlignment="1">
      <alignment horizontal="right"/>
    </xf>
    <xf numFmtId="44" fontId="2" fillId="2" borderId="30" xfId="0" applyNumberFormat="1" applyFont="1" applyFill="1" applyBorder="1"/>
    <xf numFmtId="15" fontId="8" fillId="2" borderId="0" xfId="0" applyNumberFormat="1" applyFont="1" applyFill="1"/>
    <xf numFmtId="0" fontId="8" fillId="2" borderId="0" xfId="0" applyFont="1" applyFill="1" applyAlignment="1">
      <alignment horizontal="center"/>
    </xf>
    <xf numFmtId="40" fontId="19" fillId="12" borderId="0" xfId="1" applyNumberFormat="1" applyFont="1" applyFill="1"/>
    <xf numFmtId="40" fontId="19" fillId="12" borderId="2" xfId="1" applyNumberFormat="1" applyFont="1" applyFill="1" applyBorder="1"/>
    <xf numFmtId="0" fontId="0" fillId="10" borderId="23" xfId="0" applyFill="1" applyBorder="1"/>
    <xf numFmtId="0" fontId="2" fillId="2" borderId="3" xfId="0" applyFont="1" applyFill="1" applyBorder="1" applyAlignment="1">
      <alignment horizontal="center"/>
    </xf>
    <xf numFmtId="44" fontId="0" fillId="2" borderId="4" xfId="0" applyNumberFormat="1" applyFill="1" applyBorder="1"/>
    <xf numFmtId="0" fontId="2" fillId="2" borderId="5" xfId="0" applyFont="1" applyFill="1" applyBorder="1" applyAlignment="1">
      <alignment horizontal="center"/>
    </xf>
    <xf numFmtId="165" fontId="0" fillId="2" borderId="32" xfId="2" applyNumberFormat="1" applyFont="1" applyFill="1" applyBorder="1"/>
    <xf numFmtId="0" fontId="2" fillId="2" borderId="6" xfId="0" applyFont="1" applyFill="1" applyBorder="1" applyAlignment="1">
      <alignment horizontal="center"/>
    </xf>
    <xf numFmtId="0" fontId="0" fillId="2" borderId="31" xfId="0" applyFill="1" applyBorder="1"/>
    <xf numFmtId="165" fontId="8" fillId="2" borderId="5" xfId="0" applyNumberFormat="1" applyFont="1" applyFill="1" applyBorder="1"/>
    <xf numFmtId="165" fontId="8" fillId="2" borderId="6" xfId="0" applyNumberFormat="1" applyFont="1" applyFill="1" applyBorder="1"/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165" fontId="15" fillId="2" borderId="0" xfId="0" quotePrefix="1" applyNumberFormat="1" applyFont="1" applyFill="1" applyAlignment="1">
      <alignment horizontal="center"/>
    </xf>
    <xf numFmtId="43" fontId="0" fillId="2" borderId="0" xfId="0" applyNumberFormat="1" applyFill="1"/>
    <xf numFmtId="165" fontId="0" fillId="2" borderId="0" xfId="0" applyNumberFormat="1" applyFill="1"/>
    <xf numFmtId="14" fontId="0" fillId="2" borderId="0" xfId="0" applyNumberFormat="1" applyFill="1"/>
    <xf numFmtId="164" fontId="10" fillId="5" borderId="33" xfId="1" applyNumberFormat="1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164" fontId="10" fillId="5" borderId="34" xfId="1" applyNumberFormat="1" applyFont="1" applyFill="1" applyBorder="1" applyAlignment="1">
      <alignment horizontal="center" vertical="center" wrapText="1"/>
    </xf>
    <xf numFmtId="0" fontId="9" fillId="2" borderId="0" xfId="0" applyFont="1" applyFill="1" applyBorder="1"/>
    <xf numFmtId="171" fontId="9" fillId="2" borderId="0" xfId="1" applyNumberFormat="1" applyFont="1" applyFill="1" applyBorder="1" applyAlignment="1">
      <alignment horizontal="center"/>
    </xf>
    <xf numFmtId="0" fontId="0" fillId="2" borderId="0" xfId="0" applyFont="1" applyFill="1" applyBorder="1"/>
    <xf numFmtId="0" fontId="2" fillId="2" borderId="0" xfId="0" applyFont="1" applyFill="1"/>
    <xf numFmtId="43" fontId="0" fillId="2" borderId="0" xfId="0" applyNumberFormat="1" applyFill="1" applyBorder="1"/>
    <xf numFmtId="170" fontId="15" fillId="2" borderId="0" xfId="0" quotePrefix="1" applyNumberFormat="1" applyFont="1" applyFill="1" applyAlignment="1">
      <alignment horizontal="center"/>
    </xf>
    <xf numFmtId="15" fontId="9" fillId="2" borderId="0" xfId="0" applyNumberFormat="1" applyFont="1" applyFill="1" applyBorder="1" applyAlignment="1">
      <alignment horizontal="center"/>
    </xf>
    <xf numFmtId="171" fontId="9" fillId="2" borderId="0" xfId="1" applyNumberFormat="1" applyFont="1" applyFill="1" applyBorder="1" applyAlignment="1">
      <alignment horizontal="right"/>
    </xf>
    <xf numFmtId="164" fontId="9" fillId="2" borderId="0" xfId="1" applyNumberFormat="1" applyFont="1" applyFill="1" applyBorder="1" applyAlignment="1">
      <alignment horizontal="right"/>
    </xf>
    <xf numFmtId="43" fontId="0" fillId="2" borderId="0" xfId="1" applyFont="1" applyFill="1"/>
    <xf numFmtId="0" fontId="4" fillId="2" borderId="0" xfId="0" applyFont="1" applyFill="1" applyAlignment="1">
      <alignment vertical="center"/>
    </xf>
    <xf numFmtId="171" fontId="0" fillId="2" borderId="0" xfId="0" applyNumberFormat="1" applyFill="1"/>
    <xf numFmtId="0" fontId="0" fillId="14" borderId="35" xfId="0" applyNumberFormat="1" applyFill="1" applyBorder="1"/>
    <xf numFmtId="172" fontId="0" fillId="2" borderId="0" xfId="0" applyNumberFormat="1" applyFill="1"/>
    <xf numFmtId="172" fontId="0" fillId="2" borderId="5" xfId="0" quotePrefix="1" applyNumberFormat="1" applyFill="1" applyBorder="1"/>
    <xf numFmtId="172" fontId="0" fillId="2" borderId="0" xfId="0" quotePrefix="1" applyNumberFormat="1" applyFill="1"/>
    <xf numFmtId="172" fontId="0" fillId="2" borderId="2" xfId="0" applyNumberFormat="1" applyFill="1" applyBorder="1"/>
    <xf numFmtId="172" fontId="0" fillId="2" borderId="6" xfId="0" applyNumberFormat="1" applyFill="1" applyBorder="1"/>
    <xf numFmtId="172" fontId="0" fillId="2" borderId="1" xfId="0" applyNumberFormat="1" applyFill="1" applyBorder="1"/>
    <xf numFmtId="172" fontId="0" fillId="2" borderId="31" xfId="0" applyNumberFormat="1" applyFill="1" applyBorder="1"/>
    <xf numFmtId="172" fontId="2" fillId="2" borderId="1" xfId="0" applyNumberFormat="1" applyFont="1" applyFill="1" applyBorder="1"/>
    <xf numFmtId="0" fontId="21" fillId="2" borderId="0" xfId="0" applyFont="1" applyFill="1"/>
    <xf numFmtId="0" fontId="22" fillId="11" borderId="24" xfId="0" applyFont="1" applyFill="1" applyBorder="1" applyAlignment="1">
      <alignment horizontal="center"/>
    </xf>
    <xf numFmtId="0" fontId="22" fillId="11" borderId="25" xfId="0" applyFont="1" applyFill="1" applyBorder="1" applyAlignment="1">
      <alignment horizontal="center"/>
    </xf>
    <xf numFmtId="0" fontId="22" fillId="11" borderId="26" xfId="0" applyFont="1" applyFill="1" applyBorder="1" applyAlignment="1">
      <alignment horizontal="center"/>
    </xf>
    <xf numFmtId="0" fontId="0" fillId="2" borderId="36" xfId="0" applyFill="1" applyBorder="1"/>
    <xf numFmtId="0" fontId="21" fillId="2" borderId="36" xfId="0" quotePrefix="1" applyFont="1" applyFill="1" applyBorder="1"/>
    <xf numFmtId="164" fontId="0" fillId="2" borderId="36" xfId="1" applyNumberFormat="1" applyFont="1" applyFill="1" applyBorder="1"/>
    <xf numFmtId="173" fontId="0" fillId="2" borderId="36" xfId="0" applyNumberFormat="1" applyFill="1" applyBorder="1"/>
    <xf numFmtId="165" fontId="0" fillId="2" borderId="36" xfId="0" applyNumberFormat="1" applyFill="1" applyBorder="1"/>
    <xf numFmtId="0" fontId="0" fillId="2" borderId="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0" fillId="2" borderId="36" xfId="0" applyNumberFormat="1" applyFill="1" applyBorder="1"/>
    <xf numFmtId="0" fontId="21" fillId="2" borderId="0" xfId="0" quotePrefix="1" applyFont="1" applyFill="1" applyBorder="1"/>
    <xf numFmtId="164" fontId="0" fillId="2" borderId="0" xfId="1" applyNumberFormat="1" applyFont="1" applyFill="1" applyBorder="1"/>
    <xf numFmtId="173" fontId="0" fillId="2" borderId="0" xfId="0" applyNumberFormat="1" applyFill="1" applyBorder="1"/>
    <xf numFmtId="165" fontId="0" fillId="2" borderId="0" xfId="0" applyNumberFormat="1" applyFill="1" applyBorder="1"/>
    <xf numFmtId="0" fontId="0" fillId="2" borderId="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0" fontId="0" fillId="2" borderId="0" xfId="0" applyNumberFormat="1" applyFill="1" applyBorder="1"/>
    <xf numFmtId="0" fontId="0" fillId="2" borderId="2" xfId="0" applyFill="1" applyBorder="1" applyAlignment="1">
      <alignment horizontal="center"/>
    </xf>
    <xf numFmtId="10" fontId="0" fillId="17" borderId="3" xfId="0" applyNumberFormat="1" applyFill="1" applyBorder="1"/>
    <xf numFmtId="10" fontId="0" fillId="17" borderId="36" xfId="0" applyNumberFormat="1" applyFill="1" applyBorder="1"/>
    <xf numFmtId="1" fontId="21" fillId="17" borderId="4" xfId="0" quotePrefix="1" applyNumberFormat="1" applyFont="1" applyFill="1" applyBorder="1"/>
    <xf numFmtId="10" fontId="0" fillId="17" borderId="5" xfId="0" applyNumberFormat="1" applyFill="1" applyBorder="1"/>
    <xf numFmtId="10" fontId="0" fillId="17" borderId="0" xfId="0" applyNumberFormat="1" applyFill="1" applyBorder="1"/>
    <xf numFmtId="1" fontId="0" fillId="17" borderId="32" xfId="0" applyNumberFormat="1" applyFill="1" applyBorder="1"/>
    <xf numFmtId="10" fontId="0" fillId="18" borderId="3" xfId="0" applyNumberFormat="1" applyFill="1" applyBorder="1"/>
    <xf numFmtId="10" fontId="0" fillId="18" borderId="36" xfId="0" applyNumberFormat="1" applyFill="1" applyBorder="1"/>
    <xf numFmtId="1" fontId="21" fillId="18" borderId="4" xfId="0" quotePrefix="1" applyNumberFormat="1" applyFont="1" applyFill="1" applyBorder="1"/>
    <xf numFmtId="10" fontId="0" fillId="18" borderId="5" xfId="0" applyNumberFormat="1" applyFill="1" applyBorder="1"/>
    <xf numFmtId="10" fontId="0" fillId="18" borderId="0" xfId="0" applyNumberFormat="1" applyFill="1" applyBorder="1"/>
    <xf numFmtId="1" fontId="21" fillId="18" borderId="32" xfId="0" quotePrefix="1" applyNumberFormat="1" applyFont="1" applyFill="1" applyBorder="1"/>
    <xf numFmtId="10" fontId="0" fillId="8" borderId="3" xfId="0" applyNumberFormat="1" applyFill="1" applyBorder="1"/>
    <xf numFmtId="10" fontId="0" fillId="8" borderId="36" xfId="0" applyNumberFormat="1" applyFill="1" applyBorder="1"/>
    <xf numFmtId="1" fontId="21" fillId="8" borderId="4" xfId="0" quotePrefix="1" applyNumberFormat="1" applyFont="1" applyFill="1" applyBorder="1"/>
    <xf numFmtId="10" fontId="0" fillId="8" borderId="5" xfId="0" applyNumberFormat="1" applyFill="1" applyBorder="1"/>
    <xf numFmtId="10" fontId="0" fillId="8" borderId="0" xfId="0" applyNumberFormat="1" applyFill="1" applyBorder="1"/>
    <xf numFmtId="1" fontId="21" fillId="8" borderId="32" xfId="0" quotePrefix="1" applyNumberFormat="1" applyFont="1" applyFill="1" applyBorder="1"/>
    <xf numFmtId="0" fontId="18" fillId="2" borderId="0" xfId="0" applyFont="1" applyFill="1" applyBorder="1"/>
    <xf numFmtId="165" fontId="0" fillId="2" borderId="0" xfId="2" applyNumberFormat="1" applyFont="1" applyFill="1" applyBorder="1"/>
    <xf numFmtId="174" fontId="0" fillId="2" borderId="0" xfId="0" applyNumberFormat="1" applyFill="1" applyBorder="1" applyAlignment="1">
      <alignment horizontal="center"/>
    </xf>
    <xf numFmtId="165" fontId="0" fillId="2" borderId="2" xfId="2" applyNumberFormat="1" applyFont="1" applyFill="1" applyBorder="1"/>
    <xf numFmtId="165" fontId="0" fillId="2" borderId="7" xfId="2" applyNumberFormat="1" applyFont="1" applyFill="1" applyBorder="1"/>
    <xf numFmtId="0" fontId="11" fillId="2" borderId="0" xfId="0" applyFont="1" applyFill="1" applyAlignment="1">
      <alignment horizontal="center"/>
    </xf>
    <xf numFmtId="10" fontId="11" fillId="2" borderId="0" xfId="0" quotePrefix="1" applyNumberFormat="1" applyFont="1" applyFill="1" applyAlignment="1">
      <alignment horizontal="center"/>
    </xf>
    <xf numFmtId="169" fontId="11" fillId="2" borderId="0" xfId="1" quotePrefix="1" applyNumberFormat="1" applyFont="1" applyFill="1" applyAlignment="1">
      <alignment horizontal="center"/>
    </xf>
    <xf numFmtId="43" fontId="11" fillId="2" borderId="0" xfId="1" applyFont="1" applyFill="1" applyAlignment="1">
      <alignment horizontal="center"/>
    </xf>
    <xf numFmtId="0" fontId="0" fillId="2" borderId="40" xfId="0" applyFill="1" applyBorder="1" applyAlignment="1">
      <alignment horizontal="center"/>
    </xf>
    <xf numFmtId="9" fontId="0" fillId="2" borderId="42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9" fontId="0" fillId="2" borderId="47" xfId="0" applyNumberFormat="1" applyFill="1" applyBorder="1" applyAlignment="1">
      <alignment horizontal="center"/>
    </xf>
    <xf numFmtId="0" fontId="0" fillId="2" borderId="46" xfId="0" applyFill="1" applyBorder="1" applyAlignment="1">
      <alignment horizontal="left"/>
    </xf>
    <xf numFmtId="0" fontId="0" fillId="2" borderId="23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9" fontId="0" fillId="2" borderId="45" xfId="0" applyNumberFormat="1" applyFill="1" applyBorder="1" applyAlignment="1">
      <alignment horizontal="center"/>
    </xf>
    <xf numFmtId="0" fontId="0" fillId="2" borderId="0" xfId="0" applyFill="1" applyAlignment="1">
      <alignment horizontal="left" textRotation="50"/>
    </xf>
    <xf numFmtId="0" fontId="0" fillId="2" borderId="0" xfId="0" applyFill="1" applyAlignment="1">
      <alignment textRotation="50"/>
    </xf>
    <xf numFmtId="0" fontId="0" fillId="2" borderId="0" xfId="0" applyFill="1" applyAlignment="1">
      <alignment horizontal="right"/>
    </xf>
    <xf numFmtId="9" fontId="0" fillId="8" borderId="49" xfId="0" applyNumberFormat="1" applyFill="1" applyBorder="1"/>
    <xf numFmtId="9" fontId="0" fillId="2" borderId="0" xfId="0" applyNumberFormat="1" applyFill="1" applyBorder="1"/>
    <xf numFmtId="9" fontId="0" fillId="2" borderId="50" xfId="0" applyNumberFormat="1" applyFill="1" applyBorder="1"/>
    <xf numFmtId="9" fontId="0" fillId="2" borderId="51" xfId="0" applyNumberFormat="1" applyFill="1" applyBorder="1"/>
    <xf numFmtId="9" fontId="0" fillId="2" borderId="46" xfId="0" applyNumberFormat="1" applyFill="1" applyBorder="1"/>
    <xf numFmtId="9" fontId="0" fillId="2" borderId="6" xfId="0" applyNumberFormat="1" applyFill="1" applyBorder="1"/>
    <xf numFmtId="9" fontId="0" fillId="2" borderId="43" xfId="0" applyNumberFormat="1" applyFill="1" applyBorder="1"/>
    <xf numFmtId="9" fontId="0" fillId="2" borderId="44" xfId="0" applyNumberFormat="1" applyFill="1" applyBorder="1"/>
    <xf numFmtId="9" fontId="0" fillId="2" borderId="52" xfId="0" applyNumberFormat="1" applyFill="1" applyBorder="1"/>
    <xf numFmtId="9" fontId="0" fillId="19" borderId="40" xfId="0" applyNumberFormat="1" applyFill="1" applyBorder="1"/>
    <xf numFmtId="9" fontId="0" fillId="19" borderId="41" xfId="0" applyNumberFormat="1" applyFill="1" applyBorder="1"/>
    <xf numFmtId="9" fontId="0" fillId="19" borderId="6" xfId="0" applyNumberFormat="1" applyFill="1" applyBorder="1"/>
    <xf numFmtId="9" fontId="0" fillId="19" borderId="46" xfId="0" applyNumberFormat="1" applyFill="1" applyBorder="1"/>
    <xf numFmtId="9" fontId="0" fillId="19" borderId="23" xfId="0" applyNumberFormat="1" applyFill="1" applyBorder="1"/>
    <xf numFmtId="9" fontId="0" fillId="19" borderId="47" xfId="0" applyNumberFormat="1" applyFill="1" applyBorder="1"/>
    <xf numFmtId="9" fontId="0" fillId="20" borderId="51" xfId="0" applyNumberFormat="1" applyFill="1" applyBorder="1"/>
    <xf numFmtId="9" fontId="0" fillId="20" borderId="46" xfId="0" applyNumberFormat="1" applyFill="1" applyBorder="1"/>
    <xf numFmtId="9" fontId="0" fillId="20" borderId="6" xfId="0" applyNumberFormat="1" applyFill="1" applyBorder="1"/>
    <xf numFmtId="9" fontId="0" fillId="20" borderId="23" xfId="0" applyNumberFormat="1" applyFill="1" applyBorder="1"/>
    <xf numFmtId="9" fontId="0" fillId="19" borderId="43" xfId="0" applyNumberFormat="1" applyFill="1" applyBorder="1"/>
    <xf numFmtId="9" fontId="0" fillId="19" borderId="44" xfId="0" applyNumberFormat="1" applyFill="1" applyBorder="1"/>
    <xf numFmtId="9" fontId="0" fillId="19" borderId="45" xfId="0" applyNumberFormat="1" applyFill="1" applyBorder="1"/>
    <xf numFmtId="9" fontId="0" fillId="20" borderId="43" xfId="0" applyNumberFormat="1" applyFill="1" applyBorder="1"/>
    <xf numFmtId="9" fontId="0" fillId="20" borderId="44" xfId="0" applyNumberFormat="1" applyFill="1" applyBorder="1"/>
    <xf numFmtId="9" fontId="0" fillId="20" borderId="52" xfId="0" applyNumberFormat="1" applyFill="1" applyBorder="1"/>
    <xf numFmtId="164" fontId="9" fillId="2" borderId="0" xfId="1" applyNumberFormat="1" applyFont="1" applyFill="1" applyBorder="1" applyAlignment="1">
      <alignment horizontal="center"/>
    </xf>
    <xf numFmtId="175" fontId="9" fillId="2" borderId="0" xfId="1" applyNumberFormat="1" applyFont="1" applyFill="1" applyBorder="1" applyAlignment="1">
      <alignment horizontal="right"/>
    </xf>
    <xf numFmtId="176" fontId="23" fillId="2" borderId="0" xfId="1" applyNumberFormat="1" applyFont="1" applyFill="1" applyBorder="1" applyAlignment="1">
      <alignment horizontal="right"/>
    </xf>
    <xf numFmtId="4" fontId="23" fillId="2" borderId="0" xfId="1" applyNumberFormat="1" applyFont="1" applyFill="1" applyBorder="1" applyAlignment="1">
      <alignment horizontal="right"/>
    </xf>
    <xf numFmtId="4" fontId="9" fillId="2" borderId="0" xfId="1" applyNumberFormat="1" applyFont="1" applyFill="1" applyBorder="1" applyAlignment="1">
      <alignment horizontal="center"/>
    </xf>
    <xf numFmtId="43" fontId="9" fillId="2" borderId="0" xfId="1" applyNumberFormat="1" applyFont="1" applyFill="1" applyBorder="1" applyAlignment="1">
      <alignment horizontal="right"/>
    </xf>
    <xf numFmtId="164" fontId="0" fillId="2" borderId="0" xfId="0" applyNumberFormat="1" applyFill="1"/>
    <xf numFmtId="0" fontId="0" fillId="2" borderId="53" xfId="0" applyFill="1" applyBorder="1" applyAlignment="1">
      <alignment horizontal="center"/>
    </xf>
    <xf numFmtId="169" fontId="9" fillId="2" borderId="53" xfId="1" quotePrefix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/>
    <xf numFmtId="10" fontId="15" fillId="22" borderId="1" xfId="0" quotePrefix="1" applyNumberFormat="1" applyFont="1" applyFill="1" applyBorder="1" applyAlignment="1">
      <alignment horizontal="center"/>
    </xf>
    <xf numFmtId="168" fontId="9" fillId="22" borderId="1" xfId="0" applyNumberFormat="1" applyFont="1" applyFill="1" applyBorder="1" applyAlignment="1">
      <alignment horizontal="center"/>
    </xf>
    <xf numFmtId="165" fontId="9" fillId="22" borderId="1" xfId="0" applyNumberFormat="1" applyFont="1" applyFill="1" applyBorder="1" applyAlignment="1">
      <alignment horizontal="center"/>
    </xf>
    <xf numFmtId="10" fontId="9" fillId="22" borderId="1" xfId="0" applyNumberFormat="1" applyFont="1" applyFill="1" applyBorder="1" applyAlignment="1">
      <alignment horizontal="center"/>
    </xf>
    <xf numFmtId="10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169" fontId="9" fillId="22" borderId="31" xfId="1" quotePrefix="1" applyNumberFormat="1" applyFont="1" applyFill="1" applyBorder="1" applyAlignment="1">
      <alignment horizontal="center"/>
    </xf>
    <xf numFmtId="169" fontId="9" fillId="22" borderId="1" xfId="1" quotePrefix="1" applyNumberFormat="1" applyFont="1" applyFill="1" applyBorder="1" applyAlignment="1">
      <alignment horizontal="center"/>
    </xf>
    <xf numFmtId="40" fontId="0" fillId="2" borderId="0" xfId="0" applyNumberFormat="1" applyFill="1" applyAlignment="1">
      <alignment horizontal="center"/>
    </xf>
    <xf numFmtId="177" fontId="24" fillId="2" borderId="0" xfId="0" applyNumberFormat="1" applyFont="1" applyFill="1" applyAlignment="1">
      <alignment horizontal="center"/>
    </xf>
    <xf numFmtId="164" fontId="9" fillId="21" borderId="1" xfId="1" applyNumberFormat="1" applyFont="1" applyFill="1" applyBorder="1" applyAlignment="1">
      <alignment horizontal="center"/>
    </xf>
    <xf numFmtId="164" fontId="9" fillId="22" borderId="1" xfId="1" applyNumberFormat="1" applyFont="1" applyFill="1" applyBorder="1" applyAlignment="1">
      <alignment horizontal="center"/>
    </xf>
    <xf numFmtId="164" fontId="0" fillId="2" borderId="53" xfId="0" applyNumberFormat="1" applyFill="1" applyBorder="1" applyAlignment="1">
      <alignment horizontal="center"/>
    </xf>
    <xf numFmtId="164" fontId="9" fillId="21" borderId="0" xfId="1" applyNumberFormat="1" applyFont="1" applyFill="1" applyBorder="1" applyAlignment="1"/>
    <xf numFmtId="10" fontId="15" fillId="21" borderId="0" xfId="0" quotePrefix="1" applyNumberFormat="1" applyFont="1" applyFill="1" applyBorder="1" applyAlignment="1">
      <alignment horizontal="center"/>
    </xf>
    <xf numFmtId="168" fontId="9" fillId="21" borderId="0" xfId="0" applyNumberFormat="1" applyFont="1" applyFill="1" applyBorder="1" applyAlignment="1">
      <alignment horizontal="center"/>
    </xf>
    <xf numFmtId="177" fontId="9" fillId="21" borderId="0" xfId="0" applyNumberFormat="1" applyFont="1" applyFill="1" applyBorder="1" applyAlignment="1">
      <alignment horizontal="center"/>
    </xf>
    <xf numFmtId="165" fontId="9" fillId="21" borderId="0" xfId="0" applyNumberFormat="1" applyFont="1" applyFill="1" applyBorder="1" applyAlignment="1">
      <alignment horizontal="center"/>
    </xf>
    <xf numFmtId="10" fontId="9" fillId="21" borderId="0" xfId="0" applyNumberFormat="1" applyFont="1" applyFill="1" applyBorder="1" applyAlignment="1">
      <alignment horizontal="center"/>
    </xf>
    <xf numFmtId="10" fontId="0" fillId="21" borderId="0" xfId="0" applyNumberFormat="1" applyFill="1" applyBorder="1" applyAlignment="1">
      <alignment horizontal="center"/>
    </xf>
    <xf numFmtId="0" fontId="0" fillId="21" borderId="0" xfId="0" applyFill="1" applyBorder="1" applyAlignment="1">
      <alignment horizontal="center"/>
    </xf>
    <xf numFmtId="169" fontId="9" fillId="21" borderId="0" xfId="1" quotePrefix="1" applyNumberFormat="1" applyFont="1" applyFill="1" applyBorder="1" applyAlignment="1">
      <alignment horizontal="center"/>
    </xf>
    <xf numFmtId="0" fontId="0" fillId="2" borderId="32" xfId="0" applyFill="1" applyBorder="1"/>
    <xf numFmtId="0" fontId="10" fillId="15" borderId="6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23" borderId="6" xfId="0" applyFont="1" applyFill="1" applyBorder="1" applyAlignment="1">
      <alignment horizontal="center"/>
    </xf>
    <xf numFmtId="0" fontId="10" fillId="23" borderId="7" xfId="0" applyFont="1" applyFill="1" applyBorder="1" applyAlignment="1">
      <alignment horizontal="center"/>
    </xf>
    <xf numFmtId="0" fontId="0" fillId="2" borderId="54" xfId="0" applyFill="1" applyBorder="1" applyAlignment="1">
      <alignment horizontal="center" vertical="center" wrapText="1"/>
    </xf>
    <xf numFmtId="164" fontId="9" fillId="21" borderId="36" xfId="1" applyNumberFormat="1" applyFont="1" applyFill="1" applyBorder="1" applyAlignment="1">
      <alignment horizontal="center"/>
    </xf>
    <xf numFmtId="164" fontId="0" fillId="2" borderId="28" xfId="1" applyNumberFormat="1" applyFont="1" applyFill="1" applyBorder="1" applyAlignment="1">
      <alignment horizontal="center" vertical="center" wrapText="1"/>
    </xf>
    <xf numFmtId="164" fontId="9" fillId="21" borderId="1" xfId="1" applyNumberFormat="1" applyFont="1" applyFill="1" applyBorder="1" applyAlignment="1"/>
    <xf numFmtId="10" fontId="15" fillId="21" borderId="1" xfId="0" quotePrefix="1" applyNumberFormat="1" applyFont="1" applyFill="1" applyBorder="1" applyAlignment="1">
      <alignment horizontal="center"/>
    </xf>
    <xf numFmtId="168" fontId="9" fillId="21" borderId="1" xfId="0" applyNumberFormat="1" applyFont="1" applyFill="1" applyBorder="1" applyAlignment="1">
      <alignment horizontal="center"/>
    </xf>
    <xf numFmtId="165" fontId="9" fillId="21" borderId="1" xfId="0" applyNumberFormat="1" applyFont="1" applyFill="1" applyBorder="1" applyAlignment="1">
      <alignment horizontal="center"/>
    </xf>
    <xf numFmtId="10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>
      <alignment horizontal="center"/>
    </xf>
    <xf numFmtId="169" fontId="9" fillId="21" borderId="1" xfId="1" quotePrefix="1" applyNumberFormat="1" applyFont="1" applyFill="1" applyBorder="1" applyAlignment="1">
      <alignment horizontal="center"/>
    </xf>
    <xf numFmtId="4" fontId="0" fillId="2" borderId="0" xfId="0" applyNumberFormat="1" applyFill="1"/>
    <xf numFmtId="38" fontId="0" fillId="2" borderId="0" xfId="0" applyNumberFormat="1" applyFill="1" applyBorder="1" applyAlignment="1">
      <alignment horizontal="center"/>
    </xf>
    <xf numFmtId="22" fontId="25" fillId="2" borderId="0" xfId="0" applyNumberFormat="1" applyFont="1" applyFill="1"/>
    <xf numFmtId="164" fontId="2" fillId="5" borderId="0" xfId="1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15" fontId="9" fillId="2" borderId="0" xfId="0" quotePrefix="1" applyNumberFormat="1" applyFont="1" applyFill="1" applyBorder="1" applyAlignment="1">
      <alignment horizontal="center"/>
    </xf>
    <xf numFmtId="169" fontId="9" fillId="21" borderId="3" xfId="1" quotePrefix="1" applyNumberFormat="1" applyFont="1" applyFill="1" applyBorder="1" applyAlignment="1">
      <alignment horizontal="center"/>
    </xf>
    <xf numFmtId="169" fontId="9" fillId="21" borderId="31" xfId="1" quotePrefix="1" applyNumberFormat="1" applyFont="1" applyFill="1" applyBorder="1" applyAlignment="1">
      <alignment horizontal="center"/>
    </xf>
    <xf numFmtId="164" fontId="0" fillId="2" borderId="24" xfId="1" applyNumberFormat="1" applyFont="1" applyFill="1" applyBorder="1" applyAlignment="1">
      <alignment horizontal="center"/>
    </xf>
    <xf numFmtId="43" fontId="0" fillId="2" borderId="0" xfId="1" quotePrefix="1" applyNumberFormat="1" applyFont="1" applyFill="1" applyAlignment="1">
      <alignment horizontal="center"/>
    </xf>
    <xf numFmtId="164" fontId="0" fillId="2" borderId="17" xfId="1" applyNumberFormat="1" applyFont="1" applyFill="1" applyBorder="1" applyAlignment="1">
      <alignment horizontal="center" vertical="top" wrapText="1"/>
    </xf>
    <xf numFmtId="0" fontId="0" fillId="17" borderId="0" xfId="0" applyFill="1"/>
    <xf numFmtId="0" fontId="2" fillId="2" borderId="30" xfId="0" applyFont="1" applyFill="1" applyBorder="1" applyAlignment="1">
      <alignment horizontal="center"/>
    </xf>
    <xf numFmtId="0" fontId="2" fillId="2" borderId="5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165" fontId="0" fillId="2" borderId="0" xfId="2" applyNumberFormat="1" applyFont="1" applyFill="1"/>
    <xf numFmtId="9" fontId="2" fillId="2" borderId="30" xfId="0" applyNumberFormat="1" applyFont="1" applyFill="1" applyBorder="1" applyAlignment="1">
      <alignment horizontal="center"/>
    </xf>
    <xf numFmtId="164" fontId="2" fillId="2" borderId="30" xfId="1" applyNumberFormat="1" applyFont="1" applyFill="1" applyBorder="1" applyAlignment="1">
      <alignment horizontal="center"/>
    </xf>
    <xf numFmtId="0" fontId="2" fillId="2" borderId="60" xfId="0" applyFont="1" applyFill="1" applyBorder="1" applyAlignment="1">
      <alignment horizontal="center"/>
    </xf>
    <xf numFmtId="10" fontId="9" fillId="21" borderId="0" xfId="2" applyNumberFormat="1" applyFont="1" applyFill="1" applyBorder="1" applyAlignment="1">
      <alignment horizontal="center"/>
    </xf>
    <xf numFmtId="10" fontId="9" fillId="22" borderId="1" xfId="2" applyNumberFormat="1" applyFont="1" applyFill="1" applyBorder="1" applyAlignment="1">
      <alignment horizontal="center"/>
    </xf>
    <xf numFmtId="10" fontId="9" fillId="21" borderId="1" xfId="2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/>
    <xf numFmtId="10" fontId="15" fillId="22" borderId="0" xfId="0" quotePrefix="1" applyNumberFormat="1" applyFont="1" applyFill="1" applyBorder="1" applyAlignment="1">
      <alignment horizontal="center"/>
    </xf>
    <xf numFmtId="168" fontId="9" fillId="22" borderId="0" xfId="0" applyNumberFormat="1" applyFont="1" applyFill="1" applyBorder="1" applyAlignment="1">
      <alignment horizontal="center"/>
    </xf>
    <xf numFmtId="10" fontId="9" fillId="22" borderId="0" xfId="2" applyNumberFormat="1" applyFont="1" applyFill="1" applyBorder="1" applyAlignment="1">
      <alignment horizontal="center"/>
    </xf>
    <xf numFmtId="165" fontId="9" fillId="22" borderId="0" xfId="0" applyNumberFormat="1" applyFont="1" applyFill="1" applyBorder="1" applyAlignment="1">
      <alignment horizontal="center"/>
    </xf>
    <xf numFmtId="10" fontId="9" fillId="22" borderId="0" xfId="0" applyNumberFormat="1" applyFont="1" applyFill="1" applyBorder="1" applyAlignment="1">
      <alignment horizontal="center"/>
    </xf>
    <xf numFmtId="10" fontId="0" fillId="22" borderId="0" xfId="0" applyNumberFormat="1" applyFill="1" applyBorder="1" applyAlignment="1">
      <alignment horizontal="center"/>
    </xf>
    <xf numFmtId="0" fontId="0" fillId="22" borderId="0" xfId="0" applyFill="1" applyBorder="1" applyAlignment="1">
      <alignment horizontal="center"/>
    </xf>
    <xf numFmtId="169" fontId="9" fillId="22" borderId="0" xfId="1" quotePrefix="1" applyNumberFormat="1" applyFont="1" applyFill="1" applyBorder="1" applyAlignment="1">
      <alignment horizontal="center"/>
    </xf>
    <xf numFmtId="164" fontId="9" fillId="22" borderId="0" xfId="1" applyNumberFormat="1" applyFont="1" applyFill="1" applyBorder="1" applyAlignment="1">
      <alignment horizontal="center"/>
    </xf>
    <xf numFmtId="169" fontId="9" fillId="22" borderId="3" xfId="1" quotePrefix="1" applyNumberFormat="1" applyFont="1" applyFill="1" applyBorder="1" applyAlignment="1">
      <alignment horizontal="center"/>
    </xf>
    <xf numFmtId="38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164" fontId="18" fillId="7" borderId="60" xfId="1" applyNumberFormat="1" applyFont="1" applyFill="1" applyBorder="1"/>
    <xf numFmtId="170" fontId="0" fillId="2" borderId="0" xfId="2" applyNumberFormat="1" applyFont="1" applyFill="1" applyBorder="1" applyAlignment="1">
      <alignment horizontal="center"/>
    </xf>
    <xf numFmtId="170" fontId="18" fillId="3" borderId="30" xfId="2" applyNumberFormat="1" applyFont="1" applyFill="1" applyBorder="1" applyAlignment="1">
      <alignment horizontal="center"/>
    </xf>
    <xf numFmtId="164" fontId="18" fillId="3" borderId="30" xfId="1" applyNumberFormat="1" applyFont="1" applyFill="1" applyBorder="1"/>
    <xf numFmtId="164" fontId="18" fillId="3" borderId="30" xfId="1" applyNumberFormat="1" applyFont="1" applyFill="1" applyBorder="1" applyAlignment="1">
      <alignment horizontal="center"/>
    </xf>
    <xf numFmtId="164" fontId="18" fillId="3" borderId="60" xfId="1" applyNumberFormat="1" applyFont="1" applyFill="1" applyBorder="1"/>
    <xf numFmtId="0" fontId="18" fillId="3" borderId="59" xfId="0" applyFont="1" applyFill="1" applyBorder="1"/>
    <xf numFmtId="0" fontId="0" fillId="17" borderId="0" xfId="0" applyFill="1" applyBorder="1"/>
    <xf numFmtId="0" fontId="27" fillId="7" borderId="26" xfId="0" applyFont="1" applyFill="1" applyBorder="1" applyAlignment="1">
      <alignment horizontal="center"/>
    </xf>
    <xf numFmtId="0" fontId="27" fillId="7" borderId="36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left"/>
    </xf>
    <xf numFmtId="0" fontId="2" fillId="2" borderId="30" xfId="0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center"/>
    </xf>
    <xf numFmtId="164" fontId="2" fillId="2" borderId="30" xfId="1" applyNumberFormat="1" applyFont="1" applyFill="1" applyBorder="1" applyAlignment="1">
      <alignment horizontal="center" vertical="top"/>
    </xf>
    <xf numFmtId="0" fontId="2" fillId="2" borderId="59" xfId="0" applyFont="1" applyFill="1" applyBorder="1" applyAlignment="1">
      <alignment horizontal="center" vertical="center"/>
    </xf>
    <xf numFmtId="9" fontId="0" fillId="2" borderId="32" xfId="2" quotePrefix="1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6" fillId="7" borderId="24" xfId="0" applyFont="1" applyFill="1" applyBorder="1" applyAlignment="1">
      <alignment horizontal="left"/>
    </xf>
    <xf numFmtId="0" fontId="27" fillId="7" borderId="25" xfId="0" applyFont="1" applyFill="1" applyBorder="1" applyAlignment="1">
      <alignment horizontal="center"/>
    </xf>
    <xf numFmtId="0" fontId="26" fillId="7" borderId="26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right"/>
    </xf>
    <xf numFmtId="0" fontId="0" fillId="2" borderId="2" xfId="0" applyFill="1" applyBorder="1" applyAlignment="1">
      <alignment horizontal="left"/>
    </xf>
    <xf numFmtId="179" fontId="0" fillId="17" borderId="0" xfId="0" applyNumberFormat="1" applyFill="1"/>
    <xf numFmtId="165" fontId="2" fillId="2" borderId="0" xfId="0" applyNumberFormat="1" applyFont="1" applyFill="1" applyBorder="1"/>
    <xf numFmtId="44" fontId="0" fillId="2" borderId="32" xfId="0" applyNumberFormat="1" applyFill="1" applyBorder="1"/>
    <xf numFmtId="44" fontId="0" fillId="2" borderId="7" xfId="0" applyNumberFormat="1" applyFill="1" applyBorder="1"/>
    <xf numFmtId="44" fontId="0" fillId="2" borderId="65" xfId="0" applyNumberFormat="1" applyFill="1" applyBorder="1"/>
    <xf numFmtId="44" fontId="2" fillId="2" borderId="21" xfId="0" applyNumberFormat="1" applyFont="1" applyFill="1" applyBorder="1"/>
    <xf numFmtId="44" fontId="2" fillId="2" borderId="28" xfId="0" applyNumberFormat="1" applyFont="1" applyFill="1" applyBorder="1"/>
    <xf numFmtId="44" fontId="0" fillId="2" borderId="0" xfId="3" applyFont="1" applyFill="1" applyBorder="1"/>
    <xf numFmtId="0" fontId="10" fillId="7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15" fontId="0" fillId="2" borderId="32" xfId="0" applyNumberFormat="1" applyFill="1" applyBorder="1"/>
    <xf numFmtId="15" fontId="2" fillId="12" borderId="32" xfId="0" applyNumberFormat="1" applyFont="1" applyFill="1" applyBorder="1"/>
    <xf numFmtId="0" fontId="0" fillId="2" borderId="4" xfId="0" applyFill="1" applyBorder="1"/>
    <xf numFmtId="44" fontId="0" fillId="2" borderId="68" xfId="0" applyNumberFormat="1" applyFill="1" applyBorder="1"/>
    <xf numFmtId="164" fontId="0" fillId="2" borderId="0" xfId="1" applyNumberFormat="1" applyFont="1" applyFill="1" applyBorder="1" applyAlignment="1"/>
    <xf numFmtId="164" fontId="0" fillId="2" borderId="2" xfId="1" applyNumberFormat="1" applyFont="1" applyFill="1" applyBorder="1" applyAlignment="1"/>
    <xf numFmtId="0" fontId="0" fillId="2" borderId="0" xfId="0" applyFill="1" applyAlignment="1"/>
    <xf numFmtId="164" fontId="18" fillId="3" borderId="59" xfId="1" applyNumberFormat="1" applyFont="1" applyFill="1" applyBorder="1"/>
    <xf numFmtId="164" fontId="18" fillId="9" borderId="59" xfId="1" applyNumberFormat="1" applyFont="1" applyFill="1" applyBorder="1"/>
    <xf numFmtId="164" fontId="18" fillId="9" borderId="30" xfId="1" applyNumberFormat="1" applyFont="1" applyFill="1" applyBorder="1"/>
    <xf numFmtId="164" fontId="18" fillId="9" borderId="60" xfId="1" applyNumberFormat="1" applyFont="1" applyFill="1" applyBorder="1"/>
    <xf numFmtId="164" fontId="26" fillId="11" borderId="59" xfId="1" applyNumberFormat="1" applyFont="1" applyFill="1" applyBorder="1"/>
    <xf numFmtId="164" fontId="26" fillId="11" borderId="30" xfId="1" applyNumberFormat="1" applyFont="1" applyFill="1" applyBorder="1"/>
    <xf numFmtId="164" fontId="26" fillId="11" borderId="60" xfId="1" applyNumberFormat="1" applyFont="1" applyFill="1" applyBorder="1"/>
    <xf numFmtId="0" fontId="0" fillId="2" borderId="21" xfId="0" applyFill="1" applyBorder="1" applyAlignment="1"/>
    <xf numFmtId="15" fontId="18" fillId="2" borderId="63" xfId="0" applyNumberFormat="1" applyFont="1" applyFill="1" applyBorder="1" applyAlignment="1"/>
    <xf numFmtId="0" fontId="0" fillId="2" borderId="29" xfId="0" applyFill="1" applyBorder="1" applyAlignment="1"/>
    <xf numFmtId="15" fontId="0" fillId="2" borderId="0" xfId="0" applyNumberFormat="1" applyFill="1" applyAlignment="1"/>
    <xf numFmtId="0" fontId="0" fillId="2" borderId="5" xfId="0" applyFill="1" applyBorder="1" applyAlignment="1"/>
    <xf numFmtId="0" fontId="0" fillId="2" borderId="2" xfId="0" applyFill="1" applyBorder="1" applyAlignment="1"/>
    <xf numFmtId="15" fontId="0" fillId="2" borderId="2" xfId="0" applyNumberFormat="1" applyFill="1" applyBorder="1" applyAlignment="1"/>
    <xf numFmtId="0" fontId="0" fillId="2" borderId="6" xfId="0" applyFill="1" applyBorder="1" applyAlignment="1"/>
    <xf numFmtId="9" fontId="0" fillId="2" borderId="0" xfId="0" applyNumberFormat="1" applyFill="1" applyAlignment="1"/>
    <xf numFmtId="165" fontId="0" fillId="2" borderId="5" xfId="0" applyNumberFormat="1" applyFill="1" applyBorder="1" applyAlignment="1"/>
    <xf numFmtId="165" fontId="0" fillId="2" borderId="5" xfId="0" quotePrefix="1" applyNumberFormat="1" applyFill="1" applyBorder="1" applyAlignment="1"/>
    <xf numFmtId="165" fontId="0" fillId="2" borderId="6" xfId="0" applyNumberFormat="1" applyFill="1" applyBorder="1" applyAlignment="1"/>
    <xf numFmtId="165" fontId="0" fillId="2" borderId="2" xfId="0" applyNumberFormat="1" applyFill="1" applyBorder="1" applyAlignment="1"/>
    <xf numFmtId="0" fontId="0" fillId="2" borderId="1" xfId="0" applyFill="1" applyBorder="1" applyAlignment="1"/>
    <xf numFmtId="172" fontId="0" fillId="2" borderId="1" xfId="0" applyNumberFormat="1" applyFill="1" applyBorder="1" applyAlignment="1"/>
    <xf numFmtId="165" fontId="0" fillId="2" borderId="1" xfId="2" applyNumberFormat="1" applyFont="1" applyFill="1" applyBorder="1" applyAlignment="1"/>
    <xf numFmtId="0" fontId="0" fillId="2" borderId="64" xfId="0" applyFill="1" applyBorder="1" applyAlignment="1"/>
    <xf numFmtId="0" fontId="0" fillId="2" borderId="0" xfId="0" applyFill="1" applyBorder="1" applyAlignment="1"/>
    <xf numFmtId="0" fontId="11" fillId="9" borderId="7" xfId="0" applyFont="1" applyFill="1" applyBorder="1" applyAlignment="1"/>
    <xf numFmtId="0" fontId="0" fillId="2" borderId="0" xfId="0" applyFont="1" applyFill="1" applyBorder="1" applyAlignment="1"/>
    <xf numFmtId="10" fontId="0" fillId="2" borderId="0" xfId="2" applyNumberFormat="1" applyFont="1" applyFill="1" applyBorder="1" applyAlignment="1"/>
    <xf numFmtId="171" fontId="0" fillId="2" borderId="0" xfId="1" applyNumberFormat="1" applyFont="1" applyFill="1" applyBorder="1" applyAlignment="1"/>
    <xf numFmtId="164" fontId="0" fillId="2" borderId="3" xfId="1" applyNumberFormat="1" applyFont="1" applyFill="1" applyBorder="1" applyAlignment="1"/>
    <xf numFmtId="10" fontId="0" fillId="2" borderId="36" xfId="2" applyNumberFormat="1" applyFont="1" applyFill="1" applyBorder="1" applyAlignment="1"/>
    <xf numFmtId="0" fontId="0" fillId="2" borderId="1" xfId="0" applyFont="1" applyFill="1" applyBorder="1" applyAlignment="1"/>
    <xf numFmtId="10" fontId="0" fillId="2" borderId="1" xfId="2" applyNumberFormat="1" applyFont="1" applyFill="1" applyBorder="1" applyAlignment="1"/>
    <xf numFmtId="171" fontId="0" fillId="2" borderId="1" xfId="1" applyNumberFormat="1" applyFont="1" applyFill="1" applyBorder="1" applyAlignment="1"/>
    <xf numFmtId="164" fontId="0" fillId="2" borderId="31" xfId="1" applyNumberFormat="1" applyFont="1" applyFill="1" applyBorder="1" applyAlignment="1"/>
    <xf numFmtId="164" fontId="0" fillId="2" borderId="1" xfId="1" applyNumberFormat="1" applyFont="1" applyFill="1" applyBorder="1" applyAlignment="1"/>
    <xf numFmtId="0" fontId="11" fillId="9" borderId="62" xfId="0" applyFont="1" applyFill="1" applyBorder="1" applyAlignment="1"/>
    <xf numFmtId="164" fontId="0" fillId="2" borderId="0" xfId="0" applyNumberFormat="1" applyFill="1" applyAlignment="1"/>
    <xf numFmtId="10" fontId="0" fillId="2" borderId="0" xfId="0" applyNumberFormat="1" applyFill="1" applyAlignment="1"/>
    <xf numFmtId="164" fontId="0" fillId="2" borderId="0" xfId="1" applyNumberFormat="1" applyFont="1" applyFill="1" applyAlignment="1"/>
    <xf numFmtId="10" fontId="0" fillId="2" borderId="2" xfId="0" applyNumberFormat="1" applyFill="1" applyBorder="1" applyAlignment="1"/>
    <xf numFmtId="164" fontId="2" fillId="2" borderId="0" xfId="0" applyNumberFormat="1" applyFont="1" applyFill="1" applyAlignment="1"/>
    <xf numFmtId="10" fontId="2" fillId="2" borderId="0" xfId="0" applyNumberFormat="1" applyFont="1" applyFill="1" applyAlignment="1"/>
    <xf numFmtId="0" fontId="0" fillId="2" borderId="66" xfId="0" applyFill="1" applyBorder="1" applyAlignment="1"/>
    <xf numFmtId="0" fontId="2" fillId="2" borderId="1" xfId="0" applyFont="1" applyFill="1" applyBorder="1" applyAlignment="1">
      <alignment horizontal="right"/>
    </xf>
    <xf numFmtId="0" fontId="0" fillId="2" borderId="53" xfId="0" applyFill="1" applyBorder="1" applyAlignment="1"/>
    <xf numFmtId="0" fontId="2" fillId="2" borderId="69" xfId="0" applyFont="1" applyFill="1" applyBorder="1" applyAlignment="1">
      <alignment horizontal="left"/>
    </xf>
    <xf numFmtId="44" fontId="0" fillId="2" borderId="0" xfId="0" applyNumberFormat="1" applyFill="1" applyAlignment="1"/>
    <xf numFmtId="165" fontId="0" fillId="2" borderId="0" xfId="0" applyNumberFormat="1" applyFont="1" applyFill="1" applyAlignment="1"/>
    <xf numFmtId="0" fontId="0" fillId="2" borderId="64" xfId="0" applyFill="1" applyBorder="1" applyAlignment="1">
      <alignment horizontal="right"/>
    </xf>
    <xf numFmtId="169" fontId="9" fillId="2" borderId="2" xfId="1" quotePrefix="1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9" fillId="21" borderId="32" xfId="1" applyNumberFormat="1" applyFont="1" applyFill="1" applyBorder="1" applyAlignment="1">
      <alignment horizontal="center"/>
    </xf>
    <xf numFmtId="164" fontId="0" fillId="2" borderId="5" xfId="1" applyNumberFormat="1" applyFont="1" applyFill="1" applyBorder="1" applyAlignment="1"/>
    <xf numFmtId="0" fontId="29" fillId="2" borderId="2" xfId="0" applyFont="1" applyFill="1" applyBorder="1" applyAlignment="1">
      <alignment horizontal="center"/>
    </xf>
    <xf numFmtId="0" fontId="0" fillId="2" borderId="71" xfId="0" applyFill="1" applyBorder="1" applyAlignment="1"/>
    <xf numFmtId="0" fontId="0" fillId="2" borderId="71" xfId="0" applyFill="1" applyBorder="1" applyAlignment="1">
      <alignment horizontal="center"/>
    </xf>
    <xf numFmtId="10" fontId="15" fillId="21" borderId="72" xfId="0" quotePrefix="1" applyNumberFormat="1" applyFont="1" applyFill="1" applyBorder="1" applyAlignment="1">
      <alignment horizontal="center"/>
    </xf>
    <xf numFmtId="10" fontId="15" fillId="22" borderId="72" xfId="0" quotePrefix="1" applyNumberFormat="1" applyFont="1" applyFill="1" applyBorder="1" applyAlignment="1">
      <alignment horizontal="center"/>
    </xf>
    <xf numFmtId="10" fontId="15" fillId="22" borderId="73" xfId="0" quotePrefix="1" applyNumberFormat="1" applyFont="1" applyFill="1" applyBorder="1" applyAlignment="1">
      <alignment horizontal="center"/>
    </xf>
    <xf numFmtId="10" fontId="15" fillId="21" borderId="73" xfId="0" quotePrefix="1" applyNumberFormat="1" applyFont="1" applyFill="1" applyBorder="1" applyAlignment="1">
      <alignment horizontal="center"/>
    </xf>
    <xf numFmtId="10" fontId="0" fillId="2" borderId="0" xfId="2" applyNumberFormat="1" applyFon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31" fillId="17" borderId="0" xfId="4" applyFill="1"/>
    <xf numFmtId="164" fontId="0" fillId="2" borderId="0" xfId="1" applyNumberFormat="1" applyFont="1" applyFill="1" applyBorder="1" applyAlignment="1">
      <alignment horizontal="left"/>
    </xf>
    <xf numFmtId="166" fontId="0" fillId="2" borderId="0" xfId="0" applyNumberFormat="1" applyFill="1" applyBorder="1" applyAlignment="1">
      <alignment horizontal="center"/>
    </xf>
    <xf numFmtId="43" fontId="0" fillId="2" borderId="1" xfId="1" applyFont="1" applyFill="1" applyBorder="1"/>
    <xf numFmtId="0" fontId="2" fillId="2" borderId="2" xfId="0" applyFont="1" applyFill="1" applyBorder="1" applyAlignment="1">
      <alignment horizontal="center" vertical="center"/>
    </xf>
    <xf numFmtId="0" fontId="0" fillId="2" borderId="66" xfId="0" applyFill="1" applyBorder="1"/>
    <xf numFmtId="43" fontId="0" fillId="2" borderId="0" xfId="1" quotePrefix="1" applyFont="1" applyFill="1"/>
    <xf numFmtId="0" fontId="4" fillId="2" borderId="53" xfId="0" applyFont="1" applyFill="1" applyBorder="1" applyAlignment="1"/>
    <xf numFmtId="44" fontId="0" fillId="2" borderId="32" xfId="0" applyNumberFormat="1" applyFont="1" applyFill="1" applyBorder="1"/>
    <xf numFmtId="181" fontId="0" fillId="2" borderId="0" xfId="0" applyNumberFormat="1" applyFill="1" applyBorder="1" applyAlignment="1">
      <alignment horizontal="center"/>
    </xf>
    <xf numFmtId="181" fontId="0" fillId="2" borderId="3" xfId="0" applyNumberFormat="1" applyFill="1" applyBorder="1" applyAlignment="1">
      <alignment horizontal="center"/>
    </xf>
    <xf numFmtId="181" fontId="0" fillId="2" borderId="0" xfId="1" applyNumberFormat="1" applyFont="1" applyFill="1" applyBorder="1" applyAlignment="1">
      <alignment horizontal="center"/>
    </xf>
    <xf numFmtId="181" fontId="0" fillId="2" borderId="31" xfId="0" applyNumberFormat="1" applyFill="1" applyBorder="1" applyAlignment="1">
      <alignment horizontal="center"/>
    </xf>
    <xf numFmtId="181" fontId="0" fillId="2" borderId="1" xfId="1" applyNumberFormat="1" applyFont="1" applyFill="1" applyBorder="1" applyAlignment="1">
      <alignment horizontal="center"/>
    </xf>
    <xf numFmtId="181" fontId="0" fillId="2" borderId="2" xfId="0" applyNumberForma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66" fontId="8" fillId="2" borderId="0" xfId="0" applyNumberFormat="1" applyFont="1" applyFill="1" applyBorder="1" applyAlignment="1">
      <alignment horizontal="center"/>
    </xf>
    <xf numFmtId="166" fontId="8" fillId="2" borderId="69" xfId="0" applyNumberFormat="1" applyFont="1" applyFill="1" applyBorder="1" applyAlignment="1">
      <alignment horizontal="center"/>
    </xf>
    <xf numFmtId="166" fontId="8" fillId="2" borderId="64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66" fontId="8" fillId="2" borderId="2" xfId="0" applyNumberFormat="1" applyFont="1" applyFill="1" applyBorder="1" applyAlignment="1">
      <alignment horizontal="center"/>
    </xf>
    <xf numFmtId="15" fontId="0" fillId="2" borderId="2" xfId="0" applyNumberFormat="1" applyFill="1" applyBorder="1" applyAlignment="1">
      <alignment horizontal="center"/>
    </xf>
    <xf numFmtId="15" fontId="9" fillId="21" borderId="0" xfId="0" applyNumberFormat="1" applyFont="1" applyFill="1" applyBorder="1" applyAlignment="1">
      <alignment horizontal="center"/>
    </xf>
    <xf numFmtId="15" fontId="9" fillId="22" borderId="0" xfId="0" applyNumberFormat="1" applyFont="1" applyFill="1" applyBorder="1" applyAlignment="1">
      <alignment horizontal="center"/>
    </xf>
    <xf numFmtId="15" fontId="9" fillId="22" borderId="1" xfId="0" applyNumberFormat="1" applyFont="1" applyFill="1" applyBorder="1" applyAlignment="1">
      <alignment horizontal="center"/>
    </xf>
    <xf numFmtId="15" fontId="9" fillId="21" borderId="0" xfId="1" applyNumberFormat="1" applyFont="1" applyFill="1" applyBorder="1" applyAlignment="1">
      <alignment horizontal="center"/>
    </xf>
    <xf numFmtId="15" fontId="9" fillId="21" borderId="1" xfId="1" applyNumberFormat="1" applyFont="1" applyFill="1" applyBorder="1" applyAlignment="1">
      <alignment horizontal="center"/>
    </xf>
    <xf numFmtId="44" fontId="2" fillId="2" borderId="1" xfId="0" applyNumberFormat="1" applyFont="1" applyFill="1" applyBorder="1"/>
    <xf numFmtId="164" fontId="9" fillId="21" borderId="65" xfId="1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12" borderId="0" xfId="0" applyFill="1"/>
    <xf numFmtId="0" fontId="32" fillId="2" borderId="0" xfId="0" applyFont="1" applyFill="1"/>
    <xf numFmtId="0" fontId="33" fillId="2" borderId="21" xfId="0" applyFont="1" applyFill="1" applyBorder="1"/>
    <xf numFmtId="14" fontId="33" fillId="2" borderId="21" xfId="0" applyNumberFormat="1" applyFont="1" applyFill="1" applyBorder="1"/>
    <xf numFmtId="0" fontId="2" fillId="2" borderId="0" xfId="0" applyFont="1" applyFill="1" applyBorder="1"/>
    <xf numFmtId="15" fontId="2" fillId="2" borderId="0" xfId="0" applyNumberFormat="1" applyFont="1" applyFill="1" applyBorder="1"/>
    <xf numFmtId="14" fontId="0" fillId="2" borderId="0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37" xfId="0" applyFont="1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left"/>
    </xf>
    <xf numFmtId="172" fontId="0" fillId="2" borderId="40" xfId="3" applyNumberFormat="1" applyFont="1" applyFill="1" applyBorder="1"/>
    <xf numFmtId="172" fontId="0" fillId="2" borderId="41" xfId="3" applyNumberFormat="1" applyFont="1" applyFill="1" applyBorder="1"/>
    <xf numFmtId="165" fontId="2" fillId="2" borderId="57" xfId="0" applyNumberFormat="1" applyFont="1" applyFill="1" applyBorder="1" applyAlignment="1">
      <alignment horizontal="center"/>
    </xf>
    <xf numFmtId="10" fontId="2" fillId="2" borderId="42" xfId="2" applyNumberFormat="1" applyFont="1" applyFill="1" applyBorder="1" applyAlignment="1">
      <alignment horizontal="center"/>
    </xf>
    <xf numFmtId="172" fontId="0" fillId="2" borderId="46" xfId="3" applyNumberFormat="1" applyFont="1" applyFill="1" applyBorder="1"/>
    <xf numFmtId="172" fontId="0" fillId="2" borderId="23" xfId="3" applyNumberFormat="1" applyFont="1" applyFill="1" applyBorder="1"/>
    <xf numFmtId="165" fontId="2" fillId="2" borderId="24" xfId="0" applyNumberFormat="1" applyFont="1" applyFill="1" applyBorder="1" applyAlignment="1">
      <alignment horizontal="center"/>
    </xf>
    <xf numFmtId="10" fontId="2" fillId="2" borderId="47" xfId="2" applyNumberFormat="1" applyFont="1" applyFill="1" applyBorder="1" applyAlignment="1">
      <alignment horizontal="center"/>
    </xf>
    <xf numFmtId="10" fontId="0" fillId="2" borderId="47" xfId="2" applyNumberFormat="1" applyFont="1" applyFill="1" applyBorder="1" applyAlignment="1">
      <alignment horizontal="center"/>
    </xf>
    <xf numFmtId="172" fontId="0" fillId="2" borderId="77" xfId="3" applyNumberFormat="1" applyFont="1" applyFill="1" applyBorder="1"/>
    <xf numFmtId="172" fontId="0" fillId="2" borderId="8" xfId="3" applyNumberFormat="1" applyFont="1" applyFill="1" applyBorder="1"/>
    <xf numFmtId="165" fontId="0" fillId="2" borderId="3" xfId="0" applyNumberFormat="1" applyFont="1" applyFill="1" applyBorder="1" applyAlignment="1">
      <alignment horizontal="center"/>
    </xf>
    <xf numFmtId="10" fontId="0" fillId="2" borderId="78" xfId="2" applyNumberFormat="1" applyFont="1" applyFill="1" applyBorder="1" applyAlignment="1">
      <alignment horizontal="center"/>
    </xf>
    <xf numFmtId="172" fontId="2" fillId="2" borderId="0" xfId="3" applyNumberFormat="1" applyFont="1" applyFill="1" applyBorder="1" applyAlignment="1">
      <alignment horizontal="center"/>
    </xf>
    <xf numFmtId="172" fontId="0" fillId="2" borderId="43" xfId="3" applyNumberFormat="1" applyFont="1" applyFill="1" applyBorder="1"/>
    <xf numFmtId="172" fontId="0" fillId="2" borderId="44" xfId="3" applyNumberFormat="1" applyFont="1" applyFill="1" applyBorder="1"/>
    <xf numFmtId="165" fontId="0" fillId="2" borderId="58" xfId="0" applyNumberFormat="1" applyFont="1" applyFill="1" applyBorder="1" applyAlignment="1">
      <alignment horizontal="center"/>
    </xf>
    <xf numFmtId="10" fontId="0" fillId="2" borderId="45" xfId="2" applyNumberFormat="1" applyFont="1" applyFill="1" applyBorder="1" applyAlignment="1">
      <alignment horizontal="center"/>
    </xf>
    <xf numFmtId="172" fontId="0" fillId="2" borderId="0" xfId="3" applyNumberFormat="1" applyFont="1" applyFill="1" applyBorder="1"/>
    <xf numFmtId="165" fontId="2" fillId="2" borderId="0" xfId="2" applyNumberFormat="1" applyFont="1" applyFill="1" applyBorder="1" applyAlignment="1">
      <alignment horizontal="center"/>
    </xf>
    <xf numFmtId="10" fontId="2" fillId="2" borderId="0" xfId="2" applyNumberFormat="1" applyFont="1" applyFill="1" applyBorder="1" applyAlignment="1">
      <alignment horizontal="center"/>
    </xf>
    <xf numFmtId="10" fontId="0" fillId="2" borderId="0" xfId="2" applyNumberFormat="1" applyFont="1" applyFill="1" applyBorder="1"/>
    <xf numFmtId="10" fontId="2" fillId="2" borderId="24" xfId="0" applyNumberFormat="1" applyFont="1" applyFill="1" applyBorder="1" applyAlignment="1">
      <alignment horizontal="center"/>
    </xf>
    <xf numFmtId="10" fontId="0" fillId="2" borderId="24" xfId="0" applyNumberFormat="1" applyFont="1" applyFill="1" applyBorder="1" applyAlignment="1">
      <alignment horizontal="center"/>
    </xf>
    <xf numFmtId="10" fontId="0" fillId="2" borderId="3" xfId="0" applyNumberFormat="1" applyFont="1" applyFill="1" applyBorder="1" applyAlignment="1">
      <alignment horizontal="center"/>
    </xf>
    <xf numFmtId="10" fontId="0" fillId="2" borderId="58" xfId="0" applyNumberFormat="1" applyFont="1" applyFill="1" applyBorder="1" applyAlignment="1">
      <alignment horizontal="center"/>
    </xf>
    <xf numFmtId="0" fontId="35" fillId="2" borderId="0" xfId="0" applyFont="1" applyFill="1" applyBorder="1"/>
    <xf numFmtId="0" fontId="37" fillId="2" borderId="0" xfId="0" applyFont="1" applyFill="1" applyBorder="1"/>
    <xf numFmtId="0" fontId="26" fillId="7" borderId="0" xfId="0" applyFont="1" applyFill="1" applyBorder="1" applyAlignment="1">
      <alignment horizontal="center"/>
    </xf>
    <xf numFmtId="164" fontId="0" fillId="17" borderId="0" xfId="1" applyNumberFormat="1" applyFont="1" applyFill="1" applyBorder="1"/>
    <xf numFmtId="10" fontId="2" fillId="2" borderId="24" xfId="0" quotePrefix="1" applyNumberFormat="1" applyFont="1" applyFill="1" applyBorder="1" applyAlignment="1">
      <alignment horizontal="center"/>
    </xf>
    <xf numFmtId="0" fontId="38" fillId="2" borderId="0" xfId="0" applyFont="1" applyFill="1" applyAlignment="1">
      <alignment horizontal="right" vertical="center"/>
    </xf>
    <xf numFmtId="165" fontId="0" fillId="21" borderId="0" xfId="0" quotePrefix="1" applyNumberFormat="1" applyFont="1" applyFill="1" applyBorder="1" applyAlignment="1">
      <alignment horizontal="center"/>
    </xf>
    <xf numFmtId="165" fontId="0" fillId="21" borderId="1" xfId="0" quotePrefix="1" applyNumberFormat="1" applyFont="1" applyFill="1" applyBorder="1" applyAlignment="1">
      <alignment horizontal="center"/>
    </xf>
    <xf numFmtId="165" fontId="0" fillId="21" borderId="1" xfId="2" quotePrefix="1" applyNumberFormat="1" applyFon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4" fontId="0" fillId="21" borderId="1" xfId="1" quotePrefix="1" applyNumberFormat="1" applyFont="1" applyFill="1" applyBorder="1" applyAlignment="1">
      <alignment horizontal="center"/>
    </xf>
    <xf numFmtId="10" fontId="0" fillId="2" borderId="5" xfId="2" quotePrefix="1" applyNumberFormat="1" applyFont="1" applyFill="1" applyBorder="1" applyAlignment="1">
      <alignment horizontal="center"/>
    </xf>
    <xf numFmtId="0" fontId="0" fillId="2" borderId="17" xfId="0" applyFill="1" applyBorder="1" applyAlignment="1">
      <alignment horizontal="center" vertical="center" wrapText="1"/>
    </xf>
    <xf numFmtId="10" fontId="15" fillId="21" borderId="79" xfId="0" quotePrefix="1" applyNumberFormat="1" applyFont="1" applyFill="1" applyBorder="1" applyAlignment="1">
      <alignment horizontal="center"/>
    </xf>
    <xf numFmtId="10" fontId="15" fillId="21" borderId="80" xfId="0" quotePrefix="1" applyNumberFormat="1" applyFont="1" applyFill="1" applyBorder="1" applyAlignment="1">
      <alignment horizontal="center"/>
    </xf>
    <xf numFmtId="10" fontId="15" fillId="22" borderId="79" xfId="0" quotePrefix="1" applyNumberFormat="1" applyFont="1" applyFill="1" applyBorder="1" applyAlignment="1">
      <alignment horizontal="center"/>
    </xf>
    <xf numFmtId="10" fontId="15" fillId="22" borderId="80" xfId="0" quotePrefix="1" applyNumberFormat="1" applyFont="1" applyFill="1" applyBorder="1" applyAlignment="1">
      <alignment horizontal="center"/>
    </xf>
    <xf numFmtId="2" fontId="39" fillId="2" borderId="0" xfId="0" applyNumberFormat="1" applyFont="1" applyFill="1"/>
    <xf numFmtId="44" fontId="0" fillId="2" borderId="2" xfId="0" quotePrefix="1" applyNumberFormat="1" applyFill="1" applyBorder="1"/>
    <xf numFmtId="182" fontId="0" fillId="2" borderId="1" xfId="0" applyNumberFormat="1" applyFill="1" applyBorder="1"/>
    <xf numFmtId="44" fontId="0" fillId="18" borderId="0" xfId="3" applyNumberFormat="1" applyFont="1" applyFill="1"/>
    <xf numFmtId="44" fontId="0" fillId="18" borderId="2" xfId="3" applyNumberFormat="1" applyFont="1" applyFill="1" applyBorder="1"/>
    <xf numFmtId="0" fontId="8" fillId="2" borderId="0" xfId="0" applyFont="1" applyFill="1" applyBorder="1"/>
    <xf numFmtId="177" fontId="24" fillId="2" borderId="0" xfId="0" applyNumberFormat="1" applyFont="1" applyFill="1" applyBorder="1" applyAlignment="1">
      <alignment horizontal="center"/>
    </xf>
    <xf numFmtId="177" fontId="8" fillId="2" borderId="0" xfId="0" applyNumberFormat="1" applyFont="1" applyFill="1" applyBorder="1" applyAlignment="1">
      <alignment horizontal="center"/>
    </xf>
    <xf numFmtId="15" fontId="8" fillId="2" borderId="0" xfId="0" applyNumberFormat="1" applyFont="1" applyFill="1" applyBorder="1"/>
    <xf numFmtId="3" fontId="0" fillId="2" borderId="0" xfId="0" applyNumberFormat="1" applyFill="1" applyAlignment="1">
      <alignment horizontal="center"/>
    </xf>
    <xf numFmtId="183" fontId="0" fillId="2" borderId="0" xfId="0" applyNumberFormat="1" applyFill="1" applyAlignment="1">
      <alignment horizontal="center"/>
    </xf>
    <xf numFmtId="177" fontId="24" fillId="2" borderId="0" xfId="0" quotePrefix="1" applyNumberFormat="1" applyFont="1" applyFill="1" applyBorder="1" applyAlignment="1">
      <alignment horizontal="center"/>
    </xf>
    <xf numFmtId="184" fontId="8" fillId="2" borderId="32" xfId="0" applyNumberFormat="1" applyFont="1" applyFill="1" applyBorder="1" applyAlignment="1">
      <alignment horizontal="center"/>
    </xf>
    <xf numFmtId="184" fontId="8" fillId="2" borderId="70" xfId="0" applyNumberFormat="1" applyFont="1" applyFill="1" applyBorder="1" applyAlignment="1">
      <alignment horizontal="center"/>
    </xf>
    <xf numFmtId="184" fontId="8" fillId="2" borderId="7" xfId="0" applyNumberFormat="1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40" fillId="2" borderId="0" xfId="0" applyFont="1" applyFill="1" applyBorder="1" applyAlignment="1">
      <alignment vertical="center"/>
    </xf>
    <xf numFmtId="44" fontId="0" fillId="2" borderId="21" xfId="0" applyNumberFormat="1" applyFill="1" applyBorder="1"/>
    <xf numFmtId="44" fontId="0" fillId="2" borderId="0" xfId="3" quotePrefix="1" applyNumberFormat="1" applyFont="1" applyFill="1"/>
    <xf numFmtId="0" fontId="18" fillId="2" borderId="2" xfId="0" applyFont="1" applyFill="1" applyBorder="1" applyAlignment="1">
      <alignment horizontal="right"/>
    </xf>
    <xf numFmtId="43" fontId="0" fillId="2" borderId="2" xfId="1" applyNumberFormat="1" applyFont="1" applyFill="1" applyBorder="1"/>
    <xf numFmtId="43" fontId="0" fillId="2" borderId="2" xfId="1" applyFont="1" applyFill="1" applyBorder="1"/>
    <xf numFmtId="44" fontId="0" fillId="2" borderId="36" xfId="0" applyNumberFormat="1" applyFill="1" applyBorder="1"/>
    <xf numFmtId="43" fontId="0" fillId="2" borderId="1" xfId="0" applyNumberFormat="1" applyFill="1" applyBorder="1"/>
    <xf numFmtId="0" fontId="0" fillId="2" borderId="25" xfId="0" applyFill="1" applyBorder="1" applyAlignment="1"/>
    <xf numFmtId="0" fontId="0" fillId="2" borderId="0" xfId="0" applyFont="1" applyFill="1" applyAlignment="1"/>
    <xf numFmtId="0" fontId="11" fillId="2" borderId="0" xfId="0" applyFont="1" applyFill="1" applyAlignment="1"/>
    <xf numFmtId="0" fontId="2" fillId="19" borderId="15" xfId="0" applyFont="1" applyFill="1" applyBorder="1" applyAlignment="1"/>
    <xf numFmtId="0" fontId="9" fillId="21" borderId="0" xfId="0" applyFont="1" applyFill="1" applyBorder="1" applyAlignment="1"/>
    <xf numFmtId="164" fontId="8" fillId="21" borderId="3" xfId="1" applyNumberFormat="1" applyFont="1" applyFill="1" applyBorder="1" applyAlignment="1"/>
    <xf numFmtId="15" fontId="8" fillId="21" borderId="3" xfId="1" applyNumberFormat="1" applyFont="1" applyFill="1" applyBorder="1" applyAlignment="1"/>
    <xf numFmtId="10" fontId="0" fillId="21" borderId="3" xfId="0" quotePrefix="1" applyNumberFormat="1" applyFill="1" applyBorder="1" applyAlignment="1"/>
    <xf numFmtId="164" fontId="8" fillId="21" borderId="5" xfId="1" applyNumberFormat="1" applyFont="1" applyFill="1" applyBorder="1" applyAlignment="1"/>
    <xf numFmtId="15" fontId="8" fillId="21" borderId="5" xfId="1" applyNumberFormat="1" applyFont="1" applyFill="1" applyBorder="1" applyAlignment="1"/>
    <xf numFmtId="15" fontId="0" fillId="21" borderId="0" xfId="0" quotePrefix="1" applyNumberFormat="1" applyFont="1" applyFill="1" applyBorder="1" applyAlignment="1"/>
    <xf numFmtId="167" fontId="0" fillId="21" borderId="0" xfId="0" quotePrefix="1" applyNumberFormat="1" applyFont="1" applyFill="1" applyBorder="1" applyAlignment="1"/>
    <xf numFmtId="164" fontId="0" fillId="21" borderId="0" xfId="1" quotePrefix="1" applyNumberFormat="1" applyFont="1" applyFill="1" applyBorder="1" applyAlignment="1"/>
    <xf numFmtId="38" fontId="0" fillId="21" borderId="0" xfId="1" applyNumberFormat="1" applyFont="1" applyFill="1" applyBorder="1" applyAlignment="1"/>
    <xf numFmtId="164" fontId="0" fillId="4" borderId="0" xfId="0" applyNumberFormat="1" applyFill="1" applyBorder="1" applyAlignment="1"/>
    <xf numFmtId="10" fontId="0" fillId="4" borderId="0" xfId="0" applyNumberFormat="1" applyFill="1" applyBorder="1" applyAlignment="1"/>
    <xf numFmtId="168" fontId="0" fillId="4" borderId="0" xfId="0" applyNumberFormat="1" applyFill="1" applyBorder="1" applyAlignment="1"/>
    <xf numFmtId="38" fontId="0" fillId="21" borderId="13" xfId="1" applyNumberFormat="1" applyFont="1" applyFill="1" applyBorder="1" applyAlignment="1"/>
    <xf numFmtId="0" fontId="9" fillId="21" borderId="1" xfId="0" applyFont="1" applyFill="1" applyBorder="1" applyAlignment="1"/>
    <xf numFmtId="164" fontId="8" fillId="21" borderId="31" xfId="1" applyNumberFormat="1" applyFont="1" applyFill="1" applyBorder="1" applyAlignment="1"/>
    <xf numFmtId="15" fontId="8" fillId="21" borderId="31" xfId="1" applyNumberFormat="1" applyFont="1" applyFill="1" applyBorder="1" applyAlignment="1"/>
    <xf numFmtId="15" fontId="0" fillId="21" borderId="1" xfId="0" quotePrefix="1" applyNumberFormat="1" applyFont="1" applyFill="1" applyBorder="1" applyAlignment="1"/>
    <xf numFmtId="167" fontId="0" fillId="21" borderId="1" xfId="0" quotePrefix="1" applyNumberFormat="1" applyFont="1" applyFill="1" applyBorder="1" applyAlignment="1"/>
    <xf numFmtId="164" fontId="0" fillId="21" borderId="1" xfId="1" quotePrefix="1" applyNumberFormat="1" applyFont="1" applyFill="1" applyBorder="1" applyAlignment="1"/>
    <xf numFmtId="38" fontId="0" fillId="21" borderId="1" xfId="1" applyNumberFormat="1" applyFont="1" applyFill="1" applyBorder="1" applyAlignment="1"/>
    <xf numFmtId="10" fontId="0" fillId="21" borderId="31" xfId="0" quotePrefix="1" applyNumberFormat="1" applyFill="1" applyBorder="1" applyAlignment="1"/>
    <xf numFmtId="10" fontId="0" fillId="21" borderId="1" xfId="0" quotePrefix="1" applyNumberFormat="1" applyFill="1" applyBorder="1" applyAlignment="1"/>
    <xf numFmtId="164" fontId="0" fillId="21" borderId="65" xfId="1" quotePrefix="1" applyNumberFormat="1" applyFont="1" applyFill="1" applyBorder="1" applyAlignment="1"/>
    <xf numFmtId="167" fontId="0" fillId="4" borderId="1" xfId="0" quotePrefix="1" applyNumberFormat="1" applyFill="1" applyBorder="1" applyAlignment="1"/>
    <xf numFmtId="164" fontId="0" fillId="4" borderId="1" xfId="0" applyNumberFormat="1" applyFill="1" applyBorder="1" applyAlignment="1"/>
    <xf numFmtId="10" fontId="0" fillId="4" borderId="1" xfId="0" applyNumberFormat="1" applyFill="1" applyBorder="1" applyAlignment="1"/>
    <xf numFmtId="168" fontId="0" fillId="4" borderId="1" xfId="0" applyNumberFormat="1" applyFill="1" applyBorder="1" applyAlignment="1"/>
    <xf numFmtId="38" fontId="0" fillId="21" borderId="81" xfId="1" applyNumberFormat="1" applyFont="1" applyFill="1" applyBorder="1" applyAlignment="1"/>
    <xf numFmtId="0" fontId="2" fillId="22" borderId="75" xfId="0" applyFont="1" applyFill="1" applyBorder="1" applyAlignment="1"/>
    <xf numFmtId="0" fontId="2" fillId="22" borderId="15" xfId="0" applyFont="1" applyFill="1" applyBorder="1" applyAlignment="1"/>
    <xf numFmtId="166" fontId="0" fillId="2" borderId="53" xfId="0" applyNumberFormat="1" applyFill="1" applyBorder="1" applyAlignment="1"/>
    <xf numFmtId="0" fontId="0" fillId="2" borderId="48" xfId="0" applyFill="1" applyBorder="1" applyAlignment="1"/>
    <xf numFmtId="0" fontId="0" fillId="2" borderId="9" xfId="0" applyFill="1" applyBorder="1" applyAlignment="1"/>
    <xf numFmtId="0" fontId="0" fillId="2" borderId="82" xfId="0" applyFill="1" applyBorder="1" applyAlignment="1"/>
    <xf numFmtId="0" fontId="9" fillId="22" borderId="0" xfId="0" applyFont="1" applyFill="1" applyBorder="1" applyAlignment="1"/>
    <xf numFmtId="164" fontId="8" fillId="22" borderId="3" xfId="1" applyNumberFormat="1" applyFont="1" applyFill="1" applyBorder="1" applyAlignment="1"/>
    <xf numFmtId="15" fontId="8" fillId="22" borderId="3" xfId="1" applyNumberFormat="1" applyFont="1" applyFill="1" applyBorder="1" applyAlignment="1"/>
    <xf numFmtId="15" fontId="0" fillId="22" borderId="36" xfId="0" quotePrefix="1" applyNumberFormat="1" applyFont="1" applyFill="1" applyBorder="1" applyAlignment="1"/>
    <xf numFmtId="167" fontId="0" fillId="22" borderId="0" xfId="0" quotePrefix="1" applyNumberFormat="1" applyFont="1" applyFill="1" applyBorder="1" applyAlignment="1"/>
    <xf numFmtId="164" fontId="0" fillId="22" borderId="0" xfId="1" applyNumberFormat="1" applyFont="1" applyFill="1" applyBorder="1" applyAlignment="1"/>
    <xf numFmtId="38" fontId="0" fillId="22" borderId="0" xfId="1" applyNumberFormat="1" applyFont="1" applyFill="1" applyBorder="1" applyAlignment="1"/>
    <xf numFmtId="164" fontId="0" fillId="22" borderId="0" xfId="1" quotePrefix="1" applyNumberFormat="1" applyFont="1" applyFill="1" applyBorder="1" applyAlignment="1"/>
    <xf numFmtId="10" fontId="0" fillId="22" borderId="3" xfId="0" applyNumberFormat="1" applyFill="1" applyBorder="1" applyAlignment="1"/>
    <xf numFmtId="10" fontId="0" fillId="22" borderId="0" xfId="0" applyNumberFormat="1" applyFill="1" applyBorder="1" applyAlignment="1"/>
    <xf numFmtId="167" fontId="0" fillId="4" borderId="3" xfId="0" quotePrefix="1" applyNumberFormat="1" applyFill="1" applyBorder="1" applyAlignment="1"/>
    <xf numFmtId="38" fontId="0" fillId="22" borderId="13" xfId="1" applyNumberFormat="1" applyFont="1" applyFill="1" applyBorder="1" applyAlignment="1"/>
    <xf numFmtId="167" fontId="0" fillId="4" borderId="5" xfId="0" quotePrefix="1" applyNumberFormat="1" applyFill="1" applyBorder="1" applyAlignment="1"/>
    <xf numFmtId="0" fontId="9" fillId="22" borderId="1" xfId="0" applyFont="1" applyFill="1" applyBorder="1" applyAlignment="1"/>
    <xf numFmtId="164" fontId="8" fillId="22" borderId="31" xfId="1" applyNumberFormat="1" applyFont="1" applyFill="1" applyBorder="1" applyAlignment="1"/>
    <xf numFmtId="15" fontId="8" fillId="22" borderId="31" xfId="1" applyNumberFormat="1" applyFont="1" applyFill="1" applyBorder="1" applyAlignment="1"/>
    <xf numFmtId="15" fontId="0" fillId="22" borderId="1" xfId="0" quotePrefix="1" applyNumberFormat="1" applyFont="1" applyFill="1" applyBorder="1" applyAlignment="1"/>
    <xf numFmtId="167" fontId="0" fillId="22" borderId="1" xfId="0" quotePrefix="1" applyNumberFormat="1" applyFont="1" applyFill="1" applyBorder="1" applyAlignment="1"/>
    <xf numFmtId="164" fontId="0" fillId="22" borderId="1" xfId="1" applyNumberFormat="1" applyFont="1" applyFill="1" applyBorder="1" applyAlignment="1"/>
    <xf numFmtId="38" fontId="0" fillId="22" borderId="1" xfId="1" applyNumberFormat="1" applyFont="1" applyFill="1" applyBorder="1" applyAlignment="1"/>
    <xf numFmtId="164" fontId="0" fillId="22" borderId="1" xfId="1" quotePrefix="1" applyNumberFormat="1" applyFont="1" applyFill="1" applyBorder="1" applyAlignment="1"/>
    <xf numFmtId="10" fontId="0" fillId="22" borderId="31" xfId="0" applyNumberFormat="1" applyFill="1" applyBorder="1" applyAlignment="1"/>
    <xf numFmtId="10" fontId="0" fillId="22" borderId="1" xfId="0" applyNumberFormat="1" applyFill="1" applyBorder="1" applyAlignment="1"/>
    <xf numFmtId="167" fontId="0" fillId="4" borderId="31" xfId="0" quotePrefix="1" applyNumberFormat="1" applyFill="1" applyBorder="1" applyAlignment="1"/>
    <xf numFmtId="38" fontId="0" fillId="22" borderId="81" xfId="1" applyNumberFormat="1" applyFont="1" applyFill="1" applyBorder="1" applyAlignment="1"/>
    <xf numFmtId="10" fontId="0" fillId="2" borderId="53" xfId="0" applyNumberFormat="1" applyFill="1" applyBorder="1" applyAlignment="1"/>
    <xf numFmtId="0" fontId="0" fillId="2" borderId="61" xfId="0" applyFill="1" applyBorder="1" applyAlignment="1"/>
    <xf numFmtId="0" fontId="0" fillId="2" borderId="83" xfId="0" applyFill="1" applyBorder="1" applyAlignment="1"/>
    <xf numFmtId="0" fontId="0" fillId="2" borderId="63" xfId="0" applyFill="1" applyBorder="1" applyAlignment="1"/>
    <xf numFmtId="0" fontId="0" fillId="2" borderId="84" xfId="0" applyFill="1" applyBorder="1" applyAlignment="1"/>
    <xf numFmtId="10" fontId="0" fillId="21" borderId="0" xfId="0" applyNumberFormat="1" applyFill="1" applyBorder="1" applyAlignment="1"/>
    <xf numFmtId="165" fontId="0" fillId="22" borderId="36" xfId="0" quotePrefix="1" applyNumberFormat="1" applyFont="1" applyFill="1" applyBorder="1" applyAlignment="1">
      <alignment horizontal="center"/>
    </xf>
    <xf numFmtId="165" fontId="0" fillId="22" borderId="1" xfId="0" quotePrefix="1" applyNumberFormat="1" applyFont="1" applyFill="1" applyBorder="1" applyAlignment="1">
      <alignment horizontal="center"/>
    </xf>
    <xf numFmtId="185" fontId="0" fillId="21" borderId="0" xfId="0" quotePrefix="1" applyNumberFormat="1" applyFont="1" applyFill="1" applyBorder="1" applyAlignment="1"/>
    <xf numFmtId="185" fontId="0" fillId="21" borderId="1" xfId="0" quotePrefix="1" applyNumberFormat="1" applyFont="1" applyFill="1" applyBorder="1" applyAlignment="1"/>
    <xf numFmtId="185" fontId="0" fillId="2" borderId="2" xfId="0" applyNumberFormat="1" applyFill="1" applyBorder="1" applyAlignment="1"/>
    <xf numFmtId="185" fontId="0" fillId="22" borderId="0" xfId="0" quotePrefix="1" applyNumberFormat="1" applyFont="1" applyFill="1" applyBorder="1" applyAlignment="1"/>
    <xf numFmtId="185" fontId="0" fillId="22" borderId="1" xfId="0" quotePrefix="1" applyNumberFormat="1" applyFont="1" applyFill="1" applyBorder="1" applyAlignment="1"/>
    <xf numFmtId="185" fontId="0" fillId="2" borderId="53" xfId="0" applyNumberFormat="1" applyFill="1" applyBorder="1" applyAlignment="1"/>
    <xf numFmtId="44" fontId="0" fillId="2" borderId="5" xfId="0" applyNumberFormat="1" applyFont="1" applyFill="1" applyBorder="1"/>
    <xf numFmtId="43" fontId="0" fillId="2" borderId="32" xfId="1" applyFont="1" applyFill="1" applyBorder="1"/>
    <xf numFmtId="170" fontId="0" fillId="2" borderId="0" xfId="0" applyNumberFormat="1" applyFill="1" applyAlignment="1"/>
    <xf numFmtId="10" fontId="41" fillId="21" borderId="0" xfId="2" applyNumberFormat="1" applyFont="1" applyFill="1" applyBorder="1" applyAlignment="1">
      <alignment horizontal="center"/>
    </xf>
    <xf numFmtId="0" fontId="0" fillId="2" borderId="85" xfId="0" applyFill="1" applyBorder="1" applyAlignment="1">
      <alignment wrapText="1"/>
    </xf>
    <xf numFmtId="0" fontId="0" fillId="2" borderId="53" xfId="0" applyFill="1" applyBorder="1" applyAlignment="1">
      <alignment wrapText="1"/>
    </xf>
    <xf numFmtId="172" fontId="0" fillId="17" borderId="0" xfId="0" applyNumberFormat="1" applyFill="1"/>
    <xf numFmtId="9" fontId="2" fillId="19" borderId="75" xfId="0" applyNumberFormat="1" applyFont="1" applyFill="1" applyBorder="1" applyAlignment="1"/>
    <xf numFmtId="40" fontId="0" fillId="2" borderId="0" xfId="0" applyNumberFormat="1" applyFill="1" applyBorder="1" applyAlignment="1">
      <alignment horizontal="center"/>
    </xf>
    <xf numFmtId="0" fontId="0" fillId="2" borderId="21" xfId="0" applyFill="1" applyBorder="1" applyAlignment="1">
      <alignment horizontal="right"/>
    </xf>
    <xf numFmtId="15" fontId="0" fillId="2" borderId="21" xfId="0" applyNumberFormat="1" applyFill="1" applyBorder="1" applyAlignment="1">
      <alignment horizontal="center"/>
    </xf>
    <xf numFmtId="0" fontId="0" fillId="21" borderId="31" xfId="0" quotePrefix="1" applyFill="1" applyBorder="1" applyAlignment="1"/>
    <xf numFmtId="0" fontId="2" fillId="22" borderId="52" xfId="0" applyFont="1" applyFill="1" applyBorder="1" applyAlignment="1"/>
    <xf numFmtId="0" fontId="0" fillId="22" borderId="5" xfId="0" applyFill="1" applyBorder="1" applyAlignment="1"/>
    <xf numFmtId="0" fontId="0" fillId="22" borderId="31" xfId="0" applyFill="1" applyBorder="1" applyAlignment="1"/>
    <xf numFmtId="0" fontId="0" fillId="21" borderId="5" xfId="0" applyFill="1" applyBorder="1" applyAlignment="1"/>
    <xf numFmtId="0" fontId="0" fillId="21" borderId="56" xfId="0" quotePrefix="1" applyFont="1" applyFill="1" applyBorder="1" applyAlignment="1"/>
    <xf numFmtId="10" fontId="0" fillId="21" borderId="0" xfId="0" quotePrefix="1" applyNumberFormat="1" applyFont="1" applyFill="1" applyBorder="1" applyAlignment="1">
      <alignment horizontal="center"/>
    </xf>
    <xf numFmtId="0" fontId="0" fillId="4" borderId="3" xfId="0" applyFill="1" applyBorder="1"/>
    <xf numFmtId="0" fontId="0" fillId="4" borderId="36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32" xfId="0" applyFill="1" applyBorder="1"/>
    <xf numFmtId="0" fontId="0" fillId="4" borderId="5" xfId="0" quotePrefix="1" applyFill="1" applyBorder="1"/>
    <xf numFmtId="0" fontId="0" fillId="4" borderId="6" xfId="0" applyFill="1" applyBorder="1"/>
    <xf numFmtId="0" fontId="0" fillId="4" borderId="2" xfId="0" applyFill="1" applyBorder="1"/>
    <xf numFmtId="0" fontId="0" fillId="4" borderId="7" xfId="0" applyFill="1" applyBorder="1"/>
    <xf numFmtId="0" fontId="0" fillId="30" borderId="3" xfId="0" applyFill="1" applyBorder="1"/>
    <xf numFmtId="0" fontId="0" fillId="30" borderId="36" xfId="0" applyFill="1" applyBorder="1"/>
    <xf numFmtId="0" fontId="0" fillId="30" borderId="5" xfId="0" applyFill="1" applyBorder="1"/>
    <xf numFmtId="164" fontId="0" fillId="30" borderId="0" xfId="1" applyNumberFormat="1" applyFont="1" applyFill="1" applyBorder="1"/>
    <xf numFmtId="0" fontId="0" fillId="30" borderId="32" xfId="0" applyFill="1" applyBorder="1"/>
    <xf numFmtId="0" fontId="0" fillId="30" borderId="6" xfId="0" applyFill="1" applyBorder="1"/>
    <xf numFmtId="0" fontId="0" fillId="30" borderId="2" xfId="0" applyFill="1" applyBorder="1"/>
    <xf numFmtId="0" fontId="0" fillId="30" borderId="7" xfId="0" applyFill="1" applyBorder="1"/>
    <xf numFmtId="22" fontId="25" fillId="2" borderId="21" xfId="0" applyNumberFormat="1" applyFont="1" applyFill="1" applyBorder="1"/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right"/>
    </xf>
    <xf numFmtId="165" fontId="2" fillId="2" borderId="0" xfId="0" applyNumberFormat="1" applyFont="1" applyFill="1" applyAlignment="1">
      <alignment horizontal="right"/>
    </xf>
    <xf numFmtId="0" fontId="0" fillId="2" borderId="86" xfId="0" applyFill="1" applyBorder="1"/>
    <xf numFmtId="170" fontId="0" fillId="2" borderId="86" xfId="2" applyNumberFormat="1" applyFont="1" applyFill="1" applyBorder="1" applyAlignment="1">
      <alignment horizontal="center"/>
    </xf>
    <xf numFmtId="164" fontId="0" fillId="2" borderId="86" xfId="1" applyNumberFormat="1" applyFont="1" applyFill="1" applyBorder="1"/>
    <xf numFmtId="164" fontId="0" fillId="2" borderId="86" xfId="1" quotePrefix="1" applyNumberFormat="1" applyFont="1" applyFill="1" applyBorder="1"/>
    <xf numFmtId="166" fontId="0" fillId="2" borderId="2" xfId="0" applyNumberFormat="1" applyFill="1" applyBorder="1" applyAlignment="1"/>
    <xf numFmtId="0" fontId="2" fillId="19" borderId="87" xfId="0" applyFont="1" applyFill="1" applyBorder="1" applyAlignment="1"/>
    <xf numFmtId="10" fontId="0" fillId="21" borderId="0" xfId="0" applyNumberFormat="1" applyFont="1" applyFill="1" applyBorder="1" applyAlignment="1">
      <alignment horizontal="center"/>
    </xf>
    <xf numFmtId="164" fontId="1" fillId="21" borderId="0" xfId="1" quotePrefix="1" applyNumberFormat="1" applyFont="1" applyFill="1" applyBorder="1" applyAlignment="1"/>
    <xf numFmtId="38" fontId="1" fillId="21" borderId="0" xfId="1" applyNumberFormat="1" applyFont="1" applyFill="1" applyBorder="1" applyAlignment="1"/>
    <xf numFmtId="10" fontId="0" fillId="21" borderId="5" xfId="0" quotePrefix="1" applyNumberFormat="1" applyFont="1" applyFill="1" applyBorder="1" applyAlignment="1"/>
    <xf numFmtId="10" fontId="0" fillId="21" borderId="0" xfId="0" quotePrefix="1" applyNumberFormat="1" applyFont="1" applyFill="1" applyBorder="1" applyAlignment="1"/>
    <xf numFmtId="0" fontId="0" fillId="21" borderId="32" xfId="0" applyFont="1" applyFill="1" applyBorder="1" applyAlignment="1">
      <alignment horizontal="center"/>
    </xf>
    <xf numFmtId="167" fontId="0" fillId="4" borderId="0" xfId="0" quotePrefix="1" applyNumberFormat="1" applyFont="1" applyFill="1" applyBorder="1" applyAlignment="1"/>
    <xf numFmtId="164" fontId="0" fillId="4" borderId="0" xfId="0" applyNumberFormat="1" applyFont="1" applyFill="1" applyBorder="1" applyAlignment="1"/>
    <xf numFmtId="10" fontId="0" fillId="4" borderId="0" xfId="0" applyNumberFormat="1" applyFont="1" applyFill="1" applyBorder="1" applyAlignment="1"/>
    <xf numFmtId="168" fontId="0" fillId="4" borderId="0" xfId="0" applyNumberFormat="1" applyFont="1" applyFill="1" applyBorder="1" applyAlignment="1"/>
    <xf numFmtId="14" fontId="0" fillId="2" borderId="24" xfId="0" applyNumberFormat="1" applyFill="1" applyBorder="1" applyAlignment="1">
      <alignment horizontal="center"/>
    </xf>
    <xf numFmtId="14" fontId="0" fillId="2" borderId="25" xfId="0" applyNumberFormat="1" applyFill="1" applyBorder="1" applyAlignment="1">
      <alignment horizontal="center"/>
    </xf>
    <xf numFmtId="14" fontId="11" fillId="2" borderId="0" xfId="0" applyNumberFormat="1" applyFont="1" applyFill="1" applyAlignment="1"/>
    <xf numFmtId="9" fontId="2" fillId="22" borderId="75" xfId="0" applyNumberFormat="1" applyFont="1" applyFill="1" applyBorder="1" applyAlignment="1"/>
    <xf numFmtId="0" fontId="9" fillId="2" borderId="21" xfId="0" applyFont="1" applyFill="1" applyBorder="1" applyAlignment="1"/>
    <xf numFmtId="164" fontId="9" fillId="2" borderId="21" xfId="1" applyNumberFormat="1" applyFont="1" applyFill="1" applyBorder="1" applyAlignment="1"/>
    <xf numFmtId="15" fontId="9" fillId="2" borderId="21" xfId="0" applyNumberFormat="1" applyFont="1" applyFill="1" applyBorder="1" applyAlignment="1">
      <alignment horizontal="center"/>
    </xf>
    <xf numFmtId="10" fontId="15" fillId="2" borderId="21" xfId="0" quotePrefix="1" applyNumberFormat="1" applyFont="1" applyFill="1" applyBorder="1" applyAlignment="1">
      <alignment horizontal="center"/>
    </xf>
    <xf numFmtId="168" fontId="9" fillId="2" borderId="21" xfId="0" applyNumberFormat="1" applyFont="1" applyFill="1" applyBorder="1" applyAlignment="1">
      <alignment horizontal="center"/>
    </xf>
    <xf numFmtId="10" fontId="9" fillId="2" borderId="21" xfId="2" applyNumberFormat="1" applyFont="1" applyFill="1" applyBorder="1" applyAlignment="1">
      <alignment horizontal="center"/>
    </xf>
    <xf numFmtId="165" fontId="9" fillId="2" borderId="21" xfId="0" applyNumberFormat="1" applyFont="1" applyFill="1" applyBorder="1" applyAlignment="1">
      <alignment horizontal="center"/>
    </xf>
    <xf numFmtId="10" fontId="9" fillId="2" borderId="21" xfId="0" applyNumberFormat="1" applyFont="1" applyFill="1" applyBorder="1" applyAlignment="1">
      <alignment horizontal="center"/>
    </xf>
    <xf numFmtId="10" fontId="0" fillId="2" borderId="21" xfId="0" applyNumberFormat="1" applyFill="1" applyBorder="1" applyAlignment="1">
      <alignment horizontal="center"/>
    </xf>
    <xf numFmtId="164" fontId="8" fillId="2" borderId="21" xfId="1" applyNumberFormat="1" applyFont="1" applyFill="1" applyBorder="1" applyAlignment="1"/>
    <xf numFmtId="15" fontId="8" fillId="2" borderId="21" xfId="1" applyNumberFormat="1" applyFont="1" applyFill="1" applyBorder="1" applyAlignment="1"/>
    <xf numFmtId="15" fontId="0" fillId="2" borderId="21" xfId="0" quotePrefix="1" applyNumberFormat="1" applyFont="1" applyFill="1" applyBorder="1" applyAlignment="1"/>
    <xf numFmtId="165" fontId="0" fillId="2" borderId="21" xfId="0" quotePrefix="1" applyNumberFormat="1" applyFont="1" applyFill="1" applyBorder="1" applyAlignment="1">
      <alignment horizontal="center"/>
    </xf>
    <xf numFmtId="185" fontId="0" fillId="2" borderId="21" xfId="0" quotePrefix="1" applyNumberFormat="1" applyFont="1" applyFill="1" applyBorder="1" applyAlignment="1"/>
    <xf numFmtId="167" fontId="0" fillId="2" borderId="21" xfId="0" quotePrefix="1" applyNumberFormat="1" applyFont="1" applyFill="1" applyBorder="1" applyAlignment="1"/>
    <xf numFmtId="164" fontId="0" fillId="2" borderId="21" xfId="1" applyNumberFormat="1" applyFont="1" applyFill="1" applyBorder="1" applyAlignment="1"/>
    <xf numFmtId="38" fontId="0" fillId="2" borderId="21" xfId="1" applyNumberFormat="1" applyFont="1" applyFill="1" applyBorder="1" applyAlignment="1"/>
    <xf numFmtId="164" fontId="0" fillId="2" borderId="21" xfId="1" quotePrefix="1" applyNumberFormat="1" applyFont="1" applyFill="1" applyBorder="1" applyAlignment="1"/>
    <xf numFmtId="10" fontId="0" fillId="2" borderId="21" xfId="0" applyNumberFormat="1" applyFill="1" applyBorder="1" applyAlignment="1"/>
    <xf numFmtId="0" fontId="0" fillId="2" borderId="21" xfId="0" applyFill="1" applyBorder="1" applyAlignment="1">
      <alignment horizontal="center"/>
    </xf>
    <xf numFmtId="169" fontId="9" fillId="2" borderId="21" xfId="1" quotePrefix="1" applyNumberFormat="1" applyFont="1" applyFill="1" applyBorder="1" applyAlignment="1">
      <alignment horizontal="center"/>
    </xf>
    <xf numFmtId="164" fontId="9" fillId="2" borderId="21" xfId="1" applyNumberFormat="1" applyFont="1" applyFill="1" applyBorder="1" applyAlignment="1">
      <alignment horizontal="center"/>
    </xf>
    <xf numFmtId="167" fontId="0" fillId="2" borderId="21" xfId="0" quotePrefix="1" applyNumberFormat="1" applyFill="1" applyBorder="1" applyAlignment="1"/>
    <xf numFmtId="164" fontId="0" fillId="2" borderId="21" xfId="0" applyNumberFormat="1" applyFill="1" applyBorder="1" applyAlignment="1"/>
    <xf numFmtId="168" fontId="0" fillId="2" borderId="21" xfId="0" applyNumberFormat="1" applyFill="1" applyBorder="1" applyAlignment="1"/>
    <xf numFmtId="0" fontId="16" fillId="2" borderId="21" xfId="0" applyFont="1" applyFill="1" applyBorder="1" applyAlignment="1">
      <alignment horizontal="right"/>
    </xf>
    <xf numFmtId="15" fontId="16" fillId="2" borderId="21" xfId="0" applyNumberFormat="1" applyFont="1" applyFill="1" applyBorder="1"/>
    <xf numFmtId="178" fontId="0" fillId="2" borderId="0" xfId="0" applyNumberFormat="1" applyFill="1" applyAlignment="1">
      <alignment horizont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2" xfId="0" quotePrefix="1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175" fontId="0" fillId="2" borderId="23" xfId="1" applyNumberFormat="1" applyFont="1" applyFill="1" applyBorder="1" applyAlignment="1">
      <alignment horizontal="center"/>
    </xf>
    <xf numFmtId="0" fontId="0" fillId="2" borderId="5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right"/>
    </xf>
    <xf numFmtId="0" fontId="28" fillId="2" borderId="0" xfId="0" applyFont="1" applyFill="1"/>
    <xf numFmtId="0" fontId="31" fillId="2" borderId="0" xfId="4" applyFill="1"/>
    <xf numFmtId="40" fontId="19" fillId="2" borderId="23" xfId="1" applyNumberFormat="1" applyFont="1" applyFill="1" applyBorder="1" applyAlignment="1">
      <alignment horizontal="center"/>
    </xf>
    <xf numFmtId="9" fontId="0" fillId="2" borderId="23" xfId="0" applyNumberFormat="1" applyFill="1" applyBorder="1" applyAlignment="1">
      <alignment horizontal="center"/>
    </xf>
    <xf numFmtId="9" fontId="0" fillId="2" borderId="24" xfId="0" applyNumberFormat="1" applyFill="1" applyBorder="1" applyAlignment="1">
      <alignment horizontal="center"/>
    </xf>
    <xf numFmtId="9" fontId="0" fillId="2" borderId="0" xfId="0" quotePrefix="1" applyNumberForma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44" fontId="0" fillId="17" borderId="0" xfId="0" applyNumberFormat="1" applyFill="1"/>
    <xf numFmtId="165" fontId="0" fillId="17" borderId="0" xfId="2" applyNumberFormat="1" applyFont="1" applyFill="1"/>
    <xf numFmtId="164" fontId="0" fillId="2" borderId="0" xfId="1" quotePrefix="1" applyNumberFormat="1" applyFont="1" applyFill="1" applyBorder="1" applyAlignment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2" borderId="74" xfId="0" applyFont="1" applyFill="1" applyBorder="1" applyAlignment="1">
      <alignment horizontal="right"/>
    </xf>
    <xf numFmtId="0" fontId="3" fillId="2" borderId="88" xfId="0" applyFont="1" applyFill="1" applyBorder="1" applyAlignment="1"/>
    <xf numFmtId="0" fontId="0" fillId="2" borderId="89" xfId="0" applyFill="1" applyBorder="1" applyAlignment="1"/>
    <xf numFmtId="0" fontId="26" fillId="7" borderId="90" xfId="0" applyFont="1" applyFill="1" applyBorder="1" applyAlignment="1">
      <alignment horizontal="left"/>
    </xf>
    <xf numFmtId="0" fontId="2" fillId="2" borderId="91" xfId="0" applyFont="1" applyFill="1" applyBorder="1" applyAlignment="1"/>
    <xf numFmtId="9" fontId="0" fillId="2" borderId="66" xfId="0" applyNumberFormat="1" applyFill="1" applyBorder="1" applyAlignment="1"/>
    <xf numFmtId="0" fontId="0" fillId="2" borderId="91" xfId="0" applyFill="1" applyBorder="1" applyAlignment="1"/>
    <xf numFmtId="0" fontId="2" fillId="2" borderId="92" xfId="0" applyFont="1" applyFill="1" applyBorder="1" applyAlignment="1"/>
    <xf numFmtId="0" fontId="0" fillId="2" borderId="66" xfId="0" quotePrefix="1" applyFont="1" applyFill="1" applyBorder="1" applyAlignment="1">
      <alignment horizontal="center"/>
    </xf>
    <xf numFmtId="0" fontId="26" fillId="7" borderId="93" xfId="0" applyFont="1" applyFill="1" applyBorder="1" applyAlignment="1">
      <alignment horizontal="left"/>
    </xf>
    <xf numFmtId="0" fontId="2" fillId="2" borderId="92" xfId="0" applyFont="1" applyFill="1" applyBorder="1" applyAlignment="1">
      <alignment horizontal="center" vertical="center"/>
    </xf>
    <xf numFmtId="0" fontId="11" fillId="9" borderId="89" xfId="0" applyFont="1" applyFill="1" applyBorder="1" applyAlignment="1"/>
    <xf numFmtId="0" fontId="0" fillId="2" borderId="66" xfId="0" applyFont="1" applyFill="1" applyBorder="1" applyAlignment="1"/>
    <xf numFmtId="0" fontId="0" fillId="2" borderId="91" xfId="0" applyFont="1" applyFill="1" applyBorder="1" applyAlignment="1"/>
    <xf numFmtId="0" fontId="11" fillId="9" borderId="94" xfId="0" applyFont="1" applyFill="1" applyBorder="1" applyAlignment="1"/>
    <xf numFmtId="0" fontId="26" fillId="7" borderId="93" xfId="0" applyFont="1" applyFill="1" applyBorder="1" applyAlignment="1">
      <alignment horizontal="center"/>
    </xf>
    <xf numFmtId="0" fontId="0" fillId="2" borderId="66" xfId="0" applyFill="1" applyBorder="1" applyAlignment="1">
      <alignment horizontal="right"/>
    </xf>
    <xf numFmtId="0" fontId="0" fillId="2" borderId="66" xfId="0" applyFill="1" applyBorder="1" applyAlignment="1">
      <alignment horizontal="center"/>
    </xf>
    <xf numFmtId="0" fontId="0" fillId="2" borderId="91" xfId="0" applyFill="1" applyBorder="1" applyAlignment="1">
      <alignment horizontal="center"/>
    </xf>
    <xf numFmtId="9" fontId="0" fillId="17" borderId="0" xfId="0" applyNumberFormat="1" applyFill="1" applyBorder="1"/>
    <xf numFmtId="0" fontId="0" fillId="2" borderId="96" xfId="0" applyFill="1" applyBorder="1"/>
    <xf numFmtId="0" fontId="0" fillId="2" borderId="97" xfId="0" applyFill="1" applyBorder="1" applyAlignment="1"/>
    <xf numFmtId="0" fontId="0" fillId="2" borderId="96" xfId="0" applyFill="1" applyBorder="1" applyAlignment="1"/>
    <xf numFmtId="0" fontId="0" fillId="2" borderId="95" xfId="0" applyFill="1" applyBorder="1" applyAlignment="1"/>
    <xf numFmtId="0" fontId="0" fillId="2" borderId="98" xfId="0" applyFill="1" applyBorder="1" applyAlignment="1"/>
    <xf numFmtId="0" fontId="0" fillId="2" borderId="99" xfId="0" applyFill="1" applyBorder="1"/>
    <xf numFmtId="0" fontId="0" fillId="2" borderId="100" xfId="0" applyFill="1" applyBorder="1"/>
    <xf numFmtId="0" fontId="30" fillId="2" borderId="100" xfId="0" applyFont="1" applyFill="1" applyBorder="1" applyAlignment="1">
      <alignment vertical="center"/>
    </xf>
    <xf numFmtId="0" fontId="0" fillId="2" borderId="101" xfId="0" applyFill="1" applyBorder="1"/>
    <xf numFmtId="0" fontId="0" fillId="17" borderId="36" xfId="0" applyFill="1" applyBorder="1"/>
    <xf numFmtId="0" fontId="0" fillId="17" borderId="4" xfId="0" applyFill="1" applyBorder="1"/>
    <xf numFmtId="43" fontId="0" fillId="17" borderId="5" xfId="1" applyFont="1" applyFill="1" applyBorder="1" applyAlignment="1">
      <alignment horizontal="right"/>
    </xf>
    <xf numFmtId="43" fontId="0" fillId="17" borderId="0" xfId="0" applyNumberFormat="1" applyFill="1" applyBorder="1"/>
    <xf numFmtId="0" fontId="0" fillId="17" borderId="32" xfId="0" applyFill="1" applyBorder="1"/>
    <xf numFmtId="43" fontId="0" fillId="17" borderId="32" xfId="0" applyNumberFormat="1" applyFill="1" applyBorder="1"/>
    <xf numFmtId="43" fontId="0" fillId="17" borderId="6" xfId="1" applyFont="1" applyFill="1" applyBorder="1" applyAlignment="1">
      <alignment horizontal="right"/>
    </xf>
    <xf numFmtId="43" fontId="0" fillId="17" borderId="2" xfId="0" applyNumberFormat="1" applyFill="1" applyBorder="1"/>
    <xf numFmtId="0" fontId="0" fillId="17" borderId="2" xfId="0" applyFill="1" applyBorder="1"/>
    <xf numFmtId="43" fontId="0" fillId="17" borderId="7" xfId="0" applyNumberFormat="1" applyFill="1" applyBorder="1"/>
    <xf numFmtId="164" fontId="9" fillId="21" borderId="0" xfId="1" applyNumberFormat="1" applyFont="1" applyFill="1" applyBorder="1" applyAlignment="1">
      <alignment horizontal="center"/>
    </xf>
    <xf numFmtId="166" fontId="0" fillId="2" borderId="53" xfId="0" applyNumberFormat="1" applyFont="1" applyFill="1" applyBorder="1" applyAlignment="1"/>
    <xf numFmtId="166" fontId="0" fillId="2" borderId="2" xfId="0" applyNumberFormat="1" applyFont="1" applyFill="1" applyBorder="1" applyAlignment="1"/>
    <xf numFmtId="9" fontId="0" fillId="2" borderId="0" xfId="0" applyNumberFormat="1" applyFill="1" applyBorder="1" applyAlignment="1">
      <alignment horizontal="left"/>
    </xf>
    <xf numFmtId="0" fontId="0" fillId="2" borderId="102" xfId="0" applyFill="1" applyBorder="1"/>
    <xf numFmtId="0" fontId="0" fillId="2" borderId="76" xfId="0" applyFill="1" applyBorder="1"/>
    <xf numFmtId="0" fontId="0" fillId="2" borderId="103" xfId="0" applyFill="1" applyBorder="1"/>
    <xf numFmtId="0" fontId="0" fillId="2" borderId="68" xfId="0" applyFill="1" applyBorder="1"/>
    <xf numFmtId="0" fontId="16" fillId="2" borderId="1" xfId="0" applyFont="1" applyFill="1" applyBorder="1"/>
    <xf numFmtId="0" fontId="42" fillId="2" borderId="1" xfId="0" applyFont="1" applyFill="1" applyBorder="1"/>
    <xf numFmtId="0" fontId="2" fillId="8" borderId="36" xfId="0" applyFont="1" applyFill="1" applyBorder="1" applyAlignment="1"/>
    <xf numFmtId="0" fontId="2" fillId="8" borderId="2" xfId="0" applyFont="1" applyFill="1" applyBorder="1" applyAlignment="1"/>
    <xf numFmtId="9" fontId="0" fillId="2" borderId="5" xfId="0" applyNumberFormat="1" applyFill="1" applyBorder="1" applyAlignment="1">
      <alignment horizontal="center"/>
    </xf>
    <xf numFmtId="0" fontId="0" fillId="2" borderId="4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9" fontId="0" fillId="2" borderId="6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40" fontId="19" fillId="2" borderId="9" xfId="1" applyNumberFormat="1" applyFont="1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9" fontId="0" fillId="2" borderId="105" xfId="0" applyNumberFormat="1" applyFill="1" applyBorder="1" applyAlignment="1">
      <alignment horizontal="center"/>
    </xf>
    <xf numFmtId="164" fontId="0" fillId="2" borderId="6" xfId="1" applyNumberFormat="1" applyFont="1" applyFill="1" applyBorder="1" applyAlignment="1"/>
    <xf numFmtId="0" fontId="0" fillId="2" borderId="0" xfId="0" applyFill="1"/>
    <xf numFmtId="0" fontId="0" fillId="2" borderId="0" xfId="0" applyFill="1" applyAlignment="1">
      <alignment horizontal="center"/>
    </xf>
    <xf numFmtId="43" fontId="0" fillId="2" borderId="0" xfId="1" applyNumberFormat="1" applyFont="1" applyFill="1"/>
    <xf numFmtId="15" fontId="0" fillId="2" borderId="0" xfId="0" applyNumberFormat="1" applyFill="1" applyAlignment="1">
      <alignment horizontal="center"/>
    </xf>
    <xf numFmtId="3" fontId="23" fillId="2" borderId="0" xfId="1" applyNumberFormat="1" applyFont="1" applyFill="1" applyBorder="1" applyAlignment="1">
      <alignment horizontal="right"/>
    </xf>
    <xf numFmtId="3" fontId="9" fillId="2" borderId="0" xfId="1" applyNumberFormat="1" applyFont="1" applyFill="1" applyBorder="1" applyAlignment="1">
      <alignment horizontal="right"/>
    </xf>
    <xf numFmtId="3" fontId="23" fillId="2" borderId="0" xfId="0" applyNumberFormat="1" applyFont="1" applyFill="1"/>
    <xf numFmtId="10" fontId="43" fillId="2" borderId="21" xfId="0" quotePrefix="1" applyNumberFormat="1" applyFont="1" applyFill="1" applyBorder="1" applyAlignment="1">
      <alignment horizontal="center"/>
    </xf>
    <xf numFmtId="10" fontId="9" fillId="21" borderId="0" xfId="0" quotePrefix="1" applyNumberFormat="1" applyFont="1" applyFill="1" applyBorder="1" applyAlignment="1">
      <alignment horizontal="center"/>
    </xf>
    <xf numFmtId="0" fontId="9" fillId="2" borderId="53" xfId="0" applyFont="1" applyFill="1" applyBorder="1" applyAlignment="1"/>
    <xf numFmtId="10" fontId="9" fillId="22" borderId="0" xfId="0" quotePrefix="1" applyNumberFormat="1" applyFont="1" applyFill="1" applyBorder="1" applyAlignment="1">
      <alignment horizontal="center"/>
    </xf>
    <xf numFmtId="10" fontId="9" fillId="22" borderId="1" xfId="0" quotePrefix="1" applyNumberFormat="1" applyFont="1" applyFill="1" applyBorder="1" applyAlignment="1">
      <alignment horizontal="center"/>
    </xf>
    <xf numFmtId="10" fontId="9" fillId="21" borderId="1" xfId="0" quotePrefix="1" applyNumberFormat="1" applyFont="1" applyFill="1" applyBorder="1" applyAlignment="1">
      <alignment horizontal="center"/>
    </xf>
    <xf numFmtId="0" fontId="9" fillId="2" borderId="2" xfId="0" applyFont="1" applyFill="1" applyBorder="1" applyAlignment="1"/>
    <xf numFmtId="170" fontId="0" fillId="2" borderId="0" xfId="2" applyNumberFormat="1" applyFont="1" applyFill="1" applyAlignment="1"/>
    <xf numFmtId="167" fontId="2" fillId="21" borderId="0" xfId="0" quotePrefix="1" applyNumberFormat="1" applyFont="1" applyFill="1" applyBorder="1" applyAlignment="1"/>
    <xf numFmtId="0" fontId="0" fillId="2" borderId="0" xfId="0" applyFont="1" applyFill="1" applyAlignment="1">
      <alignment horizontal="right"/>
    </xf>
    <xf numFmtId="22" fontId="0" fillId="2" borderId="0" xfId="0" applyNumberFormat="1" applyFill="1"/>
    <xf numFmtId="0" fontId="0" fillId="17" borderId="3" xfId="0" applyFill="1" applyBorder="1"/>
    <xf numFmtId="0" fontId="0" fillId="22" borderId="3" xfId="0" applyFill="1" applyBorder="1" applyAlignment="1">
      <alignment horizontal="center"/>
    </xf>
    <xf numFmtId="0" fontId="0" fillId="22" borderId="36" xfId="0" applyFill="1" applyBorder="1"/>
    <xf numFmtId="0" fontId="0" fillId="22" borderId="4" xfId="0" applyFill="1" applyBorder="1"/>
    <xf numFmtId="0" fontId="0" fillId="17" borderId="5" xfId="0" applyFill="1" applyBorder="1"/>
    <xf numFmtId="0" fontId="0" fillId="22" borderId="5" xfId="0" applyFill="1" applyBorder="1" applyAlignment="1">
      <alignment horizontal="center"/>
    </xf>
    <xf numFmtId="0" fontId="0" fillId="22" borderId="0" xfId="0" applyFill="1" applyBorder="1"/>
    <xf numFmtId="0" fontId="0" fillId="22" borderId="32" xfId="0" applyFill="1" applyBorder="1"/>
    <xf numFmtId="0" fontId="0" fillId="22" borderId="5" xfId="0" applyFill="1" applyBorder="1"/>
    <xf numFmtId="0" fontId="0" fillId="22" borderId="6" xfId="0" applyFill="1" applyBorder="1"/>
    <xf numFmtId="0" fontId="0" fillId="22" borderId="2" xfId="0" applyFill="1" applyBorder="1"/>
    <xf numFmtId="0" fontId="0" fillId="22" borderId="7" xfId="0" applyFill="1" applyBorder="1"/>
    <xf numFmtId="0" fontId="0" fillId="17" borderId="6" xfId="0" applyFill="1" applyBorder="1"/>
    <xf numFmtId="0" fontId="0" fillId="17" borderId="7" xfId="0" applyFill="1" applyBorder="1"/>
    <xf numFmtId="0" fontId="0" fillId="2" borderId="7" xfId="0" applyFill="1" applyBorder="1"/>
    <xf numFmtId="38" fontId="0" fillId="21" borderId="13" xfId="1" quotePrefix="1" applyNumberFormat="1" applyFont="1" applyFill="1" applyBorder="1" applyAlignment="1"/>
    <xf numFmtId="38" fontId="0" fillId="2" borderId="0" xfId="1" applyNumberFormat="1" applyFont="1" applyFill="1" applyBorder="1" applyAlignment="1">
      <alignment horizontal="center"/>
    </xf>
    <xf numFmtId="170" fontId="15" fillId="21" borderId="0" xfId="0" quotePrefix="1" applyNumberFormat="1" applyFont="1" applyFill="1" applyBorder="1" applyAlignment="1">
      <alignment horizontal="center"/>
    </xf>
    <xf numFmtId="15" fontId="2" fillId="13" borderId="49" xfId="0" applyNumberFormat="1" applyFont="1" applyFill="1" applyBorder="1" applyAlignment="1">
      <alignment horizontal="center"/>
    </xf>
    <xf numFmtId="43" fontId="2" fillId="2" borderId="2" xfId="1" applyNumberFormat="1" applyFont="1" applyFill="1" applyBorder="1"/>
    <xf numFmtId="43" fontId="2" fillId="2" borderId="2" xfId="1" quotePrefix="1" applyFont="1" applyFill="1" applyBorder="1"/>
    <xf numFmtId="15" fontId="0" fillId="2" borderId="0" xfId="1" quotePrefix="1" applyNumberFormat="1" applyFont="1" applyFill="1"/>
    <xf numFmtId="0" fontId="2" fillId="31" borderId="23" xfId="0" applyFont="1" applyFill="1" applyBorder="1"/>
    <xf numFmtId="0" fontId="0" fillId="2" borderId="53" xfId="0" applyFill="1" applyBorder="1"/>
    <xf numFmtId="0" fontId="0" fillId="25" borderId="0" xfId="0" applyFill="1"/>
    <xf numFmtId="38" fontId="0" fillId="25" borderId="0" xfId="0" applyNumberFormat="1" applyFill="1"/>
    <xf numFmtId="164" fontId="0" fillId="17" borderId="0" xfId="1" applyNumberFormat="1" applyFont="1" applyFill="1"/>
    <xf numFmtId="9" fontId="8" fillId="2" borderId="0" xfId="0" applyNumberFormat="1" applyFont="1" applyFill="1"/>
    <xf numFmtId="0" fontId="0" fillId="17" borderId="24" xfId="0" applyFill="1" applyBorder="1"/>
    <xf numFmtId="0" fontId="0" fillId="17" borderId="25" xfId="0" applyFill="1" applyBorder="1"/>
    <xf numFmtId="0" fontId="0" fillId="17" borderId="26" xfId="0" applyFill="1" applyBorder="1"/>
    <xf numFmtId="43" fontId="28" fillId="2" borderId="0" xfId="1" applyFont="1" applyFill="1" applyAlignment="1">
      <alignment horizontal="center"/>
    </xf>
    <xf numFmtId="167" fontId="0" fillId="2" borderId="2" xfId="0" applyNumberFormat="1" applyFill="1" applyBorder="1" applyAlignment="1"/>
    <xf numFmtId="167" fontId="0" fillId="2" borderId="2" xfId="0" applyNumberForma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5" xfId="0" applyFill="1" applyBorder="1"/>
    <xf numFmtId="43" fontId="0" fillId="2" borderId="25" xfId="1" applyFont="1" applyFill="1" applyBorder="1"/>
    <xf numFmtId="164" fontId="0" fillId="2" borderId="2" xfId="0" applyNumberFormat="1" applyFill="1" applyBorder="1" applyAlignment="1"/>
    <xf numFmtId="0" fontId="8" fillId="2" borderId="71" xfId="0" applyFont="1" applyFill="1" applyBorder="1" applyAlignment="1">
      <alignment horizontal="center"/>
    </xf>
    <xf numFmtId="43" fontId="8" fillId="2" borderId="0" xfId="1" applyFont="1" applyFill="1" applyAlignment="1">
      <alignment horizontal="center"/>
    </xf>
    <xf numFmtId="10" fontId="8" fillId="2" borderId="0" xfId="0" applyNumberFormat="1" applyFont="1" applyFill="1" applyAlignment="1">
      <alignment horizontal="center"/>
    </xf>
    <xf numFmtId="170" fontId="0" fillId="2" borderId="0" xfId="0" applyNumberFormat="1" applyFill="1"/>
    <xf numFmtId="10" fontId="0" fillId="21" borderId="5" xfId="0" quotePrefix="1" applyNumberFormat="1" applyFill="1" applyBorder="1" applyAlignment="1"/>
    <xf numFmtId="169" fontId="9" fillId="21" borderId="5" xfId="1" quotePrefix="1" applyNumberFormat="1" applyFont="1" applyFill="1" applyBorder="1" applyAlignment="1">
      <alignment horizontal="center"/>
    </xf>
    <xf numFmtId="38" fontId="0" fillId="21" borderId="106" xfId="1" applyNumberFormat="1" applyFont="1" applyFill="1" applyBorder="1" applyAlignment="1"/>
    <xf numFmtId="38" fontId="0" fillId="21" borderId="107" xfId="1" applyNumberFormat="1" applyFont="1" applyFill="1" applyBorder="1" applyAlignment="1"/>
    <xf numFmtId="164" fontId="0" fillId="2" borderId="53" xfId="0" applyNumberFormat="1" applyFill="1" applyBorder="1" applyAlignment="1"/>
    <xf numFmtId="0" fontId="0" fillId="30" borderId="4" xfId="0" applyFill="1" applyBorder="1"/>
    <xf numFmtId="9" fontId="0" fillId="30" borderId="32" xfId="0" applyNumberFormat="1" applyFill="1" applyBorder="1" applyAlignment="1">
      <alignment horizontal="left"/>
    </xf>
    <xf numFmtId="181" fontId="0" fillId="21" borderId="0" xfId="0" quotePrefix="1" applyNumberFormat="1" applyFont="1" applyFill="1" applyBorder="1" applyAlignment="1">
      <alignment horizontal="center"/>
    </xf>
    <xf numFmtId="181" fontId="0" fillId="21" borderId="1" xfId="2" quotePrefix="1" applyNumberFormat="1" applyFont="1" applyFill="1" applyBorder="1" applyAlignment="1">
      <alignment horizontal="center"/>
    </xf>
    <xf numFmtId="181" fontId="0" fillId="22" borderId="36" xfId="0" quotePrefix="1" applyNumberFormat="1" applyFont="1" applyFill="1" applyBorder="1" applyAlignment="1">
      <alignment horizontal="center"/>
    </xf>
    <xf numFmtId="181" fontId="0" fillId="22" borderId="1" xfId="0" quotePrefix="1" applyNumberFormat="1" applyFont="1" applyFill="1" applyBorder="1" applyAlignment="1">
      <alignment horizontal="center"/>
    </xf>
    <xf numFmtId="181" fontId="0" fillId="21" borderId="1" xfId="0" quotePrefix="1" applyNumberFormat="1" applyFont="1" applyFill="1" applyBorder="1" applyAlignment="1">
      <alignment horizontal="center"/>
    </xf>
    <xf numFmtId="181" fontId="0" fillId="2" borderId="21" xfId="0" quotePrefix="1" applyNumberFormat="1" applyFont="1" applyFill="1" applyBorder="1" applyAlignment="1">
      <alignment horizontal="center"/>
    </xf>
    <xf numFmtId="181" fontId="0" fillId="2" borderId="0" xfId="0" applyNumberFormat="1" applyFill="1"/>
    <xf numFmtId="9" fontId="0" fillId="2" borderId="0" xfId="0" applyNumberFormat="1" applyFill="1" applyAlignment="1">
      <alignment horizontal="right"/>
    </xf>
    <xf numFmtId="44" fontId="0" fillId="2" borderId="0" xfId="0" quotePrefix="1" applyNumberFormat="1" applyFill="1"/>
    <xf numFmtId="10" fontId="0" fillId="10" borderId="53" xfId="0" applyNumberFormat="1" applyFill="1" applyBorder="1"/>
    <xf numFmtId="15" fontId="9" fillId="2" borderId="85" xfId="0" applyNumberFormat="1" applyFont="1" applyFill="1" applyBorder="1" applyAlignment="1">
      <alignment horizontal="center"/>
    </xf>
    <xf numFmtId="10" fontId="43" fillId="2" borderId="53" xfId="0" quotePrefix="1" applyNumberFormat="1" applyFont="1" applyFill="1" applyBorder="1" applyAlignment="1">
      <alignment horizontal="center"/>
    </xf>
    <xf numFmtId="10" fontId="15" fillId="2" borderId="53" xfId="0" quotePrefix="1" applyNumberFormat="1" applyFont="1" applyFill="1" applyBorder="1" applyAlignment="1">
      <alignment horizontal="center"/>
    </xf>
    <xf numFmtId="168" fontId="9" fillId="2" borderId="53" xfId="0" applyNumberFormat="1" applyFont="1" applyFill="1" applyBorder="1" applyAlignment="1">
      <alignment horizontal="center"/>
    </xf>
    <xf numFmtId="10" fontId="9" fillId="2" borderId="53" xfId="2" applyNumberFormat="1" applyFont="1" applyFill="1" applyBorder="1" applyAlignment="1">
      <alignment horizontal="center"/>
    </xf>
    <xf numFmtId="165" fontId="9" fillId="2" borderId="53" xfId="0" applyNumberFormat="1" applyFont="1" applyFill="1" applyBorder="1" applyAlignment="1">
      <alignment horizontal="center"/>
    </xf>
    <xf numFmtId="10" fontId="9" fillId="2" borderId="53" xfId="0" applyNumberFormat="1" applyFont="1" applyFill="1" applyBorder="1" applyAlignment="1">
      <alignment horizontal="center"/>
    </xf>
    <xf numFmtId="10" fontId="0" fillId="2" borderId="53" xfId="0" applyNumberFormat="1" applyFill="1" applyBorder="1" applyAlignment="1">
      <alignment horizontal="center"/>
    </xf>
    <xf numFmtId="164" fontId="8" fillId="2" borderId="53" xfId="1" applyNumberFormat="1" applyFont="1" applyFill="1" applyBorder="1" applyAlignment="1"/>
    <xf numFmtId="185" fontId="0" fillId="2" borderId="53" xfId="0" quotePrefix="1" applyNumberFormat="1" applyFont="1" applyFill="1" applyBorder="1" applyAlignment="1"/>
    <xf numFmtId="167" fontId="0" fillId="2" borderId="53" xfId="0" quotePrefix="1" applyNumberFormat="1" applyFont="1" applyFill="1" applyBorder="1" applyAlignment="1"/>
    <xf numFmtId="164" fontId="0" fillId="2" borderId="53" xfId="1" applyNumberFormat="1" applyFont="1" applyFill="1" applyBorder="1" applyAlignment="1"/>
    <xf numFmtId="38" fontId="0" fillId="2" borderId="53" xfId="1" applyNumberFormat="1" applyFont="1" applyFill="1" applyBorder="1" applyAlignment="1"/>
    <xf numFmtId="164" fontId="0" fillId="2" borderId="53" xfId="1" quotePrefix="1" applyNumberFormat="1" applyFont="1" applyFill="1" applyBorder="1" applyAlignment="1"/>
    <xf numFmtId="164" fontId="9" fillId="2" borderId="53" xfId="1" applyNumberFormat="1" applyFont="1" applyFill="1" applyBorder="1" applyAlignment="1">
      <alignment horizontal="center"/>
    </xf>
    <xf numFmtId="167" fontId="0" fillId="2" borderId="53" xfId="0" quotePrefix="1" applyNumberFormat="1" applyFill="1" applyBorder="1" applyAlignment="1"/>
    <xf numFmtId="168" fontId="0" fillId="2" borderId="53" xfId="0" applyNumberFormat="1" applyFill="1" applyBorder="1" applyAlignment="1"/>
    <xf numFmtId="44" fontId="0" fillId="2" borderId="0" xfId="0" applyNumberFormat="1" applyFill="1" applyAlignment="1">
      <alignment horizontal="right"/>
    </xf>
    <xf numFmtId="186" fontId="4" fillId="12" borderId="49" xfId="1" applyNumberFormat="1" applyFont="1" applyFill="1" applyBorder="1" applyAlignment="1">
      <alignment horizontal="center"/>
    </xf>
    <xf numFmtId="43" fontId="8" fillId="2" borderId="53" xfId="1" applyNumberFormat="1" applyFont="1" applyFill="1" applyBorder="1" applyAlignment="1"/>
    <xf numFmtId="43" fontId="0" fillId="2" borderId="53" xfId="0" quotePrefix="1" applyNumberFormat="1" applyFont="1" applyFill="1" applyBorder="1" applyAlignment="1"/>
    <xf numFmtId="43" fontId="0" fillId="2" borderId="53" xfId="0" quotePrefix="1" applyNumberFormat="1" applyFont="1" applyFill="1" applyBorder="1" applyAlignment="1">
      <alignment horizontal="center"/>
    </xf>
    <xf numFmtId="187" fontId="0" fillId="2" borderId="0" xfId="0" applyNumberFormat="1" applyFill="1"/>
    <xf numFmtId="0" fontId="0" fillId="21" borderId="31" xfId="0" applyFill="1" applyBorder="1" applyAlignment="1"/>
    <xf numFmtId="15" fontId="9" fillId="21" borderId="1" xfId="0" applyNumberFormat="1" applyFont="1" applyFill="1" applyBorder="1" applyAlignment="1">
      <alignment horizontal="center"/>
    </xf>
    <xf numFmtId="10" fontId="0" fillId="21" borderId="1" xfId="0" applyNumberFormat="1" applyFill="1" applyBorder="1" applyAlignment="1"/>
    <xf numFmtId="0" fontId="0" fillId="21" borderId="1" xfId="0" applyFill="1" applyBorder="1" applyAlignment="1">
      <alignment horizontal="center"/>
    </xf>
    <xf numFmtId="43" fontId="0" fillId="2" borderId="53" xfId="0" applyNumberFormat="1" applyFill="1" applyBorder="1" applyAlignment="1"/>
    <xf numFmtId="15" fontId="9" fillId="2" borderId="0" xfId="0" applyNumberFormat="1" applyFont="1" applyFill="1"/>
    <xf numFmtId="0" fontId="10" fillId="32" borderId="6" xfId="0" applyFont="1" applyFill="1" applyBorder="1" applyAlignment="1">
      <alignment horizontal="center"/>
    </xf>
    <xf numFmtId="0" fontId="10" fillId="32" borderId="7" xfId="0" applyFont="1" applyFill="1" applyBorder="1" applyAlignment="1">
      <alignment horizontal="center"/>
    </xf>
    <xf numFmtId="0" fontId="10" fillId="32" borderId="2" xfId="0" applyFont="1" applyFill="1" applyBorder="1" applyAlignment="1">
      <alignment horizontal="center"/>
    </xf>
    <xf numFmtId="0" fontId="9" fillId="21" borderId="0" xfId="0" applyFont="1" applyFill="1" applyBorder="1" applyAlignment="1">
      <alignment horizontal="left"/>
    </xf>
    <xf numFmtId="0" fontId="9" fillId="21" borderId="1" xfId="0" applyFont="1" applyFill="1" applyBorder="1" applyAlignment="1">
      <alignment horizontal="left"/>
    </xf>
    <xf numFmtId="188" fontId="0" fillId="2" borderId="0" xfId="1" applyNumberFormat="1" applyFont="1" applyFill="1" applyAlignment="1">
      <alignment horizontal="left"/>
    </xf>
    <xf numFmtId="189" fontId="0" fillId="2" borderId="0" xfId="1" applyNumberFormat="1" applyFont="1" applyFill="1" applyAlignment="1">
      <alignment horizontal="left"/>
    </xf>
    <xf numFmtId="0" fontId="44" fillId="2" borderId="0" xfId="0" applyFont="1" applyFill="1" applyBorder="1" applyAlignment="1">
      <alignment horizontal="center" vertical="center"/>
    </xf>
    <xf numFmtId="43" fontId="0" fillId="2" borderId="0" xfId="1" quotePrefix="1" applyNumberFormat="1" applyFont="1" applyFill="1"/>
    <xf numFmtId="180" fontId="21" fillId="2" borderId="5" xfId="2" quotePrefix="1" applyNumberFormat="1" applyFont="1" applyFill="1" applyBorder="1" applyAlignment="1">
      <alignment horizontal="right" vertical="center"/>
    </xf>
    <xf numFmtId="10" fontId="0" fillId="2" borderId="0" xfId="2" applyNumberFormat="1" applyFont="1" applyFill="1"/>
    <xf numFmtId="1" fontId="0" fillId="2" borderId="0" xfId="0" applyNumberFormat="1" applyFill="1"/>
    <xf numFmtId="164" fontId="0" fillId="2" borderId="0" xfId="1" quotePrefix="1" applyNumberFormat="1" applyFont="1" applyFill="1" applyBorder="1" applyAlignment="1">
      <alignment horizontal="center"/>
    </xf>
    <xf numFmtId="0" fontId="0" fillId="2" borderId="61" xfId="0" applyFill="1" applyBorder="1"/>
    <xf numFmtId="170" fontId="0" fillId="2" borderId="53" xfId="2" applyNumberFormat="1" applyFont="1" applyFill="1" applyBorder="1" applyAlignment="1">
      <alignment horizontal="center"/>
    </xf>
    <xf numFmtId="164" fontId="0" fillId="2" borderId="53" xfId="1" applyNumberFormat="1" applyFont="1" applyFill="1" applyBorder="1"/>
    <xf numFmtId="164" fontId="0" fillId="2" borderId="53" xfId="1" applyNumberFormat="1" applyFont="1" applyFill="1" applyBorder="1" applyAlignment="1">
      <alignment horizontal="center"/>
    </xf>
    <xf numFmtId="164" fontId="0" fillId="2" borderId="62" xfId="1" applyNumberFormat="1" applyFont="1" applyFill="1" applyBorder="1"/>
    <xf numFmtId="170" fontId="0" fillId="2" borderId="62" xfId="2" applyNumberFormat="1" applyFont="1" applyFill="1" applyBorder="1" applyAlignment="1">
      <alignment horizontal="center"/>
    </xf>
    <xf numFmtId="164" fontId="0" fillId="2" borderId="61" xfId="1" applyNumberFormat="1" applyFont="1" applyFill="1" applyBorder="1"/>
    <xf numFmtId="43" fontId="9" fillId="21" borderId="0" xfId="1" applyFont="1" applyFill="1" applyBorder="1" applyAlignment="1">
      <alignment horizontal="center"/>
    </xf>
    <xf numFmtId="171" fontId="0" fillId="2" borderId="0" xfId="1" applyNumberFormat="1" applyFont="1" applyFill="1"/>
    <xf numFmtId="171" fontId="0" fillId="2" borderId="2" xfId="1" applyNumberFormat="1" applyFont="1" applyFill="1" applyBorder="1"/>
    <xf numFmtId="0" fontId="10" fillId="24" borderId="6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2" xfId="0" applyFont="1" applyFill="1" applyBorder="1" applyAlignment="1">
      <alignment horizontal="center"/>
    </xf>
    <xf numFmtId="44" fontId="0" fillId="2" borderId="3" xfId="3" applyFont="1" applyFill="1" applyBorder="1"/>
    <xf numFmtId="191" fontId="0" fillId="2" borderId="3" xfId="0" applyNumberFormat="1" applyFill="1" applyBorder="1"/>
    <xf numFmtId="191" fontId="0" fillId="2" borderId="0" xfId="0" applyNumberFormat="1" applyFill="1"/>
    <xf numFmtId="191" fontId="0" fillId="2" borderId="5" xfId="0" applyNumberFormat="1" applyFill="1" applyBorder="1"/>
    <xf numFmtId="191" fontId="0" fillId="2" borderId="0" xfId="3" applyNumberFormat="1" applyFont="1" applyFill="1"/>
    <xf numFmtId="0" fontId="0" fillId="12" borderId="2" xfId="0" applyFill="1" applyBorder="1"/>
    <xf numFmtId="0" fontId="0" fillId="12" borderId="1" xfId="0" applyFill="1" applyBorder="1"/>
    <xf numFmtId="0" fontId="0" fillId="12" borderId="104" xfId="0" applyFill="1" applyBorder="1"/>
    <xf numFmtId="191" fontId="0" fillId="12" borderId="82" xfId="1" applyNumberFormat="1" applyFont="1" applyFill="1" applyBorder="1"/>
    <xf numFmtId="0" fontId="0" fillId="12" borderId="0" xfId="0" applyFill="1" applyBorder="1"/>
    <xf numFmtId="44" fontId="0" fillId="12" borderId="13" xfId="3" applyFont="1" applyFill="1" applyBorder="1"/>
    <xf numFmtId="191" fontId="0" fillId="12" borderId="81" xfId="0" applyNumberFormat="1" applyFill="1" applyBorder="1"/>
    <xf numFmtId="44" fontId="0" fillId="12" borderId="13" xfId="0" applyNumberFormat="1" applyFill="1" applyBorder="1"/>
    <xf numFmtId="191" fontId="0" fillId="12" borderId="82" xfId="0" applyNumberFormat="1" applyFill="1" applyBorder="1"/>
    <xf numFmtId="0" fontId="0" fillId="12" borderId="75" xfId="0" applyFill="1" applyBorder="1"/>
    <xf numFmtId="44" fontId="0" fillId="12" borderId="15" xfId="0" applyNumberFormat="1" applyFill="1" applyBorder="1"/>
    <xf numFmtId="190" fontId="0" fillId="2" borderId="2" xfId="0" applyNumberFormat="1" applyFill="1" applyBorder="1" applyAlignment="1">
      <alignment horizontal="center"/>
    </xf>
    <xf numFmtId="190" fontId="0" fillId="2" borderId="7" xfId="0" applyNumberFormat="1" applyFill="1" applyBorder="1"/>
    <xf numFmtId="43" fontId="0" fillId="2" borderId="0" xfId="1" applyFont="1" applyFill="1" applyBorder="1" applyAlignment="1">
      <alignment horizontal="right"/>
    </xf>
    <xf numFmtId="0" fontId="2" fillId="2" borderId="23" xfId="0" applyFont="1" applyFill="1" applyBorder="1" applyAlignment="1">
      <alignment horizontal="center"/>
    </xf>
    <xf numFmtId="191" fontId="0" fillId="2" borderId="0" xfId="0" quotePrefix="1" applyNumberFormat="1" applyFill="1"/>
    <xf numFmtId="191" fontId="0" fillId="2" borderId="2" xfId="3" applyNumberFormat="1" applyFont="1" applyFill="1" applyBorder="1"/>
    <xf numFmtId="191" fontId="0" fillId="2" borderId="1" xfId="0" applyNumberFormat="1" applyFill="1" applyBorder="1"/>
    <xf numFmtId="191" fontId="2" fillId="2" borderId="21" xfId="0" applyNumberFormat="1" applyFont="1" applyFill="1" applyBorder="1"/>
    <xf numFmtId="43" fontId="0" fillId="2" borderId="0" xfId="1" quotePrefix="1" applyFont="1" applyFill="1" applyBorder="1"/>
    <xf numFmtId="44" fontId="0" fillId="2" borderId="0" xfId="0" quotePrefix="1" applyNumberFormat="1" applyFill="1" applyAlignment="1"/>
    <xf numFmtId="0" fontId="2" fillId="12" borderId="14" xfId="0" applyFont="1" applyFill="1" applyBorder="1" applyAlignment="1">
      <alignment horizontal="right"/>
    </xf>
    <xf numFmtId="9" fontId="0" fillId="2" borderId="86" xfId="0" applyNumberFormat="1" applyFill="1" applyBorder="1"/>
    <xf numFmtId="44" fontId="0" fillId="2" borderId="86" xfId="3" applyNumberFormat="1" applyFont="1" applyFill="1" applyBorder="1"/>
    <xf numFmtId="15" fontId="0" fillId="2" borderId="86" xfId="0" applyNumberFormat="1" applyFill="1" applyBorder="1"/>
    <xf numFmtId="0" fontId="0" fillId="2" borderId="86" xfId="0" applyFill="1" applyBorder="1" applyAlignment="1">
      <alignment horizontal="center"/>
    </xf>
    <xf numFmtId="171" fontId="0" fillId="2" borderId="86" xfId="1" applyNumberFormat="1" applyFont="1" applyFill="1" applyBorder="1"/>
    <xf numFmtId="10" fontId="0" fillId="2" borderId="86" xfId="0" quotePrefix="1" applyNumberFormat="1" applyFill="1" applyBorder="1"/>
    <xf numFmtId="44" fontId="0" fillId="18" borderId="86" xfId="3" applyNumberFormat="1" applyFont="1" applyFill="1" applyBorder="1"/>
    <xf numFmtId="44" fontId="0" fillId="2" borderId="86" xfId="0" applyNumberFormat="1" applyFill="1" applyBorder="1"/>
    <xf numFmtId="44" fontId="0" fillId="2" borderId="113" xfId="0" applyNumberFormat="1" applyFill="1" applyBorder="1"/>
    <xf numFmtId="191" fontId="0" fillId="2" borderId="86" xfId="3" applyNumberFormat="1" applyFont="1" applyFill="1" applyBorder="1"/>
    <xf numFmtId="9" fontId="35" fillId="2" borderId="0" xfId="0" applyNumberFormat="1" applyFont="1" applyFill="1"/>
    <xf numFmtId="0" fontId="35" fillId="2" borderId="0" xfId="0" applyFont="1" applyFill="1"/>
    <xf numFmtId="43" fontId="2" fillId="18" borderId="24" xfId="1" applyFont="1" applyFill="1" applyBorder="1" applyAlignment="1">
      <alignment horizontal="center"/>
    </xf>
    <xf numFmtId="0" fontId="2" fillId="18" borderId="25" xfId="0" applyFont="1" applyFill="1" applyBorder="1" applyAlignment="1">
      <alignment horizontal="center"/>
    </xf>
    <xf numFmtId="0" fontId="2" fillId="18" borderId="25" xfId="0" applyFont="1" applyFill="1" applyBorder="1" applyAlignment="1">
      <alignment horizontal="right"/>
    </xf>
    <xf numFmtId="0" fontId="2" fillId="18" borderId="26" xfId="0" applyFont="1" applyFill="1" applyBorder="1" applyAlignment="1"/>
    <xf numFmtId="44" fontId="2" fillId="12" borderId="104" xfId="3" applyFont="1" applyFill="1" applyBorder="1"/>
    <xf numFmtId="191" fontId="2" fillId="12" borderId="2" xfId="1" applyNumberFormat="1" applyFont="1" applyFill="1" applyBorder="1"/>
    <xf numFmtId="44" fontId="2" fillId="12" borderId="0" xfId="3" applyFont="1" applyFill="1" applyBorder="1"/>
    <xf numFmtId="191" fontId="2" fillId="12" borderId="1" xfId="0" applyNumberFormat="1" applyFont="1" applyFill="1" applyBorder="1"/>
    <xf numFmtId="44" fontId="2" fillId="12" borderId="0" xfId="0" applyNumberFormat="1" applyFont="1" applyFill="1" applyBorder="1"/>
    <xf numFmtId="191" fontId="2" fillId="12" borderId="2" xfId="0" applyNumberFormat="1" applyFont="1" applyFill="1" applyBorder="1"/>
    <xf numFmtId="44" fontId="2" fillId="12" borderId="75" xfId="0" applyNumberFormat="1" applyFont="1" applyFill="1" applyBorder="1"/>
    <xf numFmtId="15" fontId="0" fillId="22" borderId="0" xfId="0" quotePrefix="1" applyNumberFormat="1" applyFont="1" applyFill="1" applyBorder="1" applyAlignment="1"/>
    <xf numFmtId="165" fontId="0" fillId="22" borderId="0" xfId="0" quotePrefix="1" applyNumberFormat="1" applyFont="1" applyFill="1" applyBorder="1" applyAlignment="1">
      <alignment horizontal="center"/>
    </xf>
    <xf numFmtId="181" fontId="0" fillId="22" borderId="0" xfId="0" quotePrefix="1" applyNumberFormat="1" applyFont="1" applyFill="1" applyBorder="1" applyAlignment="1">
      <alignment horizontal="center"/>
    </xf>
    <xf numFmtId="164" fontId="8" fillId="22" borderId="5" xfId="1" applyNumberFormat="1" applyFont="1" applyFill="1" applyBorder="1" applyAlignment="1"/>
    <xf numFmtId="15" fontId="8" fillId="22" borderId="5" xfId="1" applyNumberFormat="1" applyFont="1" applyFill="1" applyBorder="1" applyAlignment="1"/>
    <xf numFmtId="10" fontId="0" fillId="22" borderId="5" xfId="0" applyNumberFormat="1" applyFill="1" applyBorder="1" applyAlignment="1"/>
    <xf numFmtId="169" fontId="9" fillId="22" borderId="5" xfId="1" quotePrefix="1" applyNumberFormat="1" applyFont="1" applyFill="1" applyBorder="1" applyAlignment="1">
      <alignment horizontal="center"/>
    </xf>
    <xf numFmtId="44" fontId="0" fillId="2" borderId="4" xfId="0" quotePrefix="1" applyNumberFormat="1" applyFill="1" applyBorder="1"/>
    <xf numFmtId="9" fontId="0" fillId="2" borderId="36" xfId="0" applyNumberFormat="1" applyFill="1" applyBorder="1" applyAlignment="1">
      <alignment horizontal="center"/>
    </xf>
    <xf numFmtId="166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left"/>
    </xf>
    <xf numFmtId="15" fontId="0" fillId="2" borderId="36" xfId="0" applyNumberFormat="1" applyFill="1" applyBorder="1" applyAlignment="1">
      <alignment horizontal="center"/>
    </xf>
    <xf numFmtId="164" fontId="0" fillId="2" borderId="36" xfId="1" applyNumberFormat="1" applyFont="1" applyFill="1" applyBorder="1" applyAlignment="1">
      <alignment horizontal="center"/>
    </xf>
    <xf numFmtId="10" fontId="0" fillId="2" borderId="36" xfId="0" applyNumberFormat="1" applyFill="1" applyBorder="1" applyAlignment="1">
      <alignment horizontal="center"/>
    </xf>
    <xf numFmtId="40" fontId="0" fillId="2" borderId="36" xfId="0" applyNumberFormat="1" applyFill="1" applyBorder="1" applyAlignment="1">
      <alignment horizontal="center"/>
    </xf>
    <xf numFmtId="38" fontId="0" fillId="2" borderId="36" xfId="1" applyNumberFormat="1" applyFont="1" applyFill="1" applyBorder="1" applyAlignment="1">
      <alignment horizontal="center"/>
    </xf>
    <xf numFmtId="165" fontId="0" fillId="2" borderId="36" xfId="0" quotePrefix="1" applyNumberFormat="1" applyFill="1" applyBorder="1" applyAlignment="1">
      <alignment horizontal="center"/>
    </xf>
    <xf numFmtId="43" fontId="0" fillId="2" borderId="36" xfId="1" quotePrefix="1" applyFont="1" applyFill="1" applyBorder="1" applyAlignment="1">
      <alignment horizontal="center"/>
    </xf>
    <xf numFmtId="43" fontId="0" fillId="2" borderId="36" xfId="1" quotePrefix="1" applyNumberFormat="1" applyFont="1" applyFill="1" applyBorder="1" applyAlignment="1">
      <alignment horizontal="center"/>
    </xf>
    <xf numFmtId="164" fontId="0" fillId="2" borderId="3" xfId="1" quotePrefix="1" applyNumberFormat="1" applyFont="1" applyFill="1" applyBorder="1" applyAlignment="1">
      <alignment horizontal="center"/>
    </xf>
    <xf numFmtId="10" fontId="0" fillId="2" borderId="3" xfId="0" applyNumberFormat="1" applyFill="1" applyBorder="1" applyAlignment="1">
      <alignment horizontal="center"/>
    </xf>
    <xf numFmtId="165" fontId="0" fillId="2" borderId="36" xfId="0" applyNumberFormat="1" applyFill="1" applyBorder="1" applyAlignment="1">
      <alignment horizontal="center"/>
    </xf>
    <xf numFmtId="9" fontId="0" fillId="2" borderId="4" xfId="0" quotePrefix="1" applyNumberFormat="1" applyFill="1" applyBorder="1" applyAlignment="1">
      <alignment horizontal="center"/>
    </xf>
    <xf numFmtId="0" fontId="0" fillId="2" borderId="3" xfId="0" quotePrefix="1" applyFont="1" applyFill="1" applyBorder="1" applyAlignment="1">
      <alignment horizontal="center"/>
    </xf>
    <xf numFmtId="43" fontId="0" fillId="2" borderId="4" xfId="1" quotePrefix="1" applyFont="1" applyFill="1" applyBorder="1" applyAlignment="1">
      <alignment horizontal="center"/>
    </xf>
    <xf numFmtId="0" fontId="0" fillId="2" borderId="6" xfId="0" quotePrefix="1" applyFont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left"/>
    </xf>
    <xf numFmtId="164" fontId="0" fillId="2" borderId="2" xfId="1" applyNumberFormat="1" applyFont="1" applyFill="1" applyBorder="1" applyAlignment="1">
      <alignment horizontal="center"/>
    </xf>
    <xf numFmtId="40" fontId="0" fillId="2" borderId="2" xfId="0" applyNumberFormat="1" applyFill="1" applyBorder="1" applyAlignment="1">
      <alignment horizontal="center"/>
    </xf>
    <xf numFmtId="38" fontId="0" fillId="2" borderId="2" xfId="1" applyNumberFormat="1" applyFont="1" applyFill="1" applyBorder="1" applyAlignment="1">
      <alignment horizontal="center"/>
    </xf>
    <xf numFmtId="165" fontId="0" fillId="2" borderId="2" xfId="0" quotePrefix="1" applyNumberFormat="1" applyFill="1" applyBorder="1" applyAlignment="1">
      <alignment horizontal="center"/>
    </xf>
    <xf numFmtId="43" fontId="0" fillId="2" borderId="2" xfId="1" quotePrefix="1" applyFont="1" applyFill="1" applyBorder="1" applyAlignment="1">
      <alignment horizontal="center"/>
    </xf>
    <xf numFmtId="43" fontId="0" fillId="2" borderId="2" xfId="1" quotePrefix="1" applyNumberFormat="1" applyFont="1" applyFill="1" applyBorder="1" applyAlignment="1">
      <alignment horizontal="center"/>
    </xf>
    <xf numFmtId="43" fontId="0" fillId="2" borderId="7" xfId="1" quotePrefix="1" applyFont="1" applyFill="1" applyBorder="1" applyAlignment="1">
      <alignment horizontal="center"/>
    </xf>
    <xf numFmtId="43" fontId="0" fillId="2" borderId="4" xfId="1" quotePrefix="1" applyNumberFormat="1" applyFont="1" applyFill="1" applyBorder="1" applyAlignment="1">
      <alignment horizontal="center"/>
    </xf>
    <xf numFmtId="164" fontId="0" fillId="2" borderId="6" xfId="1" quotePrefix="1" applyNumberFormat="1" applyFont="1" applyFill="1" applyBorder="1" applyAlignment="1">
      <alignment horizontal="center"/>
    </xf>
    <xf numFmtId="43" fontId="0" fillId="2" borderId="7" xfId="1" quotePrefix="1" applyNumberFormat="1" applyFont="1" applyFill="1" applyBorder="1" applyAlignment="1">
      <alignment horizontal="center"/>
    </xf>
    <xf numFmtId="10" fontId="0" fillId="2" borderId="6" xfId="0" applyNumberFormat="1" applyFill="1" applyBorder="1" applyAlignment="1">
      <alignment horizontal="center"/>
    </xf>
    <xf numFmtId="9" fontId="0" fillId="2" borderId="7" xfId="0" quotePrefix="1" applyNumberFormat="1" applyFill="1" applyBorder="1" applyAlignment="1">
      <alignment horizontal="center"/>
    </xf>
    <xf numFmtId="43" fontId="0" fillId="2" borderId="0" xfId="1" quotePrefix="1" applyFont="1" applyFill="1" applyBorder="1" applyAlignment="1">
      <alignment horizontal="center"/>
    </xf>
    <xf numFmtId="191" fontId="0" fillId="18" borderId="0" xfId="3" applyNumberFormat="1" applyFont="1" applyFill="1"/>
    <xf numFmtId="15" fontId="2" fillId="12" borderId="113" xfId="0" applyNumberFormat="1" applyFont="1" applyFill="1" applyBorder="1"/>
    <xf numFmtId="44" fontId="0" fillId="2" borderId="86" xfId="3" applyFont="1" applyFill="1" applyBorder="1"/>
    <xf numFmtId="44" fontId="0" fillId="2" borderId="114" xfId="0" applyNumberFormat="1" applyFill="1" applyBorder="1"/>
    <xf numFmtId="43" fontId="0" fillId="2" borderId="0" xfId="1" applyNumberFormat="1" applyFont="1" applyFill="1" applyAlignment="1"/>
    <xf numFmtId="0" fontId="0" fillId="21" borderId="5" xfId="0" quotePrefix="1" applyFont="1" applyFill="1" applyBorder="1" applyAlignment="1"/>
    <xf numFmtId="15" fontId="0" fillId="30" borderId="32" xfId="0" applyNumberFormat="1" applyFill="1" applyBorder="1"/>
    <xf numFmtId="15" fontId="0" fillId="2" borderId="32" xfId="0" applyNumberFormat="1" applyFont="1" applyFill="1" applyBorder="1"/>
    <xf numFmtId="43" fontId="8" fillId="2" borderId="2" xfId="0" applyNumberFormat="1" applyFont="1" applyFill="1" applyBorder="1" applyAlignment="1"/>
    <xf numFmtId="191" fontId="0" fillId="2" borderId="113" xfId="0" applyNumberFormat="1" applyFill="1" applyBorder="1"/>
    <xf numFmtId="164" fontId="0" fillId="2" borderId="0" xfId="0" applyNumberFormat="1" applyFill="1" applyAlignment="1">
      <alignment horizontal="center"/>
    </xf>
    <xf numFmtId="0" fontId="18" fillId="2" borderId="2" xfId="0" applyFont="1" applyFill="1" applyBorder="1" applyAlignment="1">
      <alignment horizontal="left"/>
    </xf>
    <xf numFmtId="43" fontId="0" fillId="2" borderId="2" xfId="1" applyFont="1" applyFill="1" applyBorder="1" applyAlignment="1"/>
    <xf numFmtId="10" fontId="0" fillId="2" borderId="0" xfId="2" quotePrefix="1" applyNumberFormat="1" applyFont="1" applyFill="1" applyBorder="1" applyAlignment="1">
      <alignment horizontal="center"/>
    </xf>
    <xf numFmtId="9" fontId="0" fillId="2" borderId="0" xfId="2" quotePrefix="1" applyNumberFormat="1" applyFont="1" applyFill="1" applyBorder="1" applyAlignment="1">
      <alignment horizontal="center"/>
    </xf>
    <xf numFmtId="0" fontId="0" fillId="2" borderId="67" xfId="0" applyFill="1" applyBorder="1" applyAlignment="1"/>
    <xf numFmtId="9" fontId="0" fillId="2" borderId="64" xfId="0" applyNumberFormat="1" applyFill="1" applyBorder="1" applyAlignment="1"/>
    <xf numFmtId="15" fontId="0" fillId="2" borderId="64" xfId="0" applyNumberFormat="1" applyFill="1" applyBorder="1" applyAlignment="1"/>
    <xf numFmtId="165" fontId="0" fillId="2" borderId="69" xfId="0" applyNumberFormat="1" applyFill="1" applyBorder="1" applyAlignment="1"/>
    <xf numFmtId="15" fontId="0" fillId="2" borderId="5" xfId="0" applyNumberFormat="1" applyFill="1" applyBorder="1" applyAlignment="1">
      <alignment horizontal="center"/>
    </xf>
    <xf numFmtId="169" fontId="0" fillId="2" borderId="0" xfId="1" applyNumberFormat="1" applyFont="1" applyFill="1" applyAlignment="1"/>
    <xf numFmtId="169" fontId="0" fillId="2" borderId="64" xfId="1" applyNumberFormat="1" applyFont="1" applyFill="1" applyBorder="1" applyAlignment="1"/>
    <xf numFmtId="169" fontId="0" fillId="2" borderId="2" xfId="1" applyNumberFormat="1" applyFont="1" applyFill="1" applyBorder="1" applyAlignment="1"/>
    <xf numFmtId="38" fontId="0" fillId="2" borderId="0" xfId="1" applyNumberFormat="1" applyFont="1" applyFill="1" applyAlignment="1"/>
    <xf numFmtId="38" fontId="0" fillId="2" borderId="64" xfId="1" applyNumberFormat="1" applyFont="1" applyFill="1" applyBorder="1" applyAlignment="1"/>
    <xf numFmtId="38" fontId="0" fillId="2" borderId="2" xfId="1" applyNumberFormat="1" applyFont="1" applyFill="1" applyBorder="1" applyAlignment="1"/>
    <xf numFmtId="15" fontId="0" fillId="2" borderId="69" xfId="0" applyNumberFormat="1" applyFill="1" applyBorder="1" applyAlignment="1">
      <alignment horizontal="center"/>
    </xf>
    <xf numFmtId="15" fontId="0" fillId="2" borderId="6" xfId="0" applyNumberFormat="1" applyFill="1" applyBorder="1" applyAlignment="1">
      <alignment horizontal="center"/>
    </xf>
    <xf numFmtId="43" fontId="2" fillId="2" borderId="64" xfId="1" applyFont="1" applyFill="1" applyBorder="1" applyAlignment="1"/>
    <xf numFmtId="0" fontId="0" fillId="2" borderId="89" xfId="0" quotePrefix="1" applyFont="1" applyFill="1" applyBorder="1" applyAlignment="1">
      <alignment horizontal="center"/>
    </xf>
    <xf numFmtId="9" fontId="0" fillId="2" borderId="2" xfId="0" applyNumberFormat="1" applyFill="1" applyBorder="1" applyAlignment="1">
      <alignment horizontal="left"/>
    </xf>
    <xf numFmtId="38" fontId="0" fillId="2" borderId="2" xfId="0" applyNumberFormat="1" applyFill="1" applyBorder="1" applyAlignment="1">
      <alignment horizontal="center"/>
    </xf>
    <xf numFmtId="164" fontId="0" fillId="2" borderId="2" xfId="1" quotePrefix="1" applyNumberFormat="1" applyFont="1" applyFill="1" applyBorder="1" applyAlignment="1">
      <alignment horizontal="center"/>
    </xf>
    <xf numFmtId="10" fontId="0" fillId="2" borderId="6" xfId="2" quotePrefix="1" applyNumberFormat="1" applyFont="1" applyFill="1" applyBorder="1" applyAlignment="1">
      <alignment horizontal="center"/>
    </xf>
    <xf numFmtId="9" fontId="0" fillId="2" borderId="7" xfId="2" quotePrefix="1" applyNumberFormat="1" applyFont="1" applyFill="1" applyBorder="1" applyAlignment="1">
      <alignment horizontal="center"/>
    </xf>
    <xf numFmtId="0" fontId="0" fillId="2" borderId="115" xfId="0" applyFill="1" applyBorder="1" applyAlignment="1"/>
    <xf numFmtId="43" fontId="8" fillId="2" borderId="115" xfId="1" applyFont="1" applyFill="1" applyBorder="1" applyAlignment="1">
      <alignment horizontal="center"/>
    </xf>
    <xf numFmtId="10" fontId="8" fillId="2" borderId="115" xfId="0" applyNumberFormat="1" applyFont="1" applyFill="1" applyBorder="1" applyAlignment="1">
      <alignment horizontal="center"/>
    </xf>
    <xf numFmtId="3" fontId="0" fillId="2" borderId="115" xfId="0" applyNumberFormat="1" applyFill="1" applyBorder="1" applyAlignment="1">
      <alignment horizontal="center"/>
    </xf>
    <xf numFmtId="183" fontId="0" fillId="2" borderId="115" xfId="0" applyNumberFormat="1" applyFill="1" applyBorder="1" applyAlignment="1">
      <alignment horizontal="center"/>
    </xf>
    <xf numFmtId="43" fontId="0" fillId="17" borderId="0" xfId="1" applyFont="1" applyFill="1"/>
    <xf numFmtId="40" fontId="2" fillId="2" borderId="1" xfId="1" quotePrefix="1" applyNumberFormat="1" applyFont="1" applyFill="1" applyBorder="1" applyAlignment="1"/>
    <xf numFmtId="43" fontId="2" fillId="2" borderId="0" xfId="1" quotePrefix="1" applyFont="1" applyFill="1" applyBorder="1" applyAlignment="1"/>
    <xf numFmtId="2" fontId="0" fillId="2" borderId="5" xfId="0" applyNumberForma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5" fontId="23" fillId="2" borderId="0" xfId="1" applyNumberFormat="1" applyFont="1" applyFill="1" applyBorder="1" applyAlignment="1">
      <alignment horizontal="right"/>
    </xf>
    <xf numFmtId="191" fontId="0" fillId="18" borderId="86" xfId="3" applyNumberFormat="1" applyFont="1" applyFill="1" applyBorder="1"/>
    <xf numFmtId="191" fontId="0" fillId="2" borderId="86" xfId="3" quotePrefix="1" applyNumberFormat="1" applyFont="1" applyFill="1" applyBorder="1"/>
    <xf numFmtId="191" fontId="0" fillId="2" borderId="2" xfId="0" applyNumberFormat="1" applyFill="1" applyBorder="1"/>
    <xf numFmtId="192" fontId="0" fillId="2" borderId="53" xfId="2" applyNumberFormat="1" applyFont="1" applyFill="1" applyBorder="1" applyAlignment="1"/>
    <xf numFmtId="0" fontId="0" fillId="2" borderId="5" xfId="0" quotePrefix="1" applyFont="1" applyFill="1" applyBorder="1" applyAlignment="1">
      <alignment horizontal="center"/>
    </xf>
    <xf numFmtId="165" fontId="0" fillId="2" borderId="0" xfId="0" quotePrefix="1" applyNumberFormat="1" applyFill="1" applyBorder="1" applyAlignment="1">
      <alignment horizontal="center"/>
    </xf>
    <xf numFmtId="43" fontId="0" fillId="2" borderId="0" xfId="1" quotePrefix="1" applyNumberFormat="1" applyFont="1" applyFill="1" applyBorder="1" applyAlignment="1">
      <alignment horizontal="center"/>
    </xf>
    <xf numFmtId="43" fontId="0" fillId="2" borderId="32" xfId="1" quotePrefix="1" applyFont="1" applyFill="1" applyBorder="1" applyAlignment="1">
      <alignment horizontal="center"/>
    </xf>
    <xf numFmtId="164" fontId="0" fillId="2" borderId="5" xfId="1" quotePrefix="1" applyNumberFormat="1" applyFont="1" applyFill="1" applyBorder="1" applyAlignment="1">
      <alignment horizontal="center"/>
    </xf>
    <xf numFmtId="43" fontId="0" fillId="2" borderId="32" xfId="1" quotePrefix="1" applyNumberFormat="1" applyFon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9" fontId="0" fillId="2" borderId="32" xfId="0" quotePrefix="1" applyNumberFormat="1" applyFill="1" applyBorder="1" applyAlignment="1">
      <alignment horizontal="center"/>
    </xf>
    <xf numFmtId="43" fontId="0" fillId="2" borderId="2" xfId="0" applyNumberFormat="1" applyFill="1" applyBorder="1" applyAlignment="1"/>
    <xf numFmtId="171" fontId="8" fillId="2" borderId="0" xfId="1" applyNumberFormat="1" applyFont="1" applyFill="1" applyAlignment="1">
      <alignment horizontal="center"/>
    </xf>
    <xf numFmtId="4" fontId="8" fillId="2" borderId="0" xfId="1" applyNumberFormat="1" applyFont="1" applyFill="1" applyAlignment="1">
      <alignment horizontal="right"/>
    </xf>
    <xf numFmtId="164" fontId="0" fillId="2" borderId="0" xfId="0" applyNumberFormat="1" applyFill="1" applyBorder="1"/>
    <xf numFmtId="43" fontId="0" fillId="2" borderId="5" xfId="1" applyFont="1" applyFill="1" applyBorder="1"/>
    <xf numFmtId="43" fontId="0" fillId="2" borderId="0" xfId="1" applyFont="1" applyFill="1" applyAlignment="1"/>
    <xf numFmtId="15" fontId="0" fillId="2" borderId="0" xfId="1" applyNumberFormat="1" applyFont="1" applyFill="1"/>
    <xf numFmtId="182" fontId="0" fillId="2" borderId="53" xfId="1" applyNumberFormat="1" applyFont="1" applyFill="1" applyBorder="1" applyAlignment="1"/>
    <xf numFmtId="193" fontId="0" fillId="2" borderId="0" xfId="0" applyNumberFormat="1" applyFill="1"/>
    <xf numFmtId="44" fontId="0" fillId="2" borderId="0" xfId="3" applyFont="1" applyFill="1"/>
    <xf numFmtId="0" fontId="0" fillId="2" borderId="0" xfId="0" applyFill="1" applyAlignment="1">
      <alignment horizontal="right" vertical="center"/>
    </xf>
    <xf numFmtId="0" fontId="0" fillId="4" borderId="0" xfId="0" applyFill="1"/>
    <xf numFmtId="0" fontId="0" fillId="30" borderId="0" xfId="0" applyFill="1"/>
    <xf numFmtId="15" fontId="0" fillId="30" borderId="0" xfId="0" applyNumberFormat="1" applyFill="1"/>
    <xf numFmtId="10" fontId="0" fillId="30" borderId="0" xfId="0" applyNumberFormat="1" applyFill="1"/>
    <xf numFmtId="0" fontId="0" fillId="30" borderId="0" xfId="0" applyFill="1" applyAlignment="1">
      <alignment horizontal="center"/>
    </xf>
    <xf numFmtId="9" fontId="0" fillId="30" borderId="0" xfId="0" applyNumberFormat="1" applyFill="1" applyAlignment="1">
      <alignment horizontal="left"/>
    </xf>
    <xf numFmtId="15" fontId="18" fillId="2" borderId="0" xfId="0" applyNumberFormat="1" applyFont="1" applyFill="1"/>
    <xf numFmtId="15" fontId="16" fillId="2" borderId="0" xfId="0" applyNumberFormat="1" applyFont="1" applyFill="1"/>
    <xf numFmtId="165" fontId="0" fillId="2" borderId="0" xfId="0" applyNumberFormat="1" applyFill="1" applyAlignment="1"/>
    <xf numFmtId="15" fontId="2" fillId="2" borderId="32" xfId="0" applyNumberFormat="1" applyFont="1" applyFill="1" applyBorder="1"/>
    <xf numFmtId="15" fontId="2" fillId="34" borderId="32" xfId="0" applyNumberFormat="1" applyFont="1" applyFill="1" applyBorder="1"/>
    <xf numFmtId="43" fontId="0" fillId="2" borderId="2" xfId="1" applyFont="1" applyFill="1" applyBorder="1" applyAlignment="1">
      <alignment horizontal="center"/>
    </xf>
    <xf numFmtId="0" fontId="40" fillId="0" borderId="0" xfId="0" applyFont="1" applyAlignment="1">
      <alignment horizontal="left" vertical="center" indent="1"/>
    </xf>
    <xf numFmtId="164" fontId="0" fillId="2" borderId="1" xfId="0" applyNumberFormat="1" applyFill="1" applyBorder="1"/>
    <xf numFmtId="194" fontId="0" fillId="2" borderId="36" xfId="3" applyNumberFormat="1" applyFont="1" applyFill="1" applyBorder="1" applyAlignment="1">
      <alignment horizontal="center"/>
    </xf>
    <xf numFmtId="4" fontId="0" fillId="2" borderId="1" xfId="0" applyNumberFormat="1" applyFill="1" applyBorder="1"/>
    <xf numFmtId="191" fontId="0" fillId="2" borderId="0" xfId="3" applyNumberFormat="1" applyFont="1" applyFill="1" applyBorder="1"/>
    <xf numFmtId="15" fontId="9" fillId="2" borderId="0" xfId="1" applyNumberFormat="1" applyFont="1" applyFill="1" applyBorder="1" applyAlignment="1">
      <alignment horizontal="center"/>
    </xf>
    <xf numFmtId="13" fontId="0" fillId="17" borderId="36" xfId="0" applyNumberFormat="1" applyFill="1" applyBorder="1" applyAlignment="1">
      <alignment horizontal="right"/>
    </xf>
    <xf numFmtId="44" fontId="0" fillId="2" borderId="32" xfId="0" quotePrefix="1" applyNumberFormat="1" applyFill="1" applyBorder="1"/>
    <xf numFmtId="0" fontId="2" fillId="2" borderId="25" xfId="0" applyFont="1" applyFill="1" applyBorder="1"/>
    <xf numFmtId="44" fontId="2" fillId="2" borderId="25" xfId="3" applyFont="1" applyFill="1" applyBorder="1"/>
    <xf numFmtId="0" fontId="2" fillId="2" borderId="21" xfId="0" quotePrefix="1" applyFont="1" applyFill="1" applyBorder="1"/>
    <xf numFmtId="0" fontId="37" fillId="2" borderId="0" xfId="0" applyFont="1" applyFill="1"/>
    <xf numFmtId="172" fontId="2" fillId="35" borderId="0" xfId="3" applyNumberFormat="1" applyFont="1" applyFill="1"/>
    <xf numFmtId="172" fontId="2" fillId="2" borderId="0" xfId="3" applyNumberFormat="1" applyFont="1" applyFill="1"/>
    <xf numFmtId="172" fontId="0" fillId="2" borderId="0" xfId="3" applyNumberFormat="1" applyFont="1" applyFill="1"/>
    <xf numFmtId="193" fontId="2" fillId="35" borderId="0" xfId="0" applyNumberFormat="1" applyFont="1" applyFill="1"/>
    <xf numFmtId="193" fontId="0" fillId="2" borderId="0" xfId="1" applyNumberFormat="1" applyFont="1" applyFill="1"/>
    <xf numFmtId="193" fontId="2" fillId="35" borderId="0" xfId="1" applyNumberFormat="1" applyFont="1" applyFill="1"/>
    <xf numFmtId="44" fontId="0" fillId="2" borderId="6" xfId="0" applyNumberFormat="1" applyFont="1" applyFill="1" applyBorder="1"/>
    <xf numFmtId="44" fontId="0" fillId="2" borderId="6" xfId="0" applyNumberFormat="1" applyFill="1" applyBorder="1"/>
    <xf numFmtId="191" fontId="0" fillId="2" borderId="6" xfId="0" applyNumberFormat="1" applyFill="1" applyBorder="1"/>
    <xf numFmtId="0" fontId="0" fillId="2" borderId="9" xfId="0" applyFill="1" applyBorder="1"/>
    <xf numFmtId="44" fontId="0" fillId="2" borderId="0" xfId="3" quotePrefix="1" applyFont="1" applyFill="1"/>
    <xf numFmtId="16" fontId="0" fillId="30" borderId="0" xfId="0" applyNumberFormat="1" applyFill="1"/>
    <xf numFmtId="43" fontId="0" fillId="4" borderId="0" xfId="1" applyFont="1" applyFill="1"/>
    <xf numFmtId="193" fontId="0" fillId="2" borderId="0" xfId="3" applyNumberFormat="1" applyFont="1" applyFill="1"/>
    <xf numFmtId="164" fontId="0" fillId="2" borderId="0" xfId="1" applyNumberFormat="1" applyFont="1" applyFill="1" applyBorder="1" applyAlignment="1">
      <alignment horizontal="center" vertical="center" wrapText="1"/>
    </xf>
    <xf numFmtId="44" fontId="0" fillId="2" borderId="2" xfId="3" applyFont="1" applyFill="1" applyBorder="1"/>
    <xf numFmtId="1" fontId="0" fillId="4" borderId="0" xfId="0" quotePrefix="1" applyNumberFormat="1" applyFill="1"/>
    <xf numFmtId="1" fontId="0" fillId="4" borderId="0" xfId="0" applyNumberFormat="1" applyFill="1"/>
    <xf numFmtId="164" fontId="0" fillId="4" borderId="0" xfId="1" applyNumberFormat="1" applyFont="1" applyFill="1"/>
    <xf numFmtId="164" fontId="1" fillId="4" borderId="0" xfId="1" applyNumberFormat="1" applyFont="1" applyFill="1"/>
    <xf numFmtId="169" fontId="15" fillId="4" borderId="0" xfId="1" quotePrefix="1" applyNumberFormat="1" applyFont="1" applyFill="1" applyAlignment="1">
      <alignment horizontal="center"/>
    </xf>
    <xf numFmtId="15" fontId="9" fillId="4" borderId="0" xfId="0" applyNumberFormat="1" applyFont="1" applyFill="1"/>
    <xf numFmtId="43" fontId="0" fillId="2" borderId="0" xfId="1" applyFont="1" applyFill="1" applyBorder="1"/>
    <xf numFmtId="0" fontId="2" fillId="2" borderId="0" xfId="0" applyNumberFormat="1" applyFont="1" applyFill="1"/>
    <xf numFmtId="166" fontId="0" fillId="2" borderId="0" xfId="0" applyNumberFormat="1" applyFill="1" applyBorder="1"/>
    <xf numFmtId="191" fontId="0" fillId="10" borderId="5" xfId="0" applyNumberFormat="1" applyFill="1" applyBorder="1"/>
    <xf numFmtId="0" fontId="0" fillId="10" borderId="5" xfId="0" applyFill="1" applyBorder="1"/>
    <xf numFmtId="195" fontId="0" fillId="2" borderId="7" xfId="1" applyNumberFormat="1" applyFont="1" applyFill="1" applyBorder="1"/>
    <xf numFmtId="38" fontId="0" fillId="2" borderId="0" xfId="0" applyNumberFormat="1" applyFill="1" applyAlignment="1">
      <alignment horizontal="center"/>
    </xf>
    <xf numFmtId="0" fontId="37" fillId="2" borderId="2" xfId="0" applyFont="1" applyFill="1" applyBorder="1"/>
    <xf numFmtId="0" fontId="37" fillId="2" borderId="36" xfId="0" applyFont="1" applyFill="1" applyBorder="1"/>
    <xf numFmtId="43" fontId="2" fillId="2" borderId="0" xfId="1" applyFont="1" applyFill="1" applyAlignment="1">
      <alignment horizontal="right"/>
    </xf>
    <xf numFmtId="191" fontId="0" fillId="2" borderId="7" xfId="0" applyNumberFormat="1" applyFill="1" applyBorder="1"/>
    <xf numFmtId="7" fontId="0" fillId="12" borderId="11" xfId="3" applyNumberFormat="1" applyFont="1" applyFill="1" applyBorder="1"/>
    <xf numFmtId="16" fontId="0" fillId="2" borderId="0" xfId="0" applyNumberFormat="1" applyFill="1"/>
    <xf numFmtId="1" fontId="0" fillId="4" borderId="0" xfId="0" quotePrefix="1" applyNumberFormat="1" applyFill="1" applyBorder="1"/>
    <xf numFmtId="164" fontId="0" fillId="4" borderId="0" xfId="1" applyNumberFormat="1" applyFont="1" applyFill="1" applyBorder="1"/>
    <xf numFmtId="169" fontId="15" fillId="4" borderId="0" xfId="1" quotePrefix="1" applyNumberFormat="1" applyFont="1" applyFill="1" applyBorder="1" applyAlignment="1">
      <alignment horizontal="center"/>
    </xf>
    <xf numFmtId="15" fontId="9" fillId="4" borderId="0" xfId="0" applyNumberFormat="1" applyFont="1" applyFill="1" applyBorder="1"/>
    <xf numFmtId="15" fontId="9" fillId="2" borderId="0" xfId="0" applyNumberFormat="1" applyFont="1" applyFill="1" applyBorder="1"/>
    <xf numFmtId="165" fontId="15" fillId="2" borderId="0" xfId="0" quotePrefix="1" applyNumberFormat="1" applyFont="1" applyFill="1" applyBorder="1" applyAlignment="1">
      <alignment horizontal="center"/>
    </xf>
    <xf numFmtId="169" fontId="15" fillId="2" borderId="0" xfId="1" quotePrefix="1" applyNumberFormat="1" applyFont="1" applyFill="1" applyBorder="1" applyAlignment="1">
      <alignment horizontal="center"/>
    </xf>
    <xf numFmtId="43" fontId="0" fillId="0" borderId="0" xfId="0" applyNumberFormat="1"/>
    <xf numFmtId="44" fontId="0" fillId="14" borderId="5" xfId="0" applyNumberFormat="1" applyFont="1" applyFill="1" applyBorder="1"/>
    <xf numFmtId="44" fontId="0" fillId="14" borderId="0" xfId="0" applyNumberFormat="1" applyFill="1"/>
    <xf numFmtId="44" fontId="0" fillId="14" borderId="5" xfId="0" applyNumberFormat="1" applyFill="1" applyBorder="1"/>
    <xf numFmtId="191" fontId="0" fillId="14" borderId="5" xfId="0" applyNumberFormat="1" applyFill="1" applyBorder="1"/>
    <xf numFmtId="191" fontId="0" fillId="14" borderId="0" xfId="0" applyNumberFormat="1" applyFill="1"/>
    <xf numFmtId="0" fontId="0" fillId="14" borderId="5" xfId="0" applyFill="1" applyBorder="1"/>
    <xf numFmtId="43" fontId="0" fillId="2" borderId="0" xfId="1" applyFont="1" applyFill="1" applyBorder="1" applyAlignment="1">
      <alignment horizontal="center"/>
    </xf>
    <xf numFmtId="44" fontId="0" fillId="36" borderId="32" xfId="0" applyNumberFormat="1" applyFill="1" applyBorder="1"/>
    <xf numFmtId="44" fontId="0" fillId="36" borderId="7" xfId="0" applyNumberFormat="1" applyFill="1" applyBorder="1"/>
    <xf numFmtId="0" fontId="0" fillId="37" borderId="8" xfId="0" applyNumberFormat="1" applyFill="1" applyBorder="1"/>
    <xf numFmtId="0" fontId="0" fillId="37" borderId="72" xfId="0" applyNumberFormat="1" applyFill="1" applyBorder="1" applyAlignment="1">
      <alignment horizontal="left"/>
    </xf>
    <xf numFmtId="0" fontId="0" fillId="37" borderId="9" xfId="0" applyNumberFormat="1" applyFill="1" applyBorder="1" applyAlignment="1">
      <alignment horizontal="left"/>
    </xf>
    <xf numFmtId="14" fontId="0" fillId="30" borderId="0" xfId="0" applyNumberFormat="1" applyFill="1"/>
    <xf numFmtId="15" fontId="0" fillId="2" borderId="23" xfId="0" applyNumberFormat="1" applyFill="1" applyBorder="1"/>
    <xf numFmtId="0" fontId="2" fillId="2" borderId="23" xfId="0" applyFont="1" applyFill="1" applyBorder="1"/>
    <xf numFmtId="180" fontId="0" fillId="2" borderId="0" xfId="2" applyNumberFormat="1" applyFont="1" applyFill="1" applyBorder="1"/>
    <xf numFmtId="15" fontId="0" fillId="2" borderId="0" xfId="0" applyNumberFormat="1" applyFill="1" applyAlignment="1">
      <alignment horizontal="right"/>
    </xf>
    <xf numFmtId="172" fontId="2" fillId="2" borderId="0" xfId="0" applyNumberFormat="1" applyFont="1" applyFill="1"/>
    <xf numFmtId="193" fontId="2" fillId="2" borderId="0" xfId="3" applyNumberFormat="1" applyFont="1" applyFill="1"/>
    <xf numFmtId="193" fontId="2" fillId="35" borderId="0" xfId="3" applyNumberFormat="1" applyFont="1" applyFill="1"/>
    <xf numFmtId="1" fontId="0" fillId="4" borderId="2" xfId="0" applyNumberFormat="1" applyFill="1" applyBorder="1"/>
    <xf numFmtId="0" fontId="9" fillId="2" borderId="2" xfId="0" applyFont="1" applyFill="1" applyBorder="1"/>
    <xf numFmtId="164" fontId="1" fillId="4" borderId="2" xfId="1" applyNumberFormat="1" applyFont="1" applyFill="1" applyBorder="1"/>
    <xf numFmtId="169" fontId="15" fillId="4" borderId="2" xfId="1" quotePrefix="1" applyNumberFormat="1" applyFont="1" applyFill="1" applyBorder="1" applyAlignment="1">
      <alignment horizontal="center"/>
    </xf>
    <xf numFmtId="15" fontId="9" fillId="4" borderId="2" xfId="0" applyNumberFormat="1" applyFont="1" applyFill="1" applyBorder="1"/>
    <xf numFmtId="15" fontId="9" fillId="2" borderId="2" xfId="0" applyNumberFormat="1" applyFont="1" applyFill="1" applyBorder="1"/>
    <xf numFmtId="165" fontId="15" fillId="2" borderId="2" xfId="0" quotePrefix="1" applyNumberFormat="1" applyFont="1" applyFill="1" applyBorder="1" applyAlignment="1">
      <alignment horizontal="center"/>
    </xf>
    <xf numFmtId="43" fontId="0" fillId="2" borderId="2" xfId="0" applyNumberFormat="1" applyFill="1" applyBorder="1"/>
    <xf numFmtId="0" fontId="0" fillId="2" borderId="1" xfId="0" applyFill="1" applyBorder="1" applyAlignment="1">
      <alignment horizontal="center"/>
    </xf>
    <xf numFmtId="177" fontId="0" fillId="2" borderId="1" xfId="0" applyNumberForma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right"/>
    </xf>
    <xf numFmtId="47" fontId="0" fillId="30" borderId="0" xfId="0" applyNumberFormat="1" applyFill="1"/>
    <xf numFmtId="43" fontId="0" fillId="2" borderId="0" xfId="1" applyFont="1" applyFill="1" applyAlignment="1">
      <alignment horizontal="center"/>
    </xf>
    <xf numFmtId="169" fontId="15" fillId="0" borderId="2" xfId="1" quotePrefix="1" applyNumberFormat="1" applyFont="1" applyFill="1" applyBorder="1" applyAlignment="1">
      <alignment horizontal="center"/>
    </xf>
    <xf numFmtId="15" fontId="2" fillId="2" borderId="0" xfId="0" applyNumberFormat="1" applyFont="1" applyFill="1"/>
    <xf numFmtId="44" fontId="2" fillId="2" borderId="5" xfId="0" applyNumberFormat="1" applyFont="1" applyFill="1" applyBorder="1"/>
    <xf numFmtId="44" fontId="2" fillId="2" borderId="0" xfId="0" applyNumberFormat="1" applyFont="1" applyFill="1"/>
    <xf numFmtId="191" fontId="2" fillId="2" borderId="5" xfId="0" applyNumberFormat="1" applyFont="1" applyFill="1" applyBorder="1"/>
    <xf numFmtId="191" fontId="2" fillId="2" borderId="0" xfId="0" applyNumberFormat="1" applyFont="1" applyFill="1"/>
    <xf numFmtId="0" fontId="2" fillId="2" borderId="5" xfId="0" applyFont="1" applyFill="1" applyBorder="1"/>
    <xf numFmtId="15" fontId="1" fillId="2" borderId="0" xfId="1" applyNumberFormat="1" applyFont="1" applyFill="1" applyBorder="1"/>
    <xf numFmtId="43" fontId="2" fillId="2" borderId="0" xfId="1" applyFont="1" applyFill="1"/>
    <xf numFmtId="44" fontId="0" fillId="2" borderId="4" xfId="0" applyNumberFormat="1" applyFont="1" applyFill="1" applyBorder="1"/>
    <xf numFmtId="44" fontId="2" fillId="2" borderId="2" xfId="0" applyNumberFormat="1" applyFont="1" applyFill="1" applyBorder="1" applyAlignment="1">
      <alignment horizontal="right"/>
    </xf>
    <xf numFmtId="191" fontId="0" fillId="36" borderId="32" xfId="0" applyNumberFormat="1" applyFill="1" applyBorder="1"/>
    <xf numFmtId="0" fontId="0" fillId="2" borderId="8" xfId="0" applyFill="1" applyBorder="1"/>
    <xf numFmtId="0" fontId="0" fillId="2" borderId="72" xfId="0" applyFill="1" applyBorder="1"/>
    <xf numFmtId="190" fontId="0" fillId="0" borderId="0" xfId="3" applyNumberFormat="1" applyFont="1"/>
    <xf numFmtId="44" fontId="28" fillId="2" borderId="0" xfId="3" applyNumberFormat="1" applyFont="1" applyFill="1"/>
    <xf numFmtId="43" fontId="1" fillId="2" borderId="0" xfId="1" applyFont="1" applyFill="1" applyBorder="1" applyAlignment="1">
      <alignment horizontal="center"/>
    </xf>
    <xf numFmtId="43" fontId="1" fillId="2" borderId="0" xfId="1" applyFont="1" applyFill="1" applyBorder="1"/>
    <xf numFmtId="0" fontId="35" fillId="2" borderId="36" xfId="0" applyFont="1" applyFill="1" applyBorder="1"/>
    <xf numFmtId="15" fontId="0" fillId="2" borderId="36" xfId="0" applyNumberFormat="1" applyFill="1" applyBorder="1"/>
    <xf numFmtId="164" fontId="0" fillId="2" borderId="36" xfId="1" applyNumberFormat="1" applyFont="1" applyFill="1" applyBorder="1" applyAlignment="1">
      <alignment horizontal="right"/>
    </xf>
    <xf numFmtId="164" fontId="0" fillId="2" borderId="36" xfId="1" quotePrefix="1" applyNumberFormat="1" applyFont="1" applyFill="1" applyBorder="1"/>
    <xf numFmtId="166" fontId="0" fillId="2" borderId="36" xfId="0" applyNumberFormat="1" applyFill="1" applyBorder="1"/>
    <xf numFmtId="43" fontId="0" fillId="2" borderId="36" xfId="1" applyFont="1" applyFill="1" applyBorder="1"/>
    <xf numFmtId="43" fontId="1" fillId="2" borderId="36" xfId="1" applyFont="1" applyFill="1" applyBorder="1"/>
    <xf numFmtId="15" fontId="1" fillId="2" borderId="36" xfId="1" applyNumberFormat="1" applyFont="1" applyFill="1" applyBorder="1"/>
    <xf numFmtId="43" fontId="0" fillId="2" borderId="36" xfId="1" quotePrefix="1" applyFont="1" applyFill="1" applyBorder="1"/>
    <xf numFmtId="44" fontId="0" fillId="2" borderId="0" xfId="0" applyNumberFormat="1" applyFont="1" applyFill="1"/>
    <xf numFmtId="44" fontId="1" fillId="2" borderId="0" xfId="3" quotePrefix="1" applyNumberFormat="1" applyFont="1" applyFill="1"/>
    <xf numFmtId="191" fontId="1" fillId="2" borderId="0" xfId="3" applyNumberFormat="1" applyFont="1" applyFill="1" applyBorder="1"/>
    <xf numFmtId="191" fontId="1" fillId="2" borderId="86" xfId="3" quotePrefix="1" applyNumberFormat="1" applyFont="1" applyFill="1" applyBorder="1"/>
    <xf numFmtId="191" fontId="0" fillId="2" borderId="0" xfId="0" applyNumberFormat="1" applyFont="1" applyFill="1"/>
    <xf numFmtId="44" fontId="0" fillId="2" borderId="86" xfId="0" applyNumberFormat="1" applyFont="1" applyFill="1" applyBorder="1"/>
    <xf numFmtId="44" fontId="0" fillId="2" borderId="2" xfId="0" applyNumberFormat="1" applyFont="1" applyFill="1" applyBorder="1"/>
    <xf numFmtId="7" fontId="0" fillId="2" borderId="0" xfId="0" applyNumberFormat="1" applyFill="1"/>
    <xf numFmtId="15" fontId="1" fillId="10" borderId="0" xfId="1" applyNumberFormat="1" applyFont="1" applyFill="1" applyBorder="1"/>
    <xf numFmtId="15" fontId="0" fillId="10" borderId="0" xfId="0" applyNumberFormat="1" applyFill="1" applyBorder="1"/>
    <xf numFmtId="44" fontId="0" fillId="36" borderId="4" xfId="3" applyFont="1" applyFill="1" applyBorder="1"/>
    <xf numFmtId="0" fontId="0" fillId="0" borderId="25" xfId="0" applyBorder="1"/>
    <xf numFmtId="0" fontId="0" fillId="10" borderId="0" xfId="0" applyFill="1"/>
    <xf numFmtId="172" fontId="2" fillId="2" borderId="0" xfId="0" applyNumberFormat="1" applyFont="1" applyFill="1" applyBorder="1"/>
    <xf numFmtId="0" fontId="0" fillId="2" borderId="117" xfId="0" applyFill="1" applyBorder="1"/>
    <xf numFmtId="44" fontId="0" fillId="2" borderId="117" xfId="0" applyNumberFormat="1" applyFill="1" applyBorder="1"/>
    <xf numFmtId="172" fontId="0" fillId="36" borderId="32" xfId="3" applyNumberFormat="1" applyFont="1" applyFill="1" applyBorder="1"/>
    <xf numFmtId="0" fontId="0" fillId="37" borderId="8" xfId="0" applyNumberFormat="1" applyFill="1" applyBorder="1" applyAlignment="1">
      <alignment horizontal="left"/>
    </xf>
    <xf numFmtId="0" fontId="10" fillId="6" borderId="61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62" xfId="0" applyBorder="1" applyAlignment="1">
      <alignment horizontal="center"/>
    </xf>
    <xf numFmtId="4" fontId="2" fillId="12" borderId="10" xfId="0" applyNumberFormat="1" applyFont="1" applyFill="1" applyBorder="1" applyAlignment="1">
      <alignment horizontal="right" vertical="center"/>
    </xf>
    <xf numFmtId="4" fontId="2" fillId="12" borderId="51" xfId="0" applyNumberFormat="1" applyFont="1" applyFill="1" applyBorder="1" applyAlignment="1">
      <alignment horizontal="right" vertical="center"/>
    </xf>
    <xf numFmtId="0" fontId="2" fillId="12" borderId="110" xfId="0" applyFont="1" applyFill="1" applyBorder="1" applyAlignment="1">
      <alignment horizontal="right" vertical="center"/>
    </xf>
    <xf numFmtId="0" fontId="2" fillId="0" borderId="111" xfId="0" applyFont="1" applyBorder="1" applyAlignment="1">
      <alignment horizontal="right" vertical="center"/>
    </xf>
    <xf numFmtId="0" fontId="2" fillId="12" borderId="112" xfId="0" applyFont="1" applyFill="1" applyBorder="1" applyAlignment="1">
      <alignment horizontal="right" vertical="center"/>
    </xf>
    <xf numFmtId="0" fontId="2" fillId="0" borderId="51" xfId="0" applyFont="1" applyBorder="1" applyAlignment="1">
      <alignment horizontal="right" vertical="center"/>
    </xf>
    <xf numFmtId="0" fontId="10" fillId="5" borderId="24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0" fillId="5" borderId="53" xfId="0" applyFont="1" applyFill="1" applyBorder="1" applyAlignment="1">
      <alignment horizontal="center"/>
    </xf>
    <xf numFmtId="0" fontId="0" fillId="0" borderId="53" xfId="0" applyBorder="1" applyAlignment="1"/>
    <xf numFmtId="0" fontId="0" fillId="0" borderId="62" xfId="0" applyBorder="1" applyAlignment="1"/>
    <xf numFmtId="0" fontId="10" fillId="11" borderId="61" xfId="0" applyFont="1" applyFill="1" applyBorder="1" applyAlignment="1">
      <alignment horizontal="center"/>
    </xf>
    <xf numFmtId="0" fontId="17" fillId="5" borderId="24" xfId="0" applyFont="1" applyFill="1" applyBorder="1" applyAlignment="1">
      <alignment horizontal="center"/>
    </xf>
    <xf numFmtId="0" fontId="0" fillId="0" borderId="25" xfId="0" applyBorder="1" applyAlignment="1"/>
    <xf numFmtId="0" fontId="0" fillId="0" borderId="26" xfId="0" applyBorder="1" applyAlignment="1"/>
    <xf numFmtId="0" fontId="10" fillId="6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27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26" borderId="24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10" fillId="29" borderId="22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10" fillId="5" borderId="27" xfId="0" applyFont="1" applyFill="1" applyBorder="1" applyAlignment="1">
      <alignment horizontal="center" vertical="center"/>
    </xf>
    <xf numFmtId="0" fontId="0" fillId="0" borderId="21" xfId="0" applyBorder="1" applyAlignment="1"/>
    <xf numFmtId="0" fontId="0" fillId="0" borderId="28" xfId="0" applyBorder="1" applyAlignment="1"/>
    <xf numFmtId="0" fontId="10" fillId="6" borderId="27" xfId="0" applyFont="1" applyFill="1" applyBorder="1" applyAlignment="1">
      <alignment horizontal="center" vertical="center"/>
    </xf>
    <xf numFmtId="0" fontId="11" fillId="9" borderId="2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0" fillId="24" borderId="22" xfId="0" applyFont="1" applyFill="1" applyBorder="1" applyAlignment="1">
      <alignment horizontal="center" vertical="center"/>
    </xf>
    <xf numFmtId="0" fontId="47" fillId="7" borderId="55" xfId="0" applyFont="1" applyFill="1" applyBorder="1" applyAlignment="1">
      <alignment horizontal="center"/>
    </xf>
    <xf numFmtId="0" fontId="47" fillId="0" borderId="16" xfId="0" applyFont="1" applyBorder="1" applyAlignment="1">
      <alignment horizontal="center"/>
    </xf>
    <xf numFmtId="0" fontId="47" fillId="0" borderId="116" xfId="0" applyFont="1" applyBorder="1" applyAlignment="1">
      <alignment horizontal="center"/>
    </xf>
    <xf numFmtId="0" fontId="10" fillId="32" borderId="5" xfId="0" applyFont="1" applyFill="1" applyBorder="1" applyAlignment="1">
      <alignment horizontal="center"/>
    </xf>
    <xf numFmtId="0" fontId="10" fillId="32" borderId="0" xfId="0" applyFont="1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Alignment="1"/>
    <xf numFmtId="0" fontId="10" fillId="13" borderId="5" xfId="0" applyFont="1" applyFill="1" applyBorder="1" applyAlignment="1">
      <alignment horizontal="center"/>
    </xf>
    <xf numFmtId="0" fontId="0" fillId="0" borderId="0" xfId="0" applyBorder="1" applyAlignment="1"/>
    <xf numFmtId="0" fontId="0" fillId="0" borderId="32" xfId="0" applyBorder="1" applyAlignment="1"/>
    <xf numFmtId="0" fontId="10" fillId="24" borderId="29" xfId="0" applyFont="1" applyFill="1" applyBorder="1" applyAlignment="1">
      <alignment horizontal="center"/>
    </xf>
    <xf numFmtId="0" fontId="10" fillId="24" borderId="108" xfId="0" applyFont="1" applyFill="1" applyBorder="1" applyAlignment="1">
      <alignment horizontal="center"/>
    </xf>
    <xf numFmtId="0" fontId="10" fillId="24" borderId="109" xfId="0" applyFont="1" applyFill="1" applyBorder="1" applyAlignment="1">
      <alignment horizontal="center"/>
    </xf>
    <xf numFmtId="0" fontId="10" fillId="33" borderId="5" xfId="0" applyFont="1" applyFill="1" applyBorder="1" applyAlignment="1">
      <alignment horizontal="center"/>
    </xf>
    <xf numFmtId="0" fontId="0" fillId="33" borderId="0" xfId="0" applyFill="1" applyBorder="1" applyAlignment="1"/>
    <xf numFmtId="0" fontId="0" fillId="33" borderId="32" xfId="0" applyFill="1" applyBorder="1" applyAlignment="1"/>
    <xf numFmtId="0" fontId="2" fillId="8" borderId="5" xfId="0" applyFont="1" applyFill="1" applyBorder="1" applyAlignment="1">
      <alignment horizontal="center"/>
    </xf>
    <xf numFmtId="0" fontId="10" fillId="15" borderId="5" xfId="0" applyFont="1" applyFill="1" applyBorder="1" applyAlignment="1">
      <alignment horizontal="center"/>
    </xf>
    <xf numFmtId="0" fontId="10" fillId="23" borderId="5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0" fillId="15" borderId="3" xfId="0" applyFont="1" applyFill="1" applyBorder="1" applyAlignment="1">
      <alignment horizontal="center"/>
    </xf>
    <xf numFmtId="0" fontId="10" fillId="15" borderId="36" xfId="0" applyFont="1" applyFill="1" applyBorder="1" applyAlignment="1">
      <alignment horizontal="center"/>
    </xf>
    <xf numFmtId="0" fontId="10" fillId="13" borderId="3" xfId="0" applyFont="1" applyFill="1" applyBorder="1" applyAlignment="1">
      <alignment horizontal="center"/>
    </xf>
    <xf numFmtId="0" fontId="10" fillId="13" borderId="4" xfId="0" applyFont="1" applyFill="1" applyBorder="1" applyAlignment="1">
      <alignment horizontal="center"/>
    </xf>
    <xf numFmtId="0" fontId="10" fillId="23" borderId="3" xfId="0" applyFont="1" applyFill="1" applyBorder="1" applyAlignment="1">
      <alignment horizontal="center"/>
    </xf>
    <xf numFmtId="0" fontId="10" fillId="23" borderId="4" xfId="0" applyFont="1" applyFill="1" applyBorder="1" applyAlignment="1">
      <alignment horizontal="center"/>
    </xf>
    <xf numFmtId="0" fontId="10" fillId="32" borderId="3" xfId="0" applyFont="1" applyFill="1" applyBorder="1" applyAlignment="1">
      <alignment horizontal="center"/>
    </xf>
    <xf numFmtId="0" fontId="10" fillId="32" borderId="4" xfId="0" applyFont="1" applyFill="1" applyBorder="1" applyAlignment="1">
      <alignment horizontal="center"/>
    </xf>
    <xf numFmtId="0" fontId="10" fillId="24" borderId="3" xfId="0" applyFont="1" applyFill="1" applyBorder="1" applyAlignment="1">
      <alignment horizontal="center"/>
    </xf>
    <xf numFmtId="0" fontId="10" fillId="24" borderId="4" xfId="0" applyFont="1" applyFill="1" applyBorder="1" applyAlignment="1">
      <alignment horizontal="center"/>
    </xf>
    <xf numFmtId="0" fontId="2" fillId="18" borderId="21" xfId="0" applyFont="1" applyFill="1" applyBorder="1" applyAlignment="1">
      <alignment horizontal="center"/>
    </xf>
    <xf numFmtId="0" fontId="0" fillId="18" borderId="21" xfId="0" applyFill="1" applyBorder="1" applyAlignment="1">
      <alignment horizontal="center"/>
    </xf>
    <xf numFmtId="0" fontId="2" fillId="28" borderId="21" xfId="0" applyFont="1" applyFill="1" applyBorder="1" applyAlignment="1">
      <alignment horizontal="center"/>
    </xf>
    <xf numFmtId="0" fontId="0" fillId="28" borderId="21" xfId="0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26" fillId="7" borderId="0" xfId="0" applyFont="1" applyFill="1" applyBorder="1" applyAlignment="1">
      <alignment horizontal="center"/>
    </xf>
    <xf numFmtId="172" fontId="10" fillId="7" borderId="0" xfId="3" applyNumberFormat="1" applyFont="1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18" borderId="25" xfId="0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6" borderId="24" xfId="0" applyFont="1" applyFill="1" applyBorder="1" applyAlignment="1">
      <alignment horizontal="center"/>
    </xf>
    <xf numFmtId="191" fontId="0" fillId="2" borderId="0" xfId="0" applyNumberFormat="1" applyFill="1" applyBorder="1"/>
    <xf numFmtId="0" fontId="0" fillId="22" borderId="10" xfId="0" applyFill="1" applyBorder="1"/>
    <xf numFmtId="164" fontId="0" fillId="22" borderId="11" xfId="1" applyNumberFormat="1" applyFont="1" applyFill="1" applyBorder="1"/>
    <xf numFmtId="0" fontId="0" fillId="22" borderId="12" xfId="0" applyFill="1" applyBorder="1"/>
    <xf numFmtId="164" fontId="0" fillId="22" borderId="13" xfId="1" applyNumberFormat="1" applyFont="1" applyFill="1" applyBorder="1"/>
    <xf numFmtId="0" fontId="0" fillId="22" borderId="14" xfId="0" applyFill="1" applyBorder="1"/>
    <xf numFmtId="164" fontId="0" fillId="22" borderId="15" xfId="1" applyNumberFormat="1" applyFont="1" applyFill="1" applyBorder="1"/>
    <xf numFmtId="0" fontId="48" fillId="10" borderId="10" xfId="0" applyFont="1" applyFill="1" applyBorder="1" applyAlignment="1">
      <alignment horizontal="center" vertical="center" wrapText="1"/>
    </xf>
    <xf numFmtId="191" fontId="0" fillId="22" borderId="10" xfId="0" applyNumberFormat="1" applyFill="1" applyBorder="1"/>
    <xf numFmtId="0" fontId="0" fillId="22" borderId="104" xfId="0" applyFill="1" applyBorder="1"/>
    <xf numFmtId="172" fontId="0" fillId="22" borderId="11" xfId="0" applyNumberFormat="1" applyFill="1" applyBorder="1"/>
    <xf numFmtId="191" fontId="0" fillId="22" borderId="12" xfId="0" applyNumberFormat="1" applyFill="1" applyBorder="1"/>
    <xf numFmtId="172" fontId="0" fillId="22" borderId="13" xfId="0" applyNumberFormat="1" applyFill="1" applyBorder="1"/>
    <xf numFmtId="191" fontId="0" fillId="22" borderId="14" xfId="0" applyNumberFormat="1" applyFill="1" applyBorder="1"/>
    <xf numFmtId="0" fontId="0" fillId="22" borderId="75" xfId="0" applyFill="1" applyBorder="1"/>
    <xf numFmtId="172" fontId="0" fillId="22" borderId="15" xfId="0" applyNumberFormat="1" applyFill="1" applyBorder="1"/>
    <xf numFmtId="191" fontId="0" fillId="22" borderId="0" xfId="0" applyNumberFormat="1" applyFill="1" applyBorder="1"/>
    <xf numFmtId="0" fontId="0" fillId="0" borderId="12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191" fontId="0" fillId="22" borderId="10" xfId="0" applyNumberFormat="1" applyFill="1" applyBorder="1" applyAlignment="1">
      <alignment horizontal="right"/>
    </xf>
    <xf numFmtId="164" fontId="0" fillId="22" borderId="104" xfId="0" applyNumberFormat="1" applyFill="1" applyBorder="1"/>
    <xf numFmtId="0" fontId="0" fillId="22" borderId="12" xfId="0" applyFill="1" applyBorder="1" applyAlignment="1">
      <alignment horizontal="right"/>
    </xf>
    <xf numFmtId="9" fontId="0" fillId="22" borderId="0" xfId="1" applyNumberFormat="1" applyFont="1" applyFill="1" applyBorder="1"/>
    <xf numFmtId="9" fontId="0" fillId="22" borderId="13" xfId="1" applyNumberFormat="1" applyFont="1" applyFill="1" applyBorder="1"/>
    <xf numFmtId="164" fontId="0" fillId="22" borderId="0" xfId="1" applyNumberFormat="1" applyFont="1" applyFill="1" applyBorder="1"/>
    <xf numFmtId="164" fontId="0" fillId="22" borderId="0" xfId="0" applyNumberFormat="1" applyFill="1"/>
    <xf numFmtId="43" fontId="0" fillId="22" borderId="0" xfId="0" applyNumberFormat="1" applyFill="1"/>
    <xf numFmtId="0" fontId="0" fillId="22" borderId="14" xfId="0" applyFill="1" applyBorder="1" applyAlignment="1">
      <alignment horizontal="right"/>
    </xf>
    <xf numFmtId="164" fontId="0" fillId="22" borderId="75" xfId="0" applyNumberFormat="1" applyFill="1" applyBorder="1"/>
  </cellXfs>
  <cellStyles count="6">
    <cellStyle name="Comma" xfId="1" builtinId="3"/>
    <cellStyle name="Currency" xfId="3" builtinId="4"/>
    <cellStyle name="Hyperlink" xfId="4" builtinId="8"/>
    <cellStyle name="Normal" xfId="0" builtinId="0"/>
    <cellStyle name="Normal 2" xfId="5" xr:uid="{00000000-0005-0000-0000-000004000000}"/>
    <cellStyle name="Percent" xfId="2" builtinId="5"/>
  </cellStyles>
  <dxfs count="2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Connection</v>
        <stp/>
        <stp>##V3_BDPV12</stp>
        <stp>RBS US Equity</stp>
        <stp>CUR_MKT_CAP</stp>
        <stp>[MMT IM-T IMR 03-31-2022.xlsm]Risk Report!R53C15</stp>
        <tr r="O53" s="25"/>
      </tp>
    </main>
    <main first="bofaddin.rtdserver">
      <tp t="e">
        <v>#N/A</v>
        <stp/>
        <stp>BDH|17461135174215488673</stp>
        <tr r="I14" s="19"/>
      </tp>
      <tp t="e">
        <v>#N/A</v>
        <stp/>
        <stp>BDH|14099359459806543671</stp>
        <tr r="I8" s="19"/>
      </tp>
      <tp t="e">
        <v>#N/A</v>
        <stp/>
        <stp>BDH|10385300906603331704</stp>
        <tr r="I13" s="19"/>
      </tp>
      <tp t="e">
        <v>#N/A</v>
        <stp/>
        <stp>BDH|14679620871601194388</stp>
        <tr r="I9" s="19"/>
      </tp>
    </main>
    <main first="bloomberg.rtd">
      <tp t="s">
        <v>#N/A Connection</v>
        <stp/>
        <stp>##V3_BDPV12</stp>
        <stp>GT10 govt</stp>
        <stp>YLD_ytm_mid</stp>
        <stp>[MMT IM-T IMR 03-31-2022.xlsm]Repo Curves &amp; Graphs!R19C4</stp>
        <tr r="D19" s="19"/>
      </tp>
      <tp t="s">
        <v>#N/A Connection</v>
        <stp/>
        <stp>##V3_BDPV12</stp>
        <stp>FNCL4 mtge</stp>
        <stp>PX mid</stp>
        <stp>[MMT IM-T IMR 03-31-2022.xlsm]Repo Curves &amp; Graphs!R15C4</stp>
        <tr r="D15" s="19"/>
      </tp>
      <tp t="s">
        <v>#N/A Connection</v>
        <stp/>
        <stp>##V3_BDPV12</stp>
        <stp>GT5 govt</stp>
        <stp>YLD_ytm_mid</stp>
        <stp>[MMT IM-T IMR 03-31-2022.xlsm]Repo Curves &amp; Graphs!R18C4</stp>
        <tr r="D18" s="19"/>
      </tp>
      <tp t="s">
        <v>#N/A Connection</v>
        <stp/>
        <stp>##V3_BDPV12</stp>
        <stp>USGG1M Index</stp>
        <stp>PX Mid</stp>
        <stp>[MMT IM-T IMR 03-31-2022.xlsm]Repo Curves &amp; Graphs!R17C4</stp>
        <tr r="D17" s="19"/>
      </tp>
    </main>
    <main first="bofaddin.rtdserver">
      <tp t="e">
        <v>#N/A</v>
        <stp/>
        <stp>BDH|7492865383910064985</stp>
        <tr r="I12" s="19"/>
      </tp>
      <tp t="e">
        <v>#N/A</v>
        <stp/>
        <stp>BDH|7336948020100536251</stp>
        <tr r="I18" s="19"/>
      </tp>
    </main>
    <main first="bofaddin.rtdserver">
      <tp t="e">
        <v>#N/A</v>
        <stp/>
        <stp>BDH|2496514469403035999</stp>
        <tr r="I10" s="19"/>
      </tp>
      <tp t="e">
        <v>#N/A</v>
        <stp/>
        <stp>BDH|9893665771689066587</stp>
        <tr r="I11" s="19"/>
      </tp>
      <tp t="e">
        <v>#N/A</v>
        <stp/>
        <stp>BDH|2687449022082885100</stp>
        <tr r="I16" s="19"/>
      </tp>
    </main>
    <main first="bloomberg.rtd">
      <tp t="s">
        <v>#N/A Connection</v>
        <stp/>
        <stp>##V3_BDPV12</stp>
        <stp>USRGCY1Z CMPN Curncy</stp>
        <stp>PX_MID</stp>
        <stp>[MMT IM-T IMR 03-31-2022.xlsm]Repo Curves &amp; Graphs!R9C4</stp>
        <tr r="D9" s="19"/>
      </tp>
    </main>
    <main first="bofaddin.rtdserver">
      <tp t="e">
        <v>#N/A</v>
        <stp/>
        <stp>BDH|4442510069404641006</stp>
        <tr r="I17" s="19"/>
      </tp>
    </main>
    <main first="bloomberg.rtd">
      <tp t="s">
        <v>#N/A Connection</v>
        <stp/>
        <stp>##V3_BDPV12</stp>
        <stp>USRGCY1T CMPN Curncy</stp>
        <stp>PX_MID</stp>
        <stp>[MMT IM-T IMR 03-31-2022.xlsm]Repo Curves &amp; Graphs!R8C4</stp>
        <tr r="D8" s="19"/>
      </tp>
    </main>
    <main first="bofaddin.rtdserver">
      <tp t="e">
        <v>#N/A</v>
        <stp/>
        <stp>BDH|7858099653493500225</stp>
        <tr r="I15" s="19"/>
      </tp>
    </main>
    <main first="bloomberg.rtd">
      <tp t="s">
        <v>#N/A Connection</v>
        <stp/>
        <stp>##V3_BDPV12</stp>
        <stp>FNCL4.5 mtge</stp>
        <stp>PX mid</stp>
        <stp>[MMT IM-T IMR 03-31-2022.xlsm]Repo Curves &amp; Graphs!R16C4</stp>
        <tr r="D16" s="19"/>
      </tp>
      <tp t="s">
        <v>#N/A Connection</v>
        <stp/>
        <stp>##V3_BDPV12</stp>
        <stp>USRGCYA CMPN Curncy</stp>
        <stp>PX_MID</stp>
        <stp>[MMT IM-T IMR 03-31-2022.xlsm]Repo Curves &amp; Graphs!R12C4</stp>
        <tr r="D12" s="19"/>
      </tp>
      <tp t="s">
        <v>#N/A Connection</v>
        <stp/>
        <stp>##V3_BDPV12</stp>
        <stp>USRGCYB CMPN Curncy</stp>
        <stp>PX_MID</stp>
        <stp>[MMT IM-T IMR 03-31-2022.xlsm]Repo Curves &amp; Graphs!R13C4</stp>
        <tr r="D13" s="19"/>
      </tp>
      <tp t="s">
        <v>#N/A Connection</v>
        <stp/>
        <stp>##V3_BDPV12</stp>
        <stp>RBS US Equity</stp>
        <stp>CHG_PCT_1M</stp>
        <stp>[MMT IM-T IMR 03-31-2022.xlsm]Risk Report!R53C14</stp>
        <tr r="N53" s="25"/>
      </tp>
      <tp t="s">
        <v>#N/A Connection</v>
        <stp/>
        <stp>##V3_BDPV12</stp>
        <stp>RBS US Equity</stp>
        <stp>CHG_PCT_1D</stp>
        <stp>[MMT IM-T IMR 03-31-2022.xlsm]Risk Report!R53C12</stp>
        <tr r="L53" s="25"/>
      </tp>
      <tp t="s">
        <v>#N/A Connection</v>
        <stp/>
        <stp>##V3_BDPV12</stp>
        <stp>USRGCYC CMPN Curncy</stp>
        <stp>PX_MID</stp>
        <stp>[MMT IM-T IMR 03-31-2022.xlsm]Repo Curves &amp; Graphs!R14C4</stp>
        <tr r="D14" s="19"/>
      </tp>
      <tp t="s">
        <v>#N/A Connection</v>
        <stp/>
        <stp>##V3_BDPV12</stp>
        <stp>RBS US Equity</stp>
        <stp>CHG_PCT_5D</stp>
        <stp>[MMT IM-T IMR 03-31-2022.xlsm]Risk Report!R53C13</stp>
        <tr r="M53" s="25"/>
      </tp>
      <tp t="s">
        <v>#N/A Connection</v>
        <stp/>
        <stp>##V3_BDPV12</stp>
        <stp>USRGCY2Z CMPN Curncy</stp>
        <stp>PX_MID</stp>
        <stp>[MMT IM-T IMR 03-31-2022.xlsm]Repo Curves &amp; Graphs!R10C4</stp>
        <tr r="D10" s="19"/>
      </tp>
      <tp t="s">
        <v>#N/A Connection</v>
        <stp/>
        <stp>##V3_BDPV12</stp>
        <stp>USRGCY3Z CMPN Curncy</stp>
        <stp>PX_MID</stp>
        <stp>[MMT IM-T IMR 03-31-2022.xlsm]Repo Curves &amp; Graphs!R11C4</stp>
        <tr r="D11" s="19"/>
      </tp>
    </main>
    <main first="bofaddin.rtdserver">
      <tp t="e">
        <v>#N/A</v>
        <stp/>
        <stp>BDH|951130402451094896</stp>
        <tr r="I19" s="19"/>
      </tp>
    </main>
    <main first="bloomberg.rtd">
      <tp t="s">
        <v>#N/A Connection</v>
        <stp/>
        <stp>##V3_BDPV12</stp>
        <stp>RBS US Equity</stp>
        <stp>PX_Mid</stp>
        <stp>[MMT IM-T IMR 03-31-2022.xlsm]Risk Report!R53C11</stp>
        <tr r="K53" s="2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8552382</xdr:colOff>
      <xdr:row>2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8533332" cy="56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33670</xdr:colOff>
      <xdr:row>0</xdr:row>
      <xdr:rowOff>567690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1651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2</xdr:row>
          <xdr:rowOff>152400</xdr:rowOff>
        </xdr:from>
        <xdr:to>
          <xdr:col>14</xdr:col>
          <xdr:colOff>752475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 Trade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542925</xdr:colOff>
          <xdr:row>0</xdr:row>
          <xdr:rowOff>104775</xdr:rowOff>
        </xdr:from>
        <xdr:to>
          <xdr:col>8</xdr:col>
          <xdr:colOff>809625</xdr:colOff>
          <xdr:row>0</xdr:row>
          <xdr:rowOff>561975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0</xdr:row>
          <xdr:rowOff>104775</xdr:rowOff>
        </xdr:from>
        <xdr:to>
          <xdr:col>9</xdr:col>
          <xdr:colOff>952500</xdr:colOff>
          <xdr:row>0</xdr:row>
          <xdr:rowOff>561975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Used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828675</xdr:colOff>
          <xdr:row>0</xdr:row>
          <xdr:rowOff>104775</xdr:rowOff>
        </xdr:from>
        <xdr:to>
          <xdr:col>12</xdr:col>
          <xdr:colOff>942975</xdr:colOff>
          <xdr:row>0</xdr:row>
          <xdr:rowOff>561975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981075</xdr:colOff>
          <xdr:row>0</xdr:row>
          <xdr:rowOff>104775</xdr:rowOff>
        </xdr:from>
        <xdr:to>
          <xdr:col>10</xdr:col>
          <xdr:colOff>923925</xdr:colOff>
          <xdr:row>0</xdr:row>
          <xdr:rowOff>561975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USG and Prime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Vantage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0</xdr:row>
          <xdr:rowOff>104775</xdr:rowOff>
        </xdr:from>
        <xdr:to>
          <xdr:col>15</xdr:col>
          <xdr:colOff>561975</xdr:colOff>
          <xdr:row>0</xdr:row>
          <xdr:rowOff>561975</xdr:rowOff>
        </xdr:to>
        <xdr:sp macro="" textlink="">
          <xdr:nvSpPr>
            <xdr:cNvPr id="3087" name="Button 15" descr="Save Book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6</xdr:row>
          <xdr:rowOff>66675</xdr:rowOff>
        </xdr:from>
        <xdr:to>
          <xdr:col>14</xdr:col>
          <xdr:colOff>752475</xdr:colOff>
          <xdr:row>9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 of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0</xdr:row>
          <xdr:rowOff>104775</xdr:rowOff>
        </xdr:from>
        <xdr:to>
          <xdr:col>14</xdr:col>
          <xdr:colOff>66675</xdr:colOff>
          <xdr:row>0</xdr:row>
          <xdr:rowOff>561975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Sec Rec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0</xdr:row>
          <xdr:rowOff>104775</xdr:rowOff>
        </xdr:from>
        <xdr:to>
          <xdr:col>11</xdr:col>
          <xdr:colOff>828675</xdr:colOff>
          <xdr:row>0</xdr:row>
          <xdr:rowOff>561975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Counterparty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0</xdr:row>
          <xdr:rowOff>114300</xdr:rowOff>
        </xdr:from>
        <xdr:to>
          <xdr:col>17</xdr:col>
          <xdr:colOff>428625</xdr:colOff>
          <xdr:row>0</xdr:row>
          <xdr:rowOff>571500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MMF DVD Rec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4</xdr:col>
      <xdr:colOff>567274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8533332" cy="561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</xdr:row>
          <xdr:rowOff>66675</xdr:rowOff>
        </xdr:from>
        <xdr:to>
          <xdr:col>3</xdr:col>
          <xdr:colOff>714375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 Borrower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VaR and Market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3</xdr:col>
          <xdr:colOff>714375</xdr:colOff>
          <xdr:row>6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6</xdr:row>
          <xdr:rowOff>161925</xdr:rowOff>
        </xdr:from>
        <xdr:to>
          <xdr:col>3</xdr:col>
          <xdr:colOff>714375</xdr:colOff>
          <xdr:row>8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2</xdr:row>
          <xdr:rowOff>66675</xdr:rowOff>
        </xdr:from>
        <xdr:to>
          <xdr:col>11</xdr:col>
          <xdr:colOff>876300</xdr:colOff>
          <xdr:row>5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VaR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5</xdr:col>
      <xdr:colOff>909358</xdr:colOff>
      <xdr:row>0</xdr:row>
      <xdr:rowOff>415290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114301</xdr:colOff>
      <xdr:row>0</xdr:row>
      <xdr:rowOff>400050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44825</xdr:colOff>
      <xdr:row>0</xdr:row>
      <xdr:rowOff>44825</xdr:rowOff>
    </xdr:from>
    <xdr:to>
      <xdr:col>6</xdr:col>
      <xdr:colOff>369795</xdr:colOff>
      <xdr:row>0</xdr:row>
      <xdr:rowOff>557351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5" y="44825"/>
          <a:ext cx="8494058" cy="5125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142875</xdr:colOff>
          <xdr:row>0</xdr:row>
          <xdr:rowOff>504825</xdr:rowOff>
        </xdr:from>
        <xdr:to>
          <xdr:col>23</xdr:col>
          <xdr:colOff>1257300</xdr:colOff>
          <xdr:row>3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Repo Sections of Risk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494232</xdr:colOff>
      <xdr:row>0</xdr:row>
      <xdr:rowOff>561975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33332" cy="5619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112396</xdr:colOff>
      <xdr:row>0</xdr:row>
      <xdr:rowOff>26671</xdr:rowOff>
    </xdr:from>
    <xdr:to>
      <xdr:col>3</xdr:col>
      <xdr:colOff>962025</xdr:colOff>
      <xdr:row>0</xdr:row>
      <xdr:rowOff>318404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6" y="26671"/>
          <a:ext cx="3764279" cy="2917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9526</xdr:rowOff>
    </xdr:from>
    <xdr:to>
      <xdr:col>8</xdr:col>
      <xdr:colOff>219076</xdr:colOff>
      <xdr:row>0</xdr:row>
      <xdr:rowOff>533400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9526"/>
          <a:ext cx="7191374" cy="39052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1341120</xdr:colOff>
      <xdr:row>0</xdr:row>
      <xdr:rowOff>612557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34325" cy="6182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716295</xdr:colOff>
      <xdr:row>1</xdr:row>
      <xdr:rowOff>8639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526795" cy="61823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28575</xdr:colOff>
      <xdr:row>0</xdr:row>
      <xdr:rowOff>580663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124825" cy="5806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DNSFS01\LMshared\Mandates\Funds\LUCID%20PRIME%20FUND%20LLC\Books&amp;Records\PRIME-M%20IMR%20ms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Shared_Functions/Lucid%20Global%20Functions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Data/Import-Export%20Macr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Investment%20Committee%20&amp;%20Risk/Market%20Risk%20Models%20and%20Papers/Models/VarCod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ucid/Trading%20&amp;%20Markets/Historic%20Returns/MMF%20Accruals-%20Held%20Posi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Balance Sheet"/>
      <sheetName val="Repo Details and VaR"/>
      <sheetName val="Securities Details"/>
      <sheetName val="Cash Reconciliation"/>
      <sheetName val="Securities Reconciliation"/>
      <sheetName val="MMF Acc Rec"/>
      <sheetName val="Risk Report"/>
      <sheetName val="Names &amp; Addresses"/>
      <sheetName val="HairCut Report"/>
      <sheetName val="Repo Curves &amp; Graphs"/>
      <sheetName val="Credit &amp; Correlation"/>
      <sheetName val="Filtered Repo Trade Data"/>
      <sheetName val="Bond Data"/>
      <sheetName val="Used Price Data"/>
      <sheetName val="Vantage Data USG"/>
      <sheetName val="Vantage Data Prime"/>
      <sheetName val="Vantage Proxy List"/>
      <sheetName val="YieldBook Ru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Cusip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ucid Global Functions"/>
    </sheetNames>
    <definedNames>
      <definedName name="interp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otes"/>
      <sheetName val="Import-Export Macros"/>
    </sheetNames>
    <definedNames>
      <definedName name="Build_IMR_Balance_Sheet"/>
      <definedName name="Build_IMR_Risk_Report"/>
      <definedName name="Build_IMR_Var_Sheet_WithCCY"/>
      <definedName name="Get_Bond_Data"/>
      <definedName name="Get_Counterparty_Info"/>
      <definedName name="Get_Filtered_Repo_Data"/>
      <definedName name="Get_MMF_Dvds"/>
      <definedName name="Get_Used_Prices"/>
      <definedName name="Get_Vantage_Data_USG_and_Prime"/>
      <definedName name="Run_Securities_Reconciliation"/>
      <definedName name="Save_Book"/>
    </definedNames>
    <sheetDataSet>
      <sheetData sheetId="0"/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Macro1"/>
      <sheetName val="Notes"/>
      <sheetName val="VarCode"/>
    </sheetNames>
    <definedNames>
      <definedName name="Run_Multi_Borrower_VaR_Risk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1"/>
      <sheetName val="Chart2"/>
    </sheetNames>
    <sheetDataSet>
      <sheetData sheetId="0">
        <row r="421">
          <cell r="B421">
            <v>6.2655000000000002E-5</v>
          </cell>
        </row>
        <row r="422">
          <cell r="B422">
            <v>1.8758800000000001E-4</v>
          </cell>
        </row>
        <row r="423">
          <cell r="B423">
            <v>6.3077000000000006E-5</v>
          </cell>
        </row>
        <row r="424">
          <cell r="B424">
            <v>6.2564000000000006E-5</v>
          </cell>
        </row>
        <row r="425">
          <cell r="B425">
            <v>6.2570999999999994E-5</v>
          </cell>
        </row>
        <row r="426">
          <cell r="B426">
            <v>6.2520000000000004E-5</v>
          </cell>
        </row>
        <row r="427">
          <cell r="B427">
            <v>2.52895E-4</v>
          </cell>
        </row>
        <row r="428">
          <cell r="B428">
            <v>6.2792999999999993E-5</v>
          </cell>
        </row>
        <row r="429">
          <cell r="B429">
            <v>6.2843999999999997E-5</v>
          </cell>
        </row>
        <row r="430">
          <cell r="B430">
            <v>6.2663000000000006E-5</v>
          </cell>
        </row>
        <row r="431">
          <cell r="B431">
            <v>1.88066E-4</v>
          </cell>
        </row>
        <row r="432">
          <cell r="B432">
            <v>6.2694000000000007E-5</v>
          </cell>
        </row>
        <row r="433">
          <cell r="B433">
            <v>6.2736000000000004E-5</v>
          </cell>
        </row>
        <row r="434">
          <cell r="B434">
            <v>6.2691E-5</v>
          </cell>
        </row>
        <row r="435">
          <cell r="B435">
            <v>6.5048000000000005E-5</v>
          </cell>
        </row>
        <row r="436">
          <cell r="B436">
            <v>1.8762999999999999E-4</v>
          </cell>
        </row>
        <row r="437">
          <cell r="B437">
            <v>6.2568000000000001E-5</v>
          </cell>
        </row>
        <row r="438">
          <cell r="B438">
            <v>6.2600000000000004E-5</v>
          </cell>
        </row>
        <row r="439">
          <cell r="B439">
            <v>6.2427000000000004E-5</v>
          </cell>
        </row>
        <row r="440">
          <cell r="B440">
            <v>6.2731000000000006E-5</v>
          </cell>
        </row>
        <row r="441">
          <cell r="B441">
            <v>1.88042E-4</v>
          </cell>
        </row>
        <row r="442">
          <cell r="B442">
            <v>6.2680000000000003E-5</v>
          </cell>
        </row>
        <row r="443">
          <cell r="B443">
            <v>6.2791000000000002E-5</v>
          </cell>
        </row>
        <row r="444">
          <cell r="B444">
            <v>6.2926E-5</v>
          </cell>
        </row>
        <row r="445">
          <cell r="B445">
            <v>6.2959000000000005E-5</v>
          </cell>
        </row>
        <row r="446">
          <cell r="B446">
            <v>1.8976600000000001E-4</v>
          </cell>
        </row>
        <row r="447">
          <cell r="B447">
            <v>6.2990000000000005E-5</v>
          </cell>
        </row>
        <row r="448">
          <cell r="B448">
            <v>6.3207000000000007E-5</v>
          </cell>
        </row>
        <row r="449">
          <cell r="B449">
            <v>6.3849000000000005E-5</v>
          </cell>
        </row>
        <row r="450">
          <cell r="B450">
            <v>6.3372000000000002E-5</v>
          </cell>
        </row>
        <row r="451">
          <cell r="B451">
            <v>1.8891599999999999E-4</v>
          </cell>
        </row>
        <row r="452">
          <cell r="B452">
            <v>6.2750999999999996E-5</v>
          </cell>
        </row>
        <row r="453">
          <cell r="B453">
            <v>6.2566999999999999E-5</v>
          </cell>
        </row>
        <row r="454">
          <cell r="B454">
            <v>6.3025000000000001E-5</v>
          </cell>
        </row>
        <row r="455">
          <cell r="B455">
            <v>6.3493999999999999E-5</v>
          </cell>
        </row>
        <row r="456">
          <cell r="B456">
            <v>1.3067466666666667E-4</v>
          </cell>
        </row>
        <row r="457">
          <cell r="B457">
            <v>6.5337333333333335E-5</v>
          </cell>
        </row>
        <row r="458">
          <cell r="B458">
            <v>6.3436999999999996E-5</v>
          </cell>
        </row>
        <row r="459">
          <cell r="B459">
            <v>6.3437999999999998E-5</v>
          </cell>
        </row>
        <row r="460">
          <cell r="B460">
            <v>6.3396000000000001E-5</v>
          </cell>
        </row>
        <row r="461">
          <cell r="B461">
            <v>6.3422000000000004E-5</v>
          </cell>
        </row>
        <row r="462">
          <cell r="B462">
            <v>1.8997099999999999E-4</v>
          </cell>
        </row>
        <row r="463">
          <cell r="B463">
            <v>6.3306999999999995E-5</v>
          </cell>
        </row>
        <row r="464">
          <cell r="B464">
            <v>6.3102999999999995E-5</v>
          </cell>
        </row>
        <row r="465">
          <cell r="B465">
            <v>6.3198E-5</v>
          </cell>
        </row>
        <row r="466">
          <cell r="B466">
            <v>6.3022999999999996E-5</v>
          </cell>
        </row>
        <row r="467">
          <cell r="B467">
            <v>1.88932E-4</v>
          </cell>
        </row>
        <row r="468">
          <cell r="B468">
            <v>6.3181000000000004E-5</v>
          </cell>
        </row>
        <row r="469">
          <cell r="B469">
            <v>6.3405999999999996E-5</v>
          </cell>
        </row>
        <row r="470">
          <cell r="B470">
            <v>6.3851999999999998E-5</v>
          </cell>
        </row>
        <row r="471">
          <cell r="B471">
            <v>2.5543300000000001E-4</v>
          </cell>
        </row>
        <row r="472">
          <cell r="B472">
            <v>6.2844999999999999E-5</v>
          </cell>
        </row>
        <row r="473">
          <cell r="B473">
            <v>6.3668000000000001E-5</v>
          </cell>
        </row>
        <row r="474">
          <cell r="B474">
            <v>6.3153999999999999E-5</v>
          </cell>
        </row>
        <row r="475">
          <cell r="B475">
            <v>6.2856999999999998E-5</v>
          </cell>
        </row>
        <row r="476">
          <cell r="B476">
            <v>1.90039E-4</v>
          </cell>
        </row>
        <row r="477">
          <cell r="B477">
            <v>6.3676000000000005E-5</v>
          </cell>
        </row>
        <row r="478">
          <cell r="B478">
            <v>6.7183999999999999E-5</v>
          </cell>
        </row>
        <row r="479">
          <cell r="B479">
            <v>6.4282000000000006E-5</v>
          </cell>
        </row>
        <row r="480">
          <cell r="B480">
            <v>6.3711E-5</v>
          </cell>
        </row>
        <row r="481">
          <cell r="B481">
            <v>1.8918400000000001E-4</v>
          </cell>
        </row>
        <row r="482">
          <cell r="B482">
            <v>6.2726999999999998E-5</v>
          </cell>
        </row>
        <row r="483">
          <cell r="B483">
            <v>6.2961999999999998E-5</v>
          </cell>
        </row>
        <row r="484">
          <cell r="B484">
            <v>6.2816000000000003E-5</v>
          </cell>
        </row>
        <row r="485">
          <cell r="B485">
            <v>6.2566999999999999E-5</v>
          </cell>
        </row>
        <row r="486">
          <cell r="B486">
            <v>1.86956E-4</v>
          </cell>
        </row>
        <row r="487">
          <cell r="B487">
            <v>6.2093000000000003E-5</v>
          </cell>
        </row>
        <row r="488">
          <cell r="B488">
            <v>6.2137999999999994E-5</v>
          </cell>
        </row>
        <row r="489">
          <cell r="B489">
            <v>6.3280000000000004E-5</v>
          </cell>
        </row>
        <row r="490">
          <cell r="B490">
            <v>6.2860000000000005E-5</v>
          </cell>
        </row>
        <row r="491">
          <cell r="B491">
            <v>1.8798400000000001E-4</v>
          </cell>
        </row>
        <row r="492">
          <cell r="B492">
            <v>6.2272000000000003E-5</v>
          </cell>
        </row>
        <row r="493">
          <cell r="B493">
            <v>6.2193999999999994E-5</v>
          </cell>
        </row>
        <row r="494">
          <cell r="B494">
            <v>6.1983000000000006E-5</v>
          </cell>
        </row>
        <row r="495">
          <cell r="B495">
            <v>6.1894000000000001E-5</v>
          </cell>
        </row>
        <row r="496">
          <cell r="B496">
            <v>2.4759499999999998E-4</v>
          </cell>
        </row>
        <row r="497">
          <cell r="B497">
            <v>6.2226999999999999E-5</v>
          </cell>
        </row>
        <row r="498">
          <cell r="B498">
            <v>6.2454999999999997E-5</v>
          </cell>
        </row>
        <row r="499">
          <cell r="B499">
            <v>6.2487E-5</v>
          </cell>
        </row>
        <row r="500">
          <cell r="B500">
            <v>6.3508000000000002E-5</v>
          </cell>
        </row>
        <row r="501">
          <cell r="B501">
            <v>1.27016E-4</v>
          </cell>
        </row>
        <row r="502">
          <cell r="B502">
            <v>6.2269999999999998E-5</v>
          </cell>
        </row>
        <row r="503">
          <cell r="B503">
            <v>6.2057000000000006E-5</v>
          </cell>
        </row>
        <row r="504">
          <cell r="B504">
            <v>6.1975000000000002E-5</v>
          </cell>
        </row>
        <row r="505">
          <cell r="B505">
            <v>6.2055000000000001E-5</v>
          </cell>
        </row>
        <row r="506">
          <cell r="B506">
            <v>1.86138E-4</v>
          </cell>
        </row>
        <row r="507">
          <cell r="B507">
            <v>6.1904999999999998E-5</v>
          </cell>
        </row>
        <row r="508">
          <cell r="B508">
            <v>6.1773999999999995E-5</v>
          </cell>
        </row>
        <row r="509">
          <cell r="B509">
            <v>6.1624999999999994E-5</v>
          </cell>
        </row>
        <row r="510">
          <cell r="B510">
            <v>6.1427999999999995E-5</v>
          </cell>
        </row>
        <row r="511">
          <cell r="B511">
            <v>1.83399E-4</v>
          </cell>
        </row>
        <row r="512">
          <cell r="B512">
            <v>6.1730999999999996E-5</v>
          </cell>
        </row>
        <row r="513">
          <cell r="B513">
            <v>6.1421999999999996E-5</v>
          </cell>
        </row>
        <row r="514">
          <cell r="B514">
            <v>6.1239000000000001E-5</v>
          </cell>
        </row>
        <row r="515">
          <cell r="B515">
            <v>6.0757999999999997E-5</v>
          </cell>
        </row>
        <row r="516">
          <cell r="B516">
            <v>1.8365300000000001E-4</v>
          </cell>
        </row>
        <row r="517">
          <cell r="B517">
            <v>6.1193999999999997E-5</v>
          </cell>
        </row>
        <row r="518">
          <cell r="B518">
            <v>6.1457999999999993E-5</v>
          </cell>
        </row>
        <row r="519">
          <cell r="B519">
            <v>6.177E-5</v>
          </cell>
        </row>
        <row r="520">
          <cell r="B520">
            <v>6.1273999999999996E-5</v>
          </cell>
        </row>
        <row r="521">
          <cell r="B521">
            <v>1.23888E-4</v>
          </cell>
        </row>
        <row r="522">
          <cell r="B522">
            <v>6.1944000000000002E-5</v>
          </cell>
        </row>
        <row r="523">
          <cell r="B523">
            <v>6.1739E-5</v>
          </cell>
        </row>
        <row r="524">
          <cell r="B524">
            <v>6.2408000000000003E-5</v>
          </cell>
        </row>
        <row r="525">
          <cell r="B525">
            <v>1.2591300000000001E-4</v>
          </cell>
        </row>
        <row r="526">
          <cell r="B526">
            <v>1.89808E-4</v>
          </cell>
        </row>
        <row r="527">
          <cell r="B527">
            <v>6.2467999999999999E-5</v>
          </cell>
        </row>
        <row r="528">
          <cell r="B528">
            <v>6.2185000000000002E-5</v>
          </cell>
        </row>
        <row r="529">
          <cell r="B529">
            <v>6.2098000000000001E-5</v>
          </cell>
        </row>
        <row r="530">
          <cell r="B530">
            <v>6.1618999999999994E-5</v>
          </cell>
        </row>
        <row r="531">
          <cell r="B531">
            <v>1.82461E-4</v>
          </cell>
        </row>
        <row r="532">
          <cell r="B532">
            <v>6.1507000000000006E-5</v>
          </cell>
        </row>
        <row r="533">
          <cell r="B533">
            <v>6.1743999999999997E-5</v>
          </cell>
        </row>
        <row r="534">
          <cell r="B534">
            <v>6.1742999999999995E-5</v>
          </cell>
        </row>
        <row r="535">
          <cell r="B535">
            <v>6.1440999999999997E-5</v>
          </cell>
        </row>
        <row r="536">
          <cell r="B536">
            <v>1.8282699999999999E-4</v>
          </cell>
        </row>
        <row r="537">
          <cell r="B537">
            <v>6.0560000000000003E-5</v>
          </cell>
        </row>
        <row r="538">
          <cell r="B538">
            <v>6.0507000000000002E-5</v>
          </cell>
        </row>
        <row r="539">
          <cell r="B539">
            <v>6.0724999999999999E-5</v>
          </cell>
        </row>
        <row r="540">
          <cell r="B540">
            <v>6.0668000000000003E-5</v>
          </cell>
        </row>
        <row r="541">
          <cell r="B541">
            <v>1.8221700000000001E-4</v>
          </cell>
        </row>
        <row r="542">
          <cell r="B542">
            <v>6.0633E-5</v>
          </cell>
        </row>
        <row r="543">
          <cell r="B543">
            <v>6.0475E-5</v>
          </cell>
        </row>
        <row r="544">
          <cell r="B544">
            <v>6.1947999999999997E-5</v>
          </cell>
        </row>
        <row r="545">
          <cell r="B545">
            <v>5.8251000000000002E-5</v>
          </cell>
        </row>
        <row r="546">
          <cell r="B546">
            <v>1.6991700000000001E-4</v>
          </cell>
        </row>
        <row r="547">
          <cell r="B547">
            <v>5.5983999999999998E-5</v>
          </cell>
        </row>
        <row r="548">
          <cell r="B548">
            <v>5.5313999999999999E-5</v>
          </cell>
        </row>
        <row r="549">
          <cell r="B549">
            <v>5.5206E-5</v>
          </cell>
        </row>
        <row r="550">
          <cell r="B550">
            <v>5.486E-5</v>
          </cell>
        </row>
        <row r="551">
          <cell r="B551">
            <v>1.6542600000000001E-4</v>
          </cell>
        </row>
        <row r="552">
          <cell r="B552">
            <v>5.5220999999999999E-5</v>
          </cell>
        </row>
        <row r="553">
          <cell r="B553">
            <v>5.5699000000000003E-5</v>
          </cell>
        </row>
        <row r="554">
          <cell r="B554">
            <v>5.5421999999999999E-5</v>
          </cell>
        </row>
        <row r="555">
          <cell r="B555">
            <v>5.5754999999999997E-5</v>
          </cell>
        </row>
        <row r="556">
          <cell r="B556">
            <v>1.65637E-4</v>
          </cell>
        </row>
        <row r="557">
          <cell r="B557">
            <v>5.4746000000000001E-5</v>
          </cell>
        </row>
        <row r="558">
          <cell r="B558">
            <v>5.4880000000000003E-5</v>
          </cell>
        </row>
        <row r="559">
          <cell r="B559">
            <v>5.4410000000000003E-5</v>
          </cell>
        </row>
        <row r="560">
          <cell r="B560">
            <v>5.4036999999999998E-5</v>
          </cell>
        </row>
        <row r="561">
          <cell r="B561">
            <v>1.62292E-4</v>
          </cell>
        </row>
        <row r="562">
          <cell r="B562">
            <v>5.4276E-5</v>
          </cell>
        </row>
        <row r="563">
          <cell r="B563">
            <v>5.4898000000000002E-5</v>
          </cell>
        </row>
        <row r="564">
          <cell r="B564">
            <v>5.4793000000000002E-5</v>
          </cell>
        </row>
        <row r="565">
          <cell r="B565">
            <v>5.4589000000000002E-5</v>
          </cell>
        </row>
        <row r="566">
          <cell r="B566">
            <v>5.4965E-5</v>
          </cell>
        </row>
        <row r="567">
          <cell r="B567">
            <v>5.4965E-5</v>
          </cell>
        </row>
        <row r="568">
          <cell r="B568">
            <v>1.0993E-4</v>
          </cell>
        </row>
        <row r="569">
          <cell r="B569">
            <v>5.4589999999999997E-5</v>
          </cell>
        </row>
        <row r="570">
          <cell r="B570">
            <v>5.5986000000000002E-5</v>
          </cell>
        </row>
        <row r="571">
          <cell r="B571">
            <v>5.5986000000000002E-5</v>
          </cell>
        </row>
        <row r="572">
          <cell r="B572">
            <v>1.66572E-4</v>
          </cell>
        </row>
        <row r="573">
          <cell r="B573">
            <v>5.4521000000000002E-5</v>
          </cell>
        </row>
        <row r="574">
          <cell r="B574">
            <v>5.4920000000000003E-5</v>
          </cell>
        </row>
        <row r="575">
          <cell r="B575">
            <v>5.5130000000000002E-5</v>
          </cell>
        </row>
        <row r="576">
          <cell r="B576">
            <v>5.5454999999999997E-5</v>
          </cell>
        </row>
        <row r="577">
          <cell r="B577">
            <v>1.6692500000000001E-4</v>
          </cell>
        </row>
        <row r="578">
          <cell r="B578">
            <v>5.8430000000000001E-5</v>
          </cell>
        </row>
        <row r="579">
          <cell r="B579">
            <v>9.6340000000000003E-5</v>
          </cell>
        </row>
        <row r="580">
          <cell r="B580">
            <v>6.8062E-5</v>
          </cell>
        </row>
        <row r="581">
          <cell r="B581">
            <v>5.1907999999999998E-5</v>
          </cell>
        </row>
        <row r="582">
          <cell r="B582">
            <v>1.5127900000000001E-4</v>
          </cell>
        </row>
        <row r="583">
          <cell r="B583">
            <v>4.9684000000000001E-5</v>
          </cell>
        </row>
        <row r="584">
          <cell r="B584">
            <v>5.126E-5</v>
          </cell>
        </row>
        <row r="585">
          <cell r="B585">
            <v>5.1873000000000003E-5</v>
          </cell>
        </row>
        <row r="586">
          <cell r="B586">
            <v>5.0047999999999999E-5</v>
          </cell>
        </row>
        <row r="587">
          <cell r="B587">
            <v>1.49054E-4</v>
          </cell>
        </row>
        <row r="588">
          <cell r="B588">
            <v>5.3353999999999998E-5</v>
          </cell>
        </row>
        <row r="589">
          <cell r="B589">
            <v>5.1280999999999999E-5</v>
          </cell>
        </row>
        <row r="590">
          <cell r="B590">
            <v>4.9160999999999999E-5</v>
          </cell>
        </row>
        <row r="591">
          <cell r="B591">
            <v>4.8908E-5</v>
          </cell>
        </row>
        <row r="592">
          <cell r="B592">
            <v>1.4568400000000001E-4</v>
          </cell>
        </row>
        <row r="593">
          <cell r="B593">
            <v>4.8563999999999998E-5</v>
          </cell>
        </row>
        <row r="594">
          <cell r="B594">
            <v>4.8523999999999998E-5</v>
          </cell>
        </row>
        <row r="595">
          <cell r="B595">
            <v>4.8605E-5</v>
          </cell>
        </row>
        <row r="596">
          <cell r="B596">
            <v>4.8297000000000002E-5</v>
          </cell>
        </row>
        <row r="597">
          <cell r="B597">
            <v>1.44988E-4</v>
          </cell>
        </row>
        <row r="598">
          <cell r="B598">
            <v>4.8128999999999999E-5</v>
          </cell>
        </row>
        <row r="599">
          <cell r="B599">
            <v>4.9449E-5</v>
          </cell>
        </row>
        <row r="600">
          <cell r="B600">
            <v>5.0986000000000003E-5</v>
          </cell>
        </row>
        <row r="601">
          <cell r="B601">
            <v>4.9564999999999997E-5</v>
          </cell>
        </row>
        <row r="602">
          <cell r="B602">
            <v>1.4596300000000001E-4</v>
          </cell>
        </row>
        <row r="603">
          <cell r="B603">
            <v>4.7845E-5</v>
          </cell>
        </row>
        <row r="604">
          <cell r="B604">
            <v>4.8294000000000002E-5</v>
          </cell>
        </row>
        <row r="605">
          <cell r="B605">
            <v>4.8133999999999997E-5</v>
          </cell>
        </row>
        <row r="606">
          <cell r="B606">
            <v>4.8157E-5</v>
          </cell>
        </row>
        <row r="607">
          <cell r="B607">
            <v>1.4306099999999999E-4</v>
          </cell>
        </row>
        <row r="608">
          <cell r="B608">
            <v>4.7159E-5</v>
          </cell>
        </row>
        <row r="609">
          <cell r="B609">
            <v>4.7151999999999998E-5</v>
          </cell>
        </row>
        <row r="610">
          <cell r="B610">
            <v>4.7275999999999999E-5</v>
          </cell>
        </row>
        <row r="611">
          <cell r="B611">
            <v>4.6329000000000003E-5</v>
          </cell>
        </row>
        <row r="612">
          <cell r="B612">
            <v>1.30338E-4</v>
          </cell>
        </row>
        <row r="613">
          <cell r="B613">
            <v>4.1983000000000001E-5</v>
          </cell>
        </row>
        <row r="614">
          <cell r="B614">
            <v>4.248E-5</v>
          </cell>
        </row>
        <row r="615">
          <cell r="B615">
            <v>4.2456999999999997E-5</v>
          </cell>
        </row>
        <row r="616">
          <cell r="B616">
            <v>4.2385000000000002E-5</v>
          </cell>
        </row>
        <row r="617">
          <cell r="B617">
            <v>1.2690100000000001E-4</v>
          </cell>
        </row>
        <row r="618">
          <cell r="B618">
            <v>4.2284999999999999E-5</v>
          </cell>
        </row>
        <row r="619">
          <cell r="B619">
            <v>4.2367999999999998E-5</v>
          </cell>
        </row>
        <row r="620">
          <cell r="B620">
            <v>4.2355999999999999E-5</v>
          </cell>
        </row>
        <row r="621">
          <cell r="B621">
            <v>4.2469999999999998E-5</v>
          </cell>
        </row>
        <row r="622">
          <cell r="B622">
            <v>1.26914E-4</v>
          </cell>
        </row>
        <row r="623">
          <cell r="B623">
            <v>4.2116000000000001E-5</v>
          </cell>
        </row>
        <row r="624">
          <cell r="B624">
            <v>4.1936E-5</v>
          </cell>
        </row>
        <row r="625">
          <cell r="B625">
            <v>4.2067000000000002E-5</v>
          </cell>
        </row>
        <row r="626">
          <cell r="B626">
            <v>4.1989000000000001E-5</v>
          </cell>
        </row>
        <row r="627">
          <cell r="B627">
            <v>1.2676699999999999E-4</v>
          </cell>
        </row>
        <row r="628">
          <cell r="B628">
            <v>4.1962000000000002E-5</v>
          </cell>
        </row>
        <row r="629">
          <cell r="B629">
            <v>4.1659999999999998E-5</v>
          </cell>
        </row>
        <row r="630">
          <cell r="B630">
            <v>8.3345999999999998E-5</v>
          </cell>
        </row>
        <row r="631">
          <cell r="B631">
            <v>4.2620999999999997E-5</v>
          </cell>
        </row>
        <row r="632">
          <cell r="B632">
            <v>4.2620999999999997E-5</v>
          </cell>
        </row>
        <row r="633">
          <cell r="B633">
            <v>4.2620999999999997E-5</v>
          </cell>
        </row>
        <row r="634">
          <cell r="B634">
            <v>4.2617999999999998E-5</v>
          </cell>
        </row>
        <row r="635">
          <cell r="B635">
            <v>4.2027999999999998E-5</v>
          </cell>
        </row>
        <row r="636">
          <cell r="B636">
            <v>4.1665000000000002E-5</v>
          </cell>
        </row>
        <row r="637">
          <cell r="B637">
            <v>4.1739999999999997E-5</v>
          </cell>
        </row>
        <row r="638">
          <cell r="B638">
            <v>1.2548299999999999E-4</v>
          </cell>
        </row>
        <row r="639">
          <cell r="B639">
            <v>4.1717000000000001E-5</v>
          </cell>
        </row>
        <row r="640">
          <cell r="B640">
            <v>4.1480000000000003E-5</v>
          </cell>
        </row>
        <row r="641">
          <cell r="B641">
            <v>4.1427000000000002E-5</v>
          </cell>
        </row>
        <row r="642">
          <cell r="B642">
            <v>4.1312E-5</v>
          </cell>
        </row>
        <row r="643">
          <cell r="B643">
            <v>1.24423E-4</v>
          </cell>
        </row>
        <row r="644">
          <cell r="B644">
            <v>4.1817999999999998E-5</v>
          </cell>
        </row>
        <row r="645">
          <cell r="B645">
            <v>4.1875000000000001E-5</v>
          </cell>
        </row>
        <row r="646">
          <cell r="B646">
            <v>4.1559E-5</v>
          </cell>
        </row>
        <row r="647">
          <cell r="B647">
            <v>4.1687000000000003E-5</v>
          </cell>
        </row>
        <row r="648">
          <cell r="B648">
            <v>1.2365999999999999E-4</v>
          </cell>
        </row>
        <row r="649">
          <cell r="B649">
            <v>4.1023999999999999E-5</v>
          </cell>
        </row>
        <row r="650">
          <cell r="B650">
            <v>8.2436999999999997E-5</v>
          </cell>
        </row>
        <row r="651">
          <cell r="B651">
            <v>4.1241E-5</v>
          </cell>
        </row>
        <row r="652">
          <cell r="B652">
            <v>1.2433400000000001E-4</v>
          </cell>
        </row>
        <row r="653">
          <cell r="B653">
            <v>4.1508000000000003E-5</v>
          </cell>
        </row>
        <row r="654">
          <cell r="B654">
            <v>4.1704000000000006E-5</v>
          </cell>
        </row>
        <row r="655">
          <cell r="B655">
            <v>4.1704000000000006E-5</v>
          </cell>
        </row>
        <row r="656">
          <cell r="B656">
            <v>4.0988999999999997E-5</v>
          </cell>
        </row>
        <row r="657">
          <cell r="B657">
            <v>1.2299199999999999E-4</v>
          </cell>
        </row>
        <row r="658">
          <cell r="B658">
            <v>4.1220999999999997E-5</v>
          </cell>
        </row>
        <row r="659">
          <cell r="B659">
            <v>4.1003E-5</v>
          </cell>
        </row>
        <row r="660">
          <cell r="B660">
            <v>4.1165999999999999E-5</v>
          </cell>
        </row>
        <row r="661">
          <cell r="B661">
            <v>4.1044999999999998E-5</v>
          </cell>
        </row>
        <row r="662">
          <cell r="B662">
            <v>1.2298699999999999E-4</v>
          </cell>
        </row>
        <row r="663">
          <cell r="B663">
            <v>4.0976000000000002E-5</v>
          </cell>
        </row>
        <row r="664">
          <cell r="B664">
            <v>4.1115999999999997E-5</v>
          </cell>
        </row>
        <row r="665">
          <cell r="B665">
            <v>4.1174000000000003E-5</v>
          </cell>
        </row>
        <row r="666">
          <cell r="B666">
            <v>4.1164000000000001E-5</v>
          </cell>
        </row>
        <row r="667">
          <cell r="B667">
            <v>1.6427400000000001E-4</v>
          </cell>
        </row>
        <row r="668">
          <cell r="B668">
            <v>4.0534000000000002E-5</v>
          </cell>
        </row>
        <row r="669">
          <cell r="B669">
            <v>4.0636000000000002E-5</v>
          </cell>
        </row>
        <row r="670">
          <cell r="B670">
            <v>4.0824000000000001E-5</v>
          </cell>
        </row>
        <row r="671">
          <cell r="B671">
            <v>1.2255499999999999E-4</v>
          </cell>
        </row>
        <row r="672">
          <cell r="B672">
            <v>4.0556000000000003E-5</v>
          </cell>
        </row>
        <row r="673">
          <cell r="B673">
            <v>4.0750000000000001E-5</v>
          </cell>
        </row>
        <row r="674">
          <cell r="B674">
            <v>4.0707999999999997E-5</v>
          </cell>
        </row>
        <row r="675">
          <cell r="B675">
            <v>4.1044999999999998E-5</v>
          </cell>
        </row>
        <row r="676">
          <cell r="B676">
            <v>4.1492000000000002E-5</v>
          </cell>
        </row>
        <row r="677">
          <cell r="B677">
            <v>8.2984000000000004E-5</v>
          </cell>
        </row>
        <row r="678">
          <cell r="B678">
            <v>4.1195000000000001E-5</v>
          </cell>
        </row>
        <row r="679">
          <cell r="B679">
            <v>4.1406999999999998E-5</v>
          </cell>
        </row>
        <row r="680">
          <cell r="B680">
            <v>4.1502999999999999E-5</v>
          </cell>
        </row>
        <row r="681">
          <cell r="B681">
            <v>4.1452999999999998E-5</v>
          </cell>
        </row>
        <row r="682">
          <cell r="B682">
            <v>1.24046E-4</v>
          </cell>
        </row>
        <row r="683">
          <cell r="B683">
            <v>4.1269000000000001E-5</v>
          </cell>
        </row>
        <row r="684">
          <cell r="B684">
            <v>4.1437999999999999E-5</v>
          </cell>
        </row>
        <row r="685">
          <cell r="B685">
            <v>4.1267999999999999E-5</v>
          </cell>
        </row>
        <row r="686">
          <cell r="B686">
            <v>4.1069999999999998E-5</v>
          </cell>
        </row>
        <row r="687">
          <cell r="B687">
            <v>1.6506299999999999E-4</v>
          </cell>
        </row>
        <row r="688">
          <cell r="B688">
            <v>4.1269000000000001E-5</v>
          </cell>
        </row>
        <row r="689">
          <cell r="B689">
            <v>4.1326999999999999E-5</v>
          </cell>
        </row>
        <row r="690">
          <cell r="B690">
            <v>4.1356000000000002E-5</v>
          </cell>
        </row>
        <row r="691">
          <cell r="B691">
            <v>1.2368500000000001E-4</v>
          </cell>
        </row>
        <row r="692">
          <cell r="B692">
            <v>4.1007999999999998E-5</v>
          </cell>
        </row>
        <row r="693">
          <cell r="B693">
            <v>4.0920999999999997E-5</v>
          </cell>
        </row>
        <row r="694">
          <cell r="B694">
            <v>4.1198000000000001E-5</v>
          </cell>
        </row>
        <row r="695">
          <cell r="B695">
            <v>4.0966E-5</v>
          </cell>
        </row>
        <row r="696">
          <cell r="B696">
            <v>4.0744000000000002E-5</v>
          </cell>
        </row>
        <row r="697">
          <cell r="B697">
            <v>4.0744000000000002E-5</v>
          </cell>
        </row>
        <row r="698">
          <cell r="B698">
            <v>4.0744000000000002E-5</v>
          </cell>
        </row>
        <row r="699">
          <cell r="B699">
            <v>4.0941E-5</v>
          </cell>
        </row>
        <row r="700">
          <cell r="B700">
            <v>4.0058999999999997E-5</v>
          </cell>
        </row>
        <row r="701">
          <cell r="B701">
            <v>3.7027999999999999E-5</v>
          </cell>
        </row>
        <row r="702">
          <cell r="B702">
            <v>3.2988999999999999E-5</v>
          </cell>
        </row>
        <row r="703">
          <cell r="B703">
            <v>9.5778000000000004E-5</v>
          </cell>
        </row>
        <row r="704">
          <cell r="B704">
            <v>3.1503E-5</v>
          </cell>
        </row>
        <row r="705">
          <cell r="B705">
            <v>2.9275999999999999E-5</v>
          </cell>
        </row>
        <row r="706">
          <cell r="B706">
            <v>2.9116999999999999E-5</v>
          </cell>
        </row>
        <row r="707">
          <cell r="B707">
            <v>2.9178000000000001E-5</v>
          </cell>
        </row>
        <row r="708">
          <cell r="B708">
            <v>8.6577999999999997E-5</v>
          </cell>
        </row>
        <row r="709">
          <cell r="B709">
            <v>2.1092000000000001E-5</v>
          </cell>
        </row>
        <row r="710">
          <cell r="B710">
            <v>1.6813999999999999E-5</v>
          </cell>
        </row>
        <row r="711">
          <cell r="B711">
            <v>1.6818000000000001E-5</v>
          </cell>
        </row>
        <row r="712">
          <cell r="B712">
            <v>1.1148999999999999E-5</v>
          </cell>
        </row>
        <row r="713">
          <cell r="B713">
            <v>2.9383999999999999E-5</v>
          </cell>
        </row>
        <row r="714">
          <cell r="B714">
            <v>8.5089999999999993E-6</v>
          </cell>
        </row>
        <row r="715">
          <cell r="B715">
            <v>8.3240000000000003E-6</v>
          </cell>
        </row>
        <row r="716">
          <cell r="B716">
            <v>8.1839999999999999E-6</v>
          </cell>
        </row>
        <row r="717">
          <cell r="B717">
            <v>8.191E-6</v>
          </cell>
        </row>
        <row r="718">
          <cell r="B718">
            <v>2.3845E-5</v>
          </cell>
        </row>
        <row r="719">
          <cell r="B719">
            <v>7.9389999999999997E-6</v>
          </cell>
        </row>
        <row r="720">
          <cell r="B720">
            <v>7.4449999999999999E-6</v>
          </cell>
        </row>
        <row r="721">
          <cell r="B721">
            <v>7.2389999999999996E-6</v>
          </cell>
        </row>
        <row r="722">
          <cell r="B722">
            <v>6.6200000000000001E-6</v>
          </cell>
        </row>
        <row r="723">
          <cell r="B723">
            <v>2.1094000000000002E-5</v>
          </cell>
        </row>
        <row r="724">
          <cell r="B724">
            <v>6.3040000000000001E-6</v>
          </cell>
        </row>
        <row r="725">
          <cell r="B725">
            <v>6.3679999999999998E-6</v>
          </cell>
        </row>
        <row r="726">
          <cell r="B726">
            <v>6.4849999999999997E-6</v>
          </cell>
        </row>
        <row r="727">
          <cell r="B727">
            <v>2.6662999999999999E-5</v>
          </cell>
        </row>
        <row r="728">
          <cell r="B728">
            <v>6.1179999999999997E-6</v>
          </cell>
        </row>
        <row r="729">
          <cell r="B729">
            <v>6.7179999999999999E-6</v>
          </cell>
        </row>
        <row r="730">
          <cell r="B730">
            <v>6.8159999999999996E-6</v>
          </cell>
        </row>
        <row r="731">
          <cell r="B731">
            <v>5.8039999999999998E-6</v>
          </cell>
        </row>
        <row r="732">
          <cell r="B732">
            <v>1.7944E-5</v>
          </cell>
        </row>
        <row r="733">
          <cell r="B733">
            <v>5.9270000000000002E-6</v>
          </cell>
        </row>
        <row r="734">
          <cell r="B734">
            <v>5.2669999999999997E-6</v>
          </cell>
        </row>
        <row r="735">
          <cell r="B735">
            <v>4.9420000000000003E-6</v>
          </cell>
        </row>
        <row r="736">
          <cell r="B736">
            <v>5.0429999999999998E-6</v>
          </cell>
        </row>
        <row r="737">
          <cell r="B737">
            <v>1.537E-5</v>
          </cell>
        </row>
        <row r="738">
          <cell r="B738">
            <v>4.7500000000000003E-6</v>
          </cell>
        </row>
        <row r="739">
          <cell r="B739">
            <v>4.8319999999999996E-6</v>
          </cell>
        </row>
        <row r="740">
          <cell r="B740">
            <v>4.3769999999999998E-6</v>
          </cell>
        </row>
        <row r="741">
          <cell r="B741">
            <v>4.1819999999999999E-6</v>
          </cell>
        </row>
        <row r="742">
          <cell r="B742">
            <v>1.0891E-5</v>
          </cell>
        </row>
        <row r="743">
          <cell r="B743">
            <v>3.8210000000000003E-6</v>
          </cell>
        </row>
        <row r="744">
          <cell r="B744">
            <v>4.1559999999999997E-6</v>
          </cell>
        </row>
        <row r="745">
          <cell r="B745">
            <v>4.1350000000000002E-6</v>
          </cell>
        </row>
        <row r="746">
          <cell r="B746">
            <v>3.7979999999999999E-6</v>
          </cell>
        </row>
        <row r="747">
          <cell r="B747">
            <v>1.17E-5</v>
          </cell>
        </row>
        <row r="748">
          <cell r="B748">
            <v>3.6179999999999999E-6</v>
          </cell>
        </row>
        <row r="749">
          <cell r="B749">
            <v>3.6480000000000001E-6</v>
          </cell>
        </row>
        <row r="750">
          <cell r="B750">
            <v>3.455E-6</v>
          </cell>
        </row>
        <row r="751">
          <cell r="B751">
            <v>3.3699999999999999E-6</v>
          </cell>
        </row>
        <row r="752">
          <cell r="B752">
            <v>8.2740000000000007E-6</v>
          </cell>
        </row>
        <row r="753">
          <cell r="B753">
            <v>3.0680000000000001E-6</v>
          </cell>
        </row>
        <row r="754">
          <cell r="B754">
            <v>2.8930000000000001E-6</v>
          </cell>
        </row>
        <row r="755">
          <cell r="B755">
            <v>2.12E-6</v>
          </cell>
        </row>
        <row r="756">
          <cell r="B756">
            <v>2.058E-6</v>
          </cell>
        </row>
        <row r="757">
          <cell r="B757">
            <v>8.9719999999999998E-6</v>
          </cell>
        </row>
        <row r="758">
          <cell r="B758">
            <v>2.661E-6</v>
          </cell>
        </row>
        <row r="759">
          <cell r="B759">
            <v>2.5440000000000001E-6</v>
          </cell>
        </row>
        <row r="760">
          <cell r="B760">
            <v>2.6230000000000001E-6</v>
          </cell>
        </row>
        <row r="761">
          <cell r="B761">
            <v>5.2080000000000008E-6</v>
          </cell>
        </row>
        <row r="762">
          <cell r="B762">
            <v>2.6040000000000004E-6</v>
          </cell>
        </row>
        <row r="763">
          <cell r="B763">
            <v>2.615E-6</v>
          </cell>
        </row>
        <row r="764">
          <cell r="B764">
            <v>2.8420000000000001E-6</v>
          </cell>
        </row>
        <row r="765">
          <cell r="B765">
            <v>2.8169999999999999E-6</v>
          </cell>
        </row>
        <row r="766">
          <cell r="B766">
            <v>2.7750000000000001E-6</v>
          </cell>
        </row>
        <row r="767">
          <cell r="B767">
            <v>8.5799999999999992E-6</v>
          </cell>
        </row>
        <row r="768">
          <cell r="B768">
            <v>2.8399999999999999E-6</v>
          </cell>
        </row>
        <row r="769">
          <cell r="B769">
            <v>2.7819999999999998E-6</v>
          </cell>
        </row>
        <row r="770">
          <cell r="B770">
            <v>2.8420000000000001E-6</v>
          </cell>
        </row>
        <row r="771">
          <cell r="B771">
            <v>2.6910000000000002E-6</v>
          </cell>
        </row>
        <row r="772">
          <cell r="B772">
            <v>8.4800000000000001E-6</v>
          </cell>
        </row>
        <row r="773">
          <cell r="B773">
            <v>2.915E-6</v>
          </cell>
        </row>
        <row r="774">
          <cell r="B774">
            <v>2.8820000000000001E-6</v>
          </cell>
        </row>
        <row r="775">
          <cell r="B775">
            <v>2.8569999999999999E-6</v>
          </cell>
        </row>
        <row r="776">
          <cell r="B776">
            <v>2.8480000000000001E-6</v>
          </cell>
        </row>
        <row r="777">
          <cell r="B777">
            <v>8.6670000000000002E-6</v>
          </cell>
        </row>
        <row r="778">
          <cell r="B778">
            <v>2.339E-6</v>
          </cell>
        </row>
        <row r="779">
          <cell r="B779">
            <v>2.1959999999999998E-6</v>
          </cell>
        </row>
        <row r="780">
          <cell r="B780">
            <v>2.1730000000000002E-6</v>
          </cell>
        </row>
        <row r="781">
          <cell r="B781">
            <v>2.2639999999999998E-6</v>
          </cell>
        </row>
        <row r="782">
          <cell r="B782">
            <v>7.294E-6</v>
          </cell>
        </row>
        <row r="783">
          <cell r="B783">
            <v>2.306E-6</v>
          </cell>
        </row>
        <row r="784">
          <cell r="B784">
            <v>2.3350000000000001E-6</v>
          </cell>
        </row>
        <row r="785">
          <cell r="B785">
            <v>2.435E-6</v>
          </cell>
        </row>
        <row r="786">
          <cell r="B786">
            <v>1.0626E-5</v>
          </cell>
        </row>
        <row r="787">
          <cell r="B787">
            <v>2.5610000000000001E-6</v>
          </cell>
        </row>
        <row r="788">
          <cell r="B788">
            <v>2.4779999999999998E-6</v>
          </cell>
        </row>
        <row r="789">
          <cell r="B789">
            <v>2.4540000000000001E-6</v>
          </cell>
        </row>
        <row r="790">
          <cell r="B790">
            <v>2.4870000000000001E-6</v>
          </cell>
        </row>
        <row r="791">
          <cell r="B791">
            <v>6.9779999999999999E-6</v>
          </cell>
        </row>
        <row r="792">
          <cell r="B792">
            <v>2.1490000000000001E-6</v>
          </cell>
        </row>
        <row r="793">
          <cell r="B793">
            <v>2.2460000000000002E-6</v>
          </cell>
        </row>
        <row r="794">
          <cell r="B794">
            <v>2.5639999999999999E-6</v>
          </cell>
        </row>
        <row r="795">
          <cell r="B795">
            <v>2.5059999999999998E-6</v>
          </cell>
        </row>
        <row r="796">
          <cell r="B796">
            <v>7.3699999999999997E-6</v>
          </cell>
        </row>
        <row r="797">
          <cell r="B797">
            <v>2.3599999999999999E-6</v>
          </cell>
        </row>
        <row r="798">
          <cell r="B798">
            <v>2.2400000000000002E-6</v>
          </cell>
        </row>
        <row r="799">
          <cell r="B799">
            <v>2.181E-6</v>
          </cell>
        </row>
        <row r="800">
          <cell r="B800">
            <v>2.2120000000000002E-6</v>
          </cell>
        </row>
        <row r="801">
          <cell r="B801">
            <v>6.1659999999999999E-6</v>
          </cell>
        </row>
        <row r="802">
          <cell r="B802">
            <v>2.0140000000000001E-6</v>
          </cell>
        </row>
        <row r="803">
          <cell r="B803">
            <v>1.9089999999999998E-6</v>
          </cell>
        </row>
        <row r="804">
          <cell r="B804">
            <v>1.852E-6</v>
          </cell>
        </row>
        <row r="805">
          <cell r="B805">
            <v>1.77E-6</v>
          </cell>
        </row>
        <row r="806">
          <cell r="B806">
            <v>1.6769999999999998E-6</v>
          </cell>
        </row>
        <row r="807">
          <cell r="B807">
            <v>3.3549020795045808E-6</v>
          </cell>
        </row>
        <row r="808">
          <cell r="B808">
            <v>1.6739923778146566E-6</v>
          </cell>
        </row>
        <row r="809">
          <cell r="B809">
            <v>1.637E-6</v>
          </cell>
        </row>
        <row r="810">
          <cell r="B810">
            <v>1.581E-6</v>
          </cell>
        </row>
        <row r="811">
          <cell r="B811">
            <v>1.5340000000000001E-6</v>
          </cell>
        </row>
        <row r="812">
          <cell r="B812">
            <v>4.7439999999999998E-6</v>
          </cell>
        </row>
        <row r="813">
          <cell r="B813">
            <v>1.598E-6</v>
          </cell>
        </row>
        <row r="814">
          <cell r="B814">
            <v>1.6249999999999999E-6</v>
          </cell>
        </row>
        <row r="815">
          <cell r="B815">
            <v>1.748E-6</v>
          </cell>
        </row>
        <row r="816">
          <cell r="B816">
            <v>1.6270000000000001E-6</v>
          </cell>
        </row>
        <row r="817">
          <cell r="B817">
            <v>5.0710000000000002E-6</v>
          </cell>
        </row>
        <row r="818">
          <cell r="B818">
            <v>1.536E-6</v>
          </cell>
        </row>
        <row r="819">
          <cell r="B819">
            <v>1.5489999999999999E-6</v>
          </cell>
        </row>
        <row r="820">
          <cell r="B820">
            <v>1.5319999999999999E-6</v>
          </cell>
        </row>
        <row r="821">
          <cell r="B821">
            <v>1.2440000000000001E-6</v>
          </cell>
        </row>
        <row r="822">
          <cell r="B822">
            <v>3.7309999999999999E-6</v>
          </cell>
        </row>
        <row r="823">
          <cell r="B823">
            <v>1.254E-6</v>
          </cell>
        </row>
        <row r="824">
          <cell r="B824">
            <v>1.291E-6</v>
          </cell>
        </row>
        <row r="825">
          <cell r="B825">
            <v>1.263E-6</v>
          </cell>
        </row>
        <row r="826">
          <cell r="B826">
            <v>1.252E-6</v>
          </cell>
        </row>
        <row r="827">
          <cell r="B827">
            <v>3.6040000000000001E-6</v>
          </cell>
        </row>
        <row r="828">
          <cell r="B828">
            <v>1.0389999999999999E-6</v>
          </cell>
        </row>
        <row r="829">
          <cell r="B829">
            <v>1.0750000000000001E-6</v>
          </cell>
        </row>
        <row r="830">
          <cell r="B830">
            <v>1.0440000000000001E-6</v>
          </cell>
        </row>
        <row r="831">
          <cell r="B831">
            <v>1.0219999999999999E-6</v>
          </cell>
        </row>
        <row r="832">
          <cell r="B832">
            <v>4.5730000000000001E-6</v>
          </cell>
        </row>
        <row r="833">
          <cell r="B833">
            <v>9.8899999999999998E-7</v>
          </cell>
        </row>
        <row r="834">
          <cell r="B834">
            <v>1.063E-6</v>
          </cell>
        </row>
        <row r="835">
          <cell r="B835">
            <v>1.0070000000000001E-6</v>
          </cell>
        </row>
        <row r="836">
          <cell r="B836">
            <v>2.9079999999999999E-6</v>
          </cell>
        </row>
        <row r="837">
          <cell r="B837">
            <v>1.001E-6</v>
          </cell>
        </row>
        <row r="838">
          <cell r="B838">
            <v>9.6099999999999999E-7</v>
          </cell>
        </row>
        <row r="839">
          <cell r="B839">
            <v>9.6800000000000009E-7</v>
          </cell>
        </row>
        <row r="840">
          <cell r="B840">
            <v>1.0470000000000001E-6</v>
          </cell>
        </row>
        <row r="841">
          <cell r="B841">
            <v>3.1549999999999999E-6</v>
          </cell>
        </row>
        <row r="842">
          <cell r="B842">
            <v>8.2500000000000004E-7</v>
          </cell>
        </row>
        <row r="843">
          <cell r="B843">
            <v>6.8999999999999996E-7</v>
          </cell>
        </row>
        <row r="844">
          <cell r="B844">
            <v>6.0900000000000001E-7</v>
          </cell>
        </row>
        <row r="845">
          <cell r="B845">
            <v>5.5700000000000002E-7</v>
          </cell>
        </row>
        <row r="846">
          <cell r="B846">
            <v>2.1940000000000001E-6</v>
          </cell>
        </row>
        <row r="847">
          <cell r="B847">
            <v>8.0699999999999996E-7</v>
          </cell>
        </row>
        <row r="848">
          <cell r="B848">
            <v>6.3799999999999997E-7</v>
          </cell>
        </row>
        <row r="849">
          <cell r="B849">
            <v>5.3000000000000001E-7</v>
          </cell>
        </row>
        <row r="850">
          <cell r="B850">
            <v>5.2399999999999998E-7</v>
          </cell>
        </row>
        <row r="851">
          <cell r="B851">
            <v>1.9089999999999998E-6</v>
          </cell>
        </row>
        <row r="852">
          <cell r="B852">
            <v>8.9500000000000001E-7</v>
          </cell>
        </row>
        <row r="853">
          <cell r="B853">
            <v>7.6000000000000003E-7</v>
          </cell>
        </row>
        <row r="854">
          <cell r="B854">
            <v>7.7599999999999996E-7</v>
          </cell>
        </row>
        <row r="855">
          <cell r="B855">
            <v>5.2300000000000001E-7</v>
          </cell>
        </row>
        <row r="856">
          <cell r="B856">
            <v>1.79E-6</v>
          </cell>
        </row>
        <row r="857">
          <cell r="B857">
            <v>5.9400000000000005E-7</v>
          </cell>
        </row>
        <row r="858">
          <cell r="B858">
            <v>6.8199999999999999E-7</v>
          </cell>
        </row>
        <row r="859">
          <cell r="B859">
            <v>6.5300000000000004E-7</v>
          </cell>
        </row>
        <row r="860">
          <cell r="B860">
            <v>6.9400000000000005E-7</v>
          </cell>
        </row>
        <row r="861">
          <cell r="B861">
            <v>2.1280000000000002E-6</v>
          </cell>
        </row>
        <row r="862">
          <cell r="B862">
            <v>6.0800000000000004E-7</v>
          </cell>
        </row>
        <row r="863">
          <cell r="B863">
            <v>6.2600000000000002E-7</v>
          </cell>
        </row>
        <row r="864">
          <cell r="B864">
            <v>5.2099999999999997E-7</v>
          </cell>
        </row>
        <row r="865">
          <cell r="B865">
            <v>3.9400000000000001E-7</v>
          </cell>
        </row>
        <row r="866">
          <cell r="B866">
            <v>1.457E-6</v>
          </cell>
        </row>
        <row r="867">
          <cell r="B867">
            <v>5.3499999999999996E-7</v>
          </cell>
        </row>
        <row r="868">
          <cell r="B868">
            <v>5.0699999999999997E-7</v>
          </cell>
        </row>
        <row r="869">
          <cell r="B869">
            <v>6.4899999999999995E-7</v>
          </cell>
        </row>
        <row r="870">
          <cell r="B870">
            <v>4.3799999999999998E-7</v>
          </cell>
        </row>
        <row r="871">
          <cell r="B871">
            <v>6.4099999999999998E-7</v>
          </cell>
        </row>
        <row r="872">
          <cell r="B872">
            <v>6.4099999999999998E-7</v>
          </cell>
        </row>
        <row r="873">
          <cell r="B873">
            <v>6.4100851115067429E-7</v>
          </cell>
        </row>
        <row r="874">
          <cell r="B874">
            <v>5.5199148884932566E-7</v>
          </cell>
        </row>
        <row r="875">
          <cell r="B875">
            <v>6.1500000000000004E-7</v>
          </cell>
        </row>
        <row r="876">
          <cell r="B876">
            <v>6.3499999999999996E-7</v>
          </cell>
        </row>
        <row r="877">
          <cell r="B877">
            <v>6.2900000000000003E-7</v>
          </cell>
        </row>
        <row r="878">
          <cell r="B878">
            <v>2.2460000000000002E-6</v>
          </cell>
        </row>
        <row r="879">
          <cell r="B879">
            <v>6.2300000000000001E-7</v>
          </cell>
        </row>
        <row r="880">
          <cell r="B880">
            <v>6.4899999999999995E-7</v>
          </cell>
        </row>
        <row r="881">
          <cell r="B881">
            <v>6.5000000000000002E-7</v>
          </cell>
        </row>
        <row r="882">
          <cell r="B882">
            <v>5.6899999999999997E-7</v>
          </cell>
        </row>
        <row r="883">
          <cell r="B883">
            <v>1.64E-6</v>
          </cell>
        </row>
        <row r="884">
          <cell r="B884">
            <v>2.7399999999999999E-7</v>
          </cell>
        </row>
        <row r="885">
          <cell r="B885">
            <v>2.7399999999999999E-7</v>
          </cell>
        </row>
        <row r="886">
          <cell r="B886">
            <v>2.7399999999999999E-7</v>
          </cell>
        </row>
        <row r="887">
          <cell r="B887">
            <v>2.7399999999999999E-7</v>
          </cell>
        </row>
        <row r="888">
          <cell r="B888">
            <v>8.2200000000000003E-7</v>
          </cell>
        </row>
        <row r="889">
          <cell r="B889">
            <v>2.7399999999999999E-7</v>
          </cell>
        </row>
        <row r="890">
          <cell r="B890">
            <v>2.7399999999999999E-7</v>
          </cell>
        </row>
        <row r="891">
          <cell r="B891">
            <v>5.4799999999999998E-7</v>
          </cell>
        </row>
        <row r="892">
          <cell r="B892">
            <v>8.2200000000000003E-7</v>
          </cell>
        </row>
        <row r="893">
          <cell r="B893">
            <v>2.7399999999999999E-7</v>
          </cell>
        </row>
        <row r="894">
          <cell r="B894">
            <v>2.7399999999999999E-7</v>
          </cell>
        </row>
        <row r="895">
          <cell r="B895">
            <v>2.7399999999999999E-7</v>
          </cell>
        </row>
        <row r="896">
          <cell r="B896">
            <v>2.7399999999999999E-7</v>
          </cell>
        </row>
        <row r="897">
          <cell r="B897">
            <v>8.2200000000000003E-7</v>
          </cell>
        </row>
        <row r="898">
          <cell r="B898">
            <v>2.7399999999999999E-7</v>
          </cell>
        </row>
        <row r="899">
          <cell r="B899">
            <v>2.7399999999999999E-7</v>
          </cell>
        </row>
        <row r="900">
          <cell r="B900">
            <v>2.7399999999999999E-7</v>
          </cell>
        </row>
        <row r="901">
          <cell r="B901">
            <v>2.7399999999999999E-7</v>
          </cell>
        </row>
        <row r="902">
          <cell r="B902">
            <v>8.2699999999999998E-7</v>
          </cell>
        </row>
        <row r="903">
          <cell r="B903">
            <v>2.7399999999999999E-7</v>
          </cell>
        </row>
        <row r="904">
          <cell r="B904">
            <v>2.7399999999999999E-7</v>
          </cell>
        </row>
        <row r="905">
          <cell r="B905">
            <v>2.7399999999999999E-7</v>
          </cell>
        </row>
        <row r="906">
          <cell r="B906">
            <v>2.7399999999999999E-7</v>
          </cell>
        </row>
        <row r="907">
          <cell r="B907">
            <v>9.7399999999999991E-7</v>
          </cell>
        </row>
        <row r="908">
          <cell r="B908">
            <v>8.2200000000000003E-7</v>
          </cell>
        </row>
        <row r="909">
          <cell r="B909">
            <v>8.2200000000000003E-7</v>
          </cell>
        </row>
        <row r="910">
          <cell r="B910">
            <v>8.2200000000000003E-7</v>
          </cell>
        </row>
        <row r="911">
          <cell r="B911">
            <v>8.2199999999999992E-7</v>
          </cell>
        </row>
        <row r="912">
          <cell r="B912">
            <v>2.4660000000000002E-6</v>
          </cell>
        </row>
        <row r="913">
          <cell r="B913">
            <v>8.2200000000000003E-7</v>
          </cell>
        </row>
        <row r="914">
          <cell r="B914">
            <v>8.2200000000000003E-7</v>
          </cell>
        </row>
        <row r="915">
          <cell r="B915">
            <v>8.2200000000000003E-7</v>
          </cell>
        </row>
        <row r="917">
          <cell r="B917">
            <v>2.4660000000000002E-6</v>
          </cell>
        </row>
        <row r="918">
          <cell r="B918">
            <v>8.2200000000000003E-7</v>
          </cell>
        </row>
        <row r="919">
          <cell r="B919">
            <v>8.2200000000000003E-7</v>
          </cell>
        </row>
        <row r="920">
          <cell r="B920">
            <v>8.2200000000000003E-7</v>
          </cell>
        </row>
        <row r="921">
          <cell r="B921">
            <v>8.2200000000000003E-7</v>
          </cell>
        </row>
        <row r="922">
          <cell r="B922">
            <v>2.4660000000000002E-6</v>
          </cell>
        </row>
        <row r="923">
          <cell r="B923">
            <v>8.2200000000000003E-7</v>
          </cell>
        </row>
        <row r="924">
          <cell r="B924">
            <v>8.2200000000000003E-7</v>
          </cell>
        </row>
        <row r="925">
          <cell r="B925">
            <v>8.2200000000000003E-7</v>
          </cell>
        </row>
        <row r="926">
          <cell r="B926">
            <v>8.2200000000000003E-7</v>
          </cell>
        </row>
        <row r="927">
          <cell r="B927">
            <v>3.2880000000000001E-6</v>
          </cell>
        </row>
        <row r="928">
          <cell r="B928">
            <v>8.2200000000000003E-7</v>
          </cell>
        </row>
        <row r="929">
          <cell r="B929">
            <v>8.2200000000000003E-7</v>
          </cell>
        </row>
        <row r="930">
          <cell r="B930">
            <v>8.2200000000000003E-7</v>
          </cell>
        </row>
        <row r="931">
          <cell r="B931">
            <v>2.4660000000000002E-6</v>
          </cell>
        </row>
        <row r="932">
          <cell r="B932">
            <v>8.2200000000000003E-7</v>
          </cell>
        </row>
        <row r="933">
          <cell r="B933">
            <v>8.2200000000000003E-7</v>
          </cell>
        </row>
        <row r="934">
          <cell r="B934">
            <v>8.2200000000000003E-7</v>
          </cell>
        </row>
        <row r="935">
          <cell r="B935">
            <v>8.2200000000000003E-7</v>
          </cell>
        </row>
        <row r="936">
          <cell r="B936">
            <v>1.6440000000000001E-6</v>
          </cell>
        </row>
        <row r="937">
          <cell r="B937">
            <v>8.2200000000000003E-7</v>
          </cell>
        </row>
        <row r="938">
          <cell r="B938">
            <v>8.2200000000000003E-7</v>
          </cell>
        </row>
        <row r="939">
          <cell r="B939">
            <v>8.2200000000000003E-7</v>
          </cell>
        </row>
        <row r="940">
          <cell r="B940">
            <v>8.2200000000000003E-7</v>
          </cell>
        </row>
        <row r="941">
          <cell r="B941">
            <v>8.2200000000000003E-7</v>
          </cell>
        </row>
        <row r="942">
          <cell r="B942">
            <v>2.4660000000000002E-6</v>
          </cell>
        </row>
        <row r="943">
          <cell r="B943">
            <v>8.2200000000000003E-7</v>
          </cell>
        </row>
        <row r="944">
          <cell r="B944">
            <v>8.2200000000000003E-7</v>
          </cell>
        </row>
        <row r="945">
          <cell r="B945">
            <v>8.2200000000000003E-7</v>
          </cell>
        </row>
        <row r="946">
          <cell r="B946">
            <v>8.2200000000000003E-7</v>
          </cell>
        </row>
        <row r="947">
          <cell r="B947">
            <v>3.2880000000000001E-6</v>
          </cell>
        </row>
        <row r="948">
          <cell r="B948">
            <v>8.2200000000000003E-7</v>
          </cell>
        </row>
        <row r="949">
          <cell r="B949">
            <v>8.2200000000000003E-7</v>
          </cell>
        </row>
        <row r="950">
          <cell r="B950">
            <v>8.2200000000000003E-7</v>
          </cell>
        </row>
        <row r="951">
          <cell r="B951">
            <v>2.4660000000000002E-6</v>
          </cell>
        </row>
        <row r="952">
          <cell r="B952">
            <v>8.2200000000000003E-7</v>
          </cell>
        </row>
        <row r="953">
          <cell r="B953">
            <v>8.2200000000000003E-7</v>
          </cell>
        </row>
        <row r="954">
          <cell r="B954">
            <v>8.2200000000000003E-7</v>
          </cell>
        </row>
        <row r="955">
          <cell r="B955">
            <v>8.2200000000000003E-7</v>
          </cell>
        </row>
        <row r="956">
          <cell r="B956">
            <v>8.2200000000000003E-7</v>
          </cell>
        </row>
        <row r="957">
          <cell r="B957">
            <v>8.2200000000000003E-7</v>
          </cell>
        </row>
        <row r="958">
          <cell r="B958">
            <v>8.2200000000000003E-7</v>
          </cell>
        </row>
        <row r="959">
          <cell r="B959">
            <v>8.2200000000000003E-7</v>
          </cell>
        </row>
        <row r="960">
          <cell r="B960">
            <v>8.2200000000000003E-7</v>
          </cell>
        </row>
        <row r="961">
          <cell r="B961">
            <v>8.2200000000000003E-7</v>
          </cell>
        </row>
        <row r="962">
          <cell r="B962">
            <v>8.2200000000000003E-7</v>
          </cell>
        </row>
        <row r="963">
          <cell r="B963">
            <v>2.4660000000000002E-6</v>
          </cell>
        </row>
        <row r="964">
          <cell r="B964">
            <v>8.2200000000000003E-7</v>
          </cell>
        </row>
        <row r="965">
          <cell r="B965">
            <v>8.2200000000000003E-7</v>
          </cell>
        </row>
        <row r="966">
          <cell r="B966">
            <v>8.2200000000000003E-7</v>
          </cell>
        </row>
        <row r="967">
          <cell r="B967">
            <v>8.2200000000000003E-7</v>
          </cell>
        </row>
        <row r="968">
          <cell r="B968">
            <v>2.4660000000000002E-6</v>
          </cell>
        </row>
        <row r="969">
          <cell r="B969">
            <v>8.2200000000000003E-7</v>
          </cell>
        </row>
        <row r="970">
          <cell r="B970">
            <v>8.2200000000000003E-7</v>
          </cell>
        </row>
        <row r="971">
          <cell r="B971">
            <v>8.2200000000000003E-7</v>
          </cell>
        </row>
        <row r="972">
          <cell r="B972">
            <v>8.2200000000000003E-7</v>
          </cell>
        </row>
        <row r="973">
          <cell r="B973">
            <v>2.4660000000000002E-6</v>
          </cell>
        </row>
        <row r="974">
          <cell r="B974">
            <v>8.2200000000000003E-7</v>
          </cell>
        </row>
        <row r="975">
          <cell r="B975">
            <v>8.2200000000000003E-7</v>
          </cell>
        </row>
        <row r="976">
          <cell r="B976">
            <v>8.2200000000000003E-7</v>
          </cell>
        </row>
        <row r="977">
          <cell r="B977">
            <v>8.2200000000000003E-7</v>
          </cell>
        </row>
        <row r="978">
          <cell r="B978">
            <v>2.4660000000000002E-6</v>
          </cell>
        </row>
        <row r="979">
          <cell r="B979">
            <v>8.2200000000000003E-7</v>
          </cell>
        </row>
        <row r="980">
          <cell r="B980">
            <v>8.2200000000000003E-7</v>
          </cell>
        </row>
        <row r="981">
          <cell r="B981">
            <v>8.2200000000000003E-7</v>
          </cell>
        </row>
        <row r="982">
          <cell r="B982">
            <v>3.2880000000000001E-6</v>
          </cell>
        </row>
        <row r="983">
          <cell r="B983">
            <v>8.2200000000000003E-7</v>
          </cell>
        </row>
        <row r="984">
          <cell r="B984">
            <v>8.2200000000000003E-7</v>
          </cell>
        </row>
        <row r="985">
          <cell r="B985">
            <v>8.2200000000000003E-7</v>
          </cell>
        </row>
        <row r="986">
          <cell r="B986">
            <v>8.2200000000000003E-7</v>
          </cell>
        </row>
        <row r="987">
          <cell r="B987">
            <v>2.4660000000000002E-6</v>
          </cell>
        </row>
        <row r="988">
          <cell r="B988">
            <v>8.2200000000000003E-7</v>
          </cell>
        </row>
        <row r="989">
          <cell r="B989">
            <v>8.2200000000000003E-7</v>
          </cell>
        </row>
        <row r="990">
          <cell r="B990">
            <v>8.2200000000000003E-7</v>
          </cell>
        </row>
        <row r="991">
          <cell r="B991">
            <v>8.2200000000000003E-7</v>
          </cell>
        </row>
        <row r="992">
          <cell r="B992">
            <v>2.4660000000000002E-6</v>
          </cell>
        </row>
        <row r="993">
          <cell r="B993">
            <v>8.2200000000000003E-7</v>
          </cell>
        </row>
        <row r="994">
          <cell r="B994">
            <v>8.2200000000000003E-7</v>
          </cell>
        </row>
        <row r="995">
          <cell r="B995">
            <v>8.2200000000000003E-7</v>
          </cell>
        </row>
        <row r="996">
          <cell r="B996">
            <v>8.2200000000000003E-7</v>
          </cell>
        </row>
        <row r="997">
          <cell r="B997">
            <v>2.4660000000000002E-6</v>
          </cell>
        </row>
        <row r="998">
          <cell r="B998">
            <v>8.2200000000000003E-7</v>
          </cell>
        </row>
        <row r="999">
          <cell r="B999">
            <v>8.2200000000000003E-7</v>
          </cell>
        </row>
        <row r="1000">
          <cell r="B1000">
            <v>8.2200000000000003E-7</v>
          </cell>
        </row>
        <row r="1001">
          <cell r="B1001">
            <v>8.2200000000000003E-7</v>
          </cell>
        </row>
        <row r="1002">
          <cell r="B1002">
            <v>8.2200000000000003E-7</v>
          </cell>
        </row>
        <row r="1003">
          <cell r="B1003">
            <v>1.6440000000000001E-6</v>
          </cell>
        </row>
        <row r="1004">
          <cell r="B1004">
            <v>8.2200000000000003E-7</v>
          </cell>
        </row>
        <row r="1005">
          <cell r="B1005">
            <v>8.2200000000000003E-7</v>
          </cell>
        </row>
        <row r="1006">
          <cell r="B1006">
            <v>8.2200000000000003E-7</v>
          </cell>
        </row>
        <row r="1007">
          <cell r="B1007">
            <v>8.2200000000000003E-7</v>
          </cell>
        </row>
        <row r="1008">
          <cell r="B1008">
            <v>2.4660000000000002E-6</v>
          </cell>
        </row>
        <row r="1009">
          <cell r="B1009">
            <v>8.2200000000000003E-7</v>
          </cell>
        </row>
        <row r="1010">
          <cell r="B1010">
            <v>8.2200000000000003E-7</v>
          </cell>
        </row>
        <row r="1011">
          <cell r="B1011">
            <v>8.2200000000000003E-7</v>
          </cell>
        </row>
        <row r="1012">
          <cell r="B1012">
            <v>8.2200000000000003E-7</v>
          </cell>
        </row>
        <row r="1013">
          <cell r="B1013">
            <v>2.4660000000000002E-6</v>
          </cell>
        </row>
        <row r="1014">
          <cell r="B1014">
            <v>8.2200000000000003E-7</v>
          </cell>
        </row>
        <row r="1015">
          <cell r="B1015">
            <v>8.2200000000000003E-7</v>
          </cell>
        </row>
        <row r="1016">
          <cell r="B1016">
            <v>8.2200000000000003E-7</v>
          </cell>
        </row>
        <row r="1017">
          <cell r="B1017">
            <v>8.2200000000000003E-7</v>
          </cell>
        </row>
        <row r="1018">
          <cell r="B1018">
            <v>2.4660000000000002E-6</v>
          </cell>
        </row>
        <row r="1019">
          <cell r="B1019">
            <v>8.2200000000000003E-7</v>
          </cell>
        </row>
        <row r="1020">
          <cell r="B1020">
            <v>8.2200000000000003E-7</v>
          </cell>
        </row>
        <row r="1021">
          <cell r="B1021">
            <v>8.2200000000000003E-7</v>
          </cell>
        </row>
        <row r="1022">
          <cell r="B1022">
            <v>8.2200000000000003E-7</v>
          </cell>
        </row>
        <row r="1023">
          <cell r="B1023">
            <v>2.4660000000000002E-6</v>
          </cell>
        </row>
        <row r="1024">
          <cell r="B1024">
            <v>8.2200000000000003E-7</v>
          </cell>
        </row>
        <row r="1025">
          <cell r="B1025">
            <v>8.2200000000000003E-7</v>
          </cell>
        </row>
        <row r="1026">
          <cell r="B1026">
            <v>8.2200000000000003E-7</v>
          </cell>
        </row>
        <row r="1027">
          <cell r="B1027">
            <v>8.2200000000000003E-7</v>
          </cell>
        </row>
        <row r="1028">
          <cell r="B1028">
            <v>2.4660000000000002E-6</v>
          </cell>
        </row>
        <row r="1029">
          <cell r="B1029">
            <v>8.2200000000000003E-7</v>
          </cell>
        </row>
        <row r="1030">
          <cell r="B1030">
            <v>8.2200000000000003E-7</v>
          </cell>
        </row>
        <row r="1031">
          <cell r="B1031">
            <v>5.4799999999999998E-7</v>
          </cell>
        </row>
        <row r="1032">
          <cell r="B1032">
            <v>5.4799999999999998E-7</v>
          </cell>
        </row>
        <row r="1033">
          <cell r="B1033">
            <v>1.6440000000000001E-6</v>
          </cell>
        </row>
        <row r="1034">
          <cell r="B1034">
            <v>5.4799999999999998E-7</v>
          </cell>
        </row>
        <row r="1035">
          <cell r="B1035">
            <v>5.4799999999999998E-7</v>
          </cell>
        </row>
        <row r="1036">
          <cell r="B1036">
            <v>5.4799999999999998E-7</v>
          </cell>
        </row>
        <row r="1037">
          <cell r="B1037">
            <v>5.4799999999999998E-7</v>
          </cell>
        </row>
        <row r="1038">
          <cell r="B1038">
            <v>2.4660000000000002E-6</v>
          </cell>
        </row>
        <row r="1039">
          <cell r="B1039">
            <v>8.2200000000000003E-7</v>
          </cell>
        </row>
        <row r="1040">
          <cell r="B1040">
            <v>8.2200000000000003E-7</v>
          </cell>
        </row>
        <row r="1041">
          <cell r="B1041">
            <v>8.2200000000000003E-7</v>
          </cell>
        </row>
        <row r="1042">
          <cell r="B1042">
            <v>8.2200000000000003E-7</v>
          </cell>
        </row>
        <row r="1043">
          <cell r="B1043">
            <v>2.4660000000000002E-6</v>
          </cell>
        </row>
        <row r="1044">
          <cell r="B1044">
            <v>8.2200000000000003E-7</v>
          </cell>
        </row>
        <row r="1045">
          <cell r="B1045">
            <v>8.2200000000000003E-7</v>
          </cell>
        </row>
        <row r="1046">
          <cell r="B1046">
            <v>8.2200000000000003E-7</v>
          </cell>
        </row>
        <row r="1047">
          <cell r="B1047">
            <v>8.2200000000000003E-7</v>
          </cell>
        </row>
        <row r="1048">
          <cell r="B1048">
            <v>3.2880000000000001E-6</v>
          </cell>
        </row>
        <row r="1049">
          <cell r="B1049">
            <v>8.2200000000000003E-7</v>
          </cell>
        </row>
        <row r="1050">
          <cell r="B1050">
            <v>8.2200000000000003E-7</v>
          </cell>
        </row>
        <row r="1051">
          <cell r="B1051">
            <v>8.2200000000000003E-7</v>
          </cell>
        </row>
        <row r="1052">
          <cell r="B1052">
            <v>2.4660000000000002E-6</v>
          </cell>
        </row>
        <row r="1053">
          <cell r="B1053">
            <v>8.2200000000000003E-7</v>
          </cell>
        </row>
        <row r="1054">
          <cell r="B1054">
            <v>8.2200000000000003E-7</v>
          </cell>
        </row>
        <row r="1055">
          <cell r="B1055">
            <v>8.2200000000000003E-7</v>
          </cell>
        </row>
        <row r="1056">
          <cell r="B1056">
            <v>8.2200000000000003E-7</v>
          </cell>
        </row>
        <row r="1057">
          <cell r="B1057">
            <v>2.4660000000000002E-6</v>
          </cell>
        </row>
        <row r="1058">
          <cell r="B1058">
            <v>8.2200000000000003E-7</v>
          </cell>
        </row>
        <row r="1059">
          <cell r="B1059">
            <v>8.2200000000000003E-7</v>
          </cell>
        </row>
        <row r="1060">
          <cell r="B1060">
            <v>8.2200000000000003E-7</v>
          </cell>
        </row>
        <row r="1061">
          <cell r="B1061">
            <v>8.2200000000000003E-7</v>
          </cell>
        </row>
        <row r="1062">
          <cell r="B1062">
            <v>2.4660000000000002E-6</v>
          </cell>
        </row>
        <row r="1063">
          <cell r="B1063">
            <v>8.2200000000000003E-7</v>
          </cell>
        </row>
        <row r="1064">
          <cell r="B1064">
            <v>8.2200000000000003E-7</v>
          </cell>
        </row>
        <row r="1065">
          <cell r="B1065">
            <v>8.2200000000000003E-7</v>
          </cell>
        </row>
        <row r="1066">
          <cell r="B1066">
            <v>8.2200000000000003E-7</v>
          </cell>
        </row>
        <row r="1067">
          <cell r="B1067">
            <v>8.2200000000000003E-7</v>
          </cell>
        </row>
        <row r="1068">
          <cell r="B1068">
            <v>8.2200000000000003E-7</v>
          </cell>
        </row>
        <row r="1069">
          <cell r="B1069">
            <v>8.2200000000000003E-7</v>
          </cell>
        </row>
        <row r="1070">
          <cell r="B1070">
            <v>8.2200000000000003E-7</v>
          </cell>
        </row>
        <row r="1071">
          <cell r="B1071">
            <v>8.2200000000000003E-7</v>
          </cell>
        </row>
        <row r="1072">
          <cell r="B1072">
            <v>8.2200000000000003E-7</v>
          </cell>
        </row>
        <row r="1073">
          <cell r="B1073">
            <v>8.2200000000000003E-7</v>
          </cell>
        </row>
        <row r="1074">
          <cell r="B1074">
            <v>2.4660000000000002E-6</v>
          </cell>
        </row>
        <row r="1075">
          <cell r="B1075">
            <v>8.2200000000000003E-7</v>
          </cell>
        </row>
        <row r="1076">
          <cell r="B1076">
            <v>8.2200000000000003E-7</v>
          </cell>
        </row>
        <row r="1077">
          <cell r="B1077">
            <v>8.2200000000000003E-7</v>
          </cell>
        </row>
        <row r="1078">
          <cell r="B1078">
            <v>8.2200000000000003E-7</v>
          </cell>
        </row>
        <row r="1079">
          <cell r="B1079">
            <v>2.4660000000000002E-6</v>
          </cell>
        </row>
        <row r="1080">
          <cell r="B1080">
            <v>8.2200000000000003E-7</v>
          </cell>
        </row>
        <row r="1081">
          <cell r="B1081">
            <v>8.2200000000000003E-7</v>
          </cell>
        </row>
        <row r="1082">
          <cell r="B1082">
            <v>8.2200000000000003E-7</v>
          </cell>
        </row>
        <row r="1083">
          <cell r="B1083">
            <v>8.2200000000000003E-7</v>
          </cell>
        </row>
        <row r="1084">
          <cell r="B1084">
            <v>2.4660000000000002E-6</v>
          </cell>
        </row>
        <row r="1085">
          <cell r="B1085">
            <v>8.2200000000000003E-7</v>
          </cell>
        </row>
        <row r="1086">
          <cell r="B1086">
            <v>8.2200000000000003E-7</v>
          </cell>
        </row>
        <row r="1087">
          <cell r="B1087">
            <v>8.2200000000000003E-7</v>
          </cell>
        </row>
        <row r="1088">
          <cell r="B1088">
            <v>8.2200000000000003E-7</v>
          </cell>
        </row>
        <row r="1089">
          <cell r="B1089">
            <v>2.4657534246575337E-6</v>
          </cell>
        </row>
        <row r="1090">
          <cell r="B1090">
            <v>8.2191780821917796E-7</v>
          </cell>
        </row>
        <row r="1091">
          <cell r="B1091">
            <v>8.2191780821917796E-7</v>
          </cell>
        </row>
        <row r="1092">
          <cell r="B1092">
            <v>8.2191780821917796E-7</v>
          </cell>
        </row>
        <row r="1093">
          <cell r="B1093">
            <v>8.2191780821917796E-7</v>
          </cell>
        </row>
        <row r="1094">
          <cell r="B1094">
            <v>3.2876712328767118E-6</v>
          </cell>
        </row>
        <row r="1095">
          <cell r="B1095">
            <v>8.2191780821917796E-7</v>
          </cell>
        </row>
        <row r="1096">
          <cell r="B1096">
            <v>8.2191780821917796E-7</v>
          </cell>
        </row>
        <row r="1097">
          <cell r="B1097">
            <v>8.2191780821917796E-7</v>
          </cell>
        </row>
        <row r="1098">
          <cell r="B1098">
            <v>2.4657534246575337E-6</v>
          </cell>
        </row>
        <row r="1099">
          <cell r="B1099">
            <v>8.2191780821917796E-7</v>
          </cell>
        </row>
        <row r="1100">
          <cell r="B1100">
            <v>8.2191780821917796E-7</v>
          </cell>
        </row>
        <row r="1101">
          <cell r="B1101">
            <v>8.2191780821917796E-7</v>
          </cell>
        </row>
        <row r="1102">
          <cell r="B1102">
            <v>8.2191780821917796E-7</v>
          </cell>
        </row>
        <row r="1103">
          <cell r="B1103">
            <v>2.4657534246575337E-6</v>
          </cell>
        </row>
        <row r="1104">
          <cell r="B1104">
            <v>8.2191780821917796E-7</v>
          </cell>
        </row>
        <row r="1105">
          <cell r="B1105">
            <v>8.2191780821917796E-7</v>
          </cell>
        </row>
        <row r="1106">
          <cell r="B1106">
            <v>8.2191780821917796E-7</v>
          </cell>
        </row>
        <row r="1107">
          <cell r="B1107">
            <v>8.2191780821917796E-7</v>
          </cell>
        </row>
        <row r="1108">
          <cell r="B1108">
            <v>2.4657534246575337E-6</v>
          </cell>
        </row>
        <row r="1109">
          <cell r="B1109">
            <v>8.2191780821917796E-7</v>
          </cell>
        </row>
        <row r="1110">
          <cell r="B1110">
            <v>8.2191780821917796E-7</v>
          </cell>
        </row>
        <row r="1111">
          <cell r="B1111">
            <v>8.2191780821917796E-7</v>
          </cell>
        </row>
        <row r="1112">
          <cell r="B1112">
            <v>8.2191780821917796E-7</v>
          </cell>
        </row>
        <row r="1113">
          <cell r="B1113">
            <v>2.4657534246575337E-6</v>
          </cell>
        </row>
        <row r="1114">
          <cell r="B1114">
            <v>8.2191780821917796E-7</v>
          </cell>
        </row>
        <row r="1115">
          <cell r="B1115">
            <v>8.2191780821917796E-7</v>
          </cell>
        </row>
        <row r="1116">
          <cell r="B1116">
            <v>8.2191780821917796E-7</v>
          </cell>
        </row>
        <row r="1117">
          <cell r="B1117">
            <v>8.2191780821917796E-7</v>
          </cell>
        </row>
        <row r="1118">
          <cell r="B1118">
            <v>3.2876712328767118E-6</v>
          </cell>
        </row>
        <row r="1119">
          <cell r="B1119">
            <v>8.2191780821917796E-7</v>
          </cell>
        </row>
        <row r="1120">
          <cell r="B1120">
            <v>8.2191780821917796E-7</v>
          </cell>
        </row>
        <row r="1121">
          <cell r="B1121">
            <v>8.2191780821917796E-7</v>
          </cell>
        </row>
        <row r="1122">
          <cell r="B1122">
            <v>2.4657534246575337E-6</v>
          </cell>
        </row>
        <row r="1123">
          <cell r="B1123">
            <v>8.2191780821917796E-7</v>
          </cell>
        </row>
        <row r="1124">
          <cell r="B1124">
            <v>8.2191780821917796E-7</v>
          </cell>
        </row>
        <row r="1125">
          <cell r="B1125">
            <v>8.2191780821917796E-7</v>
          </cell>
        </row>
        <row r="1126">
          <cell r="B1126">
            <v>8.2191780821917796E-7</v>
          </cell>
        </row>
        <row r="1127">
          <cell r="B1127">
            <v>2.4657534246575337E-6</v>
          </cell>
        </row>
        <row r="1128">
          <cell r="B1128">
            <v>8.2191780821917796E-7</v>
          </cell>
        </row>
        <row r="1129">
          <cell r="B1129">
            <v>8.2191780821917796E-7</v>
          </cell>
        </row>
        <row r="1130">
          <cell r="B1130">
            <v>8.2191780821917796E-7</v>
          </cell>
        </row>
        <row r="1131">
          <cell r="B1131">
            <v>8.2191780821917796E-7</v>
          </cell>
        </row>
        <row r="1132">
          <cell r="B1132">
            <v>1.6438356164383599E-6</v>
          </cell>
        </row>
        <row r="1133">
          <cell r="B1133">
            <v>8.2191780821917796E-7</v>
          </cell>
        </row>
        <row r="1134">
          <cell r="B1134">
            <v>8.2191780821917796E-7</v>
          </cell>
        </row>
        <row r="1135">
          <cell r="B1135">
            <v>8.2191780821917796E-7</v>
          </cell>
        </row>
        <row r="1136">
          <cell r="B1136">
            <v>8.2191780821917796E-7</v>
          </cell>
        </row>
        <row r="1137">
          <cell r="B1137">
            <v>8.2191780821917796E-7</v>
          </cell>
        </row>
        <row r="1138">
          <cell r="B1138">
            <v>2.4657534246575337E-6</v>
          </cell>
        </row>
        <row r="1139">
          <cell r="B1139">
            <v>8.2191780821917796E-7</v>
          </cell>
        </row>
        <row r="1140">
          <cell r="B1140">
            <v>8.2191780821917796E-7</v>
          </cell>
        </row>
        <row r="1141">
          <cell r="B1141">
            <v>1.6438356164383559E-6</v>
          </cell>
        </row>
        <row r="1142">
          <cell r="B1142">
            <v>2.4657534246575337E-6</v>
          </cell>
        </row>
        <row r="1143">
          <cell r="B1143">
            <v>8.2191780821917796E-7</v>
          </cell>
        </row>
        <row r="1144">
          <cell r="B1144">
            <v>8.2191780821917796E-7</v>
          </cell>
        </row>
        <row r="1145">
          <cell r="B1145">
            <v>8.2191780821917796E-7</v>
          </cell>
        </row>
        <row r="1146">
          <cell r="B1146">
            <v>8.2191780821917796E-7</v>
          </cell>
        </row>
        <row r="1147">
          <cell r="B1147">
            <v>2.4657534246575337E-6</v>
          </cell>
        </row>
        <row r="1148">
          <cell r="B1148">
            <v>8.2191780821917796E-7</v>
          </cell>
        </row>
        <row r="1149">
          <cell r="B1149">
            <v>8.2191780821917796E-7</v>
          </cell>
        </row>
        <row r="1150">
          <cell r="B1150">
            <v>1.6438356164383559E-6</v>
          </cell>
        </row>
        <row r="1151">
          <cell r="B1151">
            <v>2.4657534246575337E-6</v>
          </cell>
        </row>
        <row r="1152">
          <cell r="B1152">
            <v>8.2191780821917796E-7</v>
          </cell>
        </row>
        <row r="1153">
          <cell r="B1153">
            <v>8.2191780821917796E-7</v>
          </cell>
        </row>
        <row r="1154">
          <cell r="B1154">
            <v>8.2191780821917796E-7</v>
          </cell>
        </row>
        <row r="1155">
          <cell r="B1155">
            <v>8.2191780821917796E-7</v>
          </cell>
        </row>
        <row r="1156">
          <cell r="B1156">
            <v>2.4657534246575337E-6</v>
          </cell>
        </row>
        <row r="1157">
          <cell r="B1157">
            <v>8.2191780821917796E-7</v>
          </cell>
        </row>
        <row r="1158">
          <cell r="B1158">
            <v>8.2191780821917796E-7</v>
          </cell>
        </row>
        <row r="1159">
          <cell r="B1159">
            <v>8.2191780821917796E-7</v>
          </cell>
        </row>
        <row r="1160">
          <cell r="B1160">
            <v>8.2191780821917796E-7</v>
          </cell>
        </row>
        <row r="1161">
          <cell r="B1161">
            <v>2.4657534246575337E-6</v>
          </cell>
        </row>
        <row r="1162">
          <cell r="B1162">
            <v>8.2191780821917796E-7</v>
          </cell>
        </row>
        <row r="1163">
          <cell r="B1163">
            <v>8.2191780821917796E-7</v>
          </cell>
        </row>
        <row r="1164">
          <cell r="B1164">
            <v>8.2191780821917796E-7</v>
          </cell>
        </row>
        <row r="1165">
          <cell r="B1165">
            <v>8.2191780821917796E-7</v>
          </cell>
        </row>
        <row r="1166">
          <cell r="B1166">
            <v>2.4657534246575337E-6</v>
          </cell>
        </row>
        <row r="1167">
          <cell r="B1167">
            <v>8.2191780821917796E-7</v>
          </cell>
        </row>
        <row r="1168">
          <cell r="B1168">
            <v>8.2191780821917796E-7</v>
          </cell>
        </row>
        <row r="1169">
          <cell r="B1169">
            <v>8.2191780821917796E-7</v>
          </cell>
        </row>
        <row r="1170">
          <cell r="B1170">
            <v>3.2876712328767118E-6</v>
          </cell>
        </row>
        <row r="1171">
          <cell r="B1171">
            <v>8.2191780821917796E-7</v>
          </cell>
        </row>
        <row r="1172">
          <cell r="B1172">
            <v>8.2191780821917796E-7</v>
          </cell>
        </row>
        <row r="1173">
          <cell r="B1173">
            <v>8.2191780821917796E-7</v>
          </cell>
        </row>
        <row r="1174">
          <cell r="B1174">
            <v>8.2191780821917796E-7</v>
          </cell>
        </row>
        <row r="1175">
          <cell r="B1175">
            <v>8.2191780821917796E-7</v>
          </cell>
        </row>
        <row r="1176">
          <cell r="B1176">
            <v>8.2191780821917796E-7</v>
          </cell>
        </row>
        <row r="1177">
          <cell r="B1177">
            <v>8.2191780821917796E-7</v>
          </cell>
        </row>
        <row r="1178">
          <cell r="B1178">
            <v>8.2191780821917796E-7</v>
          </cell>
        </row>
        <row r="1179">
          <cell r="B1179">
            <v>8.2191780821917796E-7</v>
          </cell>
        </row>
        <row r="1180">
          <cell r="B1180">
            <v>8.2191780821917796E-7</v>
          </cell>
        </row>
        <row r="1181">
          <cell r="B1181">
            <v>8.2191780821917796E-7</v>
          </cell>
        </row>
        <row r="1182">
          <cell r="B1182">
            <v>2.4657534246575337E-6</v>
          </cell>
        </row>
        <row r="1183">
          <cell r="B1183">
            <v>8.2191780821917796E-7</v>
          </cell>
        </row>
        <row r="1184">
          <cell r="B1184">
            <v>8.2191780821917796E-7</v>
          </cell>
        </row>
        <row r="1185">
          <cell r="B1185">
            <v>8.2191780821917796E-7</v>
          </cell>
        </row>
        <row r="1186">
          <cell r="B1186">
            <v>8.2191780821917796E-7</v>
          </cell>
        </row>
        <row r="1187">
          <cell r="B1187">
            <v>3.2876712328767118E-6</v>
          </cell>
        </row>
        <row r="1188">
          <cell r="B1188">
            <v>8.2191780821917796E-7</v>
          </cell>
        </row>
        <row r="1189">
          <cell r="B1189">
            <v>8.2191780821917796E-7</v>
          </cell>
        </row>
        <row r="1190">
          <cell r="B1190">
            <v>8.2191780821917796E-7</v>
          </cell>
        </row>
        <row r="1191">
          <cell r="B1191">
            <v>2.4657534246575337E-6</v>
          </cell>
        </row>
        <row r="1192">
          <cell r="B1192">
            <v>8.2191780821917796E-7</v>
          </cell>
        </row>
        <row r="1193">
          <cell r="B1193">
            <v>8.2191780821917796E-7</v>
          </cell>
        </row>
        <row r="1194">
          <cell r="B1194">
            <v>8.2191780821917796E-7</v>
          </cell>
        </row>
        <row r="1195">
          <cell r="B1195">
            <v>8.2191780821917796E-7</v>
          </cell>
        </row>
        <row r="1196">
          <cell r="B1196">
            <v>2.4657534246575337E-6</v>
          </cell>
        </row>
        <row r="1197">
          <cell r="B1197">
            <v>8.2191780821917796E-7</v>
          </cell>
        </row>
        <row r="1198">
          <cell r="B1198">
            <v>8.2191780821917796E-7</v>
          </cell>
        </row>
        <row r="1199">
          <cell r="B1199">
            <v>8.2191780821917796E-7</v>
          </cell>
        </row>
        <row r="1200">
          <cell r="B1200">
            <v>8.2191780821917796E-7</v>
          </cell>
        </row>
        <row r="1201">
          <cell r="B1201">
            <v>2.4657534246575337E-6</v>
          </cell>
        </row>
        <row r="1202">
          <cell r="B1202">
            <v>8.2191780821917796E-7</v>
          </cell>
        </row>
        <row r="1203">
          <cell r="B1203">
            <v>8.2191780821917796E-7</v>
          </cell>
        </row>
        <row r="1204">
          <cell r="B1204">
            <v>8.2191780821917796E-7</v>
          </cell>
        </row>
        <row r="1205">
          <cell r="B1205">
            <v>8.2191780821917796E-7</v>
          </cell>
        </row>
        <row r="1206">
          <cell r="B1206">
            <v>2.4657534246575337E-6</v>
          </cell>
        </row>
        <row r="1207">
          <cell r="B1207">
            <v>8.2191780821917796E-7</v>
          </cell>
        </row>
        <row r="1208">
          <cell r="B1208">
            <v>8.2191780821917796E-7</v>
          </cell>
        </row>
        <row r="1209">
          <cell r="B1209">
            <v>8.2191780821917796E-7</v>
          </cell>
        </row>
        <row r="1210">
          <cell r="B1210">
            <v>8.2191780821917796E-7</v>
          </cell>
        </row>
        <row r="1211">
          <cell r="B1211">
            <v>3.2876712328767118E-6</v>
          </cell>
        </row>
        <row r="1212">
          <cell r="B1212">
            <v>8.2191780821917796E-7</v>
          </cell>
        </row>
        <row r="1213">
          <cell r="B1213">
            <v>8.2191780821917796E-7</v>
          </cell>
        </row>
        <row r="1214">
          <cell r="B1214">
            <v>8.2191780821917796E-7</v>
          </cell>
        </row>
        <row r="1215">
          <cell r="B1215">
            <v>2.4657534246575337E-6</v>
          </cell>
        </row>
        <row r="1216">
          <cell r="B1216">
            <v>8.2191780821917796E-7</v>
          </cell>
        </row>
        <row r="1217">
          <cell r="B1217">
            <v>8.2191780821917796E-7</v>
          </cell>
        </row>
        <row r="1218">
          <cell r="B1218">
            <v>8.2191780821917796E-7</v>
          </cell>
        </row>
        <row r="1219">
          <cell r="B1219">
            <v>8.2191780821917796E-7</v>
          </cell>
        </row>
        <row r="1220">
          <cell r="B1220">
            <v>2.4657534246575337E-6</v>
          </cell>
        </row>
        <row r="1221">
          <cell r="B1221">
            <v>8.2191780821917796E-7</v>
          </cell>
        </row>
        <row r="1222">
          <cell r="B1222">
            <v>8.2191780821917796E-7</v>
          </cell>
        </row>
        <row r="1223">
          <cell r="B1223">
            <v>8.2191780821917796E-7</v>
          </cell>
        </row>
        <row r="1224">
          <cell r="B1224">
            <v>8.2191780821917796E-7</v>
          </cell>
        </row>
        <row r="1225">
          <cell r="B1225">
            <v>2.4660000000000002E-6</v>
          </cell>
        </row>
        <row r="1226">
          <cell r="B1226">
            <v>8.2200000000000003E-7</v>
          </cell>
        </row>
        <row r="1227">
          <cell r="B1227">
            <v>8.2191780821917796E-7</v>
          </cell>
        </row>
        <row r="1228">
          <cell r="B1228">
            <v>8.2191780821917796E-7</v>
          </cell>
        </row>
        <row r="1229">
          <cell r="B1229">
            <v>2.9950000000000001E-6</v>
          </cell>
        </row>
        <row r="1230">
          <cell r="B1230">
            <v>1.2670999999999999E-5</v>
          </cell>
        </row>
        <row r="1231">
          <cell r="B1231">
            <v>3.8619999999999996E-6</v>
          </cell>
        </row>
        <row r="1232">
          <cell r="B1232">
            <v>4.8459999999999999E-6</v>
          </cell>
        </row>
        <row r="1233">
          <cell r="B1233">
            <v>4.9640000000000002E-6</v>
          </cell>
        </row>
        <row r="1234">
          <cell r="B1234">
            <v>5.1630000000000004E-6</v>
          </cell>
        </row>
        <row r="1235">
          <cell r="B1235">
            <v>1.5191000000000001E-5</v>
          </cell>
        </row>
        <row r="1236">
          <cell r="B1236">
            <v>5.2000000000000002E-6</v>
          </cell>
        </row>
        <row r="1237">
          <cell r="B1237">
            <v>5.5860000000000004E-6</v>
          </cell>
        </row>
        <row r="1238">
          <cell r="B1238">
            <v>5.6570000000000002E-6</v>
          </cell>
        </row>
        <row r="1239">
          <cell r="B1239">
            <v>5.5130000000000004E-6</v>
          </cell>
        </row>
        <row r="1240">
          <cell r="B1240"/>
        </row>
        <row r="1241">
          <cell r="B1241"/>
        </row>
        <row r="1242">
          <cell r="B1242"/>
        </row>
        <row r="1243">
          <cell r="B1243"/>
        </row>
        <row r="1244">
          <cell r="B1244"/>
        </row>
        <row r="1245">
          <cell r="B1245"/>
        </row>
        <row r="1246">
          <cell r="B1246"/>
        </row>
        <row r="1247">
          <cell r="B1247"/>
        </row>
        <row r="1248">
          <cell r="B1248"/>
        </row>
        <row r="1249">
          <cell r="B1249"/>
        </row>
        <row r="1250">
          <cell r="B1250"/>
        </row>
        <row r="1251">
          <cell r="B1251"/>
        </row>
        <row r="1252">
          <cell r="B1252"/>
        </row>
        <row r="1253">
          <cell r="B1253"/>
        </row>
        <row r="1254">
          <cell r="B1254"/>
        </row>
        <row r="1255">
          <cell r="B1255"/>
        </row>
        <row r="1256">
          <cell r="B1256"/>
        </row>
        <row r="1257">
          <cell r="B1257"/>
        </row>
        <row r="1258">
          <cell r="B1258"/>
        </row>
        <row r="1259">
          <cell r="B1259"/>
        </row>
        <row r="1260">
          <cell r="B1260"/>
        </row>
        <row r="1261">
          <cell r="B1261"/>
        </row>
        <row r="1262">
          <cell r="B1262"/>
        </row>
        <row r="1263">
          <cell r="B1263"/>
        </row>
        <row r="1264">
          <cell r="B1264"/>
        </row>
        <row r="1265">
          <cell r="B1265"/>
        </row>
        <row r="1266">
          <cell r="B1266"/>
        </row>
        <row r="1267">
          <cell r="B1267"/>
        </row>
        <row r="1268">
          <cell r="B1268"/>
        </row>
        <row r="1269">
          <cell r="B1269"/>
        </row>
        <row r="1270">
          <cell r="B1270"/>
        </row>
        <row r="1271">
          <cell r="B1271"/>
        </row>
        <row r="1272">
          <cell r="B1272"/>
        </row>
        <row r="1273">
          <cell r="B1273"/>
        </row>
        <row r="1274">
          <cell r="B1274"/>
        </row>
        <row r="1275">
          <cell r="B1275"/>
        </row>
        <row r="1276">
          <cell r="B1276"/>
        </row>
        <row r="1277">
          <cell r="B1277"/>
        </row>
        <row r="1278">
          <cell r="B1278"/>
        </row>
        <row r="1279">
          <cell r="B1279"/>
        </row>
        <row r="1280">
          <cell r="B1280"/>
        </row>
        <row r="1281">
          <cell r="B1281"/>
        </row>
        <row r="1282">
          <cell r="B1282"/>
        </row>
        <row r="1283">
          <cell r="B1283"/>
        </row>
        <row r="1284">
          <cell r="B1284"/>
        </row>
        <row r="1285">
          <cell r="B1285"/>
        </row>
        <row r="1286">
          <cell r="B1286"/>
        </row>
        <row r="1287">
          <cell r="B1287"/>
        </row>
        <row r="1288">
          <cell r="B1288"/>
        </row>
        <row r="1289">
          <cell r="B1289"/>
        </row>
        <row r="1290">
          <cell r="B1290"/>
        </row>
        <row r="1291">
          <cell r="B1291"/>
        </row>
        <row r="1292">
          <cell r="B1292"/>
        </row>
        <row r="1293">
          <cell r="B1293"/>
        </row>
        <row r="1294">
          <cell r="B1294"/>
        </row>
        <row r="1295">
          <cell r="B1295"/>
        </row>
        <row r="1296">
          <cell r="B1296"/>
        </row>
        <row r="1297">
          <cell r="B1297"/>
        </row>
        <row r="1298">
          <cell r="B1298"/>
        </row>
        <row r="1299">
          <cell r="B1299"/>
        </row>
        <row r="1300">
          <cell r="B1300"/>
        </row>
        <row r="1301">
          <cell r="B1301"/>
        </row>
        <row r="1302">
          <cell r="B1302"/>
        </row>
        <row r="1303">
          <cell r="B1303"/>
        </row>
        <row r="1304">
          <cell r="B1304"/>
        </row>
        <row r="1305">
          <cell r="B1305"/>
        </row>
        <row r="1306">
          <cell r="B1306"/>
        </row>
        <row r="1307">
          <cell r="B1307"/>
        </row>
        <row r="1308">
          <cell r="B1308"/>
        </row>
        <row r="1309">
          <cell r="B1309"/>
        </row>
        <row r="1310">
          <cell r="B1310"/>
        </row>
        <row r="1311">
          <cell r="B1311"/>
        </row>
        <row r="1312">
          <cell r="B1312"/>
        </row>
        <row r="1313">
          <cell r="B1313"/>
        </row>
        <row r="1314">
          <cell r="B1314"/>
        </row>
        <row r="1315">
          <cell r="B1315"/>
        </row>
        <row r="1316">
          <cell r="B1316"/>
        </row>
        <row r="1317">
          <cell r="B1317"/>
        </row>
        <row r="1318">
          <cell r="B1318"/>
        </row>
        <row r="1319">
          <cell r="B1319"/>
        </row>
        <row r="1320">
          <cell r="B1320"/>
        </row>
        <row r="1321">
          <cell r="B1321"/>
        </row>
        <row r="1322">
          <cell r="B1322"/>
        </row>
        <row r="1323">
          <cell r="B1323"/>
        </row>
        <row r="1324">
          <cell r="B1324"/>
        </row>
        <row r="1325">
          <cell r="B1325"/>
        </row>
        <row r="1326">
          <cell r="B1326"/>
        </row>
        <row r="1327">
          <cell r="B1327"/>
        </row>
        <row r="1328">
          <cell r="B1328"/>
        </row>
        <row r="1329">
          <cell r="B1329"/>
        </row>
        <row r="1330">
          <cell r="B1330"/>
        </row>
        <row r="1331">
          <cell r="B1331"/>
        </row>
        <row r="1332">
          <cell r="B1332"/>
        </row>
        <row r="1333">
          <cell r="B1333"/>
        </row>
        <row r="1334">
          <cell r="B1334"/>
        </row>
        <row r="1335">
          <cell r="B1335"/>
        </row>
        <row r="1336">
          <cell r="B1336"/>
        </row>
        <row r="1337">
          <cell r="B1337"/>
        </row>
        <row r="1338">
          <cell r="B1338"/>
        </row>
        <row r="1339">
          <cell r="B1339"/>
        </row>
        <row r="1340">
          <cell r="B1340"/>
        </row>
        <row r="1341">
          <cell r="B1341"/>
        </row>
        <row r="1342">
          <cell r="B1342"/>
        </row>
        <row r="1343">
          <cell r="B1343"/>
        </row>
        <row r="1344">
          <cell r="B1344"/>
        </row>
        <row r="1345">
          <cell r="B1345"/>
        </row>
        <row r="1346">
          <cell r="B1346"/>
        </row>
        <row r="1347">
          <cell r="B1347"/>
        </row>
        <row r="1348">
          <cell r="B1348"/>
        </row>
        <row r="1349">
          <cell r="B1349"/>
        </row>
        <row r="1350">
          <cell r="B1350"/>
        </row>
        <row r="1351">
          <cell r="B1351"/>
        </row>
        <row r="1352">
          <cell r="B1352"/>
        </row>
        <row r="1353">
          <cell r="B1353"/>
        </row>
        <row r="1354">
          <cell r="B1354"/>
        </row>
        <row r="1355">
          <cell r="B1355"/>
        </row>
        <row r="1356">
          <cell r="B1356"/>
        </row>
        <row r="1357">
          <cell r="B1357"/>
        </row>
        <row r="1358">
          <cell r="B1358"/>
        </row>
        <row r="1359">
          <cell r="B1359"/>
        </row>
        <row r="1360">
          <cell r="B1360"/>
        </row>
        <row r="1361">
          <cell r="B1361"/>
        </row>
        <row r="1362">
          <cell r="B1362"/>
        </row>
        <row r="1363">
          <cell r="B1363"/>
        </row>
        <row r="1364">
          <cell r="B1364"/>
        </row>
        <row r="1365">
          <cell r="B1365"/>
        </row>
        <row r="1366">
          <cell r="B1366"/>
        </row>
        <row r="1367">
          <cell r="B1367"/>
        </row>
        <row r="1368">
          <cell r="B1368"/>
        </row>
        <row r="1369">
          <cell r="B1369"/>
        </row>
        <row r="1370">
          <cell r="B1370"/>
        </row>
        <row r="1371">
          <cell r="B1371"/>
        </row>
        <row r="1372">
          <cell r="B1372"/>
        </row>
        <row r="1373">
          <cell r="B1373"/>
        </row>
        <row r="1374">
          <cell r="B1374"/>
        </row>
        <row r="1375">
          <cell r="B1375"/>
        </row>
        <row r="1376">
          <cell r="B1376"/>
        </row>
        <row r="1377">
          <cell r="B1377"/>
        </row>
        <row r="1378">
          <cell r="B1378"/>
        </row>
        <row r="1379">
          <cell r="B1379"/>
        </row>
        <row r="1380">
          <cell r="B1380"/>
        </row>
        <row r="1381">
          <cell r="B1381"/>
        </row>
        <row r="1382">
          <cell r="B1382"/>
        </row>
        <row r="1383">
          <cell r="B1383"/>
        </row>
        <row r="1384">
          <cell r="B1384"/>
        </row>
        <row r="1385">
          <cell r="B1385"/>
        </row>
        <row r="1386">
          <cell r="B1386"/>
        </row>
        <row r="1387">
          <cell r="B1387"/>
        </row>
        <row r="1388">
          <cell r="B1388"/>
        </row>
        <row r="1389">
          <cell r="B1389"/>
        </row>
        <row r="1390">
          <cell r="B1390"/>
        </row>
        <row r="1391">
          <cell r="B1391"/>
        </row>
        <row r="1392">
          <cell r="B1392"/>
        </row>
        <row r="1393">
          <cell r="B1393"/>
        </row>
        <row r="1394">
          <cell r="B1394"/>
        </row>
        <row r="1395">
          <cell r="B1395"/>
        </row>
        <row r="1396">
          <cell r="B1396"/>
        </row>
        <row r="1397">
          <cell r="B1397"/>
        </row>
        <row r="1398">
          <cell r="B1398"/>
        </row>
        <row r="1399">
          <cell r="B1399"/>
        </row>
        <row r="1400">
          <cell r="B1400"/>
        </row>
        <row r="1401">
          <cell r="B1401"/>
        </row>
        <row r="1402">
          <cell r="B1402"/>
        </row>
        <row r="1403">
          <cell r="B1403"/>
        </row>
        <row r="1404">
          <cell r="B1404"/>
        </row>
        <row r="1405">
          <cell r="B1405"/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stpierre@lucidma.com" TargetMode="External"/><Relationship Id="rId2" Type="http://schemas.openxmlformats.org/officeDocument/2006/relationships/hyperlink" Target="mailto:mattias.almers@lucidma.com" TargetMode="External"/><Relationship Id="rId1" Type="http://schemas.openxmlformats.org/officeDocument/2006/relationships/hyperlink" Target="mailto:david.carlson@lucidm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5:A13"/>
  <sheetViews>
    <sheetView workbookViewId="0"/>
  </sheetViews>
  <sheetFormatPr defaultColWidth="9.140625" defaultRowHeight="15" x14ac:dyDescent="0.25"/>
  <cols>
    <col min="1" max="1" width="153.85546875" style="2" customWidth="1"/>
    <col min="2" max="2" width="10.42578125" style="2" bestFit="1" customWidth="1"/>
    <col min="3" max="16384" width="9.140625" style="2"/>
  </cols>
  <sheetData>
    <row r="5" spans="1:1" x14ac:dyDescent="0.25">
      <c r="A5" s="24" t="s">
        <v>48</v>
      </c>
    </row>
    <row r="6" spans="1:1" x14ac:dyDescent="0.25">
      <c r="A6" s="25"/>
    </row>
    <row r="7" spans="1:1" ht="177" customHeight="1" x14ac:dyDescent="0.25">
      <c r="A7" s="26"/>
    </row>
    <row r="8" spans="1:1" x14ac:dyDescent="0.25">
      <c r="A8" s="26"/>
    </row>
    <row r="9" spans="1:1" ht="102" customHeight="1" x14ac:dyDescent="0.25">
      <c r="A9" s="26"/>
    </row>
    <row r="10" spans="1:1" x14ac:dyDescent="0.25">
      <c r="A10" s="26"/>
    </row>
    <row r="11" spans="1:1" ht="136.5" customHeight="1" x14ac:dyDescent="0.25">
      <c r="A11" s="26"/>
    </row>
    <row r="12" spans="1:1" x14ac:dyDescent="0.25">
      <c r="A12" s="26"/>
    </row>
    <row r="13" spans="1:1" x14ac:dyDescent="0.25">
      <c r="A13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BM150"/>
  <sheetViews>
    <sheetView showGridLines="0" tabSelected="1" topLeftCell="A12" zoomScale="85" zoomScaleNormal="85" workbookViewId="0">
      <selection activeCell="K23" sqref="K23"/>
    </sheetView>
  </sheetViews>
  <sheetFormatPr defaultColWidth="9.140625" defaultRowHeight="15" x14ac:dyDescent="0.25"/>
  <cols>
    <col min="1" max="1" width="28.85546875" customWidth="1"/>
    <col min="2" max="2" width="33.140625" customWidth="1"/>
    <col min="3" max="3" width="18" customWidth="1"/>
    <col min="4" max="4" width="17.140625" bestFit="1" customWidth="1"/>
    <col min="5" max="5" width="14.5703125" customWidth="1"/>
    <col min="6" max="6" width="16" bestFit="1" customWidth="1"/>
    <col min="7" max="7" width="27.7109375" bestFit="1" customWidth="1"/>
    <col min="8" max="8" width="17.5703125" customWidth="1"/>
    <col min="9" max="9" width="16.140625" bestFit="1" customWidth="1"/>
    <col min="10" max="10" width="18.5703125" customWidth="1"/>
    <col min="11" max="11" width="39.140625" bestFit="1" customWidth="1"/>
    <col min="12" max="12" width="19.42578125" customWidth="1"/>
    <col min="13" max="13" width="17.42578125" customWidth="1"/>
    <col min="14" max="14" width="27.85546875" customWidth="1"/>
    <col min="15" max="15" width="18.5703125" customWidth="1"/>
    <col min="16" max="16" width="13.5703125" customWidth="1"/>
    <col min="17" max="17" width="12.5703125" customWidth="1"/>
    <col min="18" max="18" width="47.140625" bestFit="1" customWidth="1"/>
    <col min="19" max="19" width="14" bestFit="1" customWidth="1"/>
    <col min="20" max="20" width="16.5703125" bestFit="1" customWidth="1"/>
    <col min="21" max="21" width="17" bestFit="1" customWidth="1"/>
    <col min="22" max="22" width="16" bestFit="1" customWidth="1"/>
    <col min="23" max="23" width="11.42578125" bestFit="1" customWidth="1"/>
    <col min="24" max="24" width="10.5703125" bestFit="1" customWidth="1"/>
    <col min="28" max="28" width="10.140625" bestFit="1" customWidth="1"/>
  </cols>
  <sheetData>
    <row r="1" spans="1:65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65" ht="24.75" thickTop="1" thickBot="1" x14ac:dyDescent="0.4">
      <c r="A2" s="27" t="s">
        <v>823</v>
      </c>
      <c r="B2" s="28"/>
      <c r="C2" s="603" t="s">
        <v>312</v>
      </c>
      <c r="D2" s="630">
        <v>44651.749837962961</v>
      </c>
      <c r="E2" s="28"/>
      <c r="F2" s="28"/>
      <c r="G2" s="679" t="s">
        <v>603</v>
      </c>
      <c r="H2" s="680">
        <v>44621</v>
      </c>
      <c r="I2" s="604"/>
      <c r="J2" s="28"/>
      <c r="K2" s="1082" t="s">
        <v>2877</v>
      </c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</row>
    <row r="3" spans="1:65" ht="15.75" thickTop="1" x14ac:dyDescent="0.25">
      <c r="A3" s="2"/>
      <c r="B3" s="2"/>
      <c r="C3" s="2"/>
      <c r="D3" s="1214" t="s">
        <v>286</v>
      </c>
      <c r="E3" s="1215"/>
      <c r="F3" s="2"/>
      <c r="G3" s="2"/>
      <c r="H3" s="2"/>
      <c r="I3" s="2"/>
      <c r="J3" s="2"/>
      <c r="K3" s="2"/>
      <c r="L3" s="2"/>
      <c r="M3" s="10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65" ht="15.75" x14ac:dyDescent="0.25">
      <c r="A4" s="2" t="s">
        <v>166</v>
      </c>
      <c r="B4" s="1066">
        <v>44651</v>
      </c>
      <c r="C4" s="2"/>
      <c r="D4" s="77" t="s">
        <v>80</v>
      </c>
      <c r="E4" s="78">
        <f>IF(D72,(SUMPRODUCT(I29:I29,D29:D29)*365/360 + SUMPRODUCT(D35:D67,I35:I67))/D72,"")</f>
        <v>13.757408681223339</v>
      </c>
      <c r="F4" s="2"/>
      <c r="G4" s="1216" t="s">
        <v>97</v>
      </c>
      <c r="H4" s="1216"/>
      <c r="I4" s="36" t="s">
        <v>101</v>
      </c>
      <c r="J4" s="936" t="s">
        <v>634</v>
      </c>
      <c r="K4" s="937" t="s">
        <v>374</v>
      </c>
      <c r="L4" s="938" t="s">
        <v>635</v>
      </c>
      <c r="M4" s="939"/>
      <c r="N4" s="117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65" ht="15.75" x14ac:dyDescent="0.25">
      <c r="A5" s="2" t="s">
        <v>98</v>
      </c>
      <c r="B5" s="1067">
        <v>44650</v>
      </c>
      <c r="C5" s="104"/>
      <c r="D5" s="51" t="s">
        <v>69</v>
      </c>
      <c r="E5" s="79">
        <f>IF(D72,E4-I79/10000*365/360,"")</f>
        <v>13.754178165415029</v>
      </c>
      <c r="F5" s="2"/>
      <c r="G5" s="2" t="s">
        <v>976</v>
      </c>
      <c r="H5" s="31">
        <f>J72*(ValDate-Yesterday)</f>
        <v>5665.6650522591954</v>
      </c>
      <c r="I5" s="2"/>
      <c r="J5" s="735">
        <v>293094.98</v>
      </c>
      <c r="K5" s="1078"/>
      <c r="L5" s="733"/>
      <c r="M5" s="734"/>
      <c r="N5" s="2"/>
      <c r="O5" s="2"/>
      <c r="P5" s="49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65" x14ac:dyDescent="0.25">
      <c r="A6" s="29" t="s">
        <v>51</v>
      </c>
      <c r="B6" s="10">
        <v>44635</v>
      </c>
      <c r="C6" s="2"/>
      <c r="D6" s="51" t="s">
        <v>70</v>
      </c>
      <c r="E6" s="79">
        <v>0</v>
      </c>
      <c r="F6" s="2"/>
      <c r="G6" s="2" t="s">
        <v>977</v>
      </c>
      <c r="H6" s="31">
        <f>-I80*(ValDate-Yesterday)</f>
        <v>-2621.3003260190053</v>
      </c>
      <c r="I6" s="2"/>
      <c r="J6" s="735">
        <v>296110.32</v>
      </c>
      <c r="K6" s="736">
        <f t="shared" ref="K6:K8" si="0">J6-J5</f>
        <v>3015.3400000000256</v>
      </c>
      <c r="L6" s="303" t="s">
        <v>505</v>
      </c>
      <c r="M6" s="737"/>
      <c r="N6" s="2"/>
      <c r="O6" s="2"/>
      <c r="P6" s="31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65" x14ac:dyDescent="0.25">
      <c r="A7" s="2" t="s">
        <v>52</v>
      </c>
      <c r="B7" s="10">
        <v>44727</v>
      </c>
      <c r="C7" s="2"/>
      <c r="D7" s="80" t="s">
        <v>71</v>
      </c>
      <c r="E7" s="81">
        <f>IF(D72,E5-E6,"")</f>
        <v>13.754178165415029</v>
      </c>
      <c r="F7" s="2"/>
      <c r="G7" s="765" t="s">
        <v>967</v>
      </c>
      <c r="H7" s="31">
        <f>M19*(EURFX-YestEURFX)</f>
        <v>-119.05314249998942</v>
      </c>
      <c r="I7" s="2"/>
      <c r="J7" s="735">
        <v>251110.32</v>
      </c>
      <c r="K7" s="736">
        <f t="shared" si="0"/>
        <v>-45000</v>
      </c>
      <c r="L7" s="303" t="s">
        <v>5241</v>
      </c>
      <c r="M7" s="738"/>
      <c r="N7" s="117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65" x14ac:dyDescent="0.25">
      <c r="A8" s="2"/>
      <c r="B8" s="2"/>
      <c r="C8" s="2"/>
      <c r="D8" s="2"/>
      <c r="E8" s="2"/>
      <c r="F8" s="2"/>
      <c r="G8" s="2" t="s">
        <v>99</v>
      </c>
      <c r="H8" s="31">
        <v>0</v>
      </c>
      <c r="I8" s="765"/>
      <c r="J8" s="735">
        <v>231110.32</v>
      </c>
      <c r="K8" s="736">
        <f t="shared" si="0"/>
        <v>-20000</v>
      </c>
      <c r="L8" s="303" t="s">
        <v>5243</v>
      </c>
      <c r="M8" s="737"/>
      <c r="N8" s="117"/>
      <c r="O8" s="2"/>
      <c r="P8" s="2" t="s">
        <v>611</v>
      </c>
      <c r="Q8" s="2"/>
      <c r="R8" s="2"/>
      <c r="S8" s="2"/>
      <c r="T8" s="2"/>
      <c r="U8" s="2"/>
      <c r="V8" s="29"/>
      <c r="W8" s="2"/>
      <c r="X8" s="2"/>
      <c r="Y8" s="2"/>
      <c r="Z8" s="2"/>
      <c r="AA8" s="2"/>
      <c r="AB8" s="2"/>
      <c r="AC8" s="2"/>
    </row>
    <row r="9" spans="1:65" x14ac:dyDescent="0.25">
      <c r="A9" s="2" t="s">
        <v>53</v>
      </c>
      <c r="B9" s="31">
        <v>242357.07</v>
      </c>
      <c r="C9" s="2"/>
      <c r="D9" s="1214" t="s">
        <v>113</v>
      </c>
      <c r="E9" s="1215"/>
      <c r="F9" s="2"/>
      <c r="G9" s="2" t="s">
        <v>633</v>
      </c>
      <c r="H9" s="31">
        <v>-45000</v>
      </c>
      <c r="I9" s="2"/>
      <c r="J9" s="735">
        <f t="shared" ref="J9:J12" si="1">$B$11</f>
        <v>230695.64</v>
      </c>
      <c r="K9" s="736">
        <f t="shared" ref="K9" si="2">J9-J8</f>
        <v>-414.67999999999302</v>
      </c>
      <c r="L9" s="303" t="s">
        <v>3540</v>
      </c>
      <c r="M9" s="738"/>
      <c r="N9" s="117"/>
      <c r="O9" s="2"/>
      <c r="P9" s="2" t="s">
        <v>612</v>
      </c>
      <c r="Q9" s="2"/>
      <c r="R9" s="2"/>
      <c r="S9" s="2"/>
      <c r="T9" s="2"/>
      <c r="U9" s="2"/>
      <c r="V9" s="29"/>
      <c r="W9" s="2"/>
      <c r="X9" s="2"/>
      <c r="Y9" s="2"/>
      <c r="Z9" s="2"/>
      <c r="AA9" s="2"/>
      <c r="AB9" s="2"/>
      <c r="AC9" s="2"/>
      <c r="BH9" s="1198"/>
      <c r="BI9" s="1198"/>
      <c r="BJ9" s="1198"/>
      <c r="BK9" s="1198"/>
      <c r="BL9" s="1198"/>
      <c r="BM9" s="1198"/>
    </row>
    <row r="10" spans="1:65" x14ac:dyDescent="0.25">
      <c r="A10" s="2" t="s">
        <v>96</v>
      </c>
      <c r="B10" s="1194">
        <v>293094.98</v>
      </c>
      <c r="C10" s="2"/>
      <c r="D10" s="91" t="s">
        <v>115</v>
      </c>
      <c r="E10" s="92">
        <f ca="1">S72</f>
        <v>-950184.01474031794</v>
      </c>
      <c r="F10" s="2"/>
      <c r="G10" s="36" t="s">
        <v>99</v>
      </c>
      <c r="H10" s="37">
        <v>0</v>
      </c>
      <c r="I10" s="2"/>
      <c r="J10" s="735">
        <f t="shared" si="1"/>
        <v>230695.64</v>
      </c>
      <c r="K10" s="736">
        <f t="shared" ref="K10:K12" si="3">J10-J9</f>
        <v>0</v>
      </c>
      <c r="L10" s="303"/>
      <c r="M10" s="738"/>
      <c r="N10" s="117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65" ht="16.5" thickBot="1" x14ac:dyDescent="0.3">
      <c r="A11" s="83" t="s">
        <v>72</v>
      </c>
      <c r="B11" s="82">
        <f>ROUND(L72-I82-I92,2)</f>
        <v>230695.64</v>
      </c>
      <c r="C11" s="2"/>
      <c r="D11" s="93" t="s">
        <v>116</v>
      </c>
      <c r="E11" s="94">
        <f ca="1">E10/B11</f>
        <v>-4.1187775145655889</v>
      </c>
      <c r="F11" s="2"/>
      <c r="G11" s="84" t="s">
        <v>100</v>
      </c>
      <c r="H11" s="85">
        <f>SUM(H5:H10)</f>
        <v>-42074.6884162598</v>
      </c>
      <c r="I11" s="102"/>
      <c r="J11" s="735">
        <f t="shared" si="1"/>
        <v>230695.64</v>
      </c>
      <c r="K11" s="736">
        <f t="shared" si="3"/>
        <v>0</v>
      </c>
      <c r="L11" s="303"/>
      <c r="M11" s="738"/>
      <c r="N11" s="117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65" ht="16.5" thickTop="1" thickBot="1" x14ac:dyDescent="0.3">
      <c r="A12" s="320" t="s">
        <v>505</v>
      </c>
      <c r="B12" s="31">
        <f>B11-B10</f>
        <v>-62399.339999999967</v>
      </c>
      <c r="C12" s="2"/>
      <c r="D12" s="95" t="s">
        <v>113</v>
      </c>
      <c r="E12" s="90" t="str">
        <f ca="1">IF(ABS(E11)&lt;0.005,"Amort Cost OK","Check MTM!")</f>
        <v>Check MTM!</v>
      </c>
      <c r="F12" s="2"/>
      <c r="G12" s="386" t="s">
        <v>506</v>
      </c>
      <c r="H12" s="509">
        <f>B12-H11</f>
        <v>-20324.651583740168</v>
      </c>
      <c r="I12" s="2"/>
      <c r="J12" s="739">
        <f t="shared" si="1"/>
        <v>230695.64</v>
      </c>
      <c r="K12" s="740">
        <f t="shared" si="3"/>
        <v>0</v>
      </c>
      <c r="L12" s="741"/>
      <c r="M12" s="74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65" ht="16.5" thickTop="1" thickBot="1" x14ac:dyDescent="0.3">
      <c r="A13" s="320"/>
      <c r="B13" s="31"/>
      <c r="C13" s="765"/>
      <c r="D13" s="95" t="s">
        <v>764</v>
      </c>
      <c r="E13" s="805"/>
      <c r="F13" s="2"/>
      <c r="G13" s="806" t="s">
        <v>765</v>
      </c>
      <c r="H13" s="841">
        <f>IF(B9,(H11-H9)/(B9)*365/(ValDate-Yesterday)*OrigPortion,"")</f>
        <v>5.1951523038143446</v>
      </c>
      <c r="I13" s="765"/>
      <c r="K13" s="112"/>
      <c r="L13" s="58" t="s">
        <v>50</v>
      </c>
      <c r="M13" s="58" t="s">
        <v>98</v>
      </c>
      <c r="N13" s="765"/>
      <c r="O13" s="765"/>
      <c r="P13" s="10"/>
      <c r="Q13" s="117"/>
      <c r="R13" s="765"/>
      <c r="S13" s="765"/>
      <c r="T13" s="765"/>
      <c r="U13" s="765"/>
      <c r="V13" s="765"/>
      <c r="W13" s="765"/>
      <c r="X13" s="765"/>
      <c r="Y13" s="765"/>
      <c r="Z13" s="765"/>
      <c r="AA13" s="765"/>
      <c r="AB13" s="765"/>
      <c r="AC13" s="765"/>
    </row>
    <row r="14" spans="1:65" x14ac:dyDescent="0.25">
      <c r="A14" s="2"/>
      <c r="B14" s="1170" t="s">
        <v>968</v>
      </c>
      <c r="C14" s="320" t="s">
        <v>98</v>
      </c>
      <c r="D14" s="916" t="s">
        <v>900</v>
      </c>
      <c r="E14" s="805" t="b">
        <f>AND('Securities Reconciliation'!F2,'Securities Reconciliation'!N2)</f>
        <v>0</v>
      </c>
      <c r="F14" s="1083"/>
      <c r="G14" s="818" t="s">
        <v>777</v>
      </c>
      <c r="H14" s="819">
        <f>B9*0.0001*(B7-B6)/365</f>
        <v>6.1087261479452062</v>
      </c>
      <c r="I14" s="2"/>
      <c r="J14" s="1208" t="s">
        <v>965</v>
      </c>
      <c r="K14" s="904" t="s">
        <v>939</v>
      </c>
      <c r="L14" s="940">
        <f>SUMIFS($L$29:$L$71,$G$29:$G$71,K14)+IF(I92&lt;0,-I92,0)</f>
        <v>748786.88397775707</v>
      </c>
      <c r="M14" s="1117">
        <v>701951.95</v>
      </c>
      <c r="N14" s="2"/>
      <c r="O14" s="2"/>
      <c r="P14" s="765"/>
      <c r="Q14" s="117"/>
      <c r="R14" s="111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65" x14ac:dyDescent="0.25">
      <c r="A15" s="77" t="s">
        <v>948</v>
      </c>
      <c r="B15" s="1174">
        <v>1.1065499999999999</v>
      </c>
      <c r="C15" s="1074">
        <v>1.1157999999999999</v>
      </c>
      <c r="D15" s="916" t="s">
        <v>2876</v>
      </c>
      <c r="E15" s="805" t="b">
        <f>MIN(P29:P70)&gt;-250000</f>
        <v>0</v>
      </c>
      <c r="F15" s="765"/>
      <c r="G15" s="1080" t="s">
        <v>2833</v>
      </c>
      <c r="H15" s="1081">
        <f>SUMPRODUCT('Facilities &amp; Bond Details'!E28:E38,'Facilities &amp; Bond Details'!I28:I38)</f>
        <v>689664873.83333325</v>
      </c>
      <c r="I15" s="765"/>
      <c r="J15" s="1209"/>
      <c r="K15" s="902" t="s">
        <v>948</v>
      </c>
      <c r="L15" s="941">
        <f>SUMIFS($L$29:$L$71,$G$29:$G$71,K15)</f>
        <v>57303.573674021463</v>
      </c>
      <c r="M15" s="905">
        <v>20526.859999998884</v>
      </c>
      <c r="N15" s="765"/>
      <c r="O15" s="765"/>
      <c r="P15" s="765"/>
      <c r="Q15" s="117"/>
      <c r="R15" s="765"/>
      <c r="S15" s="765"/>
      <c r="T15" s="765"/>
      <c r="U15" s="765"/>
      <c r="V15" s="765"/>
      <c r="W15" s="765"/>
      <c r="X15" s="765"/>
      <c r="Y15" s="765"/>
      <c r="Z15" s="765"/>
      <c r="AA15" s="765"/>
      <c r="AB15" s="765"/>
      <c r="AC15" s="765"/>
    </row>
    <row r="16" spans="1:65" x14ac:dyDescent="0.25">
      <c r="A16" s="80" t="s">
        <v>939</v>
      </c>
      <c r="B16" s="913">
        <v>1</v>
      </c>
      <c r="C16" s="914">
        <v>1</v>
      </c>
      <c r="D16" s="319"/>
      <c r="E16" s="319"/>
      <c r="F16" s="31"/>
      <c r="G16" s="1080" t="s">
        <v>2833</v>
      </c>
      <c r="H16" s="1081">
        <f>_xlfn.XLOOKUP(ValDate,'Facilities &amp; Bond Details'!$Y$44:$Y$77,'Facilities &amp; Bond Details'!$AK$44:$AK$77,0,-1)</f>
        <v>689664873.83333325</v>
      </c>
      <c r="I16" s="765"/>
      <c r="J16" s="1210" t="s">
        <v>966</v>
      </c>
      <c r="K16" s="906" t="s">
        <v>939</v>
      </c>
      <c r="L16" s="942">
        <f>SUM(B82,D82:H82)+IF(I92&gt;0,I92,0)</f>
        <v>567698.76341926726</v>
      </c>
      <c r="M16" s="907">
        <v>74129.117938801632</v>
      </c>
      <c r="N16" s="765"/>
      <c r="O16" s="765"/>
      <c r="P16" s="765"/>
      <c r="Q16" s="765"/>
      <c r="R16" s="765"/>
      <c r="S16" s="765"/>
      <c r="T16" s="765"/>
      <c r="U16" s="765"/>
      <c r="V16" s="765"/>
      <c r="W16" s="765"/>
      <c r="X16" s="765"/>
      <c r="Y16" s="765"/>
      <c r="Z16" s="765"/>
      <c r="AA16" s="765"/>
      <c r="AB16" s="765"/>
      <c r="AC16" s="765"/>
      <c r="BH16" s="1199"/>
      <c r="BI16" s="1199"/>
      <c r="BJ16" s="1199"/>
      <c r="BK16" s="1199"/>
      <c r="BL16" s="1199"/>
      <c r="BM16" s="1199"/>
    </row>
    <row r="17" spans="1:29" ht="15.75" thickBot="1" x14ac:dyDescent="0.3">
      <c r="A17" s="765"/>
      <c r="B17" s="765"/>
      <c r="C17" s="765"/>
      <c r="D17" s="765"/>
      <c r="E17" s="899"/>
      <c r="F17" s="117"/>
      <c r="G17" s="117"/>
      <c r="H17" s="31"/>
      <c r="I17" s="765"/>
      <c r="J17" s="1211"/>
      <c r="K17" s="903" t="s">
        <v>948</v>
      </c>
      <c r="L17" s="943">
        <f>C82</f>
        <v>12472.777777777777</v>
      </c>
      <c r="M17" s="908">
        <v>7656.25</v>
      </c>
      <c r="N17" s="765"/>
      <c r="O17" s="765"/>
      <c r="P17" s="765"/>
      <c r="Q17" s="765"/>
      <c r="R17" s="765"/>
      <c r="S17" s="765"/>
      <c r="T17" s="765"/>
      <c r="U17" s="765"/>
      <c r="V17" s="765"/>
      <c r="W17" s="765"/>
      <c r="X17" s="765"/>
      <c r="Y17" s="765"/>
      <c r="Z17" s="765"/>
      <c r="AA17" s="765"/>
      <c r="AB17" s="765"/>
      <c r="AC17" s="765"/>
    </row>
    <row r="18" spans="1:29" ht="15.75" thickTop="1" x14ac:dyDescent="0.25">
      <c r="B18" s="1115" t="s">
        <v>3941</v>
      </c>
      <c r="C18" s="765"/>
      <c r="D18" s="1303" t="s">
        <v>5245</v>
      </c>
      <c r="E18" s="1304">
        <f>B11</f>
        <v>230695.64</v>
      </c>
      <c r="F18" s="117"/>
      <c r="G18" s="1324" t="s">
        <v>5253</v>
      </c>
      <c r="H18" s="1325">
        <f>-SUMPRODUCT(D29:D32,H29:H32)-D34*H34</f>
        <v>417468649.94779652</v>
      </c>
      <c r="I18" s="1304">
        <f>ROUND(H18,-3)</f>
        <v>417469000</v>
      </c>
      <c r="J18" s="1212" t="s">
        <v>634</v>
      </c>
      <c r="K18" s="906" t="s">
        <v>939</v>
      </c>
      <c r="L18" s="944">
        <f>L14-L16</f>
        <v>181088.12055848981</v>
      </c>
      <c r="M18" s="909">
        <v>223747.16462853726</v>
      </c>
      <c r="N18" s="765"/>
      <c r="O18" s="765"/>
      <c r="P18" s="765"/>
      <c r="Q18" s="765"/>
      <c r="R18" s="765"/>
      <c r="S18" s="765"/>
      <c r="T18" s="765"/>
      <c r="U18" s="765"/>
      <c r="V18" s="765"/>
      <c r="W18" s="765"/>
      <c r="X18" s="765"/>
      <c r="Y18" s="765"/>
      <c r="Z18" s="765"/>
      <c r="AA18" s="765"/>
      <c r="AB18" s="765"/>
      <c r="AC18" s="765"/>
    </row>
    <row r="19" spans="1:29" x14ac:dyDescent="0.25">
      <c r="A19" s="1114" t="s">
        <v>939</v>
      </c>
      <c r="B19" s="1169">
        <f>+D62+D64-SUMIF($J$87:$J$91,A19,$I$87:$I$91)</f>
        <v>190660.25000000017</v>
      </c>
      <c r="C19" s="881"/>
      <c r="D19" s="1305" t="s">
        <v>5246</v>
      </c>
      <c r="E19" s="1306">
        <f>H16</f>
        <v>689664873.83333325</v>
      </c>
      <c r="F19" s="899"/>
      <c r="G19" s="1326" t="s">
        <v>5254</v>
      </c>
      <c r="H19" s="1327">
        <f>C22/SUM(C22:C25)</f>
        <v>0.54040070137112306</v>
      </c>
      <c r="I19" s="1328">
        <f>H19</f>
        <v>0.54040070137112306</v>
      </c>
      <c r="J19" s="1213"/>
      <c r="K19" s="902" t="s">
        <v>948</v>
      </c>
      <c r="L19" s="945">
        <f>L15-L17</f>
        <v>44830.795896243682</v>
      </c>
      <c r="M19" s="910">
        <v>12870.609999998884</v>
      </c>
      <c r="N19" s="899"/>
      <c r="O19" s="765"/>
      <c r="P19" s="765"/>
      <c r="Q19" s="765"/>
      <c r="R19" s="765"/>
      <c r="S19" s="765"/>
      <c r="T19" s="765"/>
      <c r="U19" s="765"/>
      <c r="V19" s="765"/>
      <c r="W19" s="765"/>
      <c r="X19" s="765"/>
      <c r="Y19" s="765"/>
      <c r="Z19" s="765"/>
      <c r="AA19" s="765"/>
      <c r="AB19" s="765"/>
      <c r="AC19" s="765"/>
    </row>
    <row r="20" spans="1:29" ht="15.75" thickBot="1" x14ac:dyDescent="0.3">
      <c r="A20" s="1113" t="s">
        <v>948</v>
      </c>
      <c r="B20" s="1116">
        <f>+D63-SUMIF($J$87:$J$91,A20,$I$87:$I$91)</f>
        <v>474353.85</v>
      </c>
      <c r="C20" s="31"/>
      <c r="D20" s="1305" t="s">
        <v>5247</v>
      </c>
      <c r="E20" s="1306">
        <f>L14+L15*EURFX</f>
        <v>812196.15342674556</v>
      </c>
      <c r="F20" s="102"/>
      <c r="G20" s="1326" t="s">
        <v>5255</v>
      </c>
      <c r="H20" s="1329">
        <f>SUMPRODUCT(D63:D67,H63:H67)</f>
        <v>769553.98271750007</v>
      </c>
      <c r="I20" s="1306">
        <f t="shared" ref="I20:I25" si="4">ROUND(H20,-3)</f>
        <v>770000</v>
      </c>
      <c r="J20" s="923" t="s">
        <v>356</v>
      </c>
      <c r="K20" s="911" t="s">
        <v>939</v>
      </c>
      <c r="L20" s="946">
        <f>L18+L19*B15</f>
        <v>230695.63775747825</v>
      </c>
      <c r="M20" s="912">
        <v>238323.130453536</v>
      </c>
      <c r="N20" s="765"/>
      <c r="O20" s="765"/>
      <c r="P20" s="765"/>
      <c r="Q20" s="765"/>
      <c r="R20" s="765"/>
      <c r="S20" s="765"/>
      <c r="T20" s="765"/>
      <c r="U20" s="765"/>
      <c r="V20" s="765"/>
      <c r="W20" s="765"/>
      <c r="X20" s="765"/>
      <c r="Y20" s="765"/>
      <c r="Z20" s="765"/>
      <c r="AA20" s="765"/>
      <c r="AB20" s="765"/>
      <c r="AC20" s="765"/>
    </row>
    <row r="21" spans="1:29" ht="15.75" thickBot="1" x14ac:dyDescent="0.3">
      <c r="A21" s="476"/>
      <c r="B21" s="1302"/>
      <c r="C21" s="31"/>
      <c r="D21" s="1307" t="s">
        <v>5248</v>
      </c>
      <c r="E21" s="1308">
        <f>SUMPRODUCT(D35:D49,H35:H49)</f>
        <v>416999667.63052952</v>
      </c>
      <c r="F21" s="102"/>
      <c r="G21" s="1326" t="s">
        <v>5256</v>
      </c>
      <c r="H21" s="1329">
        <f>SUMPRODUCT(D35:D49,H35:H49)</f>
        <v>416999667.63052952</v>
      </c>
      <c r="I21" s="1306">
        <f t="shared" si="4"/>
        <v>417000000</v>
      </c>
      <c r="J21" s="765"/>
      <c r="K21" s="765"/>
      <c r="L21" s="765"/>
      <c r="M21" s="765"/>
      <c r="N21" s="765"/>
      <c r="O21" s="765"/>
      <c r="P21" s="765"/>
      <c r="Q21" s="765"/>
      <c r="R21" s="765"/>
      <c r="S21" s="765"/>
      <c r="T21" s="765"/>
      <c r="U21" s="765"/>
      <c r="V21" s="765"/>
      <c r="W21" s="765"/>
      <c r="X21" s="765"/>
      <c r="Y21" s="765"/>
      <c r="Z21" s="765"/>
      <c r="AA21" s="765"/>
      <c r="AB21" s="765"/>
      <c r="AC21" s="765"/>
    </row>
    <row r="22" spans="1:29" x14ac:dyDescent="0.25">
      <c r="A22" s="1310" t="str">
        <f>B29</f>
        <v>AMHERST PIERPONT SECURITIES LLC USD</v>
      </c>
      <c r="B22" s="1311" t="s">
        <v>5250</v>
      </c>
      <c r="C22" s="1312">
        <f>-ROUND(D29,-3)</f>
        <v>225600000</v>
      </c>
      <c r="D22" s="1309" t="s">
        <v>5249</v>
      </c>
      <c r="E22" s="1320"/>
      <c r="F22" s="102"/>
      <c r="G22" s="1326" t="s">
        <v>5257</v>
      </c>
      <c r="H22" s="1330">
        <f>-SUMIFS($I$86:$I$89,$I$86:$I$89,"&lt;"&amp;0)</f>
        <v>1879.17</v>
      </c>
      <c r="I22" s="1306">
        <f t="shared" si="4"/>
        <v>2000</v>
      </c>
      <c r="J22" s="765"/>
      <c r="K22" s="765"/>
      <c r="L22" s="765"/>
      <c r="M22" s="765"/>
      <c r="N22" s="765"/>
      <c r="O22" s="765"/>
      <c r="P22" s="765"/>
      <c r="Q22" s="765"/>
      <c r="R22" s="765"/>
      <c r="S22" s="765"/>
      <c r="T22" s="765"/>
      <c r="U22" s="765"/>
      <c r="V22" s="765"/>
      <c r="W22" s="765"/>
      <c r="X22" s="765"/>
      <c r="Y22" s="765"/>
      <c r="Z22" s="765"/>
      <c r="AA22" s="765"/>
      <c r="AB22" s="765"/>
      <c r="AC22" s="765"/>
    </row>
    <row r="23" spans="1:29" x14ac:dyDescent="0.25">
      <c r="A23" s="1313" t="s">
        <v>5252</v>
      </c>
      <c r="B23" s="1318" t="s">
        <v>5252</v>
      </c>
      <c r="C23" s="1314">
        <f>-ROUND(D30*H30,-3)</f>
        <v>33584000</v>
      </c>
      <c r="D23" s="1319"/>
      <c r="E23" s="1321"/>
      <c r="F23" s="102"/>
      <c r="G23" s="1326" t="s">
        <v>5258</v>
      </c>
      <c r="H23" s="1330">
        <f>SUMIFS($I$86:$I$89,$I$86:$I$89,"&gt;"&amp;0)</f>
        <v>506194.99729016668</v>
      </c>
      <c r="I23" s="1306">
        <f t="shared" si="4"/>
        <v>506000</v>
      </c>
      <c r="J23" s="765"/>
      <c r="K23" s="765"/>
      <c r="L23" s="765"/>
      <c r="M23" s="765"/>
      <c r="N23" s="765"/>
      <c r="O23" s="765"/>
      <c r="P23" s="765"/>
      <c r="Q23" s="765"/>
      <c r="R23" s="765"/>
      <c r="S23" s="765"/>
      <c r="T23" s="765"/>
      <c r="U23" s="765"/>
      <c r="V23" s="765"/>
      <c r="W23" s="765"/>
      <c r="X23" s="765"/>
      <c r="Y23" s="765"/>
      <c r="Z23" s="765"/>
      <c r="AA23" s="765"/>
      <c r="AB23" s="765"/>
      <c r="AC23" s="765"/>
    </row>
    <row r="24" spans="1:29" x14ac:dyDescent="0.25">
      <c r="A24" s="1313" t="s">
        <v>4419</v>
      </c>
      <c r="B24" s="1318" t="s">
        <v>4419</v>
      </c>
      <c r="C24" s="1314">
        <f>-ROUND(D32*H32,-3)</f>
        <v>154830000</v>
      </c>
      <c r="D24" s="1319"/>
      <c r="E24" s="1321"/>
      <c r="F24" s="102"/>
      <c r="G24" s="1326" t="s">
        <v>5259</v>
      </c>
      <c r="H24" s="1331">
        <f>H20+H21+H22-H18-B11</f>
        <v>71755.195450530038</v>
      </c>
      <c r="I24" s="1306">
        <f>ROUND(H24,-3)</f>
        <v>72000</v>
      </c>
      <c r="J24" s="765"/>
      <c r="K24" s="765"/>
      <c r="L24" s="765"/>
      <c r="M24" s="765"/>
      <c r="N24" s="765"/>
      <c r="O24" s="765"/>
      <c r="P24" s="765"/>
      <c r="Q24" s="765"/>
      <c r="R24" s="765"/>
      <c r="S24" s="765"/>
      <c r="T24" s="765"/>
      <c r="U24" s="765"/>
      <c r="V24" s="765"/>
      <c r="W24" s="765"/>
      <c r="X24" s="765"/>
      <c r="Y24" s="765"/>
      <c r="Z24" s="765"/>
      <c r="AA24" s="765"/>
      <c r="AB24" s="765"/>
      <c r="AC24" s="765"/>
    </row>
    <row r="25" spans="1:29" ht="15.75" thickBot="1" x14ac:dyDescent="0.3">
      <c r="A25" s="1315" t="s">
        <v>947</v>
      </c>
      <c r="B25" s="1316" t="s">
        <v>5251</v>
      </c>
      <c r="C25" s="1317">
        <f>-ROUND(D34*H34,-3)</f>
        <v>3454000</v>
      </c>
      <c r="D25" s="1322"/>
      <c r="E25" s="1323"/>
      <c r="F25" s="102"/>
      <c r="G25" s="1332" t="s">
        <v>5260</v>
      </c>
      <c r="H25" s="1333">
        <f>H18</f>
        <v>417468649.94779652</v>
      </c>
      <c r="I25" s="1308">
        <f t="shared" si="4"/>
        <v>417469000</v>
      </c>
      <c r="J25" s="765"/>
      <c r="K25" s="765"/>
      <c r="L25" s="765"/>
      <c r="M25" s="765"/>
      <c r="N25" s="765"/>
      <c r="O25" s="765"/>
      <c r="P25" s="765"/>
      <c r="Q25" s="765"/>
      <c r="R25" s="765"/>
      <c r="S25" s="765"/>
      <c r="T25" s="765"/>
      <c r="U25" s="765"/>
      <c r="V25" s="765"/>
      <c r="W25" s="765"/>
      <c r="X25" s="765"/>
      <c r="Y25" s="765"/>
      <c r="Z25" s="765"/>
      <c r="AA25" s="765"/>
      <c r="AB25" s="765"/>
      <c r="AC25" s="765"/>
    </row>
    <row r="26" spans="1:29" ht="15.75" thickBot="1" x14ac:dyDescent="0.3">
      <c r="A26" s="765"/>
      <c r="B26" s="765"/>
      <c r="C26" s="765"/>
      <c r="D26" s="765"/>
      <c r="E26" s="765"/>
      <c r="F26" s="765"/>
      <c r="G26" s="765"/>
      <c r="H26" s="765"/>
      <c r="I26" s="765"/>
      <c r="J26" s="765"/>
      <c r="K26" s="765"/>
      <c r="L26" s="765"/>
      <c r="M26" s="765"/>
      <c r="N26" s="765"/>
      <c r="O26" s="765"/>
      <c r="P26" s="765"/>
      <c r="Q26" s="765"/>
      <c r="R26" s="765"/>
      <c r="S26" s="765"/>
      <c r="T26" s="765"/>
      <c r="U26" s="765"/>
      <c r="V26" s="765"/>
      <c r="W26" s="765"/>
      <c r="X26" s="765"/>
      <c r="Y26" s="765"/>
      <c r="Z26" s="765"/>
      <c r="AA26" s="765"/>
      <c r="AB26" s="765"/>
      <c r="AC26" s="765"/>
    </row>
    <row r="27" spans="1:29" ht="19.5" thickTop="1" x14ac:dyDescent="0.3">
      <c r="A27" s="413" t="s">
        <v>61</v>
      </c>
      <c r="B27" s="1217" t="s">
        <v>117</v>
      </c>
      <c r="C27" s="1218"/>
      <c r="D27" s="1218"/>
      <c r="E27" s="1218"/>
      <c r="F27" s="1218"/>
      <c r="G27" s="1218"/>
      <c r="H27" s="1218"/>
      <c r="I27" s="1218"/>
      <c r="J27" s="1218"/>
      <c r="K27" s="1218"/>
      <c r="L27" s="1218"/>
      <c r="M27" s="1219"/>
      <c r="N27" s="1220" t="s">
        <v>118</v>
      </c>
      <c r="O27" s="1206"/>
      <c r="P27" s="1207"/>
      <c r="Q27" s="1205" t="s">
        <v>121</v>
      </c>
      <c r="R27" s="1206"/>
      <c r="S27" s="1207"/>
      <c r="T27" s="765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43" t="s">
        <v>94</v>
      </c>
      <c r="B28" s="44" t="s">
        <v>54</v>
      </c>
      <c r="C28" s="44" t="s">
        <v>331</v>
      </c>
      <c r="D28" s="44" t="s">
        <v>1680</v>
      </c>
      <c r="E28" s="44" t="s">
        <v>213</v>
      </c>
      <c r="F28" s="44" t="s">
        <v>329</v>
      </c>
      <c r="G28" s="44" t="s">
        <v>943</v>
      </c>
      <c r="H28" s="44" t="s">
        <v>949</v>
      </c>
      <c r="I28" s="44" t="s">
        <v>30</v>
      </c>
      <c r="J28" s="44" t="s">
        <v>122</v>
      </c>
      <c r="K28" s="44" t="s">
        <v>32</v>
      </c>
      <c r="L28" s="44" t="s">
        <v>307</v>
      </c>
      <c r="M28" s="44" t="s">
        <v>382</v>
      </c>
      <c r="N28" s="95" t="s">
        <v>332</v>
      </c>
      <c r="O28" s="44" t="s">
        <v>55</v>
      </c>
      <c r="P28" s="44" t="s">
        <v>56</v>
      </c>
      <c r="Q28" s="95" t="s">
        <v>119</v>
      </c>
      <c r="R28" s="396" t="s">
        <v>120</v>
      </c>
      <c r="S28" s="44" t="s">
        <v>114</v>
      </c>
      <c r="T28" s="765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25">
      <c r="A29" s="2" t="str">
        <f>"MMT IM "&amp;SeriesName&amp;" "&amp;'Repo Details and VaR'!A39</f>
        <v>MMT IM Term 67679</v>
      </c>
      <c r="B29" s="9" t="str">
        <f>'Repo Details and VaR'!B39</f>
        <v>AMHERST PIERPONT SECURITIES LLC USD</v>
      </c>
      <c r="C29" s="2" t="s">
        <v>330</v>
      </c>
      <c r="D29" s="30">
        <f>'Repo Details and VaR'!H39</f>
        <v>-225600037.07999998</v>
      </c>
      <c r="E29" s="10">
        <f>'Repo Details and VaR'!E39</f>
        <v>44635</v>
      </c>
      <c r="F29" s="10">
        <f>'Repo Details and VaR'!F39</f>
        <v>44729</v>
      </c>
      <c r="G29" s="766" t="str">
        <f t="shared" ref="G29:G34" si="5">RIGHT(B29,3)</f>
        <v>USD</v>
      </c>
      <c r="H29" s="892">
        <f t="shared" ref="H29:H71" si="6">VLOOKUP($G29,FX_TABLE,2,FALSE)</f>
        <v>1</v>
      </c>
      <c r="I29" s="6">
        <f>'Repo Details and VaR'!M39</f>
        <v>5.9874997555120074E-3</v>
      </c>
      <c r="J29" s="510">
        <f>'Repo Details and VaR'!O39</f>
        <v>-3752.1671301666661</v>
      </c>
      <c r="K29" s="510">
        <f>'Repo Details and VaR'!N39</f>
        <v>-52547.697225444441</v>
      </c>
      <c r="L29" s="1187">
        <f t="shared" ref="L29:L35" si="7">ROUND(D29+K29,2)</f>
        <v>-225652584.78</v>
      </c>
      <c r="M29" s="30">
        <f>'Repo Details and VaR'!P39+'Balance Sheet'!D29</f>
        <v>-225882987.11890176</v>
      </c>
      <c r="N29" s="122">
        <f>'Repo Details and VaR'!I39</f>
        <v>-229293895.92899999</v>
      </c>
      <c r="O29" s="121">
        <f t="shared" ref="O29:O34" si="8">N29-D29</f>
        <v>-3693858.8490000069</v>
      </c>
      <c r="P29" s="123">
        <f>'Repo Details and VaR'!L39</f>
        <v>339740.15564742842</v>
      </c>
      <c r="Q29" s="97">
        <f ca="1">IF(ISNUMBER([2]!interp(F29,Agncy_MBS_Repo)),[2]!interp(F29,Agncy_MBS_Repo),0)</f>
        <v>0</v>
      </c>
      <c r="R29" s="88">
        <v>225</v>
      </c>
      <c r="S29" s="121">
        <f t="shared" ref="S29:S34" ca="1" si="9">IF(ISNUMBER(I29),(I29-(Q29+R29/10000)) *(F29-ValDate)/360*D29,0)</f>
        <v>807131.14461199997</v>
      </c>
      <c r="T29" s="51"/>
      <c r="U29" s="31">
        <v>-196073981.77000001</v>
      </c>
      <c r="V29" s="31">
        <f>L29-U29</f>
        <v>-29578603.00999999</v>
      </c>
      <c r="W29" s="2"/>
      <c r="X29" s="2"/>
      <c r="Y29" s="2"/>
      <c r="Z29" s="2"/>
      <c r="AA29" s="2"/>
      <c r="AB29" s="2"/>
      <c r="AC29" s="2"/>
    </row>
    <row r="30" spans="1:29" x14ac:dyDescent="0.25">
      <c r="A30" s="765" t="str">
        <f>"MMT IM "&amp;SeriesName&amp;" "&amp;'Repo Details and VaR'!A41</f>
        <v>MMT IM Term 66250</v>
      </c>
      <c r="B30" s="9" t="str">
        <f>'Repo Details and VaR'!B41</f>
        <v>DAIWA CAPITAL MARKETS EUROPE LIMITED EUR</v>
      </c>
      <c r="C30" s="765" t="s">
        <v>330</v>
      </c>
      <c r="D30" s="1175">
        <f>'Repo Details and VaR'!H41</f>
        <v>-30350034</v>
      </c>
      <c r="E30" s="10">
        <f>'Repo Details and VaR'!E41</f>
        <v>44634</v>
      </c>
      <c r="F30" s="10">
        <f>'Repo Details and VaR'!F41</f>
        <v>44663</v>
      </c>
      <c r="G30" s="766" t="str">
        <f t="shared" si="5"/>
        <v>EUR</v>
      </c>
      <c r="H30" s="892">
        <f t="shared" si="6"/>
        <v>1.1065499999999999</v>
      </c>
      <c r="I30" s="6">
        <f>'Repo Details and VaR'!M41</f>
        <v>-5.6999999999999993E-3</v>
      </c>
      <c r="J30" s="510">
        <f>'Repo Details and VaR'!O41</f>
        <v>480.54220499999997</v>
      </c>
      <c r="K30" s="510">
        <f>'Repo Details and VaR'!N41</f>
        <v>8169.2174849999992</v>
      </c>
      <c r="L30" s="1187">
        <f t="shared" ref="L30" si="10">ROUND(D30+K30,2)</f>
        <v>-30341864.780000001</v>
      </c>
      <c r="M30" s="30">
        <f>'Repo Details and VaR'!P41+'Balance Sheet'!D30</f>
        <v>-30336098.276055001</v>
      </c>
      <c r="N30" s="122">
        <f>'Repo Details and VaR'!I41</f>
        <v>-30124407.820000004</v>
      </c>
      <c r="O30" s="121">
        <f t="shared" si="8"/>
        <v>225626.17999999598</v>
      </c>
      <c r="P30" s="123">
        <f>'Repo Details and VaR'!L41</f>
        <v>518701.04071499727</v>
      </c>
      <c r="Q30" s="97">
        <f ca="1">IF(ISNUMBER([2]!interp(F30,Agncy_MBS_Repo)),[2]!interp(F30,Agncy_MBS_Repo),0)</f>
        <v>0</v>
      </c>
      <c r="R30" s="88">
        <v>225</v>
      </c>
      <c r="S30" s="121">
        <f t="shared" ca="1" si="9"/>
        <v>28529.03196</v>
      </c>
      <c r="T30" s="51"/>
      <c r="U30" s="31"/>
      <c r="V30" s="31"/>
      <c r="W30" s="765"/>
      <c r="X30" s="765"/>
      <c r="Y30" s="765"/>
      <c r="Z30" s="765"/>
      <c r="AA30" s="765"/>
      <c r="AB30" s="765"/>
      <c r="AC30" s="765"/>
    </row>
    <row r="31" spans="1:29" x14ac:dyDescent="0.25">
      <c r="A31" s="765" t="str">
        <f>"MMT IM "&amp;SeriesName&amp;" "&amp;'Repo Details and VaR'!A42</f>
        <v>MMT IM Term 100000</v>
      </c>
      <c r="B31" s="9" t="str">
        <f>'Repo Details and VaR'!B42</f>
        <v>MACQUARIE BANK LIMITED USD</v>
      </c>
      <c r="C31" s="765" t="s">
        <v>330</v>
      </c>
      <c r="D31" s="30">
        <f>'Repo Details and VaR'!H42</f>
        <v>0</v>
      </c>
      <c r="E31" s="10">
        <f>'Repo Details and VaR'!E42</f>
        <v>44634</v>
      </c>
      <c r="F31" s="10">
        <f>'Repo Details and VaR'!F42</f>
        <v>44651</v>
      </c>
      <c r="G31" s="766" t="str">
        <f t="shared" si="5"/>
        <v>USD</v>
      </c>
      <c r="H31" s="892">
        <f t="shared" si="6"/>
        <v>1</v>
      </c>
      <c r="I31" s="6" t="str">
        <f>'Repo Details and VaR'!M42</f>
        <v/>
      </c>
      <c r="J31" s="510">
        <f>'Repo Details and VaR'!O42</f>
        <v>0</v>
      </c>
      <c r="K31" s="510">
        <f>'Repo Details and VaR'!N42</f>
        <v>0</v>
      </c>
      <c r="L31" s="1187">
        <f t="shared" si="7"/>
        <v>0</v>
      </c>
      <c r="M31" s="30">
        <f>'Repo Details and VaR'!P42+'Balance Sheet'!D31</f>
        <v>0</v>
      </c>
      <c r="N31" s="122">
        <f>'Repo Details and VaR'!I42</f>
        <v>-3233572.8821999999</v>
      </c>
      <c r="O31" s="121">
        <f t="shared" si="8"/>
        <v>-3233572.8821999999</v>
      </c>
      <c r="P31" s="123">
        <f>'Repo Details and VaR'!L42</f>
        <v>-3233572.8821999999</v>
      </c>
      <c r="Q31" s="97">
        <f ca="1">IF(ISNUMBER([2]!interp(F31,Agncy_MBS_Repo)),[2]!interp(F31,Agncy_MBS_Repo),0)</f>
        <v>0</v>
      </c>
      <c r="R31" s="88">
        <v>225</v>
      </c>
      <c r="S31" s="121">
        <f t="shared" si="9"/>
        <v>0</v>
      </c>
      <c r="T31" s="51"/>
      <c r="U31" s="31"/>
      <c r="V31" s="31"/>
      <c r="W31" s="765"/>
      <c r="X31" s="765"/>
      <c r="Y31" s="765"/>
      <c r="Z31" s="765"/>
      <c r="AA31" s="765"/>
      <c r="AB31" s="765"/>
      <c r="AC31" s="765"/>
    </row>
    <row r="32" spans="1:29" x14ac:dyDescent="0.25">
      <c r="A32" s="765" t="str">
        <f>"MMT IM "&amp;SeriesName&amp;" "&amp;'Repo Details and VaR'!A43</f>
        <v>MMT IM Term 65883</v>
      </c>
      <c r="B32" s="9" t="str">
        <f>'Repo Details and VaR'!B43</f>
        <v>MACQUARIE BANK LIMITED EUR</v>
      </c>
      <c r="C32" s="765" t="s">
        <v>330</v>
      </c>
      <c r="D32" s="30">
        <f>'Repo Details and VaR'!H43</f>
        <v>-139921685.47999999</v>
      </c>
      <c r="E32" s="10">
        <f>'Repo Details and VaR'!E43</f>
        <v>44623</v>
      </c>
      <c r="F32" s="10">
        <f>'Repo Details and VaR'!F43</f>
        <v>44663</v>
      </c>
      <c r="G32" s="766" t="str">
        <f t="shared" si="5"/>
        <v>EUR</v>
      </c>
      <c r="H32" s="892">
        <f t="shared" si="6"/>
        <v>1.1065499999999999</v>
      </c>
      <c r="I32" s="6">
        <f>'Repo Details and VaR'!M43</f>
        <v>-6.2000000000000006E-3</v>
      </c>
      <c r="J32" s="510">
        <f>'Repo Details and VaR'!O43</f>
        <v>2409.7623610444443</v>
      </c>
      <c r="K32" s="510">
        <f>'Repo Details and VaR'!N43</f>
        <v>48509.503144755552</v>
      </c>
      <c r="L32" s="1187">
        <f t="shared" ref="L32" si="11">ROUND(D32+K32,2)</f>
        <v>-139873175.97999999</v>
      </c>
      <c r="M32" s="30">
        <f>'Repo Details and VaR'!P43+'Balance Sheet'!D32</f>
        <v>-139851802.3715297</v>
      </c>
      <c r="N32" s="122">
        <f>'Repo Details and VaR'!I43</f>
        <v>-140727329.76220003</v>
      </c>
      <c r="O32" s="121">
        <f t="shared" si="8"/>
        <v>-805644.28220003843</v>
      </c>
      <c r="P32" s="123">
        <f>'Repo Details and VaR'!L43</f>
        <v>2664029.4587102239</v>
      </c>
      <c r="Q32" s="97">
        <f ca="1">IF(ISNUMBER([2]!interp(F32,Agncy_MBS_Repo)),[2]!interp(F32,Agncy_MBS_Repo),0)</f>
        <v>0</v>
      </c>
      <c r="R32" s="88">
        <v>225</v>
      </c>
      <c r="S32" s="121">
        <f t="shared" ca="1" si="9"/>
        <v>133858.41244253333</v>
      </c>
      <c r="T32" s="51"/>
      <c r="U32" s="31"/>
      <c r="V32" s="31"/>
      <c r="W32" s="765"/>
      <c r="X32" s="765"/>
      <c r="Y32" s="765"/>
      <c r="Z32" s="765"/>
      <c r="AA32" s="765"/>
      <c r="AB32" s="765"/>
      <c r="AC32" s="765"/>
    </row>
    <row r="33" spans="1:65" x14ac:dyDescent="0.25">
      <c r="A33" s="765" t="str">
        <f>"MMT IM "&amp;SeriesName&amp;" "&amp;'Repo Details and VaR'!A44</f>
        <v>MMT IM Term 67676</v>
      </c>
      <c r="B33" s="9" t="str">
        <f>'Repo Details and VaR'!B44</f>
        <v>NATWEST MARKETS PLC USD</v>
      </c>
      <c r="C33" s="765" t="s">
        <v>330</v>
      </c>
      <c r="D33" s="30">
        <f>'Repo Details and VaR'!H44</f>
        <v>408048</v>
      </c>
      <c r="E33" s="10">
        <f>'Repo Details and VaR'!E44</f>
        <v>44536</v>
      </c>
      <c r="F33" s="10">
        <f>'Repo Details and VaR'!F44</f>
        <v>44727</v>
      </c>
      <c r="G33" s="766" t="str">
        <f t="shared" si="5"/>
        <v>USD</v>
      </c>
      <c r="H33" s="892">
        <f t="shared" si="6"/>
        <v>1</v>
      </c>
      <c r="I33" s="6">
        <f>'Repo Details and VaR'!M44</f>
        <v>-12.977630598655061</v>
      </c>
      <c r="J33" s="510">
        <f>'Repo Details and VaR'!O44</f>
        <v>-14709.711695888889</v>
      </c>
      <c r="K33" s="510">
        <f>'Repo Details and VaR'!N44</f>
        <v>-234215.43376016663</v>
      </c>
      <c r="L33" s="1187">
        <f t="shared" si="7"/>
        <v>173832.57</v>
      </c>
      <c r="M33" s="30">
        <f>'Repo Details and VaR'!P44+'Balance Sheet'!D33</f>
        <v>-912217.43719477765</v>
      </c>
      <c r="N33" s="122">
        <f>'Repo Details and VaR'!I44</f>
        <v>10468180.385174304</v>
      </c>
      <c r="O33" s="121">
        <f t="shared" si="8"/>
        <v>10060132.385174304</v>
      </c>
      <c r="P33" s="123">
        <f>'Repo Details and VaR'!L44</f>
        <v>4701386.4595117262</v>
      </c>
      <c r="Q33" s="97">
        <f ca="1">IF(ISNUMBER([2]!interp(F33,Agncy_MBS_Repo)),[2]!interp(F33,Agncy_MBS_Repo),0)</f>
        <v>0</v>
      </c>
      <c r="R33" s="88">
        <v>225</v>
      </c>
      <c r="S33" s="121">
        <f t="shared" ca="1" si="9"/>
        <v>-1119876.3168875556</v>
      </c>
      <c r="T33" s="51"/>
      <c r="U33" s="31">
        <v>0</v>
      </c>
      <c r="V33" s="31">
        <f t="shared" ref="V33:V71" si="12">L33-U33</f>
        <v>173832.57</v>
      </c>
      <c r="W33" s="765"/>
      <c r="X33" s="765"/>
      <c r="Y33" s="765"/>
      <c r="Z33" s="765"/>
      <c r="AA33" s="765"/>
      <c r="AB33" s="765"/>
      <c r="AC33" s="765"/>
    </row>
    <row r="34" spans="1:65" x14ac:dyDescent="0.25">
      <c r="A34" s="765" t="str">
        <f>"MMT IM "&amp;SeriesName&amp;" "&amp;'Repo Details and VaR'!A45</f>
        <v>MMT IM Term 67722</v>
      </c>
      <c r="B34" s="9" t="str">
        <f>'Repo Details and VaR'!B45</f>
        <v>NATWEST MARKETS PLC EUR</v>
      </c>
      <c r="C34" s="765" t="s">
        <v>330</v>
      </c>
      <c r="D34" s="30">
        <f>'Repo Details and VaR'!H45</f>
        <v>-3121812.549999997</v>
      </c>
      <c r="E34" s="10">
        <f>'Repo Details and VaR'!E45</f>
        <v>44635</v>
      </c>
      <c r="F34" s="10">
        <f>'Repo Details and VaR'!F45</f>
        <v>44734</v>
      </c>
      <c r="G34" s="766" t="str">
        <f t="shared" si="5"/>
        <v>EUR</v>
      </c>
      <c r="H34" s="892">
        <f t="shared" si="6"/>
        <v>1.1065499999999999</v>
      </c>
      <c r="I34" s="6">
        <f>'Repo Details and VaR'!M45</f>
        <v>1.1337538014240487</v>
      </c>
      <c r="J34" s="510">
        <f>'Repo Details and VaR'!O45</f>
        <v>-9831.574571932777</v>
      </c>
      <c r="K34" s="510">
        <f>'Repo Details and VaR'!N45</f>
        <v>-134843.61340589501</v>
      </c>
      <c r="L34" s="1187">
        <f t="shared" si="7"/>
        <v>-3256656.16</v>
      </c>
      <c r="M34" s="30">
        <f>'Repo Details and VaR'!P45+'Balance Sheet'!D34</f>
        <v>-4026317.4106178125</v>
      </c>
      <c r="N34" s="122">
        <f>'Repo Details and VaR'!I45</f>
        <v>-199839.07892785966</v>
      </c>
      <c r="O34" s="121">
        <f t="shared" si="8"/>
        <v>2921973.4710721374</v>
      </c>
      <c r="P34" s="123">
        <f>'Repo Details and VaR'!L45</f>
        <v>-3590338.489572247</v>
      </c>
      <c r="Q34" s="97">
        <f ca="1">IF(ISNUMBER([2]!interp(F34,Agncy_MBS_Repo)),[2]!interp(F34,Agncy_MBS_Repo),0)</f>
        <v>0</v>
      </c>
      <c r="R34" s="88">
        <v>225</v>
      </c>
      <c r="S34" s="121">
        <f t="shared" ca="1" si="9"/>
        <v>-799826.28686729562</v>
      </c>
      <c r="T34" s="51"/>
      <c r="U34" s="31">
        <v>0</v>
      </c>
      <c r="V34" s="31">
        <f t="shared" si="12"/>
        <v>-3256656.16</v>
      </c>
      <c r="W34" s="765"/>
      <c r="X34" s="765"/>
      <c r="Y34" s="765"/>
      <c r="Z34" s="765"/>
      <c r="AA34" s="765"/>
      <c r="AB34" s="765"/>
      <c r="AC34" s="765"/>
    </row>
    <row r="35" spans="1:65" x14ac:dyDescent="0.25">
      <c r="A35" s="876" t="str">
        <f>'Facilities &amp; Bond Details'!$A4</f>
        <v>XS1951177309</v>
      </c>
      <c r="B35" s="9" t="str">
        <f>'Facilities &amp; Bond Details'!B4</f>
        <v>Eastern Elm</v>
      </c>
      <c r="C35" s="2" t="s">
        <v>828</v>
      </c>
      <c r="D35" s="30">
        <f>'Facilities &amp; Bond Details'!L4</f>
        <v>118886089</v>
      </c>
      <c r="E35" s="10">
        <f>'Facilities &amp; Bond Details'!J4</f>
        <v>44635</v>
      </c>
      <c r="F35" s="10">
        <f>$B$7</f>
        <v>44727</v>
      </c>
      <c r="G35" s="766" t="str">
        <f>'Facilities &amp; Bond Details'!E4</f>
        <v>USD</v>
      </c>
      <c r="H35" s="892">
        <f t="shared" si="6"/>
        <v>1</v>
      </c>
      <c r="I35" s="32">
        <f>'Facilities &amp; Bond Details'!I4/100</f>
        <v>3.0759999999999999E-2</v>
      </c>
      <c r="J35" s="30">
        <f>'Facilities &amp; Bond Details'!L4*I35/360</f>
        <v>10158.155826777776</v>
      </c>
      <c r="K35" s="495">
        <f t="shared" ref="K35:K47" si="13">ROUND(D35*I35*(ValDate-E35)/360,2)</f>
        <v>162530.49</v>
      </c>
      <c r="L35" s="1187">
        <f t="shared" si="7"/>
        <v>119048619.48999999</v>
      </c>
      <c r="M35" s="31">
        <f>ROUND(D35+(F35-E35)*J35,2)</f>
        <v>119820639.34</v>
      </c>
      <c r="N35" s="122"/>
      <c r="O35" s="121"/>
      <c r="P35" s="123"/>
      <c r="Q35" s="97"/>
      <c r="R35" s="88"/>
      <c r="S35" s="121"/>
      <c r="T35" s="51"/>
      <c r="U35" s="31">
        <v>112928595.45999999</v>
      </c>
      <c r="V35" s="31">
        <f t="shared" si="12"/>
        <v>6120024.0300000012</v>
      </c>
      <c r="W35" s="2"/>
      <c r="X35" s="2"/>
      <c r="Y35" s="2"/>
      <c r="Z35" s="2"/>
      <c r="AA35" s="2"/>
      <c r="AB35" s="2"/>
      <c r="AC35" s="2"/>
    </row>
    <row r="36" spans="1:65" x14ac:dyDescent="0.25">
      <c r="A36" s="876" t="str">
        <f>'Facilities &amp; Bond Details'!$A5</f>
        <v>XS2091648928</v>
      </c>
      <c r="B36" s="9" t="str">
        <f>'Facilities &amp; Bond Details'!B5</f>
        <v>Pacific Fir</v>
      </c>
      <c r="C36" s="765" t="s">
        <v>828</v>
      </c>
      <c r="D36" s="30">
        <f>'Facilities &amp; Bond Details'!L5</f>
        <v>44350150</v>
      </c>
      <c r="E36" s="10">
        <f>'Facilities &amp; Bond Details'!J5</f>
        <v>44635</v>
      </c>
      <c r="F36" s="10">
        <f t="shared" ref="F36:F49" si="14">$B$7</f>
        <v>44727</v>
      </c>
      <c r="G36" s="766" t="str">
        <f>'Facilities &amp; Bond Details'!E5</f>
        <v>USD</v>
      </c>
      <c r="H36" s="892">
        <f t="shared" si="6"/>
        <v>1</v>
      </c>
      <c r="I36" s="32">
        <f>'Facilities &amp; Bond Details'!I5/100</f>
        <v>3.1009999999999999E-2</v>
      </c>
      <c r="J36" s="30">
        <f>'Facilities &amp; Bond Details'!L5*I36/360</f>
        <v>3820.2726430555554</v>
      </c>
      <c r="K36" s="495">
        <f t="shared" ref="K36" si="15">ROUND(D36*I36*(ValDate-E36)/360,2)</f>
        <v>61124.36</v>
      </c>
      <c r="L36" s="1187">
        <f t="shared" ref="L36" si="16">ROUND(D36+K36,2)</f>
        <v>44411274.359999999</v>
      </c>
      <c r="M36" s="31">
        <f t="shared" ref="M36" si="17">ROUND(D36+(F36-E36)*J36,2)</f>
        <v>44701615.079999998</v>
      </c>
      <c r="N36" s="122"/>
      <c r="O36" s="121"/>
      <c r="P36" s="123"/>
      <c r="Q36" s="97"/>
      <c r="R36" s="88"/>
      <c r="S36" s="121"/>
      <c r="T36" s="51"/>
      <c r="U36" s="31"/>
      <c r="V36" s="31"/>
      <c r="W36" s="765"/>
      <c r="X36" s="765"/>
      <c r="Y36" s="765"/>
      <c r="Z36" s="765"/>
      <c r="AA36" s="765"/>
      <c r="AB36" s="765"/>
      <c r="AC36" s="765"/>
      <c r="BH36" s="1199"/>
      <c r="BI36" s="1199"/>
      <c r="BJ36" s="1199"/>
      <c r="BK36" s="1199"/>
      <c r="BL36" s="1199"/>
      <c r="BM36" s="1199"/>
    </row>
    <row r="37" spans="1:65" x14ac:dyDescent="0.25">
      <c r="A37" s="876" t="str">
        <f>'Facilities &amp; Bond Details'!$A6</f>
        <v>STHAPPLE1</v>
      </c>
      <c r="B37" s="9" t="str">
        <f>'Facilities &amp; Bond Details'!B6</f>
        <v>Southern Apple 1</v>
      </c>
      <c r="C37" s="765" t="s">
        <v>828</v>
      </c>
      <c r="D37" s="30">
        <f>'Facilities &amp; Bond Details'!L6</f>
        <v>13400000</v>
      </c>
      <c r="E37" s="10">
        <f>'Facilities &amp; Bond Details'!J6</f>
        <v>44635</v>
      </c>
      <c r="F37" s="10">
        <f t="shared" si="14"/>
        <v>44727</v>
      </c>
      <c r="G37" s="766" t="str">
        <f>'Facilities &amp; Bond Details'!E6</f>
        <v>USD</v>
      </c>
      <c r="H37" s="892">
        <f t="shared" si="6"/>
        <v>1</v>
      </c>
      <c r="I37" s="32">
        <f>'Facilities &amp; Bond Details'!I6/100</f>
        <v>3.576E-2</v>
      </c>
      <c r="J37" s="30">
        <f>'Facilities &amp; Bond Details'!L6*I37/360</f>
        <v>1331.0666666666666</v>
      </c>
      <c r="K37" s="495">
        <f t="shared" ref="K37" si="18">ROUND(D37*I37*(ValDate-E37)/360,2)</f>
        <v>21297.07</v>
      </c>
      <c r="L37" s="1187">
        <f t="shared" ref="L37" si="19">ROUND(D37+K37,2)</f>
        <v>13421297.07</v>
      </c>
      <c r="M37" s="31">
        <f t="shared" ref="M37" si="20">ROUND(D37+(F37-E37)*J37,2)</f>
        <v>13522458.130000001</v>
      </c>
      <c r="N37" s="122"/>
      <c r="O37" s="121"/>
      <c r="P37" s="123"/>
      <c r="Q37" s="97"/>
      <c r="R37" s="88"/>
      <c r="S37" s="121"/>
      <c r="T37" s="51"/>
      <c r="U37" s="31"/>
      <c r="V37" s="31"/>
      <c r="W37" s="765"/>
      <c r="X37" s="765"/>
      <c r="Y37" s="765"/>
      <c r="Z37" s="765"/>
      <c r="AA37" s="765"/>
      <c r="AB37" s="765"/>
      <c r="AC37" s="765"/>
      <c r="BH37" s="1199"/>
      <c r="BI37" s="1199"/>
      <c r="BJ37" s="1199"/>
      <c r="BK37" s="1199"/>
      <c r="BL37" s="1199"/>
      <c r="BM37" s="1199"/>
    </row>
    <row r="38" spans="1:65" x14ac:dyDescent="0.25">
      <c r="A38" s="876" t="str">
        <f>'Facilities &amp; Bond Details'!$A7</f>
        <v>STHAPPLE2</v>
      </c>
      <c r="B38" s="9" t="str">
        <f>'Facilities &amp; Bond Details'!B7</f>
        <v>Southern Apple 2</v>
      </c>
      <c r="C38" s="765" t="s">
        <v>828</v>
      </c>
      <c r="D38" s="30">
        <f>'Facilities &amp; Bond Details'!L7</f>
        <v>1700000</v>
      </c>
      <c r="E38" s="10">
        <f>'Facilities &amp; Bond Details'!J7</f>
        <v>44642</v>
      </c>
      <c r="F38" s="10">
        <f t="shared" si="14"/>
        <v>44727</v>
      </c>
      <c r="G38" s="766" t="str">
        <f>'Facilities &amp; Bond Details'!E7</f>
        <v>USD</v>
      </c>
      <c r="H38" s="892">
        <f t="shared" si="6"/>
        <v>1</v>
      </c>
      <c r="I38" s="32">
        <f>'Facilities &amp; Bond Details'!I7/100</f>
        <v>3.576E-2</v>
      </c>
      <c r="J38" s="30">
        <f>'Facilities &amp; Bond Details'!L7*I38/360</f>
        <v>168.86666666666667</v>
      </c>
      <c r="K38" s="495">
        <f t="shared" ref="K38" si="21">ROUND(D38*I38*(ValDate-E38)/360,2)</f>
        <v>1519.8</v>
      </c>
      <c r="L38" s="1187">
        <f t="shared" ref="L38" si="22">ROUND(D38+K38,2)</f>
        <v>1701519.8</v>
      </c>
      <c r="M38" s="31">
        <f t="shared" ref="M38" si="23">ROUND(D38+(F38-E38)*J38,2)</f>
        <v>1714353.67</v>
      </c>
      <c r="N38" s="122"/>
      <c r="O38" s="121"/>
      <c r="P38" s="123"/>
      <c r="Q38" s="97"/>
      <c r="R38" s="88"/>
      <c r="S38" s="121"/>
      <c r="T38" s="51"/>
      <c r="U38" s="31"/>
      <c r="V38" s="31"/>
      <c r="W38" s="765"/>
      <c r="X38" s="765"/>
      <c r="Y38" s="765"/>
      <c r="Z38" s="765"/>
      <c r="AA38" s="765"/>
      <c r="AB38" s="765"/>
      <c r="AC38" s="765"/>
    </row>
    <row r="39" spans="1:65" x14ac:dyDescent="0.25">
      <c r="A39" s="876" t="str">
        <f>'Facilities &amp; Bond Details'!$A8</f>
        <v>XS2373029664</v>
      </c>
      <c r="B39" s="9" t="str">
        <f>'Facilities &amp; Bond Details'!B8</f>
        <v>Lake Olive USD</v>
      </c>
      <c r="C39" s="765" t="s">
        <v>828</v>
      </c>
      <c r="D39" s="30">
        <f>'Facilities &amp; Bond Details'!L8</f>
        <v>2200000</v>
      </c>
      <c r="E39" s="10">
        <f>'Facilities &amp; Bond Details'!J8</f>
        <v>44635</v>
      </c>
      <c r="F39" s="10">
        <f t="shared" si="14"/>
        <v>44727</v>
      </c>
      <c r="G39" s="766" t="str">
        <f>'Facilities &amp; Bond Details'!E8</f>
        <v>USD</v>
      </c>
      <c r="H39" s="892">
        <f t="shared" si="6"/>
        <v>1</v>
      </c>
      <c r="I39" s="32">
        <f>'Facilities &amp; Bond Details'!I8/100</f>
        <v>3.3259999999999998E-2</v>
      </c>
      <c r="J39" s="30">
        <f>'Facilities &amp; Bond Details'!L8*I39/360</f>
        <v>203.25555555555556</v>
      </c>
      <c r="K39" s="495">
        <f t="shared" ref="K39" si="24">ROUND(D39*I39*(ValDate-E39)/360,2)</f>
        <v>3252.09</v>
      </c>
      <c r="L39" s="1187">
        <f t="shared" ref="L39" si="25">ROUND(D39+K39,2)</f>
        <v>2203252.09</v>
      </c>
      <c r="M39" s="31">
        <f t="shared" ref="M39" si="26">ROUND(D39+(F39-E39)*J39,2)</f>
        <v>2218699.5099999998</v>
      </c>
      <c r="N39" s="122"/>
      <c r="O39" s="121"/>
      <c r="P39" s="123"/>
      <c r="Q39" s="97"/>
      <c r="R39" s="88"/>
      <c r="S39" s="121"/>
      <c r="T39" s="51"/>
      <c r="U39" s="31"/>
      <c r="V39" s="31"/>
      <c r="W39" s="765"/>
      <c r="X39" s="765"/>
      <c r="Y39" s="765"/>
      <c r="Z39" s="765"/>
      <c r="AA39" s="765"/>
      <c r="AB39" s="765"/>
      <c r="AC39" s="765"/>
    </row>
    <row r="40" spans="1:65" x14ac:dyDescent="0.25">
      <c r="A40" s="876" t="str">
        <f>'Facilities &amp; Bond Details'!$A9</f>
        <v>MNTNCHRY1</v>
      </c>
      <c r="B40" s="9" t="str">
        <f>'Facilities &amp; Bond Details'!B9</f>
        <v>Mntn Cherry 1</v>
      </c>
      <c r="C40" s="765" t="s">
        <v>828</v>
      </c>
      <c r="D40" s="30">
        <f>'Facilities &amp; Bond Details'!L9</f>
        <v>10000000</v>
      </c>
      <c r="E40" s="10">
        <f>'Facilities &amp; Bond Details'!J9</f>
        <v>44651</v>
      </c>
      <c r="F40" s="10">
        <f t="shared" si="14"/>
        <v>44727</v>
      </c>
      <c r="G40" s="766" t="str">
        <f>'Facilities &amp; Bond Details'!E9</f>
        <v>USD</v>
      </c>
      <c r="H40" s="892">
        <f t="shared" si="6"/>
        <v>1</v>
      </c>
      <c r="I40" s="32">
        <f>'Facilities &amp; Bond Details'!I9/100</f>
        <v>2.6657E-2</v>
      </c>
      <c r="J40" s="30">
        <f>'Facilities &amp; Bond Details'!L9*I40/360</f>
        <v>740.47222222222217</v>
      </c>
      <c r="K40" s="495">
        <f t="shared" ref="K40" si="27">ROUND(D40*I40*(ValDate-E40)/360,2)</f>
        <v>0</v>
      </c>
      <c r="L40" s="1187">
        <f t="shared" ref="L40" si="28">ROUND(D40+K40,2)</f>
        <v>10000000</v>
      </c>
      <c r="M40" s="31">
        <f t="shared" ref="M40" si="29">ROUND(D40+(F40-E40)*J40,2)</f>
        <v>10056275.890000001</v>
      </c>
      <c r="N40" s="122"/>
      <c r="O40" s="121"/>
      <c r="P40" s="123"/>
      <c r="Q40" s="97"/>
      <c r="R40" s="88"/>
      <c r="S40" s="121"/>
      <c r="T40" s="51"/>
      <c r="U40" s="31">
        <v>19898534.760000002</v>
      </c>
      <c r="V40" s="31">
        <f t="shared" si="12"/>
        <v>-9898534.7600000016</v>
      </c>
      <c r="W40" s="765"/>
      <c r="X40" s="765"/>
      <c r="Y40" s="765"/>
      <c r="Z40" s="765"/>
      <c r="AA40" s="765"/>
      <c r="AB40" s="765"/>
      <c r="AC40" s="765"/>
    </row>
    <row r="41" spans="1:65" x14ac:dyDescent="0.25">
      <c r="A41" s="876" t="str">
        <f>'Facilities &amp; Bond Details'!$A10</f>
        <v>ALMNDUSD1</v>
      </c>
      <c r="B41" s="9" t="str">
        <f>'Facilities &amp; Bond Details'!B10</f>
        <v>South'n Almnd U1</v>
      </c>
      <c r="C41" s="765" t="s">
        <v>828</v>
      </c>
      <c r="D41" s="30">
        <f>'Facilities &amp; Bond Details'!L10</f>
        <v>24432976</v>
      </c>
      <c r="E41" s="10">
        <f>'Facilities &amp; Bond Details'!J10</f>
        <v>44635</v>
      </c>
      <c r="F41" s="10">
        <f t="shared" si="14"/>
        <v>44727</v>
      </c>
      <c r="G41" s="766" t="str">
        <f>'Facilities &amp; Bond Details'!E10</f>
        <v>USD</v>
      </c>
      <c r="H41" s="892">
        <f t="shared" si="6"/>
        <v>1</v>
      </c>
      <c r="I41" s="32">
        <f>'Facilities &amp; Bond Details'!I10/100</f>
        <v>5.4760000000000003E-2</v>
      </c>
      <c r="J41" s="30">
        <f>'Facilities &amp; Bond Details'!L10*I41/360</f>
        <v>3716.5271271111114</v>
      </c>
      <c r="K41" s="495">
        <f t="shared" ref="K41" si="30">ROUND(D41*I41*(ValDate-E41)/360,2)</f>
        <v>59464.43</v>
      </c>
      <c r="L41" s="1187">
        <f t="shared" ref="L41" si="31">ROUND(D41+K41,2)</f>
        <v>24492440.43</v>
      </c>
      <c r="M41" s="31">
        <f t="shared" ref="M41" si="32">ROUND(D41+(F41-E41)*J41,2)</f>
        <v>24774896.5</v>
      </c>
      <c r="N41" s="122"/>
      <c r="O41" s="121"/>
      <c r="P41" s="123"/>
      <c r="Q41" s="97"/>
      <c r="R41" s="88"/>
      <c r="S41" s="121"/>
      <c r="T41" s="51"/>
      <c r="U41" s="31"/>
      <c r="V41" s="31"/>
      <c r="W41" s="765"/>
      <c r="X41" s="765"/>
      <c r="Y41" s="765"/>
      <c r="Z41" s="765"/>
      <c r="AA41" s="765"/>
      <c r="AB41" s="765"/>
      <c r="AC41" s="765"/>
    </row>
    <row r="42" spans="1:65" x14ac:dyDescent="0.25">
      <c r="A42" s="876" t="str">
        <f>'Facilities &amp; Bond Details'!$A11</f>
        <v>ALMNDUSD2</v>
      </c>
      <c r="B42" s="9" t="str">
        <f>'Facilities &amp; Bond Details'!B11</f>
        <v>South'n Almnd U2</v>
      </c>
      <c r="C42" s="765" t="s">
        <v>828</v>
      </c>
      <c r="D42" s="30">
        <f>'Facilities &amp; Bond Details'!L11</f>
        <v>300000</v>
      </c>
      <c r="E42" s="10">
        <f>'Facilities &amp; Bond Details'!J11</f>
        <v>44645</v>
      </c>
      <c r="F42" s="10">
        <f t="shared" si="14"/>
        <v>44727</v>
      </c>
      <c r="G42" s="766" t="str">
        <f>'Facilities &amp; Bond Details'!E11</f>
        <v>USD</v>
      </c>
      <c r="H42" s="892">
        <f t="shared" si="6"/>
        <v>1</v>
      </c>
      <c r="I42" s="32">
        <f>'Facilities &amp; Bond Details'!I11/100</f>
        <v>5.4760000000000003E-2</v>
      </c>
      <c r="J42" s="30">
        <f>'Facilities &amp; Bond Details'!L11*I42/360</f>
        <v>45.633333333333333</v>
      </c>
      <c r="K42" s="495">
        <f t="shared" ref="K42" si="33">ROUND(D42*I42*(ValDate-E42)/360,2)</f>
        <v>273.8</v>
      </c>
      <c r="L42" s="1187">
        <f t="shared" ref="L42" si="34">ROUND(D42+K42,2)</f>
        <v>300273.8</v>
      </c>
      <c r="M42" s="31">
        <f t="shared" ref="M42" si="35">ROUND(D42+(F42-E42)*J42,2)</f>
        <v>303741.93</v>
      </c>
      <c r="N42" s="122"/>
      <c r="O42" s="121"/>
      <c r="P42" s="123"/>
      <c r="Q42" s="97"/>
      <c r="R42" s="88"/>
      <c r="S42" s="121"/>
      <c r="T42" s="51"/>
      <c r="U42" s="31"/>
      <c r="V42" s="31"/>
      <c r="W42" s="765"/>
      <c r="X42" s="765"/>
      <c r="Y42" s="765"/>
      <c r="Z42" s="765"/>
      <c r="AA42" s="765"/>
      <c r="AB42" s="765"/>
      <c r="AC42" s="765"/>
    </row>
    <row r="43" spans="1:65" x14ac:dyDescent="0.25">
      <c r="A43" s="876" t="str">
        <f>'Facilities &amp; Bond Details'!$A12</f>
        <v>ALMNDUSD3</v>
      </c>
      <c r="B43" s="9" t="str">
        <f>'Facilities &amp; Bond Details'!B12</f>
        <v>South'n Almnd U3</v>
      </c>
      <c r="C43" s="765" t="s">
        <v>828</v>
      </c>
      <c r="D43" s="30">
        <f>'Facilities &amp; Bond Details'!L12</f>
        <v>600000</v>
      </c>
      <c r="E43" s="10">
        <f>'Facilities &amp; Bond Details'!J12</f>
        <v>44648</v>
      </c>
      <c r="F43" s="10">
        <f t="shared" si="14"/>
        <v>44727</v>
      </c>
      <c r="G43" s="766" t="str">
        <f>'Facilities &amp; Bond Details'!E12</f>
        <v>USD</v>
      </c>
      <c r="H43" s="892">
        <f t="shared" si="6"/>
        <v>1</v>
      </c>
      <c r="I43" s="32">
        <f>'Facilities &amp; Bond Details'!I12/100</f>
        <v>0</v>
      </c>
      <c r="J43" s="30">
        <f>'Facilities &amp; Bond Details'!L12*I43/360</f>
        <v>0</v>
      </c>
      <c r="K43" s="495">
        <f t="shared" ref="K43" si="36">ROUND(D43*I43*(ValDate-E43)/360,2)</f>
        <v>0</v>
      </c>
      <c r="L43" s="1187">
        <f t="shared" ref="L43" si="37">ROUND(D43+K43,2)</f>
        <v>600000</v>
      </c>
      <c r="M43" s="31">
        <f t="shared" ref="M43" si="38">ROUND(D43+(F43-E43)*J43,2)</f>
        <v>600000</v>
      </c>
      <c r="N43" s="122"/>
      <c r="O43" s="121"/>
      <c r="P43" s="123"/>
      <c r="Q43" s="97"/>
      <c r="R43" s="88"/>
      <c r="S43" s="121"/>
      <c r="T43" s="51"/>
      <c r="U43" s="31"/>
      <c r="V43" s="31"/>
      <c r="W43" s="765"/>
      <c r="X43" s="765"/>
      <c r="Y43" s="765"/>
      <c r="Z43" s="765"/>
      <c r="AA43" s="765"/>
      <c r="AB43" s="765"/>
      <c r="AC43" s="765"/>
    </row>
    <row r="44" spans="1:65" x14ac:dyDescent="0.25">
      <c r="A44" s="876" t="str">
        <f>'Facilities &amp; Bond Details'!$A13</f>
        <v>XS2225938831</v>
      </c>
      <c r="B44" s="9" t="str">
        <f>'Facilities &amp; Bond Details'!B13</f>
        <v>So Spruce Nts</v>
      </c>
      <c r="C44" s="765" t="s">
        <v>828</v>
      </c>
      <c r="D44" s="30">
        <f>'Facilities &amp; Bond Details'!L13</f>
        <v>9769566</v>
      </c>
      <c r="E44" s="10">
        <f>'Facilities &amp; Bond Details'!J13</f>
        <v>44635</v>
      </c>
      <c r="F44" s="10">
        <f t="shared" si="14"/>
        <v>44727</v>
      </c>
      <c r="G44" s="766" t="str">
        <f>'Facilities &amp; Bond Details'!E13</f>
        <v>USD</v>
      </c>
      <c r="H44" s="892">
        <f t="shared" si="6"/>
        <v>1</v>
      </c>
      <c r="I44" s="32">
        <f>'Facilities &amp; Bond Details'!I13/100</f>
        <v>3.3259999999999998E-2</v>
      </c>
      <c r="J44" s="30">
        <f>'Facilities &amp; Bond Details'!L13*I44/360</f>
        <v>902.59934766666652</v>
      </c>
      <c r="K44" s="495">
        <f t="shared" ref="K44" si="39">ROUND(D44*I44*(ValDate-E44)/360,2)</f>
        <v>14441.59</v>
      </c>
      <c r="L44" s="1187">
        <f t="shared" ref="L44" si="40">ROUND(D44+K44,2)</f>
        <v>9784007.5899999999</v>
      </c>
      <c r="M44" s="31">
        <f t="shared" ref="M44" si="41">ROUND(D44+(F44-E44)*J44,2)</f>
        <v>9852605.1400000006</v>
      </c>
      <c r="N44" s="122"/>
      <c r="O44" s="121"/>
      <c r="P44" s="123"/>
      <c r="Q44" s="97"/>
      <c r="R44" s="88"/>
      <c r="S44" s="121"/>
      <c r="T44" s="51"/>
      <c r="U44" s="31"/>
      <c r="V44" s="31"/>
      <c r="W44" s="765"/>
      <c r="X44" s="765"/>
      <c r="Y44" s="765"/>
      <c r="Z44" s="765"/>
      <c r="AA44" s="765"/>
      <c r="AB44" s="765"/>
      <c r="AC44" s="765"/>
    </row>
    <row r="45" spans="1:65" x14ac:dyDescent="0.25">
      <c r="A45" s="876" t="str">
        <f>'Facilities &amp; Bond Details'!$A14</f>
        <v>ALMNDEUR1</v>
      </c>
      <c r="B45" s="9" t="str">
        <f>'Facilities &amp; Bond Details'!B14</f>
        <v>South'n Almnd E1</v>
      </c>
      <c r="C45" s="765" t="s">
        <v>828</v>
      </c>
      <c r="D45" s="30">
        <f>'Facilities &amp; Bond Details'!L14</f>
        <v>14300000</v>
      </c>
      <c r="E45" s="10">
        <f>'Facilities &amp; Bond Details'!J14</f>
        <v>44635</v>
      </c>
      <c r="F45" s="10">
        <f t="shared" si="14"/>
        <v>44727</v>
      </c>
      <c r="G45" s="766" t="str">
        <f>'Facilities &amp; Bond Details'!E14</f>
        <v>EUR</v>
      </c>
      <c r="H45" s="892">
        <f t="shared" si="6"/>
        <v>1.1065499999999999</v>
      </c>
      <c r="I45" s="32">
        <f>'Facilities &amp; Bond Details'!I14/100</f>
        <v>4.1500000000000002E-2</v>
      </c>
      <c r="J45" s="30">
        <f>'Facilities &amp; Bond Details'!L14*I45/360</f>
        <v>1648.4722222222222</v>
      </c>
      <c r="K45" s="495">
        <f t="shared" ref="K45:K46" si="42">ROUND(D45*I45*(ValDate-E45)/360,2)</f>
        <v>26375.56</v>
      </c>
      <c r="L45" s="1187">
        <f t="shared" ref="L45:L46" si="43">ROUND(D45+K45,2)</f>
        <v>14326375.560000001</v>
      </c>
      <c r="M45" s="31">
        <f t="shared" ref="M45:M46" si="44">ROUND(D45+(F45-E45)*J45,2)</f>
        <v>14451659.439999999</v>
      </c>
      <c r="N45" s="122"/>
      <c r="O45" s="121"/>
      <c r="P45" s="123"/>
      <c r="Q45" s="97"/>
      <c r="R45" s="88"/>
      <c r="S45" s="121"/>
      <c r="T45" s="51"/>
      <c r="U45" s="31"/>
      <c r="V45" s="31"/>
      <c r="W45" s="765"/>
      <c r="X45" s="765"/>
      <c r="Y45" s="765"/>
      <c r="Z45" s="765"/>
      <c r="AA45" s="765"/>
      <c r="AB45" s="765"/>
      <c r="AC45" s="765"/>
    </row>
    <row r="46" spans="1:65" x14ac:dyDescent="0.25">
      <c r="A46" s="876" t="str">
        <f>'Facilities &amp; Bond Details'!$A15</f>
        <v>XS2373029748</v>
      </c>
      <c r="B46" s="9" t="str">
        <f>'Facilities &amp; Bond Details'!B15</f>
        <v>Lake Olive EUR</v>
      </c>
      <c r="C46" s="765" t="s">
        <v>828</v>
      </c>
      <c r="D46" s="30">
        <f>'Facilities &amp; Bond Details'!L15</f>
        <v>12224694.890000001</v>
      </c>
      <c r="E46" s="10">
        <f>'Facilities &amp; Bond Details'!J15</f>
        <v>44635</v>
      </c>
      <c r="F46" s="10">
        <f t="shared" si="14"/>
        <v>44727</v>
      </c>
      <c r="G46" s="766" t="str">
        <f>'Facilities &amp; Bond Details'!E15</f>
        <v>EUR</v>
      </c>
      <c r="H46" s="892">
        <f t="shared" si="6"/>
        <v>1.1065499999999999</v>
      </c>
      <c r="I46" s="32">
        <f>'Facilities &amp; Bond Details'!I15/100</f>
        <v>2.2000000000000002E-2</v>
      </c>
      <c r="J46" s="30">
        <f>'Facilities &amp; Bond Details'!L15*I46/360</f>
        <v>747.0646877222224</v>
      </c>
      <c r="K46" s="495">
        <f t="shared" si="42"/>
        <v>11953.04</v>
      </c>
      <c r="L46" s="1187">
        <f t="shared" si="43"/>
        <v>12236647.93</v>
      </c>
      <c r="M46" s="31">
        <f t="shared" si="44"/>
        <v>12293424.84</v>
      </c>
      <c r="N46" s="122"/>
      <c r="O46" s="121"/>
      <c r="P46" s="123"/>
      <c r="Q46" s="97"/>
      <c r="R46" s="88"/>
      <c r="S46" s="121"/>
      <c r="T46" s="51"/>
      <c r="U46" s="31"/>
      <c r="V46" s="31"/>
      <c r="W46" s="765"/>
      <c r="X46" s="765"/>
      <c r="Y46" s="765"/>
      <c r="Z46" s="765"/>
      <c r="AA46" s="765"/>
      <c r="AB46" s="765"/>
      <c r="AC46" s="765"/>
    </row>
    <row r="47" spans="1:65" x14ac:dyDescent="0.25">
      <c r="A47" s="876" t="str">
        <f>'Facilities &amp; Bond Details'!$A16</f>
        <v>XS2004377136</v>
      </c>
      <c r="B47" s="9" t="str">
        <f>'Facilities &amp; Bond Details'!B16</f>
        <v>Eastern Cypress</v>
      </c>
      <c r="C47" s="765" t="s">
        <v>828</v>
      </c>
      <c r="D47" s="30">
        <f>'Facilities &amp; Bond Details'!L16</f>
        <v>76400000</v>
      </c>
      <c r="E47" s="10">
        <f>'Facilities &amp; Bond Details'!J16</f>
        <v>44635</v>
      </c>
      <c r="F47" s="10">
        <f t="shared" si="14"/>
        <v>44727</v>
      </c>
      <c r="G47" s="766" t="str">
        <f>'Facilities &amp; Bond Details'!E16</f>
        <v>EUR</v>
      </c>
      <c r="H47" s="892">
        <f t="shared" si="6"/>
        <v>1.1065499999999999</v>
      </c>
      <c r="I47" s="32">
        <f>'Facilities &amp; Bond Details'!I16/100</f>
        <v>1.6E-2</v>
      </c>
      <c r="J47" s="30">
        <f>'Facilities &amp; Bond Details'!L16*I47/360</f>
        <v>3395.5555555555557</v>
      </c>
      <c r="K47" s="495">
        <f t="shared" si="13"/>
        <v>54328.89</v>
      </c>
      <c r="L47" s="1187">
        <f t="shared" ref="L47" si="45">ROUND(D47+K47,2)</f>
        <v>76454328.890000001</v>
      </c>
      <c r="M47" s="31">
        <f t="shared" ref="M47" si="46">ROUND(D47+(F47-E47)*J47,2)</f>
        <v>76712391.109999999</v>
      </c>
      <c r="N47" s="122"/>
      <c r="O47" s="121"/>
      <c r="P47" s="123"/>
      <c r="Q47" s="97"/>
      <c r="R47" s="88"/>
      <c r="S47" s="121"/>
      <c r="T47" s="51"/>
      <c r="U47" s="31">
        <v>10000000</v>
      </c>
      <c r="V47" s="31">
        <f t="shared" si="12"/>
        <v>66454328.890000001</v>
      </c>
      <c r="W47" s="765"/>
      <c r="X47" s="765"/>
      <c r="Y47" s="765"/>
      <c r="Z47" s="765"/>
      <c r="AA47" s="765"/>
      <c r="AB47" s="765"/>
      <c r="AC47" s="765"/>
    </row>
    <row r="48" spans="1:65" x14ac:dyDescent="0.25">
      <c r="A48" s="876" t="str">
        <f>'Facilities &amp; Bond Details'!$A17</f>
        <v>HEXZETA01</v>
      </c>
      <c r="B48" s="9" t="str">
        <f>'Facilities &amp; Bond Details'!B17</f>
        <v>Hex Zeta 1</v>
      </c>
      <c r="C48" s="765" t="s">
        <v>828</v>
      </c>
      <c r="D48" s="30">
        <f>'Facilities &amp; Bond Details'!L17</f>
        <v>66202000</v>
      </c>
      <c r="E48" s="10">
        <f>'Facilities &amp; Bond Details'!J17</f>
        <v>44642</v>
      </c>
      <c r="F48" s="10">
        <f t="shared" si="14"/>
        <v>44727</v>
      </c>
      <c r="G48" s="766" t="str">
        <f>'Facilities &amp; Bond Details'!E17</f>
        <v>EUR</v>
      </c>
      <c r="H48" s="892">
        <f t="shared" si="6"/>
        <v>1.1065499999999999</v>
      </c>
      <c r="I48" s="32">
        <f>'Facilities &amp; Bond Details'!I17/100</f>
        <v>1.363E-2</v>
      </c>
      <c r="J48" s="30">
        <f>'Facilities &amp; Bond Details'!L17*I48/360</f>
        <v>2506.4812777777779</v>
      </c>
      <c r="K48" s="495">
        <f t="shared" ref="K48" si="47">ROUND(D48*I48*(ValDate-E48)/360,2)</f>
        <v>22558.33</v>
      </c>
      <c r="L48" s="1187">
        <f t="shared" ref="L48" si="48">ROUND(D48+K48,2)</f>
        <v>66224558.329999998</v>
      </c>
      <c r="M48" s="31">
        <f t="shared" ref="M48" si="49">ROUND(D48+(F48-E48)*J48,2)</f>
        <v>66415050.909999996</v>
      </c>
      <c r="N48" s="122"/>
      <c r="O48" s="121"/>
      <c r="P48" s="123"/>
      <c r="Q48" s="97"/>
      <c r="R48" s="88"/>
      <c r="S48" s="121"/>
      <c r="T48" s="51"/>
      <c r="U48" s="31"/>
      <c r="V48" s="31"/>
      <c r="W48" s="765"/>
      <c r="X48" s="765"/>
      <c r="Y48" s="765"/>
      <c r="Z48" s="765"/>
      <c r="AA48" s="765"/>
      <c r="AB48" s="765"/>
      <c r="AC48" s="765"/>
    </row>
    <row r="49" spans="1:65" x14ac:dyDescent="0.25">
      <c r="A49" s="876" t="str">
        <f>'Facilities &amp; Bond Details'!$A18</f>
        <v>HEXZETA02</v>
      </c>
      <c r="B49" s="9" t="str">
        <f>'Facilities &amp; Bond Details'!B18</f>
        <v>Hex Zeta 2</v>
      </c>
      <c r="C49" s="765" t="s">
        <v>828</v>
      </c>
      <c r="D49" s="30">
        <f>'Facilities &amp; Bond Details'!L18</f>
        <v>3808000</v>
      </c>
      <c r="E49" s="10">
        <f>'Facilities &amp; Bond Details'!J18</f>
        <v>44642</v>
      </c>
      <c r="F49" s="10">
        <f t="shared" si="14"/>
        <v>44727</v>
      </c>
      <c r="G49" s="766" t="str">
        <f>'Facilities &amp; Bond Details'!E18</f>
        <v>EUR</v>
      </c>
      <c r="H49" s="892">
        <f t="shared" si="6"/>
        <v>1.1065499999999999</v>
      </c>
      <c r="I49" s="32">
        <f>'Facilities &amp; Bond Details'!I18/100</f>
        <v>1.363E-2</v>
      </c>
      <c r="J49" s="30">
        <f>'Facilities &amp; Bond Details'!L18*I49/360</f>
        <v>144.17511111111111</v>
      </c>
      <c r="K49" s="495">
        <f t="shared" ref="K49" si="50">ROUND(D49*I49*(ValDate-E49)/360,2)</f>
        <v>1297.58</v>
      </c>
      <c r="L49" s="1187">
        <f t="shared" ref="L49" si="51">ROUND(D49+K49,2)</f>
        <v>3809297.58</v>
      </c>
      <c r="M49" s="31">
        <f t="shared" ref="M49" si="52">ROUND(D49+(F49-E49)*J49,2)</f>
        <v>3820254.88</v>
      </c>
      <c r="N49" s="122"/>
      <c r="O49" s="121"/>
      <c r="P49" s="123"/>
      <c r="Q49" s="97"/>
      <c r="R49" s="88"/>
      <c r="S49" s="121"/>
      <c r="T49" s="51"/>
      <c r="U49" s="31"/>
      <c r="V49" s="31"/>
      <c r="W49" s="765"/>
      <c r="X49" s="765"/>
      <c r="Y49" s="765"/>
      <c r="Z49" s="765"/>
      <c r="AA49" s="765"/>
      <c r="AB49" s="765"/>
      <c r="AC49" s="765"/>
    </row>
    <row r="50" spans="1:65" x14ac:dyDescent="0.25">
      <c r="A50" s="9" t="str">
        <f>'Facilities &amp; Bond Details'!A28&amp;" Facility"</f>
        <v>EASTERN ELM Facility</v>
      </c>
      <c r="B50" s="9" t="str">
        <f>'Facilities &amp; Bond Details'!B28</f>
        <v>NATWEST MARKETS SECURITIES Inc</v>
      </c>
      <c r="C50" s="2" t="s">
        <v>829</v>
      </c>
      <c r="D50" s="510">
        <f>MIN('Facilities &amp; Bond Details'!$F$28,93750000)</f>
        <v>68613911</v>
      </c>
      <c r="E50" s="10">
        <f>'Facilities &amp; Bond Details'!D28</f>
        <v>44635</v>
      </c>
      <c r="F50" s="10">
        <f t="shared" ref="F50:F61" si="53">$B$7</f>
        <v>44727</v>
      </c>
      <c r="G50" s="766" t="str">
        <f>'Facilities &amp; Bond Details'!C28</f>
        <v>USD</v>
      </c>
      <c r="H50" s="892">
        <f t="shared" si="6"/>
        <v>1</v>
      </c>
      <c r="I50" s="32">
        <f>UnusedFee1</f>
        <v>2.5000000000000001E-3</v>
      </c>
      <c r="J50" s="495">
        <f t="shared" ref="J50:J61" si="54">D50*I50/360</f>
        <v>476.48549305555554</v>
      </c>
      <c r="K50" s="510">
        <f t="shared" ref="K50:K61" si="55">+J50*(ValDate-E50)</f>
        <v>7623.7678888888886</v>
      </c>
      <c r="L50" s="1188">
        <f t="shared" ref="L50:L61" si="56">K50</f>
        <v>7623.7678888888886</v>
      </c>
      <c r="M50" s="31">
        <f t="shared" ref="M50:M61" si="57">K50+J50*($B$7-ValDate)</f>
        <v>43836.665361111111</v>
      </c>
      <c r="N50" s="122"/>
      <c r="O50" s="121"/>
      <c r="P50" s="123"/>
      <c r="Q50" s="97"/>
      <c r="R50" s="88"/>
      <c r="S50" s="121"/>
      <c r="T50" s="51"/>
      <c r="U50" s="1094">
        <v>0</v>
      </c>
      <c r="V50" s="31">
        <f t="shared" si="12"/>
        <v>7623.7678888888886</v>
      </c>
      <c r="W50" s="2"/>
      <c r="X50" s="2"/>
      <c r="Y50" s="2"/>
      <c r="Z50" s="2"/>
      <c r="AA50" s="2"/>
      <c r="AB50" s="2"/>
      <c r="AC50" s="2"/>
    </row>
    <row r="51" spans="1:65" x14ac:dyDescent="0.25">
      <c r="A51" s="9" t="str">
        <f>A50</f>
        <v>EASTERN ELM Facility</v>
      </c>
      <c r="B51" s="9" t="str">
        <f>'Facilities &amp; Bond Details'!B29</f>
        <v>NATWEST MARKETS SECURITIES Inc</v>
      </c>
      <c r="C51" s="765" t="s">
        <v>829</v>
      </c>
      <c r="D51" s="510">
        <f>'Facilities &amp; Bond Details'!$F$28-D50</f>
        <v>0</v>
      </c>
      <c r="E51" s="10">
        <f>E50</f>
        <v>44635</v>
      </c>
      <c r="F51" s="10">
        <f t="shared" si="53"/>
        <v>44727</v>
      </c>
      <c r="G51" s="766" t="str">
        <f>'Facilities &amp; Bond Details'!C29</f>
        <v>USD</v>
      </c>
      <c r="H51" s="892">
        <f t="shared" si="6"/>
        <v>1</v>
      </c>
      <c r="I51" s="32">
        <v>1.5E-3</v>
      </c>
      <c r="J51" s="495">
        <f t="shared" si="54"/>
        <v>0</v>
      </c>
      <c r="K51" s="510">
        <f t="shared" si="55"/>
        <v>0</v>
      </c>
      <c r="L51" s="1188">
        <f t="shared" si="56"/>
        <v>0</v>
      </c>
      <c r="M51" s="31">
        <f t="shared" si="57"/>
        <v>0</v>
      </c>
      <c r="N51" s="122"/>
      <c r="O51" s="121"/>
      <c r="P51" s="123"/>
      <c r="Q51" s="97"/>
      <c r="R51" s="88"/>
      <c r="S51" s="121"/>
      <c r="T51" s="51"/>
      <c r="U51" s="1094">
        <v>0</v>
      </c>
      <c r="V51" s="31">
        <f t="shared" si="12"/>
        <v>0</v>
      </c>
      <c r="W51" s="765"/>
      <c r="X51" s="765"/>
      <c r="Y51" s="765"/>
      <c r="Z51" s="765"/>
      <c r="AA51" s="765"/>
      <c r="AB51" s="765"/>
      <c r="AC51" s="765"/>
    </row>
    <row r="52" spans="1:65" x14ac:dyDescent="0.25">
      <c r="A52" s="9" t="str">
        <f>'Facilities &amp; Bond Details'!A29&amp;" Facility"</f>
        <v>SOUTHERN SPRUCE Facility</v>
      </c>
      <c r="B52" s="9" t="str">
        <f>'Facilities &amp; Bond Details'!B29</f>
        <v>NATWEST MARKETS SECURITIES Inc</v>
      </c>
      <c r="C52" s="765" t="s">
        <v>829</v>
      </c>
      <c r="D52" s="510">
        <f>'Facilities &amp; Bond Details'!F29</f>
        <v>47230434</v>
      </c>
      <c r="E52" s="10">
        <f>'Facilities &amp; Bond Details'!D29</f>
        <v>44635</v>
      </c>
      <c r="F52" s="10">
        <f t="shared" si="53"/>
        <v>44727</v>
      </c>
      <c r="G52" s="766" t="str">
        <f>'Facilities &amp; Bond Details'!C29</f>
        <v>USD</v>
      </c>
      <c r="H52" s="892">
        <f t="shared" si="6"/>
        <v>1</v>
      </c>
      <c r="I52" s="32">
        <f>'Facilities &amp; Bond Details'!H29</f>
        <v>1.5E-3</v>
      </c>
      <c r="J52" s="495">
        <f t="shared" si="54"/>
        <v>196.793475</v>
      </c>
      <c r="K52" s="510">
        <f t="shared" si="55"/>
        <v>3148.6956</v>
      </c>
      <c r="L52" s="1188">
        <f t="shared" si="56"/>
        <v>3148.6956</v>
      </c>
      <c r="M52" s="31">
        <f t="shared" si="57"/>
        <v>18104.9997</v>
      </c>
      <c r="N52" s="122"/>
      <c r="O52" s="121"/>
      <c r="P52" s="123"/>
      <c r="Q52" s="97"/>
      <c r="R52" s="88"/>
      <c r="S52" s="121"/>
      <c r="T52" s="51"/>
      <c r="U52" s="1094">
        <v>0</v>
      </c>
      <c r="V52" s="31">
        <f t="shared" si="12"/>
        <v>3148.6956</v>
      </c>
      <c r="W52" s="765"/>
      <c r="X52" s="765"/>
      <c r="Y52" s="765"/>
      <c r="Z52" s="765"/>
      <c r="AA52" s="765"/>
      <c r="AB52" s="765"/>
      <c r="AC52" s="765"/>
    </row>
    <row r="53" spans="1:65" x14ac:dyDescent="0.25">
      <c r="A53" s="9" t="str">
        <f>'Facilities &amp; Bond Details'!A30&amp;" Facility"</f>
        <v>PACIFIC FIR Facility</v>
      </c>
      <c r="B53" s="9" t="str">
        <f>'Facilities &amp; Bond Details'!B30</f>
        <v>NATWEST MARKETS SECURITIES Inc</v>
      </c>
      <c r="C53" s="765" t="s">
        <v>829</v>
      </c>
      <c r="D53" s="510">
        <f>'Facilities &amp; Bond Details'!F30</f>
        <v>41049850</v>
      </c>
      <c r="E53" s="10">
        <f>'Facilities &amp; Bond Details'!D30</f>
        <v>44635</v>
      </c>
      <c r="F53" s="10">
        <f t="shared" si="53"/>
        <v>44727</v>
      </c>
      <c r="G53" s="766" t="str">
        <f>'Facilities &amp; Bond Details'!C30</f>
        <v>USD</v>
      </c>
      <c r="H53" s="892">
        <f t="shared" si="6"/>
        <v>1</v>
      </c>
      <c r="I53" s="32">
        <f>'Facilities &amp; Bond Details'!H30</f>
        <v>1.5E-3</v>
      </c>
      <c r="J53" s="495">
        <f t="shared" si="54"/>
        <v>171.04104166666667</v>
      </c>
      <c r="K53" s="510">
        <f t="shared" si="55"/>
        <v>2736.6566666666668</v>
      </c>
      <c r="L53" s="1188">
        <f t="shared" si="56"/>
        <v>2736.6566666666668</v>
      </c>
      <c r="M53" s="31">
        <f t="shared" si="57"/>
        <v>15735.775833333333</v>
      </c>
      <c r="N53" s="122"/>
      <c r="O53" s="121"/>
      <c r="P53" s="123"/>
      <c r="Q53" s="97"/>
      <c r="R53" s="88"/>
      <c r="S53" s="121"/>
      <c r="T53" s="51"/>
      <c r="U53" s="1094">
        <v>0</v>
      </c>
      <c r="V53" s="31">
        <f t="shared" si="12"/>
        <v>2736.6566666666668</v>
      </c>
      <c r="W53" s="765"/>
      <c r="X53" s="765"/>
      <c r="Y53" s="765"/>
      <c r="Z53" s="765"/>
      <c r="AA53" s="765"/>
      <c r="AB53" s="765"/>
      <c r="AC53" s="765"/>
    </row>
    <row r="54" spans="1:65" x14ac:dyDescent="0.25">
      <c r="A54" s="9" t="str">
        <f>'Facilities &amp; Bond Details'!A31&amp;" Facility"</f>
        <v>SOUTHERN APPLE Facility</v>
      </c>
      <c r="B54" s="9" t="str">
        <f>'Facilities &amp; Bond Details'!B31</f>
        <v>NATWEST MARKETS SECURITIES Inc</v>
      </c>
      <c r="C54" s="765" t="s">
        <v>829</v>
      </c>
      <c r="D54" s="510">
        <f>'Facilities &amp; Bond Details'!F31</f>
        <v>14600000</v>
      </c>
      <c r="E54" s="10">
        <f>'Facilities &amp; Bond Details'!D31</f>
        <v>44635</v>
      </c>
      <c r="F54" s="10">
        <f t="shared" si="53"/>
        <v>44727</v>
      </c>
      <c r="G54" s="766" t="str">
        <f>'Facilities &amp; Bond Details'!C31</f>
        <v>USD</v>
      </c>
      <c r="H54" s="892">
        <f t="shared" si="6"/>
        <v>1</v>
      </c>
      <c r="I54" s="32">
        <f>'Facilities &amp; Bond Details'!H31</f>
        <v>1.5E-3</v>
      </c>
      <c r="J54" s="495">
        <f t="shared" si="54"/>
        <v>60.833333333333336</v>
      </c>
      <c r="K54" s="510">
        <f t="shared" si="55"/>
        <v>973.33333333333337</v>
      </c>
      <c r="L54" s="1188">
        <f t="shared" si="56"/>
        <v>973.33333333333337</v>
      </c>
      <c r="M54" s="31">
        <f t="shared" si="57"/>
        <v>5596.666666666667</v>
      </c>
      <c r="N54" s="122"/>
      <c r="O54" s="121"/>
      <c r="P54" s="123"/>
      <c r="Q54" s="97"/>
      <c r="R54" s="88"/>
      <c r="S54" s="121"/>
      <c r="T54" s="51"/>
      <c r="U54" s="1094">
        <v>0</v>
      </c>
      <c r="V54" s="31">
        <f t="shared" si="12"/>
        <v>973.33333333333337</v>
      </c>
      <c r="W54" s="765"/>
      <c r="X54" s="765"/>
      <c r="Y54" s="765"/>
      <c r="Z54" s="765"/>
      <c r="AA54" s="765"/>
      <c r="AB54" s="765"/>
      <c r="AC54" s="765"/>
    </row>
    <row r="55" spans="1:65" x14ac:dyDescent="0.25">
      <c r="A55" s="9" t="str">
        <f>'Facilities &amp; Bond Details'!A32&amp;" Facility"</f>
        <v>ALMOND USD Facility</v>
      </c>
      <c r="B55" s="9" t="str">
        <f>'Facilities &amp; Bond Details'!B32</f>
        <v>NATWEST MARKETS SECURITIES Inc</v>
      </c>
      <c r="C55" s="765" t="s">
        <v>829</v>
      </c>
      <c r="D55" s="510">
        <f>'Facilities &amp; Bond Details'!F32</f>
        <v>8900357.3333332986</v>
      </c>
      <c r="E55" s="10">
        <f>'Facilities &amp; Bond Details'!D32</f>
        <v>44635</v>
      </c>
      <c r="F55" s="10">
        <f t="shared" si="53"/>
        <v>44727</v>
      </c>
      <c r="G55" s="766" t="str">
        <f>'Facilities &amp; Bond Details'!C32</f>
        <v>USD</v>
      </c>
      <c r="H55" s="892">
        <f t="shared" si="6"/>
        <v>1</v>
      </c>
      <c r="I55" s="32">
        <f>'Facilities &amp; Bond Details'!H32</f>
        <v>1.5E-3</v>
      </c>
      <c r="J55" s="495">
        <f t="shared" ref="J55:J59" si="58">D55*I55/360</f>
        <v>37.084822222222073</v>
      </c>
      <c r="K55" s="510">
        <f t="shared" ref="K55:K59" si="59">+J55*(ValDate-E55)</f>
        <v>593.35715555555316</v>
      </c>
      <c r="L55" s="1188">
        <f t="shared" ref="L55:L59" si="60">K55</f>
        <v>593.35715555555316</v>
      </c>
      <c r="M55" s="31">
        <f t="shared" ref="M55:M59" si="61">K55+J55*($B$7-ValDate)</f>
        <v>3411.8036444444306</v>
      </c>
      <c r="N55" s="122"/>
      <c r="O55" s="121"/>
      <c r="P55" s="123"/>
      <c r="Q55" s="97"/>
      <c r="R55" s="88"/>
      <c r="S55" s="121"/>
      <c r="T55" s="51"/>
      <c r="U55" s="1094">
        <v>0</v>
      </c>
      <c r="V55" s="31">
        <f t="shared" si="12"/>
        <v>593.35715555555316</v>
      </c>
      <c r="W55" s="765"/>
      <c r="X55" s="765"/>
      <c r="Y55" s="765"/>
      <c r="Z55" s="765"/>
      <c r="AA55" s="765"/>
      <c r="AB55" s="765"/>
      <c r="AC55" s="765"/>
    </row>
    <row r="56" spans="1:65" x14ac:dyDescent="0.25">
      <c r="A56" s="9" t="str">
        <f>'Facilities &amp; Bond Details'!A33&amp;" Facility"</f>
        <v>MOUNTAIN CHERRY Facility</v>
      </c>
      <c r="B56" s="9" t="str">
        <f>'Facilities &amp; Bond Details'!B33</f>
        <v>NATWEST MARKETS SECURITIES Inc</v>
      </c>
      <c r="C56" s="765" t="s">
        <v>829</v>
      </c>
      <c r="D56" s="510">
        <f>'Facilities &amp; Bond Details'!F33</f>
        <v>11000000</v>
      </c>
      <c r="E56" s="10">
        <f>'Facilities &amp; Bond Details'!D33</f>
        <v>44594</v>
      </c>
      <c r="F56" s="10">
        <f t="shared" si="53"/>
        <v>44727</v>
      </c>
      <c r="G56" s="766" t="str">
        <f>'Facilities &amp; Bond Details'!C33</f>
        <v>USD</v>
      </c>
      <c r="H56" s="892">
        <f t="shared" si="6"/>
        <v>1</v>
      </c>
      <c r="I56" s="32">
        <f>'Facilities &amp; Bond Details'!H33</f>
        <v>1.5E-3</v>
      </c>
      <c r="J56" s="495">
        <f t="shared" ref="J56:J58" si="62">D56*I56/360</f>
        <v>45.833333333333336</v>
      </c>
      <c r="K56" s="510">
        <f t="shared" ref="K56:K58" si="63">+J56*(ValDate-E56)</f>
        <v>2612.5</v>
      </c>
      <c r="L56" s="1188">
        <f t="shared" ref="L56:L58" si="64">K56</f>
        <v>2612.5</v>
      </c>
      <c r="M56" s="31">
        <f t="shared" ref="M56:M58" si="65">K56+J56*($B$7-ValDate)</f>
        <v>6095.8333333333339</v>
      </c>
      <c r="N56" s="122"/>
      <c r="O56" s="121"/>
      <c r="P56" s="123"/>
      <c r="Q56" s="97"/>
      <c r="R56" s="88"/>
      <c r="S56" s="121"/>
      <c r="T56" s="51"/>
      <c r="U56" s="1094"/>
      <c r="V56" s="31"/>
      <c r="W56" s="765"/>
      <c r="X56" s="765"/>
      <c r="Y56" s="765"/>
      <c r="Z56" s="765"/>
      <c r="AA56" s="765"/>
      <c r="AB56" s="765"/>
      <c r="AC56" s="765"/>
    </row>
    <row r="57" spans="1:65" x14ac:dyDescent="0.25">
      <c r="A57" s="9" t="str">
        <f>'Facilities &amp; Bond Details'!A34&amp;" Facility"</f>
        <v>OLIVE USD Facility</v>
      </c>
      <c r="B57" s="9" t="str">
        <f>'Facilities &amp; Bond Details'!B34</f>
        <v>NATWEST MARKETS SECURITIES Inc</v>
      </c>
      <c r="C57" s="765" t="s">
        <v>829</v>
      </c>
      <c r="D57" s="510">
        <f>'Facilities &amp; Bond Details'!F34</f>
        <v>36800000</v>
      </c>
      <c r="E57" s="10">
        <f>'Facilities &amp; Bond Details'!D34</f>
        <v>44635</v>
      </c>
      <c r="F57" s="10">
        <f t="shared" si="53"/>
        <v>44727</v>
      </c>
      <c r="G57" s="766" t="str">
        <f>'Facilities &amp; Bond Details'!C34</f>
        <v>USD</v>
      </c>
      <c r="H57" s="892">
        <f t="shared" si="6"/>
        <v>1</v>
      </c>
      <c r="I57" s="32">
        <f>'Facilities &amp; Bond Details'!H34</f>
        <v>1.5E-3</v>
      </c>
      <c r="J57" s="495">
        <f t="shared" ref="J57" si="66">D57*I57/360</f>
        <v>153.33333333333334</v>
      </c>
      <c r="K57" s="510">
        <f t="shared" ref="K57" si="67">+J57*(ValDate-E57)</f>
        <v>2453.3333333333335</v>
      </c>
      <c r="L57" s="1188">
        <f t="shared" ref="L57" si="68">K57</f>
        <v>2453.3333333333335</v>
      </c>
      <c r="M57" s="31">
        <f t="shared" ref="M57" si="69">K57+J57*($B$7-ValDate)</f>
        <v>14106.666666666668</v>
      </c>
      <c r="N57" s="122"/>
      <c r="O57" s="121"/>
      <c r="P57" s="123"/>
      <c r="Q57" s="97"/>
      <c r="R57" s="88"/>
      <c r="S57" s="121"/>
      <c r="T57" s="51"/>
      <c r="U57" s="1094"/>
      <c r="V57" s="31"/>
      <c r="W57" s="765"/>
      <c r="X57" s="765"/>
      <c r="Y57" s="765"/>
      <c r="Z57" s="765"/>
      <c r="AA57" s="765"/>
      <c r="AB57" s="765"/>
      <c r="AC57" s="765"/>
    </row>
    <row r="58" spans="1:65" x14ac:dyDescent="0.25">
      <c r="A58" s="9" t="str">
        <f>'Facilities &amp; Bond Details'!A35&amp;" Facility"</f>
        <v>HEXAGON ZETA Facility</v>
      </c>
      <c r="B58" s="9" t="str">
        <f>'Facilities &amp; Bond Details'!B35</f>
        <v>NATWEST MARKETS SECURITIES Inc</v>
      </c>
      <c r="C58" s="765" t="s">
        <v>829</v>
      </c>
      <c r="D58" s="510">
        <f>'Facilities &amp; Bond Details'!F35</f>
        <v>70010000</v>
      </c>
      <c r="E58" s="10">
        <f>'Facilities &amp; Bond Details'!D35</f>
        <v>44635</v>
      </c>
      <c r="F58" s="10">
        <f t="shared" si="53"/>
        <v>44727</v>
      </c>
      <c r="G58" s="766" t="str">
        <f>'Facilities &amp; Bond Details'!C35</f>
        <v>EUR</v>
      </c>
      <c r="H58" s="892">
        <f t="shared" si="6"/>
        <v>1.1065499999999999</v>
      </c>
      <c r="I58" s="32">
        <f>'Facilities &amp; Bond Details'!H35</f>
        <v>0</v>
      </c>
      <c r="J58" s="495">
        <f t="shared" si="62"/>
        <v>0</v>
      </c>
      <c r="K58" s="510">
        <f t="shared" si="63"/>
        <v>0</v>
      </c>
      <c r="L58" s="1188">
        <f t="shared" si="64"/>
        <v>0</v>
      </c>
      <c r="M58" s="31">
        <f t="shared" si="65"/>
        <v>0</v>
      </c>
      <c r="N58" s="122"/>
      <c r="O58" s="121"/>
      <c r="P58" s="123"/>
      <c r="Q58" s="97"/>
      <c r="R58" s="88"/>
      <c r="S58" s="121"/>
      <c r="T58" s="51"/>
      <c r="U58" s="1094"/>
      <c r="V58" s="31"/>
      <c r="W58" s="765"/>
      <c r="X58" s="765"/>
      <c r="Y58" s="765"/>
      <c r="Z58" s="765"/>
      <c r="AA58" s="765"/>
      <c r="AB58" s="765"/>
      <c r="AC58" s="765"/>
    </row>
    <row r="59" spans="1:65" x14ac:dyDescent="0.25">
      <c r="A59" s="9" t="str">
        <f>'Facilities &amp; Bond Details'!A36&amp;" Facility"</f>
        <v>ALMOND EUR Facility</v>
      </c>
      <c r="B59" s="9" t="str">
        <f>'Facilities &amp; Bond Details'!B36</f>
        <v>NATWEST MARKETS SECURITIES Inc</v>
      </c>
      <c r="C59" s="765" t="s">
        <v>829</v>
      </c>
      <c r="D59" s="1076">
        <f>'Facilities &amp; Bond Details'!F36</f>
        <v>5700000</v>
      </c>
      <c r="E59" s="10">
        <f>'Facilities &amp; Bond Details'!D36</f>
        <v>44635</v>
      </c>
      <c r="F59" s="10">
        <f t="shared" si="53"/>
        <v>44727</v>
      </c>
      <c r="G59" s="766" t="str">
        <f>'Facilities &amp; Bond Details'!C36</f>
        <v>EUR</v>
      </c>
      <c r="H59" s="892">
        <f t="shared" si="6"/>
        <v>1.1065499999999999</v>
      </c>
      <c r="I59" s="32">
        <f>'Facilities &amp; Bond Details'!H36</f>
        <v>1.5E-3</v>
      </c>
      <c r="J59" s="989">
        <f t="shared" si="58"/>
        <v>23.75</v>
      </c>
      <c r="K59" s="1076">
        <f t="shared" si="59"/>
        <v>380</v>
      </c>
      <c r="L59" s="1189">
        <f t="shared" si="60"/>
        <v>380</v>
      </c>
      <c r="M59" s="1076">
        <f t="shared" si="61"/>
        <v>2185</v>
      </c>
      <c r="N59" s="122"/>
      <c r="O59" s="121"/>
      <c r="P59" s="123"/>
      <c r="Q59" s="97"/>
      <c r="R59" s="88"/>
      <c r="S59" s="121"/>
      <c r="T59" s="51"/>
      <c r="U59" s="1094">
        <v>0</v>
      </c>
      <c r="V59" s="31">
        <f t="shared" si="12"/>
        <v>380</v>
      </c>
      <c r="W59" s="765"/>
      <c r="X59" s="765"/>
      <c r="Y59" s="765"/>
      <c r="Z59" s="765"/>
      <c r="AA59" s="765"/>
      <c r="AB59" s="765"/>
      <c r="AC59" s="765"/>
    </row>
    <row r="60" spans="1:65" x14ac:dyDescent="0.25">
      <c r="A60" s="9" t="str">
        <f>'Facilities &amp; Bond Details'!A37&amp;" Facility"</f>
        <v>OLIVE EUR Facility</v>
      </c>
      <c r="B60" s="9" t="str">
        <f>'Facilities &amp; Bond Details'!B37</f>
        <v>NATWEST MARKETS SECURITIES Inc</v>
      </c>
      <c r="C60" s="765" t="s">
        <v>829</v>
      </c>
      <c r="D60" s="1076">
        <f>'Facilities &amp; Bond Details'!F37</f>
        <v>10275305.109999999</v>
      </c>
      <c r="E60" s="10">
        <f>'Facilities &amp; Bond Details'!D37</f>
        <v>44635</v>
      </c>
      <c r="F60" s="10">
        <f t="shared" si="53"/>
        <v>44727</v>
      </c>
      <c r="G60" s="766" t="str">
        <f>'Facilities &amp; Bond Details'!C37</f>
        <v>EUR</v>
      </c>
      <c r="H60" s="892">
        <f t="shared" si="6"/>
        <v>1.1065499999999999</v>
      </c>
      <c r="I60" s="32">
        <f>'Facilities &amp; Bond Details'!H37</f>
        <v>1.5E-3</v>
      </c>
      <c r="J60" s="989">
        <f t="shared" ref="J60" si="70">D60*I60/360</f>
        <v>42.813771291666669</v>
      </c>
      <c r="K60" s="1076">
        <f t="shared" ref="K60" si="71">+J60*(ValDate-E60)</f>
        <v>685.0203406666667</v>
      </c>
      <c r="L60" s="1189">
        <f t="shared" ref="L60" si="72">K60</f>
        <v>685.0203406666667</v>
      </c>
      <c r="M60" s="1076">
        <f t="shared" ref="M60" si="73">K60+J60*($B$7-ValDate)</f>
        <v>3938.8669588333332</v>
      </c>
      <c r="N60" s="122"/>
      <c r="O60" s="121"/>
      <c r="P60" s="123"/>
      <c r="Q60" s="97"/>
      <c r="R60" s="88"/>
      <c r="S60" s="121"/>
      <c r="T60" s="51"/>
      <c r="U60" s="1094">
        <v>0</v>
      </c>
      <c r="V60" s="31">
        <f t="shared" si="12"/>
        <v>685.0203406666667</v>
      </c>
      <c r="W60" s="765"/>
      <c r="X60" s="765"/>
      <c r="Y60" s="765"/>
      <c r="Z60" s="765"/>
      <c r="AA60" s="765"/>
      <c r="AB60" s="765"/>
      <c r="AC60" s="765"/>
    </row>
    <row r="61" spans="1:65" x14ac:dyDescent="0.25">
      <c r="A61" s="924" t="str">
        <f>'Facilities &amp; Bond Details'!A38&amp;" Facility"</f>
        <v>EASTERN CYPRESS Facility</v>
      </c>
      <c r="B61" s="924" t="str">
        <f>'Facilities &amp; Bond Details'!B38</f>
        <v>NATWEST MARKETS SECURITIES Inc</v>
      </c>
      <c r="C61" s="634" t="s">
        <v>829</v>
      </c>
      <c r="D61" s="933">
        <f>'Facilities &amp; Bond Details'!F38</f>
        <v>35600000</v>
      </c>
      <c r="E61" s="926">
        <f>'Facilities &amp; Bond Details'!D38</f>
        <v>44635</v>
      </c>
      <c r="F61" s="926">
        <f t="shared" si="53"/>
        <v>44727</v>
      </c>
      <c r="G61" s="927" t="str">
        <f>'Facilities &amp; Bond Details'!C38</f>
        <v>EUR</v>
      </c>
      <c r="H61" s="928">
        <f t="shared" si="6"/>
        <v>1.1065499999999999</v>
      </c>
      <c r="I61" s="929">
        <f>'Facilities &amp; Bond Details'!H38</f>
        <v>1.5E-3</v>
      </c>
      <c r="J61" s="1036">
        <f t="shared" si="54"/>
        <v>148.33333333333334</v>
      </c>
      <c r="K61" s="1037">
        <f t="shared" si="55"/>
        <v>2373.3333333333335</v>
      </c>
      <c r="L61" s="1190">
        <f t="shared" si="56"/>
        <v>2373.3333333333335</v>
      </c>
      <c r="M61" s="998">
        <f t="shared" si="57"/>
        <v>13646.666666666668</v>
      </c>
      <c r="N61" s="122"/>
      <c r="O61" s="121"/>
      <c r="P61" s="123"/>
      <c r="Q61" s="97"/>
      <c r="R61" s="88"/>
      <c r="S61" s="121"/>
      <c r="T61" s="51"/>
      <c r="U61" s="1037">
        <v>0</v>
      </c>
      <c r="V61" s="31">
        <f t="shared" si="12"/>
        <v>2373.3333333333335</v>
      </c>
      <c r="W61" s="765"/>
      <c r="X61" s="765"/>
      <c r="Y61" s="765"/>
      <c r="Z61" s="765"/>
      <c r="AA61" s="765"/>
      <c r="AB61" s="765"/>
      <c r="AC61" s="765"/>
      <c r="BH61" s="1199"/>
      <c r="BI61" s="1199"/>
      <c r="BJ61" s="1199"/>
      <c r="BK61" s="1199"/>
      <c r="BL61" s="1199"/>
      <c r="BM61" s="1199"/>
    </row>
    <row r="62" spans="1:65" x14ac:dyDescent="0.25">
      <c r="A62" s="9" t="s">
        <v>958</v>
      </c>
      <c r="B62" s="9" t="s">
        <v>453</v>
      </c>
      <c r="C62" s="2" t="s">
        <v>958</v>
      </c>
      <c r="D62" s="30">
        <f>ROUND(SUMIF(CF_Dates,"&lt;="&amp;ValDate,CF_Expenses)+SUMIF(CF_Dates,"&lt;="&amp;ValDate,CF_Main)+SUMIF(CF_Dates,"&lt;="&amp;ValDate,CF_Mgmt),2)</f>
        <v>0.04</v>
      </c>
      <c r="E62" s="10">
        <f t="shared" ref="E62:E71" si="74">ValDate</f>
        <v>44651</v>
      </c>
      <c r="F62" s="10">
        <f t="shared" ref="F62:F71" si="75">ValDate</f>
        <v>44651</v>
      </c>
      <c r="G62" s="766" t="s">
        <v>939</v>
      </c>
      <c r="H62" s="892">
        <f t="shared" si="6"/>
        <v>1</v>
      </c>
      <c r="I62" s="32">
        <v>0</v>
      </c>
      <c r="J62" s="495">
        <f>D62*I62/365</f>
        <v>0</v>
      </c>
      <c r="K62" s="495">
        <f>ROUND(D62*I62*(ValDate-E62)/365,2)</f>
        <v>0</v>
      </c>
      <c r="L62" s="1187">
        <f>ROUND(D62+K62,2)</f>
        <v>0.04</v>
      </c>
      <c r="M62" s="31">
        <f t="shared" ref="M62:M71" si="76">ROUND(D62+(F62-E62)*J62,2)</f>
        <v>0.04</v>
      </c>
      <c r="N62" s="122"/>
      <c r="O62" s="121"/>
      <c r="P62" s="123"/>
      <c r="Q62" s="97"/>
      <c r="R62" s="88"/>
      <c r="S62" s="121"/>
      <c r="T62" s="51"/>
      <c r="U62" s="31">
        <v>289640.81</v>
      </c>
      <c r="V62" s="31">
        <f t="shared" si="12"/>
        <v>-289640.77</v>
      </c>
      <c r="W62" s="2"/>
      <c r="X62" s="2"/>
      <c r="Y62" s="2"/>
      <c r="Z62" s="2"/>
      <c r="AA62" s="2"/>
      <c r="AB62" s="2"/>
      <c r="AC62" s="2"/>
    </row>
    <row r="63" spans="1:65" x14ac:dyDescent="0.25">
      <c r="A63" s="9" t="s">
        <v>959</v>
      </c>
      <c r="B63" s="9" t="s">
        <v>960</v>
      </c>
      <c r="C63" s="765" t="s">
        <v>959</v>
      </c>
      <c r="D63" s="901">
        <f>ROUND(SUMIF(CF_Dates,"&lt;="&amp;ValDate,CF_Main_EUR),2)</f>
        <v>474353.85</v>
      </c>
      <c r="E63" s="10">
        <f t="shared" si="74"/>
        <v>44651</v>
      </c>
      <c r="F63" s="10">
        <f t="shared" si="75"/>
        <v>44651</v>
      </c>
      <c r="G63" s="766" t="s">
        <v>948</v>
      </c>
      <c r="H63" s="892">
        <f t="shared" si="6"/>
        <v>1.1065499999999999</v>
      </c>
      <c r="I63" s="32">
        <v>0</v>
      </c>
      <c r="J63" s="989">
        <f>D63*I63/365</f>
        <v>0</v>
      </c>
      <c r="K63" s="495">
        <f t="shared" ref="K63:K71" si="77">ROUND(D63*I63*(ValDate-E63)/365,2)</f>
        <v>0</v>
      </c>
      <c r="L63" s="1191">
        <f t="shared" ref="L63:L71" si="78">ROUND(D63+K63,2)</f>
        <v>474353.85</v>
      </c>
      <c r="M63" s="899">
        <f t="shared" si="76"/>
        <v>474353.85</v>
      </c>
      <c r="N63" s="122"/>
      <c r="O63" s="121"/>
      <c r="P63" s="123"/>
      <c r="Q63" s="97"/>
      <c r="R63" s="88"/>
      <c r="S63" s="121"/>
      <c r="T63" s="51"/>
      <c r="U63" s="899">
        <v>-88968806.25</v>
      </c>
      <c r="V63" s="31">
        <f t="shared" si="12"/>
        <v>89443160.099999994</v>
      </c>
      <c r="W63" s="765"/>
      <c r="X63" s="765"/>
      <c r="Y63" s="765"/>
      <c r="Z63" s="765"/>
      <c r="AA63" s="765"/>
      <c r="AB63" s="765"/>
      <c r="AC63" s="765"/>
    </row>
    <row r="64" spans="1:65" x14ac:dyDescent="0.25">
      <c r="A64" s="9" t="s">
        <v>456</v>
      </c>
      <c r="B64" s="9" t="s">
        <v>452</v>
      </c>
      <c r="C64" s="2" t="s">
        <v>964</v>
      </c>
      <c r="D64" s="30">
        <f>VLOOKUP(ValDate,'Money Fund Details'!$A$12:$P$5900,3,FALSE)</f>
        <v>188781.04000000015</v>
      </c>
      <c r="E64" s="10">
        <f t="shared" si="74"/>
        <v>44651</v>
      </c>
      <c r="F64" s="10">
        <f t="shared" si="75"/>
        <v>44651</v>
      </c>
      <c r="G64" s="766" t="s">
        <v>939</v>
      </c>
      <c r="H64" s="892">
        <f t="shared" si="6"/>
        <v>1</v>
      </c>
      <c r="I64" s="32">
        <f>SUMIFS('Money Fund Details'!T14:T4594,'Money Fund Details'!A14:A4594,"&lt;"&amp;ValDate,'Money Fund Details'!A14:A4594,"&gt;="&amp;Yesterday)*365/MAX((ValDate-Yesterday),1)</f>
        <v>2.0648050000000003E-3</v>
      </c>
      <c r="J64" s="495">
        <f>VLOOKUP(Yesterday,'Money Fund Details'!$A$12:$P$5900,3,FALSE)*I64/365</f>
        <v>0.82430194834000103</v>
      </c>
      <c r="K64" s="495">
        <f t="shared" si="77"/>
        <v>0</v>
      </c>
      <c r="L64" s="1187">
        <f t="shared" si="78"/>
        <v>188781.04</v>
      </c>
      <c r="M64" s="31">
        <f t="shared" si="76"/>
        <v>188781.04</v>
      </c>
      <c r="N64" s="122"/>
      <c r="O64" s="121"/>
      <c r="P64" s="123"/>
      <c r="Q64" s="97"/>
      <c r="R64" s="88"/>
      <c r="S64" s="121"/>
      <c r="T64" s="51"/>
      <c r="U64" s="31">
        <v>860074.62</v>
      </c>
      <c r="V64" s="31">
        <f t="shared" si="12"/>
        <v>-671293.58</v>
      </c>
      <c r="W64" s="2"/>
      <c r="X64" s="2"/>
      <c r="Y64" s="2"/>
      <c r="Z64" s="2"/>
      <c r="AA64" s="2"/>
      <c r="AB64" s="2"/>
      <c r="AC64" s="2"/>
      <c r="BH64" s="1199"/>
      <c r="BI64" s="1199"/>
      <c r="BJ64" s="1199"/>
      <c r="BK64" s="1199"/>
      <c r="BL64" s="1199"/>
      <c r="BM64" s="1199"/>
    </row>
    <row r="65" spans="1:65" x14ac:dyDescent="0.25">
      <c r="A65" s="9" t="s">
        <v>961</v>
      </c>
      <c r="B65" s="9" t="s">
        <v>962</v>
      </c>
      <c r="C65" s="765" t="s">
        <v>963</v>
      </c>
      <c r="D65" s="901">
        <f>VLOOKUP(ValDate,'Money Fund Details'!$A$12:$P$5900,6,FALSE)</f>
        <v>0</v>
      </c>
      <c r="E65" s="10">
        <f t="shared" si="74"/>
        <v>44651</v>
      </c>
      <c r="F65" s="10">
        <f t="shared" si="75"/>
        <v>44651</v>
      </c>
      <c r="G65" s="766" t="s">
        <v>948</v>
      </c>
      <c r="H65" s="892">
        <f t="shared" si="6"/>
        <v>1.1065499999999999</v>
      </c>
      <c r="I65" s="32">
        <v>0</v>
      </c>
      <c r="J65" s="989">
        <f>VLOOKUP(Yesterday,'Money Fund Details'!$A$22:$P$6000,6,FALSE)*I65/365</f>
        <v>0</v>
      </c>
      <c r="K65" s="495">
        <f t="shared" si="77"/>
        <v>0</v>
      </c>
      <c r="L65" s="1191">
        <f t="shared" si="78"/>
        <v>0</v>
      </c>
      <c r="M65" s="899">
        <f t="shared" si="76"/>
        <v>0</v>
      </c>
      <c r="N65" s="122"/>
      <c r="O65" s="121"/>
      <c r="P65" s="123"/>
      <c r="Q65" s="97"/>
      <c r="R65" s="88"/>
      <c r="S65" s="121"/>
      <c r="T65" s="51"/>
      <c r="U65" s="899">
        <v>0</v>
      </c>
      <c r="V65" s="31">
        <f t="shared" si="12"/>
        <v>0</v>
      </c>
      <c r="W65" s="765"/>
      <c r="X65" s="765"/>
      <c r="Y65" s="765"/>
      <c r="Z65" s="765"/>
      <c r="AA65" s="765"/>
      <c r="AB65" s="765"/>
      <c r="AC65" s="765"/>
    </row>
    <row r="66" spans="1:65" x14ac:dyDescent="0.25">
      <c r="A66" s="9" t="s">
        <v>456</v>
      </c>
      <c r="B66" s="9" t="s">
        <v>452</v>
      </c>
      <c r="C66" s="2" t="s">
        <v>491</v>
      </c>
      <c r="D66" s="30">
        <f>VLOOKUP(ValDate,'Money Fund Details'!$A$12:$P$5900,9,FALSE)</f>
        <v>55849.709999999977</v>
      </c>
      <c r="E66" s="10">
        <f t="shared" si="74"/>
        <v>44651</v>
      </c>
      <c r="F66" s="10">
        <f t="shared" si="75"/>
        <v>44651</v>
      </c>
      <c r="G66" s="766" t="s">
        <v>939</v>
      </c>
      <c r="H66" s="892">
        <f t="shared" si="6"/>
        <v>1</v>
      </c>
      <c r="I66" s="32">
        <f>+I64</f>
        <v>2.0648050000000003E-3</v>
      </c>
      <c r="J66" s="495">
        <f>VLOOKUP(Yesterday,'Money Fund Details'!$A$12:$P$5900,9,FALSE)*I66/365</f>
        <v>0.31594180946999989</v>
      </c>
      <c r="K66" s="495">
        <f t="shared" si="77"/>
        <v>0</v>
      </c>
      <c r="L66" s="1187">
        <f t="shared" si="78"/>
        <v>55849.71</v>
      </c>
      <c r="M66" s="31">
        <f t="shared" si="76"/>
        <v>55849.71</v>
      </c>
      <c r="N66" s="122"/>
      <c r="O66" s="121"/>
      <c r="P66" s="123"/>
      <c r="Q66" s="97"/>
      <c r="R66" s="88"/>
      <c r="S66" s="121"/>
      <c r="T66" s="51"/>
      <c r="U66" s="31">
        <v>74331.570000000007</v>
      </c>
      <c r="V66" s="31">
        <f t="shared" si="12"/>
        <v>-18481.860000000008</v>
      </c>
      <c r="W66" s="2"/>
      <c r="X66" s="2"/>
      <c r="Y66" s="2"/>
      <c r="Z66" s="2"/>
      <c r="AA66" s="2"/>
      <c r="AB66" s="2"/>
      <c r="AC66" s="2"/>
    </row>
    <row r="67" spans="1:65" x14ac:dyDescent="0.25">
      <c r="A67" s="924" t="s">
        <v>456</v>
      </c>
      <c r="B67" s="924" t="s">
        <v>452</v>
      </c>
      <c r="C67" s="634" t="s">
        <v>490</v>
      </c>
      <c r="D67" s="925">
        <f>VLOOKUP(ValDate,'Money Fund Details'!$A$12:$P$5900,15,FALSE)</f>
        <v>26.980000000010332</v>
      </c>
      <c r="E67" s="926">
        <f t="shared" si="74"/>
        <v>44651</v>
      </c>
      <c r="F67" s="926">
        <f t="shared" si="75"/>
        <v>44651</v>
      </c>
      <c r="G67" s="927" t="s">
        <v>939</v>
      </c>
      <c r="H67" s="928">
        <f t="shared" si="6"/>
        <v>1</v>
      </c>
      <c r="I67" s="929">
        <f>+I66</f>
        <v>2.0648050000000003E-3</v>
      </c>
      <c r="J67" s="930">
        <f>VLOOKUP(Yesterday,'Money Fund Details'!$A$12:$P$5900,15,FALSE)*I67/365</f>
        <v>1.5262586000005848E-4</v>
      </c>
      <c r="K67" s="930">
        <f t="shared" si="77"/>
        <v>0</v>
      </c>
      <c r="L67" s="1192">
        <f t="shared" si="78"/>
        <v>26.98</v>
      </c>
      <c r="M67" s="932">
        <f t="shared" si="76"/>
        <v>26.98</v>
      </c>
      <c r="N67" s="122"/>
      <c r="O67" s="121"/>
      <c r="P67" s="123"/>
      <c r="Q67" s="97"/>
      <c r="R67" s="88"/>
      <c r="S67" s="121"/>
      <c r="T67" s="51"/>
      <c r="U67" s="931">
        <v>26.79</v>
      </c>
      <c r="V67" s="31">
        <f t="shared" si="12"/>
        <v>0.19000000000000128</v>
      </c>
      <c r="W67" s="765"/>
      <c r="X67" s="765"/>
      <c r="Y67" s="765"/>
      <c r="Z67" s="765"/>
      <c r="AA67" s="765"/>
      <c r="AB67" s="765"/>
      <c r="AC67" s="765"/>
    </row>
    <row r="68" spans="1:65" x14ac:dyDescent="0.25">
      <c r="A68" s="9" t="s">
        <v>456</v>
      </c>
      <c r="B68" s="9" t="s">
        <v>452</v>
      </c>
      <c r="C68" s="765" t="s">
        <v>666</v>
      </c>
      <c r="D68" s="510">
        <f>SUMIFS('Money Fund Details'!D12:D4595,'Money Fund Details'!A12:A4595,"&lt;="&amp;ValDate,'Money Fund Details'!A12:A4595,"&gt;"&amp;MMF_Xdiv)</f>
        <v>50.699999999999989</v>
      </c>
      <c r="E68" s="10">
        <f t="shared" si="74"/>
        <v>44651</v>
      </c>
      <c r="F68" s="10">
        <f t="shared" si="75"/>
        <v>44651</v>
      </c>
      <c r="G68" s="766" t="s">
        <v>939</v>
      </c>
      <c r="H68" s="892">
        <f t="shared" si="6"/>
        <v>1</v>
      </c>
      <c r="I68" s="32">
        <v>0</v>
      </c>
      <c r="J68" s="495">
        <f>VLOOKUP(Yesterday,'Money Fund Details'!$A$22:$P$6000,12,FALSE)*I68/365</f>
        <v>0</v>
      </c>
      <c r="K68" s="495">
        <f t="shared" si="77"/>
        <v>0</v>
      </c>
      <c r="L68" s="1187">
        <f t="shared" si="78"/>
        <v>50.7</v>
      </c>
      <c r="M68" s="31">
        <f t="shared" si="76"/>
        <v>50.7</v>
      </c>
      <c r="N68" s="122"/>
      <c r="O68" s="121"/>
      <c r="P68" s="123"/>
      <c r="Q68" s="97"/>
      <c r="R68" s="88"/>
      <c r="S68" s="121"/>
      <c r="T68" s="51"/>
      <c r="U68" s="31">
        <v>12.75</v>
      </c>
      <c r="V68" s="31">
        <f t="shared" si="12"/>
        <v>37.950000000000003</v>
      </c>
      <c r="W68" s="765"/>
      <c r="X68" s="765"/>
      <c r="Y68" s="765"/>
      <c r="Z68" s="765"/>
      <c r="AA68" s="765"/>
      <c r="AB68" s="765"/>
      <c r="AC68" s="765"/>
    </row>
    <row r="69" spans="1:65" x14ac:dyDescent="0.25">
      <c r="A69" s="9" t="s">
        <v>456</v>
      </c>
      <c r="B69" s="9" t="s">
        <v>452</v>
      </c>
      <c r="C69" s="765" t="s">
        <v>667</v>
      </c>
      <c r="D69" s="510">
        <f>SUMIFS('Money Fund Details'!J13:J4596,'Money Fund Details'!A13:A4596,"&lt;="&amp;ValDate,'Money Fund Details'!A13:A4596,"&gt;"&amp;MMF_Xdiv)</f>
        <v>4.3500000000000005</v>
      </c>
      <c r="E69" s="10">
        <f t="shared" si="74"/>
        <v>44651</v>
      </c>
      <c r="F69" s="10">
        <f t="shared" si="75"/>
        <v>44651</v>
      </c>
      <c r="G69" s="766" t="s">
        <v>939</v>
      </c>
      <c r="H69" s="892">
        <f t="shared" si="6"/>
        <v>1</v>
      </c>
      <c r="I69" s="32">
        <v>0</v>
      </c>
      <c r="J69" s="495">
        <f>VLOOKUP(Yesterday,'Money Fund Details'!$A$22:$P$6000,12,FALSE)*I69/365</f>
        <v>0</v>
      </c>
      <c r="K69" s="495">
        <f t="shared" si="77"/>
        <v>0</v>
      </c>
      <c r="L69" s="1187">
        <f t="shared" si="78"/>
        <v>4.3499999999999996</v>
      </c>
      <c r="M69" s="31">
        <f t="shared" si="76"/>
        <v>4.3499999999999996</v>
      </c>
      <c r="N69" s="122"/>
      <c r="O69" s="121"/>
      <c r="P69" s="123"/>
      <c r="Q69" s="97"/>
      <c r="R69" s="88"/>
      <c r="S69" s="121"/>
      <c r="T69" s="51"/>
      <c r="U69" s="31">
        <v>0.84</v>
      </c>
      <c r="V69" s="31">
        <f t="shared" si="12"/>
        <v>3.51</v>
      </c>
      <c r="W69" s="765"/>
      <c r="X69" s="765"/>
      <c r="Y69" s="765"/>
      <c r="Z69" s="765"/>
      <c r="AA69" s="765"/>
      <c r="AB69" s="765"/>
      <c r="AC69" s="765"/>
    </row>
    <row r="70" spans="1:65" x14ac:dyDescent="0.25">
      <c r="A70" s="9" t="s">
        <v>456</v>
      </c>
      <c r="B70" s="9" t="s">
        <v>452</v>
      </c>
      <c r="C70" s="765" t="s">
        <v>668</v>
      </c>
      <c r="D70" s="510">
        <f>SUMIFS('Money Fund Details'!P14:P4597,'Money Fund Details'!A14:A4597,"&lt;="&amp;ValDate,'Money Fund Details'!A14:A4597,"&gt;"&amp;MMF_Xdiv)</f>
        <v>0</v>
      </c>
      <c r="E70" s="10">
        <f t="shared" si="74"/>
        <v>44651</v>
      </c>
      <c r="F70" s="10">
        <f t="shared" si="75"/>
        <v>44651</v>
      </c>
      <c r="G70" s="766" t="s">
        <v>939</v>
      </c>
      <c r="H70" s="892">
        <f t="shared" si="6"/>
        <v>1</v>
      </c>
      <c r="I70" s="32">
        <v>0</v>
      </c>
      <c r="J70" s="495">
        <f>VLOOKUP(Yesterday,'Money Fund Details'!$A$22:$P$6000,12,FALSE)*I70/365</f>
        <v>0</v>
      </c>
      <c r="K70" s="495">
        <f t="shared" si="77"/>
        <v>0</v>
      </c>
      <c r="L70" s="1187">
        <f t="shared" si="78"/>
        <v>0</v>
      </c>
      <c r="M70" s="31">
        <f t="shared" si="76"/>
        <v>0</v>
      </c>
      <c r="N70" s="122"/>
      <c r="O70" s="121"/>
      <c r="P70" s="123"/>
      <c r="Q70" s="97"/>
      <c r="R70" s="88"/>
      <c r="S70" s="121"/>
      <c r="T70" s="51"/>
      <c r="U70" s="31">
        <v>0</v>
      </c>
      <c r="V70" s="31">
        <f t="shared" si="12"/>
        <v>0</v>
      </c>
      <c r="W70" s="765"/>
      <c r="X70" s="765"/>
      <c r="Y70" s="765"/>
      <c r="Z70" s="765"/>
      <c r="AA70" s="765"/>
      <c r="AB70" s="765"/>
      <c r="AC70" s="765"/>
    </row>
    <row r="71" spans="1:65" x14ac:dyDescent="0.25">
      <c r="A71" s="36" t="s">
        <v>456</v>
      </c>
      <c r="B71" s="36" t="s">
        <v>452</v>
      </c>
      <c r="C71" s="36" t="s">
        <v>669</v>
      </c>
      <c r="D71" s="493">
        <f>SUMIFS('Money Fund Details'!M15:M4598,'Money Fund Details'!A15:A4598,"&lt;="&amp;ValDate,'Money Fund Details'!A15:A4598,"&gt;"&amp;MMF_Xdiv)</f>
        <v>0</v>
      </c>
      <c r="E71" s="38">
        <f t="shared" si="74"/>
        <v>44651</v>
      </c>
      <c r="F71" s="38">
        <f t="shared" si="75"/>
        <v>44651</v>
      </c>
      <c r="G71" s="405" t="s">
        <v>939</v>
      </c>
      <c r="H71" s="893">
        <f t="shared" si="6"/>
        <v>1</v>
      </c>
      <c r="I71" s="39">
        <v>0</v>
      </c>
      <c r="J71" s="496">
        <f>VLOOKUP(Yesterday,'Money Fund Details'!$A$22:$P$6000,12,FALSE)*I71/365</f>
        <v>0</v>
      </c>
      <c r="K71" s="496">
        <f t="shared" si="77"/>
        <v>0</v>
      </c>
      <c r="L71" s="1193">
        <f t="shared" si="78"/>
        <v>0</v>
      </c>
      <c r="M71" s="37">
        <f t="shared" si="76"/>
        <v>0</v>
      </c>
      <c r="N71" s="125"/>
      <c r="O71" s="124"/>
      <c r="P71" s="124"/>
      <c r="Q71" s="98"/>
      <c r="R71" s="89"/>
      <c r="S71" s="124"/>
      <c r="T71" s="51"/>
      <c r="U71" s="37">
        <v>0</v>
      </c>
      <c r="V71" s="31">
        <f t="shared" si="12"/>
        <v>0</v>
      </c>
      <c r="W71" s="4"/>
      <c r="X71" s="4"/>
      <c r="Y71" s="4"/>
      <c r="Z71" s="4"/>
      <c r="AA71" s="4"/>
      <c r="AB71" s="4"/>
      <c r="AC71" s="4"/>
      <c r="BH71" s="1199"/>
      <c r="BI71" s="1199"/>
      <c r="BJ71" s="1199"/>
      <c r="BK71" s="1199"/>
      <c r="BL71" s="1199"/>
      <c r="BM71" s="1199"/>
    </row>
    <row r="72" spans="1:65" ht="15.75" thickBot="1" x14ac:dyDescent="0.3">
      <c r="A72" s="1"/>
      <c r="B72" s="41"/>
      <c r="C72" s="42" t="s">
        <v>73</v>
      </c>
      <c r="D72" s="1200">
        <f>SUMPRODUCT(D29:D71,H29:H71)-SUMPRODUCT(D50:D61,H50:H61)</f>
        <v>708674.75545048714</v>
      </c>
      <c r="E72" s="4"/>
      <c r="F72" s="4"/>
      <c r="G72" s="4"/>
      <c r="H72" s="4"/>
      <c r="I72" s="4"/>
      <c r="J72" s="433">
        <f>SUMPRODUCT(J29:J71,$H29:$H71)</f>
        <v>5665.6650522591954</v>
      </c>
      <c r="K72" s="433">
        <f>SUMPRODUCT(K29:K71,$H29:$H71)</f>
        <v>103521.39391869429</v>
      </c>
      <c r="L72" s="433">
        <f>SUMPRODUCT(L29:L71,$H29:$H71)</f>
        <v>812196.15342678246</v>
      </c>
      <c r="M72" s="433">
        <f>SUMPRODUCT(M29:M71,$H29:$H71)</f>
        <v>1091459.2242346944</v>
      </c>
      <c r="N72" s="127"/>
      <c r="O72" s="126"/>
      <c r="P72" s="126"/>
      <c r="Q72" s="96"/>
      <c r="R72" s="1"/>
      <c r="S72" s="128">
        <f ca="1">SUM(S29:S67)</f>
        <v>-950184.01474031794</v>
      </c>
      <c r="T72" s="96"/>
      <c r="U72" s="433">
        <v>568617.68762203865</v>
      </c>
      <c r="V72" s="1">
        <f t="shared" ref="V72" si="79">L72-U72</f>
        <v>243578.46580474381</v>
      </c>
      <c r="W72" s="1"/>
      <c r="X72" s="1"/>
      <c r="Y72" s="1"/>
      <c r="Z72" s="1"/>
      <c r="AA72" s="1"/>
      <c r="AB72" s="1"/>
      <c r="AC72" s="1"/>
    </row>
    <row r="73" spans="1:65" ht="15.75" thickTop="1" x14ac:dyDescent="0.25">
      <c r="A73" s="42"/>
      <c r="B73" s="35"/>
      <c r="C73" s="1201"/>
      <c r="D73" s="1201"/>
      <c r="E73" s="1201"/>
      <c r="F73" s="1202"/>
      <c r="G73" s="1201"/>
      <c r="H73" s="1201"/>
      <c r="I73" s="1202"/>
      <c r="J73" s="35"/>
      <c r="K73" s="35"/>
      <c r="L73" s="4"/>
      <c r="M73" s="4"/>
      <c r="N73" s="4"/>
      <c r="O73" s="4"/>
      <c r="P73" s="4"/>
      <c r="Q73" s="4"/>
      <c r="R73" s="4"/>
      <c r="S73" s="4"/>
      <c r="T73" s="4"/>
      <c r="U73" s="37"/>
      <c r="V73" s="4"/>
      <c r="W73" s="4"/>
      <c r="X73" s="4"/>
      <c r="Y73" s="4"/>
      <c r="Z73" s="4"/>
      <c r="AA73" s="4"/>
      <c r="AB73" s="4"/>
      <c r="AC73" s="4"/>
    </row>
    <row r="74" spans="1:65" ht="15.75" thickBot="1" x14ac:dyDescent="0.3">
      <c r="A74" s="1"/>
      <c r="B74" s="35"/>
      <c r="C74" s="35"/>
      <c r="D74" s="34"/>
      <c r="E74" s="34"/>
      <c r="F74" s="34"/>
      <c r="G74" s="34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65" ht="19.5" thickTop="1" x14ac:dyDescent="0.3">
      <c r="A75" s="33" t="s">
        <v>62</v>
      </c>
      <c r="B75" s="1141" t="s">
        <v>543</v>
      </c>
      <c r="C75" s="1140">
        <v>44635</v>
      </c>
      <c r="D75" s="2"/>
      <c r="E75" s="765"/>
      <c r="F75" s="765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65" ht="15.75" x14ac:dyDescent="0.25">
      <c r="A76" s="511" t="s">
        <v>402</v>
      </c>
      <c r="B76" s="44" t="s">
        <v>944</v>
      </c>
      <c r="C76" s="44" t="s">
        <v>945</v>
      </c>
      <c r="D76" s="44" t="s">
        <v>64</v>
      </c>
      <c r="E76" s="44" t="s">
        <v>840</v>
      </c>
      <c r="F76" s="44" t="s">
        <v>65</v>
      </c>
      <c r="G76" s="44" t="s">
        <v>66</v>
      </c>
      <c r="H76" s="44" t="s">
        <v>454</v>
      </c>
      <c r="I76" s="44" t="s">
        <v>68</v>
      </c>
      <c r="J76" s="31"/>
      <c r="K76" s="31"/>
      <c r="L76" s="31"/>
      <c r="M76" s="31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65" ht="15.75" thickBot="1" x14ac:dyDescent="0.3">
      <c r="A77" s="2" t="s">
        <v>489</v>
      </c>
      <c r="B77" s="30">
        <v>0</v>
      </c>
      <c r="C77" s="901">
        <v>0</v>
      </c>
      <c r="D77" s="30">
        <f>(((((7754.03719965586-146.93)+-161.35)+-162.41)+-7000)+1833.55555555556)+-160.8</f>
        <v>1956.1027552114194</v>
      </c>
      <c r="E77" s="30">
        <v>868.07225811670548</v>
      </c>
      <c r="F77" s="30">
        <v>10257.993561528054</v>
      </c>
      <c r="G77" s="30">
        <v>20822.394587940333</v>
      </c>
      <c r="H77" s="30">
        <f>1389.32-50</f>
        <v>1339.32</v>
      </c>
      <c r="I77" s="92">
        <f>SUM(B77:H77)</f>
        <v>35243.883162796512</v>
      </c>
      <c r="J77" s="31"/>
      <c r="K77" s="859" t="s">
        <v>820</v>
      </c>
      <c r="L77" s="31"/>
      <c r="M77" s="31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65" ht="19.5" thickBot="1" x14ac:dyDescent="0.35">
      <c r="A78" s="2" t="s">
        <v>561</v>
      </c>
      <c r="B78" s="30">
        <v>0</v>
      </c>
      <c r="C78" s="901">
        <v>0</v>
      </c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24">
        <f>SUM(B78:H78)</f>
        <v>0</v>
      </c>
      <c r="J78" s="31"/>
      <c r="K78" s="860">
        <v>1.1792041043952299</v>
      </c>
      <c r="L78" s="31"/>
      <c r="M78" s="31"/>
      <c r="N78" s="31"/>
      <c r="O78" s="765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65" x14ac:dyDescent="0.25">
      <c r="A79" s="2" t="s">
        <v>67</v>
      </c>
      <c r="B79" s="436">
        <v>12.5</v>
      </c>
      <c r="C79" s="436">
        <f>M_MgmtFee</f>
        <v>12.5</v>
      </c>
      <c r="D79" s="436">
        <f>D80*360/$D$35*10000</f>
        <v>0.75029804370131148</v>
      </c>
      <c r="E79" s="436">
        <f>E80*360/$D$35*10000</f>
        <v>0.70950894769899464</v>
      </c>
      <c r="F79" s="436">
        <f>F80*360/$D$35*10000</f>
        <v>2.1869673919544956</v>
      </c>
      <c r="G79" s="436">
        <f>G80*360/$D$35*10000</f>
        <v>3.0695896376010401</v>
      </c>
      <c r="H79" s="436">
        <f>H80*360/$D$35*10000</f>
        <v>0.14625765004347985</v>
      </c>
      <c r="I79" s="595">
        <f>SUM(B79:H79)</f>
        <v>31.862621670999324</v>
      </c>
      <c r="J79" s="31"/>
      <c r="K79" s="31"/>
      <c r="L79" s="31"/>
      <c r="M79" s="765"/>
      <c r="N79" s="31"/>
      <c r="O79" s="765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65" x14ac:dyDescent="0.25">
      <c r="A80" s="2" t="s">
        <v>95</v>
      </c>
      <c r="B80" s="922">
        <f>SUMIF('Facilities &amp; Bond Details'!$C$28:$C$38,"USD",'Facilities &amp; Bond Details'!$M$28:$M$38)</f>
        <v>1532.060185185185</v>
      </c>
      <c r="C80" s="917">
        <f>SUMIF('Facilities &amp; Bond Details'!$C$28:$C$38,"EUR",'Facilities &amp; Bond Details'!$M$28:$M$38)</f>
        <v>779.54861111111109</v>
      </c>
      <c r="D80" s="840">
        <v>24.777777777777779</v>
      </c>
      <c r="E80" s="31">
        <v>23.43076219512195</v>
      </c>
      <c r="F80" s="31">
        <v>72.222222222222229</v>
      </c>
      <c r="G80" s="31">
        <v>101.36986301369863</v>
      </c>
      <c r="H80" s="31">
        <v>4.83</v>
      </c>
      <c r="I80" s="324">
        <f>SUM(D80:H80,B80)+C80*EURFX</f>
        <v>2621.3003260190053</v>
      </c>
      <c r="J80" s="31"/>
      <c r="K80" s="31"/>
      <c r="L80" s="31"/>
      <c r="M80" s="31"/>
      <c r="N80" s="31"/>
      <c r="O80" s="765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x14ac:dyDescent="0.25">
      <c r="A81" s="36" t="s">
        <v>63</v>
      </c>
      <c r="B81" s="1099">
        <f>SUMIF('Facilities &amp; Bond Details'!$C$28:$C$38,"USD",'Facilities &amp; Bond Details'!$N$28:$N$38)</f>
        <v>24512.96296296296</v>
      </c>
      <c r="C81" s="918">
        <f>SUMIF('Facilities &amp; Bond Details'!$C$28:$C$38,"EUR",'Facilities &amp; Bond Details'!$N$28:$N$38)</f>
        <v>12472.777777777777</v>
      </c>
      <c r="D81" s="40">
        <f t="shared" ref="D81:H81" si="80">D80*(ValDate-ExpAccrualStartDate)</f>
        <v>396.44444444444446</v>
      </c>
      <c r="E81" s="40">
        <f t="shared" si="80"/>
        <v>374.8921951219512</v>
      </c>
      <c r="F81" s="40">
        <f t="shared" si="80"/>
        <v>1155.5555555555557</v>
      </c>
      <c r="G81" s="40">
        <f t="shared" si="80"/>
        <v>1621.9178082191781</v>
      </c>
      <c r="H81" s="40">
        <f t="shared" si="80"/>
        <v>77.28</v>
      </c>
      <c r="I81" s="325">
        <f>SUM(D81:H81,B81)+C81*EURFX</f>
        <v>41940.805216304085</v>
      </c>
      <c r="J81" s="31"/>
      <c r="K81" s="31"/>
      <c r="L81" s="31"/>
      <c r="M81" s="765"/>
      <c r="N81" s="117"/>
      <c r="O81" s="765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5.75" thickBot="1" x14ac:dyDescent="0.3">
      <c r="A82" s="1" t="s">
        <v>514</v>
      </c>
      <c r="B82" s="34">
        <f t="shared" ref="B82:H82" si="81">B77+B81+B78</f>
        <v>24512.96296296296</v>
      </c>
      <c r="C82" s="919">
        <f t="shared" si="81"/>
        <v>12472.777777777777</v>
      </c>
      <c r="D82" s="34">
        <f t="shared" si="81"/>
        <v>2352.547199655864</v>
      </c>
      <c r="E82" s="34">
        <f t="shared" si="81"/>
        <v>1242.9644532386567</v>
      </c>
      <c r="F82" s="34">
        <f t="shared" si="81"/>
        <v>11413.54911708361</v>
      </c>
      <c r="G82" s="34">
        <f t="shared" si="81"/>
        <v>22444.312396159512</v>
      </c>
      <c r="H82" s="34">
        <f t="shared" si="81"/>
        <v>1416.6</v>
      </c>
      <c r="I82" s="326">
        <f>SUM(D82:H82,B82)+C82*EURFX</f>
        <v>77184.688379100611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6.5" thickTop="1" thickBot="1" x14ac:dyDescent="0.3">
      <c r="A83" s="28" t="s">
        <v>383</v>
      </c>
      <c r="B83" s="327">
        <f t="shared" ref="B83:H83" si="82">B80*($B$7-$C$75)</f>
        <v>140949.53703703702</v>
      </c>
      <c r="C83" s="920">
        <f t="shared" si="82"/>
        <v>71718.472222222219</v>
      </c>
      <c r="D83" s="327">
        <f t="shared" si="82"/>
        <v>2279.5555555555557</v>
      </c>
      <c r="E83" s="327">
        <f t="shared" si="82"/>
        <v>2155.6301219512193</v>
      </c>
      <c r="F83" s="327">
        <f t="shared" si="82"/>
        <v>6644.4444444444453</v>
      </c>
      <c r="G83" s="327">
        <f t="shared" si="82"/>
        <v>9326.0273972602736</v>
      </c>
      <c r="H83" s="327">
        <f t="shared" si="82"/>
        <v>444.36</v>
      </c>
      <c r="I83" s="328">
        <f>SUM(D83:H83,B83)+C83*EURFX</f>
        <v>241159.6299937485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5.75" thickTop="1" x14ac:dyDescent="0.25">
      <c r="A84" s="2"/>
      <c r="B84" s="2"/>
      <c r="C84" s="899">
        <f>+B81+C81*EURFX</f>
        <v>38314.715212962954</v>
      </c>
      <c r="D84" s="899"/>
      <c r="E84" s="2"/>
      <c r="F84" s="2"/>
      <c r="G84" s="2"/>
      <c r="H84" s="2"/>
      <c r="I84" s="2"/>
      <c r="J84" s="2"/>
      <c r="K84" s="2"/>
      <c r="L84" s="31"/>
      <c r="M84" s="31"/>
      <c r="N84" s="31"/>
      <c r="O84" s="2"/>
      <c r="P84" s="2"/>
      <c r="AA84" s="2"/>
      <c r="AB84" s="2"/>
      <c r="AC84" s="2"/>
    </row>
    <row r="85" spans="1:29" ht="15.75" x14ac:dyDescent="0.25">
      <c r="A85" s="1000" t="s">
        <v>513</v>
      </c>
      <c r="B85" s="512"/>
      <c r="C85" s="512"/>
      <c r="D85" s="37"/>
      <c r="E85" s="37"/>
      <c r="F85" s="37"/>
      <c r="G85" s="513"/>
      <c r="H85" s="36"/>
      <c r="I85" s="37"/>
      <c r="J85" s="2"/>
      <c r="K85" s="1107" t="s">
        <v>5012</v>
      </c>
      <c r="L85" s="31" t="s">
        <v>126</v>
      </c>
      <c r="M85" s="2" t="s">
        <v>3540</v>
      </c>
      <c r="O85" s="1107" t="s">
        <v>1592</v>
      </c>
      <c r="P85" s="31" t="s">
        <v>126</v>
      </c>
      <c r="Q85" s="765" t="s">
        <v>3540</v>
      </c>
      <c r="AA85" s="2"/>
      <c r="AB85" s="2"/>
      <c r="AC85" s="2"/>
    </row>
    <row r="86" spans="1:29" x14ac:dyDescent="0.25">
      <c r="A86" s="77" t="s">
        <v>4505</v>
      </c>
      <c r="B86" s="514"/>
      <c r="C86" s="514"/>
      <c r="D86" s="514"/>
      <c r="E86" s="514"/>
      <c r="F86" s="514"/>
      <c r="G86" s="514"/>
      <c r="H86" s="514"/>
      <c r="I86" s="954">
        <f>68172.4+9925.62+20000</f>
        <v>98098.01999999999</v>
      </c>
      <c r="J86" s="2"/>
      <c r="K86" s="1136" t="s">
        <v>5239</v>
      </c>
      <c r="L86" s="1197">
        <v>1879.17</v>
      </c>
      <c r="M86" s="1172">
        <v>1</v>
      </c>
      <c r="O86" s="1204">
        <v>68072</v>
      </c>
      <c r="P86" s="1197">
        <f>_xlfn.XLOOKUP(O86,'Filtered Repo Trade Data'!E:E,'Filtered Repo Trade Data'!I:I)*(1+_xlfn.XLOOKUP(O86,'Filtered Repo Trade Data'!E:E,'Filtered Repo Trade Data'!L:L)/360*(ValDate-_xlfn.XLOOKUP(O86,'Filtered Repo Trade Data'!E:E,'Filtered Repo Trade Data'!J:J)))</f>
        <v>17451.889358666664</v>
      </c>
      <c r="Q86" s="1172">
        <v>1</v>
      </c>
      <c r="AA86" s="2"/>
      <c r="AB86" s="2"/>
      <c r="AC86" s="2"/>
    </row>
    <row r="87" spans="1:29" x14ac:dyDescent="0.25">
      <c r="A87" s="4" t="s">
        <v>5240</v>
      </c>
      <c r="B87" s="35"/>
      <c r="C87" s="35"/>
      <c r="D87" s="35"/>
      <c r="E87" s="35"/>
      <c r="F87" s="35"/>
      <c r="G87" s="35"/>
      <c r="H87" s="35"/>
      <c r="I87" s="1079">
        <f>-SUMPRODUCT(L86:L94,M86:M94)</f>
        <v>-1879.17</v>
      </c>
      <c r="J87" s="765" t="s">
        <v>939</v>
      </c>
      <c r="K87" s="1137"/>
      <c r="L87" s="1171"/>
      <c r="M87" s="1173"/>
      <c r="O87" s="1137">
        <v>68216</v>
      </c>
      <c r="P87" s="1203">
        <f>_xlfn.XLOOKUP(O87,'Filtered Repo Trade Data'!E:E,'Filtered Repo Trade Data'!I:I)*(1+_xlfn.XLOOKUP(O87,'Filtered Repo Trade Data'!E:E,'Filtered Repo Trade Data'!L:L)/360*(ValDate-_xlfn.XLOOKUP(O87,'Filtered Repo Trade Data'!E:E,'Filtered Repo Trade Data'!J:J)))</f>
        <v>390645.08793149999</v>
      </c>
      <c r="Q87" s="1173">
        <v>1</v>
      </c>
      <c r="AA87" s="765"/>
      <c r="AB87" s="765"/>
      <c r="AC87" s="765"/>
    </row>
    <row r="88" spans="1:29" x14ac:dyDescent="0.25">
      <c r="A88" s="4" t="s">
        <v>5244</v>
      </c>
      <c r="B88" s="35"/>
      <c r="C88" s="35"/>
      <c r="D88" s="35"/>
      <c r="E88" s="35"/>
      <c r="F88" s="35"/>
      <c r="G88" s="35"/>
      <c r="H88" s="35"/>
      <c r="I88" s="1079">
        <f>+SUMPRODUCT(P86:P94,Q86:Q94)</f>
        <v>408096.97729016666</v>
      </c>
      <c r="J88" s="765"/>
      <c r="K88" s="1137"/>
      <c r="L88" s="1171"/>
      <c r="M88" s="1173"/>
      <c r="O88" s="1137"/>
      <c r="P88" s="1171"/>
      <c r="Q88" s="1173"/>
      <c r="AA88" s="765"/>
      <c r="AB88" s="765"/>
      <c r="AC88" s="765"/>
    </row>
    <row r="89" spans="1:29" x14ac:dyDescent="0.25">
      <c r="A89" s="4"/>
      <c r="I89" s="1079"/>
      <c r="J89" s="765"/>
      <c r="K89" s="1137"/>
      <c r="L89" s="1134"/>
      <c r="M89" s="1173"/>
      <c r="O89" s="1137"/>
      <c r="P89" s="1171"/>
      <c r="Q89" s="1173"/>
      <c r="AA89" s="765"/>
      <c r="AB89" s="765"/>
      <c r="AC89" s="765"/>
    </row>
    <row r="90" spans="1:29" x14ac:dyDescent="0.25">
      <c r="A90" s="4"/>
      <c r="I90" s="1079"/>
      <c r="J90" s="51"/>
      <c r="K90" s="1137"/>
      <c r="L90" s="1171"/>
      <c r="M90" s="1173"/>
      <c r="O90" s="1137"/>
      <c r="P90" s="1134"/>
      <c r="Q90" s="1173"/>
      <c r="AA90" s="2"/>
      <c r="AB90" s="2"/>
      <c r="AC90" s="2"/>
    </row>
    <row r="91" spans="1:29" x14ac:dyDescent="0.25">
      <c r="A91" s="4"/>
      <c r="B91" s="40"/>
      <c r="C91" s="40"/>
      <c r="D91" s="40"/>
      <c r="E91" s="40"/>
      <c r="F91" s="40"/>
      <c r="G91" s="40"/>
      <c r="H91" s="40"/>
      <c r="I91" s="1111"/>
      <c r="J91" s="51"/>
      <c r="K91" s="1137"/>
      <c r="L91" s="1134"/>
      <c r="M91" s="1173"/>
      <c r="O91" s="1137"/>
      <c r="P91" s="1134"/>
      <c r="Q91" s="1173"/>
      <c r="AA91" s="2"/>
      <c r="AB91" s="2"/>
      <c r="AC91" s="2"/>
    </row>
    <row r="92" spans="1:29" ht="15.75" thickBot="1" x14ac:dyDescent="0.3">
      <c r="A92" s="55" t="s">
        <v>515</v>
      </c>
      <c r="B92" s="34"/>
      <c r="C92" s="34"/>
      <c r="D92" s="34"/>
      <c r="E92" s="34"/>
      <c r="F92" s="34"/>
      <c r="G92" s="34"/>
      <c r="H92" s="34"/>
      <c r="I92" s="326">
        <f>SUM(I86:I91)</f>
        <v>504315.82729016664</v>
      </c>
      <c r="J92" s="51"/>
      <c r="K92" s="1137"/>
      <c r="L92" s="1134"/>
      <c r="M92" s="1173"/>
      <c r="O92" s="1137"/>
      <c r="P92" s="1134"/>
      <c r="Q92" s="1173"/>
      <c r="AA92" s="2"/>
      <c r="AB92" s="2"/>
      <c r="AC92" s="2"/>
    </row>
    <row r="93" spans="1:29" ht="15.75" thickTop="1" x14ac:dyDescent="0.25">
      <c r="A93" s="2"/>
      <c r="B93" s="31"/>
      <c r="C93" s="1126"/>
      <c r="H93" s="766"/>
      <c r="I93" s="31"/>
      <c r="J93" s="839"/>
      <c r="K93" s="1137"/>
      <c r="L93" s="1134"/>
      <c r="M93" s="1173"/>
      <c r="O93" s="1137"/>
      <c r="P93" s="1134"/>
      <c r="Q93" s="1173"/>
      <c r="AA93" s="2"/>
      <c r="AB93" s="2"/>
      <c r="AC93" s="2"/>
    </row>
    <row r="94" spans="1:29" x14ac:dyDescent="0.25">
      <c r="A94" s="765"/>
      <c r="B94" s="31"/>
      <c r="C94" s="765"/>
      <c r="D94" s="765"/>
      <c r="E94" s="765"/>
      <c r="F94" s="765"/>
      <c r="G94" s="765"/>
      <c r="H94" s="765"/>
      <c r="I94" s="765"/>
      <c r="J94" s="765"/>
      <c r="K94" s="1138"/>
      <c r="L94" s="1135"/>
      <c r="M94" s="1093"/>
      <c r="O94" s="1138"/>
      <c r="P94" s="1135"/>
      <c r="Q94" s="1093"/>
      <c r="AA94" s="765"/>
      <c r="AB94" s="765"/>
      <c r="AC94" s="765"/>
    </row>
    <row r="95" spans="1:29" x14ac:dyDescent="0.25">
      <c r="A95" s="765"/>
      <c r="B95" s="31"/>
      <c r="C95" s="765"/>
      <c r="D95" s="765"/>
      <c r="E95" s="765"/>
      <c r="F95" s="765"/>
      <c r="G95" s="765"/>
      <c r="H95" s="765"/>
      <c r="I95" s="765"/>
      <c r="J95" s="765"/>
      <c r="K95" s="839"/>
      <c r="L95" s="839"/>
      <c r="M95" s="839"/>
      <c r="N95" s="839"/>
      <c r="O95" s="839"/>
      <c r="P95" s="2"/>
      <c r="AA95" s="2"/>
      <c r="AB95" s="2"/>
      <c r="AC95" s="2"/>
    </row>
    <row r="96" spans="1:29" x14ac:dyDescent="0.25">
      <c r="A96" s="765"/>
      <c r="B96" s="31"/>
      <c r="C96" s="765"/>
      <c r="D96" s="31"/>
      <c r="E96" s="765"/>
      <c r="F96" s="765"/>
      <c r="G96" s="765"/>
      <c r="H96" s="765"/>
      <c r="I96" s="765"/>
      <c r="J96" s="765"/>
      <c r="K96" s="765"/>
      <c r="L96" s="765"/>
      <c r="M96" s="765"/>
      <c r="N96" s="765"/>
      <c r="O96" s="765"/>
      <c r="P96" s="765"/>
      <c r="AA96" s="765"/>
      <c r="AB96" s="765"/>
      <c r="AC96" s="765"/>
    </row>
    <row r="97" spans="1:29" x14ac:dyDescent="0.25">
      <c r="A97" s="765"/>
      <c r="B97" s="765"/>
      <c r="C97" s="765"/>
      <c r="D97" s="765"/>
      <c r="E97" s="765"/>
      <c r="F97" s="765"/>
      <c r="G97" s="765"/>
      <c r="H97" s="765"/>
      <c r="I97" s="765"/>
      <c r="J97" s="765"/>
      <c r="K97" s="765"/>
      <c r="L97" s="765"/>
      <c r="M97" s="765"/>
      <c r="N97" s="765"/>
      <c r="O97" s="765"/>
      <c r="P97" s="765"/>
      <c r="AA97" s="2"/>
      <c r="AB97" s="2"/>
      <c r="AC97" s="2"/>
    </row>
    <row r="98" spans="1:29" x14ac:dyDescent="0.25">
      <c r="A98" s="765"/>
      <c r="B98" s="765"/>
      <c r="C98" s="765"/>
      <c r="D98" s="765"/>
      <c r="E98" s="765"/>
      <c r="F98" s="765"/>
      <c r="G98" s="765"/>
      <c r="H98" s="765"/>
      <c r="I98" s="765"/>
      <c r="J98" s="765"/>
      <c r="K98" s="765"/>
      <c r="L98" s="765"/>
      <c r="M98" s="765"/>
      <c r="N98" s="765"/>
      <c r="O98" s="899"/>
      <c r="P98" s="765"/>
      <c r="AA98" s="765"/>
      <c r="AC98" s="765"/>
    </row>
    <row r="99" spans="1:29" x14ac:dyDescent="0.25">
      <c r="A99" s="765"/>
      <c r="B99" s="765"/>
      <c r="C99" s="765"/>
      <c r="D99" s="765"/>
      <c r="E99" s="765"/>
      <c r="F99" s="765"/>
      <c r="G99" s="765"/>
      <c r="H99" s="765"/>
      <c r="I99" s="765"/>
      <c r="J99" s="765"/>
      <c r="K99" s="765"/>
      <c r="L99" s="765"/>
      <c r="M99" s="765"/>
      <c r="N99" s="765"/>
      <c r="O99" s="765"/>
      <c r="P99" s="765"/>
      <c r="AA99" s="2"/>
      <c r="AC99" s="2"/>
    </row>
    <row r="100" spans="1:29" x14ac:dyDescent="0.25">
      <c r="A100" s="765"/>
      <c r="B100" s="765"/>
      <c r="C100" s="765"/>
      <c r="D100" s="765"/>
      <c r="E100" s="765"/>
      <c r="F100" s="765"/>
      <c r="G100" s="765"/>
      <c r="H100" s="765"/>
      <c r="I100" s="765"/>
      <c r="J100" s="765"/>
      <c r="K100" s="765"/>
      <c r="L100" s="765"/>
      <c r="M100" s="765"/>
      <c r="N100" s="765"/>
      <c r="O100" s="765"/>
      <c r="P100" s="765"/>
      <c r="AA100" s="2"/>
      <c r="AC100" s="2"/>
    </row>
    <row r="101" spans="1:29" x14ac:dyDescent="0.25">
      <c r="A101" s="765"/>
      <c r="B101" s="765"/>
      <c r="C101" s="765"/>
      <c r="D101" s="765"/>
      <c r="E101" s="765"/>
      <c r="F101" s="765"/>
      <c r="G101" s="765"/>
      <c r="H101" s="765"/>
      <c r="I101" s="765"/>
      <c r="J101" s="765"/>
      <c r="K101" s="765"/>
      <c r="L101" s="765"/>
      <c r="M101" s="765"/>
      <c r="N101" s="765"/>
      <c r="O101" s="765"/>
      <c r="P101" s="765"/>
      <c r="AA101" s="2"/>
      <c r="AC101" s="2"/>
    </row>
    <row r="102" spans="1:29" x14ac:dyDescent="0.25">
      <c r="A102" s="765"/>
      <c r="B102" s="765"/>
      <c r="C102" s="765"/>
      <c r="D102" s="765"/>
      <c r="E102" s="31"/>
      <c r="F102" s="765"/>
      <c r="G102" s="765"/>
      <c r="H102" s="765"/>
      <c r="I102" s="765"/>
      <c r="J102" s="765"/>
      <c r="K102" s="765"/>
      <c r="L102" s="765"/>
      <c r="M102" s="765"/>
      <c r="N102" s="765"/>
      <c r="O102" s="765"/>
      <c r="P102" s="765"/>
      <c r="AA102" s="2"/>
      <c r="AC102" s="2"/>
    </row>
    <row r="103" spans="1:29" x14ac:dyDescent="0.25">
      <c r="A103" s="765"/>
      <c r="B103" s="765"/>
      <c r="C103" s="765"/>
      <c r="D103" s="765"/>
      <c r="E103" s="899"/>
      <c r="F103" s="765"/>
      <c r="G103" s="765"/>
      <c r="H103" s="765"/>
      <c r="I103" s="765"/>
      <c r="J103" s="765"/>
      <c r="K103" s="765"/>
      <c r="L103" s="765"/>
      <c r="M103" s="765"/>
      <c r="N103" s="765"/>
      <c r="O103" s="765"/>
      <c r="P103" s="765"/>
      <c r="AA103" s="2"/>
      <c r="AC103" s="2"/>
    </row>
    <row r="104" spans="1:29" x14ac:dyDescent="0.25">
      <c r="A104" s="765"/>
      <c r="B104" s="765"/>
      <c r="C104" s="765"/>
      <c r="D104" s="765"/>
      <c r="E104" s="765"/>
      <c r="F104" s="765"/>
      <c r="G104" s="765"/>
      <c r="H104" s="765"/>
      <c r="I104" s="765"/>
      <c r="J104" s="765"/>
      <c r="K104" s="765"/>
      <c r="L104" s="765"/>
      <c r="M104" s="765"/>
      <c r="N104" s="765"/>
      <c r="O104" s="765"/>
      <c r="P104" s="765"/>
      <c r="AA104" s="2"/>
      <c r="AC104" s="2"/>
    </row>
    <row r="105" spans="1:29" x14ac:dyDescent="0.25">
      <c r="A105" s="765"/>
      <c r="B105" s="765"/>
      <c r="C105" s="765"/>
      <c r="D105" s="765"/>
      <c r="E105" s="765"/>
      <c r="F105" s="765"/>
      <c r="G105" s="765"/>
      <c r="H105" s="765"/>
      <c r="I105" s="765"/>
      <c r="J105" s="765"/>
      <c r="K105" s="765"/>
      <c r="L105" s="765"/>
      <c r="M105" s="765"/>
      <c r="N105" s="765"/>
      <c r="O105" s="765"/>
      <c r="P105" s="765"/>
      <c r="AA105" s="2"/>
      <c r="AB105" s="2"/>
      <c r="AC105" s="2"/>
    </row>
    <row r="106" spans="1:29" x14ac:dyDescent="0.25">
      <c r="A106" s="765"/>
      <c r="B106" s="765"/>
      <c r="C106" s="765"/>
      <c r="D106" s="765"/>
      <c r="E106" s="765"/>
      <c r="F106" s="765"/>
      <c r="G106" s="765"/>
      <c r="H106" s="765"/>
      <c r="I106" s="765"/>
      <c r="J106" s="765"/>
      <c r="K106" s="765"/>
      <c r="L106" s="765"/>
      <c r="M106" s="765"/>
      <c r="N106" s="765"/>
      <c r="O106" s="765"/>
      <c r="P106" s="765"/>
      <c r="AA106" s="2"/>
      <c r="AB106" s="2"/>
      <c r="AC106" s="2"/>
    </row>
    <row r="107" spans="1:29" x14ac:dyDescent="0.25">
      <c r="A107" s="765"/>
      <c r="B107" s="765"/>
      <c r="C107" s="765"/>
      <c r="D107" s="765"/>
      <c r="E107" s="765"/>
      <c r="F107" s="765"/>
      <c r="G107" s="765"/>
      <c r="H107" s="765"/>
      <c r="I107" s="765"/>
      <c r="J107" s="765"/>
      <c r="K107" s="765"/>
      <c r="L107" s="765"/>
      <c r="M107" s="765"/>
      <c r="N107" s="765"/>
      <c r="O107" s="765"/>
      <c r="P107" s="765"/>
      <c r="AA107" s="2"/>
      <c r="AB107" s="2"/>
      <c r="AC107" s="2"/>
    </row>
    <row r="108" spans="1:29" x14ac:dyDescent="0.25">
      <c r="A108" s="765"/>
      <c r="B108" s="765"/>
      <c r="C108" s="765"/>
      <c r="D108" s="765"/>
      <c r="E108" s="765"/>
      <c r="F108" s="765"/>
      <c r="G108" s="765"/>
      <c r="H108" s="765"/>
      <c r="I108" s="765"/>
      <c r="J108" s="765"/>
      <c r="K108" s="765"/>
      <c r="L108" s="765"/>
      <c r="M108" s="765"/>
      <c r="N108" s="765"/>
      <c r="O108" s="765"/>
      <c r="P108" s="765"/>
      <c r="AA108" s="2"/>
      <c r="AB108" s="2"/>
      <c r="AC108" s="2"/>
    </row>
    <row r="109" spans="1:29" x14ac:dyDescent="0.25">
      <c r="A109" s="765"/>
      <c r="B109" s="765"/>
      <c r="C109" s="765"/>
      <c r="D109" s="765"/>
      <c r="E109" s="765"/>
      <c r="F109" s="765"/>
      <c r="G109" s="765"/>
      <c r="H109" s="765"/>
      <c r="I109" s="765"/>
      <c r="J109" s="765"/>
      <c r="K109" s="765"/>
      <c r="L109" s="765"/>
      <c r="M109" s="765"/>
      <c r="N109" s="765"/>
      <c r="O109" s="765"/>
      <c r="P109" s="765"/>
      <c r="AA109" s="2"/>
      <c r="AB109" s="2"/>
      <c r="AC109" s="2"/>
    </row>
    <row r="110" spans="1:29" x14ac:dyDescent="0.25">
      <c r="A110" s="765"/>
      <c r="B110" s="765"/>
      <c r="C110" s="765"/>
      <c r="D110" s="765"/>
      <c r="E110" s="765"/>
      <c r="F110" s="765"/>
      <c r="G110" s="765"/>
      <c r="H110" s="765"/>
      <c r="I110" s="765"/>
      <c r="J110" s="765"/>
      <c r="K110" s="765"/>
      <c r="L110" s="765"/>
      <c r="M110" s="765"/>
      <c r="N110" s="765"/>
      <c r="O110" s="765"/>
      <c r="P110" s="765"/>
      <c r="AA110" s="2"/>
      <c r="AB110" s="2"/>
      <c r="AC110" s="2"/>
    </row>
    <row r="111" spans="1:29" x14ac:dyDescent="0.25">
      <c r="A111" s="765"/>
      <c r="B111" s="765"/>
      <c r="C111" s="765"/>
      <c r="D111" s="765"/>
      <c r="E111" s="765"/>
      <c r="F111" s="765"/>
      <c r="G111" s="765"/>
      <c r="H111" s="765"/>
      <c r="I111" s="765"/>
      <c r="J111" s="765"/>
      <c r="K111" s="765"/>
      <c r="L111" s="765"/>
      <c r="M111" s="765"/>
      <c r="N111" s="765"/>
      <c r="O111" s="765"/>
      <c r="P111" s="765"/>
      <c r="AA111" s="2"/>
      <c r="AB111" s="2"/>
      <c r="AC111" s="2"/>
    </row>
    <row r="112" spans="1:29" x14ac:dyDescent="0.25">
      <c r="A112" s="765"/>
      <c r="B112" s="765"/>
      <c r="C112" s="765"/>
      <c r="D112" s="765"/>
      <c r="E112" s="765"/>
      <c r="F112" s="765"/>
      <c r="G112" s="765"/>
      <c r="H112" s="765"/>
      <c r="I112" s="765"/>
      <c r="J112" s="765"/>
      <c r="K112" s="765"/>
      <c r="L112" s="765"/>
      <c r="M112" s="765"/>
      <c r="N112" s="765"/>
      <c r="O112" s="765"/>
      <c r="P112" s="765"/>
      <c r="AA112" s="2"/>
      <c r="AB112" s="2"/>
      <c r="AC112" s="2"/>
    </row>
    <row r="113" spans="1:29" x14ac:dyDescent="0.25">
      <c r="A113" s="765"/>
      <c r="B113" s="765"/>
      <c r="C113" s="765"/>
      <c r="D113" s="765"/>
      <c r="E113" s="765"/>
      <c r="F113" s="765"/>
      <c r="G113" s="765"/>
      <c r="H113" s="765"/>
      <c r="I113" s="765"/>
      <c r="J113" s="765"/>
      <c r="K113" s="765"/>
      <c r="L113" s="765"/>
      <c r="M113" s="765"/>
      <c r="N113" s="765"/>
      <c r="O113" s="765"/>
      <c r="P113" s="765"/>
      <c r="AA113" s="2"/>
      <c r="AB113" s="2"/>
      <c r="AC113" s="2"/>
    </row>
    <row r="114" spans="1:29" x14ac:dyDescent="0.25">
      <c r="A114" s="765"/>
      <c r="B114" s="765"/>
      <c r="C114" s="765"/>
      <c r="D114" s="765"/>
      <c r="E114" s="765"/>
      <c r="F114" s="765"/>
      <c r="G114" s="765"/>
      <c r="H114" s="765"/>
      <c r="I114" s="765"/>
      <c r="J114" s="765"/>
      <c r="K114" s="765"/>
      <c r="L114" s="765"/>
      <c r="M114" s="765"/>
      <c r="N114" s="765"/>
      <c r="O114" s="765"/>
      <c r="P114" s="765"/>
      <c r="AA114" s="2"/>
      <c r="AB114" s="2"/>
      <c r="AC114" s="2"/>
    </row>
    <row r="115" spans="1:29" x14ac:dyDescent="0.25">
      <c r="A115" s="765"/>
      <c r="B115" s="765"/>
      <c r="C115" s="765"/>
      <c r="D115" s="765"/>
      <c r="E115" s="765"/>
      <c r="F115" s="765"/>
      <c r="G115" s="765"/>
      <c r="H115" s="765"/>
      <c r="I115" s="765"/>
      <c r="J115" s="765"/>
      <c r="K115" s="765"/>
      <c r="L115" s="765"/>
      <c r="M115" s="765"/>
      <c r="N115" s="765"/>
      <c r="O115" s="765"/>
      <c r="P115" s="765"/>
      <c r="AA115" s="2"/>
      <c r="AB115" s="2"/>
      <c r="AC115" s="2"/>
    </row>
    <row r="116" spans="1:29" x14ac:dyDescent="0.25">
      <c r="A116" s="765"/>
      <c r="B116" s="765"/>
      <c r="C116" s="765"/>
      <c r="D116" s="765"/>
      <c r="E116" s="765"/>
      <c r="F116" s="765"/>
      <c r="G116" s="765"/>
      <c r="H116" s="765"/>
      <c r="I116" s="765"/>
      <c r="J116" s="765"/>
      <c r="K116" s="765"/>
      <c r="L116" s="765"/>
      <c r="M116" s="765"/>
      <c r="N116" s="765"/>
      <c r="O116" s="765"/>
      <c r="P116" s="765"/>
      <c r="AA116" s="2"/>
      <c r="AB116" s="2"/>
      <c r="AC116" s="2"/>
    </row>
    <row r="117" spans="1:29" x14ac:dyDescent="0.25">
      <c r="A117" s="765"/>
      <c r="B117" s="765"/>
      <c r="C117" s="765"/>
      <c r="D117" s="765"/>
      <c r="E117" s="765"/>
      <c r="F117" s="765"/>
      <c r="G117" s="765"/>
      <c r="H117" s="765"/>
      <c r="I117" s="765"/>
      <c r="J117" s="765"/>
      <c r="K117" s="765"/>
      <c r="L117" s="765"/>
      <c r="M117" s="765"/>
      <c r="N117" s="765"/>
      <c r="O117" s="765"/>
      <c r="P117" s="765"/>
      <c r="AA117" s="2"/>
      <c r="AB117" s="2"/>
      <c r="AC117" s="2"/>
    </row>
    <row r="118" spans="1:29" x14ac:dyDescent="0.25">
      <c r="A118" s="765"/>
      <c r="B118" s="765"/>
      <c r="C118" s="765"/>
      <c r="D118" s="765"/>
      <c r="E118" s="765"/>
      <c r="F118" s="765"/>
      <c r="G118" s="765"/>
      <c r="H118" s="765"/>
      <c r="I118" s="765"/>
      <c r="J118" s="765"/>
      <c r="K118" s="765"/>
      <c r="L118" s="765"/>
      <c r="M118" s="765"/>
      <c r="N118" s="765"/>
      <c r="O118" s="765"/>
      <c r="P118" s="765"/>
      <c r="AA118" s="2"/>
      <c r="AB118" s="2"/>
      <c r="AC118" s="2"/>
    </row>
    <row r="119" spans="1:29" x14ac:dyDescent="0.25">
      <c r="A119" s="765"/>
      <c r="B119" s="765"/>
      <c r="C119" s="765"/>
      <c r="D119" s="765"/>
      <c r="E119" s="765"/>
      <c r="F119" s="765"/>
      <c r="G119" s="765"/>
      <c r="H119" s="765"/>
      <c r="I119" s="765"/>
      <c r="J119" s="765"/>
      <c r="K119" s="765"/>
      <c r="L119" s="765"/>
      <c r="M119" s="765"/>
      <c r="N119" s="765"/>
      <c r="O119" s="765"/>
      <c r="P119" s="765"/>
      <c r="AA119" s="2"/>
      <c r="AB119" s="2"/>
      <c r="AC119" s="2"/>
    </row>
    <row r="120" spans="1:29" x14ac:dyDescent="0.25">
      <c r="A120" s="765"/>
      <c r="B120" s="765"/>
      <c r="C120" s="765"/>
      <c r="D120" s="765"/>
      <c r="E120" s="765"/>
      <c r="F120" s="765"/>
      <c r="G120" s="765"/>
      <c r="H120" s="765"/>
      <c r="I120" s="765"/>
      <c r="J120" s="765"/>
      <c r="K120" s="765"/>
      <c r="L120" s="765"/>
      <c r="M120" s="765"/>
      <c r="N120" s="765"/>
      <c r="O120" s="765"/>
      <c r="P120" s="765"/>
      <c r="AA120" s="2"/>
      <c r="AB120" s="2"/>
      <c r="AC120" s="2"/>
    </row>
    <row r="121" spans="1:29" x14ac:dyDescent="0.25">
      <c r="A121" s="765"/>
      <c r="B121" s="765"/>
      <c r="C121" s="765"/>
      <c r="D121" s="765"/>
      <c r="E121" s="765"/>
      <c r="F121" s="765"/>
      <c r="G121" s="765"/>
      <c r="H121" s="765"/>
      <c r="I121" s="765"/>
      <c r="J121" s="765"/>
      <c r="K121" s="765"/>
      <c r="L121" s="765"/>
      <c r="M121" s="765"/>
      <c r="N121" s="765"/>
      <c r="O121" s="765"/>
      <c r="P121" s="765"/>
      <c r="AA121" s="2"/>
      <c r="AB121" s="2"/>
      <c r="AC121" s="2"/>
    </row>
    <row r="122" spans="1:29" x14ac:dyDescent="0.25">
      <c r="A122" s="765"/>
      <c r="B122" s="765"/>
      <c r="C122" s="765"/>
      <c r="D122" s="765"/>
      <c r="E122" s="765"/>
      <c r="F122" s="765"/>
      <c r="G122" s="765"/>
      <c r="H122" s="765"/>
      <c r="I122" s="765"/>
      <c r="J122" s="765"/>
      <c r="K122" s="765"/>
      <c r="L122" s="765"/>
      <c r="M122" s="765"/>
      <c r="N122" s="765"/>
      <c r="O122" s="765"/>
      <c r="P122" s="765"/>
      <c r="AA122" s="2"/>
      <c r="AB122" s="2"/>
      <c r="AC122" s="2"/>
    </row>
    <row r="123" spans="1:29" x14ac:dyDescent="0.25">
      <c r="A123" s="765"/>
      <c r="B123" s="765"/>
      <c r="C123" s="765"/>
      <c r="D123" s="765"/>
      <c r="E123" s="765"/>
      <c r="F123" s="765"/>
      <c r="G123" s="765"/>
      <c r="H123" s="765"/>
      <c r="I123" s="765"/>
      <c r="J123" s="765"/>
      <c r="K123" s="765"/>
      <c r="L123" s="765"/>
      <c r="M123" s="765"/>
      <c r="N123" s="765"/>
      <c r="O123" s="765"/>
      <c r="P123" s="765"/>
      <c r="AA123" s="2"/>
      <c r="AB123" s="2"/>
      <c r="AC123" s="2"/>
    </row>
    <row r="124" spans="1:29" x14ac:dyDescent="0.25">
      <c r="A124" s="765"/>
      <c r="B124" s="765"/>
      <c r="C124" s="765"/>
      <c r="D124" s="765"/>
      <c r="E124" s="765"/>
      <c r="F124" s="765"/>
      <c r="G124" s="765"/>
      <c r="H124" s="765"/>
      <c r="I124" s="765"/>
      <c r="J124" s="765"/>
      <c r="K124" s="765"/>
      <c r="L124" s="765"/>
      <c r="M124" s="765"/>
      <c r="N124" s="765"/>
      <c r="O124" s="765"/>
      <c r="P124" s="765"/>
      <c r="AA124" s="2"/>
      <c r="AB124" s="2"/>
      <c r="AC124" s="2"/>
    </row>
    <row r="125" spans="1:29" x14ac:dyDescent="0.25">
      <c r="A125" s="765"/>
      <c r="B125" s="765"/>
      <c r="C125" s="765"/>
      <c r="D125" s="765"/>
      <c r="E125" s="765"/>
      <c r="F125" s="765"/>
      <c r="G125" s="765"/>
      <c r="H125" s="765"/>
      <c r="I125" s="765"/>
      <c r="J125" s="765"/>
      <c r="K125" s="765"/>
      <c r="L125" s="765"/>
      <c r="M125" s="765"/>
      <c r="N125" s="765"/>
      <c r="O125" s="765"/>
      <c r="P125" s="765"/>
      <c r="AA125" s="2"/>
      <c r="AB125" s="2"/>
      <c r="AC125" s="2"/>
    </row>
    <row r="126" spans="1:29" x14ac:dyDescent="0.25">
      <c r="A126" s="765"/>
      <c r="B126" s="765"/>
      <c r="C126" s="765"/>
      <c r="D126" s="765"/>
      <c r="E126" s="765"/>
      <c r="F126" s="765"/>
      <c r="G126" s="765"/>
      <c r="H126" s="765"/>
      <c r="I126" s="765"/>
      <c r="J126" s="765"/>
      <c r="K126" s="765"/>
      <c r="L126" s="765"/>
      <c r="M126" s="765"/>
      <c r="N126" s="765"/>
      <c r="O126" s="765"/>
      <c r="P126" s="765"/>
      <c r="AA126" s="2"/>
      <c r="AB126" s="2"/>
      <c r="AC126" s="2"/>
    </row>
    <row r="127" spans="1:29" x14ac:dyDescent="0.25">
      <c r="A127" s="765"/>
      <c r="B127" s="765"/>
      <c r="C127" s="765"/>
      <c r="D127" s="765"/>
      <c r="E127" s="765"/>
      <c r="F127" s="765"/>
      <c r="G127" s="765"/>
      <c r="H127" s="765"/>
      <c r="I127" s="765"/>
      <c r="J127" s="765"/>
      <c r="K127" s="765"/>
      <c r="L127" s="765"/>
      <c r="M127" s="765"/>
      <c r="N127" s="765"/>
      <c r="O127" s="765"/>
      <c r="P127" s="765"/>
      <c r="AA127" s="2"/>
      <c r="AB127" s="2"/>
      <c r="AC127" s="2"/>
    </row>
    <row r="128" spans="1:29" x14ac:dyDescent="0.25">
      <c r="A128" s="765"/>
      <c r="B128" s="765"/>
      <c r="C128" s="765"/>
      <c r="D128" s="765"/>
      <c r="E128" s="765"/>
      <c r="F128" s="765"/>
      <c r="G128" s="765"/>
      <c r="H128" s="765"/>
      <c r="I128" s="765"/>
      <c r="J128" s="765"/>
      <c r="K128" s="765"/>
      <c r="L128" s="765"/>
      <c r="M128" s="765"/>
      <c r="N128" s="765"/>
      <c r="O128" s="765"/>
      <c r="P128" s="765"/>
      <c r="AA128" s="2"/>
      <c r="AB128" s="2"/>
      <c r="AC128" s="2"/>
    </row>
    <row r="129" spans="1:29" x14ac:dyDescent="0.25">
      <c r="A129" s="765"/>
      <c r="B129" s="765"/>
      <c r="C129" s="765"/>
      <c r="D129" s="765"/>
      <c r="E129" s="765"/>
      <c r="F129" s="765"/>
      <c r="G129" s="765"/>
      <c r="H129" s="765"/>
      <c r="I129" s="765"/>
      <c r="J129" s="765"/>
      <c r="K129" s="765"/>
      <c r="L129" s="765"/>
      <c r="M129" s="765"/>
      <c r="N129" s="765"/>
      <c r="O129" s="765"/>
      <c r="P129" s="765"/>
      <c r="AA129" s="765"/>
      <c r="AB129" s="765"/>
      <c r="AC129" s="765"/>
    </row>
    <row r="130" spans="1:29" x14ac:dyDescent="0.25">
      <c r="A130" s="765"/>
      <c r="B130" s="765"/>
      <c r="C130" s="765"/>
      <c r="D130" s="765"/>
      <c r="E130" s="765"/>
      <c r="F130" s="765"/>
      <c r="G130" s="765"/>
      <c r="H130" s="765"/>
      <c r="I130" s="765"/>
      <c r="J130" s="765"/>
      <c r="K130" s="765"/>
      <c r="L130" s="765"/>
      <c r="M130" s="765"/>
      <c r="N130" s="765"/>
      <c r="O130" s="765"/>
      <c r="P130" s="765"/>
      <c r="AA130" s="2"/>
      <c r="AB130" s="2"/>
      <c r="AC130" s="2"/>
    </row>
    <row r="131" spans="1:29" x14ac:dyDescent="0.25">
      <c r="A131" s="765"/>
      <c r="B131" s="765"/>
      <c r="C131" s="765"/>
      <c r="D131" s="765"/>
      <c r="E131" s="765"/>
      <c r="F131" s="765"/>
      <c r="G131" s="765"/>
      <c r="H131" s="765"/>
      <c r="I131" s="765"/>
      <c r="J131" s="765"/>
      <c r="K131" s="765"/>
      <c r="L131" s="765"/>
      <c r="M131" s="765"/>
      <c r="N131" s="765"/>
      <c r="O131" s="765"/>
      <c r="P131" s="765"/>
      <c r="AA131" s="2"/>
      <c r="AB131" s="2"/>
      <c r="AC131" s="2"/>
    </row>
    <row r="132" spans="1:29" x14ac:dyDescent="0.25">
      <c r="A132" s="765"/>
      <c r="B132" s="765"/>
      <c r="C132" s="765"/>
      <c r="D132" s="765"/>
      <c r="E132" s="765"/>
      <c r="F132" s="765"/>
      <c r="G132" s="765"/>
      <c r="H132" s="765"/>
      <c r="I132" s="765"/>
      <c r="J132" s="765"/>
      <c r="K132" s="765"/>
      <c r="L132" s="765"/>
      <c r="M132" s="765"/>
      <c r="N132" s="765"/>
      <c r="O132" s="765"/>
      <c r="P132" s="765"/>
      <c r="AA132" s="2"/>
      <c r="AB132" s="2"/>
      <c r="AC132" s="2"/>
    </row>
    <row r="133" spans="1:29" x14ac:dyDescent="0.25">
      <c r="A133" s="765"/>
      <c r="B133" s="765"/>
      <c r="C133" s="765"/>
      <c r="D133" s="765"/>
      <c r="E133" s="765"/>
      <c r="F133" s="765"/>
      <c r="G133" s="765"/>
      <c r="H133" s="765"/>
      <c r="I133" s="765"/>
      <c r="J133" s="765"/>
      <c r="K133" s="765"/>
      <c r="L133" s="765"/>
      <c r="M133" s="765"/>
      <c r="N133" s="765"/>
      <c r="O133" s="765"/>
      <c r="P133" s="765"/>
      <c r="AA133" s="2"/>
      <c r="AB133" s="2"/>
      <c r="AC133" s="2"/>
    </row>
    <row r="134" spans="1:29" x14ac:dyDescent="0.25">
      <c r="A134" s="765"/>
      <c r="B134" s="765"/>
      <c r="C134" s="765"/>
      <c r="D134" s="765"/>
      <c r="E134" s="765"/>
      <c r="F134" s="765"/>
      <c r="G134" s="765"/>
      <c r="H134" s="765"/>
      <c r="I134" s="765"/>
      <c r="J134" s="765"/>
      <c r="K134" s="765"/>
      <c r="L134" s="765"/>
      <c r="M134" s="765"/>
      <c r="N134" s="765"/>
      <c r="O134" s="765"/>
      <c r="P134" s="765"/>
      <c r="AA134" s="2"/>
      <c r="AB134" s="2"/>
      <c r="AC134" s="2"/>
    </row>
    <row r="135" spans="1:29" x14ac:dyDescent="0.25">
      <c r="D135" s="1058"/>
      <c r="K135" s="765"/>
      <c r="L135" s="765"/>
      <c r="M135" s="765"/>
      <c r="N135" s="765"/>
      <c r="O135" s="765"/>
      <c r="P135" s="765"/>
    </row>
    <row r="136" spans="1:29" x14ac:dyDescent="0.25">
      <c r="D136" s="1058"/>
      <c r="K136" s="765"/>
      <c r="L136" s="765"/>
      <c r="M136" s="765"/>
      <c r="N136" s="765"/>
      <c r="O136" s="765"/>
      <c r="P136" s="765"/>
    </row>
    <row r="137" spans="1:29" x14ac:dyDescent="0.25">
      <c r="D137" s="1058"/>
    </row>
    <row r="138" spans="1:29" x14ac:dyDescent="0.25">
      <c r="D138" s="1058"/>
    </row>
    <row r="139" spans="1:29" x14ac:dyDescent="0.25">
      <c r="D139" s="1058"/>
    </row>
    <row r="140" spans="1:29" x14ac:dyDescent="0.25">
      <c r="D140" s="1058"/>
    </row>
    <row r="141" spans="1:29" x14ac:dyDescent="0.25">
      <c r="D141" s="1058"/>
    </row>
    <row r="142" spans="1:29" x14ac:dyDescent="0.25">
      <c r="D142" s="1058"/>
    </row>
    <row r="143" spans="1:29" x14ac:dyDescent="0.25">
      <c r="D143" s="1058"/>
    </row>
    <row r="144" spans="1:29" x14ac:dyDescent="0.25">
      <c r="D144" s="1058"/>
    </row>
    <row r="145" spans="4:4" x14ac:dyDescent="0.25">
      <c r="D145" s="1058"/>
    </row>
    <row r="146" spans="4:4" x14ac:dyDescent="0.25">
      <c r="D146" s="1058"/>
    </row>
    <row r="147" spans="4:4" x14ac:dyDescent="0.25">
      <c r="D147" s="1058"/>
    </row>
    <row r="148" spans="4:4" x14ac:dyDescent="0.25">
      <c r="D148" s="1058"/>
    </row>
    <row r="149" spans="4:4" x14ac:dyDescent="0.25">
      <c r="D149" s="1058"/>
    </row>
    <row r="150" spans="4:4" x14ac:dyDescent="0.25">
      <c r="D150" s="1058"/>
    </row>
  </sheetData>
  <mergeCells count="10">
    <mergeCell ref="Q27:S27"/>
    <mergeCell ref="J14:J15"/>
    <mergeCell ref="J16:J17"/>
    <mergeCell ref="J18:J19"/>
    <mergeCell ref="D3:E3"/>
    <mergeCell ref="G4:H4"/>
    <mergeCell ref="D9:E9"/>
    <mergeCell ref="B27:M27"/>
    <mergeCell ref="N27:P27"/>
    <mergeCell ref="D22:E25"/>
  </mergeCells>
  <conditionalFormatting sqref="E13">
    <cfRule type="expression" dxfId="27" priority="4">
      <formula>$E$13=TRUE</formula>
    </cfRule>
  </conditionalFormatting>
  <conditionalFormatting sqref="E14:E15">
    <cfRule type="cellIs" dxfId="26" priority="1" operator="equal">
      <formula>TRUE</formula>
    </cfRule>
    <cfRule type="expression" dxfId="25" priority="2">
      <formula>$E$13=TRUE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3]!Get_Filtered_Repo_Data">
                <anchor moveWithCells="1" sizeWithCells="1">
                  <from>
                    <xdr:col>13</xdr:col>
                    <xdr:colOff>276225</xdr:colOff>
                    <xdr:row>2</xdr:row>
                    <xdr:rowOff>152400</xdr:rowOff>
                  </from>
                  <to>
                    <xdr:col>14</xdr:col>
                    <xdr:colOff>752475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3]!Get_Bond_Data">
                <anchor moveWithCells="1" sizeWithCells="1">
                  <from>
                    <xdr:col>7</xdr:col>
                    <xdr:colOff>542925</xdr:colOff>
                    <xdr:row>0</xdr:row>
                    <xdr:rowOff>104775</xdr:rowOff>
                  </from>
                  <to>
                    <xdr:col>8</xdr:col>
                    <xdr:colOff>809625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3]!Get_Used_Prices">
                <anchor moveWithCells="1" sizeWithCells="1">
                  <from>
                    <xdr:col>8</xdr:col>
                    <xdr:colOff>800100</xdr:colOff>
                    <xdr:row>0</xdr:row>
                    <xdr:rowOff>104775</xdr:rowOff>
                  </from>
                  <to>
                    <xdr:col>9</xdr:col>
                    <xdr:colOff>952500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Module1.Roll_Book">
                <anchor moveWithCells="1" sizeWithCells="1">
                  <from>
                    <xdr:col>11</xdr:col>
                    <xdr:colOff>828675</xdr:colOff>
                    <xdr:row>0</xdr:row>
                    <xdr:rowOff>104775</xdr:rowOff>
                  </from>
                  <to>
                    <xdr:col>12</xdr:col>
                    <xdr:colOff>942975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3]!Get_Vantage_Data_USG_and_Prime">
                <anchor moveWithCells="1" sizeWithCells="1">
                  <from>
                    <xdr:col>9</xdr:col>
                    <xdr:colOff>981075</xdr:colOff>
                    <xdr:row>0</xdr:row>
                    <xdr:rowOff>104775</xdr:rowOff>
                  </from>
                  <to>
                    <xdr:col>10</xdr:col>
                    <xdr:colOff>923925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3]!Save_Book" altText="Save Book_x000a_">
                <anchor moveWithCells="1" sizeWithCells="1">
                  <from>
                    <xdr:col>14</xdr:col>
                    <xdr:colOff>66675</xdr:colOff>
                    <xdr:row>0</xdr:row>
                    <xdr:rowOff>104775</xdr:rowOff>
                  </from>
                  <to>
                    <xdr:col>15</xdr:col>
                    <xdr:colOff>561975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3]!Build_IMR_Balance_Sheet">
                <anchor moveWithCells="1" sizeWithCells="1">
                  <from>
                    <xdr:col>13</xdr:col>
                    <xdr:colOff>276225</xdr:colOff>
                    <xdr:row>6</xdr:row>
                    <xdr:rowOff>66675</xdr:rowOff>
                  </from>
                  <to>
                    <xdr:col>14</xdr:col>
                    <xdr:colOff>752475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1" name="Button 24">
              <controlPr defaultSize="0" print="0" autoFill="0" autoPict="0" macro="[3]!Run_Securities_Reconciliation">
                <anchor moveWithCells="1" sizeWithCells="1">
                  <from>
                    <xdr:col>12</xdr:col>
                    <xdr:colOff>942975</xdr:colOff>
                    <xdr:row>0</xdr:row>
                    <xdr:rowOff>104775</xdr:rowOff>
                  </from>
                  <to>
                    <xdr:col>14</xdr:col>
                    <xdr:colOff>66675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2" name="Button 25">
              <controlPr defaultSize="0" print="0" autoFill="0" autoPict="0" macro="[3]!Get_Counterparty_Info">
                <anchor moveWithCells="1" sizeWithCells="1">
                  <from>
                    <xdr:col>10</xdr:col>
                    <xdr:colOff>923925</xdr:colOff>
                    <xdr:row>0</xdr:row>
                    <xdr:rowOff>104775</xdr:rowOff>
                  </from>
                  <to>
                    <xdr:col>11</xdr:col>
                    <xdr:colOff>828675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3" name="Button 29">
              <controlPr defaultSize="0" print="0" autoFill="0" autoPict="0" macro="[3]!Get_MMF_Dvds">
                <anchor moveWithCells="1" sizeWithCells="1">
                  <from>
                    <xdr:col>15</xdr:col>
                    <xdr:colOff>561975</xdr:colOff>
                    <xdr:row>0</xdr:row>
                    <xdr:rowOff>114300</xdr:rowOff>
                  </from>
                  <to>
                    <xdr:col>17</xdr:col>
                    <xdr:colOff>428625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F231"/>
  <sheetViews>
    <sheetView topLeftCell="A80" zoomScale="85" zoomScaleNormal="85" workbookViewId="0">
      <selection activeCell="J106" sqref="J106"/>
    </sheetView>
  </sheetViews>
  <sheetFormatPr defaultColWidth="9.140625" defaultRowHeight="15" x14ac:dyDescent="0.25"/>
  <cols>
    <col min="1" max="1" width="42.140625" style="2" customWidth="1"/>
    <col min="2" max="2" width="43.5703125" style="2" bestFit="1" customWidth="1"/>
    <col min="3" max="3" width="16.85546875" style="2" customWidth="1"/>
    <col min="4" max="4" width="17.140625" style="2" customWidth="1"/>
    <col min="5" max="5" width="17.5703125" style="2" customWidth="1"/>
    <col min="6" max="6" width="14.5703125" style="2" customWidth="1"/>
    <col min="7" max="7" width="13.42578125" style="2" bestFit="1" customWidth="1"/>
    <col min="8" max="8" width="15.42578125" style="2" customWidth="1"/>
    <col min="9" max="9" width="13.140625" style="2" customWidth="1"/>
    <col min="10" max="10" width="16" style="2" customWidth="1"/>
    <col min="11" max="11" width="14.140625" style="2" customWidth="1"/>
    <col min="12" max="12" width="14.42578125" style="2" customWidth="1"/>
    <col min="13" max="13" width="16.5703125" style="2" bestFit="1" customWidth="1"/>
    <col min="14" max="14" width="13.85546875" style="2" customWidth="1"/>
    <col min="15" max="15" width="16" style="2" bestFit="1" customWidth="1"/>
    <col min="16" max="16" width="14.140625" style="2" customWidth="1"/>
    <col min="17" max="17" width="12.85546875" style="2" customWidth="1"/>
    <col min="18" max="18" width="12.140625" style="2" customWidth="1"/>
    <col min="19" max="19" width="15.85546875" style="2" customWidth="1"/>
    <col min="20" max="20" width="17.5703125" style="2" customWidth="1"/>
    <col min="21" max="21" width="12.42578125" style="2" customWidth="1"/>
    <col min="22" max="22" width="13.85546875" style="2" customWidth="1"/>
    <col min="23" max="23" width="14" style="2" customWidth="1"/>
    <col min="24" max="24" width="12.140625" style="2" customWidth="1"/>
    <col min="25" max="26" width="12" style="2" customWidth="1"/>
    <col min="27" max="27" width="12.5703125" style="2" customWidth="1"/>
    <col min="28" max="28" width="15" style="2" bestFit="1" customWidth="1"/>
    <col min="29" max="29" width="14.140625" style="2" customWidth="1"/>
    <col min="30" max="30" width="13.140625" style="2" bestFit="1" customWidth="1"/>
    <col min="31" max="31" width="15" style="2" bestFit="1" customWidth="1"/>
    <col min="32" max="33" width="13.140625" style="2" bestFit="1" customWidth="1"/>
    <col min="34" max="34" width="11.5703125" style="2" customWidth="1"/>
    <col min="35" max="35" width="12.42578125" style="2" customWidth="1"/>
    <col min="36" max="36" width="13" style="2" customWidth="1"/>
    <col min="37" max="37" width="15.5703125" style="2" customWidth="1"/>
    <col min="38" max="38" width="11.5703125" style="2" bestFit="1" customWidth="1"/>
    <col min="39" max="39" width="10.5703125" style="2" bestFit="1" customWidth="1"/>
    <col min="40" max="40" width="11.5703125" style="2" customWidth="1"/>
    <col min="41" max="41" width="14.140625" style="2" bestFit="1" customWidth="1"/>
    <col min="42" max="42" width="10.5703125" style="2" bestFit="1" customWidth="1"/>
    <col min="43" max="43" width="11.5703125" style="2" bestFit="1" customWidth="1"/>
    <col min="44" max="44" width="11.140625" style="2" customWidth="1"/>
    <col min="45" max="45" width="11.85546875" style="765" customWidth="1"/>
    <col min="46" max="46" width="12" style="2" customWidth="1"/>
    <col min="47" max="47" width="12.5703125" style="2" customWidth="1"/>
    <col min="48" max="48" width="12.140625" style="2" customWidth="1"/>
    <col min="49" max="49" width="9.140625" style="2"/>
    <col min="50" max="50" width="15.140625" style="2" bestFit="1" customWidth="1"/>
    <col min="51" max="16384" width="9.140625" style="2"/>
  </cols>
  <sheetData>
    <row r="1" spans="1:34" ht="51" customHeight="1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698" t="s">
        <v>624</v>
      </c>
      <c r="L1" s="697" t="s">
        <v>835</v>
      </c>
      <c r="M1" s="1"/>
      <c r="N1" s="1"/>
      <c r="O1" s="1"/>
      <c r="P1" s="1"/>
      <c r="Q1" s="1"/>
    </row>
    <row r="2" spans="1:34" ht="24.75" thickTop="1" thickBot="1" x14ac:dyDescent="0.4">
      <c r="A2" s="3" t="s">
        <v>825</v>
      </c>
      <c r="B2" s="1"/>
      <c r="C2" s="1"/>
      <c r="D2" s="1"/>
      <c r="E2" s="1"/>
      <c r="F2" s="1"/>
      <c r="G2" s="1"/>
      <c r="H2" s="1"/>
      <c r="I2" s="1"/>
      <c r="J2" s="1"/>
      <c r="K2" s="698" t="s">
        <v>608</v>
      </c>
      <c r="L2" s="697" t="s">
        <v>835</v>
      </c>
      <c r="M2" s="1"/>
      <c r="N2" s="1"/>
      <c r="O2" s="1"/>
      <c r="P2" s="1"/>
      <c r="Q2" s="1"/>
      <c r="AG2" s="4"/>
    </row>
    <row r="3" spans="1:34" ht="24" thickTop="1" x14ac:dyDescent="0.35">
      <c r="A3" s="11" t="s">
        <v>26</v>
      </c>
      <c r="B3" s="12">
        <f>ValDate</f>
        <v>44651</v>
      </c>
      <c r="C3" s="4"/>
      <c r="D3" s="4"/>
      <c r="F3" s="320" t="s">
        <v>194</v>
      </c>
      <c r="G3" s="631" t="s">
        <v>808</v>
      </c>
      <c r="H3" s="111" t="s">
        <v>195</v>
      </c>
    </row>
    <row r="4" spans="1:34" x14ac:dyDescent="0.25">
      <c r="A4" s="2" t="s">
        <v>38</v>
      </c>
      <c r="B4" s="2">
        <f>YEAR(today)*10000+MONTH(today)*100+DAY(today)</f>
        <v>20220331</v>
      </c>
      <c r="C4" s="4"/>
      <c r="D4" s="4"/>
      <c r="F4" s="111" t="s">
        <v>639</v>
      </c>
      <c r="H4" s="111"/>
      <c r="M4" s="2" t="s">
        <v>611</v>
      </c>
      <c r="N4" s="2" t="s">
        <v>612</v>
      </c>
      <c r="S4" s="102"/>
    </row>
    <row r="5" spans="1:34" ht="15.75" thickBot="1" x14ac:dyDescent="0.3">
      <c r="C5" s="4"/>
      <c r="D5" s="4"/>
      <c r="F5" s="320" t="s">
        <v>507</v>
      </c>
      <c r="G5" s="632">
        <f>SUM(AK50:AK329)-SUM(H39:H39,N39:N39)</f>
        <v>225658810.77722543</v>
      </c>
      <c r="H5" s="111"/>
      <c r="S5" s="102"/>
    </row>
    <row r="6" spans="1:34" x14ac:dyDescent="0.25">
      <c r="A6" s="18" t="s">
        <v>93</v>
      </c>
      <c r="B6" s="19">
        <f>COUNTA(B38:B47)-1</f>
        <v>8</v>
      </c>
      <c r="C6" s="4"/>
      <c r="D6" s="4"/>
      <c r="F6" s="320" t="s">
        <v>196</v>
      </c>
      <c r="G6" s="633">
        <f>C27/SUM(H39:H39)*360/(F39-ValDate)</f>
        <v>0</v>
      </c>
      <c r="S6" s="102"/>
    </row>
    <row r="7" spans="1:34" x14ac:dyDescent="0.25">
      <c r="A7" s="20" t="s">
        <v>304</v>
      </c>
      <c r="B7" s="72">
        <v>0</v>
      </c>
      <c r="F7" s="187"/>
      <c r="I7" s="102"/>
    </row>
    <row r="8" spans="1:34" ht="15.75" thickBot="1" x14ac:dyDescent="0.3">
      <c r="A8" s="21" t="s">
        <v>6</v>
      </c>
      <c r="B8" s="73">
        <v>1000000</v>
      </c>
      <c r="F8" s="187"/>
    </row>
    <row r="9" spans="1:34" x14ac:dyDescent="0.25">
      <c r="A9" s="320" t="s">
        <v>609</v>
      </c>
      <c r="B9" s="320">
        <f>COUNT(H38:H47)</f>
        <v>7</v>
      </c>
      <c r="C9" s="111" t="str">
        <f>IF(B9=VLOOKUP(SeriesName,'Filtered Repo Trade Data'!$B$5:$C$6,2,FALSE),"CHECK","ERROR")</f>
        <v>CHECK</v>
      </c>
      <c r="F9" s="187"/>
    </row>
    <row r="10" spans="1:34" x14ac:dyDescent="0.25">
      <c r="A10" s="320" t="s">
        <v>610</v>
      </c>
      <c r="B10" s="111">
        <v>12</v>
      </c>
    </row>
    <row r="11" spans="1:34" x14ac:dyDescent="0.25">
      <c r="E11" s="4"/>
      <c r="F11" s="297"/>
      <c r="G11" s="143"/>
      <c r="H11" s="143"/>
      <c r="I11" s="143"/>
      <c r="J11" s="143"/>
      <c r="K11" s="143"/>
      <c r="L11" s="143"/>
      <c r="M11" s="8"/>
      <c r="N11" s="8"/>
      <c r="O11" s="143"/>
      <c r="P11" s="143"/>
      <c r="Q11" s="143"/>
      <c r="R11" s="297"/>
      <c r="S11" s="4"/>
      <c r="V11" s="4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219"/>
      <c r="AH11" s="4"/>
    </row>
    <row r="12" spans="1:34" ht="18.75" x14ac:dyDescent="0.25">
      <c r="A12" s="1227" t="s">
        <v>646</v>
      </c>
      <c r="B12" s="1222"/>
      <c r="C12" s="1222"/>
      <c r="D12" s="1222"/>
      <c r="E12" s="1222"/>
      <c r="F12" s="1222"/>
      <c r="G12" s="1222"/>
      <c r="H12" s="1222"/>
      <c r="I12" s="1222"/>
      <c r="J12" s="1222"/>
      <c r="K12" s="1222"/>
      <c r="L12" s="1222"/>
      <c r="M12" s="1222"/>
      <c r="N12" s="1223"/>
      <c r="P12" s="51"/>
      <c r="Q12" s="1227" t="s">
        <v>401</v>
      </c>
      <c r="R12" s="1228"/>
      <c r="S12" s="1228"/>
      <c r="T12" s="1228"/>
      <c r="U12" s="1228"/>
      <c r="V12" s="1228"/>
      <c r="W12" s="1228"/>
      <c r="X12" s="1228"/>
      <c r="Y12" s="1229"/>
      <c r="AA12" s="51"/>
      <c r="AC12" s="765"/>
      <c r="AD12" s="765"/>
      <c r="AE12" s="260"/>
      <c r="AG12" s="219"/>
    </row>
    <row r="13" spans="1:34" ht="15.75" x14ac:dyDescent="0.25">
      <c r="A13" s="168" t="s">
        <v>303</v>
      </c>
      <c r="B13" s="74">
        <v>0.8</v>
      </c>
      <c r="C13" s="74">
        <v>0.9</v>
      </c>
      <c r="D13" s="74">
        <v>0.95</v>
      </c>
      <c r="E13" s="74">
        <v>0.98</v>
      </c>
      <c r="F13" s="74">
        <v>0.99</v>
      </c>
      <c r="G13" s="74">
        <v>0.995</v>
      </c>
      <c r="H13" s="74">
        <v>0.999</v>
      </c>
      <c r="I13" s="74">
        <v>0.99990000000000001</v>
      </c>
      <c r="J13" s="75">
        <v>0.99995000000000001</v>
      </c>
      <c r="K13" s="75">
        <v>0.99999000000000005</v>
      </c>
      <c r="P13" s="51"/>
      <c r="Q13" s="1230" t="s">
        <v>399</v>
      </c>
      <c r="R13" s="1225"/>
      <c r="S13" s="1226"/>
      <c r="T13" s="1231" t="s">
        <v>400</v>
      </c>
      <c r="U13" s="1225"/>
      <c r="V13" s="1226"/>
      <c r="W13" s="1232" t="s">
        <v>398</v>
      </c>
      <c r="X13" s="1225"/>
      <c r="Y13" s="1226"/>
      <c r="AA13" s="51"/>
      <c r="AC13" s="765"/>
      <c r="AD13" s="765"/>
      <c r="AE13" s="260"/>
      <c r="AG13" s="219"/>
    </row>
    <row r="14" spans="1:34" x14ac:dyDescent="0.25">
      <c r="A14" s="2" t="s">
        <v>357</v>
      </c>
      <c r="B14" s="76" t="s">
        <v>193</v>
      </c>
      <c r="C14" s="76" t="s">
        <v>324</v>
      </c>
      <c r="D14" s="17" t="str">
        <f t="shared" ref="D14:K14" si="0">(B13*100)&amp;"% VaR"</f>
        <v>80% VaR</v>
      </c>
      <c r="E14" s="17" t="str">
        <f t="shared" si="0"/>
        <v>90% VaR</v>
      </c>
      <c r="F14" s="17" t="str">
        <f t="shared" si="0"/>
        <v>95% VaR</v>
      </c>
      <c r="G14" s="17" t="str">
        <f t="shared" si="0"/>
        <v>98% VaR</v>
      </c>
      <c r="H14" s="17" t="str">
        <f t="shared" si="0"/>
        <v>99% VaR</v>
      </c>
      <c r="I14" s="17" t="str">
        <f t="shared" si="0"/>
        <v>99.5% VaR</v>
      </c>
      <c r="J14" s="17" t="str">
        <f t="shared" si="0"/>
        <v>99.9% VaR</v>
      </c>
      <c r="K14" s="17" t="str">
        <f t="shared" si="0"/>
        <v>99.99% VaR</v>
      </c>
      <c r="L14" s="17" t="str">
        <f>(J13*100)&amp;"%"</f>
        <v>99.995%</v>
      </c>
      <c r="M14" s="17" t="str">
        <f>(K13*100)&amp;"%"</f>
        <v>99.999%</v>
      </c>
      <c r="N14" s="17" t="s">
        <v>327</v>
      </c>
      <c r="P14" s="51"/>
      <c r="Q14" s="17" t="s">
        <v>364</v>
      </c>
      <c r="R14" s="17" t="s">
        <v>365</v>
      </c>
      <c r="S14" s="17" t="s">
        <v>366</v>
      </c>
      <c r="T14" s="17" t="s">
        <v>364</v>
      </c>
      <c r="U14" s="17" t="s">
        <v>365</v>
      </c>
      <c r="V14" s="17" t="s">
        <v>366</v>
      </c>
      <c r="W14" s="17" t="s">
        <v>364</v>
      </c>
      <c r="X14" s="17" t="s">
        <v>365</v>
      </c>
      <c r="Y14" s="17" t="s">
        <v>366</v>
      </c>
      <c r="AA14" s="51"/>
      <c r="AE14" s="219"/>
    </row>
    <row r="15" spans="1:34" ht="16.5" thickBot="1" x14ac:dyDescent="0.3">
      <c r="A15" s="302" t="s">
        <v>124</v>
      </c>
      <c r="B15" s="298"/>
      <c r="C15" s="299"/>
      <c r="D15" s="300"/>
      <c r="E15" s="299"/>
      <c r="F15" s="299"/>
      <c r="G15" s="299"/>
      <c r="H15" s="299"/>
      <c r="I15" s="299"/>
      <c r="J15" s="299"/>
      <c r="K15" s="299"/>
      <c r="L15" s="299"/>
      <c r="M15" s="301"/>
      <c r="N15" s="296"/>
      <c r="P15" s="51"/>
      <c r="Q15" s="342">
        <f t="shared" ref="Q15:S16" si="1">K15</f>
        <v>0</v>
      </c>
      <c r="R15" s="299">
        <f t="shared" si="1"/>
        <v>0</v>
      </c>
      <c r="S15" s="301">
        <f t="shared" si="1"/>
        <v>0</v>
      </c>
      <c r="T15" s="343">
        <v>0</v>
      </c>
      <c r="U15" s="344">
        <v>0</v>
      </c>
      <c r="V15" s="345">
        <v>0</v>
      </c>
      <c r="W15" s="346">
        <v>0</v>
      </c>
      <c r="X15" s="347">
        <v>0</v>
      </c>
      <c r="Y15" s="348">
        <v>0</v>
      </c>
      <c r="AA15" s="51"/>
      <c r="AE15" s="219"/>
    </row>
    <row r="16" spans="1:34" ht="15.75" thickTop="1" x14ac:dyDescent="0.25">
      <c r="A16" s="884" t="str">
        <f>B39</f>
        <v>AMHERST PIERPONT SECURITIES LLC USD</v>
      </c>
      <c r="B16" s="885"/>
      <c r="C16" s="886"/>
      <c r="D16" s="887"/>
      <c r="E16" s="886"/>
      <c r="F16" s="886"/>
      <c r="G16" s="886"/>
      <c r="H16" s="886"/>
      <c r="I16" s="886"/>
      <c r="J16" s="886"/>
      <c r="K16" s="886"/>
      <c r="L16" s="886"/>
      <c r="M16" s="888"/>
      <c r="N16" s="889">
        <f t="shared" ref="N16:N22" si="2">IF(H39,C16/H39*365/(F39-ValDate),"")</f>
        <v>0</v>
      </c>
      <c r="O16" s="51"/>
      <c r="P16" s="51"/>
      <c r="Q16" s="890">
        <f t="shared" si="1"/>
        <v>0</v>
      </c>
      <c r="R16" s="886">
        <f t="shared" si="1"/>
        <v>0</v>
      </c>
      <c r="S16" s="888">
        <f t="shared" si="1"/>
        <v>0</v>
      </c>
      <c r="T16" s="890">
        <v>0</v>
      </c>
      <c r="U16" s="886">
        <v>0</v>
      </c>
      <c r="V16" s="888">
        <v>0</v>
      </c>
      <c r="W16" s="890">
        <v>0</v>
      </c>
      <c r="X16" s="886">
        <v>0</v>
      </c>
      <c r="Y16" s="888">
        <v>0</v>
      </c>
      <c r="AA16" s="51"/>
      <c r="AE16" s="102"/>
    </row>
    <row r="17" spans="1:31" s="765" customFormat="1" x14ac:dyDescent="0.25">
      <c r="A17" s="4" t="str">
        <f t="shared" ref="A17:A22" si="3">B40</f>
        <v>DAIWA CAPITAL MARKETS EUROPE LIMITED USD</v>
      </c>
      <c r="B17" s="297"/>
      <c r="C17" s="143"/>
      <c r="D17" s="69"/>
      <c r="E17" s="143"/>
      <c r="F17" s="143"/>
      <c r="G17" s="143"/>
      <c r="H17" s="143"/>
      <c r="I17" s="143"/>
      <c r="J17" s="143"/>
      <c r="K17" s="143"/>
      <c r="L17" s="143"/>
      <c r="M17" s="143"/>
      <c r="N17" s="297" t="str">
        <f t="shared" si="2"/>
        <v/>
      </c>
      <c r="O17" s="4"/>
      <c r="P17" s="4"/>
      <c r="Q17" s="143">
        <f t="shared" ref="Q17:Q22" si="4">K17</f>
        <v>0</v>
      </c>
      <c r="R17" s="143">
        <f t="shared" ref="R17:R22" si="5">L17</f>
        <v>0</v>
      </c>
      <c r="S17" s="143">
        <f t="shared" ref="S17:S22" si="6">M17</f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AA17" s="4"/>
      <c r="AE17" s="102"/>
    </row>
    <row r="18" spans="1:31" s="765" customFormat="1" x14ac:dyDescent="0.25">
      <c r="A18" s="4" t="str">
        <f t="shared" si="3"/>
        <v>DAIWA CAPITAL MARKETS EUROPE LIMITED EUR</v>
      </c>
      <c r="B18" s="297"/>
      <c r="C18" s="143"/>
      <c r="D18" s="69"/>
      <c r="E18" s="143"/>
      <c r="F18" s="143"/>
      <c r="G18" s="143"/>
      <c r="H18" s="143"/>
      <c r="I18" s="143"/>
      <c r="J18" s="143"/>
      <c r="K18" s="143"/>
      <c r="L18" s="143"/>
      <c r="M18" s="143"/>
      <c r="N18" s="297">
        <f t="shared" si="2"/>
        <v>0</v>
      </c>
      <c r="O18" s="4"/>
      <c r="P18" s="4"/>
      <c r="Q18" s="143">
        <f t="shared" si="4"/>
        <v>0</v>
      </c>
      <c r="R18" s="143">
        <f t="shared" si="5"/>
        <v>0</v>
      </c>
      <c r="S18" s="143">
        <f t="shared" si="6"/>
        <v>0</v>
      </c>
      <c r="T18" s="143">
        <v>0</v>
      </c>
      <c r="U18" s="143">
        <v>0</v>
      </c>
      <c r="V18" s="143">
        <v>0</v>
      </c>
      <c r="W18" s="143">
        <v>0</v>
      </c>
      <c r="X18" s="143">
        <v>0</v>
      </c>
      <c r="Y18" s="143">
        <v>0</v>
      </c>
      <c r="AA18" s="4"/>
      <c r="AE18" s="102"/>
    </row>
    <row r="19" spans="1:31" s="765" customFormat="1" x14ac:dyDescent="0.25">
      <c r="A19" s="4" t="str">
        <f t="shared" si="3"/>
        <v>MACQUARIE BANK LIMITED USD</v>
      </c>
      <c r="B19" s="297"/>
      <c r="C19" s="143"/>
      <c r="D19" s="69"/>
      <c r="E19" s="143"/>
      <c r="F19" s="143"/>
      <c r="G19" s="143"/>
      <c r="H19" s="143"/>
      <c r="I19" s="143"/>
      <c r="J19" s="143"/>
      <c r="K19" s="143"/>
      <c r="L19" s="143"/>
      <c r="M19" s="143"/>
      <c r="N19" s="297" t="str">
        <f t="shared" si="2"/>
        <v/>
      </c>
      <c r="O19" s="4"/>
      <c r="P19" s="4"/>
      <c r="Q19" s="143">
        <f t="shared" si="4"/>
        <v>0</v>
      </c>
      <c r="R19" s="143">
        <f t="shared" si="5"/>
        <v>0</v>
      </c>
      <c r="S19" s="143">
        <f t="shared" si="6"/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AA19" s="4"/>
      <c r="AE19" s="102"/>
    </row>
    <row r="20" spans="1:31" s="765" customFormat="1" x14ac:dyDescent="0.25">
      <c r="A20" s="4" t="str">
        <f t="shared" si="3"/>
        <v>MACQUARIE BANK LIMITED EUR</v>
      </c>
      <c r="B20" s="297"/>
      <c r="C20" s="143"/>
      <c r="D20" s="69"/>
      <c r="E20" s="143"/>
      <c r="F20" s="143"/>
      <c r="G20" s="143"/>
      <c r="H20" s="143"/>
      <c r="I20" s="143"/>
      <c r="J20" s="143"/>
      <c r="K20" s="143"/>
      <c r="L20" s="143"/>
      <c r="M20" s="143"/>
      <c r="N20" s="297">
        <f t="shared" si="2"/>
        <v>0</v>
      </c>
      <c r="O20" s="4"/>
      <c r="P20" s="4"/>
      <c r="Q20" s="143">
        <f t="shared" si="4"/>
        <v>0</v>
      </c>
      <c r="R20" s="143">
        <f t="shared" si="5"/>
        <v>0</v>
      </c>
      <c r="S20" s="143">
        <f t="shared" si="6"/>
        <v>0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AA20" s="4"/>
      <c r="AE20" s="102"/>
    </row>
    <row r="21" spans="1:31" s="765" customFormat="1" x14ac:dyDescent="0.25">
      <c r="A21" s="4" t="str">
        <f t="shared" si="3"/>
        <v>NATWEST MARKETS PLC USD</v>
      </c>
      <c r="B21" s="297"/>
      <c r="C21" s="143"/>
      <c r="D21" s="69"/>
      <c r="E21" s="143"/>
      <c r="F21" s="143"/>
      <c r="G21" s="143"/>
      <c r="H21" s="143"/>
      <c r="I21" s="143"/>
      <c r="J21" s="143"/>
      <c r="K21" s="143"/>
      <c r="L21" s="143"/>
      <c r="M21" s="143"/>
      <c r="N21" s="297">
        <f t="shared" si="2"/>
        <v>0</v>
      </c>
      <c r="O21" s="4"/>
      <c r="P21" s="4"/>
      <c r="Q21" s="143">
        <f t="shared" si="4"/>
        <v>0</v>
      </c>
      <c r="R21" s="143">
        <f t="shared" si="5"/>
        <v>0</v>
      </c>
      <c r="S21" s="143">
        <f t="shared" si="6"/>
        <v>0</v>
      </c>
      <c r="T21" s="143">
        <v>0</v>
      </c>
      <c r="U21" s="143">
        <v>0</v>
      </c>
      <c r="V21" s="143">
        <v>0</v>
      </c>
      <c r="W21" s="143">
        <v>0</v>
      </c>
      <c r="X21" s="143">
        <v>0</v>
      </c>
      <c r="Y21" s="143">
        <v>0</v>
      </c>
      <c r="AA21" s="4"/>
    </row>
    <row r="22" spans="1:31" s="765" customFormat="1" x14ac:dyDescent="0.25">
      <c r="A22" s="4" t="str">
        <f t="shared" si="3"/>
        <v>NATWEST MARKETS PLC EUR</v>
      </c>
      <c r="B22" s="297"/>
      <c r="C22" s="143"/>
      <c r="D22" s="69"/>
      <c r="E22" s="143"/>
      <c r="F22" s="143"/>
      <c r="G22" s="143"/>
      <c r="H22" s="143"/>
      <c r="I22" s="143"/>
      <c r="J22" s="143"/>
      <c r="K22" s="143"/>
      <c r="L22" s="143"/>
      <c r="M22" s="143"/>
      <c r="N22" s="297">
        <f t="shared" si="2"/>
        <v>0</v>
      </c>
      <c r="O22" s="4"/>
      <c r="P22" s="4"/>
      <c r="Q22" s="143">
        <f t="shared" si="4"/>
        <v>0</v>
      </c>
      <c r="R22" s="143">
        <f t="shared" si="5"/>
        <v>0</v>
      </c>
      <c r="S22" s="143">
        <f t="shared" si="6"/>
        <v>0</v>
      </c>
      <c r="T22" s="143">
        <v>0</v>
      </c>
      <c r="U22" s="143">
        <v>0</v>
      </c>
      <c r="V22" s="143">
        <v>0</v>
      </c>
      <c r="W22" s="143">
        <v>0</v>
      </c>
      <c r="X22" s="143">
        <v>0</v>
      </c>
      <c r="Y22" s="143">
        <v>0</v>
      </c>
      <c r="AA22" s="4"/>
      <c r="AD22" s="119"/>
    </row>
    <row r="23" spans="1:31" s="765" customFormat="1" x14ac:dyDescent="0.25">
      <c r="A23" s="634"/>
      <c r="B23" s="634"/>
      <c r="C23" s="634"/>
      <c r="D23" s="634"/>
      <c r="E23" s="634"/>
      <c r="F23" s="635"/>
      <c r="G23" s="636"/>
      <c r="H23" s="636"/>
      <c r="I23" s="636"/>
      <c r="J23" s="636"/>
      <c r="K23" s="636"/>
      <c r="L23" s="636"/>
      <c r="M23" s="637"/>
      <c r="N23" s="637"/>
      <c r="O23" s="636"/>
      <c r="P23" s="636"/>
      <c r="Q23" s="636"/>
      <c r="R23" s="635"/>
      <c r="S23" s="634"/>
      <c r="T23" s="634"/>
      <c r="U23" s="634"/>
      <c r="V23" s="634"/>
      <c r="W23" s="636"/>
      <c r="X23" s="636"/>
      <c r="Y23" s="636"/>
      <c r="Z23" s="636"/>
      <c r="AA23" s="636"/>
      <c r="AD23" s="119"/>
    </row>
    <row r="24" spans="1:31" ht="18.75" x14ac:dyDescent="0.3">
      <c r="A24" s="56"/>
      <c r="B24" s="57"/>
      <c r="C24" s="4"/>
      <c r="D24" s="4"/>
      <c r="E24" s="4"/>
      <c r="F24" s="4"/>
      <c r="G24" s="4"/>
      <c r="H24" s="112"/>
      <c r="I24" s="765"/>
      <c r="J24" s="765"/>
      <c r="K24" s="765"/>
      <c r="L24" s="765"/>
      <c r="M24" s="103"/>
      <c r="N24" s="765"/>
      <c r="O24" s="765"/>
      <c r="P24" s="765"/>
      <c r="Q24" s="765"/>
      <c r="R24" s="765"/>
      <c r="S24" s="765"/>
      <c r="T24" s="765"/>
      <c r="U24" s="765"/>
      <c r="V24" s="765"/>
      <c r="W24" s="765"/>
      <c r="X24" s="765"/>
      <c r="Y24" s="765"/>
      <c r="Z24" s="765"/>
      <c r="AA24" s="765"/>
    </row>
    <row r="25" spans="1:31" ht="15.75" x14ac:dyDescent="0.25">
      <c r="A25" s="168" t="s">
        <v>235</v>
      </c>
      <c r="B25" s="74"/>
      <c r="C25" s="74"/>
      <c r="D25" s="74"/>
      <c r="E25" s="74"/>
      <c r="F25" s="74"/>
      <c r="G25" s="74"/>
      <c r="H25" s="74"/>
      <c r="I25" s="74"/>
      <c r="J25" s="75"/>
      <c r="K25" s="75"/>
      <c r="P25" s="51"/>
      <c r="Q25" s="75"/>
      <c r="S25" s="2" t="s">
        <v>940</v>
      </c>
      <c r="T25" s="75"/>
      <c r="W25" s="75"/>
      <c r="AA25" s="51"/>
      <c r="AC25" s="117"/>
      <c r="AE25" s="102"/>
    </row>
    <row r="26" spans="1:31" x14ac:dyDescent="0.25">
      <c r="A26" s="2" t="s">
        <v>357</v>
      </c>
      <c r="B26" s="76" t="s">
        <v>193</v>
      </c>
      <c r="C26" s="76" t="s">
        <v>324</v>
      </c>
      <c r="D26" s="17" t="str">
        <f t="shared" ref="D26:M26" si="7">D14</f>
        <v>80% VaR</v>
      </c>
      <c r="E26" s="17" t="str">
        <f t="shared" si="7"/>
        <v>90% VaR</v>
      </c>
      <c r="F26" s="17" t="str">
        <f t="shared" si="7"/>
        <v>95% VaR</v>
      </c>
      <c r="G26" s="17" t="str">
        <f t="shared" si="7"/>
        <v>98% VaR</v>
      </c>
      <c r="H26" s="17" t="str">
        <f t="shared" si="7"/>
        <v>99% VaR</v>
      </c>
      <c r="I26" s="17" t="str">
        <f t="shared" si="7"/>
        <v>99.5% VaR</v>
      </c>
      <c r="J26" s="17" t="str">
        <f t="shared" si="7"/>
        <v>99.9% VaR</v>
      </c>
      <c r="K26" s="17" t="str">
        <f t="shared" si="7"/>
        <v>99.99% VaR</v>
      </c>
      <c r="L26" s="17" t="str">
        <f t="shared" si="7"/>
        <v>99.995%</v>
      </c>
      <c r="M26" s="17" t="str">
        <f t="shared" si="7"/>
        <v>99.999%</v>
      </c>
      <c r="N26" s="17" t="s">
        <v>327</v>
      </c>
      <c r="P26" s="51"/>
      <c r="Q26" s="17" t="str">
        <f>Q14</f>
        <v>99.99% VaR</v>
      </c>
      <c r="R26" s="17" t="str">
        <f>R14</f>
        <v>99.995%</v>
      </c>
      <c r="S26" s="17" t="str">
        <f>S14</f>
        <v>99.999%</v>
      </c>
      <c r="T26" s="17" t="s">
        <v>364</v>
      </c>
      <c r="U26" s="17" t="s">
        <v>365</v>
      </c>
      <c r="V26" s="17" t="s">
        <v>366</v>
      </c>
      <c r="W26" s="17" t="s">
        <v>364</v>
      </c>
      <c r="X26" s="17" t="s">
        <v>365</v>
      </c>
      <c r="Y26" s="17" t="s">
        <v>366</v>
      </c>
      <c r="AA26" s="51"/>
      <c r="AC26" s="276"/>
      <c r="AE26" s="102"/>
    </row>
    <row r="27" spans="1:31" ht="16.5" thickBot="1" x14ac:dyDescent="0.3">
      <c r="A27" s="302" t="s">
        <v>124</v>
      </c>
      <c r="B27" s="298"/>
      <c r="C27" s="299"/>
      <c r="D27" s="300"/>
      <c r="E27" s="299"/>
      <c r="F27" s="299"/>
      <c r="G27" s="299"/>
      <c r="H27" s="299"/>
      <c r="I27" s="299"/>
      <c r="J27" s="299"/>
      <c r="K27" s="299"/>
      <c r="L27" s="299"/>
      <c r="M27" s="301"/>
      <c r="N27" s="296"/>
      <c r="O27" s="51"/>
      <c r="P27" s="51"/>
      <c r="Q27" s="342">
        <f t="shared" ref="Q27:S28" si="8">K27</f>
        <v>0</v>
      </c>
      <c r="R27" s="299">
        <f t="shared" si="8"/>
        <v>0</v>
      </c>
      <c r="S27" s="301">
        <f t="shared" si="8"/>
        <v>0</v>
      </c>
      <c r="T27" s="343">
        <v>0</v>
      </c>
      <c r="U27" s="344">
        <v>0</v>
      </c>
      <c r="V27" s="345">
        <v>0</v>
      </c>
      <c r="W27" s="346">
        <v>0</v>
      </c>
      <c r="X27" s="347">
        <v>0</v>
      </c>
      <c r="Y27" s="348">
        <v>0</v>
      </c>
      <c r="AA27" s="51"/>
      <c r="AC27" s="824"/>
    </row>
    <row r="28" spans="1:31" ht="15.75" thickTop="1" x14ac:dyDescent="0.25">
      <c r="A28" s="884" t="str">
        <f>A16</f>
        <v>AMHERST PIERPONT SECURITIES LLC USD</v>
      </c>
      <c r="B28" s="885"/>
      <c r="C28" s="886"/>
      <c r="D28" s="887"/>
      <c r="E28" s="886"/>
      <c r="F28" s="886"/>
      <c r="G28" s="886"/>
      <c r="H28" s="886"/>
      <c r="I28" s="886"/>
      <c r="J28" s="886"/>
      <c r="K28" s="886"/>
      <c r="L28" s="886"/>
      <c r="M28" s="888"/>
      <c r="N28" s="889">
        <f t="shared" ref="N28:N34" si="9">IF(H39,C28/H39*365/(F39-ValDate),"")</f>
        <v>0</v>
      </c>
      <c r="O28" s="51"/>
      <c r="P28" s="51"/>
      <c r="Q28" s="890">
        <f t="shared" si="8"/>
        <v>0</v>
      </c>
      <c r="R28" s="886">
        <f t="shared" si="8"/>
        <v>0</v>
      </c>
      <c r="S28" s="888">
        <f t="shared" si="8"/>
        <v>0</v>
      </c>
      <c r="T28" s="890">
        <v>0</v>
      </c>
      <c r="U28" s="886">
        <v>0</v>
      </c>
      <c r="V28" s="888">
        <v>0</v>
      </c>
      <c r="W28" s="890">
        <v>0</v>
      </c>
      <c r="X28" s="886">
        <v>0</v>
      </c>
      <c r="Y28" s="888">
        <v>0</v>
      </c>
      <c r="AA28" s="51"/>
      <c r="AC28" s="102"/>
    </row>
    <row r="29" spans="1:31" s="765" customFormat="1" x14ac:dyDescent="0.25">
      <c r="A29" s="4" t="str">
        <f t="shared" ref="A29:A34" si="10">A17</f>
        <v>DAIWA CAPITAL MARKETS EUROPE LIMITED USD</v>
      </c>
      <c r="B29" s="297"/>
      <c r="C29" s="143"/>
      <c r="D29" s="69"/>
      <c r="E29" s="143"/>
      <c r="F29" s="143"/>
      <c r="G29" s="143"/>
      <c r="H29" s="143"/>
      <c r="I29" s="143"/>
      <c r="J29" s="143"/>
      <c r="K29" s="143"/>
      <c r="L29" s="143"/>
      <c r="M29" s="143"/>
      <c r="N29" s="297" t="str">
        <f t="shared" si="9"/>
        <v/>
      </c>
      <c r="O29" s="4"/>
      <c r="P29" s="4"/>
      <c r="Q29" s="143">
        <f t="shared" ref="Q29:Q34" si="11">K29</f>
        <v>0</v>
      </c>
      <c r="R29" s="143">
        <f t="shared" ref="R29:R34" si="12">L29</f>
        <v>0</v>
      </c>
      <c r="S29" s="143">
        <f t="shared" ref="S29:S34" si="13">M29</f>
        <v>0</v>
      </c>
      <c r="T29" s="143">
        <v>0</v>
      </c>
      <c r="U29" s="143">
        <v>0</v>
      </c>
      <c r="V29" s="143">
        <v>0</v>
      </c>
      <c r="W29" s="143">
        <v>0</v>
      </c>
      <c r="X29" s="143">
        <v>0</v>
      </c>
      <c r="Y29" s="143">
        <v>0</v>
      </c>
      <c r="AA29" s="4"/>
      <c r="AC29" s="102"/>
    </row>
    <row r="30" spans="1:31" s="765" customFormat="1" x14ac:dyDescent="0.25">
      <c r="A30" s="4" t="str">
        <f t="shared" si="10"/>
        <v>DAIWA CAPITAL MARKETS EUROPE LIMITED EUR</v>
      </c>
      <c r="B30" s="297"/>
      <c r="C30" s="143"/>
      <c r="D30" s="69"/>
      <c r="E30" s="143"/>
      <c r="F30" s="143"/>
      <c r="G30" s="143"/>
      <c r="H30" s="143"/>
      <c r="I30" s="143"/>
      <c r="J30" s="143"/>
      <c r="K30" s="143"/>
      <c r="L30" s="143"/>
      <c r="M30" s="143"/>
      <c r="N30" s="297">
        <f t="shared" si="9"/>
        <v>0</v>
      </c>
      <c r="O30" s="4"/>
      <c r="P30" s="4"/>
      <c r="Q30" s="143">
        <f t="shared" si="11"/>
        <v>0</v>
      </c>
      <c r="R30" s="143">
        <f t="shared" si="12"/>
        <v>0</v>
      </c>
      <c r="S30" s="143">
        <f t="shared" si="13"/>
        <v>0</v>
      </c>
      <c r="T30" s="143">
        <v>0</v>
      </c>
      <c r="U30" s="143">
        <v>0</v>
      </c>
      <c r="V30" s="143">
        <v>0</v>
      </c>
      <c r="W30" s="143">
        <v>0</v>
      </c>
      <c r="X30" s="143">
        <v>0</v>
      </c>
      <c r="Y30" s="143">
        <v>0</v>
      </c>
      <c r="AA30" s="4"/>
      <c r="AC30" s="102"/>
    </row>
    <row r="31" spans="1:31" s="765" customFormat="1" x14ac:dyDescent="0.25">
      <c r="A31" s="4" t="str">
        <f t="shared" si="10"/>
        <v>MACQUARIE BANK LIMITED USD</v>
      </c>
      <c r="B31" s="297"/>
      <c r="C31" s="143"/>
      <c r="D31" s="69"/>
      <c r="E31" s="143"/>
      <c r="F31" s="143"/>
      <c r="G31" s="143"/>
      <c r="H31" s="143"/>
      <c r="I31" s="143"/>
      <c r="J31" s="143"/>
      <c r="K31" s="143"/>
      <c r="L31" s="143"/>
      <c r="M31" s="143"/>
      <c r="N31" s="297" t="str">
        <f t="shared" si="9"/>
        <v/>
      </c>
      <c r="O31" s="4"/>
      <c r="P31" s="4"/>
      <c r="Q31" s="143">
        <f t="shared" si="11"/>
        <v>0</v>
      </c>
      <c r="R31" s="143">
        <f t="shared" si="12"/>
        <v>0</v>
      </c>
      <c r="S31" s="143">
        <f t="shared" si="13"/>
        <v>0</v>
      </c>
      <c r="T31" s="143">
        <v>0</v>
      </c>
      <c r="U31" s="143">
        <v>0</v>
      </c>
      <c r="V31" s="143">
        <v>0</v>
      </c>
      <c r="W31" s="143">
        <v>0</v>
      </c>
      <c r="X31" s="143">
        <v>0</v>
      </c>
      <c r="Y31" s="143">
        <v>0</v>
      </c>
      <c r="AA31" s="4"/>
      <c r="AC31" s="102"/>
    </row>
    <row r="32" spans="1:31" s="765" customFormat="1" x14ac:dyDescent="0.25">
      <c r="A32" s="4" t="str">
        <f t="shared" si="10"/>
        <v>MACQUARIE BANK LIMITED EUR</v>
      </c>
      <c r="B32" s="297"/>
      <c r="C32" s="143"/>
      <c r="D32" s="69"/>
      <c r="E32" s="143"/>
      <c r="F32" s="143"/>
      <c r="G32" s="143"/>
      <c r="H32" s="143"/>
      <c r="I32" s="143"/>
      <c r="J32" s="143"/>
      <c r="K32" s="143"/>
      <c r="L32" s="143"/>
      <c r="M32" s="143"/>
      <c r="N32" s="297">
        <f t="shared" si="9"/>
        <v>0</v>
      </c>
      <c r="O32" s="4"/>
      <c r="P32" s="4"/>
      <c r="Q32" s="143">
        <f t="shared" si="11"/>
        <v>0</v>
      </c>
      <c r="R32" s="143">
        <f t="shared" si="12"/>
        <v>0</v>
      </c>
      <c r="S32" s="143">
        <f t="shared" si="13"/>
        <v>0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AA32" s="4"/>
      <c r="AC32" s="102"/>
    </row>
    <row r="33" spans="1:49" s="765" customFormat="1" x14ac:dyDescent="0.25">
      <c r="A33" s="4" t="str">
        <f t="shared" si="10"/>
        <v>NATWEST MARKETS PLC USD</v>
      </c>
      <c r="B33" s="297"/>
      <c r="C33" s="143"/>
      <c r="D33" s="69"/>
      <c r="E33" s="143"/>
      <c r="F33" s="143"/>
      <c r="G33" s="143"/>
      <c r="H33" s="143"/>
      <c r="I33" s="143"/>
      <c r="J33" s="143"/>
      <c r="K33" s="143"/>
      <c r="L33" s="143"/>
      <c r="M33" s="143"/>
      <c r="N33" s="297">
        <f t="shared" si="9"/>
        <v>0</v>
      </c>
      <c r="O33" s="4"/>
      <c r="P33" s="4"/>
      <c r="Q33" s="143">
        <f t="shared" si="11"/>
        <v>0</v>
      </c>
      <c r="R33" s="143">
        <f t="shared" si="12"/>
        <v>0</v>
      </c>
      <c r="S33" s="143">
        <f t="shared" si="13"/>
        <v>0</v>
      </c>
      <c r="T33" s="143">
        <v>0</v>
      </c>
      <c r="U33" s="143">
        <v>0</v>
      </c>
      <c r="V33" s="143">
        <v>0</v>
      </c>
      <c r="W33" s="143">
        <v>0</v>
      </c>
      <c r="X33" s="143">
        <v>0</v>
      </c>
      <c r="Y33" s="143">
        <v>0</v>
      </c>
      <c r="AA33" s="4"/>
      <c r="AC33" s="102"/>
    </row>
    <row r="34" spans="1:49" s="765" customFormat="1" x14ac:dyDescent="0.25">
      <c r="A34" s="4" t="str">
        <f t="shared" si="10"/>
        <v>NATWEST MARKETS PLC EUR</v>
      </c>
      <c r="B34" s="297"/>
      <c r="C34" s="143"/>
      <c r="D34" s="69"/>
      <c r="E34" s="143"/>
      <c r="F34" s="143"/>
      <c r="G34" s="143"/>
      <c r="H34" s="143"/>
      <c r="I34" s="143"/>
      <c r="J34" s="143"/>
      <c r="K34" s="143"/>
      <c r="L34" s="143"/>
      <c r="M34" s="143"/>
      <c r="N34" s="297">
        <f t="shared" si="9"/>
        <v>0</v>
      </c>
      <c r="O34" s="4"/>
      <c r="P34" s="4"/>
      <c r="Q34" s="143">
        <f t="shared" si="11"/>
        <v>0</v>
      </c>
      <c r="R34" s="143">
        <f t="shared" si="12"/>
        <v>0</v>
      </c>
      <c r="S34" s="143">
        <f t="shared" si="13"/>
        <v>0</v>
      </c>
      <c r="T34" s="143">
        <v>0</v>
      </c>
      <c r="U34" s="143">
        <v>0</v>
      </c>
      <c r="V34" s="143">
        <v>0</v>
      </c>
      <c r="W34" s="143">
        <v>0</v>
      </c>
      <c r="X34" s="143">
        <v>0</v>
      </c>
      <c r="Y34" s="143">
        <v>0</v>
      </c>
      <c r="AA34" s="4"/>
    </row>
    <row r="35" spans="1:49" x14ac:dyDescent="0.25">
      <c r="A35" s="634"/>
      <c r="B35" s="634"/>
      <c r="C35" s="634"/>
      <c r="D35" s="634"/>
      <c r="E35" s="634"/>
      <c r="F35" s="635"/>
      <c r="G35" s="636"/>
      <c r="H35" s="636"/>
      <c r="I35" s="636"/>
      <c r="J35" s="636"/>
      <c r="K35" s="636"/>
      <c r="L35" s="636"/>
      <c r="M35" s="637"/>
      <c r="N35" s="637"/>
      <c r="O35" s="636"/>
      <c r="P35" s="636"/>
      <c r="Q35" s="636"/>
      <c r="R35" s="635"/>
      <c r="S35" s="634"/>
      <c r="T35" s="634"/>
      <c r="U35" s="634"/>
      <c r="V35" s="634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4"/>
      <c r="AH35" s="634"/>
      <c r="AI35" s="634"/>
      <c r="AJ35" s="634"/>
      <c r="AK35" s="634"/>
      <c r="AL35" s="634"/>
      <c r="AM35" s="634"/>
      <c r="AN35" s="634"/>
      <c r="AO35" s="634"/>
      <c r="AP35" s="634"/>
      <c r="AQ35" s="634"/>
      <c r="AR35" s="634"/>
      <c r="AS35" s="4"/>
    </row>
    <row r="36" spans="1:49" ht="18.75" x14ac:dyDescent="0.3">
      <c r="A36" s="56"/>
      <c r="B36" s="57"/>
      <c r="C36" s="4"/>
      <c r="D36" s="4"/>
      <c r="E36" s="4"/>
      <c r="F36" s="4"/>
      <c r="G36" s="4"/>
      <c r="H36" s="112"/>
      <c r="M36" s="103"/>
    </row>
    <row r="37" spans="1:49" ht="18.75" x14ac:dyDescent="0.3">
      <c r="A37" s="1221" t="s">
        <v>91</v>
      </c>
      <c r="B37" s="1222"/>
      <c r="C37" s="1222"/>
      <c r="D37" s="1222"/>
      <c r="E37" s="1222"/>
      <c r="F37" s="1222"/>
      <c r="G37" s="1222"/>
      <c r="H37" s="1222"/>
      <c r="I37" s="1222"/>
      <c r="J37" s="1222"/>
      <c r="K37" s="1222"/>
      <c r="L37" s="1222"/>
      <c r="M37" s="1222"/>
      <c r="N37" s="1222"/>
      <c r="O37" s="1222"/>
      <c r="P37" s="1222"/>
      <c r="Q37" s="1222"/>
      <c r="R37" s="1222"/>
      <c r="S37" s="1223"/>
      <c r="T37" s="1224" t="s">
        <v>92</v>
      </c>
      <c r="U37" s="1225"/>
      <c r="V37" s="1225"/>
      <c r="W37" s="1225"/>
      <c r="X37" s="1225"/>
      <c r="Y37" s="1226"/>
      <c r="Z37" s="353"/>
      <c r="AA37" s="341"/>
      <c r="AB37" s="341"/>
      <c r="AC37" s="341"/>
      <c r="AD37" s="379"/>
      <c r="AE37" s="379"/>
      <c r="AF37" s="379"/>
      <c r="AG37" s="341"/>
      <c r="AH37" s="341"/>
      <c r="AI37" s="341"/>
      <c r="AJ37" s="341"/>
      <c r="AK37" s="341"/>
      <c r="AL37" s="341"/>
      <c r="AM37" s="341"/>
      <c r="AN37" s="341"/>
      <c r="AO37" s="341"/>
      <c r="AP37" s="341"/>
      <c r="AQ37" s="341"/>
    </row>
    <row r="38" spans="1:49" ht="15.75" x14ac:dyDescent="0.25">
      <c r="A38" s="64" t="s">
        <v>90</v>
      </c>
      <c r="B38" s="65" t="s">
        <v>54</v>
      </c>
      <c r="C38" s="66" t="s">
        <v>428</v>
      </c>
      <c r="D38" s="66" t="s">
        <v>321</v>
      </c>
      <c r="E38" s="66" t="s">
        <v>125</v>
      </c>
      <c r="F38" s="66" t="s">
        <v>325</v>
      </c>
      <c r="G38" s="66" t="s">
        <v>89</v>
      </c>
      <c r="H38" s="67" t="s">
        <v>131</v>
      </c>
      <c r="I38" s="67" t="s">
        <v>29</v>
      </c>
      <c r="J38" s="66" t="s">
        <v>284</v>
      </c>
      <c r="K38" s="66" t="s">
        <v>288</v>
      </c>
      <c r="L38" s="66" t="s">
        <v>287</v>
      </c>
      <c r="M38" s="66" t="s">
        <v>30</v>
      </c>
      <c r="N38" s="66" t="s">
        <v>32</v>
      </c>
      <c r="O38" s="66" t="s">
        <v>31</v>
      </c>
      <c r="P38" s="66" t="s">
        <v>319</v>
      </c>
      <c r="Q38" s="650" t="s">
        <v>322</v>
      </c>
      <c r="R38" s="651" t="s">
        <v>326</v>
      </c>
      <c r="S38" s="66" t="s">
        <v>323</v>
      </c>
      <c r="T38" s="68" t="s">
        <v>88</v>
      </c>
      <c r="U38" s="66" t="s">
        <v>305</v>
      </c>
      <c r="V38" s="516" t="s">
        <v>306</v>
      </c>
      <c r="W38" s="66" t="s">
        <v>89</v>
      </c>
      <c r="X38" s="66" t="s">
        <v>4</v>
      </c>
      <c r="Y38" s="66" t="s">
        <v>1</v>
      </c>
      <c r="Z38" s="353"/>
      <c r="AB38" s="993"/>
      <c r="AC38" s="341"/>
      <c r="AD38" s="379"/>
      <c r="AE38" s="379"/>
      <c r="AF38" s="379"/>
      <c r="AG38" s="341"/>
      <c r="AH38" s="341"/>
      <c r="AI38" s="341"/>
      <c r="AJ38" s="341"/>
      <c r="AK38" s="341"/>
      <c r="AL38" s="341"/>
      <c r="AM38" s="341"/>
      <c r="AN38" s="341"/>
      <c r="AO38" s="341"/>
      <c r="AP38" s="341"/>
      <c r="AQ38" s="341"/>
    </row>
    <row r="39" spans="1:49" x14ac:dyDescent="0.25">
      <c r="A39" s="970">
        <v>67679</v>
      </c>
      <c r="B39" s="955" t="s">
        <v>1943</v>
      </c>
      <c r="C39" s="956">
        <f t="shared" ref="C39:C45" si="14">IF(ISNUMBER(VLOOKUP(LEFT($B39,LEN($B39)-4),CtptyInfo,2,FALSE)),VLOOKUP(LEFT($B39,LEN($B39)-4),CtptyInfo,2,FALSE),VLOOKUP(LEFT($B39,LEN($B39)-4),CtptyInfo,3,FALSE))</f>
        <v>71.625</v>
      </c>
      <c r="D39" s="957">
        <f t="shared" ref="D39:D45" si="15">VLOOKUP(LEFT($B39,LEN($B39)-4),CtptyInfo,4,FALSE)</f>
        <v>250</v>
      </c>
      <c r="E39" s="958">
        <f t="shared" ref="E39:E45" si="16">_xlfn.MINIFS(P$51:P$238,CtptyRepoRange,$B39,CUSIPRepoRange,"&lt;&gt;CASHUSD01")</f>
        <v>44635</v>
      </c>
      <c r="F39" s="958">
        <f t="shared" ref="F39:F45" si="17">_xlfn.MAXIFS(Q$51:Q$238,CtptyRepoRange,$B39)</f>
        <v>44729</v>
      </c>
      <c r="G39" s="139">
        <f t="shared" ref="G39" si="18">COUNTIF(CtptyRepoRange,B39)</f>
        <v>14</v>
      </c>
      <c r="H39" s="959">
        <f t="shared" ref="H39:H45" si="19">SUMIF(CtptyRepoRange,$B39,O$51:O$238)</f>
        <v>-225600037.07999998</v>
      </c>
      <c r="I39" s="959">
        <f t="shared" ref="I39:I45" si="20">SUMIF(CtptyRepoRange,$B39,X$51:X$238)</f>
        <v>-229293895.92899999</v>
      </c>
      <c r="J39" s="960">
        <f>IF(ABS(H39)&gt;0.1,I39/H39,"")</f>
        <v>1.0163734851146773</v>
      </c>
      <c r="K39" s="961">
        <f t="shared" ref="K39:K45" si="21">SUMIF(CtptyRepoRange,$B39,AA$51:AA$238)</f>
        <v>2172361.1756154438</v>
      </c>
      <c r="L39" s="962">
        <f t="shared" ref="L39:L45" si="22">SUMIF(CtptyRepoRange,$B39,AC$51:AC$238)</f>
        <v>339740.15564742842</v>
      </c>
      <c r="M39" s="963" cm="1">
        <f t="array" ref="M39">IF(ABS(H39)&gt;1,SUMPRODUCT(--(CtptyRepoRange=$B39),O$51:O$238,R$51:R$238)/SUMIF(CtptyRepoRange,$B39,O$51:O$238),"")</f>
        <v>5.9874997555120074E-3</v>
      </c>
      <c r="N39" s="964">
        <f t="shared" ref="N39:N45" si="23">SUMIF(CtptyRepoRange,$B39,T$51:T$238)</f>
        <v>-52547.697225444441</v>
      </c>
      <c r="O39" s="965">
        <f t="shared" ref="O39:O45" si="24">SUMPRODUCT(--(CtptyRepoRange=$B39),O$51:O$238,R$51:R$238)/360</f>
        <v>-3752.1671301666661</v>
      </c>
      <c r="P39" s="971">
        <f t="shared" ref="P39:P45" si="25">SUMIF(CtptyRepoRange,$B39,U$51:U$238)</f>
        <v>-282950.03890177776</v>
      </c>
      <c r="Q39" s="966" t="e">
        <f t="shared" ref="Q39:Q45" si="26">SUMPRODUCT(--(CtptyRepoRange=$B39),V$51:V$238,AI$51:AI$238)/10000</f>
        <v>#N/A</v>
      </c>
      <c r="R39" s="965" t="e">
        <f>IF(H39,(K39+D39)/Q39,"")</f>
        <v>#N/A</v>
      </c>
      <c r="S39" s="983" t="e">
        <f>IF(H39,(I39-H39-N39)/Q39,"")</f>
        <v>#N/A</v>
      </c>
      <c r="T39" s="967">
        <f t="shared" ref="T39:T45" si="27">VLOOKUP(VLOOKUP(LEFT($B39,LEN($B39)-4),CtptyInfo,3,FALSE),Default_Grid,5,FALSE)*IF(StressRun="s",2,IF(StressRun="c",3,1))</f>
        <v>0.04</v>
      </c>
      <c r="U39" s="960">
        <f t="shared" ref="U39:U45" si="28">VLOOKUP(LEFT($B39,LEN($B39)-4),CtptyInfo,7,FALSE)</f>
        <v>0.3</v>
      </c>
      <c r="V39" s="960">
        <v>0.99</v>
      </c>
      <c r="W39" s="139">
        <f>G39</f>
        <v>14</v>
      </c>
      <c r="X39" s="968">
        <f t="shared" ref="X39" si="29">1-(1-$T39)^((F39-today)/365)</f>
        <v>8.6856640777158711E-3</v>
      </c>
      <c r="Y39" s="969">
        <f t="shared" ref="Y39:Y45" si="30">VLOOKUP(LEFT($B39,LEN($B39)-4),CtptyInfo,5,FALSE)</f>
        <v>100</v>
      </c>
      <c r="Z39" s="366"/>
      <c r="AB39" s="1068"/>
      <c r="AC39" s="1054"/>
      <c r="AD39" s="379"/>
      <c r="AE39" s="379"/>
      <c r="AF39" s="379"/>
      <c r="AG39" s="341"/>
      <c r="AH39" s="341"/>
      <c r="AI39" s="341"/>
      <c r="AJ39" s="341"/>
      <c r="AK39" s="341"/>
      <c r="AL39" s="341"/>
      <c r="AM39" s="341"/>
      <c r="AN39" s="341"/>
      <c r="AO39" s="341"/>
      <c r="AP39" s="341"/>
      <c r="AQ39" s="341"/>
    </row>
    <row r="40" spans="1:49" s="765" customFormat="1" x14ac:dyDescent="0.25">
      <c r="A40" s="1040">
        <v>100000</v>
      </c>
      <c r="B40" s="57" t="s">
        <v>4902</v>
      </c>
      <c r="C40" s="408" t="e">
        <f t="shared" si="14"/>
        <v>#N/A</v>
      </c>
      <c r="D40" s="407" t="e">
        <f t="shared" si="15"/>
        <v>#N/A</v>
      </c>
      <c r="E40" s="60">
        <f t="shared" si="16"/>
        <v>44635</v>
      </c>
      <c r="F40" s="60">
        <f t="shared" si="17"/>
        <v>44650</v>
      </c>
      <c r="G40" s="58">
        <f t="shared" ref="G40:G45" si="31">COUNTIF(CtptyRepoRange,B40)</f>
        <v>3</v>
      </c>
      <c r="H40" s="69">
        <f t="shared" si="19"/>
        <v>0</v>
      </c>
      <c r="I40" s="69">
        <f t="shared" si="20"/>
        <v>-609225.82679999992</v>
      </c>
      <c r="J40" s="70" t="str">
        <f t="shared" ref="J40:J45" si="32">IF(ABS(H40)&gt;0.1,I40/H40,"")</f>
        <v/>
      </c>
      <c r="K40" s="602">
        <f t="shared" si="21"/>
        <v>-608942.39999999991</v>
      </c>
      <c r="L40" s="799">
        <f t="shared" si="22"/>
        <v>-609225.82679999992</v>
      </c>
      <c r="M40" s="1041" t="str" cm="1">
        <f t="array" ref="M40">IF(ABS(H40)&gt;1,SUMPRODUCT(--(CtptyRepoRange=$B40),O$51:O$238,R$51:R$238)/SUMIF(CtptyRepoRange,$B40,O$51:O$238),"")</f>
        <v/>
      </c>
      <c r="N40" s="988">
        <f t="shared" si="23"/>
        <v>0</v>
      </c>
      <c r="O40" s="1042">
        <f t="shared" si="24"/>
        <v>0</v>
      </c>
      <c r="P40" s="1043">
        <f t="shared" si="25"/>
        <v>0</v>
      </c>
      <c r="Q40" s="1044" t="e">
        <f t="shared" si="26"/>
        <v>#N/A</v>
      </c>
      <c r="R40" s="1042" t="str">
        <f t="shared" ref="R40:R45" si="33">IF(H40,(K40+D40)/Q40,"")</f>
        <v/>
      </c>
      <c r="S40" s="1045" t="str">
        <f t="shared" ref="S40:S45" si="34">IF(H40,(I40-H40-N40)/Q40,"")</f>
        <v/>
      </c>
      <c r="T40" s="1046" t="e">
        <f t="shared" si="27"/>
        <v>#N/A</v>
      </c>
      <c r="U40" s="70" t="e">
        <f t="shared" si="28"/>
        <v>#N/A</v>
      </c>
      <c r="V40" s="70">
        <v>0.99</v>
      </c>
      <c r="W40" s="58">
        <f t="shared" ref="W40:W45" si="35">G40</f>
        <v>3</v>
      </c>
      <c r="X40" s="1047" t="e">
        <f t="shared" ref="X40:X45" si="36">1-(1-$T40)^((F40-today)/365)</f>
        <v>#N/A</v>
      </c>
      <c r="Y40" s="1048" t="e">
        <f t="shared" si="30"/>
        <v>#N/A</v>
      </c>
      <c r="Z40" s="366"/>
      <c r="AB40" s="1068"/>
      <c r="AC40" s="1054"/>
      <c r="AD40" s="379"/>
      <c r="AE40" s="379"/>
      <c r="AF40" s="379"/>
      <c r="AG40" s="341"/>
      <c r="AH40" s="341"/>
      <c r="AI40" s="341"/>
      <c r="AJ40" s="341"/>
      <c r="AK40" s="341"/>
      <c r="AL40" s="341"/>
      <c r="AM40" s="341"/>
      <c r="AN40" s="341"/>
      <c r="AO40" s="341"/>
      <c r="AP40" s="341"/>
      <c r="AQ40" s="341"/>
    </row>
    <row r="41" spans="1:49" s="765" customFormat="1" x14ac:dyDescent="0.25">
      <c r="A41" s="1040">
        <v>66250</v>
      </c>
      <c r="B41" s="57" t="s">
        <v>4607</v>
      </c>
      <c r="C41" s="408" t="e">
        <f t="shared" si="14"/>
        <v>#N/A</v>
      </c>
      <c r="D41" s="407" t="e">
        <f t="shared" si="15"/>
        <v>#N/A</v>
      </c>
      <c r="E41" s="60">
        <f t="shared" si="16"/>
        <v>44634</v>
      </c>
      <c r="F41" s="60">
        <f t="shared" si="17"/>
        <v>44663</v>
      </c>
      <c r="G41" s="58">
        <f t="shared" si="31"/>
        <v>2</v>
      </c>
      <c r="H41" s="69">
        <f t="shared" si="19"/>
        <v>-30350034</v>
      </c>
      <c r="I41" s="69">
        <f t="shared" si="20"/>
        <v>-30124407.820000004</v>
      </c>
      <c r="J41" s="70">
        <f t="shared" si="32"/>
        <v>0.99256586730677154</v>
      </c>
      <c r="K41" s="602">
        <f t="shared" si="21"/>
        <v>1350490.9425149965</v>
      </c>
      <c r="L41" s="799">
        <f t="shared" si="22"/>
        <v>518701.04071499727</v>
      </c>
      <c r="M41" s="1041" cm="1">
        <f t="array" ref="M41">IF(ABS(H41)&gt;1,SUMPRODUCT(--(CtptyRepoRange=$B41),O$51:O$238,R$51:R$238)/SUMIF(CtptyRepoRange,$B41,O$51:O$238),"")</f>
        <v>-5.6999999999999993E-3</v>
      </c>
      <c r="N41" s="988">
        <f t="shared" si="23"/>
        <v>8169.2174849999992</v>
      </c>
      <c r="O41" s="1042">
        <f t="shared" si="24"/>
        <v>480.54220499999997</v>
      </c>
      <c r="P41" s="1043">
        <f t="shared" si="25"/>
        <v>13935.723945</v>
      </c>
      <c r="Q41" s="1044" t="e">
        <f t="shared" si="26"/>
        <v>#N/A</v>
      </c>
      <c r="R41" s="1042" t="e">
        <f t="shared" si="33"/>
        <v>#N/A</v>
      </c>
      <c r="S41" s="1045" t="e">
        <f t="shared" si="34"/>
        <v>#N/A</v>
      </c>
      <c r="T41" s="1046" t="e">
        <f t="shared" si="27"/>
        <v>#N/A</v>
      </c>
      <c r="U41" s="70" t="e">
        <f t="shared" si="28"/>
        <v>#N/A</v>
      </c>
      <c r="V41" s="70">
        <v>0.99</v>
      </c>
      <c r="W41" s="58">
        <f t="shared" si="35"/>
        <v>2</v>
      </c>
      <c r="X41" s="1047" t="e">
        <f t="shared" si="36"/>
        <v>#N/A</v>
      </c>
      <c r="Y41" s="1048" t="e">
        <f t="shared" si="30"/>
        <v>#N/A</v>
      </c>
      <c r="Z41" s="366"/>
      <c r="AB41" s="1068"/>
      <c r="AC41" s="1054"/>
      <c r="AD41" s="379"/>
      <c r="AE41" s="379"/>
      <c r="AF41" s="379"/>
      <c r="AG41" s="341"/>
      <c r="AH41" s="341"/>
      <c r="AI41" s="341"/>
      <c r="AJ41" s="341"/>
      <c r="AK41" s="341"/>
      <c r="AL41" s="341"/>
      <c r="AM41" s="341"/>
      <c r="AN41" s="341"/>
      <c r="AO41" s="341"/>
      <c r="AP41" s="341"/>
      <c r="AQ41" s="341"/>
    </row>
    <row r="42" spans="1:49" s="765" customFormat="1" x14ac:dyDescent="0.25">
      <c r="A42" s="1040">
        <v>100000</v>
      </c>
      <c r="B42" s="57" t="s">
        <v>4486</v>
      </c>
      <c r="C42" s="408" t="e">
        <f t="shared" si="14"/>
        <v>#N/A</v>
      </c>
      <c r="D42" s="407" t="e">
        <f t="shared" si="15"/>
        <v>#N/A</v>
      </c>
      <c r="E42" s="60">
        <f t="shared" si="16"/>
        <v>44634</v>
      </c>
      <c r="F42" s="60">
        <f t="shared" si="17"/>
        <v>44651</v>
      </c>
      <c r="G42" s="58">
        <f t="shared" si="31"/>
        <v>9</v>
      </c>
      <c r="H42" s="69">
        <f t="shared" si="19"/>
        <v>0</v>
      </c>
      <c r="I42" s="69">
        <f t="shared" si="20"/>
        <v>-3233572.8821999999</v>
      </c>
      <c r="J42" s="70" t="str">
        <f t="shared" si="32"/>
        <v/>
      </c>
      <c r="K42" s="602">
        <f t="shared" si="21"/>
        <v>-3227364.3099999996</v>
      </c>
      <c r="L42" s="799">
        <f t="shared" si="22"/>
        <v>-3233572.8821999999</v>
      </c>
      <c r="M42" s="1041" t="str" cm="1">
        <f t="array" ref="M42">IF(ABS(H42)&gt;1,SUMPRODUCT(--(CtptyRepoRange=$B42),O$51:O$238,R$51:R$238)/SUMIF(CtptyRepoRange,$B42,O$51:O$238),"")</f>
        <v/>
      </c>
      <c r="N42" s="988">
        <f t="shared" si="23"/>
        <v>0</v>
      </c>
      <c r="O42" s="1042">
        <f t="shared" si="24"/>
        <v>0</v>
      </c>
      <c r="P42" s="1043">
        <f t="shared" si="25"/>
        <v>0</v>
      </c>
      <c r="Q42" s="1044" t="e">
        <f t="shared" si="26"/>
        <v>#N/A</v>
      </c>
      <c r="R42" s="1042" t="str">
        <f t="shared" si="33"/>
        <v/>
      </c>
      <c r="S42" s="1045" t="str">
        <f t="shared" si="34"/>
        <v/>
      </c>
      <c r="T42" s="1046" t="e">
        <f t="shared" si="27"/>
        <v>#N/A</v>
      </c>
      <c r="U42" s="70" t="e">
        <f t="shared" si="28"/>
        <v>#N/A</v>
      </c>
      <c r="V42" s="70">
        <v>0.99</v>
      </c>
      <c r="W42" s="58">
        <f t="shared" si="35"/>
        <v>9</v>
      </c>
      <c r="X42" s="1047" t="e">
        <f t="shared" si="36"/>
        <v>#N/A</v>
      </c>
      <c r="Y42" s="1048" t="e">
        <f t="shared" si="30"/>
        <v>#N/A</v>
      </c>
      <c r="Z42" s="366"/>
      <c r="AB42" s="1068"/>
      <c r="AC42" s="1054"/>
      <c r="AD42" s="379"/>
      <c r="AE42" s="379"/>
      <c r="AF42" s="379"/>
      <c r="AG42" s="341"/>
      <c r="AH42" s="341"/>
      <c r="AI42" s="341"/>
      <c r="AJ42" s="341"/>
      <c r="AK42" s="341"/>
      <c r="AL42" s="341"/>
      <c r="AM42" s="341"/>
      <c r="AN42" s="341"/>
      <c r="AO42" s="341"/>
      <c r="AP42" s="341"/>
      <c r="AQ42" s="341"/>
    </row>
    <row r="43" spans="1:49" s="765" customFormat="1" x14ac:dyDescent="0.25">
      <c r="A43" s="1040">
        <v>65883</v>
      </c>
      <c r="B43" s="57" t="s">
        <v>4419</v>
      </c>
      <c r="C43" s="408" t="e">
        <f t="shared" si="14"/>
        <v>#N/A</v>
      </c>
      <c r="D43" s="407" t="e">
        <f t="shared" si="15"/>
        <v>#N/A</v>
      </c>
      <c r="E43" s="60">
        <f t="shared" si="16"/>
        <v>44623</v>
      </c>
      <c r="F43" s="60">
        <f t="shared" si="17"/>
        <v>44663</v>
      </c>
      <c r="G43" s="58">
        <f t="shared" si="31"/>
        <v>3</v>
      </c>
      <c r="H43" s="69">
        <f t="shared" si="19"/>
        <v>-139921685.47999999</v>
      </c>
      <c r="I43" s="69">
        <f t="shared" si="20"/>
        <v>-140727329.76220003</v>
      </c>
      <c r="J43" s="70">
        <f t="shared" si="32"/>
        <v>1.0057578228809658</v>
      </c>
      <c r="K43" s="602">
        <f t="shared" si="21"/>
        <v>6490893.1508552283</v>
      </c>
      <c r="L43" s="799">
        <f t="shared" si="22"/>
        <v>2664029.4587102239</v>
      </c>
      <c r="M43" s="1041" cm="1">
        <f t="array" ref="M43">IF(ABS(H43)&gt;1,SUMPRODUCT(--(CtptyRepoRange=$B43),O$51:O$238,R$51:R$238)/SUMIF(CtptyRepoRange,$B43,O$51:O$238),"")</f>
        <v>-6.2000000000000006E-3</v>
      </c>
      <c r="N43" s="988">
        <f t="shared" si="23"/>
        <v>48509.503144755552</v>
      </c>
      <c r="O43" s="1042">
        <f t="shared" si="24"/>
        <v>2409.7623610444443</v>
      </c>
      <c r="P43" s="1043">
        <f t="shared" si="25"/>
        <v>69883.108470288891</v>
      </c>
      <c r="Q43" s="1044" t="e">
        <f t="shared" si="26"/>
        <v>#N/A</v>
      </c>
      <c r="R43" s="1042" t="e">
        <f t="shared" si="33"/>
        <v>#N/A</v>
      </c>
      <c r="S43" s="1045" t="e">
        <f t="shared" si="34"/>
        <v>#N/A</v>
      </c>
      <c r="T43" s="1046" t="e">
        <f t="shared" si="27"/>
        <v>#N/A</v>
      </c>
      <c r="U43" s="70" t="e">
        <f t="shared" si="28"/>
        <v>#N/A</v>
      </c>
      <c r="V43" s="70">
        <v>0.99</v>
      </c>
      <c r="W43" s="58">
        <f t="shared" si="35"/>
        <v>3</v>
      </c>
      <c r="X43" s="1047" t="e">
        <f t="shared" si="36"/>
        <v>#N/A</v>
      </c>
      <c r="Y43" s="1048" t="e">
        <f t="shared" si="30"/>
        <v>#N/A</v>
      </c>
      <c r="Z43" s="366"/>
      <c r="AB43" s="1068"/>
      <c r="AC43" s="1054"/>
      <c r="AD43" s="379"/>
      <c r="AE43" s="379"/>
      <c r="AF43" s="379"/>
      <c r="AG43" s="341"/>
      <c r="AH43" s="341"/>
      <c r="AI43" s="341"/>
      <c r="AJ43" s="341"/>
      <c r="AK43" s="341"/>
      <c r="AL43" s="341"/>
      <c r="AM43" s="341"/>
      <c r="AN43" s="341"/>
      <c r="AO43" s="341"/>
      <c r="AP43" s="341"/>
      <c r="AQ43" s="341"/>
    </row>
    <row r="44" spans="1:49" s="765" customFormat="1" x14ac:dyDescent="0.25">
      <c r="A44" s="1040">
        <v>67676</v>
      </c>
      <c r="B44" s="57" t="s">
        <v>947</v>
      </c>
      <c r="C44" s="408" t="str">
        <f t="shared" si="14"/>
        <v>BBB+</v>
      </c>
      <c r="D44" s="407" t="e">
        <f t="shared" si="15"/>
        <v>#N/A</v>
      </c>
      <c r="E44" s="60">
        <f t="shared" si="16"/>
        <v>44536</v>
      </c>
      <c r="F44" s="60">
        <f t="shared" si="17"/>
        <v>44727</v>
      </c>
      <c r="G44" s="58">
        <f t="shared" si="31"/>
        <v>29</v>
      </c>
      <c r="H44" s="69">
        <f t="shared" si="19"/>
        <v>408048</v>
      </c>
      <c r="I44" s="69">
        <f t="shared" si="20"/>
        <v>10468180.385174304</v>
      </c>
      <c r="J44" s="70">
        <f t="shared" si="32"/>
        <v>25.654286714245149</v>
      </c>
      <c r="K44" s="602">
        <f t="shared" si="21"/>
        <v>3194972.0993454098</v>
      </c>
      <c r="L44" s="799">
        <f t="shared" si="22"/>
        <v>4701386.4595117262</v>
      </c>
      <c r="M44" s="1041" cm="1">
        <f t="array" ref="M44">IF(ABS(H44)&gt;1,SUMPRODUCT(--(CtptyRepoRange=$B44),O$51:O$238,R$51:R$238)/SUMIF(CtptyRepoRange,$B44,O$51:O$238),"")</f>
        <v>-12.977630598655061</v>
      </c>
      <c r="N44" s="988">
        <f t="shared" si="23"/>
        <v>-234215.43376016663</v>
      </c>
      <c r="O44" s="1042">
        <f t="shared" si="24"/>
        <v>-14709.711695888889</v>
      </c>
      <c r="P44" s="1043">
        <f t="shared" si="25"/>
        <v>-1320265.4371947777</v>
      </c>
      <c r="Q44" s="1044" t="e">
        <f t="shared" si="26"/>
        <v>#N/A</v>
      </c>
      <c r="R44" s="1042" t="e">
        <f t="shared" si="33"/>
        <v>#N/A</v>
      </c>
      <c r="S44" s="1045" t="e">
        <f t="shared" si="34"/>
        <v>#N/A</v>
      </c>
      <c r="T44" s="1046">
        <f t="shared" si="27"/>
        <v>8.0000000000000002E-3</v>
      </c>
      <c r="U44" s="70">
        <f t="shared" si="28"/>
        <v>0.3</v>
      </c>
      <c r="V44" s="70">
        <v>0.99</v>
      </c>
      <c r="W44" s="58">
        <f t="shared" si="35"/>
        <v>29</v>
      </c>
      <c r="X44" s="1047">
        <f t="shared" si="36"/>
        <v>1.671054420199547E-3</v>
      </c>
      <c r="Y44" s="1048">
        <f t="shared" si="30"/>
        <v>200</v>
      </c>
      <c r="Z44" s="366"/>
      <c r="AA44" s="341"/>
      <c r="AB44" s="1068"/>
      <c r="AC44" s="341"/>
      <c r="AD44" s="379"/>
      <c r="AE44" s="379"/>
      <c r="AF44" s="379"/>
      <c r="AG44" s="341"/>
      <c r="AH44" s="341"/>
      <c r="AI44" s="341"/>
      <c r="AJ44" s="341"/>
      <c r="AK44" s="341"/>
      <c r="AL44" s="341"/>
      <c r="AM44" s="341"/>
      <c r="AN44" s="341"/>
      <c r="AO44" s="341"/>
      <c r="AP44" s="341"/>
      <c r="AQ44" s="341"/>
    </row>
    <row r="45" spans="1:49" s="765" customFormat="1" x14ac:dyDescent="0.25">
      <c r="A45" s="972">
        <v>67722</v>
      </c>
      <c r="B45" s="973" t="s">
        <v>982</v>
      </c>
      <c r="C45" s="974" t="str">
        <f t="shared" si="14"/>
        <v>BBB+</v>
      </c>
      <c r="D45" s="975" t="e">
        <f t="shared" si="15"/>
        <v>#N/A</v>
      </c>
      <c r="E45" s="427">
        <f t="shared" si="16"/>
        <v>44635</v>
      </c>
      <c r="F45" s="427">
        <f t="shared" si="17"/>
        <v>44734</v>
      </c>
      <c r="G45" s="149">
        <f t="shared" si="31"/>
        <v>9</v>
      </c>
      <c r="H45" s="976">
        <f t="shared" si="19"/>
        <v>-3121812.549999997</v>
      </c>
      <c r="I45" s="976">
        <f t="shared" si="20"/>
        <v>-199839.07892785966</v>
      </c>
      <c r="J45" s="405">
        <f t="shared" si="32"/>
        <v>6.401379830696749E-2</v>
      </c>
      <c r="K45" s="977">
        <f t="shared" si="21"/>
        <v>-8134001.0748705035</v>
      </c>
      <c r="L45" s="978">
        <f t="shared" si="22"/>
        <v>-3590338.489572247</v>
      </c>
      <c r="M45" s="979" cm="1">
        <f t="array" ref="M45">IF(ABS(H45)&gt;1,SUMPRODUCT(--(CtptyRepoRange=$B45),O$51:O$238,R$51:R$238)/SUMIF(CtptyRepoRange,$B45,O$51:O$238),"")</f>
        <v>1.1337538014240487</v>
      </c>
      <c r="N45" s="980">
        <f t="shared" si="23"/>
        <v>-134843.61340589501</v>
      </c>
      <c r="O45" s="981">
        <f t="shared" si="24"/>
        <v>-9831.574571932777</v>
      </c>
      <c r="P45" s="982">
        <f t="shared" si="25"/>
        <v>-904504.86061781563</v>
      </c>
      <c r="Q45" s="984" t="e">
        <f t="shared" si="26"/>
        <v>#N/A</v>
      </c>
      <c r="R45" s="981" t="e">
        <f t="shared" si="33"/>
        <v>#N/A</v>
      </c>
      <c r="S45" s="985" t="e">
        <f t="shared" si="34"/>
        <v>#N/A</v>
      </c>
      <c r="T45" s="986">
        <f t="shared" si="27"/>
        <v>8.0000000000000002E-3</v>
      </c>
      <c r="U45" s="405">
        <f t="shared" si="28"/>
        <v>0.3</v>
      </c>
      <c r="V45" s="405">
        <v>0.99</v>
      </c>
      <c r="W45" s="149">
        <f t="shared" si="35"/>
        <v>9</v>
      </c>
      <c r="X45" s="484">
        <f t="shared" si="36"/>
        <v>1.8248268132291523E-3</v>
      </c>
      <c r="Y45" s="987">
        <f t="shared" si="30"/>
        <v>200</v>
      </c>
      <c r="Z45" s="366"/>
      <c r="AA45" s="341"/>
      <c r="AB45" s="993"/>
      <c r="AC45" s="341"/>
      <c r="AD45" s="379"/>
      <c r="AE45" s="379"/>
      <c r="AF45" s="379"/>
      <c r="AG45" s="341"/>
      <c r="AH45" s="341"/>
      <c r="AI45" s="341"/>
      <c r="AJ45" s="341"/>
      <c r="AK45" s="341"/>
      <c r="AL45" s="341"/>
      <c r="AM45" s="341"/>
      <c r="AN45" s="341"/>
      <c r="AO45" s="341"/>
      <c r="AP45" s="341"/>
      <c r="AQ45" s="341"/>
    </row>
    <row r="46" spans="1:49" s="765" customFormat="1" x14ac:dyDescent="0.25">
      <c r="A46" s="59"/>
      <c r="B46" s="57" t="s">
        <v>981</v>
      </c>
      <c r="C46" s="408"/>
      <c r="D46" s="407"/>
      <c r="E46" s="60"/>
      <c r="F46" s="60"/>
      <c r="G46" s="58"/>
      <c r="H46" s="69"/>
      <c r="I46" s="69"/>
      <c r="J46" s="53"/>
      <c r="K46" s="602"/>
      <c r="L46" s="799"/>
      <c r="M46" s="988"/>
      <c r="N46" s="61"/>
      <c r="O46" s="269"/>
      <c r="P46" s="61"/>
      <c r="Q46" s="883"/>
      <c r="R46" s="269"/>
      <c r="S46" s="269"/>
      <c r="T46" s="70"/>
      <c r="U46" s="999"/>
      <c r="V46" s="883"/>
      <c r="W46" s="766"/>
      <c r="X46" s="63"/>
      <c r="Y46" s="696"/>
      <c r="Z46" s="366"/>
      <c r="AA46" s="379"/>
      <c r="AB46" s="341"/>
      <c r="AC46" s="341"/>
      <c r="AD46" s="379"/>
      <c r="AE46" s="379"/>
      <c r="AF46" s="379"/>
      <c r="AG46" s="341"/>
      <c r="AH46" s="341"/>
      <c r="AI46" s="341"/>
      <c r="AJ46" s="341"/>
      <c r="AK46" s="341"/>
      <c r="AL46" s="341"/>
      <c r="AM46" s="341"/>
      <c r="AN46" s="341"/>
      <c r="AO46" s="341"/>
      <c r="AP46" s="341"/>
      <c r="AQ46" s="341"/>
    </row>
    <row r="47" spans="1:49" ht="15.75" thickBot="1" x14ac:dyDescent="0.3">
      <c r="B47" s="517"/>
      <c r="C47" s="518"/>
      <c r="D47" s="518" t="s">
        <v>224</v>
      </c>
      <c r="E47" s="518" t="s">
        <v>607</v>
      </c>
      <c r="H47" s="173"/>
      <c r="J47" s="174"/>
      <c r="K47" s="175"/>
      <c r="L47" s="173"/>
      <c r="M47" s="174"/>
      <c r="N47" s="814"/>
      <c r="O47" s="518"/>
      <c r="P47" s="518"/>
      <c r="Q47" s="518"/>
      <c r="R47" s="518"/>
      <c r="S47" s="518">
        <v>0</v>
      </c>
      <c r="T47" s="518">
        <v>0</v>
      </c>
      <c r="U47" s="175">
        <v>43207</v>
      </c>
      <c r="V47" s="652">
        <v>43234</v>
      </c>
      <c r="W47" s="518">
        <v>1.9099999999999999E-2</v>
      </c>
      <c r="X47" s="518"/>
      <c r="Y47" s="518"/>
      <c r="Z47" s="175"/>
      <c r="AA47" s="175"/>
      <c r="AB47" s="175"/>
      <c r="AC47" s="176">
        <v>0</v>
      </c>
      <c r="AD47" s="341"/>
      <c r="AE47" s="341"/>
      <c r="AF47" s="341"/>
      <c r="AG47" s="341"/>
      <c r="AH47" s="341"/>
      <c r="AI47" s="341"/>
      <c r="AJ47" s="341"/>
      <c r="AL47" s="341"/>
      <c r="AM47" s="341"/>
      <c r="AN47" s="341"/>
      <c r="AO47" s="341"/>
      <c r="AP47" s="341"/>
      <c r="AQ47" s="341"/>
      <c r="AR47" s="341"/>
      <c r="AS47" s="341"/>
      <c r="AT47" s="341"/>
      <c r="AU47" s="341"/>
      <c r="AV47" s="341"/>
    </row>
    <row r="48" spans="1:49" ht="45.75" thickBot="1" x14ac:dyDescent="0.3">
      <c r="A48" s="14" t="s">
        <v>54</v>
      </c>
      <c r="B48" s="14" t="s">
        <v>23</v>
      </c>
      <c r="C48" s="13" t="s">
        <v>39</v>
      </c>
      <c r="D48" s="270" t="s">
        <v>132</v>
      </c>
      <c r="E48" s="13" t="s">
        <v>265</v>
      </c>
      <c r="F48" s="14" t="s">
        <v>943</v>
      </c>
      <c r="G48" s="14" t="s">
        <v>37</v>
      </c>
      <c r="H48" s="14" t="s">
        <v>677</v>
      </c>
      <c r="I48" s="14" t="s">
        <v>1080</v>
      </c>
      <c r="J48" s="14" t="s">
        <v>42</v>
      </c>
      <c r="K48" s="15" t="s">
        <v>129</v>
      </c>
      <c r="L48" s="14" t="s">
        <v>41</v>
      </c>
      <c r="M48" s="15" t="s">
        <v>127</v>
      </c>
      <c r="N48" s="15" t="s">
        <v>81</v>
      </c>
      <c r="O48" s="14" t="s">
        <v>131</v>
      </c>
      <c r="P48" s="15" t="s">
        <v>125</v>
      </c>
      <c r="Q48" s="15" t="s">
        <v>485</v>
      </c>
      <c r="R48" s="15" t="s">
        <v>30</v>
      </c>
      <c r="S48" s="15" t="s">
        <v>783</v>
      </c>
      <c r="T48" s="14" t="s">
        <v>533</v>
      </c>
      <c r="U48" s="14" t="s">
        <v>534</v>
      </c>
      <c r="V48" s="15" t="s">
        <v>83</v>
      </c>
      <c r="W48" s="14" t="s">
        <v>289</v>
      </c>
      <c r="X48" s="14" t="s">
        <v>290</v>
      </c>
      <c r="Y48" s="14" t="s">
        <v>2</v>
      </c>
      <c r="Z48" s="14" t="s">
        <v>292</v>
      </c>
      <c r="AA48" s="14" t="s">
        <v>308</v>
      </c>
      <c r="AB48" s="14" t="s">
        <v>293</v>
      </c>
      <c r="AC48" s="14" t="s">
        <v>291</v>
      </c>
      <c r="AD48" s="14" t="s">
        <v>3</v>
      </c>
      <c r="AE48" s="14" t="s">
        <v>179</v>
      </c>
      <c r="AF48" s="16" t="s">
        <v>47</v>
      </c>
      <c r="AG48" s="14" t="s">
        <v>44</v>
      </c>
      <c r="AH48" s="14" t="s">
        <v>45</v>
      </c>
      <c r="AI48" s="14" t="s">
        <v>46</v>
      </c>
      <c r="AJ48" s="14" t="s">
        <v>542</v>
      </c>
      <c r="AK48" s="250" t="s">
        <v>43</v>
      </c>
      <c r="AL48" s="688" t="s">
        <v>27</v>
      </c>
      <c r="AM48" s="689" t="s">
        <v>24</v>
      </c>
      <c r="AN48" s="689" t="s">
        <v>33</v>
      </c>
      <c r="AO48" s="689" t="s">
        <v>34</v>
      </c>
      <c r="AP48" s="689" t="s">
        <v>25</v>
      </c>
      <c r="AQ48" s="689" t="s">
        <v>35</v>
      </c>
      <c r="AR48" s="487" t="s">
        <v>420</v>
      </c>
      <c r="AS48" s="14" t="s">
        <v>421</v>
      </c>
      <c r="AT48" s="14" t="s">
        <v>419</v>
      </c>
      <c r="AU48" s="16" t="s">
        <v>724</v>
      </c>
      <c r="AV48" s="16" t="s">
        <v>693</v>
      </c>
      <c r="AW48" s="341"/>
    </row>
    <row r="49" spans="1:48" s="341" customFormat="1" ht="16.5" customHeight="1" thickTop="1" thickBot="1" x14ac:dyDescent="0.3">
      <c r="A49" s="28"/>
      <c r="B49" s="252"/>
      <c r="C49" s="1236" t="s">
        <v>82</v>
      </c>
      <c r="D49" s="1237"/>
      <c r="E49" s="1237"/>
      <c r="F49" s="1237"/>
      <c r="G49" s="1237"/>
      <c r="H49" s="1237"/>
      <c r="I49" s="1237"/>
      <c r="J49" s="1237"/>
      <c r="K49" s="1237"/>
      <c r="L49" s="1237"/>
      <c r="M49" s="1237"/>
      <c r="N49" s="1238"/>
      <c r="O49" s="1239" t="s">
        <v>84</v>
      </c>
      <c r="P49" s="1237"/>
      <c r="Q49" s="1237"/>
      <c r="R49" s="1237"/>
      <c r="S49" s="1237"/>
      <c r="T49" s="1237"/>
      <c r="U49" s="1237"/>
      <c r="V49" s="1237"/>
      <c r="W49" s="1237"/>
      <c r="X49" s="1237"/>
      <c r="Y49" s="1237"/>
      <c r="Z49" s="1237"/>
      <c r="AA49" s="1237"/>
      <c r="AB49" s="1237"/>
      <c r="AC49" s="1238"/>
      <c r="AD49" s="1240" t="s">
        <v>85</v>
      </c>
      <c r="AE49" s="1241"/>
      <c r="AF49" s="1242"/>
      <c r="AG49" s="1236" t="s">
        <v>86</v>
      </c>
      <c r="AH49" s="1241"/>
      <c r="AI49" s="1241"/>
      <c r="AJ49" s="1241"/>
      <c r="AK49" s="1243"/>
      <c r="AL49" s="1244" t="s">
        <v>87</v>
      </c>
      <c r="AM49" s="1241"/>
      <c r="AN49" s="1241"/>
      <c r="AO49" s="1241"/>
      <c r="AP49" s="1241"/>
      <c r="AQ49" s="1243"/>
      <c r="AR49" s="1233" t="s">
        <v>488</v>
      </c>
      <c r="AS49" s="1234"/>
      <c r="AT49" s="1234"/>
      <c r="AU49" s="1234"/>
      <c r="AV49" s="1235"/>
    </row>
    <row r="50" spans="1:48" s="341" customFormat="1" ht="16.5" customHeight="1" thickTop="1" thickBot="1" x14ac:dyDescent="0.3">
      <c r="A50" s="639">
        <v>67679</v>
      </c>
      <c r="B50" s="601" t="s">
        <v>1943</v>
      </c>
      <c r="C50" s="601"/>
      <c r="D50" s="601"/>
      <c r="E50" s="519"/>
      <c r="F50" s="354"/>
      <c r="G50" s="354"/>
      <c r="H50" s="354"/>
      <c r="I50" s="354"/>
      <c r="J50" s="1049"/>
      <c r="K50" s="354"/>
      <c r="L50" s="354"/>
      <c r="M50" s="354"/>
      <c r="N50" s="354"/>
      <c r="O50" s="869"/>
      <c r="P50" s="829"/>
      <c r="Q50" s="869"/>
      <c r="R50" s="869"/>
      <c r="S50" s="1039"/>
      <c r="T50" s="869"/>
      <c r="U50" s="869"/>
      <c r="V50" s="869"/>
      <c r="W50" s="829"/>
      <c r="X50" s="387"/>
      <c r="Y50" s="387"/>
      <c r="Z50" s="387"/>
      <c r="AA50" s="387"/>
      <c r="AB50" s="829"/>
      <c r="AC50" s="387"/>
      <c r="AD50" s="387"/>
      <c r="AE50" s="387"/>
      <c r="AF50" s="387"/>
      <c r="AG50" s="387"/>
      <c r="AH50" s="387"/>
      <c r="AI50" s="387"/>
      <c r="AJ50" s="387"/>
      <c r="AK50" s="387"/>
      <c r="AL50" s="581"/>
      <c r="AM50" s="387"/>
      <c r="AN50" s="387"/>
      <c r="AO50" s="387"/>
      <c r="AP50" s="387"/>
      <c r="AQ50" s="387"/>
      <c r="AR50" s="598"/>
      <c r="AS50" s="599"/>
      <c r="AT50" s="599"/>
      <c r="AU50" s="599"/>
      <c r="AV50" s="584"/>
    </row>
    <row r="51" spans="1:48" s="341" customFormat="1" x14ac:dyDescent="0.25">
      <c r="A51" s="610" t="s">
        <v>1943</v>
      </c>
      <c r="B51" s="874" t="s">
        <v>3284</v>
      </c>
      <c r="C51" s="520" t="str">
        <f t="shared" ref="C51:E64" si="37">VLOOKUP($B51,BondData,HLOOKUP(C$48,BD_Headings,2,FALSE),FALSE)</f>
        <v>TSY INFL IX N/B</v>
      </c>
      <c r="D51" s="520" t="str">
        <f t="shared" si="37"/>
        <v>US GOVERNMENT</v>
      </c>
      <c r="E51" s="236">
        <f t="shared" si="37"/>
        <v>39802000000</v>
      </c>
      <c r="F51" s="891" t="s">
        <v>939</v>
      </c>
      <c r="G51" s="428">
        <f t="shared" ref="G51:G64" si="38">DATEVALUE(VLOOKUP($B51,BondData,HLOOKUP(G$48,BD_Headings,2,FALSE),FALSE))</f>
        <v>47314</v>
      </c>
      <c r="H51" s="743" t="str">
        <f t="shared" ref="H51:H64" si="39">VLOOKUP($B51,BondData,HLOOKUP(H$48,BD_Headings,2,FALSE),FALSE)</f>
        <v>USG</v>
      </c>
      <c r="I51" s="800">
        <f t="shared" ref="I51" si="40">IF(B51="CASHUSD01",1,VLOOKUP($B51,Used_Prices,2,FALSE)/100)</f>
        <v>1.0683199999999999</v>
      </c>
      <c r="J51" s="239">
        <f t="shared" ref="J51:J64" si="41">VLOOKUP($B51,BondData,HLOOKUP(J$48,BD_Headings,2,FALSE),FALSE)</f>
        <v>1</v>
      </c>
      <c r="K51" s="280">
        <f t="shared" ref="K51:L64" si="42">VLOOKUP($B51,BondData,HLOOKUP(K$48,BD_Headings,2,FALSE),FALSE)/100</f>
        <v>2.5000000000000001E-3</v>
      </c>
      <c r="L51" s="240">
        <f t="shared" si="42"/>
        <v>4.9723999999999992E-4</v>
      </c>
      <c r="M51" s="241">
        <f>L51+I51</f>
        <v>1.06881724</v>
      </c>
      <c r="N51" s="640">
        <f>(I51+L51)*J51</f>
        <v>1.06881724</v>
      </c>
      <c r="O51" s="524">
        <v>0</v>
      </c>
      <c r="P51" s="522">
        <v>44648</v>
      </c>
      <c r="Q51" s="526">
        <v>44648</v>
      </c>
      <c r="R51" s="481">
        <v>0</v>
      </c>
      <c r="S51" s="832">
        <v>0</v>
      </c>
      <c r="T51" s="588">
        <f t="shared" ref="T51" si="43">O51*R51*(ValDate-P51)/360</f>
        <v>0</v>
      </c>
      <c r="U51" s="588">
        <f>O51*R51*(Q51-P51)/360</f>
        <v>0</v>
      </c>
      <c r="V51" s="524">
        <v>-615000</v>
      </c>
      <c r="W51" s="527">
        <f>J51*I51*V51</f>
        <v>-657016.79999999993</v>
      </c>
      <c r="X51" s="527">
        <f>V51*N51</f>
        <v>-657322.60259999998</v>
      </c>
      <c r="Y51" s="611">
        <v>0</v>
      </c>
      <c r="Z51" s="641">
        <f>W51*(1-Y51)</f>
        <v>-657016.79999999993</v>
      </c>
      <c r="AA51" s="642">
        <f>Z51-O51-T51</f>
        <v>-657016.79999999993</v>
      </c>
      <c r="AB51" s="641">
        <f>X51*(1-Y51)</f>
        <v>-657322.60259999998</v>
      </c>
      <c r="AC51" s="642">
        <f>AB51-O51-T51</f>
        <v>-657322.60259999998</v>
      </c>
      <c r="AD51" s="643" t="e">
        <f t="shared" ref="AD51" si="44">IF(AU51="CASHUSD01",0,IF(H51="USG",VLOOKUP($AU51,VantageDataUSGRange,19+IF(StressRun="S",3,IF(StressRun="C",6,0)),FALSE),VLOOKUP($AU51,VantageDataPrimeRange,19+IF(StressRun="S",3,IF(StressRun="C",6,0)),FALSE)))/2</f>
        <v>#N/A</v>
      </c>
      <c r="AE51" s="644" t="e">
        <f t="shared" ref="AE51" si="45">IF(AU51="CASHUSD01",0,IF($H51="USG",VLOOKUP($AU51,VantageDataUSGRange,18+IF(StressRun="S",3,IF(StressRun="C",6,0)),FALSE),VLOOKUP($AU51,VantageDataPrimeRange,18+IF(StressRun="S",3,IF(StressRun="C",6,0)),FALSE)))</f>
        <v>#N/A</v>
      </c>
      <c r="AF51" s="645" t="e">
        <f t="shared" ref="AF51" si="46">IF(AU51="CASHUSD01",0,IF($H51="USG",VLOOKUP($AU51,VantageDataUSGRange,20+IF(StressRun="S",3,IF(StressRun="C",6,0)),FALSE),VLOOKUP($AU51,VantageDataPrimeRange,20+IF(StressRun="S",3,IF(StressRun="C",6,0)),FALSE)))</f>
        <v>#N/A</v>
      </c>
      <c r="AG51" s="244">
        <f t="shared" ref="AG51:AK64" si="47">VLOOKUP($B51,BondData,HLOOKUP(AG$48,BD_Headings,2,FALSE),FALSE)</f>
        <v>0</v>
      </c>
      <c r="AH51" s="244" t="e">
        <f t="shared" si="47"/>
        <v>#N/A</v>
      </c>
      <c r="AI51" s="244" t="e">
        <f t="shared" si="47"/>
        <v>#N/A</v>
      </c>
      <c r="AJ51" s="244">
        <f t="shared" si="47"/>
        <v>7.1623284899407587</v>
      </c>
      <c r="AK51" s="394">
        <f t="shared" si="47"/>
        <v>72</v>
      </c>
      <c r="AL51" s="646" t="e">
        <f>MAX(V51*I51*(1-AD51)*J51,0.0001)</f>
        <v>#N/A</v>
      </c>
      <c r="AM51" s="647">
        <f>O51</f>
        <v>0</v>
      </c>
      <c r="AN51" s="648">
        <v>0</v>
      </c>
      <c r="AO51" s="648">
        <f>K51/100</f>
        <v>2.5000000000000001E-5</v>
      </c>
      <c r="AP51" s="648" t="e">
        <f>AE51</f>
        <v>#N/A</v>
      </c>
      <c r="AQ51" s="649" t="e">
        <f>AF51/365</f>
        <v>#N/A</v>
      </c>
      <c r="AR51" s="488">
        <f>I51</f>
        <v>1.0683199999999999</v>
      </c>
      <c r="AS51" s="399">
        <v>1.0385550000000001</v>
      </c>
      <c r="AT51" s="399">
        <v>1.0385550000000001</v>
      </c>
      <c r="AU51" s="798" t="str">
        <f t="shared" ref="AU51" si="48">IF(ISNA(VLOOKUP(B51,VantageProxyDictionary,1,FALSE)),B51,VLOOKUP(B51,VantageProxyDictionary,2,FALSE))</f>
        <v>9128287D6</v>
      </c>
      <c r="AV51" s="798" t="str">
        <f t="shared" ref="AV51:AV64" si="49">VLOOKUP($B51,BondData,HLOOKUP(AV$48,BD_Headings,2,FALSE),FALSE)</f>
        <v>TNOTE</v>
      </c>
    </row>
    <row r="52" spans="1:48" s="341" customFormat="1" x14ac:dyDescent="0.25">
      <c r="A52" s="994" t="s">
        <v>1943</v>
      </c>
      <c r="B52" s="874" t="s">
        <v>3284</v>
      </c>
      <c r="C52" s="520" t="str">
        <f t="shared" si="37"/>
        <v>TSY INFL IX N/B</v>
      </c>
      <c r="D52" s="520" t="str">
        <f t="shared" si="37"/>
        <v>US GOVERNMENT</v>
      </c>
      <c r="E52" s="236">
        <f t="shared" si="37"/>
        <v>39802000000</v>
      </c>
      <c r="F52" s="891" t="s">
        <v>939</v>
      </c>
      <c r="G52" s="428">
        <f t="shared" si="38"/>
        <v>47314</v>
      </c>
      <c r="H52" s="743" t="str">
        <f t="shared" si="39"/>
        <v>USG</v>
      </c>
      <c r="I52" s="800">
        <f t="shared" ref="I52:I64" si="50">IF(B52="CASHUSD01",1,VLOOKUP($B52,Used_Prices,2,FALSE)/100)</f>
        <v>1.0683199999999999</v>
      </c>
      <c r="J52" s="239">
        <f t="shared" si="41"/>
        <v>1</v>
      </c>
      <c r="K52" s="280">
        <f t="shared" si="42"/>
        <v>2.5000000000000001E-3</v>
      </c>
      <c r="L52" s="240">
        <f t="shared" si="42"/>
        <v>4.9723999999999992E-4</v>
      </c>
      <c r="M52" s="241">
        <f t="shared" ref="M52:M64" si="51">L52+I52</f>
        <v>1.06881724</v>
      </c>
      <c r="N52" s="640">
        <f t="shared" ref="N52:N64" si="52">(I52+L52)*J52</f>
        <v>1.06881724</v>
      </c>
      <c r="O52" s="524">
        <v>0</v>
      </c>
      <c r="P52" s="525">
        <v>44642</v>
      </c>
      <c r="Q52" s="526">
        <v>44642</v>
      </c>
      <c r="R52" s="481">
        <v>0</v>
      </c>
      <c r="S52" s="832">
        <v>0</v>
      </c>
      <c r="T52" s="588">
        <f t="shared" ref="T52:T64" si="53">O52*R52*(ValDate-P52)/360</f>
        <v>0</v>
      </c>
      <c r="U52" s="588">
        <f t="shared" ref="U52:U64" si="54">O52*R52*(Q52-P52)/360</f>
        <v>0</v>
      </c>
      <c r="V52" s="524">
        <v>-500000</v>
      </c>
      <c r="W52" s="527">
        <f t="shared" ref="W52:W64" si="55">J52*I52*V52</f>
        <v>-534160</v>
      </c>
      <c r="X52" s="527">
        <f t="shared" ref="X52:X64" si="56">V52*N52</f>
        <v>-534408.62</v>
      </c>
      <c r="Y52" s="611">
        <v>0</v>
      </c>
      <c r="Z52" s="641">
        <f t="shared" ref="Z52:Z64" si="57">W52*(1-Y52)</f>
        <v>-534160</v>
      </c>
      <c r="AA52" s="642">
        <f t="shared" ref="AA52:AA64" si="58">Z52-O52-T52</f>
        <v>-534160</v>
      </c>
      <c r="AB52" s="641">
        <f t="shared" ref="AB52:AB64" si="59">X52*(1-Y52)</f>
        <v>-534408.62</v>
      </c>
      <c r="AC52" s="642">
        <f t="shared" ref="AC52:AC64" si="60">AB52-O52-T52</f>
        <v>-534408.62</v>
      </c>
      <c r="AD52" s="643" t="e">
        <f t="shared" ref="AD52:AD64" si="61">IF(AU52="CASHUSD01",0,IF(H52="USG",VLOOKUP($AU52,VantageDataUSGRange,19+IF(StressRun="S",3,IF(StressRun="C",6,0)),FALSE),VLOOKUP($AU52,VantageDataPrimeRange,19+IF(StressRun="S",3,IF(StressRun="C",6,0)),FALSE)))/2</f>
        <v>#N/A</v>
      </c>
      <c r="AE52" s="644" t="e">
        <f t="shared" ref="AE52:AE64" si="62">IF(AU52="CASHUSD01",0,IF($H52="USG",VLOOKUP($AU52,VantageDataUSGRange,18+IF(StressRun="S",3,IF(StressRun="C",6,0)),FALSE),VLOOKUP($AU52,VantageDataPrimeRange,18+IF(StressRun="S",3,IF(StressRun="C",6,0)),FALSE)))</f>
        <v>#N/A</v>
      </c>
      <c r="AF52" s="645" t="e">
        <f t="shared" ref="AF52:AF64" si="63">IF(AU52="CASHUSD01",0,IF($H52="USG",VLOOKUP($AU52,VantageDataUSGRange,20+IF(StressRun="S",3,IF(StressRun="C",6,0)),FALSE),VLOOKUP($AU52,VantageDataPrimeRange,20+IF(StressRun="S",3,IF(StressRun="C",6,0)),FALSE)))</f>
        <v>#N/A</v>
      </c>
      <c r="AG52" s="244">
        <f t="shared" si="47"/>
        <v>0</v>
      </c>
      <c r="AH52" s="244" t="e">
        <f t="shared" si="47"/>
        <v>#N/A</v>
      </c>
      <c r="AI52" s="244" t="e">
        <f t="shared" si="47"/>
        <v>#N/A</v>
      </c>
      <c r="AJ52" s="244">
        <f t="shared" si="47"/>
        <v>7.1623284899407587</v>
      </c>
      <c r="AK52" s="394">
        <f t="shared" si="47"/>
        <v>72</v>
      </c>
      <c r="AL52" s="646" t="e">
        <f t="shared" ref="AL52:AL64" si="64">MAX(V52*I52*(1-AD52)*J52,0.0001)</f>
        <v>#N/A</v>
      </c>
      <c r="AM52" s="647">
        <f t="shared" ref="AM52:AM64" si="65">O52</f>
        <v>0</v>
      </c>
      <c r="AN52" s="648">
        <v>0</v>
      </c>
      <c r="AO52" s="648">
        <f t="shared" ref="AO52:AO64" si="66">K52/100</f>
        <v>2.5000000000000001E-5</v>
      </c>
      <c r="AP52" s="648" t="e">
        <f t="shared" ref="AP52:AP64" si="67">AE52</f>
        <v>#N/A</v>
      </c>
      <c r="AQ52" s="649" t="e">
        <f t="shared" ref="AQ52:AQ64" si="68">AF52/365</f>
        <v>#N/A</v>
      </c>
      <c r="AR52" s="488">
        <f t="shared" ref="AR52:AR64" si="69">I52</f>
        <v>1.0683199999999999</v>
      </c>
      <c r="AS52" s="399">
        <v>1.0385550000000001</v>
      </c>
      <c r="AT52" s="399">
        <v>1.0385550000000001</v>
      </c>
      <c r="AU52" s="798" t="str">
        <f t="shared" ref="AU52:AU64" si="70">IF(ISNA(VLOOKUP(B52,VantageProxyDictionary,1,FALSE)),B52,VLOOKUP(B52,VantageProxyDictionary,2,FALSE))</f>
        <v>9128287D6</v>
      </c>
      <c r="AV52" s="798" t="str">
        <f t="shared" si="49"/>
        <v>TNOTE</v>
      </c>
    </row>
    <row r="53" spans="1:48" s="341" customFormat="1" x14ac:dyDescent="0.25">
      <c r="A53" s="994" t="s">
        <v>1943</v>
      </c>
      <c r="B53" s="874" t="s">
        <v>4579</v>
      </c>
      <c r="C53" s="520" t="str">
        <f t="shared" si="37"/>
        <v>US TREASURY N/B</v>
      </c>
      <c r="D53" s="520" t="str">
        <f t="shared" si="37"/>
        <v>US GOVERNMENT</v>
      </c>
      <c r="E53" s="236">
        <f t="shared" si="37"/>
        <v>31819000000</v>
      </c>
      <c r="F53" s="891" t="s">
        <v>939</v>
      </c>
      <c r="G53" s="428">
        <f t="shared" si="38"/>
        <v>45412</v>
      </c>
      <c r="H53" s="743" t="str">
        <f t="shared" si="39"/>
        <v>USG</v>
      </c>
      <c r="I53" s="800">
        <f t="shared" si="50"/>
        <v>0.99121099999999995</v>
      </c>
      <c r="J53" s="239">
        <f t="shared" si="41"/>
        <v>1</v>
      </c>
      <c r="K53" s="280">
        <f t="shared" si="42"/>
        <v>0.02</v>
      </c>
      <c r="L53" s="240">
        <f t="shared" si="42"/>
        <v>8.1767999999999997E-3</v>
      </c>
      <c r="M53" s="241">
        <f t="shared" si="51"/>
        <v>0.99938779999999994</v>
      </c>
      <c r="N53" s="640">
        <f t="shared" si="52"/>
        <v>0.99938779999999994</v>
      </c>
      <c r="O53" s="524">
        <v>0</v>
      </c>
      <c r="P53" s="525">
        <v>44642</v>
      </c>
      <c r="Q53" s="526">
        <v>44642</v>
      </c>
      <c r="R53" s="481">
        <v>0</v>
      </c>
      <c r="S53" s="832">
        <v>0</v>
      </c>
      <c r="T53" s="588">
        <f t="shared" si="53"/>
        <v>0</v>
      </c>
      <c r="U53" s="588">
        <f t="shared" si="54"/>
        <v>0</v>
      </c>
      <c r="V53" s="524">
        <v>-400000</v>
      </c>
      <c r="W53" s="527">
        <f t="shared" si="55"/>
        <v>-396484.39999999997</v>
      </c>
      <c r="X53" s="527">
        <f t="shared" si="56"/>
        <v>-399755.12</v>
      </c>
      <c r="Y53" s="611">
        <v>0</v>
      </c>
      <c r="Z53" s="641">
        <f t="shared" si="57"/>
        <v>-396484.39999999997</v>
      </c>
      <c r="AA53" s="642">
        <f t="shared" si="58"/>
        <v>-396484.39999999997</v>
      </c>
      <c r="AB53" s="641">
        <f t="shared" si="59"/>
        <v>-399755.12</v>
      </c>
      <c r="AC53" s="642">
        <f t="shared" si="60"/>
        <v>-399755.12</v>
      </c>
      <c r="AD53" s="643" t="e">
        <f t="shared" si="61"/>
        <v>#N/A</v>
      </c>
      <c r="AE53" s="644" t="e">
        <f t="shared" si="62"/>
        <v>#N/A</v>
      </c>
      <c r="AF53" s="645" t="e">
        <f t="shared" si="63"/>
        <v>#N/A</v>
      </c>
      <c r="AG53" s="244">
        <f t="shared" si="47"/>
        <v>0</v>
      </c>
      <c r="AH53" s="244" t="e">
        <f t="shared" si="47"/>
        <v>#N/A</v>
      </c>
      <c r="AI53" s="244" t="e">
        <f t="shared" si="47"/>
        <v>#N/A</v>
      </c>
      <c r="AJ53" s="244">
        <f t="shared" si="47"/>
        <v>2.0249946009890931</v>
      </c>
      <c r="AK53" s="394">
        <f t="shared" si="47"/>
        <v>148</v>
      </c>
      <c r="AL53" s="646" t="e">
        <f t="shared" si="64"/>
        <v>#N/A</v>
      </c>
      <c r="AM53" s="647">
        <f t="shared" si="65"/>
        <v>0</v>
      </c>
      <c r="AN53" s="648">
        <v>0</v>
      </c>
      <c r="AO53" s="648">
        <f t="shared" si="66"/>
        <v>2.0000000000000001E-4</v>
      </c>
      <c r="AP53" s="648" t="e">
        <f t="shared" si="67"/>
        <v>#N/A</v>
      </c>
      <c r="AQ53" s="649" t="e">
        <f t="shared" si="68"/>
        <v>#N/A</v>
      </c>
      <c r="AR53" s="488">
        <f t="shared" si="69"/>
        <v>0.99121099999999995</v>
      </c>
      <c r="AS53" s="399">
        <v>1.0385550000000001</v>
      </c>
      <c r="AT53" s="399">
        <v>1.0385550000000001</v>
      </c>
      <c r="AU53" s="798" t="str">
        <f t="shared" si="70"/>
        <v>912828X70</v>
      </c>
      <c r="AV53" s="798" t="str">
        <f t="shared" si="49"/>
        <v>TNOTE</v>
      </c>
    </row>
    <row r="54" spans="1:48" s="341" customFormat="1" x14ac:dyDescent="0.25">
      <c r="A54" s="994" t="s">
        <v>1943</v>
      </c>
      <c r="B54" s="874" t="s">
        <v>3284</v>
      </c>
      <c r="C54" s="520" t="str">
        <f t="shared" si="37"/>
        <v>TSY INFL IX N/B</v>
      </c>
      <c r="D54" s="520" t="str">
        <f t="shared" si="37"/>
        <v>US GOVERNMENT</v>
      </c>
      <c r="E54" s="236">
        <f t="shared" si="37"/>
        <v>39802000000</v>
      </c>
      <c r="F54" s="891" t="s">
        <v>939</v>
      </c>
      <c r="G54" s="428">
        <f t="shared" si="38"/>
        <v>47314</v>
      </c>
      <c r="H54" s="743" t="str">
        <f t="shared" si="39"/>
        <v>USG</v>
      </c>
      <c r="I54" s="800">
        <f t="shared" si="50"/>
        <v>1.0683199999999999</v>
      </c>
      <c r="J54" s="239">
        <f t="shared" si="41"/>
        <v>1</v>
      </c>
      <c r="K54" s="280">
        <f t="shared" si="42"/>
        <v>2.5000000000000001E-3</v>
      </c>
      <c r="L54" s="240">
        <f t="shared" si="42"/>
        <v>4.9723999999999992E-4</v>
      </c>
      <c r="M54" s="241">
        <f t="shared" si="51"/>
        <v>1.06881724</v>
      </c>
      <c r="N54" s="640">
        <f t="shared" si="52"/>
        <v>1.06881724</v>
      </c>
      <c r="O54" s="524">
        <v>0</v>
      </c>
      <c r="P54" s="525">
        <v>44635</v>
      </c>
      <c r="Q54" s="526">
        <v>44635</v>
      </c>
      <c r="R54" s="481">
        <v>0</v>
      </c>
      <c r="S54" s="832">
        <v>0</v>
      </c>
      <c r="T54" s="588">
        <f t="shared" si="53"/>
        <v>0</v>
      </c>
      <c r="U54" s="588">
        <f t="shared" si="54"/>
        <v>0</v>
      </c>
      <c r="V54" s="524">
        <v>-200000</v>
      </c>
      <c r="W54" s="527">
        <f t="shared" si="55"/>
        <v>-213664</v>
      </c>
      <c r="X54" s="527">
        <f t="shared" si="56"/>
        <v>-213763.448</v>
      </c>
      <c r="Y54" s="611">
        <v>0</v>
      </c>
      <c r="Z54" s="641">
        <f t="shared" si="57"/>
        <v>-213664</v>
      </c>
      <c r="AA54" s="642">
        <f t="shared" si="58"/>
        <v>-213664</v>
      </c>
      <c r="AB54" s="641">
        <f t="shared" si="59"/>
        <v>-213763.448</v>
      </c>
      <c r="AC54" s="642">
        <f t="shared" si="60"/>
        <v>-213763.448</v>
      </c>
      <c r="AD54" s="643" t="e">
        <f t="shared" si="61"/>
        <v>#N/A</v>
      </c>
      <c r="AE54" s="644" t="e">
        <f t="shared" si="62"/>
        <v>#N/A</v>
      </c>
      <c r="AF54" s="645" t="e">
        <f t="shared" si="63"/>
        <v>#N/A</v>
      </c>
      <c r="AG54" s="244">
        <f t="shared" si="47"/>
        <v>0</v>
      </c>
      <c r="AH54" s="244" t="e">
        <f t="shared" si="47"/>
        <v>#N/A</v>
      </c>
      <c r="AI54" s="244" t="e">
        <f t="shared" si="47"/>
        <v>#N/A</v>
      </c>
      <c r="AJ54" s="244">
        <f t="shared" si="47"/>
        <v>7.1623284899407587</v>
      </c>
      <c r="AK54" s="394">
        <f t="shared" si="47"/>
        <v>72</v>
      </c>
      <c r="AL54" s="646" t="e">
        <f t="shared" si="64"/>
        <v>#N/A</v>
      </c>
      <c r="AM54" s="647">
        <f t="shared" si="65"/>
        <v>0</v>
      </c>
      <c r="AN54" s="648">
        <v>0</v>
      </c>
      <c r="AO54" s="648">
        <f t="shared" si="66"/>
        <v>2.5000000000000001E-5</v>
      </c>
      <c r="AP54" s="648" t="e">
        <f t="shared" si="67"/>
        <v>#N/A</v>
      </c>
      <c r="AQ54" s="649" t="e">
        <f t="shared" si="68"/>
        <v>#N/A</v>
      </c>
      <c r="AR54" s="488">
        <f t="shared" si="69"/>
        <v>1.0683199999999999</v>
      </c>
      <c r="AS54" s="399">
        <v>1.0385550000000001</v>
      </c>
      <c r="AT54" s="399">
        <v>1.0385550000000001</v>
      </c>
      <c r="AU54" s="798" t="str">
        <f t="shared" si="70"/>
        <v>9128287D6</v>
      </c>
      <c r="AV54" s="798" t="str">
        <f t="shared" si="49"/>
        <v>TNOTE</v>
      </c>
    </row>
    <row r="55" spans="1:48" s="341" customFormat="1" x14ac:dyDescent="0.25">
      <c r="A55" s="994" t="s">
        <v>1943</v>
      </c>
      <c r="B55" s="874" t="s">
        <v>4579</v>
      </c>
      <c r="C55" s="520" t="str">
        <f t="shared" si="37"/>
        <v>US TREASURY N/B</v>
      </c>
      <c r="D55" s="520" t="str">
        <f t="shared" si="37"/>
        <v>US GOVERNMENT</v>
      </c>
      <c r="E55" s="236">
        <f t="shared" si="37"/>
        <v>31819000000</v>
      </c>
      <c r="F55" s="891" t="s">
        <v>939</v>
      </c>
      <c r="G55" s="428">
        <f t="shared" si="38"/>
        <v>45412</v>
      </c>
      <c r="H55" s="743" t="str">
        <f t="shared" si="39"/>
        <v>USG</v>
      </c>
      <c r="I55" s="800">
        <f t="shared" si="50"/>
        <v>0.99121099999999995</v>
      </c>
      <c r="J55" s="239">
        <f t="shared" si="41"/>
        <v>1</v>
      </c>
      <c r="K55" s="280">
        <f t="shared" si="42"/>
        <v>0.02</v>
      </c>
      <c r="L55" s="240">
        <f t="shared" si="42"/>
        <v>8.1767999999999997E-3</v>
      </c>
      <c r="M55" s="241">
        <f t="shared" si="51"/>
        <v>0.99938779999999994</v>
      </c>
      <c r="N55" s="640">
        <f t="shared" si="52"/>
        <v>0.99938779999999994</v>
      </c>
      <c r="O55" s="524">
        <v>-300000</v>
      </c>
      <c r="P55" s="525">
        <v>44648</v>
      </c>
      <c r="Q55" s="526">
        <v>44669</v>
      </c>
      <c r="R55" s="481">
        <v>4.5000000000000005E-3</v>
      </c>
      <c r="S55" s="832">
        <v>0</v>
      </c>
      <c r="T55" s="588">
        <f t="shared" si="53"/>
        <v>-11.250000000000002</v>
      </c>
      <c r="U55" s="588">
        <f t="shared" si="54"/>
        <v>-78.750000000000014</v>
      </c>
      <c r="V55" s="524">
        <v>-305000</v>
      </c>
      <c r="W55" s="527">
        <f t="shared" si="55"/>
        <v>-302319.35499999998</v>
      </c>
      <c r="X55" s="527">
        <f t="shared" si="56"/>
        <v>-304813.27899999998</v>
      </c>
      <c r="Y55" s="611">
        <v>1.7500000000000002E-2</v>
      </c>
      <c r="Z55" s="641">
        <f t="shared" si="57"/>
        <v>-297028.76628749998</v>
      </c>
      <c r="AA55" s="642">
        <f t="shared" si="58"/>
        <v>2982.4837125000195</v>
      </c>
      <c r="AB55" s="641">
        <f t="shared" si="59"/>
        <v>-299479.04661750002</v>
      </c>
      <c r="AC55" s="642">
        <f t="shared" si="60"/>
        <v>532.20338249998167</v>
      </c>
      <c r="AD55" s="643" t="e">
        <f t="shared" si="61"/>
        <v>#N/A</v>
      </c>
      <c r="AE55" s="644" t="e">
        <f t="shared" si="62"/>
        <v>#N/A</v>
      </c>
      <c r="AF55" s="645" t="e">
        <f t="shared" si="63"/>
        <v>#N/A</v>
      </c>
      <c r="AG55" s="244">
        <f t="shared" si="47"/>
        <v>0</v>
      </c>
      <c r="AH55" s="244" t="e">
        <f t="shared" si="47"/>
        <v>#N/A</v>
      </c>
      <c r="AI55" s="244" t="e">
        <f t="shared" si="47"/>
        <v>#N/A</v>
      </c>
      <c r="AJ55" s="244">
        <f t="shared" si="47"/>
        <v>2.0249946009890931</v>
      </c>
      <c r="AK55" s="394">
        <f t="shared" si="47"/>
        <v>148</v>
      </c>
      <c r="AL55" s="646" t="e">
        <f t="shared" si="64"/>
        <v>#N/A</v>
      </c>
      <c r="AM55" s="647">
        <f t="shared" si="65"/>
        <v>-300000</v>
      </c>
      <c r="AN55" s="648">
        <v>0</v>
      </c>
      <c r="AO55" s="648">
        <f t="shared" si="66"/>
        <v>2.0000000000000001E-4</v>
      </c>
      <c r="AP55" s="648" t="e">
        <f t="shared" si="67"/>
        <v>#N/A</v>
      </c>
      <c r="AQ55" s="649" t="e">
        <f t="shared" si="68"/>
        <v>#N/A</v>
      </c>
      <c r="AR55" s="488">
        <f t="shared" si="69"/>
        <v>0.99121099999999995</v>
      </c>
      <c r="AS55" s="399">
        <v>1.0385550000000001</v>
      </c>
      <c r="AT55" s="399">
        <v>1.0385550000000001</v>
      </c>
      <c r="AU55" s="798" t="str">
        <f t="shared" si="70"/>
        <v>912828X70</v>
      </c>
      <c r="AV55" s="798" t="str">
        <f t="shared" si="49"/>
        <v>TNOTE</v>
      </c>
    </row>
    <row r="56" spans="1:48" s="341" customFormat="1" x14ac:dyDescent="0.25">
      <c r="A56" s="994" t="s">
        <v>1943</v>
      </c>
      <c r="B56" s="874" t="s">
        <v>4579</v>
      </c>
      <c r="C56" s="520" t="str">
        <f t="shared" si="37"/>
        <v>US TREASURY N/B</v>
      </c>
      <c r="D56" s="520" t="str">
        <f t="shared" si="37"/>
        <v>US GOVERNMENT</v>
      </c>
      <c r="E56" s="236">
        <f t="shared" si="37"/>
        <v>31819000000</v>
      </c>
      <c r="F56" s="891" t="s">
        <v>939</v>
      </c>
      <c r="G56" s="428">
        <f t="shared" si="38"/>
        <v>45412</v>
      </c>
      <c r="H56" s="743" t="str">
        <f t="shared" si="39"/>
        <v>USG</v>
      </c>
      <c r="I56" s="800">
        <f t="shared" si="50"/>
        <v>0.99121099999999995</v>
      </c>
      <c r="J56" s="239">
        <f t="shared" si="41"/>
        <v>1</v>
      </c>
      <c r="K56" s="280">
        <f t="shared" si="42"/>
        <v>0.02</v>
      </c>
      <c r="L56" s="240">
        <f t="shared" si="42"/>
        <v>8.1767999999999997E-3</v>
      </c>
      <c r="M56" s="241">
        <f t="shared" si="51"/>
        <v>0.99938779999999994</v>
      </c>
      <c r="N56" s="640">
        <f t="shared" si="52"/>
        <v>0.99938779999999994</v>
      </c>
      <c r="O56" s="524">
        <v>-300037.08</v>
      </c>
      <c r="P56" s="525">
        <v>44645</v>
      </c>
      <c r="Q56" s="526">
        <v>44669</v>
      </c>
      <c r="R56" s="481">
        <v>4.5000000000000005E-3</v>
      </c>
      <c r="S56" s="832">
        <v>0</v>
      </c>
      <c r="T56" s="588">
        <f t="shared" si="53"/>
        <v>-22.502781000000006</v>
      </c>
      <c r="U56" s="588">
        <f t="shared" si="54"/>
        <v>-90.011124000000024</v>
      </c>
      <c r="V56" s="524">
        <v>-305000</v>
      </c>
      <c r="W56" s="527">
        <f t="shared" si="55"/>
        <v>-302319.35499999998</v>
      </c>
      <c r="X56" s="527">
        <f t="shared" si="56"/>
        <v>-304813.27899999998</v>
      </c>
      <c r="Y56" s="611">
        <v>1.7500000000000002E-2</v>
      </c>
      <c r="Z56" s="641">
        <f t="shared" si="57"/>
        <v>-297028.76628749998</v>
      </c>
      <c r="AA56" s="642">
        <f t="shared" si="58"/>
        <v>3030.8164935000359</v>
      </c>
      <c r="AB56" s="641">
        <f t="shared" si="59"/>
        <v>-299479.04661750002</v>
      </c>
      <c r="AC56" s="642">
        <f t="shared" si="60"/>
        <v>580.536163499998</v>
      </c>
      <c r="AD56" s="643" t="e">
        <f t="shared" si="61"/>
        <v>#N/A</v>
      </c>
      <c r="AE56" s="644" t="e">
        <f t="shared" si="62"/>
        <v>#N/A</v>
      </c>
      <c r="AF56" s="645" t="e">
        <f t="shared" si="63"/>
        <v>#N/A</v>
      </c>
      <c r="AG56" s="244">
        <f t="shared" si="47"/>
        <v>0</v>
      </c>
      <c r="AH56" s="244" t="e">
        <f t="shared" si="47"/>
        <v>#N/A</v>
      </c>
      <c r="AI56" s="244" t="e">
        <f t="shared" si="47"/>
        <v>#N/A</v>
      </c>
      <c r="AJ56" s="244">
        <f t="shared" si="47"/>
        <v>2.0249946009890931</v>
      </c>
      <c r="AK56" s="394">
        <f t="shared" si="47"/>
        <v>148</v>
      </c>
      <c r="AL56" s="646" t="e">
        <f t="shared" si="64"/>
        <v>#N/A</v>
      </c>
      <c r="AM56" s="647">
        <f t="shared" si="65"/>
        <v>-300037.08</v>
      </c>
      <c r="AN56" s="648">
        <v>0</v>
      </c>
      <c r="AO56" s="648">
        <f t="shared" si="66"/>
        <v>2.0000000000000001E-4</v>
      </c>
      <c r="AP56" s="648" t="e">
        <f t="shared" si="67"/>
        <v>#N/A</v>
      </c>
      <c r="AQ56" s="649" t="e">
        <f t="shared" si="68"/>
        <v>#N/A</v>
      </c>
      <c r="AR56" s="488">
        <f t="shared" si="69"/>
        <v>0.99121099999999995</v>
      </c>
      <c r="AS56" s="399">
        <v>1.0385550000000001</v>
      </c>
      <c r="AT56" s="399">
        <v>1.0385550000000001</v>
      </c>
      <c r="AU56" s="798" t="str">
        <f t="shared" si="70"/>
        <v>912828X70</v>
      </c>
      <c r="AV56" s="798" t="str">
        <f t="shared" si="49"/>
        <v>TNOTE</v>
      </c>
    </row>
    <row r="57" spans="1:48" s="341" customFormat="1" x14ac:dyDescent="0.25">
      <c r="A57" s="994" t="s">
        <v>1943</v>
      </c>
      <c r="B57" s="874" t="s">
        <v>4579</v>
      </c>
      <c r="C57" s="520" t="str">
        <f t="shared" si="37"/>
        <v>US TREASURY N/B</v>
      </c>
      <c r="D57" s="520" t="str">
        <f t="shared" si="37"/>
        <v>US GOVERNMENT</v>
      </c>
      <c r="E57" s="236">
        <f t="shared" si="37"/>
        <v>31819000000</v>
      </c>
      <c r="F57" s="891" t="s">
        <v>939</v>
      </c>
      <c r="G57" s="428">
        <f t="shared" si="38"/>
        <v>45412</v>
      </c>
      <c r="H57" s="743" t="str">
        <f t="shared" si="39"/>
        <v>USG</v>
      </c>
      <c r="I57" s="800">
        <f t="shared" si="50"/>
        <v>0.99121099999999995</v>
      </c>
      <c r="J57" s="239">
        <f t="shared" si="41"/>
        <v>1</v>
      </c>
      <c r="K57" s="280">
        <f t="shared" si="42"/>
        <v>0.02</v>
      </c>
      <c r="L57" s="240">
        <f t="shared" si="42"/>
        <v>8.1767999999999997E-3</v>
      </c>
      <c r="M57" s="241">
        <f t="shared" si="51"/>
        <v>0.99938779999999994</v>
      </c>
      <c r="N57" s="640">
        <f t="shared" si="52"/>
        <v>0.99938779999999994</v>
      </c>
      <c r="O57" s="524">
        <v>-800000</v>
      </c>
      <c r="P57" s="525">
        <v>44642</v>
      </c>
      <c r="Q57" s="526">
        <v>44729</v>
      </c>
      <c r="R57" s="481">
        <v>7.0999999999999995E-3</v>
      </c>
      <c r="S57" s="832">
        <v>0</v>
      </c>
      <c r="T57" s="588">
        <f t="shared" si="53"/>
        <v>-142</v>
      </c>
      <c r="U57" s="588">
        <f t="shared" si="54"/>
        <v>-1372.6666666666667</v>
      </c>
      <c r="V57" s="524">
        <v>-812000</v>
      </c>
      <c r="W57" s="527">
        <f t="shared" si="55"/>
        <v>-804863.33199999994</v>
      </c>
      <c r="X57" s="527">
        <f t="shared" si="56"/>
        <v>-811502.89359999995</v>
      </c>
      <c r="Y57" s="611">
        <v>1.7500000000000002E-2</v>
      </c>
      <c r="Z57" s="641">
        <f t="shared" si="57"/>
        <v>-790778.22369000001</v>
      </c>
      <c r="AA57" s="642">
        <f t="shared" si="58"/>
        <v>9363.7763099999866</v>
      </c>
      <c r="AB57" s="641">
        <f t="shared" si="59"/>
        <v>-797301.59296199994</v>
      </c>
      <c r="AC57" s="642">
        <f t="shared" si="60"/>
        <v>2840.407038000063</v>
      </c>
      <c r="AD57" s="643" t="e">
        <f t="shared" si="61"/>
        <v>#N/A</v>
      </c>
      <c r="AE57" s="644" t="e">
        <f t="shared" si="62"/>
        <v>#N/A</v>
      </c>
      <c r="AF57" s="645" t="e">
        <f t="shared" si="63"/>
        <v>#N/A</v>
      </c>
      <c r="AG57" s="244">
        <f t="shared" si="47"/>
        <v>0</v>
      </c>
      <c r="AH57" s="244" t="e">
        <f t="shared" si="47"/>
        <v>#N/A</v>
      </c>
      <c r="AI57" s="244" t="e">
        <f t="shared" si="47"/>
        <v>#N/A</v>
      </c>
      <c r="AJ57" s="244">
        <f t="shared" si="47"/>
        <v>2.0249946009890931</v>
      </c>
      <c r="AK57" s="394">
        <f t="shared" si="47"/>
        <v>148</v>
      </c>
      <c r="AL57" s="646" t="e">
        <f t="shared" si="64"/>
        <v>#N/A</v>
      </c>
      <c r="AM57" s="647">
        <f t="shared" si="65"/>
        <v>-800000</v>
      </c>
      <c r="AN57" s="648">
        <v>0</v>
      </c>
      <c r="AO57" s="648">
        <f t="shared" si="66"/>
        <v>2.0000000000000001E-4</v>
      </c>
      <c r="AP57" s="648" t="e">
        <f t="shared" si="67"/>
        <v>#N/A</v>
      </c>
      <c r="AQ57" s="649" t="e">
        <f t="shared" si="68"/>
        <v>#N/A</v>
      </c>
      <c r="AR57" s="488">
        <f t="shared" si="69"/>
        <v>0.99121099999999995</v>
      </c>
      <c r="AS57" s="399">
        <v>1.0385550000000001</v>
      </c>
      <c r="AT57" s="399">
        <v>1.0385550000000001</v>
      </c>
      <c r="AU57" s="798" t="str">
        <f t="shared" si="70"/>
        <v>912828X70</v>
      </c>
      <c r="AV57" s="798" t="str">
        <f t="shared" si="49"/>
        <v>TNOTE</v>
      </c>
    </row>
    <row r="58" spans="1:48" s="341" customFormat="1" x14ac:dyDescent="0.25">
      <c r="A58" s="994" t="s">
        <v>1943</v>
      </c>
      <c r="B58" s="874" t="s">
        <v>4579</v>
      </c>
      <c r="C58" s="520" t="str">
        <f t="shared" si="37"/>
        <v>US TREASURY N/B</v>
      </c>
      <c r="D58" s="520" t="str">
        <f t="shared" si="37"/>
        <v>US GOVERNMENT</v>
      </c>
      <c r="E58" s="236">
        <f t="shared" si="37"/>
        <v>31819000000</v>
      </c>
      <c r="F58" s="891" t="s">
        <v>939</v>
      </c>
      <c r="G58" s="428">
        <f t="shared" si="38"/>
        <v>45412</v>
      </c>
      <c r="H58" s="743" t="str">
        <f t="shared" si="39"/>
        <v>USG</v>
      </c>
      <c r="I58" s="800">
        <f t="shared" si="50"/>
        <v>0.99121099999999995</v>
      </c>
      <c r="J58" s="239">
        <f t="shared" si="41"/>
        <v>1</v>
      </c>
      <c r="K58" s="280">
        <f t="shared" si="42"/>
        <v>0.02</v>
      </c>
      <c r="L58" s="240">
        <f t="shared" si="42"/>
        <v>8.1767999999999997E-3</v>
      </c>
      <c r="M58" s="241">
        <f t="shared" si="51"/>
        <v>0.99938779999999994</v>
      </c>
      <c r="N58" s="640">
        <f t="shared" si="52"/>
        <v>0.99938779999999994</v>
      </c>
      <c r="O58" s="524">
        <v>-6700000</v>
      </c>
      <c r="P58" s="525">
        <v>44635</v>
      </c>
      <c r="Q58" s="526">
        <v>44669</v>
      </c>
      <c r="R58" s="481">
        <v>4.5000000000000005E-3</v>
      </c>
      <c r="S58" s="832">
        <v>0</v>
      </c>
      <c r="T58" s="588">
        <f t="shared" si="53"/>
        <v>-1340.0000000000002</v>
      </c>
      <c r="U58" s="588">
        <f t="shared" si="54"/>
        <v>-2847.5000000000005</v>
      </c>
      <c r="V58" s="524">
        <v>-6752000</v>
      </c>
      <c r="W58" s="527">
        <f t="shared" si="55"/>
        <v>-6692656.6719999993</v>
      </c>
      <c r="X58" s="527">
        <f t="shared" si="56"/>
        <v>-6747866.4255999997</v>
      </c>
      <c r="Y58" s="611">
        <v>1.7500000000000002E-2</v>
      </c>
      <c r="Z58" s="641">
        <f t="shared" si="57"/>
        <v>-6575535.1802399997</v>
      </c>
      <c r="AA58" s="642">
        <f t="shared" si="58"/>
        <v>125804.81976000033</v>
      </c>
      <c r="AB58" s="641">
        <f t="shared" si="59"/>
        <v>-6629778.7631519996</v>
      </c>
      <c r="AC58" s="642">
        <f t="shared" si="60"/>
        <v>71561.236848000437</v>
      </c>
      <c r="AD58" s="643" t="e">
        <f t="shared" si="61"/>
        <v>#N/A</v>
      </c>
      <c r="AE58" s="644" t="e">
        <f t="shared" si="62"/>
        <v>#N/A</v>
      </c>
      <c r="AF58" s="645" t="e">
        <f t="shared" si="63"/>
        <v>#N/A</v>
      </c>
      <c r="AG58" s="244">
        <f t="shared" si="47"/>
        <v>0</v>
      </c>
      <c r="AH58" s="244" t="e">
        <f t="shared" si="47"/>
        <v>#N/A</v>
      </c>
      <c r="AI58" s="244" t="e">
        <f t="shared" si="47"/>
        <v>#N/A</v>
      </c>
      <c r="AJ58" s="244">
        <f t="shared" si="47"/>
        <v>2.0249946009890931</v>
      </c>
      <c r="AK58" s="394">
        <f t="shared" si="47"/>
        <v>148</v>
      </c>
      <c r="AL58" s="646" t="e">
        <f t="shared" si="64"/>
        <v>#N/A</v>
      </c>
      <c r="AM58" s="647">
        <f t="shared" si="65"/>
        <v>-6700000</v>
      </c>
      <c r="AN58" s="648">
        <v>0</v>
      </c>
      <c r="AO58" s="648">
        <f t="shared" si="66"/>
        <v>2.0000000000000001E-4</v>
      </c>
      <c r="AP58" s="648" t="e">
        <f t="shared" si="67"/>
        <v>#N/A</v>
      </c>
      <c r="AQ58" s="649" t="e">
        <f t="shared" si="68"/>
        <v>#N/A</v>
      </c>
      <c r="AR58" s="488">
        <f t="shared" si="69"/>
        <v>0.99121099999999995</v>
      </c>
      <c r="AS58" s="399">
        <v>1.0385550000000001</v>
      </c>
      <c r="AT58" s="399">
        <v>1.0385550000000001</v>
      </c>
      <c r="AU58" s="798" t="str">
        <f t="shared" si="70"/>
        <v>912828X70</v>
      </c>
      <c r="AV58" s="798" t="str">
        <f t="shared" si="49"/>
        <v>TNOTE</v>
      </c>
    </row>
    <row r="59" spans="1:48" s="341" customFormat="1" x14ac:dyDescent="0.25">
      <c r="A59" s="994" t="s">
        <v>1943</v>
      </c>
      <c r="B59" s="874" t="s">
        <v>4579</v>
      </c>
      <c r="C59" s="520" t="str">
        <f t="shared" si="37"/>
        <v>US TREASURY N/B</v>
      </c>
      <c r="D59" s="520" t="str">
        <f t="shared" si="37"/>
        <v>US GOVERNMENT</v>
      </c>
      <c r="E59" s="236">
        <f t="shared" si="37"/>
        <v>31819000000</v>
      </c>
      <c r="F59" s="891" t="s">
        <v>939</v>
      </c>
      <c r="G59" s="428">
        <f t="shared" si="38"/>
        <v>45412</v>
      </c>
      <c r="H59" s="743" t="str">
        <f t="shared" si="39"/>
        <v>USG</v>
      </c>
      <c r="I59" s="800">
        <f t="shared" si="50"/>
        <v>0.99121099999999995</v>
      </c>
      <c r="J59" s="239">
        <f t="shared" si="41"/>
        <v>1</v>
      </c>
      <c r="K59" s="280">
        <f t="shared" si="42"/>
        <v>0.02</v>
      </c>
      <c r="L59" s="240">
        <f t="shared" si="42"/>
        <v>8.1767999999999997E-3</v>
      </c>
      <c r="M59" s="241">
        <f t="shared" si="51"/>
        <v>0.99938779999999994</v>
      </c>
      <c r="N59" s="640">
        <f t="shared" si="52"/>
        <v>0.99938779999999994</v>
      </c>
      <c r="O59" s="524">
        <v>-22944969.989999998</v>
      </c>
      <c r="P59" s="525">
        <v>44637</v>
      </c>
      <c r="Q59" s="526">
        <v>44669</v>
      </c>
      <c r="R59" s="481">
        <v>4.6999999999999993E-3</v>
      </c>
      <c r="S59" s="832">
        <v>0</v>
      </c>
      <c r="T59" s="588">
        <f t="shared" si="53"/>
        <v>-4193.8306259499996</v>
      </c>
      <c r="U59" s="588">
        <f t="shared" si="54"/>
        <v>-9585.8985735999977</v>
      </c>
      <c r="V59" s="524">
        <v>-23151000</v>
      </c>
      <c r="W59" s="527">
        <f t="shared" si="55"/>
        <v>-22947525.860999998</v>
      </c>
      <c r="X59" s="527">
        <f t="shared" si="56"/>
        <v>-23136826.957799997</v>
      </c>
      <c r="Y59" s="611">
        <v>1.7500000000000002E-2</v>
      </c>
      <c r="Z59" s="641">
        <f t="shared" si="57"/>
        <v>-22545944.158432499</v>
      </c>
      <c r="AA59" s="642">
        <f t="shared" si="58"/>
        <v>403219.6621934498</v>
      </c>
      <c r="AB59" s="641">
        <f t="shared" si="59"/>
        <v>-22731932.486038499</v>
      </c>
      <c r="AC59" s="642">
        <f t="shared" si="60"/>
        <v>217231.33458744979</v>
      </c>
      <c r="AD59" s="643" t="e">
        <f t="shared" si="61"/>
        <v>#N/A</v>
      </c>
      <c r="AE59" s="644" t="e">
        <f t="shared" si="62"/>
        <v>#N/A</v>
      </c>
      <c r="AF59" s="645" t="e">
        <f t="shared" si="63"/>
        <v>#N/A</v>
      </c>
      <c r="AG59" s="244">
        <f t="shared" si="47"/>
        <v>0</v>
      </c>
      <c r="AH59" s="244" t="e">
        <f t="shared" si="47"/>
        <v>#N/A</v>
      </c>
      <c r="AI59" s="244" t="e">
        <f t="shared" si="47"/>
        <v>#N/A</v>
      </c>
      <c r="AJ59" s="244">
        <f t="shared" si="47"/>
        <v>2.0249946009890931</v>
      </c>
      <c r="AK59" s="394">
        <f t="shared" si="47"/>
        <v>148</v>
      </c>
      <c r="AL59" s="646" t="e">
        <f t="shared" si="64"/>
        <v>#N/A</v>
      </c>
      <c r="AM59" s="647">
        <f t="shared" si="65"/>
        <v>-22944969.989999998</v>
      </c>
      <c r="AN59" s="648">
        <v>0</v>
      </c>
      <c r="AO59" s="648">
        <f t="shared" si="66"/>
        <v>2.0000000000000001E-4</v>
      </c>
      <c r="AP59" s="648" t="e">
        <f t="shared" si="67"/>
        <v>#N/A</v>
      </c>
      <c r="AQ59" s="649" t="e">
        <f t="shared" si="68"/>
        <v>#N/A</v>
      </c>
      <c r="AR59" s="488">
        <f t="shared" si="69"/>
        <v>0.99121099999999995</v>
      </c>
      <c r="AS59" s="399">
        <v>1.0385550000000001</v>
      </c>
      <c r="AT59" s="399">
        <v>1.0385550000000001</v>
      </c>
      <c r="AU59" s="798" t="str">
        <f t="shared" si="70"/>
        <v>912828X70</v>
      </c>
      <c r="AV59" s="798" t="str">
        <f t="shared" si="49"/>
        <v>TNOTE</v>
      </c>
    </row>
    <row r="60" spans="1:48" s="341" customFormat="1" x14ac:dyDescent="0.25">
      <c r="A60" s="994" t="s">
        <v>1943</v>
      </c>
      <c r="B60" s="874" t="s">
        <v>4579</v>
      </c>
      <c r="C60" s="520" t="str">
        <f t="shared" si="37"/>
        <v>US TREASURY N/B</v>
      </c>
      <c r="D60" s="520" t="str">
        <f t="shared" si="37"/>
        <v>US GOVERNMENT</v>
      </c>
      <c r="E60" s="236">
        <f t="shared" si="37"/>
        <v>31819000000</v>
      </c>
      <c r="F60" s="891" t="s">
        <v>939</v>
      </c>
      <c r="G60" s="428">
        <f t="shared" si="38"/>
        <v>45412</v>
      </c>
      <c r="H60" s="743" t="str">
        <f t="shared" si="39"/>
        <v>USG</v>
      </c>
      <c r="I60" s="800">
        <f t="shared" si="50"/>
        <v>0.99121099999999995</v>
      </c>
      <c r="J60" s="239">
        <f t="shared" si="41"/>
        <v>1</v>
      </c>
      <c r="K60" s="280">
        <f t="shared" si="42"/>
        <v>0.02</v>
      </c>
      <c r="L60" s="240">
        <f t="shared" si="42"/>
        <v>8.1767999999999997E-3</v>
      </c>
      <c r="M60" s="241">
        <f t="shared" si="51"/>
        <v>0.99938779999999994</v>
      </c>
      <c r="N60" s="640">
        <f t="shared" si="52"/>
        <v>0.99938779999999994</v>
      </c>
      <c r="O60" s="524">
        <v>-45890617.420000002</v>
      </c>
      <c r="P60" s="525">
        <v>44637</v>
      </c>
      <c r="Q60" s="526">
        <v>44729</v>
      </c>
      <c r="R60" s="481">
        <v>6.7000000000000002E-3</v>
      </c>
      <c r="S60" s="832">
        <v>0</v>
      </c>
      <c r="T60" s="588">
        <f t="shared" si="53"/>
        <v>-11957.055316655555</v>
      </c>
      <c r="U60" s="588">
        <f t="shared" si="54"/>
        <v>-78574.934938022227</v>
      </c>
      <c r="V60" s="524">
        <v>-46303000</v>
      </c>
      <c r="W60" s="527">
        <f t="shared" si="55"/>
        <v>-45896042.932999998</v>
      </c>
      <c r="X60" s="527">
        <f t="shared" si="56"/>
        <v>-46274653.303399995</v>
      </c>
      <c r="Y60" s="611">
        <v>1.7500000000000002E-2</v>
      </c>
      <c r="Z60" s="641">
        <f t="shared" si="57"/>
        <v>-45092862.181672499</v>
      </c>
      <c r="AA60" s="642">
        <f t="shared" si="58"/>
        <v>809712.29364415875</v>
      </c>
      <c r="AB60" s="641">
        <f t="shared" si="59"/>
        <v>-45464846.870590501</v>
      </c>
      <c r="AC60" s="642">
        <f t="shared" si="60"/>
        <v>437727.6047261568</v>
      </c>
      <c r="AD60" s="643" t="e">
        <f t="shared" si="61"/>
        <v>#N/A</v>
      </c>
      <c r="AE60" s="644" t="e">
        <f t="shared" si="62"/>
        <v>#N/A</v>
      </c>
      <c r="AF60" s="645" t="e">
        <f t="shared" si="63"/>
        <v>#N/A</v>
      </c>
      <c r="AG60" s="244">
        <f t="shared" si="47"/>
        <v>0</v>
      </c>
      <c r="AH60" s="244" t="e">
        <f t="shared" si="47"/>
        <v>#N/A</v>
      </c>
      <c r="AI60" s="244" t="e">
        <f t="shared" si="47"/>
        <v>#N/A</v>
      </c>
      <c r="AJ60" s="244">
        <f t="shared" si="47"/>
        <v>2.0249946009890931</v>
      </c>
      <c r="AK60" s="394">
        <f t="shared" si="47"/>
        <v>148</v>
      </c>
      <c r="AL60" s="646" t="e">
        <f t="shared" si="64"/>
        <v>#N/A</v>
      </c>
      <c r="AM60" s="647">
        <f t="shared" si="65"/>
        <v>-45890617.420000002</v>
      </c>
      <c r="AN60" s="648">
        <v>0</v>
      </c>
      <c r="AO60" s="648">
        <f t="shared" si="66"/>
        <v>2.0000000000000001E-4</v>
      </c>
      <c r="AP60" s="648" t="e">
        <f t="shared" si="67"/>
        <v>#N/A</v>
      </c>
      <c r="AQ60" s="649" t="e">
        <f t="shared" si="68"/>
        <v>#N/A</v>
      </c>
      <c r="AR60" s="488">
        <f t="shared" si="69"/>
        <v>0.99121099999999995</v>
      </c>
      <c r="AS60" s="399">
        <v>1.0385550000000001</v>
      </c>
      <c r="AT60" s="399">
        <v>1.0385550000000001</v>
      </c>
      <c r="AU60" s="798" t="str">
        <f t="shared" si="70"/>
        <v>912828X70</v>
      </c>
      <c r="AV60" s="798" t="str">
        <f t="shared" si="49"/>
        <v>TNOTE</v>
      </c>
    </row>
    <row r="61" spans="1:48" s="341" customFormat="1" x14ac:dyDescent="0.25">
      <c r="A61" s="994" t="s">
        <v>1943</v>
      </c>
      <c r="B61" s="874" t="s">
        <v>4579</v>
      </c>
      <c r="C61" s="520" t="str">
        <f t="shared" si="37"/>
        <v>US TREASURY N/B</v>
      </c>
      <c r="D61" s="520" t="str">
        <f t="shared" si="37"/>
        <v>US GOVERNMENT</v>
      </c>
      <c r="E61" s="236">
        <f t="shared" si="37"/>
        <v>31819000000</v>
      </c>
      <c r="F61" s="891" t="s">
        <v>939</v>
      </c>
      <c r="G61" s="428">
        <f t="shared" si="38"/>
        <v>45412</v>
      </c>
      <c r="H61" s="743" t="str">
        <f t="shared" si="39"/>
        <v>USG</v>
      </c>
      <c r="I61" s="800">
        <f t="shared" si="50"/>
        <v>0.99121099999999995</v>
      </c>
      <c r="J61" s="239">
        <f t="shared" si="41"/>
        <v>1</v>
      </c>
      <c r="K61" s="280">
        <f t="shared" si="42"/>
        <v>0.02</v>
      </c>
      <c r="L61" s="240">
        <f t="shared" si="42"/>
        <v>8.1767999999999997E-3</v>
      </c>
      <c r="M61" s="241">
        <f t="shared" si="51"/>
        <v>0.99938779999999994</v>
      </c>
      <c r="N61" s="640">
        <f t="shared" si="52"/>
        <v>0.99938779999999994</v>
      </c>
      <c r="O61" s="524">
        <v>-49554691.289999999</v>
      </c>
      <c r="P61" s="525">
        <v>44637</v>
      </c>
      <c r="Q61" s="526">
        <v>44729</v>
      </c>
      <c r="R61" s="481">
        <v>6.7000000000000002E-3</v>
      </c>
      <c r="S61" s="832">
        <v>0</v>
      </c>
      <c r="T61" s="588">
        <f t="shared" si="53"/>
        <v>-12911.75011945</v>
      </c>
      <c r="U61" s="588">
        <f t="shared" si="54"/>
        <v>-84848.643642099996</v>
      </c>
      <c r="V61" s="524">
        <v>-50000000</v>
      </c>
      <c r="W61" s="527">
        <f t="shared" si="55"/>
        <v>-49560550</v>
      </c>
      <c r="X61" s="527">
        <f t="shared" si="56"/>
        <v>-49969390</v>
      </c>
      <c r="Y61" s="611">
        <v>1.7500000000000002E-2</v>
      </c>
      <c r="Z61" s="641">
        <f t="shared" si="57"/>
        <v>-48693240.375</v>
      </c>
      <c r="AA61" s="642">
        <f t="shared" si="58"/>
        <v>874362.66511944914</v>
      </c>
      <c r="AB61" s="641">
        <f t="shared" si="59"/>
        <v>-49094925.675000004</v>
      </c>
      <c r="AC61" s="642">
        <f t="shared" si="60"/>
        <v>472677.36511944461</v>
      </c>
      <c r="AD61" s="643" t="e">
        <f t="shared" si="61"/>
        <v>#N/A</v>
      </c>
      <c r="AE61" s="644" t="e">
        <f t="shared" si="62"/>
        <v>#N/A</v>
      </c>
      <c r="AF61" s="645" t="e">
        <f t="shared" si="63"/>
        <v>#N/A</v>
      </c>
      <c r="AG61" s="244">
        <f t="shared" si="47"/>
        <v>0</v>
      </c>
      <c r="AH61" s="244" t="e">
        <f t="shared" si="47"/>
        <v>#N/A</v>
      </c>
      <c r="AI61" s="244" t="e">
        <f t="shared" si="47"/>
        <v>#N/A</v>
      </c>
      <c r="AJ61" s="244">
        <f t="shared" si="47"/>
        <v>2.0249946009890931</v>
      </c>
      <c r="AK61" s="394">
        <f t="shared" si="47"/>
        <v>148</v>
      </c>
      <c r="AL61" s="646" t="e">
        <f t="shared" si="64"/>
        <v>#N/A</v>
      </c>
      <c r="AM61" s="647">
        <f t="shared" si="65"/>
        <v>-49554691.289999999</v>
      </c>
      <c r="AN61" s="648">
        <v>0</v>
      </c>
      <c r="AO61" s="648">
        <f t="shared" si="66"/>
        <v>2.0000000000000001E-4</v>
      </c>
      <c r="AP61" s="648" t="e">
        <f t="shared" si="67"/>
        <v>#N/A</v>
      </c>
      <c r="AQ61" s="649" t="e">
        <f t="shared" si="68"/>
        <v>#N/A</v>
      </c>
      <c r="AR61" s="488">
        <f t="shared" si="69"/>
        <v>0.99121099999999995</v>
      </c>
      <c r="AS61" s="399">
        <v>1.0385550000000001</v>
      </c>
      <c r="AT61" s="399">
        <v>1.0385550000000001</v>
      </c>
      <c r="AU61" s="798" t="str">
        <f t="shared" si="70"/>
        <v>912828X70</v>
      </c>
      <c r="AV61" s="798" t="str">
        <f t="shared" si="49"/>
        <v>TNOTE</v>
      </c>
    </row>
    <row r="62" spans="1:48" s="341" customFormat="1" x14ac:dyDescent="0.25">
      <c r="A62" s="994" t="s">
        <v>1943</v>
      </c>
      <c r="B62" s="874" t="s">
        <v>4579</v>
      </c>
      <c r="C62" s="520" t="str">
        <f t="shared" si="37"/>
        <v>US TREASURY N/B</v>
      </c>
      <c r="D62" s="520" t="str">
        <f t="shared" si="37"/>
        <v>US GOVERNMENT</v>
      </c>
      <c r="E62" s="236">
        <f t="shared" si="37"/>
        <v>31819000000</v>
      </c>
      <c r="F62" s="891" t="s">
        <v>939</v>
      </c>
      <c r="G62" s="428">
        <f t="shared" si="38"/>
        <v>45412</v>
      </c>
      <c r="H62" s="743" t="str">
        <f t="shared" si="39"/>
        <v>USG</v>
      </c>
      <c r="I62" s="800">
        <f t="shared" si="50"/>
        <v>0.99121099999999995</v>
      </c>
      <c r="J62" s="239">
        <f t="shared" si="41"/>
        <v>1</v>
      </c>
      <c r="K62" s="280">
        <f t="shared" si="42"/>
        <v>0.02</v>
      </c>
      <c r="L62" s="240">
        <f t="shared" si="42"/>
        <v>8.1767999999999997E-3</v>
      </c>
      <c r="M62" s="241">
        <f t="shared" si="51"/>
        <v>0.99938779999999994</v>
      </c>
      <c r="N62" s="640">
        <f t="shared" si="52"/>
        <v>0.99938779999999994</v>
      </c>
      <c r="O62" s="524">
        <v>-49554691.289999999</v>
      </c>
      <c r="P62" s="525">
        <v>44637</v>
      </c>
      <c r="Q62" s="526">
        <v>44729</v>
      </c>
      <c r="R62" s="481">
        <v>6.7000000000000002E-3</v>
      </c>
      <c r="S62" s="832">
        <v>0</v>
      </c>
      <c r="T62" s="588">
        <f t="shared" si="53"/>
        <v>-12911.75011945</v>
      </c>
      <c r="U62" s="588">
        <f t="shared" si="54"/>
        <v>-84848.643642099996</v>
      </c>
      <c r="V62" s="524">
        <v>-50000000</v>
      </c>
      <c r="W62" s="527">
        <f t="shared" si="55"/>
        <v>-49560550</v>
      </c>
      <c r="X62" s="527">
        <f t="shared" si="56"/>
        <v>-49969390</v>
      </c>
      <c r="Y62" s="611">
        <v>1.7500000000000002E-2</v>
      </c>
      <c r="Z62" s="641">
        <f t="shared" si="57"/>
        <v>-48693240.375</v>
      </c>
      <c r="AA62" s="642">
        <f t="shared" si="58"/>
        <v>874362.66511944914</v>
      </c>
      <c r="AB62" s="641">
        <f t="shared" si="59"/>
        <v>-49094925.675000004</v>
      </c>
      <c r="AC62" s="642">
        <f t="shared" si="60"/>
        <v>472677.36511944461</v>
      </c>
      <c r="AD62" s="643" t="e">
        <f t="shared" si="61"/>
        <v>#N/A</v>
      </c>
      <c r="AE62" s="644" t="e">
        <f t="shared" si="62"/>
        <v>#N/A</v>
      </c>
      <c r="AF62" s="645" t="e">
        <f t="shared" si="63"/>
        <v>#N/A</v>
      </c>
      <c r="AG62" s="244">
        <f t="shared" si="47"/>
        <v>0</v>
      </c>
      <c r="AH62" s="244" t="e">
        <f t="shared" si="47"/>
        <v>#N/A</v>
      </c>
      <c r="AI62" s="244" t="e">
        <f t="shared" si="47"/>
        <v>#N/A</v>
      </c>
      <c r="AJ62" s="244">
        <f t="shared" si="47"/>
        <v>2.0249946009890931</v>
      </c>
      <c r="AK62" s="394">
        <f t="shared" si="47"/>
        <v>148</v>
      </c>
      <c r="AL62" s="646" t="e">
        <f t="shared" si="64"/>
        <v>#N/A</v>
      </c>
      <c r="AM62" s="647">
        <f t="shared" si="65"/>
        <v>-49554691.289999999</v>
      </c>
      <c r="AN62" s="648">
        <v>0</v>
      </c>
      <c r="AO62" s="648">
        <f t="shared" si="66"/>
        <v>2.0000000000000001E-4</v>
      </c>
      <c r="AP62" s="648" t="e">
        <f t="shared" si="67"/>
        <v>#N/A</v>
      </c>
      <c r="AQ62" s="649" t="e">
        <f t="shared" si="68"/>
        <v>#N/A</v>
      </c>
      <c r="AR62" s="488">
        <f t="shared" si="69"/>
        <v>0.99121099999999995</v>
      </c>
      <c r="AS62" s="399">
        <v>1.0385550000000001</v>
      </c>
      <c r="AT62" s="399">
        <v>1.0385550000000001</v>
      </c>
      <c r="AU62" s="798" t="str">
        <f t="shared" si="70"/>
        <v>912828X70</v>
      </c>
      <c r="AV62" s="798" t="str">
        <f t="shared" si="49"/>
        <v>TNOTE</v>
      </c>
    </row>
    <row r="63" spans="1:48" s="341" customFormat="1" x14ac:dyDescent="0.25">
      <c r="A63" s="994" t="s">
        <v>1943</v>
      </c>
      <c r="B63" s="874" t="s">
        <v>4579</v>
      </c>
      <c r="C63" s="520" t="str">
        <f t="shared" si="37"/>
        <v>US TREASURY N/B</v>
      </c>
      <c r="D63" s="520" t="str">
        <f t="shared" si="37"/>
        <v>US GOVERNMENT</v>
      </c>
      <c r="E63" s="236">
        <f t="shared" si="37"/>
        <v>31819000000</v>
      </c>
      <c r="F63" s="891" t="s">
        <v>939</v>
      </c>
      <c r="G63" s="428">
        <f t="shared" si="38"/>
        <v>45412</v>
      </c>
      <c r="H63" s="743" t="str">
        <f t="shared" si="39"/>
        <v>USG</v>
      </c>
      <c r="I63" s="800">
        <f t="shared" si="50"/>
        <v>0.99121099999999995</v>
      </c>
      <c r="J63" s="239">
        <f t="shared" si="41"/>
        <v>1</v>
      </c>
      <c r="K63" s="280">
        <f t="shared" si="42"/>
        <v>0.02</v>
      </c>
      <c r="L63" s="240">
        <f t="shared" si="42"/>
        <v>8.1767999999999997E-3</v>
      </c>
      <c r="M63" s="241">
        <f t="shared" si="51"/>
        <v>0.99938779999999994</v>
      </c>
      <c r="N63" s="640">
        <f t="shared" si="52"/>
        <v>0.99938779999999994</v>
      </c>
      <c r="O63" s="524">
        <v>-49555030.009999998</v>
      </c>
      <c r="P63" s="525">
        <v>44637</v>
      </c>
      <c r="Q63" s="526">
        <v>44669</v>
      </c>
      <c r="R63" s="481">
        <v>4.6999999999999993E-3</v>
      </c>
      <c r="S63" s="832">
        <v>0</v>
      </c>
      <c r="T63" s="588">
        <f t="shared" si="53"/>
        <v>-9057.5582629388864</v>
      </c>
      <c r="U63" s="588">
        <f t="shared" si="54"/>
        <v>-20702.990315288884</v>
      </c>
      <c r="V63" s="524">
        <v>-50000000</v>
      </c>
      <c r="W63" s="527">
        <f t="shared" si="55"/>
        <v>-49560550</v>
      </c>
      <c r="X63" s="527">
        <f t="shared" si="56"/>
        <v>-49969390</v>
      </c>
      <c r="Y63" s="611">
        <v>1.7500000000000002E-2</v>
      </c>
      <c r="Z63" s="641">
        <f t="shared" si="57"/>
        <v>-48693240.375</v>
      </c>
      <c r="AA63" s="642">
        <f t="shared" si="58"/>
        <v>870847.19326293678</v>
      </c>
      <c r="AB63" s="641">
        <f t="shared" si="59"/>
        <v>-49094925.675000004</v>
      </c>
      <c r="AC63" s="642">
        <f t="shared" si="60"/>
        <v>469161.89326293231</v>
      </c>
      <c r="AD63" s="643" t="e">
        <f t="shared" si="61"/>
        <v>#N/A</v>
      </c>
      <c r="AE63" s="644" t="e">
        <f t="shared" si="62"/>
        <v>#N/A</v>
      </c>
      <c r="AF63" s="645" t="e">
        <f t="shared" si="63"/>
        <v>#N/A</v>
      </c>
      <c r="AG63" s="244">
        <f t="shared" si="47"/>
        <v>0</v>
      </c>
      <c r="AH63" s="244" t="e">
        <f t="shared" si="47"/>
        <v>#N/A</v>
      </c>
      <c r="AI63" s="244" t="e">
        <f t="shared" si="47"/>
        <v>#N/A</v>
      </c>
      <c r="AJ63" s="244">
        <f t="shared" si="47"/>
        <v>2.0249946009890931</v>
      </c>
      <c r="AK63" s="394">
        <f t="shared" si="47"/>
        <v>148</v>
      </c>
      <c r="AL63" s="646" t="e">
        <f t="shared" si="64"/>
        <v>#N/A</v>
      </c>
      <c r="AM63" s="647">
        <f t="shared" si="65"/>
        <v>-49555030.009999998</v>
      </c>
      <c r="AN63" s="648">
        <v>0</v>
      </c>
      <c r="AO63" s="648">
        <f t="shared" si="66"/>
        <v>2.0000000000000001E-4</v>
      </c>
      <c r="AP63" s="648" t="e">
        <f t="shared" si="67"/>
        <v>#N/A</v>
      </c>
      <c r="AQ63" s="649" t="e">
        <f t="shared" si="68"/>
        <v>#N/A</v>
      </c>
      <c r="AR63" s="488">
        <f t="shared" si="69"/>
        <v>0.99121099999999995</v>
      </c>
      <c r="AS63" s="399">
        <v>1.0385550000000001</v>
      </c>
      <c r="AT63" s="399">
        <v>1.0385550000000001</v>
      </c>
      <c r="AU63" s="798" t="str">
        <f t="shared" si="70"/>
        <v>912828X70</v>
      </c>
      <c r="AV63" s="798" t="str">
        <f t="shared" si="49"/>
        <v>TNOTE</v>
      </c>
    </row>
    <row r="64" spans="1:48" s="341" customFormat="1" ht="15.75" thickBot="1" x14ac:dyDescent="0.3">
      <c r="A64" s="605" t="s">
        <v>1943</v>
      </c>
      <c r="B64" s="875" t="s">
        <v>607</v>
      </c>
      <c r="C64" s="534" t="str">
        <f t="shared" si="37"/>
        <v>US TREASURY</v>
      </c>
      <c r="D64" s="534" t="str">
        <f t="shared" si="37"/>
        <v>CASH</v>
      </c>
      <c r="E64" s="253">
        <f t="shared" si="37"/>
        <v>1</v>
      </c>
      <c r="F64" s="891" t="s">
        <v>939</v>
      </c>
      <c r="G64" s="431">
        <f t="shared" si="38"/>
        <v>73050</v>
      </c>
      <c r="H64" s="773" t="str">
        <f t="shared" si="39"/>
        <v>USG</v>
      </c>
      <c r="I64" s="800">
        <f t="shared" si="50"/>
        <v>1</v>
      </c>
      <c r="J64" s="238">
        <f t="shared" si="41"/>
        <v>1</v>
      </c>
      <c r="K64" s="280">
        <f t="shared" si="42"/>
        <v>0</v>
      </c>
      <c r="L64" s="256">
        <f t="shared" si="42"/>
        <v>0</v>
      </c>
      <c r="M64" s="257">
        <f t="shared" si="51"/>
        <v>1</v>
      </c>
      <c r="N64" s="258">
        <f t="shared" si="52"/>
        <v>1</v>
      </c>
      <c r="O64" s="535">
        <v>0</v>
      </c>
      <c r="P64" s="536">
        <v>44637</v>
      </c>
      <c r="Q64" s="537">
        <v>44637</v>
      </c>
      <c r="R64" s="483">
        <v>0</v>
      </c>
      <c r="S64" s="833">
        <v>0</v>
      </c>
      <c r="T64" s="589">
        <f t="shared" si="53"/>
        <v>0</v>
      </c>
      <c r="U64" s="589">
        <f t="shared" si="54"/>
        <v>0</v>
      </c>
      <c r="V64" s="535">
        <v>0</v>
      </c>
      <c r="W64" s="538">
        <f t="shared" si="55"/>
        <v>0</v>
      </c>
      <c r="X64" s="538">
        <f t="shared" si="56"/>
        <v>0</v>
      </c>
      <c r="Y64" s="258">
        <v>0</v>
      </c>
      <c r="Z64" s="539">
        <f t="shared" si="57"/>
        <v>0</v>
      </c>
      <c r="AA64" s="540">
        <f t="shared" si="58"/>
        <v>0</v>
      </c>
      <c r="AB64" s="539">
        <f t="shared" si="59"/>
        <v>0</v>
      </c>
      <c r="AC64" s="540">
        <f t="shared" si="60"/>
        <v>0</v>
      </c>
      <c r="AD64" s="541">
        <f t="shared" si="61"/>
        <v>0</v>
      </c>
      <c r="AE64" s="542">
        <f t="shared" si="62"/>
        <v>0</v>
      </c>
      <c r="AF64" s="543">
        <f t="shared" si="63"/>
        <v>0</v>
      </c>
      <c r="AG64" s="259">
        <f t="shared" si="47"/>
        <v>0</v>
      </c>
      <c r="AH64" s="259" t="e">
        <f t="shared" si="47"/>
        <v>#N/A</v>
      </c>
      <c r="AI64" s="259" t="e">
        <f t="shared" si="47"/>
        <v>#N/A</v>
      </c>
      <c r="AJ64" s="259">
        <f t="shared" si="47"/>
        <v>2.7397200000000002E-3</v>
      </c>
      <c r="AK64" s="434">
        <f t="shared" si="47"/>
        <v>0</v>
      </c>
      <c r="AL64" s="544">
        <f t="shared" si="64"/>
        <v>1E-4</v>
      </c>
      <c r="AM64" s="545">
        <f t="shared" si="65"/>
        <v>0</v>
      </c>
      <c r="AN64" s="546">
        <v>0</v>
      </c>
      <c r="AO64" s="546">
        <f t="shared" si="66"/>
        <v>0</v>
      </c>
      <c r="AP64" s="546">
        <f t="shared" si="67"/>
        <v>0</v>
      </c>
      <c r="AQ64" s="547">
        <f t="shared" si="68"/>
        <v>0</v>
      </c>
      <c r="AR64" s="489">
        <f t="shared" si="69"/>
        <v>1</v>
      </c>
      <c r="AS64" s="402">
        <v>1.0385550000000001</v>
      </c>
      <c r="AT64" s="402">
        <v>1.0385550000000001</v>
      </c>
      <c r="AU64" s="548" t="str">
        <f t="shared" si="70"/>
        <v>CASHUSD01</v>
      </c>
      <c r="AV64" s="548" t="str">
        <f t="shared" si="49"/>
        <v>CASH</v>
      </c>
    </row>
    <row r="65" spans="1:58" s="341" customFormat="1" ht="16.5" thickTop="1" thickBot="1" x14ac:dyDescent="0.3">
      <c r="A65" s="606">
        <v>100000</v>
      </c>
      <c r="B65" s="653" t="s">
        <v>4902</v>
      </c>
      <c r="C65" s="549"/>
      <c r="D65" s="549"/>
      <c r="E65" s="550"/>
      <c r="F65" s="387"/>
      <c r="G65" s="387"/>
      <c r="H65" s="774"/>
      <c r="I65" s="387"/>
      <c r="J65" s="387"/>
      <c r="K65" s="551"/>
      <c r="L65" s="354"/>
      <c r="M65" s="354"/>
      <c r="N65" s="1001"/>
      <c r="O65" s="829"/>
      <c r="P65" s="829"/>
      <c r="R65" s="1039"/>
      <c r="S65" s="1056"/>
      <c r="T65" s="829"/>
      <c r="U65" s="997"/>
      <c r="V65" s="1001"/>
      <c r="W65" s="1049"/>
      <c r="X65" s="1049"/>
      <c r="Y65" s="149"/>
      <c r="Z65" s="354"/>
      <c r="AA65" s="354"/>
      <c r="AB65" s="354"/>
      <c r="AC65" s="354"/>
      <c r="AD65" s="392"/>
      <c r="AE65" s="382"/>
      <c r="AF65" s="354"/>
      <c r="AG65" s="354"/>
      <c r="AH65" s="354"/>
      <c r="AI65" s="354"/>
      <c r="AJ65" s="354"/>
      <c r="AK65" s="393"/>
      <c r="AL65" s="356"/>
      <c r="AM65" s="354"/>
      <c r="AN65" s="354"/>
      <c r="AO65" s="354"/>
      <c r="AP65" s="354"/>
      <c r="AQ65" s="354"/>
      <c r="AR65" s="552"/>
      <c r="AS65" s="553"/>
      <c r="AT65" s="553"/>
      <c r="AU65" s="554"/>
      <c r="AV65" s="554"/>
    </row>
    <row r="66" spans="1:58" s="341" customFormat="1" x14ac:dyDescent="0.25">
      <c r="A66" s="607" t="s">
        <v>4902</v>
      </c>
      <c r="B66" s="555" t="s">
        <v>3284</v>
      </c>
      <c r="C66" s="555" t="str">
        <f t="shared" ref="C66:E68" si="71">VLOOKUP($B66,BondData,HLOOKUP(C$48,BD_Headings,2,FALSE),FALSE)</f>
        <v>TSY INFL IX N/B</v>
      </c>
      <c r="D66" s="555" t="str">
        <f t="shared" si="71"/>
        <v>US GOVERNMENT</v>
      </c>
      <c r="E66" s="283">
        <f t="shared" si="71"/>
        <v>39802000000</v>
      </c>
      <c r="F66" s="429" t="s">
        <v>939</v>
      </c>
      <c r="G66" s="429">
        <f t="shared" ref="G66:G68" si="72">DATEVALUE(VLOOKUP($B66,BondData,HLOOKUP(G$48,BD_Headings,2,FALSE),FALSE))</f>
        <v>47314</v>
      </c>
      <c r="H66" s="775" t="str">
        <f t="shared" ref="H66:H68" si="73">VLOOKUP($B66,BondData,HLOOKUP(H$48,BD_Headings,2,FALSE),FALSE)</f>
        <v>USG</v>
      </c>
      <c r="I66" s="284">
        <f t="shared" ref="I66" si="74">IF(B66="CASHUSD01",1,VLOOKUP($B66,Used_Prices,2,FALSE)/100)</f>
        <v>1.0683199999999999</v>
      </c>
      <c r="J66" s="285">
        <f t="shared" ref="J66:J68" si="75">VLOOKUP($B66,BondData,HLOOKUP(J$48,BD_Headings,2,FALSE),FALSE)</f>
        <v>1</v>
      </c>
      <c r="K66" s="286">
        <f t="shared" ref="K66:L68" si="76">VLOOKUP($B66,BondData,HLOOKUP(K$48,BD_Headings,2,FALSE),FALSE)/100</f>
        <v>2.5000000000000001E-3</v>
      </c>
      <c r="L66" s="287">
        <f t="shared" si="76"/>
        <v>4.9723999999999992E-4</v>
      </c>
      <c r="M66" s="288">
        <f>L66+I66</f>
        <v>1.06881724</v>
      </c>
      <c r="N66" s="289">
        <f>(I66+L66)*J66</f>
        <v>1.06881724</v>
      </c>
      <c r="O66" s="556">
        <v>0</v>
      </c>
      <c r="P66" s="557">
        <v>44650</v>
      </c>
      <c r="Q66" s="558">
        <v>44650</v>
      </c>
      <c r="R66" s="586">
        <v>0</v>
      </c>
      <c r="S66" s="834">
        <v>0</v>
      </c>
      <c r="T66" s="591">
        <f t="shared" ref="T66" si="77">O66*R66*(ValDate-P66)/360</f>
        <v>0</v>
      </c>
      <c r="U66" s="591">
        <f>O66*R66*(Q66-P66)/360</f>
        <v>0</v>
      </c>
      <c r="V66" s="556">
        <v>-320000</v>
      </c>
      <c r="W66" s="559">
        <f>J66*I66*V66</f>
        <v>-341862.39999999997</v>
      </c>
      <c r="X66" s="559">
        <f>V66*N66</f>
        <v>-342021.51679999998</v>
      </c>
      <c r="Y66" s="289">
        <v>0</v>
      </c>
      <c r="Z66" s="560">
        <f>W66*(1-Y66)</f>
        <v>-341862.39999999997</v>
      </c>
      <c r="AA66" s="561">
        <f>Z66-O66-T66</f>
        <v>-341862.39999999997</v>
      </c>
      <c r="AB66" s="562">
        <f>X66*(1-Y66)</f>
        <v>-342021.51679999998</v>
      </c>
      <c r="AC66" s="561">
        <f>AB66-O66-T66</f>
        <v>-342021.51679999998</v>
      </c>
      <c r="AD66" s="563" t="e">
        <f t="shared" ref="AD66" si="78">IF(AU66="CASHUSD01",0,IF(H66="USG",VLOOKUP($AU66,VantageDataUSGRange,19+IF(StressRun="S",3,IF(StressRun="C",6,0)),FALSE),VLOOKUP($AU66,VantageDataPrimeRange,19+IF(StressRun="S",3,IF(StressRun="C",6,0)),FALSE)))/2</f>
        <v>#N/A</v>
      </c>
      <c r="AE66" s="564" t="e">
        <f t="shared" ref="AE66" si="79">IF(AU66="CASHUSD01",0,IF($H66="USG",VLOOKUP($AU66,VantageDataUSGRange,18+IF(StressRun="S",3,IF(StressRun="C",6,0)),FALSE),VLOOKUP($AU66,VantageDataPrimeRange,18+IF(StressRun="S",3,IF(StressRun="C",6,0)),FALSE)))</f>
        <v>#N/A</v>
      </c>
      <c r="AF66" s="290" t="e">
        <f t="shared" ref="AF66" si="80">IF(AU66="CASHUSD01",0,IF($H66="USG",VLOOKUP($AU66,VantageDataUSGRange,20+IF(StressRun="S",3,IF(StressRun="C",6,0)),FALSE),VLOOKUP($AU66,VantageDataPrimeRange,20+IF(StressRun="S",3,IF(StressRun="C",6,0)),FALSE)))</f>
        <v>#N/A</v>
      </c>
      <c r="AG66" s="293">
        <f t="shared" ref="AG66:AK68" si="81">VLOOKUP($B66,BondData,HLOOKUP(AG$48,BD_Headings,2,FALSE),FALSE)</f>
        <v>0</v>
      </c>
      <c r="AH66" s="291" t="e">
        <f t="shared" si="81"/>
        <v>#N/A</v>
      </c>
      <c r="AI66" s="291" t="e">
        <f t="shared" si="81"/>
        <v>#N/A</v>
      </c>
      <c r="AJ66" s="291">
        <f t="shared" si="81"/>
        <v>7.1623284899407587</v>
      </c>
      <c r="AK66" s="292">
        <f t="shared" si="81"/>
        <v>72</v>
      </c>
      <c r="AL66" s="565" t="e">
        <f>MAX(V66*I66*(1-AD66)*J66,0.0001)</f>
        <v>#N/A</v>
      </c>
      <c r="AM66" s="530">
        <f>O66</f>
        <v>0</v>
      </c>
      <c r="AN66" s="531">
        <v>0</v>
      </c>
      <c r="AO66" s="531">
        <f>K66/100</f>
        <v>2.5000000000000001E-5</v>
      </c>
      <c r="AP66" s="531" t="e">
        <f>AE66</f>
        <v>#N/A</v>
      </c>
      <c r="AQ66" s="532" t="e">
        <f>AF66/365</f>
        <v>#N/A</v>
      </c>
      <c r="AR66" s="490">
        <f>I66</f>
        <v>1.0683199999999999</v>
      </c>
      <c r="AS66" s="400">
        <v>1</v>
      </c>
      <c r="AT66" s="400">
        <v>1</v>
      </c>
      <c r="AU66" s="566" t="str">
        <f t="shared" ref="AU66" si="82">IF(ISNA(VLOOKUP(B66,VantageProxyDictionary,1,FALSE)),B66,VLOOKUP(B66,VantageProxyDictionary,2,FALSE))</f>
        <v>9128287D6</v>
      </c>
      <c r="AV66" s="566" t="str">
        <f t="shared" ref="AV66:AV68" si="83">VLOOKUP($B66,BondData,HLOOKUP(AV$48,BD_Headings,2,FALSE),FALSE)</f>
        <v>TNOTE</v>
      </c>
    </row>
    <row r="67" spans="1:58" s="341" customFormat="1" x14ac:dyDescent="0.25">
      <c r="A67" s="607" t="s">
        <v>4902</v>
      </c>
      <c r="B67" s="555" t="s">
        <v>3284</v>
      </c>
      <c r="C67" s="555" t="str">
        <f t="shared" si="71"/>
        <v>TSY INFL IX N/B</v>
      </c>
      <c r="D67" s="555" t="str">
        <f t="shared" si="71"/>
        <v>US GOVERNMENT</v>
      </c>
      <c r="E67" s="283">
        <f t="shared" si="71"/>
        <v>39802000000</v>
      </c>
      <c r="F67" s="429" t="s">
        <v>939</v>
      </c>
      <c r="G67" s="429">
        <f t="shared" si="72"/>
        <v>47314</v>
      </c>
      <c r="H67" s="775" t="str">
        <f t="shared" si="73"/>
        <v>USG</v>
      </c>
      <c r="I67" s="284">
        <f t="shared" ref="I67:I68" si="84">IF(B67="CASHUSD01",1,VLOOKUP($B67,Used_Prices,2,FALSE)/100)</f>
        <v>1.0683199999999999</v>
      </c>
      <c r="J67" s="285">
        <f t="shared" si="75"/>
        <v>1</v>
      </c>
      <c r="K67" s="286">
        <f t="shared" si="76"/>
        <v>2.5000000000000001E-3</v>
      </c>
      <c r="L67" s="287">
        <f t="shared" si="76"/>
        <v>4.9723999999999992E-4</v>
      </c>
      <c r="M67" s="288">
        <f t="shared" ref="M67:M68" si="85">L67+I67</f>
        <v>1.06881724</v>
      </c>
      <c r="N67" s="289">
        <f t="shared" ref="N67:N68" si="86">(I67+L67)*J67</f>
        <v>1.06881724</v>
      </c>
      <c r="O67" s="950">
        <v>0</v>
      </c>
      <c r="P67" s="951">
        <v>44635</v>
      </c>
      <c r="Q67" s="947">
        <v>44635</v>
      </c>
      <c r="R67" s="948">
        <v>0</v>
      </c>
      <c r="S67" s="949">
        <v>0</v>
      </c>
      <c r="T67" s="591">
        <f t="shared" ref="T67:T68" si="87">O67*R67*(ValDate-P67)/360</f>
        <v>0</v>
      </c>
      <c r="U67" s="591">
        <f t="shared" ref="U67:U68" si="88">O67*R67*(Q67-P67)/360</f>
        <v>0</v>
      </c>
      <c r="V67" s="950">
        <v>-250000</v>
      </c>
      <c r="W67" s="559">
        <f t="shared" ref="W67:W68" si="89">J67*I67*V67</f>
        <v>-267080</v>
      </c>
      <c r="X67" s="559">
        <f t="shared" ref="X67:X68" si="90">V67*N67</f>
        <v>-267204.31</v>
      </c>
      <c r="Y67" s="289">
        <v>0</v>
      </c>
      <c r="Z67" s="560">
        <f t="shared" ref="Z67:Z68" si="91">W67*(1-Y67)</f>
        <v>-267080</v>
      </c>
      <c r="AA67" s="561">
        <f t="shared" ref="AA67:AA68" si="92">Z67-O67-T67</f>
        <v>-267080</v>
      </c>
      <c r="AB67" s="562">
        <f t="shared" ref="AB67:AB68" si="93">X67*(1-Y67)</f>
        <v>-267204.31</v>
      </c>
      <c r="AC67" s="561">
        <f t="shared" ref="AC67:AC68" si="94">AB67-O67-T67</f>
        <v>-267204.31</v>
      </c>
      <c r="AD67" s="952" t="e">
        <f t="shared" ref="AD67:AD68" si="95">IF(AU67="CASHUSD01",0,IF(H67="USG",VLOOKUP($AU67,VantageDataUSGRange,19+IF(StressRun="S",3,IF(StressRun="C",6,0)),FALSE),VLOOKUP($AU67,VantageDataPrimeRange,19+IF(StressRun="S",3,IF(StressRun="C",6,0)),FALSE)))/2</f>
        <v>#N/A</v>
      </c>
      <c r="AE67" s="564" t="e">
        <f t="shared" ref="AE67:AE68" si="96">IF(AU67="CASHUSD01",0,IF($H67="USG",VLOOKUP($AU67,VantageDataUSGRange,18+IF(StressRun="S",3,IF(StressRun="C",6,0)),FALSE),VLOOKUP($AU67,VantageDataPrimeRange,18+IF(StressRun="S",3,IF(StressRun="C",6,0)),FALSE)))</f>
        <v>#N/A</v>
      </c>
      <c r="AF67" s="290" t="e">
        <f t="shared" ref="AF67:AF68" si="97">IF(AU67="CASHUSD01",0,IF($H67="USG",VLOOKUP($AU67,VantageDataUSGRange,20+IF(StressRun="S",3,IF(StressRun="C",6,0)),FALSE),VLOOKUP($AU67,VantageDataPrimeRange,20+IF(StressRun="S",3,IF(StressRun="C",6,0)),FALSE)))</f>
        <v>#N/A</v>
      </c>
      <c r="AG67" s="953">
        <f t="shared" si="81"/>
        <v>0</v>
      </c>
      <c r="AH67" s="291" t="e">
        <f t="shared" si="81"/>
        <v>#N/A</v>
      </c>
      <c r="AI67" s="291" t="e">
        <f t="shared" si="81"/>
        <v>#N/A</v>
      </c>
      <c r="AJ67" s="291">
        <f t="shared" si="81"/>
        <v>7.1623284899407587</v>
      </c>
      <c r="AK67" s="292">
        <f t="shared" si="81"/>
        <v>72</v>
      </c>
      <c r="AL67" s="567" t="e">
        <f t="shared" ref="AL67:AL68" si="98">MAX(V67*I67*(1-AD67)*J67,0.0001)</f>
        <v>#N/A</v>
      </c>
      <c r="AM67" s="530">
        <f t="shared" ref="AM67:AM68" si="99">O67</f>
        <v>0</v>
      </c>
      <c r="AN67" s="531">
        <v>0</v>
      </c>
      <c r="AO67" s="531">
        <f t="shared" ref="AO67:AO68" si="100">K67/100</f>
        <v>2.5000000000000001E-5</v>
      </c>
      <c r="AP67" s="531" t="e">
        <f t="shared" ref="AP67:AP68" si="101">AE67</f>
        <v>#N/A</v>
      </c>
      <c r="AQ67" s="532" t="e">
        <f t="shared" ref="AQ67:AQ68" si="102">AF67/365</f>
        <v>#N/A</v>
      </c>
      <c r="AR67" s="490">
        <f t="shared" ref="AR67:AR68" si="103">I67</f>
        <v>1.0683199999999999</v>
      </c>
      <c r="AS67" s="400">
        <v>1</v>
      </c>
      <c r="AT67" s="400">
        <v>1</v>
      </c>
      <c r="AU67" s="566" t="str">
        <f t="shared" ref="AU67:AU68" si="104">IF(ISNA(VLOOKUP(B67,VantageProxyDictionary,1,FALSE)),B67,VLOOKUP(B67,VantageProxyDictionary,2,FALSE))</f>
        <v>9128287D6</v>
      </c>
      <c r="AV67" s="566" t="str">
        <f t="shared" si="83"/>
        <v>TNOTE</v>
      </c>
    </row>
    <row r="68" spans="1:58" s="341" customFormat="1" ht="15.75" thickBot="1" x14ac:dyDescent="0.3">
      <c r="A68" s="608" t="s">
        <v>4902</v>
      </c>
      <c r="B68" s="568" t="s">
        <v>607</v>
      </c>
      <c r="C68" s="568" t="str">
        <f t="shared" si="71"/>
        <v>US TREASURY</v>
      </c>
      <c r="D68" s="568" t="str">
        <f t="shared" si="71"/>
        <v>CASH</v>
      </c>
      <c r="E68" s="222">
        <f t="shared" si="71"/>
        <v>1</v>
      </c>
      <c r="F68" s="430" t="s">
        <v>939</v>
      </c>
      <c r="G68" s="430">
        <f t="shared" si="72"/>
        <v>73050</v>
      </c>
      <c r="H68" s="776" t="str">
        <f t="shared" si="73"/>
        <v>USG</v>
      </c>
      <c r="I68" s="223">
        <f t="shared" si="84"/>
        <v>1</v>
      </c>
      <c r="J68" s="224">
        <f t="shared" si="75"/>
        <v>1</v>
      </c>
      <c r="K68" s="281">
        <f t="shared" si="76"/>
        <v>0</v>
      </c>
      <c r="L68" s="225">
        <f t="shared" si="76"/>
        <v>0</v>
      </c>
      <c r="M68" s="226">
        <f t="shared" si="85"/>
        <v>1</v>
      </c>
      <c r="N68" s="227">
        <f t="shared" si="86"/>
        <v>1</v>
      </c>
      <c r="O68" s="569">
        <v>0</v>
      </c>
      <c r="P68" s="570">
        <v>44635</v>
      </c>
      <c r="Q68" s="571">
        <v>44635</v>
      </c>
      <c r="R68" s="587">
        <v>0</v>
      </c>
      <c r="S68" s="835">
        <v>0</v>
      </c>
      <c r="T68" s="592">
        <f t="shared" si="87"/>
        <v>0</v>
      </c>
      <c r="U68" s="592">
        <f t="shared" si="88"/>
        <v>0</v>
      </c>
      <c r="V68" s="569">
        <v>0</v>
      </c>
      <c r="W68" s="572">
        <f t="shared" si="89"/>
        <v>0</v>
      </c>
      <c r="X68" s="572">
        <f t="shared" si="90"/>
        <v>0</v>
      </c>
      <c r="Y68" s="227">
        <v>0</v>
      </c>
      <c r="Z68" s="573">
        <f t="shared" si="91"/>
        <v>0</v>
      </c>
      <c r="AA68" s="574">
        <f t="shared" si="92"/>
        <v>0</v>
      </c>
      <c r="AB68" s="575">
        <f t="shared" si="93"/>
        <v>0</v>
      </c>
      <c r="AC68" s="574">
        <f t="shared" si="94"/>
        <v>0</v>
      </c>
      <c r="AD68" s="576">
        <f t="shared" si="95"/>
        <v>0</v>
      </c>
      <c r="AE68" s="577">
        <f t="shared" si="96"/>
        <v>0</v>
      </c>
      <c r="AF68" s="228">
        <f t="shared" si="97"/>
        <v>0</v>
      </c>
      <c r="AG68" s="229">
        <f t="shared" si="81"/>
        <v>0</v>
      </c>
      <c r="AH68" s="230" t="e">
        <f t="shared" si="81"/>
        <v>#N/A</v>
      </c>
      <c r="AI68" s="230" t="e">
        <f t="shared" si="81"/>
        <v>#N/A</v>
      </c>
      <c r="AJ68" s="230">
        <f t="shared" si="81"/>
        <v>2.7397200000000002E-3</v>
      </c>
      <c r="AK68" s="234">
        <f t="shared" si="81"/>
        <v>0</v>
      </c>
      <c r="AL68" s="578">
        <f t="shared" si="98"/>
        <v>1E-4</v>
      </c>
      <c r="AM68" s="545">
        <f t="shared" si="99"/>
        <v>0</v>
      </c>
      <c r="AN68" s="546">
        <v>0</v>
      </c>
      <c r="AO68" s="546">
        <f t="shared" si="100"/>
        <v>0</v>
      </c>
      <c r="AP68" s="546">
        <f t="shared" si="101"/>
        <v>0</v>
      </c>
      <c r="AQ68" s="547">
        <f t="shared" si="102"/>
        <v>0</v>
      </c>
      <c r="AR68" s="491">
        <f t="shared" si="103"/>
        <v>1</v>
      </c>
      <c r="AS68" s="401">
        <v>1</v>
      </c>
      <c r="AT68" s="401">
        <v>1</v>
      </c>
      <c r="AU68" s="579" t="str">
        <f t="shared" si="104"/>
        <v>CASHUSD01</v>
      </c>
      <c r="AV68" s="579" t="str">
        <f t="shared" si="83"/>
        <v>CASH</v>
      </c>
    </row>
    <row r="69" spans="1:58" ht="16.5" thickTop="1" thickBot="1" x14ac:dyDescent="0.3">
      <c r="A69" s="639">
        <v>66250</v>
      </c>
      <c r="B69" s="601" t="s">
        <v>4607</v>
      </c>
      <c r="C69" s="601"/>
      <c r="D69" s="601"/>
      <c r="E69" s="519"/>
      <c r="F69" s="387"/>
      <c r="G69" s="387"/>
      <c r="H69" s="774"/>
      <c r="I69" s="387"/>
      <c r="J69" s="387"/>
      <c r="K69" s="744"/>
      <c r="L69" s="387"/>
      <c r="M69" s="387"/>
      <c r="N69" s="387"/>
      <c r="O69" s="829"/>
      <c r="P69" s="1001"/>
      <c r="Q69" s="355"/>
      <c r="R69" s="1071"/>
      <c r="S69" s="420"/>
      <c r="T69" s="829"/>
      <c r="U69" s="593"/>
      <c r="V69" s="387"/>
      <c r="W69" s="387"/>
      <c r="X69" s="387"/>
      <c r="Y69" s="220"/>
      <c r="Z69" s="387"/>
      <c r="AA69" s="387"/>
      <c r="AB69" s="387"/>
      <c r="AC69" s="387"/>
      <c r="AD69" s="221"/>
      <c r="AE69" s="580"/>
      <c r="AF69" s="387"/>
      <c r="AG69" s="387"/>
      <c r="AH69" s="387"/>
      <c r="AI69" s="387"/>
      <c r="AJ69" s="387"/>
      <c r="AK69" s="235"/>
      <c r="AL69" s="581"/>
      <c r="AM69" s="387"/>
      <c r="AN69" s="387"/>
      <c r="AO69" s="387"/>
      <c r="AP69" s="387"/>
      <c r="AQ69" s="387"/>
      <c r="AR69" s="582"/>
      <c r="AS69" s="583"/>
      <c r="AT69" s="583"/>
      <c r="AU69" s="584"/>
      <c r="AV69" s="584"/>
    </row>
    <row r="70" spans="1:58" s="765" customFormat="1" x14ac:dyDescent="0.25">
      <c r="A70" s="610" t="s">
        <v>4607</v>
      </c>
      <c r="B70" s="874" t="s">
        <v>4420</v>
      </c>
      <c r="C70" s="520" t="str">
        <f t="shared" ref="C70:E71" si="105">VLOOKUP($B70,BondData,HLOOKUP(C$48,BD_Headings,2,FALSE),FALSE)</f>
        <v>FRANCE (GOVT OF)</v>
      </c>
      <c r="D70" s="520" t="str">
        <f t="shared" si="105"/>
        <v>EURO-ZONE</v>
      </c>
      <c r="E70" s="236">
        <f t="shared" si="105"/>
        <v>44202000000</v>
      </c>
      <c r="F70" s="891" t="s">
        <v>948</v>
      </c>
      <c r="G70" s="428">
        <f t="shared" ref="G70:G71" si="106">DATEVALUE(VLOOKUP($B70,BondData,HLOOKUP(G$48,BD_Headings,2,FALSE),FALSE))</f>
        <v>46137</v>
      </c>
      <c r="H70" s="743" t="str">
        <f t="shared" ref="H70:H71" si="107">VLOOKUP($B70,BondData,HLOOKUP(H$48,BD_Headings,2,FALSE),FALSE)</f>
        <v>AA</v>
      </c>
      <c r="I70" s="800">
        <f t="shared" ref="I70" si="108">IF(B70="CASHUSD01",1,VLOOKUP($B70,Used_Prices,2,FALSE)/100)</f>
        <v>1.1263160000000001</v>
      </c>
      <c r="J70" s="239">
        <f t="shared" ref="J70:J71" si="109">VLOOKUP($B70,BondData,HLOOKUP(J$48,BD_Headings,2,FALSE),FALSE)</f>
        <v>1</v>
      </c>
      <c r="K70" s="280">
        <f t="shared" ref="K70:L71" si="110">VLOOKUP($B70,BondData,HLOOKUP(K$48,BD_Headings,2,FALSE),FALSE)/100</f>
        <v>3.5000000000000003E-2</v>
      </c>
      <c r="L70" s="240">
        <f t="shared" si="110"/>
        <v>3.2315070000000001E-2</v>
      </c>
      <c r="M70" s="241">
        <f>L70+I70</f>
        <v>1.1586310700000002</v>
      </c>
      <c r="N70" s="640">
        <f>(I70+L70)*J70</f>
        <v>1.1586310700000002</v>
      </c>
      <c r="O70" s="524">
        <v>-30350034</v>
      </c>
      <c r="P70" s="522">
        <v>44634</v>
      </c>
      <c r="Q70" s="526">
        <v>44663</v>
      </c>
      <c r="R70" s="481">
        <v>-5.6999999999999993E-3</v>
      </c>
      <c r="S70" s="832">
        <v>0</v>
      </c>
      <c r="T70" s="588">
        <f t="shared" ref="T70" si="111">O70*R70*(ValDate-P70)/360</f>
        <v>8169.2174849999992</v>
      </c>
      <c r="U70" s="588">
        <f>O70*R70*(Q70-P70)/360</f>
        <v>13935.723945</v>
      </c>
      <c r="V70" s="524">
        <v>-26000000</v>
      </c>
      <c r="W70" s="527">
        <f>J70*I70*V70</f>
        <v>-29284216.000000004</v>
      </c>
      <c r="X70" s="527">
        <f>V70*N70</f>
        <v>-30124407.820000004</v>
      </c>
      <c r="Y70" s="611">
        <v>0.01</v>
      </c>
      <c r="Z70" s="641">
        <f>W70*(1-Y70)</f>
        <v>-28991373.840000004</v>
      </c>
      <c r="AA70" s="642">
        <f>Z70-O70-T70</f>
        <v>1350490.9425149965</v>
      </c>
      <c r="AB70" s="641">
        <f>X70*(1-Y70)</f>
        <v>-29823163.741800003</v>
      </c>
      <c r="AC70" s="642">
        <f>AB70-O70-T70</f>
        <v>518701.04071499727</v>
      </c>
      <c r="AD70" s="643" t="e">
        <f t="shared" ref="AD70" si="112">IF(AU70="CASHUSD01",0,IF(H70="USG",VLOOKUP($AU70,VantageDataUSGRange,19+IF(StressRun="S",3,IF(StressRun="C",6,0)),FALSE),VLOOKUP($AU70,VantageDataPrimeRange,19+IF(StressRun="S",3,IF(StressRun="C",6,0)),FALSE)))/2</f>
        <v>#N/A</v>
      </c>
      <c r="AE70" s="644" t="e">
        <f t="shared" ref="AE70" si="113">IF(AU70="CASHUSD01",0,IF($H70="USG",VLOOKUP($AU70,VantageDataUSGRange,18+IF(StressRun="S",3,IF(StressRun="C",6,0)),FALSE),VLOOKUP($AU70,VantageDataPrimeRange,18+IF(StressRun="S",3,IF(StressRun="C",6,0)),FALSE)))</f>
        <v>#N/A</v>
      </c>
      <c r="AF70" s="645" t="e">
        <f t="shared" ref="AF70" si="114">IF(AU70="CASHUSD01",0,IF($H70="USG",VLOOKUP($AU70,VantageDataUSGRange,20+IF(StressRun="S",3,IF(StressRun="C",6,0)),FALSE),VLOOKUP($AU70,VantageDataPrimeRange,20+IF(StressRun="S",3,IF(StressRun="C",6,0)),FALSE)))</f>
        <v>#N/A</v>
      </c>
      <c r="AG70" s="244">
        <f t="shared" ref="AG70:AK71" si="115">VLOOKUP($B70,BondData,HLOOKUP(AG$48,BD_Headings,2,FALSE),FALSE)</f>
        <v>0</v>
      </c>
      <c r="AH70" s="244" t="e">
        <f t="shared" si="115"/>
        <v>#N/A</v>
      </c>
      <c r="AI70" s="244" t="e">
        <f t="shared" si="115"/>
        <v>#N/A</v>
      </c>
      <c r="AJ70" s="244">
        <f t="shared" si="115"/>
        <v>3.7817263423107299</v>
      </c>
      <c r="AK70" s="394">
        <f t="shared" si="115"/>
        <v>337</v>
      </c>
      <c r="AL70" s="646" t="e">
        <f>MAX(V70*I70*(1-AD70)*J70,0.0001)</f>
        <v>#N/A</v>
      </c>
      <c r="AM70" s="647">
        <f>O70</f>
        <v>-30350034</v>
      </c>
      <c r="AN70" s="648">
        <v>0</v>
      </c>
      <c r="AO70" s="648">
        <f>K70/100</f>
        <v>3.5000000000000005E-4</v>
      </c>
      <c r="AP70" s="648" t="e">
        <f>AE70</f>
        <v>#N/A</v>
      </c>
      <c r="AQ70" s="649" t="e">
        <f>AF70/365</f>
        <v>#N/A</v>
      </c>
      <c r="AR70" s="488">
        <f>I70</f>
        <v>1.1263160000000001</v>
      </c>
      <c r="AS70" s="399">
        <v>1.0385550000000001</v>
      </c>
      <c r="AT70" s="399">
        <v>1.0385550000000001</v>
      </c>
      <c r="AU70" s="798" t="str">
        <f t="shared" ref="AU70" si="116">IF(ISNA(VLOOKUP(B70,VantageProxyDictionary,1,FALSE)),B70,VLOOKUP(B70,VantageProxyDictionary,2,FALSE))</f>
        <v>FR0010916924</v>
      </c>
      <c r="AV70" s="798" t="str">
        <f t="shared" ref="AV70:AV71" si="117">VLOOKUP($B70,BondData,HLOOKUP(AV$48,BD_Headings,2,FALSE),FALSE)</f>
        <v>FROAT</v>
      </c>
      <c r="AW70" s="341"/>
      <c r="AX70" s="341"/>
      <c r="AY70" s="341"/>
      <c r="AZ70" s="341"/>
      <c r="BA70" s="341"/>
      <c r="BB70" s="341"/>
      <c r="BC70" s="341"/>
      <c r="BD70" s="341"/>
      <c r="BE70" s="341"/>
      <c r="BF70" s="341"/>
    </row>
    <row r="71" spans="1:58" x14ac:dyDescent="0.25">
      <c r="A71" s="609" t="s">
        <v>4607</v>
      </c>
      <c r="B71" s="520" t="s">
        <v>607</v>
      </c>
      <c r="C71" s="520" t="str">
        <f t="shared" si="105"/>
        <v>US TREASURY</v>
      </c>
      <c r="D71" s="520" t="str">
        <f t="shared" si="105"/>
        <v>CASH</v>
      </c>
      <c r="E71" s="236">
        <f t="shared" si="105"/>
        <v>1</v>
      </c>
      <c r="F71" s="428" t="s">
        <v>939</v>
      </c>
      <c r="G71" s="428">
        <f t="shared" si="106"/>
        <v>73050</v>
      </c>
      <c r="H71" s="773" t="str">
        <f t="shared" si="107"/>
        <v>USG</v>
      </c>
      <c r="I71" s="237">
        <f t="shared" ref="I71" si="118">IF(B71="CASHUSD01",1,VLOOKUP($B71,Used_Prices,2,FALSE)/100)</f>
        <v>1</v>
      </c>
      <c r="J71" s="238">
        <f t="shared" si="109"/>
        <v>1</v>
      </c>
      <c r="K71" s="280">
        <f t="shared" si="110"/>
        <v>0</v>
      </c>
      <c r="L71" s="240">
        <f t="shared" si="110"/>
        <v>0</v>
      </c>
      <c r="M71" s="241">
        <f t="shared" ref="M71" si="119">L71+I71</f>
        <v>1</v>
      </c>
      <c r="N71" s="242">
        <f t="shared" ref="N71" si="120">(I71+L71)*J71</f>
        <v>1</v>
      </c>
      <c r="O71" s="521">
        <v>0</v>
      </c>
      <c r="P71" s="522">
        <v>44634</v>
      </c>
      <c r="Q71" s="526">
        <v>44634</v>
      </c>
      <c r="R71" s="481">
        <v>0</v>
      </c>
      <c r="S71" s="832">
        <v>0</v>
      </c>
      <c r="T71" s="588">
        <f t="shared" ref="T71" si="121">O71*R71*(ValDate-P71)/360</f>
        <v>0</v>
      </c>
      <c r="U71" s="588">
        <f t="shared" ref="U71" si="122">O71*R71*(Q71-P71)/360</f>
        <v>0</v>
      </c>
      <c r="V71" s="521">
        <v>0</v>
      </c>
      <c r="W71" s="780">
        <f t="shared" ref="W71" si="123">J71*I71*V71</f>
        <v>0</v>
      </c>
      <c r="X71" s="527">
        <f t="shared" ref="X71" si="124">V71*N71</f>
        <v>0</v>
      </c>
      <c r="Y71" s="242">
        <v>0</v>
      </c>
      <c r="Z71" s="528">
        <f t="shared" ref="Z71" si="125">W71*(1-Y71)</f>
        <v>0</v>
      </c>
      <c r="AA71" s="529">
        <f t="shared" ref="AA71" si="126">Z71-O71-T71</f>
        <v>0</v>
      </c>
      <c r="AB71" s="528">
        <f t="shared" ref="AB71" si="127">X71*(1-Y71)</f>
        <v>0</v>
      </c>
      <c r="AC71" s="529">
        <f t="shared" ref="AC71" si="128">AB71-O71-T71</f>
        <v>0</v>
      </c>
      <c r="AD71" s="523">
        <f t="shared" ref="AD71" si="129">IF(AU71="CASHUSD01",0,IF(H71="USG",VLOOKUP($AU71,VantageDataUSGRange,19+IF(StressRun="S",3,IF(StressRun="C",6,0)),FALSE),VLOOKUP($AU71,VantageDataPrimeRange,19+IF(StressRun="S",3,IF(StressRun="C",6,0)),FALSE)))/2</f>
        <v>0</v>
      </c>
      <c r="AE71" s="585">
        <f t="shared" ref="AE71" si="130">IF(AU71="CASHUSD01",0,IF($H71="USG",VLOOKUP($AU71,VantageDataUSGRange,18+IF(StressRun="S",3,IF(StressRun="C",6,0)),FALSE),VLOOKUP($AU71,VantageDataPrimeRange,18+IF(StressRun="S",3,IF(StressRun="C",6,0)),FALSE)))</f>
        <v>0</v>
      </c>
      <c r="AF71" s="243">
        <f t="shared" ref="AF71" si="131">IF(AU71="CASHUSD01",0,IF($H71="USG",VLOOKUP($AU71,VantageDataUSGRange,20+IF(StressRun="S",3,IF(StressRun="C",6,0)),FALSE),VLOOKUP($AU71,VantageDataPrimeRange,20+IF(StressRun="S",3,IF(StressRun="C",6,0)),FALSE)))</f>
        <v>0</v>
      </c>
      <c r="AG71" s="266">
        <f t="shared" si="115"/>
        <v>0</v>
      </c>
      <c r="AH71" s="244" t="e">
        <f t="shared" si="115"/>
        <v>#N/A</v>
      </c>
      <c r="AI71" s="244" t="e">
        <f t="shared" si="115"/>
        <v>#N/A</v>
      </c>
      <c r="AJ71" s="244">
        <f t="shared" si="115"/>
        <v>2.7397200000000002E-3</v>
      </c>
      <c r="AK71" s="251">
        <f t="shared" si="115"/>
        <v>0</v>
      </c>
      <c r="AL71" s="565">
        <f t="shared" ref="AL71" si="132">MAX(V71*I71*(1-AD71)*J71,0.0001)</f>
        <v>1E-4</v>
      </c>
      <c r="AM71" s="530">
        <f t="shared" ref="AM71" si="133">O71</f>
        <v>0</v>
      </c>
      <c r="AN71" s="531">
        <v>0</v>
      </c>
      <c r="AO71" s="531">
        <f t="shared" ref="AO71" si="134">K71/100</f>
        <v>0</v>
      </c>
      <c r="AP71" s="531">
        <f t="shared" ref="AP71" si="135">AE71</f>
        <v>0</v>
      </c>
      <c r="AQ71" s="532">
        <f t="shared" ref="AQ71" si="136">AF71/365</f>
        <v>0</v>
      </c>
      <c r="AR71" s="488">
        <f t="shared" ref="AR71" si="137">I71</f>
        <v>1</v>
      </c>
      <c r="AS71" s="399">
        <v>1.0385550000000001</v>
      </c>
      <c r="AT71" s="399">
        <v>1.0385550000000001</v>
      </c>
      <c r="AU71" s="533" t="str">
        <f t="shared" ref="AU71" si="138">IF(ISNA(VLOOKUP(B71,VantageProxyDictionary,1,FALSE)),B71,VLOOKUP(B71,VantageProxyDictionary,2,FALSE))</f>
        <v>CASHUSD01</v>
      </c>
      <c r="AV71" s="533" t="str">
        <f t="shared" si="117"/>
        <v>CASH</v>
      </c>
    </row>
    <row r="72" spans="1:58" ht="15.75" thickBot="1" x14ac:dyDescent="0.3">
      <c r="A72" s="606">
        <v>100000</v>
      </c>
      <c r="B72" s="549" t="s">
        <v>4486</v>
      </c>
      <c r="C72" s="549"/>
      <c r="D72" s="549"/>
      <c r="E72" s="550"/>
      <c r="F72" s="354"/>
      <c r="G72" s="354"/>
      <c r="H72" s="778"/>
      <c r="I72" s="354"/>
      <c r="J72" s="354"/>
      <c r="K72" s="745"/>
      <c r="L72" s="354"/>
      <c r="M72" s="354"/>
      <c r="N72" s="354"/>
      <c r="O72" s="820"/>
      <c r="P72" s="355"/>
      <c r="Q72" s="355"/>
      <c r="R72" s="484"/>
      <c r="S72" s="420"/>
      <c r="T72" s="590"/>
      <c r="U72" s="590"/>
      <c r="V72" s="354"/>
      <c r="W72" s="815"/>
      <c r="X72" s="815"/>
      <c r="Y72" s="816"/>
      <c r="Z72" s="354"/>
      <c r="AA72" s="354"/>
      <c r="AB72" s="354"/>
      <c r="AC72" s="354"/>
      <c r="AD72" s="392"/>
      <c r="AE72" s="382"/>
      <c r="AF72" s="354"/>
      <c r="AG72" s="354"/>
      <c r="AH72" s="354"/>
      <c r="AI72" s="354"/>
      <c r="AJ72" s="354"/>
      <c r="AK72" s="393"/>
      <c r="AL72" s="356"/>
      <c r="AM72" s="354"/>
      <c r="AN72" s="354"/>
      <c r="AO72" s="354"/>
      <c r="AP72" s="354"/>
      <c r="AQ72" s="354"/>
      <c r="AR72" s="552"/>
      <c r="AS72" s="553"/>
      <c r="AT72" s="553"/>
      <c r="AU72" s="554"/>
      <c r="AV72" s="554"/>
    </row>
    <row r="73" spans="1:58" x14ac:dyDescent="0.25">
      <c r="A73" s="607" t="s">
        <v>4486</v>
      </c>
      <c r="B73" s="555" t="s">
        <v>3284</v>
      </c>
      <c r="C73" s="555" t="str">
        <f t="shared" ref="C73:E81" si="139">VLOOKUP($B73,BondData,HLOOKUP(C$48,BD_Headings,2,FALSE),FALSE)</f>
        <v>TSY INFL IX N/B</v>
      </c>
      <c r="D73" s="555" t="str">
        <f t="shared" si="139"/>
        <v>US GOVERNMENT</v>
      </c>
      <c r="E73" s="283">
        <f t="shared" si="139"/>
        <v>39802000000</v>
      </c>
      <c r="F73" s="429" t="s">
        <v>939</v>
      </c>
      <c r="G73" s="429">
        <f t="shared" ref="G73:G81" si="140">DATEVALUE(VLOOKUP($B73,BondData,HLOOKUP(G$48,BD_Headings,2,FALSE),FALSE))</f>
        <v>47314</v>
      </c>
      <c r="H73" s="775" t="str">
        <f t="shared" ref="H73:H81" si="141">VLOOKUP($B73,BondData,HLOOKUP(H$48,BD_Headings,2,FALSE),FALSE)</f>
        <v>USG</v>
      </c>
      <c r="I73" s="284">
        <f t="shared" ref="I73" si="142">IF(B73="CASHUSD01",1,VLOOKUP($B73,Used_Prices,2,FALSE)/100)</f>
        <v>1.0683199999999999</v>
      </c>
      <c r="J73" s="285">
        <f t="shared" ref="J73:J81" si="143">VLOOKUP($B73,BondData,HLOOKUP(J$48,BD_Headings,2,FALSE),FALSE)</f>
        <v>1</v>
      </c>
      <c r="K73" s="286">
        <f t="shared" ref="K73:L81" si="144">VLOOKUP($B73,BondData,HLOOKUP(K$48,BD_Headings,2,FALSE),FALSE)/100</f>
        <v>2.5000000000000001E-3</v>
      </c>
      <c r="L73" s="287">
        <f t="shared" si="144"/>
        <v>4.9723999999999992E-4</v>
      </c>
      <c r="M73" s="288">
        <f t="shared" ref="M73" si="145">L73+I73</f>
        <v>1.06881724</v>
      </c>
      <c r="N73" s="289">
        <f t="shared" ref="N73" si="146">(I73+L73)*J73</f>
        <v>1.06881724</v>
      </c>
      <c r="O73" s="556">
        <v>0</v>
      </c>
      <c r="P73" s="557">
        <v>44651</v>
      </c>
      <c r="Q73" s="558">
        <v>44651</v>
      </c>
      <c r="R73" s="586">
        <v>0</v>
      </c>
      <c r="S73" s="834">
        <v>0</v>
      </c>
      <c r="T73" s="591">
        <f t="shared" ref="T73" si="147">O73*R73*(ValDate-P73)/360</f>
        <v>0</v>
      </c>
      <c r="U73" s="591">
        <f t="shared" ref="U73" si="148">O73*R73*(Q73-P73)/360</f>
        <v>0</v>
      </c>
      <c r="V73" s="556">
        <v>-290000</v>
      </c>
      <c r="W73" s="559">
        <f t="shared" ref="W73" si="149">J73*I73*V73</f>
        <v>-309812.8</v>
      </c>
      <c r="X73" s="559">
        <f t="shared" ref="X73" si="150">V73*N73</f>
        <v>-309956.99959999998</v>
      </c>
      <c r="Y73" s="289">
        <v>0</v>
      </c>
      <c r="Z73" s="560">
        <f t="shared" ref="Z73" si="151">W73*(1-Y73)</f>
        <v>-309812.8</v>
      </c>
      <c r="AA73" s="561">
        <f t="shared" ref="AA73" si="152">Z73-O73-T73</f>
        <v>-309812.8</v>
      </c>
      <c r="AB73" s="562">
        <f t="shared" ref="AB73" si="153">X73*(1-Y73)</f>
        <v>-309956.99959999998</v>
      </c>
      <c r="AC73" s="561">
        <f t="shared" ref="AC73" si="154">AB73-O73-T73</f>
        <v>-309956.99959999998</v>
      </c>
      <c r="AD73" s="563" t="e">
        <f t="shared" ref="AD73" si="155">IF(AU73="CASHUSD01",0,IF(H73="USG",VLOOKUP($AU73,VantageDataUSGRange,19+IF(StressRun="S",3,IF(StressRun="C",6,0)),FALSE),VLOOKUP($AU73,VantageDataPrimeRange,19+IF(StressRun="S",3,IF(StressRun="C",6,0)),FALSE)))/2</f>
        <v>#N/A</v>
      </c>
      <c r="AE73" s="564" t="e">
        <f t="shared" ref="AE73" si="156">IF(AU73="CASHUSD01",0,IF($H73="USG",VLOOKUP($AU73,VantageDataUSGRange,18+IF(StressRun="S",3,IF(StressRun="C",6,0)),FALSE),VLOOKUP($AU73,VantageDataPrimeRange,18+IF(StressRun="S",3,IF(StressRun="C",6,0)),FALSE)))</f>
        <v>#N/A</v>
      </c>
      <c r="AF73" s="290" t="e">
        <f t="shared" ref="AF73" si="157">IF(AU73="CASHUSD01",0,IF($H73="USG",VLOOKUP($AU73,VantageDataUSGRange,20+IF(StressRun="S",3,IF(StressRun="C",6,0)),FALSE),VLOOKUP($AU73,VantageDataPrimeRange,20+IF(StressRun="S",3,IF(StressRun="C",6,0)),FALSE)))</f>
        <v>#N/A</v>
      </c>
      <c r="AG73" s="293">
        <f t="shared" ref="AG73:AK81" si="158">VLOOKUP($B73,BondData,HLOOKUP(AG$48,BD_Headings,2,FALSE),FALSE)</f>
        <v>0</v>
      </c>
      <c r="AH73" s="291" t="e">
        <f t="shared" si="158"/>
        <v>#N/A</v>
      </c>
      <c r="AI73" s="291" t="e">
        <f t="shared" si="158"/>
        <v>#N/A</v>
      </c>
      <c r="AJ73" s="291">
        <f t="shared" si="158"/>
        <v>7.1623284899407587</v>
      </c>
      <c r="AK73" s="292">
        <f t="shared" si="158"/>
        <v>72</v>
      </c>
      <c r="AL73" s="565" t="e">
        <f t="shared" ref="AL73" si="159">MAX(V73*I73*(1-AD73)*J73,0.0001)</f>
        <v>#N/A</v>
      </c>
      <c r="AM73" s="530">
        <f t="shared" ref="AM73" si="160">O73</f>
        <v>0</v>
      </c>
      <c r="AN73" s="531">
        <v>0</v>
      </c>
      <c r="AO73" s="531">
        <f t="shared" ref="AO73" si="161">K73/100</f>
        <v>2.5000000000000001E-5</v>
      </c>
      <c r="AP73" s="531" t="e">
        <f t="shared" ref="AP73" si="162">AE73</f>
        <v>#N/A</v>
      </c>
      <c r="AQ73" s="532" t="e">
        <f t="shared" ref="AQ73" si="163">AF73/365</f>
        <v>#N/A</v>
      </c>
      <c r="AR73" s="490">
        <f t="shared" ref="AR73" si="164">I73</f>
        <v>1.0683199999999999</v>
      </c>
      <c r="AS73" s="400">
        <v>1.0385550000000001</v>
      </c>
      <c r="AT73" s="400">
        <v>1.0385550000000001</v>
      </c>
      <c r="AU73" s="566" t="str">
        <f t="shared" ref="AU73" si="165">IF(ISNA(VLOOKUP(B73,VantageProxyDictionary,1,FALSE)),B73,VLOOKUP(B73,VantageProxyDictionary,2,FALSE))</f>
        <v>9128287D6</v>
      </c>
      <c r="AV73" s="566" t="str">
        <f t="shared" ref="AV73:AV81" si="166">VLOOKUP($B73,BondData,HLOOKUP(AV$48,BD_Headings,2,FALSE),FALSE)</f>
        <v>TNOTE</v>
      </c>
    </row>
    <row r="74" spans="1:58" s="765" customFormat="1" x14ac:dyDescent="0.25">
      <c r="A74" s="607" t="s">
        <v>4486</v>
      </c>
      <c r="B74" s="555" t="s">
        <v>4579</v>
      </c>
      <c r="C74" s="555" t="str">
        <f t="shared" si="139"/>
        <v>US TREASURY N/B</v>
      </c>
      <c r="D74" s="555" t="str">
        <f t="shared" si="139"/>
        <v>US GOVERNMENT</v>
      </c>
      <c r="E74" s="283">
        <f t="shared" si="139"/>
        <v>31819000000</v>
      </c>
      <c r="F74" s="429" t="s">
        <v>939</v>
      </c>
      <c r="G74" s="429">
        <f t="shared" si="140"/>
        <v>45412</v>
      </c>
      <c r="H74" s="775" t="str">
        <f t="shared" si="141"/>
        <v>USG</v>
      </c>
      <c r="I74" s="284">
        <f t="shared" ref="I74:I81" si="167">IF(B74="CASHUSD01",1,VLOOKUP($B74,Used_Prices,2,FALSE)/100)</f>
        <v>0.99121099999999995</v>
      </c>
      <c r="J74" s="285">
        <f t="shared" si="143"/>
        <v>1</v>
      </c>
      <c r="K74" s="286">
        <f t="shared" si="144"/>
        <v>0.02</v>
      </c>
      <c r="L74" s="287">
        <f t="shared" si="144"/>
        <v>8.1767999999999997E-3</v>
      </c>
      <c r="M74" s="288">
        <f t="shared" ref="M74:M81" si="168">L74+I74</f>
        <v>0.99938779999999994</v>
      </c>
      <c r="N74" s="289">
        <f t="shared" ref="N74:N81" si="169">(I74+L74)*J74</f>
        <v>0.99938779999999994</v>
      </c>
      <c r="O74" s="950">
        <v>0</v>
      </c>
      <c r="P74" s="951">
        <v>44650</v>
      </c>
      <c r="Q74" s="947">
        <v>44650</v>
      </c>
      <c r="R74" s="948">
        <v>0</v>
      </c>
      <c r="S74" s="949">
        <v>0</v>
      </c>
      <c r="T74" s="591">
        <f t="shared" ref="T74:T81" si="170">O74*R74*(ValDate-P74)/360</f>
        <v>0</v>
      </c>
      <c r="U74" s="591">
        <f t="shared" ref="U74:U81" si="171">O74*R74*(Q74-P74)/360</f>
        <v>0</v>
      </c>
      <c r="V74" s="950">
        <v>-350000</v>
      </c>
      <c r="W74" s="559">
        <f t="shared" ref="W74:W81" si="172">J74*I74*V74</f>
        <v>-346923.85</v>
      </c>
      <c r="X74" s="559">
        <f t="shared" ref="X74:X81" si="173">V74*N74</f>
        <v>-349785.73</v>
      </c>
      <c r="Y74" s="289">
        <v>0</v>
      </c>
      <c r="Z74" s="560">
        <f t="shared" ref="Z74:Z81" si="174">W74*(1-Y74)</f>
        <v>-346923.85</v>
      </c>
      <c r="AA74" s="561">
        <f t="shared" ref="AA74:AA81" si="175">Z74-O74-T74</f>
        <v>-346923.85</v>
      </c>
      <c r="AB74" s="562">
        <f t="shared" ref="AB74:AB81" si="176">X74*(1-Y74)</f>
        <v>-349785.73</v>
      </c>
      <c r="AC74" s="561">
        <f t="shared" ref="AC74:AC81" si="177">AB74-O74-T74</f>
        <v>-349785.73</v>
      </c>
      <c r="AD74" s="952" t="e">
        <f t="shared" ref="AD74:AD81" si="178">IF(AU74="CASHUSD01",0,IF(H74="USG",VLOOKUP($AU74,VantageDataUSGRange,19+IF(StressRun="S",3,IF(StressRun="C",6,0)),FALSE),VLOOKUP($AU74,VantageDataPrimeRange,19+IF(StressRun="S",3,IF(StressRun="C",6,0)),FALSE)))/2</f>
        <v>#N/A</v>
      </c>
      <c r="AE74" s="564" t="e">
        <f t="shared" ref="AE74:AE81" si="179">IF(AU74="CASHUSD01",0,IF($H74="USG",VLOOKUP($AU74,VantageDataUSGRange,18+IF(StressRun="S",3,IF(StressRun="C",6,0)),FALSE),VLOOKUP($AU74,VantageDataPrimeRange,18+IF(StressRun="S",3,IF(StressRun="C",6,0)),FALSE)))</f>
        <v>#N/A</v>
      </c>
      <c r="AF74" s="290" t="e">
        <f t="shared" ref="AF74:AF81" si="180">IF(AU74="CASHUSD01",0,IF($H74="USG",VLOOKUP($AU74,VantageDataUSGRange,20+IF(StressRun="S",3,IF(StressRun="C",6,0)),FALSE),VLOOKUP($AU74,VantageDataPrimeRange,20+IF(StressRun="S",3,IF(StressRun="C",6,0)),FALSE)))</f>
        <v>#N/A</v>
      </c>
      <c r="AG74" s="953">
        <f t="shared" si="158"/>
        <v>0</v>
      </c>
      <c r="AH74" s="291" t="e">
        <f t="shared" si="158"/>
        <v>#N/A</v>
      </c>
      <c r="AI74" s="291" t="e">
        <f t="shared" si="158"/>
        <v>#N/A</v>
      </c>
      <c r="AJ74" s="291">
        <f t="shared" si="158"/>
        <v>2.0249946009890931</v>
      </c>
      <c r="AK74" s="292">
        <f t="shared" si="158"/>
        <v>148</v>
      </c>
      <c r="AL74" s="567" t="e">
        <f t="shared" ref="AL74:AL81" si="181">MAX(V74*I74*(1-AD74)*J74,0.0001)</f>
        <v>#N/A</v>
      </c>
      <c r="AM74" s="530">
        <f t="shared" ref="AM74:AM81" si="182">O74</f>
        <v>0</v>
      </c>
      <c r="AN74" s="531">
        <v>0</v>
      </c>
      <c r="AO74" s="531">
        <f t="shared" ref="AO74:AO81" si="183">K74/100</f>
        <v>2.0000000000000001E-4</v>
      </c>
      <c r="AP74" s="531" t="e">
        <f t="shared" ref="AP74:AP81" si="184">AE74</f>
        <v>#N/A</v>
      </c>
      <c r="AQ74" s="532" t="e">
        <f t="shared" ref="AQ74:AQ81" si="185">AF74/365</f>
        <v>#N/A</v>
      </c>
      <c r="AR74" s="490">
        <f t="shared" ref="AR74:AR81" si="186">I74</f>
        <v>0.99121099999999995</v>
      </c>
      <c r="AS74" s="400">
        <v>1.0385550000000001</v>
      </c>
      <c r="AT74" s="400">
        <v>1.0385550000000001</v>
      </c>
      <c r="AU74" s="566" t="str">
        <f t="shared" ref="AU74:AU81" si="187">IF(ISNA(VLOOKUP(B74,VantageProxyDictionary,1,FALSE)),B74,VLOOKUP(B74,VantageProxyDictionary,2,FALSE))</f>
        <v>912828X70</v>
      </c>
      <c r="AV74" s="566" t="str">
        <f t="shared" si="166"/>
        <v>TNOTE</v>
      </c>
    </row>
    <row r="75" spans="1:58" s="765" customFormat="1" x14ac:dyDescent="0.25">
      <c r="A75" s="607" t="s">
        <v>4486</v>
      </c>
      <c r="B75" s="555" t="s">
        <v>3284</v>
      </c>
      <c r="C75" s="555" t="str">
        <f t="shared" si="139"/>
        <v>TSY INFL IX N/B</v>
      </c>
      <c r="D75" s="555" t="str">
        <f t="shared" si="139"/>
        <v>US GOVERNMENT</v>
      </c>
      <c r="E75" s="283">
        <f t="shared" si="139"/>
        <v>39802000000</v>
      </c>
      <c r="F75" s="429" t="s">
        <v>939</v>
      </c>
      <c r="G75" s="429">
        <f t="shared" si="140"/>
        <v>47314</v>
      </c>
      <c r="H75" s="775" t="str">
        <f t="shared" si="141"/>
        <v>USG</v>
      </c>
      <c r="I75" s="284">
        <f t="shared" si="167"/>
        <v>1.0683199999999999</v>
      </c>
      <c r="J75" s="285">
        <f t="shared" si="143"/>
        <v>1</v>
      </c>
      <c r="K75" s="286">
        <f t="shared" si="144"/>
        <v>2.5000000000000001E-3</v>
      </c>
      <c r="L75" s="287">
        <f t="shared" si="144"/>
        <v>4.9723999999999992E-4</v>
      </c>
      <c r="M75" s="288">
        <f t="shared" si="168"/>
        <v>1.06881724</v>
      </c>
      <c r="N75" s="289">
        <f t="shared" si="169"/>
        <v>1.06881724</v>
      </c>
      <c r="O75" s="950">
        <v>0</v>
      </c>
      <c r="P75" s="951">
        <v>44649</v>
      </c>
      <c r="Q75" s="947">
        <v>44649</v>
      </c>
      <c r="R75" s="948">
        <v>0</v>
      </c>
      <c r="S75" s="949">
        <v>0</v>
      </c>
      <c r="T75" s="591">
        <f t="shared" si="170"/>
        <v>0</v>
      </c>
      <c r="U75" s="591">
        <f t="shared" si="171"/>
        <v>0</v>
      </c>
      <c r="V75" s="950">
        <v>-200000</v>
      </c>
      <c r="W75" s="559">
        <f t="shared" si="172"/>
        <v>-213664</v>
      </c>
      <c r="X75" s="559">
        <f t="shared" si="173"/>
        <v>-213763.448</v>
      </c>
      <c r="Y75" s="289">
        <v>0</v>
      </c>
      <c r="Z75" s="560">
        <f t="shared" si="174"/>
        <v>-213664</v>
      </c>
      <c r="AA75" s="561">
        <f t="shared" si="175"/>
        <v>-213664</v>
      </c>
      <c r="AB75" s="562">
        <f t="shared" si="176"/>
        <v>-213763.448</v>
      </c>
      <c r="AC75" s="561">
        <f t="shared" si="177"/>
        <v>-213763.448</v>
      </c>
      <c r="AD75" s="952" t="e">
        <f t="shared" si="178"/>
        <v>#N/A</v>
      </c>
      <c r="AE75" s="564" t="e">
        <f t="shared" si="179"/>
        <v>#N/A</v>
      </c>
      <c r="AF75" s="290" t="e">
        <f t="shared" si="180"/>
        <v>#N/A</v>
      </c>
      <c r="AG75" s="953">
        <f t="shared" si="158"/>
        <v>0</v>
      </c>
      <c r="AH75" s="291" t="e">
        <f t="shared" si="158"/>
        <v>#N/A</v>
      </c>
      <c r="AI75" s="291" t="e">
        <f t="shared" si="158"/>
        <v>#N/A</v>
      </c>
      <c r="AJ75" s="291">
        <f t="shared" si="158"/>
        <v>7.1623284899407587</v>
      </c>
      <c r="AK75" s="292">
        <f t="shared" si="158"/>
        <v>72</v>
      </c>
      <c r="AL75" s="567" t="e">
        <f t="shared" si="181"/>
        <v>#N/A</v>
      </c>
      <c r="AM75" s="530">
        <f t="shared" si="182"/>
        <v>0</v>
      </c>
      <c r="AN75" s="531">
        <v>0</v>
      </c>
      <c r="AO75" s="531">
        <f t="shared" si="183"/>
        <v>2.5000000000000001E-5</v>
      </c>
      <c r="AP75" s="531" t="e">
        <f t="shared" si="184"/>
        <v>#N/A</v>
      </c>
      <c r="AQ75" s="532" t="e">
        <f t="shared" si="185"/>
        <v>#N/A</v>
      </c>
      <c r="AR75" s="490">
        <f t="shared" si="186"/>
        <v>1.0683199999999999</v>
      </c>
      <c r="AS75" s="400">
        <v>1.0385550000000001</v>
      </c>
      <c r="AT75" s="400">
        <v>1.0385550000000001</v>
      </c>
      <c r="AU75" s="566" t="str">
        <f t="shared" si="187"/>
        <v>9128287D6</v>
      </c>
      <c r="AV75" s="566" t="str">
        <f t="shared" si="166"/>
        <v>TNOTE</v>
      </c>
    </row>
    <row r="76" spans="1:58" s="765" customFormat="1" x14ac:dyDescent="0.25">
      <c r="A76" s="607" t="s">
        <v>4486</v>
      </c>
      <c r="B76" s="555" t="s">
        <v>3284</v>
      </c>
      <c r="C76" s="555" t="str">
        <f t="shared" si="139"/>
        <v>TSY INFL IX N/B</v>
      </c>
      <c r="D76" s="555" t="str">
        <f t="shared" si="139"/>
        <v>US GOVERNMENT</v>
      </c>
      <c r="E76" s="283">
        <f t="shared" si="139"/>
        <v>39802000000</v>
      </c>
      <c r="F76" s="429" t="s">
        <v>939</v>
      </c>
      <c r="G76" s="429">
        <f t="shared" si="140"/>
        <v>47314</v>
      </c>
      <c r="H76" s="775" t="str">
        <f t="shared" si="141"/>
        <v>USG</v>
      </c>
      <c r="I76" s="284">
        <f t="shared" si="167"/>
        <v>1.0683199999999999</v>
      </c>
      <c r="J76" s="285">
        <f t="shared" si="143"/>
        <v>1</v>
      </c>
      <c r="K76" s="286">
        <f t="shared" si="144"/>
        <v>2.5000000000000001E-3</v>
      </c>
      <c r="L76" s="287">
        <f t="shared" si="144"/>
        <v>4.9723999999999992E-4</v>
      </c>
      <c r="M76" s="288">
        <f t="shared" si="168"/>
        <v>1.06881724</v>
      </c>
      <c r="N76" s="289">
        <f t="shared" si="169"/>
        <v>1.06881724</v>
      </c>
      <c r="O76" s="950">
        <v>0</v>
      </c>
      <c r="P76" s="951">
        <v>44648</v>
      </c>
      <c r="Q76" s="947">
        <v>44648</v>
      </c>
      <c r="R76" s="948">
        <v>0</v>
      </c>
      <c r="S76" s="949">
        <v>0</v>
      </c>
      <c r="T76" s="591">
        <f t="shared" si="170"/>
        <v>0</v>
      </c>
      <c r="U76" s="591">
        <f t="shared" si="171"/>
        <v>0</v>
      </c>
      <c r="V76" s="950">
        <v>-225000</v>
      </c>
      <c r="W76" s="559">
        <f t="shared" si="172"/>
        <v>-240372</v>
      </c>
      <c r="X76" s="559">
        <f t="shared" si="173"/>
        <v>-240483.87899999999</v>
      </c>
      <c r="Y76" s="289">
        <v>0</v>
      </c>
      <c r="Z76" s="560">
        <f t="shared" si="174"/>
        <v>-240372</v>
      </c>
      <c r="AA76" s="561">
        <f t="shared" si="175"/>
        <v>-240372</v>
      </c>
      <c r="AB76" s="562">
        <f t="shared" si="176"/>
        <v>-240483.87899999999</v>
      </c>
      <c r="AC76" s="561">
        <f t="shared" si="177"/>
        <v>-240483.87899999999</v>
      </c>
      <c r="AD76" s="952" t="e">
        <f t="shared" si="178"/>
        <v>#N/A</v>
      </c>
      <c r="AE76" s="564" t="e">
        <f t="shared" si="179"/>
        <v>#N/A</v>
      </c>
      <c r="AF76" s="290" t="e">
        <f t="shared" si="180"/>
        <v>#N/A</v>
      </c>
      <c r="AG76" s="953">
        <f t="shared" si="158"/>
        <v>0</v>
      </c>
      <c r="AH76" s="291" t="e">
        <f t="shared" si="158"/>
        <v>#N/A</v>
      </c>
      <c r="AI76" s="291" t="e">
        <f t="shared" si="158"/>
        <v>#N/A</v>
      </c>
      <c r="AJ76" s="291">
        <f t="shared" si="158"/>
        <v>7.1623284899407587</v>
      </c>
      <c r="AK76" s="292">
        <f t="shared" si="158"/>
        <v>72</v>
      </c>
      <c r="AL76" s="567" t="e">
        <f t="shared" si="181"/>
        <v>#N/A</v>
      </c>
      <c r="AM76" s="530">
        <f t="shared" si="182"/>
        <v>0</v>
      </c>
      <c r="AN76" s="531">
        <v>0</v>
      </c>
      <c r="AO76" s="531">
        <f t="shared" si="183"/>
        <v>2.5000000000000001E-5</v>
      </c>
      <c r="AP76" s="531" t="e">
        <f t="shared" si="184"/>
        <v>#N/A</v>
      </c>
      <c r="AQ76" s="532" t="e">
        <f t="shared" si="185"/>
        <v>#N/A</v>
      </c>
      <c r="AR76" s="490">
        <f t="shared" si="186"/>
        <v>1.0683199999999999</v>
      </c>
      <c r="AS76" s="400">
        <v>1.0385550000000001</v>
      </c>
      <c r="AT76" s="400">
        <v>1.0385550000000001</v>
      </c>
      <c r="AU76" s="566" t="str">
        <f t="shared" si="187"/>
        <v>9128287D6</v>
      </c>
      <c r="AV76" s="566" t="str">
        <f t="shared" si="166"/>
        <v>TNOTE</v>
      </c>
    </row>
    <row r="77" spans="1:58" s="765" customFormat="1" x14ac:dyDescent="0.25">
      <c r="A77" s="607" t="s">
        <v>4486</v>
      </c>
      <c r="B77" s="555" t="s">
        <v>3284</v>
      </c>
      <c r="C77" s="555" t="str">
        <f t="shared" si="139"/>
        <v>TSY INFL IX N/B</v>
      </c>
      <c r="D77" s="555" t="str">
        <f t="shared" si="139"/>
        <v>US GOVERNMENT</v>
      </c>
      <c r="E77" s="283">
        <f t="shared" si="139"/>
        <v>39802000000</v>
      </c>
      <c r="F77" s="429" t="s">
        <v>939</v>
      </c>
      <c r="G77" s="429">
        <f t="shared" si="140"/>
        <v>47314</v>
      </c>
      <c r="H77" s="775" t="str">
        <f t="shared" si="141"/>
        <v>USG</v>
      </c>
      <c r="I77" s="284">
        <f t="shared" si="167"/>
        <v>1.0683199999999999</v>
      </c>
      <c r="J77" s="285">
        <f t="shared" si="143"/>
        <v>1</v>
      </c>
      <c r="K77" s="286">
        <f t="shared" si="144"/>
        <v>2.5000000000000001E-3</v>
      </c>
      <c r="L77" s="287">
        <f t="shared" si="144"/>
        <v>4.9723999999999992E-4</v>
      </c>
      <c r="M77" s="288">
        <f t="shared" si="168"/>
        <v>1.06881724</v>
      </c>
      <c r="N77" s="289">
        <f t="shared" si="169"/>
        <v>1.06881724</v>
      </c>
      <c r="O77" s="950">
        <v>0</v>
      </c>
      <c r="P77" s="951">
        <v>44644</v>
      </c>
      <c r="Q77" s="947">
        <v>44644</v>
      </c>
      <c r="R77" s="948">
        <v>0</v>
      </c>
      <c r="S77" s="949">
        <v>0</v>
      </c>
      <c r="T77" s="591">
        <f t="shared" si="170"/>
        <v>0</v>
      </c>
      <c r="U77" s="591">
        <f t="shared" si="171"/>
        <v>0</v>
      </c>
      <c r="V77" s="950">
        <v>-300000</v>
      </c>
      <c r="W77" s="559">
        <f t="shared" si="172"/>
        <v>-320496</v>
      </c>
      <c r="X77" s="559">
        <f t="shared" si="173"/>
        <v>-320645.17200000002</v>
      </c>
      <c r="Y77" s="289">
        <v>0</v>
      </c>
      <c r="Z77" s="560">
        <f t="shared" si="174"/>
        <v>-320496</v>
      </c>
      <c r="AA77" s="561">
        <f t="shared" si="175"/>
        <v>-320496</v>
      </c>
      <c r="AB77" s="562">
        <f t="shared" si="176"/>
        <v>-320645.17200000002</v>
      </c>
      <c r="AC77" s="561">
        <f t="shared" si="177"/>
        <v>-320645.17200000002</v>
      </c>
      <c r="AD77" s="952" t="e">
        <f t="shared" si="178"/>
        <v>#N/A</v>
      </c>
      <c r="AE77" s="564" t="e">
        <f t="shared" si="179"/>
        <v>#N/A</v>
      </c>
      <c r="AF77" s="290" t="e">
        <f t="shared" si="180"/>
        <v>#N/A</v>
      </c>
      <c r="AG77" s="953">
        <f t="shared" si="158"/>
        <v>0</v>
      </c>
      <c r="AH77" s="291" t="e">
        <f t="shared" si="158"/>
        <v>#N/A</v>
      </c>
      <c r="AI77" s="291" t="e">
        <f t="shared" si="158"/>
        <v>#N/A</v>
      </c>
      <c r="AJ77" s="291">
        <f t="shared" si="158"/>
        <v>7.1623284899407587</v>
      </c>
      <c r="AK77" s="292">
        <f t="shared" si="158"/>
        <v>72</v>
      </c>
      <c r="AL77" s="567" t="e">
        <f t="shared" si="181"/>
        <v>#N/A</v>
      </c>
      <c r="AM77" s="530">
        <f t="shared" si="182"/>
        <v>0</v>
      </c>
      <c r="AN77" s="531">
        <v>0</v>
      </c>
      <c r="AO77" s="531">
        <f t="shared" si="183"/>
        <v>2.5000000000000001E-5</v>
      </c>
      <c r="AP77" s="531" t="e">
        <f t="shared" si="184"/>
        <v>#N/A</v>
      </c>
      <c r="AQ77" s="532" t="e">
        <f t="shared" si="185"/>
        <v>#N/A</v>
      </c>
      <c r="AR77" s="490">
        <f t="shared" si="186"/>
        <v>1.0683199999999999</v>
      </c>
      <c r="AS77" s="400">
        <v>1.0385550000000001</v>
      </c>
      <c r="AT77" s="400">
        <v>1.0385550000000001</v>
      </c>
      <c r="AU77" s="566" t="str">
        <f t="shared" si="187"/>
        <v>9128287D6</v>
      </c>
      <c r="AV77" s="566" t="str">
        <f t="shared" si="166"/>
        <v>TNOTE</v>
      </c>
    </row>
    <row r="78" spans="1:58" s="765" customFormat="1" x14ac:dyDescent="0.25">
      <c r="A78" s="607" t="s">
        <v>4486</v>
      </c>
      <c r="B78" s="555" t="s">
        <v>4579</v>
      </c>
      <c r="C78" s="555" t="str">
        <f t="shared" si="139"/>
        <v>US TREASURY N/B</v>
      </c>
      <c r="D78" s="555" t="str">
        <f t="shared" si="139"/>
        <v>US GOVERNMENT</v>
      </c>
      <c r="E78" s="283">
        <f t="shared" si="139"/>
        <v>31819000000</v>
      </c>
      <c r="F78" s="429" t="s">
        <v>939</v>
      </c>
      <c r="G78" s="429">
        <f t="shared" si="140"/>
        <v>45412</v>
      </c>
      <c r="H78" s="775" t="str">
        <f t="shared" si="141"/>
        <v>USG</v>
      </c>
      <c r="I78" s="284">
        <f t="shared" si="167"/>
        <v>0.99121099999999995</v>
      </c>
      <c r="J78" s="285">
        <f t="shared" si="143"/>
        <v>1</v>
      </c>
      <c r="K78" s="286">
        <f t="shared" si="144"/>
        <v>0.02</v>
      </c>
      <c r="L78" s="287">
        <f t="shared" si="144"/>
        <v>8.1767999999999997E-3</v>
      </c>
      <c r="M78" s="288">
        <f t="shared" si="168"/>
        <v>0.99938779999999994</v>
      </c>
      <c r="N78" s="289">
        <f t="shared" si="169"/>
        <v>0.99938779999999994</v>
      </c>
      <c r="O78" s="950">
        <v>0</v>
      </c>
      <c r="P78" s="951">
        <v>44643</v>
      </c>
      <c r="Q78" s="947">
        <v>44643</v>
      </c>
      <c r="R78" s="948">
        <v>0</v>
      </c>
      <c r="S78" s="949">
        <v>0</v>
      </c>
      <c r="T78" s="591">
        <f t="shared" si="170"/>
        <v>0</v>
      </c>
      <c r="U78" s="591">
        <f t="shared" si="171"/>
        <v>0</v>
      </c>
      <c r="V78" s="950">
        <v>-260000</v>
      </c>
      <c r="W78" s="559">
        <f t="shared" si="172"/>
        <v>-257714.86</v>
      </c>
      <c r="X78" s="559">
        <f t="shared" si="173"/>
        <v>-259840.82799999998</v>
      </c>
      <c r="Y78" s="289">
        <v>0</v>
      </c>
      <c r="Z78" s="560">
        <f t="shared" si="174"/>
        <v>-257714.86</v>
      </c>
      <c r="AA78" s="561">
        <f t="shared" si="175"/>
        <v>-257714.86</v>
      </c>
      <c r="AB78" s="562">
        <f t="shared" si="176"/>
        <v>-259840.82799999998</v>
      </c>
      <c r="AC78" s="561">
        <f t="shared" si="177"/>
        <v>-259840.82799999998</v>
      </c>
      <c r="AD78" s="952" t="e">
        <f t="shared" si="178"/>
        <v>#N/A</v>
      </c>
      <c r="AE78" s="564" t="e">
        <f t="shared" si="179"/>
        <v>#N/A</v>
      </c>
      <c r="AF78" s="290" t="e">
        <f t="shared" si="180"/>
        <v>#N/A</v>
      </c>
      <c r="AG78" s="953">
        <f t="shared" si="158"/>
        <v>0</v>
      </c>
      <c r="AH78" s="291" t="e">
        <f t="shared" si="158"/>
        <v>#N/A</v>
      </c>
      <c r="AI78" s="291" t="e">
        <f t="shared" si="158"/>
        <v>#N/A</v>
      </c>
      <c r="AJ78" s="291">
        <f t="shared" si="158"/>
        <v>2.0249946009890931</v>
      </c>
      <c r="AK78" s="292">
        <f t="shared" si="158"/>
        <v>148</v>
      </c>
      <c r="AL78" s="567" t="e">
        <f t="shared" si="181"/>
        <v>#N/A</v>
      </c>
      <c r="AM78" s="530">
        <f t="shared" si="182"/>
        <v>0</v>
      </c>
      <c r="AN78" s="531">
        <v>0</v>
      </c>
      <c r="AO78" s="531">
        <f t="shared" si="183"/>
        <v>2.0000000000000001E-4</v>
      </c>
      <c r="AP78" s="531" t="e">
        <f t="shared" si="184"/>
        <v>#N/A</v>
      </c>
      <c r="AQ78" s="532" t="e">
        <f t="shared" si="185"/>
        <v>#N/A</v>
      </c>
      <c r="AR78" s="490">
        <f t="shared" si="186"/>
        <v>0.99121099999999995</v>
      </c>
      <c r="AS78" s="400">
        <v>1.0385550000000001</v>
      </c>
      <c r="AT78" s="400">
        <v>1.0385550000000001</v>
      </c>
      <c r="AU78" s="566" t="str">
        <f t="shared" si="187"/>
        <v>912828X70</v>
      </c>
      <c r="AV78" s="566" t="str">
        <f t="shared" si="166"/>
        <v>TNOTE</v>
      </c>
    </row>
    <row r="79" spans="1:58" s="765" customFormat="1" x14ac:dyDescent="0.25">
      <c r="A79" s="607" t="s">
        <v>4486</v>
      </c>
      <c r="B79" s="555" t="s">
        <v>3284</v>
      </c>
      <c r="C79" s="555" t="str">
        <f t="shared" si="139"/>
        <v>TSY INFL IX N/B</v>
      </c>
      <c r="D79" s="555" t="str">
        <f t="shared" si="139"/>
        <v>US GOVERNMENT</v>
      </c>
      <c r="E79" s="283">
        <f t="shared" si="139"/>
        <v>39802000000</v>
      </c>
      <c r="F79" s="429" t="s">
        <v>939</v>
      </c>
      <c r="G79" s="429">
        <f t="shared" si="140"/>
        <v>47314</v>
      </c>
      <c r="H79" s="775" t="str">
        <f t="shared" si="141"/>
        <v>USG</v>
      </c>
      <c r="I79" s="284">
        <f t="shared" si="167"/>
        <v>1.0683199999999999</v>
      </c>
      <c r="J79" s="285">
        <f t="shared" si="143"/>
        <v>1</v>
      </c>
      <c r="K79" s="286">
        <f t="shared" si="144"/>
        <v>2.5000000000000001E-3</v>
      </c>
      <c r="L79" s="287">
        <f t="shared" si="144"/>
        <v>4.9723999999999992E-4</v>
      </c>
      <c r="M79" s="288">
        <f t="shared" si="168"/>
        <v>1.06881724</v>
      </c>
      <c r="N79" s="289">
        <f t="shared" si="169"/>
        <v>1.06881724</v>
      </c>
      <c r="O79" s="950">
        <v>0</v>
      </c>
      <c r="P79" s="951">
        <v>44636</v>
      </c>
      <c r="Q79" s="947">
        <v>44636</v>
      </c>
      <c r="R79" s="948">
        <v>0</v>
      </c>
      <c r="S79" s="949">
        <v>0</v>
      </c>
      <c r="T79" s="591">
        <f t="shared" si="170"/>
        <v>0</v>
      </c>
      <c r="U79" s="591">
        <f t="shared" si="171"/>
        <v>0</v>
      </c>
      <c r="V79" s="950">
        <v>-240000</v>
      </c>
      <c r="W79" s="559">
        <f t="shared" si="172"/>
        <v>-256396.79999999999</v>
      </c>
      <c r="X79" s="559">
        <f t="shared" si="173"/>
        <v>-256516.13759999999</v>
      </c>
      <c r="Y79" s="289">
        <v>0</v>
      </c>
      <c r="Z79" s="560">
        <f t="shared" si="174"/>
        <v>-256396.79999999999</v>
      </c>
      <c r="AA79" s="561">
        <f t="shared" si="175"/>
        <v>-256396.79999999999</v>
      </c>
      <c r="AB79" s="562">
        <f t="shared" si="176"/>
        <v>-256516.13759999999</v>
      </c>
      <c r="AC79" s="561">
        <f t="shared" si="177"/>
        <v>-256516.13759999999</v>
      </c>
      <c r="AD79" s="952" t="e">
        <f t="shared" si="178"/>
        <v>#N/A</v>
      </c>
      <c r="AE79" s="564" t="e">
        <f t="shared" si="179"/>
        <v>#N/A</v>
      </c>
      <c r="AF79" s="290" t="e">
        <f t="shared" si="180"/>
        <v>#N/A</v>
      </c>
      <c r="AG79" s="953">
        <f t="shared" si="158"/>
        <v>0</v>
      </c>
      <c r="AH79" s="291" t="e">
        <f t="shared" si="158"/>
        <v>#N/A</v>
      </c>
      <c r="AI79" s="291" t="e">
        <f t="shared" si="158"/>
        <v>#N/A</v>
      </c>
      <c r="AJ79" s="291">
        <f t="shared" si="158"/>
        <v>7.1623284899407587</v>
      </c>
      <c r="AK79" s="292">
        <f t="shared" si="158"/>
        <v>72</v>
      </c>
      <c r="AL79" s="567" t="e">
        <f t="shared" si="181"/>
        <v>#N/A</v>
      </c>
      <c r="AM79" s="530">
        <f t="shared" si="182"/>
        <v>0</v>
      </c>
      <c r="AN79" s="531">
        <v>0</v>
      </c>
      <c r="AO79" s="531">
        <f t="shared" si="183"/>
        <v>2.5000000000000001E-5</v>
      </c>
      <c r="AP79" s="531" t="e">
        <f t="shared" si="184"/>
        <v>#N/A</v>
      </c>
      <c r="AQ79" s="532" t="e">
        <f t="shared" si="185"/>
        <v>#N/A</v>
      </c>
      <c r="AR79" s="490">
        <f t="shared" si="186"/>
        <v>1.0683199999999999</v>
      </c>
      <c r="AS79" s="400">
        <v>1.0385550000000001</v>
      </c>
      <c r="AT79" s="400">
        <v>1.0385550000000001</v>
      </c>
      <c r="AU79" s="566" t="str">
        <f t="shared" si="187"/>
        <v>9128287D6</v>
      </c>
      <c r="AV79" s="566" t="str">
        <f t="shared" si="166"/>
        <v>TNOTE</v>
      </c>
    </row>
    <row r="80" spans="1:58" s="765" customFormat="1" x14ac:dyDescent="0.25">
      <c r="A80" s="607" t="s">
        <v>4486</v>
      </c>
      <c r="B80" s="555" t="s">
        <v>3284</v>
      </c>
      <c r="C80" s="555" t="str">
        <f t="shared" si="139"/>
        <v>TSY INFL IX N/B</v>
      </c>
      <c r="D80" s="555" t="str">
        <f t="shared" si="139"/>
        <v>US GOVERNMENT</v>
      </c>
      <c r="E80" s="283">
        <f t="shared" si="139"/>
        <v>39802000000</v>
      </c>
      <c r="F80" s="429" t="s">
        <v>939</v>
      </c>
      <c r="G80" s="429">
        <f t="shared" si="140"/>
        <v>47314</v>
      </c>
      <c r="H80" s="775" t="str">
        <f t="shared" si="141"/>
        <v>USG</v>
      </c>
      <c r="I80" s="284">
        <f t="shared" si="167"/>
        <v>1.0683199999999999</v>
      </c>
      <c r="J80" s="285">
        <f t="shared" si="143"/>
        <v>1</v>
      </c>
      <c r="K80" s="286">
        <f t="shared" si="144"/>
        <v>2.5000000000000001E-3</v>
      </c>
      <c r="L80" s="287">
        <f t="shared" si="144"/>
        <v>4.9723999999999992E-4</v>
      </c>
      <c r="M80" s="288">
        <f t="shared" si="168"/>
        <v>1.06881724</v>
      </c>
      <c r="N80" s="289">
        <f t="shared" si="169"/>
        <v>1.06881724</v>
      </c>
      <c r="O80" s="950">
        <v>0</v>
      </c>
      <c r="P80" s="951">
        <v>44634</v>
      </c>
      <c r="Q80" s="947">
        <v>44634</v>
      </c>
      <c r="R80" s="948">
        <v>0</v>
      </c>
      <c r="S80" s="949">
        <v>0</v>
      </c>
      <c r="T80" s="591">
        <f t="shared" si="170"/>
        <v>0</v>
      </c>
      <c r="U80" s="591">
        <f t="shared" si="171"/>
        <v>0</v>
      </c>
      <c r="V80" s="950">
        <v>-1200000</v>
      </c>
      <c r="W80" s="559">
        <f t="shared" si="172"/>
        <v>-1281984</v>
      </c>
      <c r="X80" s="559">
        <f t="shared" si="173"/>
        <v>-1282580.6880000001</v>
      </c>
      <c r="Y80" s="289">
        <v>0</v>
      </c>
      <c r="Z80" s="560">
        <f t="shared" si="174"/>
        <v>-1281984</v>
      </c>
      <c r="AA80" s="561">
        <f t="shared" si="175"/>
        <v>-1281984</v>
      </c>
      <c r="AB80" s="562">
        <f t="shared" si="176"/>
        <v>-1282580.6880000001</v>
      </c>
      <c r="AC80" s="561">
        <f t="shared" si="177"/>
        <v>-1282580.6880000001</v>
      </c>
      <c r="AD80" s="952" t="e">
        <f t="shared" si="178"/>
        <v>#N/A</v>
      </c>
      <c r="AE80" s="564" t="e">
        <f t="shared" si="179"/>
        <v>#N/A</v>
      </c>
      <c r="AF80" s="290" t="e">
        <f t="shared" si="180"/>
        <v>#N/A</v>
      </c>
      <c r="AG80" s="953">
        <f t="shared" si="158"/>
        <v>0</v>
      </c>
      <c r="AH80" s="291" t="e">
        <f t="shared" si="158"/>
        <v>#N/A</v>
      </c>
      <c r="AI80" s="291" t="e">
        <f t="shared" si="158"/>
        <v>#N/A</v>
      </c>
      <c r="AJ80" s="291">
        <f t="shared" si="158"/>
        <v>7.1623284899407587</v>
      </c>
      <c r="AK80" s="292">
        <f t="shared" si="158"/>
        <v>72</v>
      </c>
      <c r="AL80" s="567" t="e">
        <f t="shared" si="181"/>
        <v>#N/A</v>
      </c>
      <c r="AM80" s="530">
        <f t="shared" si="182"/>
        <v>0</v>
      </c>
      <c r="AN80" s="531">
        <v>0</v>
      </c>
      <c r="AO80" s="531">
        <f t="shared" si="183"/>
        <v>2.5000000000000001E-5</v>
      </c>
      <c r="AP80" s="531" t="e">
        <f t="shared" si="184"/>
        <v>#N/A</v>
      </c>
      <c r="AQ80" s="532" t="e">
        <f t="shared" si="185"/>
        <v>#N/A</v>
      </c>
      <c r="AR80" s="490">
        <f t="shared" si="186"/>
        <v>1.0683199999999999</v>
      </c>
      <c r="AS80" s="400">
        <v>1.0385550000000001</v>
      </c>
      <c r="AT80" s="400">
        <v>1.0385550000000001</v>
      </c>
      <c r="AU80" s="566" t="str">
        <f t="shared" si="187"/>
        <v>9128287D6</v>
      </c>
      <c r="AV80" s="566" t="str">
        <f t="shared" si="166"/>
        <v>TNOTE</v>
      </c>
    </row>
    <row r="81" spans="1:50" ht="15.75" thickBot="1" x14ac:dyDescent="0.3">
      <c r="A81" s="608" t="s">
        <v>4486</v>
      </c>
      <c r="B81" s="568" t="s">
        <v>607</v>
      </c>
      <c r="C81" s="568" t="str">
        <f t="shared" si="139"/>
        <v>US TREASURY</v>
      </c>
      <c r="D81" s="568" t="str">
        <f t="shared" si="139"/>
        <v>CASH</v>
      </c>
      <c r="E81" s="222">
        <f t="shared" si="139"/>
        <v>1</v>
      </c>
      <c r="F81" s="430" t="s">
        <v>939</v>
      </c>
      <c r="G81" s="430">
        <f t="shared" si="140"/>
        <v>73050</v>
      </c>
      <c r="H81" s="776" t="str">
        <f t="shared" si="141"/>
        <v>USG</v>
      </c>
      <c r="I81" s="223">
        <f t="shared" si="167"/>
        <v>1</v>
      </c>
      <c r="J81" s="224">
        <f t="shared" si="143"/>
        <v>1</v>
      </c>
      <c r="K81" s="281">
        <f t="shared" si="144"/>
        <v>0</v>
      </c>
      <c r="L81" s="225">
        <f t="shared" si="144"/>
        <v>0</v>
      </c>
      <c r="M81" s="226">
        <f t="shared" si="168"/>
        <v>1</v>
      </c>
      <c r="N81" s="227">
        <f t="shared" si="169"/>
        <v>1</v>
      </c>
      <c r="O81" s="569">
        <v>0</v>
      </c>
      <c r="P81" s="570">
        <v>44634</v>
      </c>
      <c r="Q81" s="571">
        <v>44634</v>
      </c>
      <c r="R81" s="587">
        <v>0</v>
      </c>
      <c r="S81" s="835">
        <v>0</v>
      </c>
      <c r="T81" s="592">
        <f t="shared" si="170"/>
        <v>0</v>
      </c>
      <c r="U81" s="592">
        <f t="shared" si="171"/>
        <v>0</v>
      </c>
      <c r="V81" s="569">
        <v>0</v>
      </c>
      <c r="W81" s="572">
        <f t="shared" si="172"/>
        <v>0</v>
      </c>
      <c r="X81" s="572">
        <f t="shared" si="173"/>
        <v>0</v>
      </c>
      <c r="Y81" s="227">
        <v>0</v>
      </c>
      <c r="Z81" s="573">
        <f t="shared" si="174"/>
        <v>0</v>
      </c>
      <c r="AA81" s="574">
        <f t="shared" si="175"/>
        <v>0</v>
      </c>
      <c r="AB81" s="575">
        <f t="shared" si="176"/>
        <v>0</v>
      </c>
      <c r="AC81" s="574">
        <f t="shared" si="177"/>
        <v>0</v>
      </c>
      <c r="AD81" s="576">
        <f t="shared" si="178"/>
        <v>0</v>
      </c>
      <c r="AE81" s="577">
        <f t="shared" si="179"/>
        <v>0</v>
      </c>
      <c r="AF81" s="228">
        <f t="shared" si="180"/>
        <v>0</v>
      </c>
      <c r="AG81" s="229">
        <f t="shared" si="158"/>
        <v>0</v>
      </c>
      <c r="AH81" s="230" t="e">
        <f t="shared" si="158"/>
        <v>#N/A</v>
      </c>
      <c r="AI81" s="230" t="e">
        <f t="shared" si="158"/>
        <v>#N/A</v>
      </c>
      <c r="AJ81" s="230">
        <f t="shared" si="158"/>
        <v>2.7397200000000002E-3</v>
      </c>
      <c r="AK81" s="234">
        <f t="shared" si="158"/>
        <v>0</v>
      </c>
      <c r="AL81" s="578">
        <f t="shared" si="181"/>
        <v>1E-4</v>
      </c>
      <c r="AM81" s="545">
        <f t="shared" si="182"/>
        <v>0</v>
      </c>
      <c r="AN81" s="546">
        <v>0</v>
      </c>
      <c r="AO81" s="546">
        <f t="shared" si="183"/>
        <v>0</v>
      </c>
      <c r="AP81" s="546">
        <f t="shared" si="184"/>
        <v>0</v>
      </c>
      <c r="AQ81" s="547">
        <f t="shared" si="185"/>
        <v>0</v>
      </c>
      <c r="AR81" s="491">
        <f t="shared" si="186"/>
        <v>1</v>
      </c>
      <c r="AS81" s="401">
        <v>1.0385550000000001</v>
      </c>
      <c r="AT81" s="401">
        <v>1.0385550000000001</v>
      </c>
      <c r="AU81" s="579" t="str">
        <f t="shared" si="187"/>
        <v>CASHUSD01</v>
      </c>
      <c r="AV81" s="579" t="str">
        <f t="shared" si="166"/>
        <v>CASH</v>
      </c>
    </row>
    <row r="82" spans="1:50" s="765" customFormat="1" ht="16.5" thickTop="1" thickBot="1" x14ac:dyDescent="0.3">
      <c r="A82" s="639">
        <v>65883</v>
      </c>
      <c r="B82" s="601" t="s">
        <v>4419</v>
      </c>
      <c r="C82" s="601"/>
      <c r="D82" s="601"/>
      <c r="E82" s="519"/>
      <c r="F82" s="842"/>
      <c r="G82" s="843"/>
      <c r="H82" s="843"/>
      <c r="I82" s="844"/>
      <c r="J82" s="845"/>
      <c r="K82" s="846"/>
      <c r="L82" s="847"/>
      <c r="M82" s="848"/>
      <c r="N82" s="849"/>
      <c r="O82" s="861"/>
      <c r="P82" s="861"/>
      <c r="Q82" s="862"/>
      <c r="R82" s="863"/>
      <c r="S82" s="863"/>
      <c r="T82" s="861"/>
      <c r="U82" s="851"/>
      <c r="V82" s="850"/>
      <c r="W82" s="852"/>
      <c r="X82" s="852"/>
      <c r="Y82" s="849"/>
      <c r="Z82" s="853"/>
      <c r="AA82" s="854"/>
      <c r="AB82" s="855"/>
      <c r="AC82" s="854"/>
      <c r="AD82" s="580"/>
      <c r="AE82" s="580"/>
      <c r="AF82" s="220"/>
      <c r="AG82" s="221"/>
      <c r="AH82" s="221"/>
      <c r="AI82" s="221"/>
      <c r="AJ82" s="221"/>
      <c r="AK82" s="856"/>
      <c r="AL82" s="857"/>
      <c r="AM82" s="829"/>
      <c r="AN82" s="580"/>
      <c r="AO82" s="580"/>
      <c r="AP82" s="580"/>
      <c r="AQ82" s="858"/>
      <c r="AR82" s="844"/>
      <c r="AS82" s="844"/>
      <c r="AT82" s="844"/>
      <c r="AU82" s="844"/>
      <c r="AV82" s="854"/>
      <c r="AW82" s="4"/>
      <c r="AX82" s="4"/>
    </row>
    <row r="83" spans="1:50" s="765" customFormat="1" x14ac:dyDescent="0.25">
      <c r="A83" s="609" t="s">
        <v>4419</v>
      </c>
      <c r="B83" s="520" t="s">
        <v>4420</v>
      </c>
      <c r="C83" s="520" t="str">
        <f t="shared" ref="C83:E85" si="188">VLOOKUP($B83,BondData,HLOOKUP(C$48,BD_Headings,2,FALSE),FALSE)</f>
        <v>FRANCE (GOVT OF)</v>
      </c>
      <c r="D83" s="520" t="str">
        <f t="shared" si="188"/>
        <v>EURO-ZONE</v>
      </c>
      <c r="E83" s="236">
        <f t="shared" si="188"/>
        <v>44202000000</v>
      </c>
      <c r="F83" s="428" t="s">
        <v>948</v>
      </c>
      <c r="G83" s="428">
        <f t="shared" ref="G83:G85" si="189">DATEVALUE(VLOOKUP($B83,BondData,HLOOKUP(G$48,BD_Headings,2,FALSE),FALSE))</f>
        <v>46137</v>
      </c>
      <c r="H83" s="773" t="str">
        <f t="shared" ref="H83:H85" si="190">VLOOKUP($B83,BondData,HLOOKUP(H$48,BD_Headings,2,FALSE),FALSE)</f>
        <v>AA</v>
      </c>
      <c r="I83" s="237">
        <f t="shared" ref="I83" si="191">IF(B83="CASHUSD01",1,VLOOKUP($B83,Used_Prices,2,FALSE)/100)</f>
        <v>1.1263160000000001</v>
      </c>
      <c r="J83" s="238">
        <f t="shared" ref="J83:J85" si="192">VLOOKUP($B83,BondData,HLOOKUP(J$48,BD_Headings,2,FALSE),FALSE)</f>
        <v>1</v>
      </c>
      <c r="K83" s="280">
        <f t="shared" ref="K83:L85" si="193">VLOOKUP($B83,BondData,HLOOKUP(K$48,BD_Headings,2,FALSE),FALSE)/100</f>
        <v>3.5000000000000003E-2</v>
      </c>
      <c r="L83" s="240">
        <f t="shared" si="193"/>
        <v>3.2315070000000001E-2</v>
      </c>
      <c r="M83" s="241">
        <f t="shared" ref="M83" si="194">L83+I83</f>
        <v>1.1586310700000002</v>
      </c>
      <c r="N83" s="242">
        <f t="shared" ref="N83" si="195">(I83+L83)*J83</f>
        <v>1.1586310700000002</v>
      </c>
      <c r="O83" s="524">
        <v>-39819288.600000001</v>
      </c>
      <c r="P83" s="525">
        <v>44623</v>
      </c>
      <c r="Q83" s="526">
        <v>44652</v>
      </c>
      <c r="R83" s="481">
        <v>-6.1999999999999998E-3</v>
      </c>
      <c r="S83" s="832">
        <v>0</v>
      </c>
      <c r="T83" s="588">
        <f t="shared" ref="T83" si="196">O83*R83*(ValDate-P83)/360</f>
        <v>19201.745835999998</v>
      </c>
      <c r="U83" s="588">
        <f t="shared" ref="U83" si="197">O83*R83*(Q83-P83)/360</f>
        <v>19887.522473000001</v>
      </c>
      <c r="V83" s="524">
        <v>-34360000</v>
      </c>
      <c r="W83" s="527">
        <f t="shared" ref="W83" si="198">J83*I83*V83</f>
        <v>-38700217.760000005</v>
      </c>
      <c r="X83" s="527">
        <f t="shared" ref="X83" si="199">V83*N83</f>
        <v>-39810563.565200008</v>
      </c>
      <c r="Y83" s="242">
        <v>2.5000000000000001E-2</v>
      </c>
      <c r="Z83" s="528">
        <f t="shared" ref="Z83" si="200">W83*(1-Y83)</f>
        <v>-37732712.316000007</v>
      </c>
      <c r="AA83" s="529">
        <f t="shared" ref="AA83" si="201">Z83-O83-T83</f>
        <v>2067374.5381639944</v>
      </c>
      <c r="AB83" s="528">
        <f t="shared" ref="AB83" si="202">X83*(1-Y83)</f>
        <v>-38815299.476070009</v>
      </c>
      <c r="AC83" s="529">
        <f t="shared" ref="AC83" si="203">AB83-O83-T83</f>
        <v>984787.37809399236</v>
      </c>
      <c r="AD83" s="825" t="e">
        <f t="shared" ref="AD83" si="204">IF(AU83="CASHUSD01",0,IF(H83="USG",VLOOKUP($AU83,VantageDataUSGRange,19+IF(StressRun="S",3,IF(StressRun="C",6,0)),FALSE),VLOOKUP($AU83,VantageDataPrimeRange,19+IF(StressRun="S",3,IF(StressRun="C",6,0)),FALSE)))/2</f>
        <v>#N/A</v>
      </c>
      <c r="AE83" s="585" t="e">
        <f t="shared" ref="AE83" si="205">IF(AU83="CASHUSD01",0,IF($H83="USG",VLOOKUP($AU83,VantageDataUSGRange,18+IF(StressRun="S",3,IF(StressRun="C",6,0)),FALSE),VLOOKUP($AU83,VantageDataPrimeRange,18+IF(StressRun="S",3,IF(StressRun="C",6,0)),FALSE)))</f>
        <v>#N/A</v>
      </c>
      <c r="AF83" s="243" t="e">
        <f t="shared" ref="AF83" si="206">IF(AU83="CASHUSD01",0,IF($H83="USG",VLOOKUP($AU83,VantageDataUSGRange,20+IF(StressRun="S",3,IF(StressRun="C",6,0)),FALSE),VLOOKUP($AU83,VantageDataPrimeRange,20+IF(StressRun="S",3,IF(StressRun="C",6,0)),FALSE)))</f>
        <v>#N/A</v>
      </c>
      <c r="AG83" s="826">
        <f t="shared" ref="AG83:AK85" si="207">VLOOKUP($B83,BondData,HLOOKUP(AG$48,BD_Headings,2,FALSE),FALSE)</f>
        <v>0</v>
      </c>
      <c r="AH83" s="244" t="e">
        <f t="shared" si="207"/>
        <v>#N/A</v>
      </c>
      <c r="AI83" s="244" t="e">
        <f t="shared" si="207"/>
        <v>#N/A</v>
      </c>
      <c r="AJ83" s="244">
        <f t="shared" si="207"/>
        <v>3.7817263423107299</v>
      </c>
      <c r="AK83" s="743">
        <f t="shared" si="207"/>
        <v>337</v>
      </c>
      <c r="AL83" s="567" t="e">
        <f t="shared" ref="AL83" si="208">MAX(V83*I83*(1-AD83)*J83,0.0001)</f>
        <v>#N/A</v>
      </c>
      <c r="AM83" s="530">
        <f t="shared" ref="AM83" si="209">O83</f>
        <v>-39819288.600000001</v>
      </c>
      <c r="AN83" s="531">
        <v>0</v>
      </c>
      <c r="AO83" s="531">
        <f t="shared" ref="AO83" si="210">K83/100</f>
        <v>3.5000000000000005E-4</v>
      </c>
      <c r="AP83" s="531" t="e">
        <f t="shared" ref="AP83" si="211">AE83</f>
        <v>#N/A</v>
      </c>
      <c r="AQ83" s="532" t="e">
        <f t="shared" ref="AQ83" si="212">AF83/365</f>
        <v>#N/A</v>
      </c>
      <c r="AR83" s="488">
        <f t="shared" ref="AR83" si="213">I83</f>
        <v>1.1263160000000001</v>
      </c>
      <c r="AS83" s="399">
        <v>1.0385550000000001</v>
      </c>
      <c r="AT83" s="399">
        <v>1.0385550000000001</v>
      </c>
      <c r="AU83" s="237" t="str">
        <f t="shared" ref="AU83" si="214">IF(ISNA(VLOOKUP(B83,VantageProxyDictionary,1,FALSE)),B83,VLOOKUP(B83,VantageProxyDictionary,2,FALSE))</f>
        <v>FR0010916924</v>
      </c>
      <c r="AV83" s="827" t="str">
        <f t="shared" ref="AV83:AV85" si="215">VLOOKUP($B83,BondData,HLOOKUP(AV$48,BD_Headings,2,FALSE),FALSE)</f>
        <v>FROAT</v>
      </c>
    </row>
    <row r="84" spans="1:50" s="765" customFormat="1" x14ac:dyDescent="0.25">
      <c r="A84" s="609" t="s">
        <v>4419</v>
      </c>
      <c r="B84" s="520" t="s">
        <v>4420</v>
      </c>
      <c r="C84" s="520" t="str">
        <f t="shared" si="188"/>
        <v>FRANCE (GOVT OF)</v>
      </c>
      <c r="D84" s="520" t="str">
        <f t="shared" si="188"/>
        <v>EURO-ZONE</v>
      </c>
      <c r="E84" s="236">
        <f t="shared" si="188"/>
        <v>44202000000</v>
      </c>
      <c r="F84" s="428" t="s">
        <v>948</v>
      </c>
      <c r="G84" s="428">
        <f t="shared" si="189"/>
        <v>46137</v>
      </c>
      <c r="H84" s="773" t="str">
        <f t="shared" si="190"/>
        <v>AA</v>
      </c>
      <c r="I84" s="237">
        <f t="shared" ref="I84:I85" si="216">IF(B84="CASHUSD01",1,VLOOKUP($B84,Used_Prices,2,FALSE)/100)</f>
        <v>1.1263160000000001</v>
      </c>
      <c r="J84" s="238">
        <f t="shared" si="192"/>
        <v>1</v>
      </c>
      <c r="K84" s="280">
        <f t="shared" si="193"/>
        <v>3.5000000000000003E-2</v>
      </c>
      <c r="L84" s="240">
        <f t="shared" si="193"/>
        <v>3.2315070000000001E-2</v>
      </c>
      <c r="M84" s="241">
        <f t="shared" ref="M84:M85" si="217">L84+I84</f>
        <v>1.1586310700000002</v>
      </c>
      <c r="N84" s="242">
        <f t="shared" ref="N84:N85" si="218">(I84+L84)*J84</f>
        <v>1.1586310700000002</v>
      </c>
      <c r="O84" s="524">
        <v>-100102396.88</v>
      </c>
      <c r="P84" s="525">
        <v>44634</v>
      </c>
      <c r="Q84" s="526">
        <v>44663</v>
      </c>
      <c r="R84" s="481">
        <v>-6.1999999999999998E-3</v>
      </c>
      <c r="S84" s="832">
        <v>0</v>
      </c>
      <c r="T84" s="588">
        <f t="shared" ref="T84:T85" si="219">O84*R84*(ValDate-P84)/360</f>
        <v>29307.757308755557</v>
      </c>
      <c r="U84" s="588">
        <f t="shared" ref="U84:U85" si="220">O84*R84*(Q84-P84)/360</f>
        <v>49995.585997288894</v>
      </c>
      <c r="V84" s="524">
        <v>-87100000</v>
      </c>
      <c r="W84" s="527">
        <f t="shared" ref="W84:W85" si="221">J84*I84*V84</f>
        <v>-98102123.600000009</v>
      </c>
      <c r="X84" s="527">
        <f t="shared" ref="X84:X85" si="222">V84*N84</f>
        <v>-100916766.19700001</v>
      </c>
      <c r="Y84" s="242">
        <v>2.5000000000000001E-2</v>
      </c>
      <c r="Z84" s="528">
        <f t="shared" ref="Z84:Z85" si="223">W84*(1-Y84)</f>
        <v>-95649570.510000005</v>
      </c>
      <c r="AA84" s="529">
        <f t="shared" ref="AA84:AA85" si="224">Z84-O84-T84</f>
        <v>4423518.6126912339</v>
      </c>
      <c r="AB84" s="528">
        <f t="shared" ref="AB84:AB85" si="225">X84*(1-Y84)</f>
        <v>-98393847.042075008</v>
      </c>
      <c r="AC84" s="529">
        <f t="shared" ref="AC84:AC85" si="226">AB84-O84-T84</f>
        <v>1679242.0806162315</v>
      </c>
      <c r="AD84" s="825" t="e">
        <f t="shared" ref="AD84:AD85" si="227">IF(AU84="CASHUSD01",0,IF(H84="USG",VLOOKUP($AU84,VantageDataUSGRange,19+IF(StressRun="S",3,IF(StressRun="C",6,0)),FALSE),VLOOKUP($AU84,VantageDataPrimeRange,19+IF(StressRun="S",3,IF(StressRun="C",6,0)),FALSE)))/2</f>
        <v>#N/A</v>
      </c>
      <c r="AE84" s="585" t="e">
        <f t="shared" ref="AE84:AE85" si="228">IF(AU84="CASHUSD01",0,IF($H84="USG",VLOOKUP($AU84,VantageDataUSGRange,18+IF(StressRun="S",3,IF(StressRun="C",6,0)),FALSE),VLOOKUP($AU84,VantageDataPrimeRange,18+IF(StressRun="S",3,IF(StressRun="C",6,0)),FALSE)))</f>
        <v>#N/A</v>
      </c>
      <c r="AF84" s="243" t="e">
        <f t="shared" ref="AF84:AF85" si="229">IF(AU84="CASHUSD01",0,IF($H84="USG",VLOOKUP($AU84,VantageDataUSGRange,20+IF(StressRun="S",3,IF(StressRun="C",6,0)),FALSE),VLOOKUP($AU84,VantageDataPrimeRange,20+IF(StressRun="S",3,IF(StressRun="C",6,0)),FALSE)))</f>
        <v>#N/A</v>
      </c>
      <c r="AG84" s="826">
        <f t="shared" si="207"/>
        <v>0</v>
      </c>
      <c r="AH84" s="244" t="e">
        <f t="shared" si="207"/>
        <v>#N/A</v>
      </c>
      <c r="AI84" s="244" t="e">
        <f t="shared" si="207"/>
        <v>#N/A</v>
      </c>
      <c r="AJ84" s="244">
        <f t="shared" si="207"/>
        <v>3.7817263423107299</v>
      </c>
      <c r="AK84" s="743">
        <f t="shared" si="207"/>
        <v>337</v>
      </c>
      <c r="AL84" s="567" t="e">
        <f t="shared" ref="AL84:AL85" si="230">MAX(V84*I84*(1-AD84)*J84,0.0001)</f>
        <v>#N/A</v>
      </c>
      <c r="AM84" s="530">
        <f t="shared" ref="AM84:AM85" si="231">O84</f>
        <v>-100102396.88</v>
      </c>
      <c r="AN84" s="531">
        <v>0</v>
      </c>
      <c r="AO84" s="531">
        <f t="shared" ref="AO84:AO85" si="232">K84/100</f>
        <v>3.5000000000000005E-4</v>
      </c>
      <c r="AP84" s="531" t="e">
        <f t="shared" ref="AP84:AP85" si="233">AE84</f>
        <v>#N/A</v>
      </c>
      <c r="AQ84" s="532" t="e">
        <f t="shared" ref="AQ84:AQ85" si="234">AF84/365</f>
        <v>#N/A</v>
      </c>
      <c r="AR84" s="488">
        <f t="shared" ref="AR84:AR85" si="235">I84</f>
        <v>1.1263160000000001</v>
      </c>
      <c r="AS84" s="399">
        <v>1.0385550000000001</v>
      </c>
      <c r="AT84" s="399">
        <v>1.0385550000000001</v>
      </c>
      <c r="AU84" s="237" t="str">
        <f t="shared" ref="AU84:AU85" si="236">IF(ISNA(VLOOKUP(B84,VantageProxyDictionary,1,FALSE)),B84,VLOOKUP(B84,VantageProxyDictionary,2,FALSE))</f>
        <v>FR0010916924</v>
      </c>
      <c r="AV84" s="827" t="str">
        <f t="shared" si="215"/>
        <v>FROAT</v>
      </c>
    </row>
    <row r="85" spans="1:50" s="765" customFormat="1" ht="15.75" thickBot="1" x14ac:dyDescent="0.3">
      <c r="A85" s="865" t="s">
        <v>4419</v>
      </c>
      <c r="B85" s="534" t="s">
        <v>607</v>
      </c>
      <c r="C85" s="534" t="str">
        <f t="shared" si="188"/>
        <v>US TREASURY</v>
      </c>
      <c r="D85" s="534" t="str">
        <f t="shared" si="188"/>
        <v>CASH</v>
      </c>
      <c r="E85" s="253">
        <f t="shared" si="188"/>
        <v>1</v>
      </c>
      <c r="F85" s="866" t="s">
        <v>939</v>
      </c>
      <c r="G85" s="866">
        <f t="shared" si="189"/>
        <v>73050</v>
      </c>
      <c r="H85" s="777" t="str">
        <f t="shared" si="190"/>
        <v>USG</v>
      </c>
      <c r="I85" s="254">
        <f t="shared" si="216"/>
        <v>1</v>
      </c>
      <c r="J85" s="255">
        <f t="shared" si="192"/>
        <v>1</v>
      </c>
      <c r="K85" s="282">
        <f t="shared" si="193"/>
        <v>0</v>
      </c>
      <c r="L85" s="256">
        <f t="shared" si="193"/>
        <v>0</v>
      </c>
      <c r="M85" s="257">
        <f t="shared" si="217"/>
        <v>1</v>
      </c>
      <c r="N85" s="258">
        <f t="shared" si="218"/>
        <v>1</v>
      </c>
      <c r="O85" s="535">
        <v>0</v>
      </c>
      <c r="P85" s="536">
        <v>44634</v>
      </c>
      <c r="Q85" s="537">
        <v>44634</v>
      </c>
      <c r="R85" s="482">
        <v>0</v>
      </c>
      <c r="S85" s="836">
        <v>0</v>
      </c>
      <c r="T85" s="589">
        <f t="shared" si="219"/>
        <v>0</v>
      </c>
      <c r="U85" s="589">
        <f t="shared" si="220"/>
        <v>0</v>
      </c>
      <c r="V85" s="535">
        <v>0</v>
      </c>
      <c r="W85" s="538">
        <f t="shared" si="221"/>
        <v>0</v>
      </c>
      <c r="X85" s="538">
        <f t="shared" si="222"/>
        <v>0</v>
      </c>
      <c r="Y85" s="258">
        <v>0</v>
      </c>
      <c r="Z85" s="539">
        <f t="shared" si="223"/>
        <v>0</v>
      </c>
      <c r="AA85" s="540">
        <f t="shared" si="224"/>
        <v>0</v>
      </c>
      <c r="AB85" s="539">
        <f t="shared" si="225"/>
        <v>0</v>
      </c>
      <c r="AC85" s="540">
        <f t="shared" si="226"/>
        <v>0</v>
      </c>
      <c r="AD85" s="541">
        <f t="shared" si="227"/>
        <v>0</v>
      </c>
      <c r="AE85" s="867">
        <f t="shared" si="228"/>
        <v>0</v>
      </c>
      <c r="AF85" s="868">
        <f t="shared" si="229"/>
        <v>0</v>
      </c>
      <c r="AG85" s="267">
        <f t="shared" si="207"/>
        <v>0</v>
      </c>
      <c r="AH85" s="259" t="e">
        <f t="shared" si="207"/>
        <v>#N/A</v>
      </c>
      <c r="AI85" s="259" t="e">
        <f t="shared" si="207"/>
        <v>#N/A</v>
      </c>
      <c r="AJ85" s="259">
        <f t="shared" si="207"/>
        <v>2.7397200000000002E-3</v>
      </c>
      <c r="AK85" s="233">
        <f t="shared" si="207"/>
        <v>0</v>
      </c>
      <c r="AL85" s="578">
        <f t="shared" si="230"/>
        <v>1E-4</v>
      </c>
      <c r="AM85" s="545">
        <f t="shared" si="231"/>
        <v>0</v>
      </c>
      <c r="AN85" s="546">
        <v>0</v>
      </c>
      <c r="AO85" s="546">
        <f t="shared" si="232"/>
        <v>0</v>
      </c>
      <c r="AP85" s="546">
        <f t="shared" si="233"/>
        <v>0</v>
      </c>
      <c r="AQ85" s="547">
        <f t="shared" si="234"/>
        <v>0</v>
      </c>
      <c r="AR85" s="489">
        <f t="shared" si="235"/>
        <v>1</v>
      </c>
      <c r="AS85" s="402">
        <v>1.0385550000000001</v>
      </c>
      <c r="AT85" s="402">
        <v>1.0385550000000001</v>
      </c>
      <c r="AU85" s="254" t="str">
        <f t="shared" si="236"/>
        <v>CASHUSD01</v>
      </c>
      <c r="AV85" s="828" t="str">
        <f t="shared" si="215"/>
        <v>CASH</v>
      </c>
    </row>
    <row r="86" spans="1:50" ht="16.5" thickTop="1" thickBot="1" x14ac:dyDescent="0.3">
      <c r="A86" s="606">
        <v>67676</v>
      </c>
      <c r="B86" s="549" t="s">
        <v>947</v>
      </c>
      <c r="C86" s="549"/>
      <c r="D86" s="549"/>
      <c r="E86" s="550"/>
      <c r="F86" s="354"/>
      <c r="G86" s="354"/>
      <c r="H86" s="354"/>
      <c r="I86" s="354"/>
      <c r="J86" s="354"/>
      <c r="K86" s="638"/>
      <c r="L86" s="354"/>
      <c r="M86" s="354"/>
      <c r="N86" s="354"/>
      <c r="O86" s="354"/>
      <c r="P86" s="355"/>
      <c r="Q86" s="355"/>
      <c r="R86" s="484"/>
      <c r="S86" s="420"/>
      <c r="T86" s="590"/>
      <c r="U86" s="590"/>
      <c r="V86" s="354"/>
      <c r="W86" s="354"/>
      <c r="X86" s="354"/>
      <c r="Y86" s="149"/>
      <c r="Z86" s="354"/>
      <c r="AA86" s="354"/>
      <c r="AB86" s="354"/>
      <c r="AC86" s="354"/>
      <c r="AD86" s="392"/>
      <c r="AE86" s="382"/>
      <c r="AF86" s="354"/>
      <c r="AG86" s="354"/>
      <c r="AH86" s="354"/>
      <c r="AI86" s="354"/>
      <c r="AJ86" s="354"/>
      <c r="AK86" s="393"/>
      <c r="AL86" s="356"/>
      <c r="AM86" s="354"/>
      <c r="AN86" s="354"/>
      <c r="AO86" s="354"/>
      <c r="AP86" s="354"/>
      <c r="AQ86" s="354"/>
      <c r="AR86" s="552"/>
      <c r="AS86" s="553"/>
      <c r="AT86" s="553"/>
      <c r="AU86" s="354"/>
      <c r="AV86" s="554"/>
    </row>
    <row r="87" spans="1:50" x14ac:dyDescent="0.25">
      <c r="A87" s="607" t="s">
        <v>947</v>
      </c>
      <c r="B87" s="555" t="s">
        <v>3284</v>
      </c>
      <c r="C87" s="555" t="str">
        <f t="shared" ref="C87:E115" si="237">VLOOKUP($B87,BondData,HLOOKUP(C$48,BD_Headings,2,FALSE),FALSE)</f>
        <v>TSY INFL IX N/B</v>
      </c>
      <c r="D87" s="555" t="str">
        <f t="shared" si="237"/>
        <v>US GOVERNMENT</v>
      </c>
      <c r="E87" s="283">
        <f t="shared" si="237"/>
        <v>39802000000</v>
      </c>
      <c r="F87" s="429" t="s">
        <v>939</v>
      </c>
      <c r="G87" s="429">
        <f t="shared" ref="G87:G115" si="238">DATEVALUE(VLOOKUP($B87,BondData,HLOOKUP(G$48,BD_Headings,2,FALSE),FALSE))</f>
        <v>47314</v>
      </c>
      <c r="H87" s="284" t="str">
        <f t="shared" ref="H87:H115" si="239">VLOOKUP($B87,BondData,HLOOKUP(H$48,BD_Headings,2,FALSE),FALSE)</f>
        <v>USG</v>
      </c>
      <c r="I87" s="284">
        <f t="shared" ref="I87" si="240">IF(B87="CASHUSD01",1,VLOOKUP($B87,Used_Prices,2,FALSE)/100)</f>
        <v>1.0683199999999999</v>
      </c>
      <c r="J87" s="285">
        <f t="shared" ref="J87:J115" si="241">VLOOKUP($B87,BondData,HLOOKUP(J$48,BD_Headings,2,FALSE),FALSE)</f>
        <v>1</v>
      </c>
      <c r="K87" s="286">
        <f t="shared" ref="K87:L115" si="242">VLOOKUP($B87,BondData,HLOOKUP(K$48,BD_Headings,2,FALSE),FALSE)/100</f>
        <v>2.5000000000000001E-3</v>
      </c>
      <c r="L87" s="287">
        <f t="shared" si="242"/>
        <v>4.9723999999999992E-4</v>
      </c>
      <c r="M87" s="288">
        <f t="shared" ref="M87" si="243">L87+I87</f>
        <v>1.06881724</v>
      </c>
      <c r="N87" s="289">
        <f t="shared" ref="N87" si="244">(I87+L87)*J87</f>
        <v>1.06881724</v>
      </c>
      <c r="O87" s="556">
        <v>0</v>
      </c>
      <c r="P87" s="557">
        <v>44650</v>
      </c>
      <c r="Q87" s="558">
        <v>44650</v>
      </c>
      <c r="R87" s="586">
        <v>0</v>
      </c>
      <c r="S87" s="834">
        <v>0</v>
      </c>
      <c r="T87" s="591">
        <f t="shared" ref="T87" si="245">O87*R87*(ValDate-P87)/360</f>
        <v>0</v>
      </c>
      <c r="U87" s="591">
        <f t="shared" ref="U87" si="246">O87*R87*(Q87-P87)/360</f>
        <v>0</v>
      </c>
      <c r="V87" s="556">
        <v>694000</v>
      </c>
      <c r="W87" s="559">
        <f t="shared" ref="W87" si="247">J87*I87*V87</f>
        <v>741414.08</v>
      </c>
      <c r="X87" s="559">
        <f t="shared" ref="X87" si="248">V87*N87</f>
        <v>741759.16455999995</v>
      </c>
      <c r="Y87" s="289">
        <v>0</v>
      </c>
      <c r="Z87" s="560">
        <f t="shared" ref="Z87" si="249">W87*(1-Y87)</f>
        <v>741414.08</v>
      </c>
      <c r="AA87" s="561">
        <f t="shared" ref="AA87" si="250">Z87-O87-T87</f>
        <v>741414.08</v>
      </c>
      <c r="AB87" s="562">
        <f t="shared" ref="AB87" si="251">X87*(1-Y87)</f>
        <v>741759.16455999995</v>
      </c>
      <c r="AC87" s="561">
        <f t="shared" ref="AC87" si="252">AB87-O87-T87</f>
        <v>741759.16455999995</v>
      </c>
      <c r="AD87" s="563" t="e">
        <f t="shared" ref="AD87" si="253">IF(AU87="CASHUSD01",0,IF(H87="USG",VLOOKUP($AU87,VantageDataUSGRange,19+IF(StressRun="S",3,IF(StressRun="C",6,0)),FALSE),VLOOKUP($AU87,VantageDataPrimeRange,19+IF(StressRun="S",3,IF(StressRun="C",6,0)),FALSE)))/2</f>
        <v>#N/A</v>
      </c>
      <c r="AE87" s="564" t="e">
        <f t="shared" ref="AE87" si="254">IF(AU87="CASHUSD01",0,IF($H87="USG",VLOOKUP($AU87,VantageDataUSGRange,18+IF(StressRun="S",3,IF(StressRun="C",6,0)),FALSE),VLOOKUP($AU87,VantageDataPrimeRange,18+IF(StressRun="S",3,IF(StressRun="C",6,0)),FALSE)))</f>
        <v>#N/A</v>
      </c>
      <c r="AF87" s="290" t="e">
        <f t="shared" ref="AF87" si="255">IF(AU87="CASHUSD01",0,IF($H87="USG",VLOOKUP($AU87,VantageDataUSGRange,20+IF(StressRun="S",3,IF(StressRun="C",6,0)),FALSE),VLOOKUP($AU87,VantageDataPrimeRange,20+IF(StressRun="S",3,IF(StressRun="C",6,0)),FALSE)))</f>
        <v>#N/A</v>
      </c>
      <c r="AG87" s="293">
        <f t="shared" ref="AG87:AK115" si="256">VLOOKUP($B87,BondData,HLOOKUP(AG$48,BD_Headings,2,FALSE),FALSE)</f>
        <v>0</v>
      </c>
      <c r="AH87" s="291" t="e">
        <f t="shared" si="256"/>
        <v>#N/A</v>
      </c>
      <c r="AI87" s="291" t="e">
        <f t="shared" si="256"/>
        <v>#N/A</v>
      </c>
      <c r="AJ87" s="291">
        <f t="shared" si="256"/>
        <v>7.1623284899407587</v>
      </c>
      <c r="AK87" s="292">
        <f t="shared" si="256"/>
        <v>72</v>
      </c>
      <c r="AL87" s="565" t="e">
        <f t="shared" ref="AL87" si="257">MAX(V87*I87*(1-AD87)*J87,0.0001)</f>
        <v>#N/A</v>
      </c>
      <c r="AM87" s="530">
        <f t="shared" ref="AM87" si="258">O87</f>
        <v>0</v>
      </c>
      <c r="AN87" s="531">
        <v>0</v>
      </c>
      <c r="AO87" s="531">
        <f t="shared" ref="AO87" si="259">K87/100</f>
        <v>2.5000000000000001E-5</v>
      </c>
      <c r="AP87" s="531" t="e">
        <f t="shared" ref="AP87" si="260">AE87</f>
        <v>#N/A</v>
      </c>
      <c r="AQ87" s="532" t="e">
        <f t="shared" ref="AQ87" si="261">AF87/365</f>
        <v>#N/A</v>
      </c>
      <c r="AR87" s="490">
        <f t="shared" ref="AR87" si="262">I87</f>
        <v>1.0683199999999999</v>
      </c>
      <c r="AS87" s="400">
        <v>1.0385550000000001</v>
      </c>
      <c r="AT87" s="400">
        <v>1.0385550000000001</v>
      </c>
      <c r="AU87" s="284" t="str">
        <f t="shared" ref="AU87" si="263">IF(ISNA(VLOOKUP(B87,VantageProxyDictionary,1,FALSE)),B87,VLOOKUP(B87,VantageProxyDictionary,2,FALSE))</f>
        <v>9128287D6</v>
      </c>
      <c r="AV87" s="566" t="str">
        <f t="shared" ref="AV87:AV115" si="264">VLOOKUP($B87,BondData,HLOOKUP(AV$48,BD_Headings,2,FALSE),FALSE)</f>
        <v>TNOTE</v>
      </c>
    </row>
    <row r="88" spans="1:50" s="765" customFormat="1" x14ac:dyDescent="0.25">
      <c r="A88" s="607" t="s">
        <v>947</v>
      </c>
      <c r="B88" s="555" t="s">
        <v>3284</v>
      </c>
      <c r="C88" s="555" t="str">
        <f t="shared" si="237"/>
        <v>TSY INFL IX N/B</v>
      </c>
      <c r="D88" s="555" t="str">
        <f t="shared" si="237"/>
        <v>US GOVERNMENT</v>
      </c>
      <c r="E88" s="283">
        <f t="shared" si="237"/>
        <v>39802000000</v>
      </c>
      <c r="F88" s="429" t="s">
        <v>939</v>
      </c>
      <c r="G88" s="429">
        <f t="shared" si="238"/>
        <v>47314</v>
      </c>
      <c r="H88" s="284" t="str">
        <f t="shared" si="239"/>
        <v>USG</v>
      </c>
      <c r="I88" s="284">
        <f t="shared" ref="I88:I115" si="265">IF(B88="CASHUSD01",1,VLOOKUP($B88,Used_Prices,2,FALSE)/100)</f>
        <v>1.0683199999999999</v>
      </c>
      <c r="J88" s="285">
        <f t="shared" si="241"/>
        <v>1</v>
      </c>
      <c r="K88" s="286">
        <f t="shared" si="242"/>
        <v>2.5000000000000001E-3</v>
      </c>
      <c r="L88" s="287">
        <f t="shared" si="242"/>
        <v>4.9723999999999992E-4</v>
      </c>
      <c r="M88" s="288">
        <f t="shared" ref="M88:M115" si="266">L88+I88</f>
        <v>1.06881724</v>
      </c>
      <c r="N88" s="289">
        <f t="shared" ref="N88:N115" si="267">(I88+L88)*J88</f>
        <v>1.06881724</v>
      </c>
      <c r="O88" s="950">
        <v>0</v>
      </c>
      <c r="P88" s="951">
        <v>44649</v>
      </c>
      <c r="Q88" s="947">
        <v>44649</v>
      </c>
      <c r="R88" s="948">
        <v>0</v>
      </c>
      <c r="S88" s="949">
        <v>0</v>
      </c>
      <c r="T88" s="591">
        <f t="shared" ref="T88:T115" si="268">O88*R88*(ValDate-P88)/360</f>
        <v>0</v>
      </c>
      <c r="U88" s="591">
        <f t="shared" ref="U88:U115" si="269">O88*R88*(Q88-P88)/360</f>
        <v>0</v>
      </c>
      <c r="V88" s="950">
        <v>424000</v>
      </c>
      <c r="W88" s="559">
        <f t="shared" ref="W88:W115" si="270">J88*I88*V88</f>
        <v>452967.67999999999</v>
      </c>
      <c r="X88" s="559">
        <f t="shared" ref="X88:X115" si="271">V88*N88</f>
        <v>453178.50975999999</v>
      </c>
      <c r="Y88" s="289">
        <v>0</v>
      </c>
      <c r="Z88" s="560">
        <f t="shared" ref="Z88:Z115" si="272">W88*(1-Y88)</f>
        <v>452967.67999999999</v>
      </c>
      <c r="AA88" s="561">
        <f t="shared" ref="AA88:AA115" si="273">Z88-O88-T88</f>
        <v>452967.67999999999</v>
      </c>
      <c r="AB88" s="562">
        <f t="shared" ref="AB88:AB115" si="274">X88*(1-Y88)</f>
        <v>453178.50975999999</v>
      </c>
      <c r="AC88" s="561">
        <f t="shared" ref="AC88:AC115" si="275">AB88-O88-T88</f>
        <v>453178.50975999999</v>
      </c>
      <c r="AD88" s="952" t="e">
        <f t="shared" ref="AD88:AD115" si="276">IF(AU88="CASHUSD01",0,IF(H88="USG",VLOOKUP($AU88,VantageDataUSGRange,19+IF(StressRun="S",3,IF(StressRun="C",6,0)),FALSE),VLOOKUP($AU88,VantageDataPrimeRange,19+IF(StressRun="S",3,IF(StressRun="C",6,0)),FALSE)))/2</f>
        <v>#N/A</v>
      </c>
      <c r="AE88" s="564" t="e">
        <f t="shared" ref="AE88:AE115" si="277">IF(AU88="CASHUSD01",0,IF($H88="USG",VLOOKUP($AU88,VantageDataUSGRange,18+IF(StressRun="S",3,IF(StressRun="C",6,0)),FALSE),VLOOKUP($AU88,VantageDataPrimeRange,18+IF(StressRun="S",3,IF(StressRun="C",6,0)),FALSE)))</f>
        <v>#N/A</v>
      </c>
      <c r="AF88" s="290" t="e">
        <f t="shared" ref="AF88:AF115" si="278">IF(AU88="CASHUSD01",0,IF($H88="USG",VLOOKUP($AU88,VantageDataUSGRange,20+IF(StressRun="S",3,IF(StressRun="C",6,0)),FALSE),VLOOKUP($AU88,VantageDataPrimeRange,20+IF(StressRun="S",3,IF(StressRun="C",6,0)),FALSE)))</f>
        <v>#N/A</v>
      </c>
      <c r="AG88" s="953">
        <f t="shared" si="256"/>
        <v>0</v>
      </c>
      <c r="AH88" s="291" t="e">
        <f t="shared" si="256"/>
        <v>#N/A</v>
      </c>
      <c r="AI88" s="291" t="e">
        <f t="shared" si="256"/>
        <v>#N/A</v>
      </c>
      <c r="AJ88" s="291">
        <f t="shared" si="256"/>
        <v>7.1623284899407587</v>
      </c>
      <c r="AK88" s="292">
        <f t="shared" si="256"/>
        <v>72</v>
      </c>
      <c r="AL88" s="567" t="e">
        <f t="shared" ref="AL88:AL115" si="279">MAX(V88*I88*(1-AD88)*J88,0.0001)</f>
        <v>#N/A</v>
      </c>
      <c r="AM88" s="530">
        <f t="shared" ref="AM88:AM115" si="280">O88</f>
        <v>0</v>
      </c>
      <c r="AN88" s="531">
        <v>0</v>
      </c>
      <c r="AO88" s="531">
        <f t="shared" ref="AO88:AO115" si="281">K88/100</f>
        <v>2.5000000000000001E-5</v>
      </c>
      <c r="AP88" s="531" t="e">
        <f t="shared" ref="AP88:AP115" si="282">AE88</f>
        <v>#N/A</v>
      </c>
      <c r="AQ88" s="532" t="e">
        <f t="shared" ref="AQ88:AQ115" si="283">AF88/365</f>
        <v>#N/A</v>
      </c>
      <c r="AR88" s="490">
        <f t="shared" ref="AR88:AR115" si="284">I88</f>
        <v>1.0683199999999999</v>
      </c>
      <c r="AS88" s="400">
        <v>1.0385550000000001</v>
      </c>
      <c r="AT88" s="400">
        <v>1.0385550000000001</v>
      </c>
      <c r="AU88" s="284" t="str">
        <f t="shared" ref="AU88:AU115" si="285">IF(ISNA(VLOOKUP(B88,VantageProxyDictionary,1,FALSE)),B88,VLOOKUP(B88,VantageProxyDictionary,2,FALSE))</f>
        <v>9128287D6</v>
      </c>
      <c r="AV88" s="566" t="str">
        <f t="shared" si="264"/>
        <v>TNOTE</v>
      </c>
    </row>
    <row r="89" spans="1:50" s="765" customFormat="1" x14ac:dyDescent="0.25">
      <c r="A89" s="607" t="s">
        <v>947</v>
      </c>
      <c r="B89" s="555" t="s">
        <v>3284</v>
      </c>
      <c r="C89" s="555" t="str">
        <f t="shared" si="237"/>
        <v>TSY INFL IX N/B</v>
      </c>
      <c r="D89" s="555" t="str">
        <f t="shared" si="237"/>
        <v>US GOVERNMENT</v>
      </c>
      <c r="E89" s="283">
        <f t="shared" si="237"/>
        <v>39802000000</v>
      </c>
      <c r="F89" s="429" t="s">
        <v>939</v>
      </c>
      <c r="G89" s="429">
        <f t="shared" si="238"/>
        <v>47314</v>
      </c>
      <c r="H89" s="284" t="str">
        <f t="shared" si="239"/>
        <v>USG</v>
      </c>
      <c r="I89" s="284">
        <f t="shared" si="265"/>
        <v>1.0683199999999999</v>
      </c>
      <c r="J89" s="285">
        <f t="shared" si="241"/>
        <v>1</v>
      </c>
      <c r="K89" s="286">
        <f t="shared" si="242"/>
        <v>2.5000000000000001E-3</v>
      </c>
      <c r="L89" s="287">
        <f t="shared" si="242"/>
        <v>4.9723999999999992E-4</v>
      </c>
      <c r="M89" s="288">
        <f t="shared" si="266"/>
        <v>1.06881724</v>
      </c>
      <c r="N89" s="289">
        <f t="shared" si="267"/>
        <v>1.06881724</v>
      </c>
      <c r="O89" s="950">
        <v>0</v>
      </c>
      <c r="P89" s="951">
        <v>44648</v>
      </c>
      <c r="Q89" s="947">
        <v>44648</v>
      </c>
      <c r="R89" s="948">
        <v>0</v>
      </c>
      <c r="S89" s="949">
        <v>0</v>
      </c>
      <c r="T89" s="591">
        <f t="shared" si="268"/>
        <v>0</v>
      </c>
      <c r="U89" s="591">
        <f t="shared" si="269"/>
        <v>0</v>
      </c>
      <c r="V89" s="950">
        <v>708000</v>
      </c>
      <c r="W89" s="559">
        <f t="shared" si="270"/>
        <v>756370.55999999994</v>
      </c>
      <c r="X89" s="559">
        <f t="shared" si="271"/>
        <v>756722.60592</v>
      </c>
      <c r="Y89" s="289">
        <v>0</v>
      </c>
      <c r="Z89" s="560">
        <f t="shared" si="272"/>
        <v>756370.55999999994</v>
      </c>
      <c r="AA89" s="561">
        <f t="shared" si="273"/>
        <v>756370.55999999994</v>
      </c>
      <c r="AB89" s="562">
        <f t="shared" si="274"/>
        <v>756722.60592</v>
      </c>
      <c r="AC89" s="561">
        <f t="shared" si="275"/>
        <v>756722.60592</v>
      </c>
      <c r="AD89" s="952" t="e">
        <f t="shared" si="276"/>
        <v>#N/A</v>
      </c>
      <c r="AE89" s="564" t="e">
        <f t="shared" si="277"/>
        <v>#N/A</v>
      </c>
      <c r="AF89" s="290" t="e">
        <f t="shared" si="278"/>
        <v>#N/A</v>
      </c>
      <c r="AG89" s="953">
        <f t="shared" si="256"/>
        <v>0</v>
      </c>
      <c r="AH89" s="291" t="e">
        <f t="shared" si="256"/>
        <v>#N/A</v>
      </c>
      <c r="AI89" s="291" t="e">
        <f t="shared" si="256"/>
        <v>#N/A</v>
      </c>
      <c r="AJ89" s="291">
        <f t="shared" si="256"/>
        <v>7.1623284899407587</v>
      </c>
      <c r="AK89" s="292">
        <f t="shared" si="256"/>
        <v>72</v>
      </c>
      <c r="AL89" s="567" t="e">
        <f t="shared" si="279"/>
        <v>#N/A</v>
      </c>
      <c r="AM89" s="530">
        <f t="shared" si="280"/>
        <v>0</v>
      </c>
      <c r="AN89" s="531">
        <v>0</v>
      </c>
      <c r="AO89" s="531">
        <f t="shared" si="281"/>
        <v>2.5000000000000001E-5</v>
      </c>
      <c r="AP89" s="531" t="e">
        <f t="shared" si="282"/>
        <v>#N/A</v>
      </c>
      <c r="AQ89" s="532" t="e">
        <f t="shared" si="283"/>
        <v>#N/A</v>
      </c>
      <c r="AR89" s="490">
        <f t="shared" si="284"/>
        <v>1.0683199999999999</v>
      </c>
      <c r="AS89" s="400">
        <v>1.0385550000000001</v>
      </c>
      <c r="AT89" s="400">
        <v>1.0385550000000001</v>
      </c>
      <c r="AU89" s="284" t="str">
        <f t="shared" si="285"/>
        <v>9128287D6</v>
      </c>
      <c r="AV89" s="566" t="str">
        <f t="shared" si="264"/>
        <v>TNOTE</v>
      </c>
    </row>
    <row r="90" spans="1:50" s="765" customFormat="1" x14ac:dyDescent="0.25">
      <c r="A90" s="607" t="s">
        <v>947</v>
      </c>
      <c r="B90" s="555" t="s">
        <v>3284</v>
      </c>
      <c r="C90" s="555" t="str">
        <f t="shared" si="237"/>
        <v>TSY INFL IX N/B</v>
      </c>
      <c r="D90" s="555" t="str">
        <f t="shared" si="237"/>
        <v>US GOVERNMENT</v>
      </c>
      <c r="E90" s="283">
        <f t="shared" si="237"/>
        <v>39802000000</v>
      </c>
      <c r="F90" s="429" t="s">
        <v>939</v>
      </c>
      <c r="G90" s="429">
        <f t="shared" si="238"/>
        <v>47314</v>
      </c>
      <c r="H90" s="284" t="str">
        <f t="shared" si="239"/>
        <v>USG</v>
      </c>
      <c r="I90" s="284">
        <f t="shared" si="265"/>
        <v>1.0683199999999999</v>
      </c>
      <c r="J90" s="285">
        <f t="shared" si="241"/>
        <v>1</v>
      </c>
      <c r="K90" s="286">
        <f t="shared" si="242"/>
        <v>2.5000000000000001E-3</v>
      </c>
      <c r="L90" s="287">
        <f t="shared" si="242"/>
        <v>4.9723999999999992E-4</v>
      </c>
      <c r="M90" s="288">
        <f t="shared" si="266"/>
        <v>1.06881724</v>
      </c>
      <c r="N90" s="289">
        <f t="shared" si="267"/>
        <v>1.06881724</v>
      </c>
      <c r="O90" s="950">
        <v>0</v>
      </c>
      <c r="P90" s="951">
        <v>44643</v>
      </c>
      <c r="Q90" s="947">
        <v>44643</v>
      </c>
      <c r="R90" s="948">
        <v>0</v>
      </c>
      <c r="S90" s="949">
        <v>0</v>
      </c>
      <c r="T90" s="591">
        <f t="shared" si="268"/>
        <v>0</v>
      </c>
      <c r="U90" s="591">
        <f t="shared" si="269"/>
        <v>0</v>
      </c>
      <c r="V90" s="950">
        <v>801000</v>
      </c>
      <c r="W90" s="559">
        <f t="shared" si="270"/>
        <v>855724.32</v>
      </c>
      <c r="X90" s="559">
        <f t="shared" si="271"/>
        <v>856122.60924000002</v>
      </c>
      <c r="Y90" s="289">
        <v>0</v>
      </c>
      <c r="Z90" s="560">
        <f t="shared" si="272"/>
        <v>855724.32</v>
      </c>
      <c r="AA90" s="561">
        <f t="shared" si="273"/>
        <v>855724.32</v>
      </c>
      <c r="AB90" s="562">
        <f t="shared" si="274"/>
        <v>856122.60924000002</v>
      </c>
      <c r="AC90" s="561">
        <f t="shared" si="275"/>
        <v>856122.60924000002</v>
      </c>
      <c r="AD90" s="952" t="e">
        <f t="shared" si="276"/>
        <v>#N/A</v>
      </c>
      <c r="AE90" s="564" t="e">
        <f t="shared" si="277"/>
        <v>#N/A</v>
      </c>
      <c r="AF90" s="290" t="e">
        <f t="shared" si="278"/>
        <v>#N/A</v>
      </c>
      <c r="AG90" s="953">
        <f t="shared" si="256"/>
        <v>0</v>
      </c>
      <c r="AH90" s="291" t="e">
        <f t="shared" si="256"/>
        <v>#N/A</v>
      </c>
      <c r="AI90" s="291" t="e">
        <f t="shared" si="256"/>
        <v>#N/A</v>
      </c>
      <c r="AJ90" s="291">
        <f t="shared" si="256"/>
        <v>7.1623284899407587</v>
      </c>
      <c r="AK90" s="292">
        <f t="shared" si="256"/>
        <v>72</v>
      </c>
      <c r="AL90" s="567" t="e">
        <f t="shared" si="279"/>
        <v>#N/A</v>
      </c>
      <c r="AM90" s="530">
        <f t="shared" si="280"/>
        <v>0</v>
      </c>
      <c r="AN90" s="531">
        <v>0</v>
      </c>
      <c r="AO90" s="531">
        <f t="shared" si="281"/>
        <v>2.5000000000000001E-5</v>
      </c>
      <c r="AP90" s="531" t="e">
        <f t="shared" si="282"/>
        <v>#N/A</v>
      </c>
      <c r="AQ90" s="532" t="e">
        <f t="shared" si="283"/>
        <v>#N/A</v>
      </c>
      <c r="AR90" s="490">
        <f t="shared" si="284"/>
        <v>1.0683199999999999</v>
      </c>
      <c r="AS90" s="400">
        <v>1.0385550000000001</v>
      </c>
      <c r="AT90" s="400">
        <v>1.0385550000000001</v>
      </c>
      <c r="AU90" s="284" t="str">
        <f t="shared" si="285"/>
        <v>9128287D6</v>
      </c>
      <c r="AV90" s="566" t="str">
        <f t="shared" si="264"/>
        <v>TNOTE</v>
      </c>
    </row>
    <row r="91" spans="1:50" s="765" customFormat="1" x14ac:dyDescent="0.25">
      <c r="A91" s="607" t="s">
        <v>947</v>
      </c>
      <c r="B91" s="555" t="s">
        <v>3284</v>
      </c>
      <c r="C91" s="555" t="str">
        <f t="shared" si="237"/>
        <v>TSY INFL IX N/B</v>
      </c>
      <c r="D91" s="555" t="str">
        <f t="shared" si="237"/>
        <v>US GOVERNMENT</v>
      </c>
      <c r="E91" s="283">
        <f t="shared" si="237"/>
        <v>39802000000</v>
      </c>
      <c r="F91" s="429" t="s">
        <v>939</v>
      </c>
      <c r="G91" s="429">
        <f t="shared" si="238"/>
        <v>47314</v>
      </c>
      <c r="H91" s="284" t="str">
        <f t="shared" si="239"/>
        <v>USG</v>
      </c>
      <c r="I91" s="284">
        <f t="shared" si="265"/>
        <v>1.0683199999999999</v>
      </c>
      <c r="J91" s="285">
        <f t="shared" si="241"/>
        <v>1</v>
      </c>
      <c r="K91" s="286">
        <f t="shared" si="242"/>
        <v>2.5000000000000001E-3</v>
      </c>
      <c r="L91" s="287">
        <f t="shared" si="242"/>
        <v>4.9723999999999992E-4</v>
      </c>
      <c r="M91" s="288">
        <f t="shared" si="266"/>
        <v>1.06881724</v>
      </c>
      <c r="N91" s="289">
        <f t="shared" si="267"/>
        <v>1.06881724</v>
      </c>
      <c r="O91" s="950">
        <v>0</v>
      </c>
      <c r="P91" s="951">
        <v>44642</v>
      </c>
      <c r="Q91" s="947">
        <v>44642</v>
      </c>
      <c r="R91" s="948">
        <v>0</v>
      </c>
      <c r="S91" s="949">
        <v>0</v>
      </c>
      <c r="T91" s="591">
        <f t="shared" si="268"/>
        <v>0</v>
      </c>
      <c r="U91" s="591">
        <f t="shared" si="269"/>
        <v>0</v>
      </c>
      <c r="V91" s="950">
        <v>782000</v>
      </c>
      <c r="W91" s="559">
        <f t="shared" si="270"/>
        <v>835426.24</v>
      </c>
      <c r="X91" s="559">
        <f t="shared" si="271"/>
        <v>835815.08167999994</v>
      </c>
      <c r="Y91" s="289">
        <v>0</v>
      </c>
      <c r="Z91" s="560">
        <f t="shared" si="272"/>
        <v>835426.24</v>
      </c>
      <c r="AA91" s="561">
        <f t="shared" si="273"/>
        <v>835426.24</v>
      </c>
      <c r="AB91" s="562">
        <f t="shared" si="274"/>
        <v>835815.08167999994</v>
      </c>
      <c r="AC91" s="561">
        <f t="shared" si="275"/>
        <v>835815.08167999994</v>
      </c>
      <c r="AD91" s="952" t="e">
        <f t="shared" si="276"/>
        <v>#N/A</v>
      </c>
      <c r="AE91" s="564" t="e">
        <f t="shared" si="277"/>
        <v>#N/A</v>
      </c>
      <c r="AF91" s="290" t="e">
        <f t="shared" si="278"/>
        <v>#N/A</v>
      </c>
      <c r="AG91" s="953">
        <f t="shared" si="256"/>
        <v>0</v>
      </c>
      <c r="AH91" s="291" t="e">
        <f t="shared" si="256"/>
        <v>#N/A</v>
      </c>
      <c r="AI91" s="291" t="e">
        <f t="shared" si="256"/>
        <v>#N/A</v>
      </c>
      <c r="AJ91" s="291">
        <f t="shared" si="256"/>
        <v>7.1623284899407587</v>
      </c>
      <c r="AK91" s="292">
        <f t="shared" si="256"/>
        <v>72</v>
      </c>
      <c r="AL91" s="567" t="e">
        <f t="shared" si="279"/>
        <v>#N/A</v>
      </c>
      <c r="AM91" s="530">
        <f t="shared" si="280"/>
        <v>0</v>
      </c>
      <c r="AN91" s="531">
        <v>0</v>
      </c>
      <c r="AO91" s="531">
        <f t="shared" si="281"/>
        <v>2.5000000000000001E-5</v>
      </c>
      <c r="AP91" s="531" t="e">
        <f t="shared" si="282"/>
        <v>#N/A</v>
      </c>
      <c r="AQ91" s="532" t="e">
        <f t="shared" si="283"/>
        <v>#N/A</v>
      </c>
      <c r="AR91" s="490">
        <f t="shared" si="284"/>
        <v>1.0683199999999999</v>
      </c>
      <c r="AS91" s="400">
        <v>1.0385550000000001</v>
      </c>
      <c r="AT91" s="400">
        <v>1.0385550000000001</v>
      </c>
      <c r="AU91" s="284" t="str">
        <f t="shared" si="285"/>
        <v>9128287D6</v>
      </c>
      <c r="AV91" s="566" t="str">
        <f t="shared" si="264"/>
        <v>TNOTE</v>
      </c>
    </row>
    <row r="92" spans="1:50" s="765" customFormat="1" x14ac:dyDescent="0.25">
      <c r="A92" s="607" t="s">
        <v>947</v>
      </c>
      <c r="B92" s="555" t="s">
        <v>3284</v>
      </c>
      <c r="C92" s="555" t="str">
        <f t="shared" si="237"/>
        <v>TSY INFL IX N/B</v>
      </c>
      <c r="D92" s="555" t="str">
        <f t="shared" si="237"/>
        <v>US GOVERNMENT</v>
      </c>
      <c r="E92" s="283">
        <f t="shared" si="237"/>
        <v>39802000000</v>
      </c>
      <c r="F92" s="429" t="s">
        <v>939</v>
      </c>
      <c r="G92" s="429">
        <f t="shared" si="238"/>
        <v>47314</v>
      </c>
      <c r="H92" s="284" t="str">
        <f t="shared" si="239"/>
        <v>USG</v>
      </c>
      <c r="I92" s="284">
        <f t="shared" si="265"/>
        <v>1.0683199999999999</v>
      </c>
      <c r="J92" s="285">
        <f t="shared" si="241"/>
        <v>1</v>
      </c>
      <c r="K92" s="286">
        <f t="shared" si="242"/>
        <v>2.5000000000000001E-3</v>
      </c>
      <c r="L92" s="287">
        <f t="shared" si="242"/>
        <v>4.9723999999999992E-4</v>
      </c>
      <c r="M92" s="288">
        <f t="shared" si="266"/>
        <v>1.06881724</v>
      </c>
      <c r="N92" s="289">
        <f t="shared" si="267"/>
        <v>1.06881724</v>
      </c>
      <c r="O92" s="950">
        <v>0</v>
      </c>
      <c r="P92" s="951">
        <v>44631</v>
      </c>
      <c r="Q92" s="947">
        <v>44631</v>
      </c>
      <c r="R92" s="948">
        <v>0</v>
      </c>
      <c r="S92" s="949">
        <v>0</v>
      </c>
      <c r="T92" s="591">
        <f t="shared" si="268"/>
        <v>0</v>
      </c>
      <c r="U92" s="591">
        <f t="shared" si="269"/>
        <v>0</v>
      </c>
      <c r="V92" s="950">
        <v>1434000</v>
      </c>
      <c r="W92" s="559">
        <f t="shared" si="270"/>
        <v>1531970.88</v>
      </c>
      <c r="X92" s="559">
        <f t="shared" si="271"/>
        <v>1532683.9221600001</v>
      </c>
      <c r="Y92" s="289">
        <v>0</v>
      </c>
      <c r="Z92" s="560">
        <f t="shared" si="272"/>
        <v>1531970.88</v>
      </c>
      <c r="AA92" s="561">
        <f t="shared" si="273"/>
        <v>1531970.88</v>
      </c>
      <c r="AB92" s="562">
        <f t="shared" si="274"/>
        <v>1532683.9221600001</v>
      </c>
      <c r="AC92" s="561">
        <f t="shared" si="275"/>
        <v>1532683.9221600001</v>
      </c>
      <c r="AD92" s="952" t="e">
        <f t="shared" si="276"/>
        <v>#N/A</v>
      </c>
      <c r="AE92" s="564" t="e">
        <f t="shared" si="277"/>
        <v>#N/A</v>
      </c>
      <c r="AF92" s="290" t="e">
        <f t="shared" si="278"/>
        <v>#N/A</v>
      </c>
      <c r="AG92" s="953">
        <f t="shared" si="256"/>
        <v>0</v>
      </c>
      <c r="AH92" s="291" t="e">
        <f t="shared" si="256"/>
        <v>#N/A</v>
      </c>
      <c r="AI92" s="291" t="e">
        <f t="shared" si="256"/>
        <v>#N/A</v>
      </c>
      <c r="AJ92" s="291">
        <f t="shared" si="256"/>
        <v>7.1623284899407587</v>
      </c>
      <c r="AK92" s="292">
        <f t="shared" si="256"/>
        <v>72</v>
      </c>
      <c r="AL92" s="567" t="e">
        <f t="shared" si="279"/>
        <v>#N/A</v>
      </c>
      <c r="AM92" s="530">
        <f t="shared" si="280"/>
        <v>0</v>
      </c>
      <c r="AN92" s="531">
        <v>0</v>
      </c>
      <c r="AO92" s="531">
        <f t="shared" si="281"/>
        <v>2.5000000000000001E-5</v>
      </c>
      <c r="AP92" s="531" t="e">
        <f t="shared" si="282"/>
        <v>#N/A</v>
      </c>
      <c r="AQ92" s="532" t="e">
        <f t="shared" si="283"/>
        <v>#N/A</v>
      </c>
      <c r="AR92" s="490">
        <f t="shared" si="284"/>
        <v>1.0683199999999999</v>
      </c>
      <c r="AS92" s="400">
        <v>1.0385550000000001</v>
      </c>
      <c r="AT92" s="400">
        <v>1.0385550000000001</v>
      </c>
      <c r="AU92" s="284" t="str">
        <f t="shared" si="285"/>
        <v>9128287D6</v>
      </c>
      <c r="AV92" s="566" t="str">
        <f t="shared" si="264"/>
        <v>TNOTE</v>
      </c>
    </row>
    <row r="93" spans="1:50" s="765" customFormat="1" x14ac:dyDescent="0.25">
      <c r="A93" s="607" t="s">
        <v>947</v>
      </c>
      <c r="B93" s="555" t="s">
        <v>3284</v>
      </c>
      <c r="C93" s="555" t="str">
        <f t="shared" si="237"/>
        <v>TSY INFL IX N/B</v>
      </c>
      <c r="D93" s="555" t="str">
        <f t="shared" si="237"/>
        <v>US GOVERNMENT</v>
      </c>
      <c r="E93" s="283">
        <f t="shared" si="237"/>
        <v>39802000000</v>
      </c>
      <c r="F93" s="429" t="s">
        <v>939</v>
      </c>
      <c r="G93" s="429">
        <f t="shared" si="238"/>
        <v>47314</v>
      </c>
      <c r="H93" s="284" t="str">
        <f t="shared" si="239"/>
        <v>USG</v>
      </c>
      <c r="I93" s="284">
        <f t="shared" si="265"/>
        <v>1.0683199999999999</v>
      </c>
      <c r="J93" s="285">
        <f t="shared" si="241"/>
        <v>1</v>
      </c>
      <c r="K93" s="286">
        <f t="shared" si="242"/>
        <v>2.5000000000000001E-3</v>
      </c>
      <c r="L93" s="287">
        <f t="shared" si="242"/>
        <v>4.9723999999999992E-4</v>
      </c>
      <c r="M93" s="288">
        <f t="shared" si="266"/>
        <v>1.06881724</v>
      </c>
      <c r="N93" s="289">
        <f t="shared" si="267"/>
        <v>1.06881724</v>
      </c>
      <c r="O93" s="950">
        <v>0</v>
      </c>
      <c r="P93" s="951">
        <v>44630</v>
      </c>
      <c r="Q93" s="947">
        <v>44630</v>
      </c>
      <c r="R93" s="948">
        <v>0</v>
      </c>
      <c r="S93" s="949">
        <v>0</v>
      </c>
      <c r="T93" s="591">
        <f t="shared" si="268"/>
        <v>0</v>
      </c>
      <c r="U93" s="591">
        <f t="shared" si="269"/>
        <v>0</v>
      </c>
      <c r="V93" s="950">
        <v>961000</v>
      </c>
      <c r="W93" s="559">
        <f t="shared" si="270"/>
        <v>1026655.5199999999</v>
      </c>
      <c r="X93" s="559">
        <f t="shared" si="271"/>
        <v>1027133.36764</v>
      </c>
      <c r="Y93" s="289">
        <v>0</v>
      </c>
      <c r="Z93" s="560">
        <f t="shared" si="272"/>
        <v>1026655.5199999999</v>
      </c>
      <c r="AA93" s="561">
        <f t="shared" si="273"/>
        <v>1026655.5199999999</v>
      </c>
      <c r="AB93" s="562">
        <f t="shared" si="274"/>
        <v>1027133.36764</v>
      </c>
      <c r="AC93" s="561">
        <f t="shared" si="275"/>
        <v>1027133.36764</v>
      </c>
      <c r="AD93" s="952" t="e">
        <f t="shared" si="276"/>
        <v>#N/A</v>
      </c>
      <c r="AE93" s="564" t="e">
        <f t="shared" si="277"/>
        <v>#N/A</v>
      </c>
      <c r="AF93" s="290" t="e">
        <f t="shared" si="278"/>
        <v>#N/A</v>
      </c>
      <c r="AG93" s="953">
        <f t="shared" si="256"/>
        <v>0</v>
      </c>
      <c r="AH93" s="291" t="e">
        <f t="shared" si="256"/>
        <v>#N/A</v>
      </c>
      <c r="AI93" s="291" t="e">
        <f t="shared" si="256"/>
        <v>#N/A</v>
      </c>
      <c r="AJ93" s="291">
        <f t="shared" si="256"/>
        <v>7.1623284899407587</v>
      </c>
      <c r="AK93" s="292">
        <f t="shared" si="256"/>
        <v>72</v>
      </c>
      <c r="AL93" s="567" t="e">
        <f t="shared" si="279"/>
        <v>#N/A</v>
      </c>
      <c r="AM93" s="530">
        <f t="shared" si="280"/>
        <v>0</v>
      </c>
      <c r="AN93" s="531">
        <v>0</v>
      </c>
      <c r="AO93" s="531">
        <f t="shared" si="281"/>
        <v>2.5000000000000001E-5</v>
      </c>
      <c r="AP93" s="531" t="e">
        <f t="shared" si="282"/>
        <v>#N/A</v>
      </c>
      <c r="AQ93" s="532" t="e">
        <f t="shared" si="283"/>
        <v>#N/A</v>
      </c>
      <c r="AR93" s="490">
        <f t="shared" si="284"/>
        <v>1.0683199999999999</v>
      </c>
      <c r="AS93" s="400">
        <v>1.0385550000000001</v>
      </c>
      <c r="AT93" s="400">
        <v>1.0385550000000001</v>
      </c>
      <c r="AU93" s="284" t="str">
        <f t="shared" si="285"/>
        <v>9128287D6</v>
      </c>
      <c r="AV93" s="566" t="str">
        <f t="shared" si="264"/>
        <v>TNOTE</v>
      </c>
    </row>
    <row r="94" spans="1:50" s="765" customFormat="1" x14ac:dyDescent="0.25">
      <c r="A94" s="607" t="s">
        <v>947</v>
      </c>
      <c r="B94" s="555" t="s">
        <v>3284</v>
      </c>
      <c r="C94" s="555" t="str">
        <f t="shared" si="237"/>
        <v>TSY INFL IX N/B</v>
      </c>
      <c r="D94" s="555" t="str">
        <f t="shared" si="237"/>
        <v>US GOVERNMENT</v>
      </c>
      <c r="E94" s="283">
        <f t="shared" si="237"/>
        <v>39802000000</v>
      </c>
      <c r="F94" s="429" t="s">
        <v>939</v>
      </c>
      <c r="G94" s="429">
        <f t="shared" si="238"/>
        <v>47314</v>
      </c>
      <c r="H94" s="284" t="str">
        <f t="shared" si="239"/>
        <v>USG</v>
      </c>
      <c r="I94" s="284">
        <f t="shared" si="265"/>
        <v>1.0683199999999999</v>
      </c>
      <c r="J94" s="285">
        <f t="shared" si="241"/>
        <v>1</v>
      </c>
      <c r="K94" s="286">
        <f t="shared" si="242"/>
        <v>2.5000000000000001E-3</v>
      </c>
      <c r="L94" s="287">
        <f t="shared" si="242"/>
        <v>4.9723999999999992E-4</v>
      </c>
      <c r="M94" s="288">
        <f t="shared" si="266"/>
        <v>1.06881724</v>
      </c>
      <c r="N94" s="289">
        <f t="shared" si="267"/>
        <v>1.06881724</v>
      </c>
      <c r="O94" s="950">
        <v>0</v>
      </c>
      <c r="P94" s="951">
        <v>44627</v>
      </c>
      <c r="Q94" s="947">
        <v>44627</v>
      </c>
      <c r="R94" s="948">
        <v>0</v>
      </c>
      <c r="S94" s="949">
        <v>0</v>
      </c>
      <c r="T94" s="591">
        <f t="shared" si="268"/>
        <v>0</v>
      </c>
      <c r="U94" s="591">
        <f t="shared" si="269"/>
        <v>0</v>
      </c>
      <c r="V94" s="950">
        <v>-1400000</v>
      </c>
      <c r="W94" s="559">
        <f t="shared" si="270"/>
        <v>-1495648</v>
      </c>
      <c r="X94" s="559">
        <f t="shared" si="271"/>
        <v>-1496344.1359999999</v>
      </c>
      <c r="Y94" s="289">
        <v>0</v>
      </c>
      <c r="Z94" s="560">
        <f t="shared" si="272"/>
        <v>-1495648</v>
      </c>
      <c r="AA94" s="561">
        <f t="shared" si="273"/>
        <v>-1495648</v>
      </c>
      <c r="AB94" s="562">
        <f t="shared" si="274"/>
        <v>-1496344.1359999999</v>
      </c>
      <c r="AC94" s="561">
        <f t="shared" si="275"/>
        <v>-1496344.1359999999</v>
      </c>
      <c r="AD94" s="952" t="e">
        <f t="shared" si="276"/>
        <v>#N/A</v>
      </c>
      <c r="AE94" s="564" t="e">
        <f t="shared" si="277"/>
        <v>#N/A</v>
      </c>
      <c r="AF94" s="290" t="e">
        <f t="shared" si="278"/>
        <v>#N/A</v>
      </c>
      <c r="AG94" s="953">
        <f t="shared" si="256"/>
        <v>0</v>
      </c>
      <c r="AH94" s="291" t="e">
        <f t="shared" si="256"/>
        <v>#N/A</v>
      </c>
      <c r="AI94" s="291" t="e">
        <f t="shared" si="256"/>
        <v>#N/A</v>
      </c>
      <c r="AJ94" s="291">
        <f t="shared" si="256"/>
        <v>7.1623284899407587</v>
      </c>
      <c r="AK94" s="292">
        <f t="shared" si="256"/>
        <v>72</v>
      </c>
      <c r="AL94" s="567" t="e">
        <f t="shared" si="279"/>
        <v>#N/A</v>
      </c>
      <c r="AM94" s="530">
        <f t="shared" si="280"/>
        <v>0</v>
      </c>
      <c r="AN94" s="531">
        <v>0</v>
      </c>
      <c r="AO94" s="531">
        <f t="shared" si="281"/>
        <v>2.5000000000000001E-5</v>
      </c>
      <c r="AP94" s="531" t="e">
        <f t="shared" si="282"/>
        <v>#N/A</v>
      </c>
      <c r="AQ94" s="532" t="e">
        <f t="shared" si="283"/>
        <v>#N/A</v>
      </c>
      <c r="AR94" s="490">
        <f t="shared" si="284"/>
        <v>1.0683199999999999</v>
      </c>
      <c r="AS94" s="400">
        <v>1.0385550000000001</v>
      </c>
      <c r="AT94" s="400">
        <v>1.0385550000000001</v>
      </c>
      <c r="AU94" s="284" t="str">
        <f t="shared" si="285"/>
        <v>9128287D6</v>
      </c>
      <c r="AV94" s="566" t="str">
        <f t="shared" si="264"/>
        <v>TNOTE</v>
      </c>
    </row>
    <row r="95" spans="1:50" s="765" customFormat="1" x14ac:dyDescent="0.25">
      <c r="A95" s="607" t="s">
        <v>947</v>
      </c>
      <c r="B95" s="555" t="s">
        <v>3284</v>
      </c>
      <c r="C95" s="555" t="str">
        <f t="shared" si="237"/>
        <v>TSY INFL IX N/B</v>
      </c>
      <c r="D95" s="555" t="str">
        <f t="shared" si="237"/>
        <v>US GOVERNMENT</v>
      </c>
      <c r="E95" s="283">
        <f t="shared" si="237"/>
        <v>39802000000</v>
      </c>
      <c r="F95" s="429" t="s">
        <v>939</v>
      </c>
      <c r="G95" s="429">
        <f t="shared" si="238"/>
        <v>47314</v>
      </c>
      <c r="H95" s="284" t="str">
        <f t="shared" si="239"/>
        <v>USG</v>
      </c>
      <c r="I95" s="284">
        <f t="shared" si="265"/>
        <v>1.0683199999999999</v>
      </c>
      <c r="J95" s="285">
        <f t="shared" si="241"/>
        <v>1</v>
      </c>
      <c r="K95" s="286">
        <f t="shared" si="242"/>
        <v>2.5000000000000001E-3</v>
      </c>
      <c r="L95" s="287">
        <f t="shared" si="242"/>
        <v>4.9723999999999992E-4</v>
      </c>
      <c r="M95" s="288">
        <f t="shared" si="266"/>
        <v>1.06881724</v>
      </c>
      <c r="N95" s="289">
        <f t="shared" si="267"/>
        <v>1.06881724</v>
      </c>
      <c r="O95" s="950">
        <v>0</v>
      </c>
      <c r="P95" s="951">
        <v>44580</v>
      </c>
      <c r="Q95" s="947">
        <v>44580</v>
      </c>
      <c r="R95" s="948">
        <v>0</v>
      </c>
      <c r="S95" s="949">
        <v>0</v>
      </c>
      <c r="T95" s="591">
        <f t="shared" si="268"/>
        <v>0</v>
      </c>
      <c r="U95" s="591">
        <f t="shared" si="269"/>
        <v>0</v>
      </c>
      <c r="V95" s="950">
        <v>547000</v>
      </c>
      <c r="W95" s="559">
        <f t="shared" si="270"/>
        <v>584371.03999999992</v>
      </c>
      <c r="X95" s="559">
        <f t="shared" si="271"/>
        <v>584643.03027999995</v>
      </c>
      <c r="Y95" s="289">
        <v>0</v>
      </c>
      <c r="Z95" s="560">
        <f t="shared" si="272"/>
        <v>584371.03999999992</v>
      </c>
      <c r="AA95" s="561">
        <f t="shared" si="273"/>
        <v>584371.03999999992</v>
      </c>
      <c r="AB95" s="562">
        <f t="shared" si="274"/>
        <v>584643.03027999995</v>
      </c>
      <c r="AC95" s="561">
        <f t="shared" si="275"/>
        <v>584643.03027999995</v>
      </c>
      <c r="AD95" s="952" t="e">
        <f t="shared" si="276"/>
        <v>#N/A</v>
      </c>
      <c r="AE95" s="564" t="e">
        <f t="shared" si="277"/>
        <v>#N/A</v>
      </c>
      <c r="AF95" s="290" t="e">
        <f t="shared" si="278"/>
        <v>#N/A</v>
      </c>
      <c r="AG95" s="953">
        <f t="shared" si="256"/>
        <v>0</v>
      </c>
      <c r="AH95" s="291" t="e">
        <f t="shared" si="256"/>
        <v>#N/A</v>
      </c>
      <c r="AI95" s="291" t="e">
        <f t="shared" si="256"/>
        <v>#N/A</v>
      </c>
      <c r="AJ95" s="291">
        <f t="shared" si="256"/>
        <v>7.1623284899407587</v>
      </c>
      <c r="AK95" s="292">
        <f t="shared" si="256"/>
        <v>72</v>
      </c>
      <c r="AL95" s="567" t="e">
        <f t="shared" si="279"/>
        <v>#N/A</v>
      </c>
      <c r="AM95" s="530">
        <f t="shared" si="280"/>
        <v>0</v>
      </c>
      <c r="AN95" s="531">
        <v>0</v>
      </c>
      <c r="AO95" s="531">
        <f t="shared" si="281"/>
        <v>2.5000000000000001E-5</v>
      </c>
      <c r="AP95" s="531" t="e">
        <f t="shared" si="282"/>
        <v>#N/A</v>
      </c>
      <c r="AQ95" s="532" t="e">
        <f t="shared" si="283"/>
        <v>#N/A</v>
      </c>
      <c r="AR95" s="490">
        <f t="shared" si="284"/>
        <v>1.0683199999999999</v>
      </c>
      <c r="AS95" s="400">
        <v>1.0385550000000001</v>
      </c>
      <c r="AT95" s="400">
        <v>1.0385550000000001</v>
      </c>
      <c r="AU95" s="284" t="str">
        <f t="shared" si="285"/>
        <v>9128287D6</v>
      </c>
      <c r="AV95" s="566" t="str">
        <f t="shared" si="264"/>
        <v>TNOTE</v>
      </c>
    </row>
    <row r="96" spans="1:50" s="765" customFormat="1" x14ac:dyDescent="0.25">
      <c r="A96" s="607" t="s">
        <v>947</v>
      </c>
      <c r="B96" s="555" t="s">
        <v>3284</v>
      </c>
      <c r="C96" s="555" t="str">
        <f t="shared" si="237"/>
        <v>TSY INFL IX N/B</v>
      </c>
      <c r="D96" s="555" t="str">
        <f t="shared" si="237"/>
        <v>US GOVERNMENT</v>
      </c>
      <c r="E96" s="283">
        <f t="shared" si="237"/>
        <v>39802000000</v>
      </c>
      <c r="F96" s="429" t="s">
        <v>939</v>
      </c>
      <c r="G96" s="429">
        <f t="shared" si="238"/>
        <v>47314</v>
      </c>
      <c r="H96" s="284" t="str">
        <f t="shared" si="239"/>
        <v>USG</v>
      </c>
      <c r="I96" s="284">
        <f t="shared" si="265"/>
        <v>1.0683199999999999</v>
      </c>
      <c r="J96" s="285">
        <f t="shared" si="241"/>
        <v>1</v>
      </c>
      <c r="K96" s="286">
        <f t="shared" si="242"/>
        <v>2.5000000000000001E-3</v>
      </c>
      <c r="L96" s="287">
        <f t="shared" si="242"/>
        <v>4.9723999999999992E-4</v>
      </c>
      <c r="M96" s="288">
        <f t="shared" si="266"/>
        <v>1.06881724</v>
      </c>
      <c r="N96" s="289">
        <f t="shared" si="267"/>
        <v>1.06881724</v>
      </c>
      <c r="O96" s="950">
        <v>0</v>
      </c>
      <c r="P96" s="951">
        <v>44571</v>
      </c>
      <c r="Q96" s="947">
        <v>44571</v>
      </c>
      <c r="R96" s="948">
        <v>0</v>
      </c>
      <c r="S96" s="949">
        <v>0</v>
      </c>
      <c r="T96" s="591">
        <f t="shared" si="268"/>
        <v>0</v>
      </c>
      <c r="U96" s="591">
        <f t="shared" si="269"/>
        <v>0</v>
      </c>
      <c r="V96" s="950">
        <v>741000</v>
      </c>
      <c r="W96" s="559">
        <f t="shared" si="270"/>
        <v>791625.12</v>
      </c>
      <c r="X96" s="559">
        <f t="shared" si="271"/>
        <v>791993.57484000002</v>
      </c>
      <c r="Y96" s="289">
        <v>0</v>
      </c>
      <c r="Z96" s="560">
        <f t="shared" si="272"/>
        <v>791625.12</v>
      </c>
      <c r="AA96" s="561">
        <f t="shared" si="273"/>
        <v>791625.12</v>
      </c>
      <c r="AB96" s="562">
        <f t="shared" si="274"/>
        <v>791993.57484000002</v>
      </c>
      <c r="AC96" s="561">
        <f t="shared" si="275"/>
        <v>791993.57484000002</v>
      </c>
      <c r="AD96" s="952" t="e">
        <f t="shared" si="276"/>
        <v>#N/A</v>
      </c>
      <c r="AE96" s="564" t="e">
        <f t="shared" si="277"/>
        <v>#N/A</v>
      </c>
      <c r="AF96" s="290" t="e">
        <f t="shared" si="278"/>
        <v>#N/A</v>
      </c>
      <c r="AG96" s="953">
        <f t="shared" si="256"/>
        <v>0</v>
      </c>
      <c r="AH96" s="291" t="e">
        <f t="shared" si="256"/>
        <v>#N/A</v>
      </c>
      <c r="AI96" s="291" t="e">
        <f t="shared" si="256"/>
        <v>#N/A</v>
      </c>
      <c r="AJ96" s="291">
        <f t="shared" si="256"/>
        <v>7.1623284899407587</v>
      </c>
      <c r="AK96" s="292">
        <f t="shared" si="256"/>
        <v>72</v>
      </c>
      <c r="AL96" s="567" t="e">
        <f t="shared" si="279"/>
        <v>#N/A</v>
      </c>
      <c r="AM96" s="530">
        <f t="shared" si="280"/>
        <v>0</v>
      </c>
      <c r="AN96" s="531">
        <v>0</v>
      </c>
      <c r="AO96" s="531">
        <f t="shared" si="281"/>
        <v>2.5000000000000001E-5</v>
      </c>
      <c r="AP96" s="531" t="e">
        <f t="shared" si="282"/>
        <v>#N/A</v>
      </c>
      <c r="AQ96" s="532" t="e">
        <f t="shared" si="283"/>
        <v>#N/A</v>
      </c>
      <c r="AR96" s="490">
        <f t="shared" si="284"/>
        <v>1.0683199999999999</v>
      </c>
      <c r="AS96" s="400">
        <v>1.0385550000000001</v>
      </c>
      <c r="AT96" s="400">
        <v>1.0385550000000001</v>
      </c>
      <c r="AU96" s="284" t="str">
        <f t="shared" si="285"/>
        <v>9128287D6</v>
      </c>
      <c r="AV96" s="566" t="str">
        <f t="shared" si="264"/>
        <v>TNOTE</v>
      </c>
    </row>
    <row r="97" spans="1:48" s="765" customFormat="1" x14ac:dyDescent="0.25">
      <c r="A97" s="607" t="s">
        <v>947</v>
      </c>
      <c r="B97" s="555" t="s">
        <v>3284</v>
      </c>
      <c r="C97" s="555" t="str">
        <f t="shared" si="237"/>
        <v>TSY INFL IX N/B</v>
      </c>
      <c r="D97" s="555" t="str">
        <f t="shared" si="237"/>
        <v>US GOVERNMENT</v>
      </c>
      <c r="E97" s="283">
        <f t="shared" si="237"/>
        <v>39802000000</v>
      </c>
      <c r="F97" s="429" t="s">
        <v>939</v>
      </c>
      <c r="G97" s="429">
        <f t="shared" si="238"/>
        <v>47314</v>
      </c>
      <c r="H97" s="284" t="str">
        <f t="shared" si="239"/>
        <v>USG</v>
      </c>
      <c r="I97" s="284">
        <f t="shared" si="265"/>
        <v>1.0683199999999999</v>
      </c>
      <c r="J97" s="285">
        <f t="shared" si="241"/>
        <v>1</v>
      </c>
      <c r="K97" s="286">
        <f t="shared" si="242"/>
        <v>2.5000000000000001E-3</v>
      </c>
      <c r="L97" s="287">
        <f t="shared" si="242"/>
        <v>4.9723999999999992E-4</v>
      </c>
      <c r="M97" s="288">
        <f t="shared" si="266"/>
        <v>1.06881724</v>
      </c>
      <c r="N97" s="289">
        <f t="shared" si="267"/>
        <v>1.06881724</v>
      </c>
      <c r="O97" s="950">
        <v>0</v>
      </c>
      <c r="P97" s="951">
        <v>44536</v>
      </c>
      <c r="Q97" s="947">
        <v>44536</v>
      </c>
      <c r="R97" s="948">
        <v>0</v>
      </c>
      <c r="S97" s="949">
        <v>0</v>
      </c>
      <c r="T97" s="591">
        <f t="shared" si="268"/>
        <v>0</v>
      </c>
      <c r="U97" s="591">
        <f t="shared" si="269"/>
        <v>0</v>
      </c>
      <c r="V97" s="950">
        <v>204000</v>
      </c>
      <c r="W97" s="559">
        <f t="shared" si="270"/>
        <v>217937.28</v>
      </c>
      <c r="X97" s="559">
        <f t="shared" si="271"/>
        <v>218038.71695999999</v>
      </c>
      <c r="Y97" s="289">
        <v>0</v>
      </c>
      <c r="Z97" s="560">
        <f t="shared" si="272"/>
        <v>217937.28</v>
      </c>
      <c r="AA97" s="561">
        <f t="shared" si="273"/>
        <v>217937.28</v>
      </c>
      <c r="AB97" s="562">
        <f t="shared" si="274"/>
        <v>218038.71695999999</v>
      </c>
      <c r="AC97" s="561">
        <f t="shared" si="275"/>
        <v>218038.71695999999</v>
      </c>
      <c r="AD97" s="952" t="e">
        <f t="shared" si="276"/>
        <v>#N/A</v>
      </c>
      <c r="AE97" s="564" t="e">
        <f t="shared" si="277"/>
        <v>#N/A</v>
      </c>
      <c r="AF97" s="290" t="e">
        <f t="shared" si="278"/>
        <v>#N/A</v>
      </c>
      <c r="AG97" s="953">
        <f t="shared" si="256"/>
        <v>0</v>
      </c>
      <c r="AH97" s="291" t="e">
        <f t="shared" si="256"/>
        <v>#N/A</v>
      </c>
      <c r="AI97" s="291" t="e">
        <f t="shared" si="256"/>
        <v>#N/A</v>
      </c>
      <c r="AJ97" s="291">
        <f t="shared" si="256"/>
        <v>7.1623284899407587</v>
      </c>
      <c r="AK97" s="292">
        <f t="shared" si="256"/>
        <v>72</v>
      </c>
      <c r="AL97" s="567" t="e">
        <f t="shared" si="279"/>
        <v>#N/A</v>
      </c>
      <c r="AM97" s="530">
        <f t="shared" si="280"/>
        <v>0</v>
      </c>
      <c r="AN97" s="531">
        <v>0</v>
      </c>
      <c r="AO97" s="531">
        <f t="shared" si="281"/>
        <v>2.5000000000000001E-5</v>
      </c>
      <c r="AP97" s="531" t="e">
        <f t="shared" si="282"/>
        <v>#N/A</v>
      </c>
      <c r="AQ97" s="532" t="e">
        <f t="shared" si="283"/>
        <v>#N/A</v>
      </c>
      <c r="AR97" s="490">
        <f t="shared" si="284"/>
        <v>1.0683199999999999</v>
      </c>
      <c r="AS97" s="400">
        <v>1.0385550000000001</v>
      </c>
      <c r="AT97" s="400">
        <v>1.0385550000000001</v>
      </c>
      <c r="AU97" s="284" t="str">
        <f t="shared" si="285"/>
        <v>9128287D6</v>
      </c>
      <c r="AV97" s="566" t="str">
        <f t="shared" si="264"/>
        <v>TNOTE</v>
      </c>
    </row>
    <row r="98" spans="1:48" s="765" customFormat="1" x14ac:dyDescent="0.25">
      <c r="A98" s="607" t="s">
        <v>947</v>
      </c>
      <c r="B98" s="555" t="s">
        <v>607</v>
      </c>
      <c r="C98" s="555" t="str">
        <f t="shared" si="237"/>
        <v>US TREASURY</v>
      </c>
      <c r="D98" s="555" t="str">
        <f t="shared" si="237"/>
        <v>CASH</v>
      </c>
      <c r="E98" s="283">
        <f t="shared" si="237"/>
        <v>1</v>
      </c>
      <c r="F98" s="429" t="s">
        <v>939</v>
      </c>
      <c r="G98" s="429">
        <f t="shared" si="238"/>
        <v>73050</v>
      </c>
      <c r="H98" s="284" t="str">
        <f t="shared" si="239"/>
        <v>USG</v>
      </c>
      <c r="I98" s="284">
        <f t="shared" si="265"/>
        <v>1</v>
      </c>
      <c r="J98" s="285">
        <f t="shared" si="241"/>
        <v>1</v>
      </c>
      <c r="K98" s="286">
        <f t="shared" si="242"/>
        <v>0</v>
      </c>
      <c r="L98" s="287">
        <f t="shared" si="242"/>
        <v>0</v>
      </c>
      <c r="M98" s="288">
        <f t="shared" si="266"/>
        <v>1</v>
      </c>
      <c r="N98" s="289">
        <f t="shared" si="267"/>
        <v>1</v>
      </c>
      <c r="O98" s="950">
        <v>17439</v>
      </c>
      <c r="P98" s="951">
        <v>44643</v>
      </c>
      <c r="Q98" s="947">
        <v>44643</v>
      </c>
      <c r="R98" s="948">
        <v>3.3259999999999998E-2</v>
      </c>
      <c r="S98" s="949">
        <v>0</v>
      </c>
      <c r="T98" s="591">
        <f t="shared" si="268"/>
        <v>12.889358666666665</v>
      </c>
      <c r="U98" s="591">
        <f t="shared" si="269"/>
        <v>0</v>
      </c>
      <c r="V98" s="950">
        <v>17439</v>
      </c>
      <c r="W98" s="559">
        <f t="shared" si="270"/>
        <v>17439</v>
      </c>
      <c r="X98" s="559">
        <f t="shared" si="271"/>
        <v>17439</v>
      </c>
      <c r="Y98" s="289">
        <v>0</v>
      </c>
      <c r="Z98" s="560">
        <f t="shared" si="272"/>
        <v>17439</v>
      </c>
      <c r="AA98" s="561">
        <f t="shared" si="273"/>
        <v>-12.889358666666665</v>
      </c>
      <c r="AB98" s="562">
        <f t="shared" si="274"/>
        <v>17439</v>
      </c>
      <c r="AC98" s="561">
        <f t="shared" si="275"/>
        <v>-12.889358666666665</v>
      </c>
      <c r="AD98" s="952">
        <f t="shared" si="276"/>
        <v>0</v>
      </c>
      <c r="AE98" s="564">
        <f t="shared" si="277"/>
        <v>0</v>
      </c>
      <c r="AF98" s="290">
        <f t="shared" si="278"/>
        <v>0</v>
      </c>
      <c r="AG98" s="953">
        <f t="shared" si="256"/>
        <v>0</v>
      </c>
      <c r="AH98" s="291" t="e">
        <f t="shared" si="256"/>
        <v>#N/A</v>
      </c>
      <c r="AI98" s="291" t="e">
        <f t="shared" si="256"/>
        <v>#N/A</v>
      </c>
      <c r="AJ98" s="291">
        <f t="shared" si="256"/>
        <v>2.7397200000000002E-3</v>
      </c>
      <c r="AK98" s="292">
        <f t="shared" si="256"/>
        <v>0</v>
      </c>
      <c r="AL98" s="567">
        <f t="shared" si="279"/>
        <v>17439</v>
      </c>
      <c r="AM98" s="530">
        <f t="shared" si="280"/>
        <v>17439</v>
      </c>
      <c r="AN98" s="531">
        <v>0</v>
      </c>
      <c r="AO98" s="531">
        <f t="shared" si="281"/>
        <v>0</v>
      </c>
      <c r="AP98" s="531">
        <f t="shared" si="282"/>
        <v>0</v>
      </c>
      <c r="AQ98" s="532">
        <f t="shared" si="283"/>
        <v>0</v>
      </c>
      <c r="AR98" s="490">
        <f t="shared" si="284"/>
        <v>1</v>
      </c>
      <c r="AS98" s="400">
        <v>1.0385550000000001</v>
      </c>
      <c r="AT98" s="400">
        <v>1.0385550000000001</v>
      </c>
      <c r="AU98" s="284" t="str">
        <f t="shared" si="285"/>
        <v>CASHUSD01</v>
      </c>
      <c r="AV98" s="566" t="str">
        <f t="shared" si="264"/>
        <v>CASH</v>
      </c>
    </row>
    <row r="99" spans="1:48" s="765" customFormat="1" x14ac:dyDescent="0.25">
      <c r="A99" s="607" t="s">
        <v>947</v>
      </c>
      <c r="B99" s="555" t="s">
        <v>4579</v>
      </c>
      <c r="C99" s="555" t="str">
        <f t="shared" si="237"/>
        <v>US TREASURY N/B</v>
      </c>
      <c r="D99" s="555" t="str">
        <f t="shared" si="237"/>
        <v>US GOVERNMENT</v>
      </c>
      <c r="E99" s="283">
        <f t="shared" si="237"/>
        <v>31819000000</v>
      </c>
      <c r="F99" s="429" t="s">
        <v>939</v>
      </c>
      <c r="G99" s="429">
        <f t="shared" si="238"/>
        <v>45412</v>
      </c>
      <c r="H99" s="284" t="str">
        <f t="shared" si="239"/>
        <v>USG</v>
      </c>
      <c r="I99" s="284">
        <f t="shared" si="265"/>
        <v>0.99121099999999995</v>
      </c>
      <c r="J99" s="285">
        <f t="shared" si="241"/>
        <v>1</v>
      </c>
      <c r="K99" s="286">
        <f t="shared" si="242"/>
        <v>0.02</v>
      </c>
      <c r="L99" s="287">
        <f t="shared" si="242"/>
        <v>8.1767999999999997E-3</v>
      </c>
      <c r="M99" s="288">
        <f t="shared" si="266"/>
        <v>0.99938779999999994</v>
      </c>
      <c r="N99" s="289">
        <f t="shared" si="267"/>
        <v>0.99938779999999994</v>
      </c>
      <c r="O99" s="950">
        <v>300000</v>
      </c>
      <c r="P99" s="951">
        <v>44645</v>
      </c>
      <c r="Q99" s="947">
        <v>44727</v>
      </c>
      <c r="R99" s="948">
        <v>1.026E-2</v>
      </c>
      <c r="S99" s="949">
        <v>20</v>
      </c>
      <c r="T99" s="591">
        <f t="shared" si="268"/>
        <v>51.3</v>
      </c>
      <c r="U99" s="591">
        <f t="shared" si="269"/>
        <v>701.1</v>
      </c>
      <c r="V99" s="950">
        <v>306500</v>
      </c>
      <c r="W99" s="559">
        <f t="shared" si="270"/>
        <v>303806.1715</v>
      </c>
      <c r="X99" s="559">
        <f t="shared" si="271"/>
        <v>306312.36069999996</v>
      </c>
      <c r="Y99" s="289">
        <v>2.4390243902400001E-2</v>
      </c>
      <c r="Z99" s="560">
        <f t="shared" si="272"/>
        <v>296396.26487806067</v>
      </c>
      <c r="AA99" s="561">
        <f t="shared" si="273"/>
        <v>-3655.0351219393315</v>
      </c>
      <c r="AB99" s="562">
        <f t="shared" si="274"/>
        <v>298841.32751220703</v>
      </c>
      <c r="AC99" s="561">
        <f t="shared" si="275"/>
        <v>-1209.9724877929664</v>
      </c>
      <c r="AD99" s="952" t="e">
        <f t="shared" si="276"/>
        <v>#N/A</v>
      </c>
      <c r="AE99" s="564" t="e">
        <f t="shared" si="277"/>
        <v>#N/A</v>
      </c>
      <c r="AF99" s="290" t="e">
        <f t="shared" si="278"/>
        <v>#N/A</v>
      </c>
      <c r="AG99" s="953">
        <f t="shared" si="256"/>
        <v>0</v>
      </c>
      <c r="AH99" s="291" t="e">
        <f t="shared" si="256"/>
        <v>#N/A</v>
      </c>
      <c r="AI99" s="291" t="e">
        <f t="shared" si="256"/>
        <v>#N/A</v>
      </c>
      <c r="AJ99" s="291">
        <f t="shared" si="256"/>
        <v>2.0249946009890931</v>
      </c>
      <c r="AK99" s="292">
        <f t="shared" si="256"/>
        <v>148</v>
      </c>
      <c r="AL99" s="567" t="e">
        <f t="shared" si="279"/>
        <v>#N/A</v>
      </c>
      <c r="AM99" s="530">
        <f t="shared" si="280"/>
        <v>300000</v>
      </c>
      <c r="AN99" s="531">
        <v>0</v>
      </c>
      <c r="AO99" s="531">
        <f t="shared" si="281"/>
        <v>2.0000000000000001E-4</v>
      </c>
      <c r="AP99" s="531" t="e">
        <f t="shared" si="282"/>
        <v>#N/A</v>
      </c>
      <c r="AQ99" s="532" t="e">
        <f t="shared" si="283"/>
        <v>#N/A</v>
      </c>
      <c r="AR99" s="490">
        <f t="shared" si="284"/>
        <v>0.99121099999999995</v>
      </c>
      <c r="AS99" s="400">
        <v>1.0385550000000001</v>
      </c>
      <c r="AT99" s="400">
        <v>1.0385550000000001</v>
      </c>
      <c r="AU99" s="284" t="str">
        <f t="shared" si="285"/>
        <v>912828X70</v>
      </c>
      <c r="AV99" s="566" t="str">
        <f t="shared" si="264"/>
        <v>TNOTE</v>
      </c>
    </row>
    <row r="100" spans="1:48" s="765" customFormat="1" x14ac:dyDescent="0.25">
      <c r="A100" s="607" t="s">
        <v>947</v>
      </c>
      <c r="B100" s="555" t="s">
        <v>5070</v>
      </c>
      <c r="C100" s="555" t="str">
        <f t="shared" si="237"/>
        <v>South'n Almnd U2</v>
      </c>
      <c r="D100" s="555" t="str">
        <f t="shared" si="237"/>
        <v>DOMESTIC MTN</v>
      </c>
      <c r="E100" s="283">
        <f t="shared" si="237"/>
        <v>25000000</v>
      </c>
      <c r="F100" s="429" t="s">
        <v>939</v>
      </c>
      <c r="G100" s="429">
        <f t="shared" si="238"/>
        <v>47292</v>
      </c>
      <c r="H100" s="284" t="str">
        <f t="shared" si="239"/>
        <v>A</v>
      </c>
      <c r="I100" s="284">
        <f t="shared" si="265"/>
        <v>1</v>
      </c>
      <c r="J100" s="285">
        <f t="shared" si="241"/>
        <v>1</v>
      </c>
      <c r="K100" s="286">
        <f t="shared" si="242"/>
        <v>5.4760000000000003E-2</v>
      </c>
      <c r="L100" s="287">
        <f t="shared" si="242"/>
        <v>9.1266999999999997E-4</v>
      </c>
      <c r="M100" s="288">
        <f t="shared" si="266"/>
        <v>1.0009126699999999</v>
      </c>
      <c r="N100" s="289">
        <f t="shared" si="267"/>
        <v>1.0009126699999999</v>
      </c>
      <c r="O100" s="950">
        <v>-300000</v>
      </c>
      <c r="P100" s="951">
        <v>44645</v>
      </c>
      <c r="Q100" s="947">
        <v>44727</v>
      </c>
      <c r="R100" s="948">
        <v>5.4760000000000003E-2</v>
      </c>
      <c r="S100" s="949">
        <v>465</v>
      </c>
      <c r="T100" s="591">
        <f t="shared" si="268"/>
        <v>-273.8</v>
      </c>
      <c r="U100" s="591">
        <f t="shared" si="269"/>
        <v>-3741.9333333333334</v>
      </c>
      <c r="V100" s="950">
        <v>-300000</v>
      </c>
      <c r="W100" s="559">
        <f t="shared" si="270"/>
        <v>-300000</v>
      </c>
      <c r="X100" s="559">
        <f t="shared" si="271"/>
        <v>-300273.80099999998</v>
      </c>
      <c r="Y100" s="289">
        <v>0</v>
      </c>
      <c r="Z100" s="560">
        <f t="shared" si="272"/>
        <v>-300000</v>
      </c>
      <c r="AA100" s="561">
        <f t="shared" si="273"/>
        <v>273.8</v>
      </c>
      <c r="AB100" s="562">
        <f t="shared" si="274"/>
        <v>-300273.80099999998</v>
      </c>
      <c r="AC100" s="561">
        <f t="shared" si="275"/>
        <v>-9.9999997763688953E-4</v>
      </c>
      <c r="AD100" s="952" t="e">
        <f t="shared" si="276"/>
        <v>#N/A</v>
      </c>
      <c r="AE100" s="564" t="e">
        <f t="shared" si="277"/>
        <v>#N/A</v>
      </c>
      <c r="AF100" s="290" t="e">
        <f t="shared" si="278"/>
        <v>#N/A</v>
      </c>
      <c r="AG100" s="953">
        <f t="shared" si="256"/>
        <v>0</v>
      </c>
      <c r="AH100" s="291" t="e">
        <f t="shared" si="256"/>
        <v>#N/A</v>
      </c>
      <c r="AI100" s="291" t="e">
        <f t="shared" si="256"/>
        <v>#N/A</v>
      </c>
      <c r="AJ100" s="291">
        <f t="shared" si="256"/>
        <v>5.8379670799982328</v>
      </c>
      <c r="AK100" s="292">
        <f t="shared" si="256"/>
        <v>6</v>
      </c>
      <c r="AL100" s="567" t="e">
        <f t="shared" si="279"/>
        <v>#N/A</v>
      </c>
      <c r="AM100" s="530">
        <f t="shared" si="280"/>
        <v>-300000</v>
      </c>
      <c r="AN100" s="531">
        <v>0</v>
      </c>
      <c r="AO100" s="531">
        <f t="shared" si="281"/>
        <v>5.4760000000000008E-4</v>
      </c>
      <c r="AP100" s="531" t="e">
        <f t="shared" si="282"/>
        <v>#N/A</v>
      </c>
      <c r="AQ100" s="532" t="e">
        <f t="shared" si="283"/>
        <v>#N/A</v>
      </c>
      <c r="AR100" s="490">
        <f t="shared" si="284"/>
        <v>1</v>
      </c>
      <c r="AS100" s="400">
        <v>1.0385550000000001</v>
      </c>
      <c r="AT100" s="400">
        <v>1.0385550000000001</v>
      </c>
      <c r="AU100" s="284" t="str">
        <f t="shared" si="285"/>
        <v>ALMNDUSD2</v>
      </c>
      <c r="AV100" s="566" t="str">
        <f t="shared" si="264"/>
        <v>ABSOTHER</v>
      </c>
    </row>
    <row r="101" spans="1:48" s="765" customFormat="1" x14ac:dyDescent="0.25">
      <c r="A101" s="607" t="s">
        <v>947</v>
      </c>
      <c r="B101" s="555" t="s">
        <v>4579</v>
      </c>
      <c r="C101" s="555" t="str">
        <f t="shared" si="237"/>
        <v>US TREASURY N/B</v>
      </c>
      <c r="D101" s="555" t="str">
        <f t="shared" si="237"/>
        <v>US GOVERNMENT</v>
      </c>
      <c r="E101" s="283">
        <f t="shared" si="237"/>
        <v>31819000000</v>
      </c>
      <c r="F101" s="429" t="s">
        <v>939</v>
      </c>
      <c r="G101" s="429">
        <f t="shared" si="238"/>
        <v>45412</v>
      </c>
      <c r="H101" s="284" t="str">
        <f t="shared" si="239"/>
        <v>USG</v>
      </c>
      <c r="I101" s="284">
        <f t="shared" si="265"/>
        <v>0.99121099999999995</v>
      </c>
      <c r="J101" s="285">
        <f t="shared" si="241"/>
        <v>1</v>
      </c>
      <c r="K101" s="286">
        <f t="shared" si="242"/>
        <v>0.02</v>
      </c>
      <c r="L101" s="287">
        <f t="shared" si="242"/>
        <v>8.1767999999999997E-3</v>
      </c>
      <c r="M101" s="288">
        <f t="shared" si="266"/>
        <v>0.99938779999999994</v>
      </c>
      <c r="N101" s="289">
        <f t="shared" si="267"/>
        <v>0.99938779999999994</v>
      </c>
      <c r="O101" s="950">
        <v>1700000</v>
      </c>
      <c r="P101" s="951">
        <v>44642</v>
      </c>
      <c r="Q101" s="947">
        <v>44727</v>
      </c>
      <c r="R101" s="948">
        <v>1.026E-2</v>
      </c>
      <c r="S101" s="949">
        <v>20</v>
      </c>
      <c r="T101" s="591">
        <f t="shared" si="268"/>
        <v>436.05</v>
      </c>
      <c r="U101" s="591">
        <f t="shared" si="269"/>
        <v>4118.25</v>
      </c>
      <c r="V101" s="950">
        <v>1730000</v>
      </c>
      <c r="W101" s="559">
        <f t="shared" si="270"/>
        <v>1714795.03</v>
      </c>
      <c r="X101" s="559">
        <f t="shared" si="271"/>
        <v>1728940.8939999999</v>
      </c>
      <c r="Y101" s="289">
        <v>2.4390243902400001E-2</v>
      </c>
      <c r="Z101" s="560">
        <f t="shared" si="272"/>
        <v>1672970.7609756768</v>
      </c>
      <c r="AA101" s="561">
        <f t="shared" si="273"/>
        <v>-27465.289024323178</v>
      </c>
      <c r="AB101" s="562">
        <f t="shared" si="274"/>
        <v>1686771.6039025064</v>
      </c>
      <c r="AC101" s="561">
        <f t="shared" si="275"/>
        <v>-13664.44609749359</v>
      </c>
      <c r="AD101" s="952" t="e">
        <f t="shared" si="276"/>
        <v>#N/A</v>
      </c>
      <c r="AE101" s="564" t="e">
        <f t="shared" si="277"/>
        <v>#N/A</v>
      </c>
      <c r="AF101" s="290" t="e">
        <f t="shared" si="278"/>
        <v>#N/A</v>
      </c>
      <c r="AG101" s="953">
        <f t="shared" si="256"/>
        <v>0</v>
      </c>
      <c r="AH101" s="291" t="e">
        <f t="shared" si="256"/>
        <v>#N/A</v>
      </c>
      <c r="AI101" s="291" t="e">
        <f t="shared" si="256"/>
        <v>#N/A</v>
      </c>
      <c r="AJ101" s="291">
        <f t="shared" si="256"/>
        <v>2.0249946009890931</v>
      </c>
      <c r="AK101" s="292">
        <f t="shared" si="256"/>
        <v>148</v>
      </c>
      <c r="AL101" s="567" t="e">
        <f t="shared" si="279"/>
        <v>#N/A</v>
      </c>
      <c r="AM101" s="530">
        <f t="shared" si="280"/>
        <v>1700000</v>
      </c>
      <c r="AN101" s="531">
        <v>0</v>
      </c>
      <c r="AO101" s="531">
        <f t="shared" si="281"/>
        <v>2.0000000000000001E-4</v>
      </c>
      <c r="AP101" s="531" t="e">
        <f t="shared" si="282"/>
        <v>#N/A</v>
      </c>
      <c r="AQ101" s="532" t="e">
        <f t="shared" si="283"/>
        <v>#N/A</v>
      </c>
      <c r="AR101" s="490">
        <f t="shared" si="284"/>
        <v>0.99121099999999995</v>
      </c>
      <c r="AS101" s="400">
        <v>1.0385550000000001</v>
      </c>
      <c r="AT101" s="400">
        <v>1.0385550000000001</v>
      </c>
      <c r="AU101" s="284" t="str">
        <f t="shared" si="285"/>
        <v>912828X70</v>
      </c>
      <c r="AV101" s="566" t="str">
        <f t="shared" si="264"/>
        <v>TNOTE</v>
      </c>
    </row>
    <row r="102" spans="1:48" s="765" customFormat="1" x14ac:dyDescent="0.25">
      <c r="A102" s="607" t="s">
        <v>947</v>
      </c>
      <c r="B102" s="555" t="s">
        <v>2339</v>
      </c>
      <c r="C102" s="555" t="str">
        <f t="shared" si="237"/>
        <v>So Spruce Nts</v>
      </c>
      <c r="D102" s="555" t="str">
        <f t="shared" si="237"/>
        <v>DOMESTIC MTN</v>
      </c>
      <c r="E102" s="283">
        <f t="shared" si="237"/>
        <v>1893550</v>
      </c>
      <c r="F102" s="429" t="s">
        <v>939</v>
      </c>
      <c r="G102" s="429">
        <f t="shared" si="238"/>
        <v>47284</v>
      </c>
      <c r="H102" s="284" t="str">
        <f t="shared" si="239"/>
        <v>A</v>
      </c>
      <c r="I102" s="284">
        <f t="shared" si="265"/>
        <v>1</v>
      </c>
      <c r="J102" s="285">
        <f t="shared" si="241"/>
        <v>0.81873870999999998</v>
      </c>
      <c r="K102" s="286">
        <f t="shared" si="242"/>
        <v>3.3259999999999998E-2</v>
      </c>
      <c r="L102" s="287">
        <f t="shared" si="242"/>
        <v>1.2010600000000001E-3</v>
      </c>
      <c r="M102" s="288">
        <f t="shared" si="266"/>
        <v>1.0012010600000001</v>
      </c>
      <c r="N102" s="289">
        <f t="shared" si="267"/>
        <v>0.81972206431503269</v>
      </c>
      <c r="O102" s="950">
        <v>-500000</v>
      </c>
      <c r="P102" s="951">
        <v>44635</v>
      </c>
      <c r="Q102" s="947">
        <v>44727</v>
      </c>
      <c r="R102" s="948">
        <v>3.3259999999999998E-2</v>
      </c>
      <c r="S102" s="949">
        <v>250</v>
      </c>
      <c r="T102" s="591">
        <f t="shared" si="268"/>
        <v>-739.11111111111109</v>
      </c>
      <c r="U102" s="591">
        <f t="shared" si="269"/>
        <v>-4249.8888888888887</v>
      </c>
      <c r="V102" s="950">
        <v>-585188</v>
      </c>
      <c r="W102" s="559">
        <f t="shared" si="270"/>
        <v>-479116.06822747999</v>
      </c>
      <c r="X102" s="559">
        <f t="shared" si="271"/>
        <v>-479691.51537238533</v>
      </c>
      <c r="Y102" s="289">
        <v>0</v>
      </c>
      <c r="Z102" s="560">
        <f t="shared" si="272"/>
        <v>-479116.06822747999</v>
      </c>
      <c r="AA102" s="561">
        <f t="shared" si="273"/>
        <v>21623.042883631118</v>
      </c>
      <c r="AB102" s="562">
        <f t="shared" si="274"/>
        <v>-479691.51537238533</v>
      </c>
      <c r="AC102" s="561">
        <f t="shared" si="275"/>
        <v>21047.59573872578</v>
      </c>
      <c r="AD102" s="952" t="e">
        <f t="shared" si="276"/>
        <v>#N/A</v>
      </c>
      <c r="AE102" s="564" t="e">
        <f t="shared" si="277"/>
        <v>#N/A</v>
      </c>
      <c r="AF102" s="290" t="e">
        <f t="shared" si="278"/>
        <v>#N/A</v>
      </c>
      <c r="AG102" s="953">
        <f t="shared" si="256"/>
        <v>0</v>
      </c>
      <c r="AH102" s="291" t="e">
        <f t="shared" si="256"/>
        <v>#N/A</v>
      </c>
      <c r="AI102" s="291" t="e">
        <f t="shared" si="256"/>
        <v>#N/A</v>
      </c>
      <c r="AJ102" s="291">
        <f t="shared" si="256"/>
        <v>6.3179000102097858</v>
      </c>
      <c r="AK102" s="292">
        <f t="shared" si="256"/>
        <v>13</v>
      </c>
      <c r="AL102" s="567" t="e">
        <f t="shared" si="279"/>
        <v>#N/A</v>
      </c>
      <c r="AM102" s="530">
        <f t="shared" si="280"/>
        <v>-500000</v>
      </c>
      <c r="AN102" s="531">
        <v>0</v>
      </c>
      <c r="AO102" s="531">
        <f t="shared" si="281"/>
        <v>3.3259999999999995E-4</v>
      </c>
      <c r="AP102" s="531" t="e">
        <f t="shared" si="282"/>
        <v>#N/A</v>
      </c>
      <c r="AQ102" s="532" t="e">
        <f t="shared" si="283"/>
        <v>#N/A</v>
      </c>
      <c r="AR102" s="490">
        <f t="shared" si="284"/>
        <v>1</v>
      </c>
      <c r="AS102" s="400">
        <v>1.0385550000000001</v>
      </c>
      <c r="AT102" s="400">
        <v>1.0385550000000001</v>
      </c>
      <c r="AU102" s="284" t="str">
        <f t="shared" si="285"/>
        <v>XS2225938831</v>
      </c>
      <c r="AV102" s="566" t="str">
        <f t="shared" si="264"/>
        <v>ABSOTHER</v>
      </c>
    </row>
    <row r="103" spans="1:48" s="765" customFormat="1" x14ac:dyDescent="0.25">
      <c r="A103" s="607" t="s">
        <v>947</v>
      </c>
      <c r="B103" s="555" t="s">
        <v>3378</v>
      </c>
      <c r="C103" s="555" t="str">
        <f t="shared" si="237"/>
        <v>South'n Almnd U3</v>
      </c>
      <c r="D103" s="555" t="str">
        <f t="shared" si="237"/>
        <v>DOMESTIC MTN</v>
      </c>
      <c r="E103" s="283">
        <f t="shared" si="237"/>
        <v>25000000</v>
      </c>
      <c r="F103" s="429" t="s">
        <v>939</v>
      </c>
      <c r="G103" s="429">
        <f t="shared" si="238"/>
        <v>47292</v>
      </c>
      <c r="H103" s="284" t="str">
        <f t="shared" si="239"/>
        <v>A</v>
      </c>
      <c r="I103" s="284">
        <f t="shared" si="265"/>
        <v>1</v>
      </c>
      <c r="J103" s="285">
        <f t="shared" si="241"/>
        <v>1</v>
      </c>
      <c r="K103" s="286">
        <f t="shared" si="242"/>
        <v>0</v>
      </c>
      <c r="L103" s="287">
        <f t="shared" si="242"/>
        <v>1.75238E-3</v>
      </c>
      <c r="M103" s="288">
        <f t="shared" si="266"/>
        <v>1.0017523800000001</v>
      </c>
      <c r="N103" s="289">
        <f t="shared" si="267"/>
        <v>1.0017523800000001</v>
      </c>
      <c r="O103" s="950">
        <v>-600000</v>
      </c>
      <c r="P103" s="951">
        <v>44648</v>
      </c>
      <c r="Q103" s="947">
        <v>44727</v>
      </c>
      <c r="R103" s="948">
        <v>5.4760000000000003E-2</v>
      </c>
      <c r="S103" s="949">
        <v>465</v>
      </c>
      <c r="T103" s="591">
        <f t="shared" si="268"/>
        <v>-273.8</v>
      </c>
      <c r="U103" s="591">
        <f t="shared" si="269"/>
        <v>-7210.0666666666666</v>
      </c>
      <c r="V103" s="950">
        <v>-600000</v>
      </c>
      <c r="W103" s="559">
        <f t="shared" si="270"/>
        <v>-600000</v>
      </c>
      <c r="X103" s="559">
        <f t="shared" si="271"/>
        <v>-601051.42800000007</v>
      </c>
      <c r="Y103" s="289">
        <v>0</v>
      </c>
      <c r="Z103" s="560">
        <f t="shared" si="272"/>
        <v>-600000</v>
      </c>
      <c r="AA103" s="561">
        <f t="shared" si="273"/>
        <v>273.8</v>
      </c>
      <c r="AB103" s="562">
        <f t="shared" si="274"/>
        <v>-601051.42800000007</v>
      </c>
      <c r="AC103" s="561">
        <f t="shared" si="275"/>
        <v>-777.62800000007269</v>
      </c>
      <c r="AD103" s="952" t="e">
        <f t="shared" si="276"/>
        <v>#N/A</v>
      </c>
      <c r="AE103" s="564" t="e">
        <f t="shared" si="277"/>
        <v>#N/A</v>
      </c>
      <c r="AF103" s="290" t="e">
        <f t="shared" si="278"/>
        <v>#N/A</v>
      </c>
      <c r="AG103" s="953">
        <f t="shared" si="256"/>
        <v>0</v>
      </c>
      <c r="AH103" s="291" t="e">
        <f t="shared" si="256"/>
        <v>#N/A</v>
      </c>
      <c r="AI103" s="291" t="e">
        <f t="shared" si="256"/>
        <v>#N/A</v>
      </c>
      <c r="AJ103" s="291">
        <f t="shared" si="256"/>
        <v>5.9715329054840849</v>
      </c>
      <c r="AK103" s="292">
        <f t="shared" si="256"/>
        <v>12</v>
      </c>
      <c r="AL103" s="567" t="e">
        <f t="shared" si="279"/>
        <v>#N/A</v>
      </c>
      <c r="AM103" s="530">
        <f t="shared" si="280"/>
        <v>-600000</v>
      </c>
      <c r="AN103" s="531">
        <v>0</v>
      </c>
      <c r="AO103" s="531">
        <f t="shared" si="281"/>
        <v>0</v>
      </c>
      <c r="AP103" s="531" t="e">
        <f t="shared" si="282"/>
        <v>#N/A</v>
      </c>
      <c r="AQ103" s="532" t="e">
        <f t="shared" si="283"/>
        <v>#N/A</v>
      </c>
      <c r="AR103" s="490">
        <f t="shared" si="284"/>
        <v>1</v>
      </c>
      <c r="AS103" s="400">
        <v>1.0385550000000001</v>
      </c>
      <c r="AT103" s="400">
        <v>1.0385550000000001</v>
      </c>
      <c r="AU103" s="284" t="str">
        <f t="shared" si="285"/>
        <v>ALMNDUSD3</v>
      </c>
      <c r="AV103" s="566" t="str">
        <f t="shared" si="264"/>
        <v>ABSOTHER</v>
      </c>
    </row>
    <row r="104" spans="1:48" s="765" customFormat="1" x14ac:dyDescent="0.25">
      <c r="A104" s="607" t="s">
        <v>947</v>
      </c>
      <c r="B104" s="555" t="s">
        <v>5073</v>
      </c>
      <c r="C104" s="555" t="str">
        <f t="shared" si="237"/>
        <v>US TREASURY N/B</v>
      </c>
      <c r="D104" s="555" t="str">
        <f t="shared" si="237"/>
        <v>US GOVERNMENT</v>
      </c>
      <c r="E104" s="283">
        <f t="shared" si="237"/>
        <v>83876000000</v>
      </c>
      <c r="F104" s="429" t="s">
        <v>939</v>
      </c>
      <c r="G104" s="429">
        <f t="shared" si="238"/>
        <v>45519</v>
      </c>
      <c r="H104" s="284" t="str">
        <f t="shared" si="239"/>
        <v>USG</v>
      </c>
      <c r="I104" s="284">
        <f t="shared" si="265"/>
        <v>0.95160200000000006</v>
      </c>
      <c r="J104" s="285">
        <f t="shared" si="241"/>
        <v>1</v>
      </c>
      <c r="K104" s="286">
        <f t="shared" si="242"/>
        <v>3.7499999999999999E-3</v>
      </c>
      <c r="L104" s="287">
        <f t="shared" si="242"/>
        <v>4.2500000000000003E-4</v>
      </c>
      <c r="M104" s="288">
        <f t="shared" si="266"/>
        <v>0.95202700000000007</v>
      </c>
      <c r="N104" s="289">
        <f t="shared" si="267"/>
        <v>0.95202700000000007</v>
      </c>
      <c r="O104" s="950">
        <v>600000</v>
      </c>
      <c r="P104" s="951">
        <v>44648</v>
      </c>
      <c r="Q104" s="947">
        <v>44727</v>
      </c>
      <c r="R104" s="948">
        <v>1.026E-2</v>
      </c>
      <c r="S104" s="949">
        <v>20</v>
      </c>
      <c r="T104" s="591">
        <f t="shared" si="268"/>
        <v>51.3</v>
      </c>
      <c r="U104" s="591">
        <f t="shared" si="269"/>
        <v>1350.9</v>
      </c>
      <c r="V104" s="950">
        <v>646000</v>
      </c>
      <c r="W104" s="559">
        <f t="shared" si="270"/>
        <v>614734.89199999999</v>
      </c>
      <c r="X104" s="559">
        <f t="shared" si="271"/>
        <v>615009.44200000004</v>
      </c>
      <c r="Y104" s="289">
        <v>2.4390243902400001E-2</v>
      </c>
      <c r="Z104" s="560">
        <f t="shared" si="272"/>
        <v>599741.35804880445</v>
      </c>
      <c r="AA104" s="561">
        <f t="shared" si="273"/>
        <v>-309.94195119554644</v>
      </c>
      <c r="AB104" s="562">
        <f t="shared" si="274"/>
        <v>600009.21170734114</v>
      </c>
      <c r="AC104" s="561">
        <f t="shared" si="275"/>
        <v>-42.088292658864518</v>
      </c>
      <c r="AD104" s="952" t="e">
        <f t="shared" si="276"/>
        <v>#N/A</v>
      </c>
      <c r="AE104" s="564" t="e">
        <f t="shared" si="277"/>
        <v>#N/A</v>
      </c>
      <c r="AF104" s="290" t="e">
        <f t="shared" si="278"/>
        <v>#N/A</v>
      </c>
      <c r="AG104" s="953">
        <f t="shared" si="256"/>
        <v>0</v>
      </c>
      <c r="AH104" s="291" t="e">
        <f t="shared" si="256"/>
        <v>#N/A</v>
      </c>
      <c r="AI104" s="291" t="e">
        <f t="shared" si="256"/>
        <v>#N/A</v>
      </c>
      <c r="AJ104" s="291">
        <f t="shared" si="256"/>
        <v>2.3574804028052929</v>
      </c>
      <c r="AK104" s="292">
        <f t="shared" si="256"/>
        <v>41</v>
      </c>
      <c r="AL104" s="567" t="e">
        <f t="shared" si="279"/>
        <v>#N/A</v>
      </c>
      <c r="AM104" s="530">
        <f t="shared" si="280"/>
        <v>600000</v>
      </c>
      <c r="AN104" s="531">
        <v>0</v>
      </c>
      <c r="AO104" s="531">
        <f t="shared" si="281"/>
        <v>3.7499999999999997E-5</v>
      </c>
      <c r="AP104" s="531" t="e">
        <f t="shared" si="282"/>
        <v>#N/A</v>
      </c>
      <c r="AQ104" s="532" t="e">
        <f t="shared" si="283"/>
        <v>#N/A</v>
      </c>
      <c r="AR104" s="490">
        <f t="shared" si="284"/>
        <v>0.95160200000000006</v>
      </c>
      <c r="AS104" s="400">
        <v>1.0385550000000001</v>
      </c>
      <c r="AT104" s="400">
        <v>1.0385550000000001</v>
      </c>
      <c r="AU104" s="284" t="str">
        <f t="shared" si="285"/>
        <v>91282CCT6</v>
      </c>
      <c r="AV104" s="566" t="str">
        <f t="shared" si="264"/>
        <v>TNote</v>
      </c>
    </row>
    <row r="105" spans="1:48" s="765" customFormat="1" x14ac:dyDescent="0.25">
      <c r="A105" s="607" t="s">
        <v>947</v>
      </c>
      <c r="B105" s="555" t="s">
        <v>4579</v>
      </c>
      <c r="C105" s="555" t="str">
        <f t="shared" si="237"/>
        <v>US TREASURY N/B</v>
      </c>
      <c r="D105" s="555" t="str">
        <f t="shared" si="237"/>
        <v>US GOVERNMENT</v>
      </c>
      <c r="E105" s="283">
        <f t="shared" si="237"/>
        <v>31819000000</v>
      </c>
      <c r="F105" s="429" t="s">
        <v>939</v>
      </c>
      <c r="G105" s="429">
        <f t="shared" si="238"/>
        <v>45412</v>
      </c>
      <c r="H105" s="284" t="str">
        <f t="shared" si="239"/>
        <v>USG</v>
      </c>
      <c r="I105" s="284">
        <f t="shared" si="265"/>
        <v>0.99121099999999995</v>
      </c>
      <c r="J105" s="285">
        <f t="shared" si="241"/>
        <v>1</v>
      </c>
      <c r="K105" s="286">
        <f t="shared" si="242"/>
        <v>0.02</v>
      </c>
      <c r="L105" s="287">
        <f t="shared" si="242"/>
        <v>8.1767999999999997E-3</v>
      </c>
      <c r="M105" s="288">
        <f t="shared" si="266"/>
        <v>0.99938779999999994</v>
      </c>
      <c r="N105" s="289">
        <f t="shared" si="267"/>
        <v>0.99938779999999994</v>
      </c>
      <c r="O105" s="950">
        <v>6700000</v>
      </c>
      <c r="P105" s="951">
        <v>44635</v>
      </c>
      <c r="Q105" s="947">
        <v>44727</v>
      </c>
      <c r="R105" s="948">
        <v>1.026E-2</v>
      </c>
      <c r="S105" s="949">
        <v>20</v>
      </c>
      <c r="T105" s="591">
        <f t="shared" si="268"/>
        <v>3055.2</v>
      </c>
      <c r="U105" s="591">
        <f t="shared" si="269"/>
        <v>17567.400000000001</v>
      </c>
      <c r="V105" s="950">
        <v>6800000</v>
      </c>
      <c r="W105" s="559">
        <f t="shared" si="270"/>
        <v>6740234.7999999998</v>
      </c>
      <c r="X105" s="559">
        <f t="shared" si="271"/>
        <v>6795837.04</v>
      </c>
      <c r="Y105" s="289">
        <v>2.4390243902400001E-2</v>
      </c>
      <c r="Z105" s="560">
        <f t="shared" si="272"/>
        <v>6575838.8292685561</v>
      </c>
      <c r="AA105" s="561">
        <f t="shared" si="273"/>
        <v>-127216.37073144391</v>
      </c>
      <c r="AB105" s="562">
        <f t="shared" si="274"/>
        <v>6630084.9170734361</v>
      </c>
      <c r="AC105" s="561">
        <f t="shared" si="275"/>
        <v>-72970.282926563916</v>
      </c>
      <c r="AD105" s="952" t="e">
        <f t="shared" si="276"/>
        <v>#N/A</v>
      </c>
      <c r="AE105" s="564" t="e">
        <f t="shared" si="277"/>
        <v>#N/A</v>
      </c>
      <c r="AF105" s="290" t="e">
        <f t="shared" si="278"/>
        <v>#N/A</v>
      </c>
      <c r="AG105" s="953">
        <f t="shared" si="256"/>
        <v>0</v>
      </c>
      <c r="AH105" s="291" t="e">
        <f t="shared" si="256"/>
        <v>#N/A</v>
      </c>
      <c r="AI105" s="291" t="e">
        <f t="shared" si="256"/>
        <v>#N/A</v>
      </c>
      <c r="AJ105" s="291">
        <f t="shared" si="256"/>
        <v>2.0249946009890931</v>
      </c>
      <c r="AK105" s="292">
        <f t="shared" si="256"/>
        <v>148</v>
      </c>
      <c r="AL105" s="567" t="e">
        <f t="shared" si="279"/>
        <v>#N/A</v>
      </c>
      <c r="AM105" s="530">
        <f t="shared" si="280"/>
        <v>6700000</v>
      </c>
      <c r="AN105" s="531">
        <v>0</v>
      </c>
      <c r="AO105" s="531">
        <f t="shared" si="281"/>
        <v>2.0000000000000001E-4</v>
      </c>
      <c r="AP105" s="531" t="e">
        <f t="shared" si="282"/>
        <v>#N/A</v>
      </c>
      <c r="AQ105" s="532" t="e">
        <f t="shared" si="283"/>
        <v>#N/A</v>
      </c>
      <c r="AR105" s="490">
        <f t="shared" si="284"/>
        <v>0.99121099999999995</v>
      </c>
      <c r="AS105" s="400">
        <v>1.0385550000000001</v>
      </c>
      <c r="AT105" s="400">
        <v>1.0385550000000001</v>
      </c>
      <c r="AU105" s="284" t="str">
        <f t="shared" si="285"/>
        <v>912828X70</v>
      </c>
      <c r="AV105" s="566" t="str">
        <f t="shared" si="264"/>
        <v>TNOTE</v>
      </c>
    </row>
    <row r="106" spans="1:48" s="765" customFormat="1" x14ac:dyDescent="0.25">
      <c r="A106" s="607" t="s">
        <v>947</v>
      </c>
      <c r="B106" s="555" t="s">
        <v>2933</v>
      </c>
      <c r="C106" s="555" t="str">
        <f t="shared" si="237"/>
        <v>Southern Apple 2</v>
      </c>
      <c r="D106" s="555" t="str">
        <f t="shared" si="237"/>
        <v>DOMESTIC MTN</v>
      </c>
      <c r="E106" s="283">
        <f t="shared" si="237"/>
        <v>14000000</v>
      </c>
      <c r="F106" s="429" t="s">
        <v>939</v>
      </c>
      <c r="G106" s="429">
        <f t="shared" si="238"/>
        <v>47292</v>
      </c>
      <c r="H106" s="284" t="str">
        <f t="shared" si="239"/>
        <v>A</v>
      </c>
      <c r="I106" s="284">
        <f t="shared" si="265"/>
        <v>1</v>
      </c>
      <c r="J106" s="285">
        <f t="shared" si="241"/>
        <v>1</v>
      </c>
      <c r="K106" s="286">
        <f t="shared" si="242"/>
        <v>3.576E-2</v>
      </c>
      <c r="L106" s="287">
        <f t="shared" si="242"/>
        <v>5.9599999999999996E-4</v>
      </c>
      <c r="M106" s="288">
        <f t="shared" si="266"/>
        <v>1.000596</v>
      </c>
      <c r="N106" s="289">
        <f t="shared" si="267"/>
        <v>1.000596</v>
      </c>
      <c r="O106" s="950">
        <v>-1700000</v>
      </c>
      <c r="P106" s="951">
        <v>44642</v>
      </c>
      <c r="Q106" s="947">
        <v>44727</v>
      </c>
      <c r="R106" s="948">
        <v>3.576E-2</v>
      </c>
      <c r="S106" s="949">
        <v>275</v>
      </c>
      <c r="T106" s="591">
        <f t="shared" si="268"/>
        <v>-1519.8</v>
      </c>
      <c r="U106" s="591">
        <f t="shared" si="269"/>
        <v>-14353.666666666666</v>
      </c>
      <c r="V106" s="950">
        <v>-1700000</v>
      </c>
      <c r="W106" s="559">
        <f t="shared" si="270"/>
        <v>-1700000</v>
      </c>
      <c r="X106" s="559">
        <f t="shared" si="271"/>
        <v>-1701013.2</v>
      </c>
      <c r="Y106" s="289">
        <v>0</v>
      </c>
      <c r="Z106" s="560">
        <f t="shared" si="272"/>
        <v>-1700000</v>
      </c>
      <c r="AA106" s="561">
        <f t="shared" si="273"/>
        <v>1519.8</v>
      </c>
      <c r="AB106" s="562">
        <f t="shared" si="274"/>
        <v>-1701013.2</v>
      </c>
      <c r="AC106" s="561">
        <f t="shared" si="275"/>
        <v>506.60000000004652</v>
      </c>
      <c r="AD106" s="952" t="e">
        <f t="shared" si="276"/>
        <v>#N/A</v>
      </c>
      <c r="AE106" s="564" t="e">
        <f t="shared" si="277"/>
        <v>#N/A</v>
      </c>
      <c r="AF106" s="290" t="e">
        <f t="shared" si="278"/>
        <v>#N/A</v>
      </c>
      <c r="AG106" s="953">
        <f t="shared" si="256"/>
        <v>0</v>
      </c>
      <c r="AH106" s="291" t="e">
        <f t="shared" si="256"/>
        <v>#N/A</v>
      </c>
      <c r="AI106" s="291" t="e">
        <f t="shared" si="256"/>
        <v>#N/A</v>
      </c>
      <c r="AJ106" s="291">
        <f t="shared" si="256"/>
        <v>6.277905764667425</v>
      </c>
      <c r="AK106" s="292">
        <f t="shared" si="256"/>
        <v>5</v>
      </c>
      <c r="AL106" s="567" t="e">
        <f t="shared" si="279"/>
        <v>#N/A</v>
      </c>
      <c r="AM106" s="530">
        <f t="shared" si="280"/>
        <v>-1700000</v>
      </c>
      <c r="AN106" s="531">
        <v>0</v>
      </c>
      <c r="AO106" s="531">
        <f t="shared" si="281"/>
        <v>3.5760000000000002E-4</v>
      </c>
      <c r="AP106" s="531" t="e">
        <f t="shared" si="282"/>
        <v>#N/A</v>
      </c>
      <c r="AQ106" s="532" t="e">
        <f t="shared" si="283"/>
        <v>#N/A</v>
      </c>
      <c r="AR106" s="490">
        <f t="shared" si="284"/>
        <v>1</v>
      </c>
      <c r="AS106" s="400">
        <v>1.0385550000000001</v>
      </c>
      <c r="AT106" s="400">
        <v>1.0385550000000001</v>
      </c>
      <c r="AU106" s="284" t="str">
        <f t="shared" si="285"/>
        <v>STHAPPLE2</v>
      </c>
      <c r="AV106" s="566" t="str">
        <f t="shared" si="264"/>
        <v>ABSOTHER</v>
      </c>
    </row>
    <row r="107" spans="1:48" s="765" customFormat="1" x14ac:dyDescent="0.25">
      <c r="A107" s="607" t="s">
        <v>947</v>
      </c>
      <c r="B107" s="555" t="s">
        <v>4622</v>
      </c>
      <c r="C107" s="555" t="str">
        <f t="shared" si="237"/>
        <v>Lake Olive USD</v>
      </c>
      <c r="D107" s="555" t="str">
        <f t="shared" si="237"/>
        <v>EURO MTN</v>
      </c>
      <c r="E107" s="283">
        <f t="shared" si="237"/>
        <v>40600000</v>
      </c>
      <c r="F107" s="429" t="s">
        <v>939</v>
      </c>
      <c r="G107" s="429">
        <f t="shared" si="238"/>
        <v>47267</v>
      </c>
      <c r="H107" s="284" t="str">
        <f t="shared" si="239"/>
        <v>A</v>
      </c>
      <c r="I107" s="284">
        <f t="shared" si="265"/>
        <v>1</v>
      </c>
      <c r="J107" s="285">
        <f t="shared" si="241"/>
        <v>1</v>
      </c>
      <c r="K107" s="286">
        <f t="shared" si="242"/>
        <v>3.3259999999999998E-2</v>
      </c>
      <c r="L107" s="287">
        <f t="shared" si="242"/>
        <v>1.2010600000000001E-3</v>
      </c>
      <c r="M107" s="288">
        <f t="shared" si="266"/>
        <v>1.0012010600000001</v>
      </c>
      <c r="N107" s="289">
        <f t="shared" si="267"/>
        <v>1.0012010600000001</v>
      </c>
      <c r="O107" s="950">
        <v>-2200000</v>
      </c>
      <c r="P107" s="951">
        <v>44635</v>
      </c>
      <c r="Q107" s="947">
        <v>44727</v>
      </c>
      <c r="R107" s="948">
        <v>3.3259999999999998E-2</v>
      </c>
      <c r="S107" s="949">
        <v>250</v>
      </c>
      <c r="T107" s="591">
        <f t="shared" si="268"/>
        <v>-3252.088888888889</v>
      </c>
      <c r="U107" s="591">
        <f t="shared" si="269"/>
        <v>-18699.511111111111</v>
      </c>
      <c r="V107" s="950">
        <v>-2200000</v>
      </c>
      <c r="W107" s="559">
        <f t="shared" si="270"/>
        <v>-2200000</v>
      </c>
      <c r="X107" s="559">
        <f t="shared" si="271"/>
        <v>-2202642.3320000004</v>
      </c>
      <c r="Y107" s="289">
        <v>0</v>
      </c>
      <c r="Z107" s="560">
        <f t="shared" si="272"/>
        <v>-2200000</v>
      </c>
      <c r="AA107" s="561">
        <f t="shared" si="273"/>
        <v>3252.088888888889</v>
      </c>
      <c r="AB107" s="562">
        <f t="shared" si="274"/>
        <v>-2202642.3320000004</v>
      </c>
      <c r="AC107" s="561">
        <f t="shared" si="275"/>
        <v>609.75688888848663</v>
      </c>
      <c r="AD107" s="952" t="e">
        <f t="shared" si="276"/>
        <v>#N/A</v>
      </c>
      <c r="AE107" s="564" t="e">
        <f t="shared" si="277"/>
        <v>#N/A</v>
      </c>
      <c r="AF107" s="290" t="e">
        <f t="shared" si="278"/>
        <v>#N/A</v>
      </c>
      <c r="AG107" s="953">
        <f t="shared" si="256"/>
        <v>0</v>
      </c>
      <c r="AH107" s="291" t="e">
        <f t="shared" si="256"/>
        <v>#N/A</v>
      </c>
      <c r="AI107" s="291" t="e">
        <f t="shared" si="256"/>
        <v>#N/A</v>
      </c>
      <c r="AJ107" s="291">
        <f t="shared" si="256"/>
        <v>6.1773743727806281</v>
      </c>
      <c r="AK107" s="292">
        <f t="shared" si="256"/>
        <v>13</v>
      </c>
      <c r="AL107" s="567" t="e">
        <f t="shared" si="279"/>
        <v>#N/A</v>
      </c>
      <c r="AM107" s="530">
        <f t="shared" si="280"/>
        <v>-2200000</v>
      </c>
      <c r="AN107" s="531">
        <v>0</v>
      </c>
      <c r="AO107" s="531">
        <f t="shared" si="281"/>
        <v>3.3259999999999995E-4</v>
      </c>
      <c r="AP107" s="531" t="e">
        <f t="shared" si="282"/>
        <v>#N/A</v>
      </c>
      <c r="AQ107" s="532" t="e">
        <f t="shared" si="283"/>
        <v>#N/A</v>
      </c>
      <c r="AR107" s="490">
        <f t="shared" si="284"/>
        <v>1</v>
      </c>
      <c r="AS107" s="400">
        <v>1.0385550000000001</v>
      </c>
      <c r="AT107" s="400">
        <v>1.0385550000000001</v>
      </c>
      <c r="AU107" s="284" t="str">
        <f t="shared" si="285"/>
        <v>XS2373029664</v>
      </c>
      <c r="AV107" s="566" t="str">
        <f t="shared" si="264"/>
        <v>ABSOTHER</v>
      </c>
    </row>
    <row r="108" spans="1:48" s="765" customFormat="1" x14ac:dyDescent="0.25">
      <c r="A108" s="607" t="s">
        <v>947</v>
      </c>
      <c r="B108" s="555" t="s">
        <v>4579</v>
      </c>
      <c r="C108" s="555" t="str">
        <f t="shared" si="237"/>
        <v>US TREASURY N/B</v>
      </c>
      <c r="D108" s="555" t="str">
        <f t="shared" si="237"/>
        <v>US GOVERNMENT</v>
      </c>
      <c r="E108" s="283">
        <f t="shared" si="237"/>
        <v>31819000000</v>
      </c>
      <c r="F108" s="429" t="s">
        <v>939</v>
      </c>
      <c r="G108" s="429">
        <f t="shared" si="238"/>
        <v>45412</v>
      </c>
      <c r="H108" s="284" t="str">
        <f t="shared" si="239"/>
        <v>USG</v>
      </c>
      <c r="I108" s="284">
        <f t="shared" si="265"/>
        <v>0.99121099999999995</v>
      </c>
      <c r="J108" s="285">
        <f t="shared" si="241"/>
        <v>1</v>
      </c>
      <c r="K108" s="286">
        <f t="shared" si="242"/>
        <v>0.02</v>
      </c>
      <c r="L108" s="287">
        <f t="shared" si="242"/>
        <v>8.1767999999999997E-3</v>
      </c>
      <c r="M108" s="288">
        <f t="shared" si="266"/>
        <v>0.99938779999999994</v>
      </c>
      <c r="N108" s="289">
        <f t="shared" si="267"/>
        <v>0.99938779999999994</v>
      </c>
      <c r="O108" s="950">
        <v>216338781</v>
      </c>
      <c r="P108" s="951">
        <v>44637</v>
      </c>
      <c r="Q108" s="947">
        <v>44727</v>
      </c>
      <c r="R108" s="948">
        <v>1.026E-2</v>
      </c>
      <c r="S108" s="949">
        <v>0</v>
      </c>
      <c r="T108" s="591">
        <f t="shared" si="268"/>
        <v>86319.173619000008</v>
      </c>
      <c r="U108" s="591">
        <f t="shared" si="269"/>
        <v>554908.97326500004</v>
      </c>
      <c r="V108" s="950">
        <v>220000000</v>
      </c>
      <c r="W108" s="559">
        <f t="shared" si="270"/>
        <v>218066420</v>
      </c>
      <c r="X108" s="559">
        <f t="shared" si="271"/>
        <v>219865316</v>
      </c>
      <c r="Y108" s="289">
        <v>2.4390243902400001E-2</v>
      </c>
      <c r="Z108" s="560">
        <f t="shared" si="272"/>
        <v>212747726.8292768</v>
      </c>
      <c r="AA108" s="561">
        <f t="shared" si="273"/>
        <v>-3677373.3443422001</v>
      </c>
      <c r="AB108" s="562">
        <f t="shared" si="274"/>
        <v>214502747.31708175</v>
      </c>
      <c r="AC108" s="561">
        <f t="shared" si="275"/>
        <v>-1922352.8565372506</v>
      </c>
      <c r="AD108" s="952" t="e">
        <f t="shared" si="276"/>
        <v>#N/A</v>
      </c>
      <c r="AE108" s="564" t="e">
        <f t="shared" si="277"/>
        <v>#N/A</v>
      </c>
      <c r="AF108" s="290" t="e">
        <f t="shared" si="278"/>
        <v>#N/A</v>
      </c>
      <c r="AG108" s="953">
        <f t="shared" si="256"/>
        <v>0</v>
      </c>
      <c r="AH108" s="291" t="e">
        <f t="shared" si="256"/>
        <v>#N/A</v>
      </c>
      <c r="AI108" s="291" t="e">
        <f t="shared" si="256"/>
        <v>#N/A</v>
      </c>
      <c r="AJ108" s="291">
        <f t="shared" si="256"/>
        <v>2.0249946009890931</v>
      </c>
      <c r="AK108" s="292">
        <f t="shared" si="256"/>
        <v>148</v>
      </c>
      <c r="AL108" s="567" t="e">
        <f t="shared" si="279"/>
        <v>#N/A</v>
      </c>
      <c r="AM108" s="530">
        <f t="shared" si="280"/>
        <v>216338781</v>
      </c>
      <c r="AN108" s="531">
        <v>0</v>
      </c>
      <c r="AO108" s="531">
        <f t="shared" si="281"/>
        <v>2.0000000000000001E-4</v>
      </c>
      <c r="AP108" s="531" t="e">
        <f t="shared" si="282"/>
        <v>#N/A</v>
      </c>
      <c r="AQ108" s="532" t="e">
        <f t="shared" si="283"/>
        <v>#N/A</v>
      </c>
      <c r="AR108" s="490">
        <f t="shared" si="284"/>
        <v>0.99121099999999995</v>
      </c>
      <c r="AS108" s="400">
        <v>1.0385550000000001</v>
      </c>
      <c r="AT108" s="400">
        <v>1.0385550000000001</v>
      </c>
      <c r="AU108" s="284" t="str">
        <f t="shared" si="285"/>
        <v>912828X70</v>
      </c>
      <c r="AV108" s="566" t="str">
        <f t="shared" si="264"/>
        <v>TNOTE</v>
      </c>
    </row>
    <row r="109" spans="1:48" s="765" customFormat="1" x14ac:dyDescent="0.25">
      <c r="A109" s="607" t="s">
        <v>947</v>
      </c>
      <c r="B109" s="555" t="s">
        <v>2339</v>
      </c>
      <c r="C109" s="555" t="str">
        <f t="shared" si="237"/>
        <v>So Spruce Nts</v>
      </c>
      <c r="D109" s="555" t="str">
        <f t="shared" si="237"/>
        <v>DOMESTIC MTN</v>
      </c>
      <c r="E109" s="283">
        <f t="shared" si="237"/>
        <v>1893550</v>
      </c>
      <c r="F109" s="429" t="s">
        <v>939</v>
      </c>
      <c r="G109" s="429">
        <f t="shared" si="238"/>
        <v>47284</v>
      </c>
      <c r="H109" s="284" t="str">
        <f t="shared" si="239"/>
        <v>A</v>
      </c>
      <c r="I109" s="284">
        <f t="shared" si="265"/>
        <v>1</v>
      </c>
      <c r="J109" s="285">
        <f t="shared" si="241"/>
        <v>0.81873870999999998</v>
      </c>
      <c r="K109" s="286">
        <f t="shared" si="242"/>
        <v>3.3259999999999998E-2</v>
      </c>
      <c r="L109" s="287">
        <f t="shared" si="242"/>
        <v>1.2010600000000001E-3</v>
      </c>
      <c r="M109" s="288">
        <f t="shared" si="266"/>
        <v>1.0012010600000001</v>
      </c>
      <c r="N109" s="289">
        <f t="shared" si="267"/>
        <v>0.81972206431503269</v>
      </c>
      <c r="O109" s="950">
        <v>-9269566</v>
      </c>
      <c r="P109" s="951">
        <v>44635</v>
      </c>
      <c r="Q109" s="947">
        <v>44727</v>
      </c>
      <c r="R109" s="948">
        <v>3.3259999999999998E-2</v>
      </c>
      <c r="S109" s="949">
        <v>250</v>
      </c>
      <c r="T109" s="591">
        <f t="shared" si="268"/>
        <v>-13702.478451555553</v>
      </c>
      <c r="U109" s="591">
        <f t="shared" si="269"/>
        <v>-78789.251096444437</v>
      </c>
      <c r="V109" s="950">
        <v>-10848877</v>
      </c>
      <c r="W109" s="559">
        <f t="shared" si="270"/>
        <v>-8882395.5599286705</v>
      </c>
      <c r="X109" s="559">
        <f t="shared" si="271"/>
        <v>-8893063.849939879</v>
      </c>
      <c r="Y109" s="289">
        <v>0</v>
      </c>
      <c r="Z109" s="560">
        <f t="shared" si="272"/>
        <v>-8882395.5599286705</v>
      </c>
      <c r="AA109" s="561">
        <f t="shared" si="273"/>
        <v>400872.91852288501</v>
      </c>
      <c r="AB109" s="562">
        <f t="shared" si="274"/>
        <v>-8893063.849939879</v>
      </c>
      <c r="AC109" s="561">
        <f t="shared" si="275"/>
        <v>390204.62851167651</v>
      </c>
      <c r="AD109" s="952" t="e">
        <f t="shared" si="276"/>
        <v>#N/A</v>
      </c>
      <c r="AE109" s="564" t="e">
        <f t="shared" si="277"/>
        <v>#N/A</v>
      </c>
      <c r="AF109" s="290" t="e">
        <f t="shared" si="278"/>
        <v>#N/A</v>
      </c>
      <c r="AG109" s="953">
        <f t="shared" si="256"/>
        <v>0</v>
      </c>
      <c r="AH109" s="291" t="e">
        <f t="shared" si="256"/>
        <v>#N/A</v>
      </c>
      <c r="AI109" s="291" t="e">
        <f t="shared" si="256"/>
        <v>#N/A</v>
      </c>
      <c r="AJ109" s="291">
        <f t="shared" si="256"/>
        <v>6.3179000102097858</v>
      </c>
      <c r="AK109" s="292">
        <f t="shared" si="256"/>
        <v>13</v>
      </c>
      <c r="AL109" s="567" t="e">
        <f t="shared" si="279"/>
        <v>#N/A</v>
      </c>
      <c r="AM109" s="530">
        <f t="shared" si="280"/>
        <v>-9269566</v>
      </c>
      <c r="AN109" s="531">
        <v>0</v>
      </c>
      <c r="AO109" s="531">
        <f t="shared" si="281"/>
        <v>3.3259999999999995E-4</v>
      </c>
      <c r="AP109" s="531" t="e">
        <f t="shared" si="282"/>
        <v>#N/A</v>
      </c>
      <c r="AQ109" s="532" t="e">
        <f t="shared" si="283"/>
        <v>#N/A</v>
      </c>
      <c r="AR109" s="490">
        <f t="shared" si="284"/>
        <v>1</v>
      </c>
      <c r="AS109" s="400">
        <v>1.0385550000000001</v>
      </c>
      <c r="AT109" s="400">
        <v>1.0385550000000001</v>
      </c>
      <c r="AU109" s="284" t="str">
        <f t="shared" si="285"/>
        <v>XS2225938831</v>
      </c>
      <c r="AV109" s="566" t="str">
        <f t="shared" si="264"/>
        <v>ABSOTHER</v>
      </c>
    </row>
    <row r="110" spans="1:48" s="765" customFormat="1" x14ac:dyDescent="0.25">
      <c r="A110" s="607" t="s">
        <v>947</v>
      </c>
      <c r="B110" s="555" t="s">
        <v>4599</v>
      </c>
      <c r="C110" s="555" t="str">
        <f t="shared" si="237"/>
        <v>Mntn Cherry 1</v>
      </c>
      <c r="D110" s="555" t="str">
        <f t="shared" si="237"/>
        <v>DOMESTIC MTN</v>
      </c>
      <c r="E110" s="283">
        <f t="shared" si="237"/>
        <v>10000000</v>
      </c>
      <c r="F110" s="429" t="s">
        <v>939</v>
      </c>
      <c r="G110" s="429">
        <f t="shared" si="238"/>
        <v>47292</v>
      </c>
      <c r="H110" s="284" t="str">
        <f t="shared" si="239"/>
        <v>A</v>
      </c>
      <c r="I110" s="284">
        <f t="shared" si="265"/>
        <v>1</v>
      </c>
      <c r="J110" s="285">
        <f t="shared" si="241"/>
        <v>1</v>
      </c>
      <c r="K110" s="286">
        <f t="shared" si="242"/>
        <v>2.6657E-2</v>
      </c>
      <c r="L110" s="287">
        <f t="shared" si="242"/>
        <v>1.48094E-3</v>
      </c>
      <c r="M110" s="288">
        <f t="shared" si="266"/>
        <v>1.00148094</v>
      </c>
      <c r="N110" s="289">
        <f t="shared" si="267"/>
        <v>1.00148094</v>
      </c>
      <c r="O110" s="950">
        <v>-10000000</v>
      </c>
      <c r="P110" s="951">
        <v>44651</v>
      </c>
      <c r="Q110" s="947">
        <v>44680</v>
      </c>
      <c r="R110" s="948">
        <v>2.6657E-2</v>
      </c>
      <c r="S110" s="949">
        <v>235</v>
      </c>
      <c r="T110" s="591">
        <f t="shared" si="268"/>
        <v>0</v>
      </c>
      <c r="U110" s="591">
        <f t="shared" si="269"/>
        <v>-21473.694444444445</v>
      </c>
      <c r="V110" s="950">
        <v>-10000000</v>
      </c>
      <c r="W110" s="559">
        <f t="shared" si="270"/>
        <v>-10000000</v>
      </c>
      <c r="X110" s="559">
        <f t="shared" si="271"/>
        <v>-10014809.4</v>
      </c>
      <c r="Y110" s="289">
        <v>0</v>
      </c>
      <c r="Z110" s="560">
        <f t="shared" si="272"/>
        <v>-10000000</v>
      </c>
      <c r="AA110" s="561">
        <f t="shared" si="273"/>
        <v>0</v>
      </c>
      <c r="AB110" s="562">
        <f t="shared" si="274"/>
        <v>-10014809.4</v>
      </c>
      <c r="AC110" s="561">
        <f t="shared" si="275"/>
        <v>-14809.400000000373</v>
      </c>
      <c r="AD110" s="952" t="e">
        <f t="shared" si="276"/>
        <v>#N/A</v>
      </c>
      <c r="AE110" s="564" t="e">
        <f t="shared" si="277"/>
        <v>#N/A</v>
      </c>
      <c r="AF110" s="290" t="e">
        <f t="shared" si="278"/>
        <v>#N/A</v>
      </c>
      <c r="AG110" s="953">
        <f t="shared" si="256"/>
        <v>0</v>
      </c>
      <c r="AH110" s="291" t="e">
        <f t="shared" si="256"/>
        <v>#N/A</v>
      </c>
      <c r="AI110" s="291" t="e">
        <f t="shared" si="256"/>
        <v>#N/A</v>
      </c>
      <c r="AJ110" s="291">
        <f t="shared" si="256"/>
        <v>6.4972345664118629</v>
      </c>
      <c r="AK110" s="292">
        <f t="shared" si="256"/>
        <v>19</v>
      </c>
      <c r="AL110" s="567" t="e">
        <f t="shared" si="279"/>
        <v>#N/A</v>
      </c>
      <c r="AM110" s="530">
        <f t="shared" si="280"/>
        <v>-10000000</v>
      </c>
      <c r="AN110" s="531">
        <v>0</v>
      </c>
      <c r="AO110" s="531">
        <f t="shared" si="281"/>
        <v>2.6656999999999999E-4</v>
      </c>
      <c r="AP110" s="531" t="e">
        <f t="shared" si="282"/>
        <v>#N/A</v>
      </c>
      <c r="AQ110" s="532" t="e">
        <f t="shared" si="283"/>
        <v>#N/A</v>
      </c>
      <c r="AR110" s="490">
        <f t="shared" si="284"/>
        <v>1</v>
      </c>
      <c r="AS110" s="400">
        <v>1.0385550000000001</v>
      </c>
      <c r="AT110" s="400">
        <v>1.0385550000000001</v>
      </c>
      <c r="AU110" s="284" t="str">
        <f t="shared" si="285"/>
        <v>MNTNCHRY1</v>
      </c>
      <c r="AV110" s="566" t="str">
        <f t="shared" si="264"/>
        <v>ABSOTHER</v>
      </c>
    </row>
    <row r="111" spans="1:48" s="765" customFormat="1" x14ac:dyDescent="0.25">
      <c r="A111" s="607" t="s">
        <v>947</v>
      </c>
      <c r="B111" s="555" t="s">
        <v>3011</v>
      </c>
      <c r="C111" s="555" t="str">
        <f t="shared" si="237"/>
        <v>Southern Apple 1</v>
      </c>
      <c r="D111" s="555" t="str">
        <f t="shared" si="237"/>
        <v>DOMESTIC MTN</v>
      </c>
      <c r="E111" s="283">
        <f t="shared" si="237"/>
        <v>14000000</v>
      </c>
      <c r="F111" s="429" t="s">
        <v>939</v>
      </c>
      <c r="G111" s="429">
        <f t="shared" si="238"/>
        <v>47292</v>
      </c>
      <c r="H111" s="284" t="str">
        <f t="shared" si="239"/>
        <v>A</v>
      </c>
      <c r="I111" s="284">
        <f t="shared" si="265"/>
        <v>1</v>
      </c>
      <c r="J111" s="285">
        <f t="shared" si="241"/>
        <v>1</v>
      </c>
      <c r="K111" s="286">
        <f t="shared" si="242"/>
        <v>3.576E-2</v>
      </c>
      <c r="L111" s="287">
        <f t="shared" si="242"/>
        <v>4.5693299999999999E-3</v>
      </c>
      <c r="M111" s="288">
        <f t="shared" si="266"/>
        <v>1.00456933</v>
      </c>
      <c r="N111" s="289">
        <f t="shared" si="267"/>
        <v>1.00456933</v>
      </c>
      <c r="O111" s="950">
        <v>-13400000</v>
      </c>
      <c r="P111" s="951">
        <v>44635</v>
      </c>
      <c r="Q111" s="947">
        <v>44727</v>
      </c>
      <c r="R111" s="948">
        <v>3.576E-2</v>
      </c>
      <c r="S111" s="949">
        <v>275</v>
      </c>
      <c r="T111" s="591">
        <f t="shared" si="268"/>
        <v>-21297.066666666666</v>
      </c>
      <c r="U111" s="591">
        <f t="shared" si="269"/>
        <v>-122458.13333333333</v>
      </c>
      <c r="V111" s="950">
        <v>-13400000</v>
      </c>
      <c r="W111" s="559">
        <f t="shared" si="270"/>
        <v>-13400000</v>
      </c>
      <c r="X111" s="559">
        <f t="shared" si="271"/>
        <v>-13461229.022</v>
      </c>
      <c r="Y111" s="289">
        <v>0</v>
      </c>
      <c r="Z111" s="560">
        <f t="shared" si="272"/>
        <v>-13400000</v>
      </c>
      <c r="AA111" s="561">
        <f t="shared" si="273"/>
        <v>21297.066666666666</v>
      </c>
      <c r="AB111" s="562">
        <f t="shared" si="274"/>
        <v>-13461229.022</v>
      </c>
      <c r="AC111" s="561">
        <f t="shared" si="275"/>
        <v>-39931.955333333215</v>
      </c>
      <c r="AD111" s="952" t="e">
        <f t="shared" si="276"/>
        <v>#N/A</v>
      </c>
      <c r="AE111" s="564" t="e">
        <f t="shared" si="277"/>
        <v>#N/A</v>
      </c>
      <c r="AF111" s="290" t="e">
        <f t="shared" si="278"/>
        <v>#N/A</v>
      </c>
      <c r="AG111" s="953">
        <f t="shared" si="256"/>
        <v>0</v>
      </c>
      <c r="AH111" s="291" t="e">
        <f t="shared" si="256"/>
        <v>#N/A</v>
      </c>
      <c r="AI111" s="291" t="e">
        <f t="shared" si="256"/>
        <v>#N/A</v>
      </c>
      <c r="AJ111" s="291">
        <f t="shared" si="256"/>
        <v>6.2500397541353214</v>
      </c>
      <c r="AK111" s="292">
        <f t="shared" si="256"/>
        <v>45</v>
      </c>
      <c r="AL111" s="567" t="e">
        <f t="shared" si="279"/>
        <v>#N/A</v>
      </c>
      <c r="AM111" s="530">
        <f t="shared" si="280"/>
        <v>-13400000</v>
      </c>
      <c r="AN111" s="531">
        <v>0</v>
      </c>
      <c r="AO111" s="531">
        <f t="shared" si="281"/>
        <v>3.5760000000000002E-4</v>
      </c>
      <c r="AP111" s="531" t="e">
        <f t="shared" si="282"/>
        <v>#N/A</v>
      </c>
      <c r="AQ111" s="532" t="e">
        <f t="shared" si="283"/>
        <v>#N/A</v>
      </c>
      <c r="AR111" s="490">
        <f t="shared" si="284"/>
        <v>1</v>
      </c>
      <c r="AS111" s="400">
        <v>1.0385550000000001</v>
      </c>
      <c r="AT111" s="400">
        <v>1.0385550000000001</v>
      </c>
      <c r="AU111" s="284" t="str">
        <f t="shared" si="285"/>
        <v>STHAPPLE1</v>
      </c>
      <c r="AV111" s="566" t="str">
        <f t="shared" si="264"/>
        <v>ABSOTHER</v>
      </c>
    </row>
    <row r="112" spans="1:48" s="765" customFormat="1" x14ac:dyDescent="0.25">
      <c r="A112" s="607" t="s">
        <v>947</v>
      </c>
      <c r="B112" s="555" t="s">
        <v>2982</v>
      </c>
      <c r="C112" s="555" t="str">
        <f t="shared" si="237"/>
        <v>South'n Almnd U1</v>
      </c>
      <c r="D112" s="555" t="str">
        <f t="shared" si="237"/>
        <v>DOMESTIC MTN</v>
      </c>
      <c r="E112" s="283">
        <f t="shared" si="237"/>
        <v>25000000</v>
      </c>
      <c r="F112" s="429" t="s">
        <v>939</v>
      </c>
      <c r="G112" s="429">
        <f t="shared" si="238"/>
        <v>47292</v>
      </c>
      <c r="H112" s="284" t="str">
        <f t="shared" si="239"/>
        <v>A</v>
      </c>
      <c r="I112" s="284">
        <f t="shared" si="265"/>
        <v>1</v>
      </c>
      <c r="J112" s="285">
        <f t="shared" si="241"/>
        <v>1</v>
      </c>
      <c r="K112" s="286">
        <f t="shared" si="242"/>
        <v>5.4760000000000003E-2</v>
      </c>
      <c r="L112" s="287">
        <f t="shared" si="242"/>
        <v>1.97744E-3</v>
      </c>
      <c r="M112" s="288">
        <f t="shared" si="266"/>
        <v>1.0019774400000001</v>
      </c>
      <c r="N112" s="289">
        <f t="shared" si="267"/>
        <v>1.0019774400000001</v>
      </c>
      <c r="O112" s="950">
        <v>-24432976</v>
      </c>
      <c r="P112" s="951">
        <v>44635</v>
      </c>
      <c r="Q112" s="947">
        <v>44727</v>
      </c>
      <c r="R112" s="948">
        <v>5.4760000000000003E-2</v>
      </c>
      <c r="S112" s="949">
        <v>465</v>
      </c>
      <c r="T112" s="591">
        <f t="shared" si="268"/>
        <v>-59464.434033777783</v>
      </c>
      <c r="U112" s="591">
        <f t="shared" si="269"/>
        <v>-341920.49569422228</v>
      </c>
      <c r="V112" s="950">
        <v>-24432976</v>
      </c>
      <c r="W112" s="559">
        <f t="shared" si="270"/>
        <v>-24432976</v>
      </c>
      <c r="X112" s="559">
        <f t="shared" si="271"/>
        <v>-24481290.744061444</v>
      </c>
      <c r="Y112" s="289">
        <v>0</v>
      </c>
      <c r="Z112" s="560">
        <f t="shared" si="272"/>
        <v>-24432976</v>
      </c>
      <c r="AA112" s="561">
        <f t="shared" si="273"/>
        <v>59464.434033777783</v>
      </c>
      <c r="AB112" s="562">
        <f t="shared" si="274"/>
        <v>-24481290.744061444</v>
      </c>
      <c r="AC112" s="561">
        <f t="shared" si="275"/>
        <v>11149.689972333828</v>
      </c>
      <c r="AD112" s="952" t="e">
        <f t="shared" si="276"/>
        <v>#N/A</v>
      </c>
      <c r="AE112" s="564" t="e">
        <f t="shared" si="277"/>
        <v>#N/A</v>
      </c>
      <c r="AF112" s="290" t="e">
        <f t="shared" si="278"/>
        <v>#N/A</v>
      </c>
      <c r="AG112" s="953">
        <f t="shared" si="256"/>
        <v>0</v>
      </c>
      <c r="AH112" s="291" t="e">
        <f t="shared" si="256"/>
        <v>#N/A</v>
      </c>
      <c r="AI112" s="291" t="e">
        <f t="shared" si="256"/>
        <v>#N/A</v>
      </c>
      <c r="AJ112" s="291">
        <f t="shared" si="256"/>
        <v>5.8314419064431018</v>
      </c>
      <c r="AK112" s="292">
        <f t="shared" si="256"/>
        <v>12</v>
      </c>
      <c r="AL112" s="567" t="e">
        <f t="shared" si="279"/>
        <v>#N/A</v>
      </c>
      <c r="AM112" s="530">
        <f t="shared" si="280"/>
        <v>-24432976</v>
      </c>
      <c r="AN112" s="531">
        <v>0</v>
      </c>
      <c r="AO112" s="531">
        <f t="shared" si="281"/>
        <v>5.4760000000000008E-4</v>
      </c>
      <c r="AP112" s="531" t="e">
        <f t="shared" si="282"/>
        <v>#N/A</v>
      </c>
      <c r="AQ112" s="532" t="e">
        <f t="shared" si="283"/>
        <v>#N/A</v>
      </c>
      <c r="AR112" s="490">
        <f t="shared" si="284"/>
        <v>1</v>
      </c>
      <c r="AS112" s="400">
        <v>1.0385550000000001</v>
      </c>
      <c r="AT112" s="400">
        <v>1.0385550000000001</v>
      </c>
      <c r="AU112" s="284" t="str">
        <f t="shared" si="285"/>
        <v>ALMNDUSD1</v>
      </c>
      <c r="AV112" s="566" t="str">
        <f t="shared" si="264"/>
        <v>ABSOTHER</v>
      </c>
    </row>
    <row r="113" spans="1:50" s="765" customFormat="1" x14ac:dyDescent="0.25">
      <c r="A113" s="607" t="s">
        <v>947</v>
      </c>
      <c r="B113" s="555" t="s">
        <v>1695</v>
      </c>
      <c r="C113" s="555" t="str">
        <f t="shared" si="237"/>
        <v>Pacific Fir</v>
      </c>
      <c r="D113" s="555" t="str">
        <f t="shared" si="237"/>
        <v>DOMESTIC MTN</v>
      </c>
      <c r="E113" s="283">
        <f t="shared" si="237"/>
        <v>36600000</v>
      </c>
      <c r="F113" s="429" t="s">
        <v>939</v>
      </c>
      <c r="G113" s="429">
        <f t="shared" si="238"/>
        <v>47557</v>
      </c>
      <c r="H113" s="284" t="str">
        <f t="shared" si="239"/>
        <v>A</v>
      </c>
      <c r="I113" s="284">
        <f t="shared" si="265"/>
        <v>1</v>
      </c>
      <c r="J113" s="285">
        <f t="shared" si="241"/>
        <v>1</v>
      </c>
      <c r="K113" s="286">
        <f t="shared" si="242"/>
        <v>3.1009999999999999E-2</v>
      </c>
      <c r="L113" s="287">
        <f t="shared" si="242"/>
        <v>1.1198099999999999E-3</v>
      </c>
      <c r="M113" s="288">
        <f t="shared" si="266"/>
        <v>1.0011198100000001</v>
      </c>
      <c r="N113" s="289">
        <f t="shared" si="267"/>
        <v>1.0011198100000001</v>
      </c>
      <c r="O113" s="950">
        <v>-44350150</v>
      </c>
      <c r="P113" s="951">
        <v>44635</v>
      </c>
      <c r="Q113" s="947">
        <v>44727</v>
      </c>
      <c r="R113" s="948">
        <v>3.1009999999999999E-2</v>
      </c>
      <c r="S113" s="949">
        <v>227.5</v>
      </c>
      <c r="T113" s="591">
        <f t="shared" si="268"/>
        <v>-61124.362288888886</v>
      </c>
      <c r="U113" s="591">
        <f t="shared" si="269"/>
        <v>-351465.08316111111</v>
      </c>
      <c r="V113" s="950">
        <v>-44350150</v>
      </c>
      <c r="W113" s="559">
        <f t="shared" si="270"/>
        <v>-44350150</v>
      </c>
      <c r="X113" s="559">
        <f t="shared" si="271"/>
        <v>-44399813.741471499</v>
      </c>
      <c r="Y113" s="289">
        <v>0</v>
      </c>
      <c r="Z113" s="560">
        <f t="shared" si="272"/>
        <v>-44350150</v>
      </c>
      <c r="AA113" s="561">
        <f t="shared" si="273"/>
        <v>61124.362288888886</v>
      </c>
      <c r="AB113" s="562">
        <f t="shared" si="274"/>
        <v>-44399813.741471499</v>
      </c>
      <c r="AC113" s="561">
        <f t="shared" si="275"/>
        <v>11460.620817389681</v>
      </c>
      <c r="AD113" s="952" t="e">
        <f t="shared" si="276"/>
        <v>#N/A</v>
      </c>
      <c r="AE113" s="564" t="e">
        <f t="shared" si="277"/>
        <v>#N/A</v>
      </c>
      <c r="AF113" s="290" t="e">
        <f t="shared" si="278"/>
        <v>#N/A</v>
      </c>
      <c r="AG113" s="953">
        <f t="shared" si="256"/>
        <v>0</v>
      </c>
      <c r="AH113" s="291" t="e">
        <f t="shared" si="256"/>
        <v>#N/A</v>
      </c>
      <c r="AI113" s="291" t="e">
        <f t="shared" si="256"/>
        <v>#N/A</v>
      </c>
      <c r="AJ113" s="291">
        <f t="shared" si="256"/>
        <v>6.9572809370983784</v>
      </c>
      <c r="AK113" s="292">
        <f t="shared" si="256"/>
        <v>13</v>
      </c>
      <c r="AL113" s="567" t="e">
        <f t="shared" si="279"/>
        <v>#N/A</v>
      </c>
      <c r="AM113" s="530">
        <f t="shared" si="280"/>
        <v>-44350150</v>
      </c>
      <c r="AN113" s="531">
        <v>0</v>
      </c>
      <c r="AO113" s="531">
        <f t="shared" si="281"/>
        <v>3.101E-4</v>
      </c>
      <c r="AP113" s="531" t="e">
        <f t="shared" si="282"/>
        <v>#N/A</v>
      </c>
      <c r="AQ113" s="532" t="e">
        <f t="shared" si="283"/>
        <v>#N/A</v>
      </c>
      <c r="AR113" s="490">
        <f t="shared" si="284"/>
        <v>1</v>
      </c>
      <c r="AS113" s="400">
        <v>1.0385550000000001</v>
      </c>
      <c r="AT113" s="400">
        <v>1.0385550000000001</v>
      </c>
      <c r="AU113" s="284" t="str">
        <f t="shared" si="285"/>
        <v>XS2091648928</v>
      </c>
      <c r="AV113" s="566" t="str">
        <f t="shared" si="264"/>
        <v>ABSOTHER</v>
      </c>
    </row>
    <row r="114" spans="1:50" s="765" customFormat="1" x14ac:dyDescent="0.25">
      <c r="A114" s="607" t="s">
        <v>947</v>
      </c>
      <c r="B114" s="555" t="s">
        <v>1560</v>
      </c>
      <c r="C114" s="555" t="str">
        <f t="shared" si="237"/>
        <v>Eastern Elm</v>
      </c>
      <c r="D114" s="555" t="str">
        <f t="shared" si="237"/>
        <v>DOMESTIC MTN</v>
      </c>
      <c r="E114" s="283">
        <f t="shared" si="237"/>
        <v>187500000</v>
      </c>
      <c r="F114" s="429" t="s">
        <v>939</v>
      </c>
      <c r="G114" s="429">
        <f t="shared" si="238"/>
        <v>47192</v>
      </c>
      <c r="H114" s="284" t="str">
        <f t="shared" si="239"/>
        <v>A</v>
      </c>
      <c r="I114" s="284">
        <f t="shared" si="265"/>
        <v>1</v>
      </c>
      <c r="J114" s="285">
        <f t="shared" si="241"/>
        <v>0.95397367900000007</v>
      </c>
      <c r="K114" s="286">
        <f t="shared" si="242"/>
        <v>3.0759999999999999E-2</v>
      </c>
      <c r="L114" s="287">
        <f t="shared" si="242"/>
        <v>1.11078E-3</v>
      </c>
      <c r="M114" s="288">
        <f t="shared" si="266"/>
        <v>1.0011107800000001</v>
      </c>
      <c r="N114" s="289">
        <f t="shared" si="267"/>
        <v>0.95503333388315981</v>
      </c>
      <c r="O114" s="950">
        <v>-118886089</v>
      </c>
      <c r="P114" s="951">
        <v>44635</v>
      </c>
      <c r="Q114" s="947">
        <v>44727</v>
      </c>
      <c r="R114" s="948">
        <v>3.0759999999999999E-2</v>
      </c>
      <c r="S114" s="949">
        <v>225</v>
      </c>
      <c r="T114" s="591">
        <f t="shared" si="268"/>
        <v>-162530.49322844442</v>
      </c>
      <c r="U114" s="591">
        <f t="shared" si="269"/>
        <v>-934550.33606355556</v>
      </c>
      <c r="V114" s="950">
        <v>-124621986</v>
      </c>
      <c r="W114" s="559">
        <f t="shared" si="270"/>
        <v>-118886094.4687065</v>
      </c>
      <c r="X114" s="559">
        <f t="shared" si="271"/>
        <v>-119018150.76472047</v>
      </c>
      <c r="Y114" s="289">
        <v>0</v>
      </c>
      <c r="Z114" s="560">
        <f t="shared" si="272"/>
        <v>-118886094.4687065</v>
      </c>
      <c r="AA114" s="561">
        <f t="shared" si="273"/>
        <v>162525.02452194091</v>
      </c>
      <c r="AB114" s="562">
        <f t="shared" si="274"/>
        <v>-119018150.76472047</v>
      </c>
      <c r="AC114" s="561">
        <f t="shared" si="275"/>
        <v>30468.728507974709</v>
      </c>
      <c r="AD114" s="952" t="e">
        <f t="shared" si="276"/>
        <v>#N/A</v>
      </c>
      <c r="AE114" s="564" t="e">
        <f t="shared" si="277"/>
        <v>#N/A</v>
      </c>
      <c r="AF114" s="290" t="e">
        <f t="shared" si="278"/>
        <v>#N/A</v>
      </c>
      <c r="AG114" s="953">
        <f t="shared" si="256"/>
        <v>0</v>
      </c>
      <c r="AH114" s="291" t="e">
        <f t="shared" si="256"/>
        <v>#N/A</v>
      </c>
      <c r="AI114" s="291" t="e">
        <f t="shared" si="256"/>
        <v>#N/A</v>
      </c>
      <c r="AJ114" s="291">
        <f t="shared" si="256"/>
        <v>6.1818696066593084</v>
      </c>
      <c r="AK114" s="292">
        <f t="shared" si="256"/>
        <v>12</v>
      </c>
      <c r="AL114" s="567" t="e">
        <f t="shared" si="279"/>
        <v>#N/A</v>
      </c>
      <c r="AM114" s="530">
        <f t="shared" si="280"/>
        <v>-118886089</v>
      </c>
      <c r="AN114" s="531">
        <v>0</v>
      </c>
      <c r="AO114" s="531">
        <f t="shared" si="281"/>
        <v>3.076E-4</v>
      </c>
      <c r="AP114" s="531" t="e">
        <f t="shared" si="282"/>
        <v>#N/A</v>
      </c>
      <c r="AQ114" s="532" t="e">
        <f t="shared" si="283"/>
        <v>#N/A</v>
      </c>
      <c r="AR114" s="490">
        <f t="shared" si="284"/>
        <v>1</v>
      </c>
      <c r="AS114" s="400">
        <v>1.0385550000000001</v>
      </c>
      <c r="AT114" s="400">
        <v>1.0385550000000001</v>
      </c>
      <c r="AU114" s="284" t="str">
        <f t="shared" si="285"/>
        <v>XS1951177309</v>
      </c>
      <c r="AV114" s="566" t="str">
        <f t="shared" si="264"/>
        <v>ABSOTHER</v>
      </c>
    </row>
    <row r="115" spans="1:50" ht="15.75" thickBot="1" x14ac:dyDescent="0.3">
      <c r="A115" s="608" t="s">
        <v>947</v>
      </c>
      <c r="B115" s="568" t="s">
        <v>607</v>
      </c>
      <c r="C115" s="568" t="str">
        <f t="shared" si="237"/>
        <v>US TREASURY</v>
      </c>
      <c r="D115" s="568" t="str">
        <f t="shared" si="237"/>
        <v>CASH</v>
      </c>
      <c r="E115" s="222">
        <f t="shared" si="237"/>
        <v>1</v>
      </c>
      <c r="F115" s="430" t="s">
        <v>939</v>
      </c>
      <c r="G115" s="430">
        <f t="shared" si="238"/>
        <v>73050</v>
      </c>
      <c r="H115" s="223" t="str">
        <f t="shared" si="239"/>
        <v>USG</v>
      </c>
      <c r="I115" s="223">
        <f t="shared" si="265"/>
        <v>1</v>
      </c>
      <c r="J115" s="224">
        <f t="shared" si="241"/>
        <v>1</v>
      </c>
      <c r="K115" s="281">
        <f t="shared" si="242"/>
        <v>0</v>
      </c>
      <c r="L115" s="225">
        <f t="shared" si="242"/>
        <v>0</v>
      </c>
      <c r="M115" s="226">
        <f t="shared" si="266"/>
        <v>1</v>
      </c>
      <c r="N115" s="227">
        <f t="shared" si="267"/>
        <v>1</v>
      </c>
      <c r="O115" s="569">
        <v>390609</v>
      </c>
      <c r="P115" s="570">
        <v>44650</v>
      </c>
      <c r="Q115" s="571">
        <v>44650</v>
      </c>
      <c r="R115" s="587">
        <v>3.3259999999999998E-2</v>
      </c>
      <c r="S115" s="835">
        <v>0</v>
      </c>
      <c r="T115" s="592">
        <f t="shared" si="268"/>
        <v>36.087931499999996</v>
      </c>
      <c r="U115" s="592">
        <f t="shared" si="269"/>
        <v>0</v>
      </c>
      <c r="V115" s="569">
        <v>390609</v>
      </c>
      <c r="W115" s="572">
        <f t="shared" si="270"/>
        <v>390609</v>
      </c>
      <c r="X115" s="572">
        <f t="shared" si="271"/>
        <v>390609</v>
      </c>
      <c r="Y115" s="227">
        <v>0</v>
      </c>
      <c r="Z115" s="573">
        <f t="shared" si="272"/>
        <v>390609</v>
      </c>
      <c r="AA115" s="574">
        <f t="shared" si="273"/>
        <v>-36.087931499999996</v>
      </c>
      <c r="AB115" s="575">
        <f t="shared" si="274"/>
        <v>390609</v>
      </c>
      <c r="AC115" s="574">
        <f t="shared" si="275"/>
        <v>-36.087931499999996</v>
      </c>
      <c r="AD115" s="576">
        <f t="shared" si="276"/>
        <v>0</v>
      </c>
      <c r="AE115" s="577">
        <f t="shared" si="277"/>
        <v>0</v>
      </c>
      <c r="AF115" s="228">
        <f t="shared" si="278"/>
        <v>0</v>
      </c>
      <c r="AG115" s="229">
        <f t="shared" si="256"/>
        <v>0</v>
      </c>
      <c r="AH115" s="230" t="e">
        <f t="shared" si="256"/>
        <v>#N/A</v>
      </c>
      <c r="AI115" s="230" t="e">
        <f t="shared" si="256"/>
        <v>#N/A</v>
      </c>
      <c r="AJ115" s="230">
        <f t="shared" si="256"/>
        <v>2.7397200000000002E-3</v>
      </c>
      <c r="AK115" s="234">
        <f t="shared" si="256"/>
        <v>0</v>
      </c>
      <c r="AL115" s="578">
        <f t="shared" si="279"/>
        <v>390609</v>
      </c>
      <c r="AM115" s="545">
        <f t="shared" si="280"/>
        <v>390609</v>
      </c>
      <c r="AN115" s="546">
        <v>0</v>
      </c>
      <c r="AO115" s="546">
        <f t="shared" si="281"/>
        <v>0</v>
      </c>
      <c r="AP115" s="546">
        <f t="shared" si="282"/>
        <v>0</v>
      </c>
      <c r="AQ115" s="547">
        <f t="shared" si="283"/>
        <v>0</v>
      </c>
      <c r="AR115" s="491">
        <f t="shared" si="284"/>
        <v>1</v>
      </c>
      <c r="AS115" s="401">
        <v>1.0385550000000001</v>
      </c>
      <c r="AT115" s="401">
        <v>1.0385550000000001</v>
      </c>
      <c r="AU115" s="223" t="str">
        <f t="shared" si="285"/>
        <v>CASHUSD01</v>
      </c>
      <c r="AV115" s="579" t="str">
        <f t="shared" si="264"/>
        <v>CASH</v>
      </c>
    </row>
    <row r="116" spans="1:50" ht="16.5" thickTop="1" thickBot="1" x14ac:dyDescent="0.3">
      <c r="A116" s="639">
        <v>67722</v>
      </c>
      <c r="B116" s="601" t="s">
        <v>982</v>
      </c>
      <c r="C116" s="601"/>
      <c r="D116" s="601"/>
      <c r="E116" s="519"/>
      <c r="F116" s="387"/>
      <c r="G116" s="387"/>
      <c r="H116" s="387"/>
      <c r="I116" s="387"/>
      <c r="J116" s="387"/>
      <c r="K116" s="551"/>
      <c r="L116" s="387"/>
      <c r="M116" s="387"/>
      <c r="N116" s="387"/>
      <c r="O116" s="387"/>
      <c r="P116" s="355"/>
      <c r="Q116" s="355"/>
      <c r="R116" s="484"/>
      <c r="S116" s="420"/>
      <c r="T116" s="593"/>
      <c r="U116" s="593"/>
      <c r="V116" s="387"/>
      <c r="W116" s="387"/>
      <c r="X116" s="387"/>
      <c r="Y116" s="220"/>
      <c r="Z116" s="387"/>
      <c r="AA116" s="387"/>
      <c r="AB116" s="387"/>
      <c r="AC116" s="387"/>
      <c r="AD116" s="221"/>
      <c r="AE116" s="580"/>
      <c r="AF116" s="387"/>
      <c r="AG116" s="387"/>
      <c r="AH116" s="387"/>
      <c r="AI116" s="387"/>
      <c r="AJ116" s="387"/>
      <c r="AK116" s="235"/>
      <c r="AL116" s="581"/>
      <c r="AM116" s="387"/>
      <c r="AN116" s="387"/>
      <c r="AO116" s="387"/>
      <c r="AP116" s="387"/>
      <c r="AQ116" s="387"/>
      <c r="AR116" s="582"/>
      <c r="AS116" s="583"/>
      <c r="AT116" s="583"/>
      <c r="AU116" s="387"/>
      <c r="AV116" s="584"/>
    </row>
    <row r="117" spans="1:50" x14ac:dyDescent="0.25">
      <c r="A117" s="609" t="s">
        <v>982</v>
      </c>
      <c r="B117" s="520" t="s">
        <v>4509</v>
      </c>
      <c r="C117" s="520" t="str">
        <f t="shared" ref="C117:E125" si="286">VLOOKUP($B117,BondData,HLOOKUP(C$48,BD_Headings,2,FALSE),FALSE)</f>
        <v>Hex Zeta 2</v>
      </c>
      <c r="D117" s="520" t="str">
        <f t="shared" si="286"/>
        <v>EURO MTN</v>
      </c>
      <c r="E117" s="236">
        <f t="shared" si="286"/>
        <v>3808000</v>
      </c>
      <c r="F117" s="428" t="s">
        <v>948</v>
      </c>
      <c r="G117" s="428">
        <f t="shared" ref="G117:G125" si="287">DATEVALUE(VLOOKUP($B117,BondData,HLOOKUP(G$48,BD_Headings,2,FALSE),FALSE))</f>
        <v>47018</v>
      </c>
      <c r="H117" s="237" t="str">
        <f t="shared" ref="H117:H125" si="288">VLOOKUP($B117,BondData,HLOOKUP(H$48,BD_Headings,2,FALSE),FALSE)</f>
        <v>A</v>
      </c>
      <c r="I117" s="237">
        <f t="shared" ref="I117" si="289">IF(B117="CASHUSD01",1,VLOOKUP($B117,Used_Prices,2,FALSE)/100)</f>
        <v>1</v>
      </c>
      <c r="J117" s="238">
        <f t="shared" ref="J117:J125" si="290">VLOOKUP($B117,BondData,HLOOKUP(J$48,BD_Headings,2,FALSE),FALSE)</f>
        <v>1</v>
      </c>
      <c r="K117" s="597">
        <f t="shared" ref="K117:L125" si="291">VLOOKUP($B117,BondData,HLOOKUP(K$48,BD_Headings,2,FALSE),FALSE)/100</f>
        <v>1.363E-2</v>
      </c>
      <c r="L117" s="240">
        <f t="shared" si="291"/>
        <v>2.2717000000000001E-4</v>
      </c>
      <c r="M117" s="241">
        <f t="shared" ref="M117" si="292">L117+I117</f>
        <v>1.0002271700000001</v>
      </c>
      <c r="N117" s="242">
        <f t="shared" ref="N117" si="293">(I117+L117)*J117</f>
        <v>1.0002271700000001</v>
      </c>
      <c r="O117" s="521">
        <v>-3808000</v>
      </c>
      <c r="P117" s="522">
        <v>44642</v>
      </c>
      <c r="Q117" s="526">
        <v>44734</v>
      </c>
      <c r="R117" s="481">
        <v>1.363E-2</v>
      </c>
      <c r="S117" s="832">
        <v>185</v>
      </c>
      <c r="T117" s="588">
        <f t="shared" ref="T117" si="294">O117*R117*(ValDate-P117)/360</f>
        <v>-1297.576</v>
      </c>
      <c r="U117" s="588">
        <f t="shared" ref="U117" si="295">O117*R117*(Q117-P117)/360</f>
        <v>-13264.110222222222</v>
      </c>
      <c r="V117" s="521">
        <v>-3808000</v>
      </c>
      <c r="W117" s="527">
        <f t="shared" ref="W117" si="296">J117*I117*V117</f>
        <v>-3808000</v>
      </c>
      <c r="X117" s="527">
        <f t="shared" ref="X117" si="297">V117*N117</f>
        <v>-3808865.06336</v>
      </c>
      <c r="Y117" s="242">
        <v>0</v>
      </c>
      <c r="Z117" s="528">
        <f t="shared" ref="Z117" si="298">W117*(1-Y117)</f>
        <v>-3808000</v>
      </c>
      <c r="AA117" s="529">
        <f t="shared" ref="AA117" si="299">Z117-O117-T117</f>
        <v>1297.576</v>
      </c>
      <c r="AB117" s="528">
        <f t="shared" ref="AB117" si="300">X117*(1-Y117)</f>
        <v>-3808865.06336</v>
      </c>
      <c r="AC117" s="529">
        <f t="shared" ref="AC117" si="301">AB117-O117-T117</f>
        <v>432.51263999997082</v>
      </c>
      <c r="AD117" s="523" t="e">
        <f t="shared" ref="AD117" si="302">IF(AU117="CASHUSD01",0,IF(H117="USG",VLOOKUP($AU117,VantageDataUSGRange,19+IF(StressRun="S",3,IF(StressRun="C",6,0)),FALSE),VLOOKUP($AU117,VantageDataPrimeRange,19+IF(StressRun="S",3,IF(StressRun="C",6,0)),FALSE)))/2</f>
        <v>#N/A</v>
      </c>
      <c r="AE117" s="585" t="e">
        <f t="shared" ref="AE117" si="303">IF(AU117="CASHUSD01",0,IF($H117="USG",VLOOKUP($AU117,VantageDataUSGRange,18+IF(StressRun="S",3,IF(StressRun="C",6,0)),FALSE),VLOOKUP($AU117,VantageDataPrimeRange,18+IF(StressRun="S",3,IF(StressRun="C",6,0)),FALSE)))</f>
        <v>#N/A</v>
      </c>
      <c r="AF117" s="243" t="e">
        <f t="shared" ref="AF117" si="304">IF(AU117="CASHUSD01",0,IF($H117="USG",VLOOKUP($AU117,VantageDataUSGRange,20+IF(StressRun="S",3,IF(StressRun="C",6,0)),FALSE),VLOOKUP($AU117,VantageDataPrimeRange,20+IF(StressRun="S",3,IF(StressRun="C",6,0)),FALSE)))</f>
        <v>#N/A</v>
      </c>
      <c r="AG117" s="266">
        <f t="shared" ref="AG117:AK125" si="305">VLOOKUP($B117,BondData,HLOOKUP(AG$48,BD_Headings,2,FALSE),FALSE)</f>
        <v>0</v>
      </c>
      <c r="AH117" s="244" t="e">
        <f t="shared" si="305"/>
        <v>#N/A</v>
      </c>
      <c r="AI117" s="244" t="e">
        <f t="shared" si="305"/>
        <v>#N/A</v>
      </c>
      <c r="AJ117" s="244">
        <f t="shared" si="305"/>
        <v>6.459985883068204</v>
      </c>
      <c r="AK117" s="251">
        <f t="shared" si="305"/>
        <v>6</v>
      </c>
      <c r="AL117" s="565" t="e">
        <f t="shared" ref="AL117" si="306">MAX(V117*I117*(1-AD117)*J117,0.0001)</f>
        <v>#N/A</v>
      </c>
      <c r="AM117" s="530">
        <f t="shared" ref="AM117" si="307">O117</f>
        <v>-3808000</v>
      </c>
      <c r="AN117" s="531">
        <v>0</v>
      </c>
      <c r="AO117" s="531">
        <f t="shared" ref="AO117" si="308">K117/100</f>
        <v>1.3630000000000001E-4</v>
      </c>
      <c r="AP117" s="531" t="e">
        <f t="shared" ref="AP117" si="309">AE117</f>
        <v>#N/A</v>
      </c>
      <c r="AQ117" s="532" t="e">
        <f t="shared" ref="AQ117" si="310">AF117/365</f>
        <v>#N/A</v>
      </c>
      <c r="AR117" s="488">
        <f t="shared" ref="AR117" si="311">I117</f>
        <v>1</v>
      </c>
      <c r="AS117" s="399">
        <v>1.0385550000000001</v>
      </c>
      <c r="AT117" s="399">
        <v>1.0385550000000001</v>
      </c>
      <c r="AU117" s="237" t="str">
        <f t="shared" ref="AU117" si="312">IF(ISNA(VLOOKUP(B117,VantageProxyDictionary,1,FALSE)),B117,VLOOKUP(B117,VantageProxyDictionary,2,FALSE))</f>
        <v>HEXZETA02</v>
      </c>
      <c r="AV117" s="533" t="str">
        <f t="shared" ref="AV117:AV125" si="313">VLOOKUP($B117,BondData,HLOOKUP(AV$48,BD_Headings,2,FALSE),FALSE)</f>
        <v>ABSOTHER</v>
      </c>
    </row>
    <row r="118" spans="1:50" s="765" customFormat="1" x14ac:dyDescent="0.25">
      <c r="A118" s="609" t="s">
        <v>982</v>
      </c>
      <c r="B118" s="520" t="s">
        <v>3418</v>
      </c>
      <c r="C118" s="520" t="str">
        <f t="shared" si="286"/>
        <v>Lake Olive EUR</v>
      </c>
      <c r="D118" s="520" t="str">
        <f t="shared" si="286"/>
        <v>EURO MTN</v>
      </c>
      <c r="E118" s="236">
        <f t="shared" si="286"/>
        <v>40600000</v>
      </c>
      <c r="F118" s="428" t="s">
        <v>948</v>
      </c>
      <c r="G118" s="428">
        <f t="shared" si="287"/>
        <v>47267</v>
      </c>
      <c r="H118" s="237" t="str">
        <f t="shared" si="288"/>
        <v>A</v>
      </c>
      <c r="I118" s="237">
        <f t="shared" ref="I118:I125" si="314">IF(B118="CASHUSD01",1,VLOOKUP($B118,Used_Prices,2,FALSE)/100)</f>
        <v>1</v>
      </c>
      <c r="J118" s="238">
        <f t="shared" si="290"/>
        <v>0.95229854999999997</v>
      </c>
      <c r="K118" s="597">
        <f t="shared" si="291"/>
        <v>2.2000000000000002E-2</v>
      </c>
      <c r="L118" s="240">
        <f t="shared" si="291"/>
        <v>7.9443999999999999E-4</v>
      </c>
      <c r="M118" s="241">
        <f t="shared" ref="M118:M125" si="315">L118+I118</f>
        <v>1.00079444</v>
      </c>
      <c r="N118" s="242">
        <f t="shared" ref="N118:N125" si="316">(I118+L118)*J118</f>
        <v>0.95305509406006195</v>
      </c>
      <c r="O118" s="524">
        <v>-12224694.890000001</v>
      </c>
      <c r="P118" s="525">
        <v>44635</v>
      </c>
      <c r="Q118" s="526">
        <v>44727</v>
      </c>
      <c r="R118" s="481">
        <v>2.2000000000000002E-2</v>
      </c>
      <c r="S118" s="832">
        <v>270</v>
      </c>
      <c r="T118" s="588">
        <f t="shared" ref="T118:T125" si="317">O118*R118*(ValDate-P118)/360</f>
        <v>-11953.035003555558</v>
      </c>
      <c r="U118" s="588">
        <f t="shared" ref="U118:U125" si="318">O118*R118*(Q118-P118)/360</f>
        <v>-68729.951270444464</v>
      </c>
      <c r="V118" s="524">
        <v>-12837041</v>
      </c>
      <c r="W118" s="527">
        <f t="shared" ref="W118:W125" si="319">J118*I118*V118</f>
        <v>-12224695.530590549</v>
      </c>
      <c r="X118" s="527">
        <f t="shared" ref="X118:X125" si="320">V118*N118</f>
        <v>-12234407.317707872</v>
      </c>
      <c r="Y118" s="242">
        <v>0</v>
      </c>
      <c r="Z118" s="528">
        <f t="shared" ref="Z118:Z125" si="321">W118*(1-Y118)</f>
        <v>-12224695.530590549</v>
      </c>
      <c r="AA118" s="529">
        <f t="shared" ref="AA118:AA125" si="322">Z118-O118-T118</f>
        <v>11952.394413007043</v>
      </c>
      <c r="AB118" s="528">
        <f t="shared" ref="AB118:AB125" si="323">X118*(1-Y118)</f>
        <v>-12234407.317707872</v>
      </c>
      <c r="AC118" s="529">
        <f t="shared" ref="AC118:AC125" si="324">AB118-O118-T118</f>
        <v>2240.6072956841363</v>
      </c>
      <c r="AD118" s="825" t="e">
        <f t="shared" ref="AD118:AD125" si="325">IF(AU118="CASHUSD01",0,IF(H118="USG",VLOOKUP($AU118,VantageDataUSGRange,19+IF(StressRun="S",3,IF(StressRun="C",6,0)),FALSE),VLOOKUP($AU118,VantageDataPrimeRange,19+IF(StressRun="S",3,IF(StressRun="C",6,0)),FALSE)))/2</f>
        <v>#N/A</v>
      </c>
      <c r="AE118" s="585" t="e">
        <f t="shared" ref="AE118:AE125" si="326">IF(AU118="CASHUSD01",0,IF($H118="USG",VLOOKUP($AU118,VantageDataUSGRange,18+IF(StressRun="S",3,IF(StressRun="C",6,0)),FALSE),VLOOKUP($AU118,VantageDataPrimeRange,18+IF(StressRun="S",3,IF(StressRun="C",6,0)),FALSE)))</f>
        <v>#N/A</v>
      </c>
      <c r="AF118" s="243" t="e">
        <f t="shared" ref="AF118:AF125" si="327">IF(AU118="CASHUSD01",0,IF($H118="USG",VLOOKUP($AU118,VantageDataUSGRange,20+IF(StressRun="S",3,IF(StressRun="C",6,0)),FALSE),VLOOKUP($AU118,VantageDataPrimeRange,20+IF(StressRun="S",3,IF(StressRun="C",6,0)),FALSE)))</f>
        <v>#N/A</v>
      </c>
      <c r="AG118" s="826">
        <f t="shared" si="305"/>
        <v>0</v>
      </c>
      <c r="AH118" s="244" t="e">
        <f t="shared" si="305"/>
        <v>#N/A</v>
      </c>
      <c r="AI118" s="244" t="e">
        <f t="shared" si="305"/>
        <v>#N/A</v>
      </c>
      <c r="AJ118" s="244">
        <f t="shared" si="305"/>
        <v>6.4918621337410753</v>
      </c>
      <c r="AK118" s="743">
        <f t="shared" si="305"/>
        <v>12</v>
      </c>
      <c r="AL118" s="567" t="e">
        <f t="shared" ref="AL118:AL125" si="328">MAX(V118*I118*(1-AD118)*J118,0.0001)</f>
        <v>#N/A</v>
      </c>
      <c r="AM118" s="530">
        <f t="shared" ref="AM118:AM125" si="329">O118</f>
        <v>-12224694.890000001</v>
      </c>
      <c r="AN118" s="531">
        <v>0</v>
      </c>
      <c r="AO118" s="531">
        <f t="shared" ref="AO118:AO125" si="330">K118/100</f>
        <v>2.2000000000000003E-4</v>
      </c>
      <c r="AP118" s="531" t="e">
        <f t="shared" ref="AP118:AP125" si="331">AE118</f>
        <v>#N/A</v>
      </c>
      <c r="AQ118" s="532" t="e">
        <f t="shared" ref="AQ118:AQ125" si="332">AF118/365</f>
        <v>#N/A</v>
      </c>
      <c r="AR118" s="488">
        <f t="shared" ref="AR118:AR125" si="333">I118</f>
        <v>1</v>
      </c>
      <c r="AS118" s="399">
        <v>1.0385550000000001</v>
      </c>
      <c r="AT118" s="399">
        <v>1.0385550000000001</v>
      </c>
      <c r="AU118" s="237" t="str">
        <f t="shared" ref="AU118:AU125" si="334">IF(ISNA(VLOOKUP(B118,VantageProxyDictionary,1,FALSE)),B118,VLOOKUP(B118,VantageProxyDictionary,2,FALSE))</f>
        <v>XS2373029748</v>
      </c>
      <c r="AV118" s="533" t="str">
        <f t="shared" si="313"/>
        <v>ABSOTHER</v>
      </c>
    </row>
    <row r="119" spans="1:50" s="765" customFormat="1" x14ac:dyDescent="0.25">
      <c r="A119" s="609" t="s">
        <v>982</v>
      </c>
      <c r="B119" s="520" t="s">
        <v>3131</v>
      </c>
      <c r="C119" s="520" t="str">
        <f t="shared" si="286"/>
        <v>South'n Almnd E1</v>
      </c>
      <c r="D119" s="520" t="str">
        <f t="shared" si="286"/>
        <v>DOMESTIC MTN</v>
      </c>
      <c r="E119" s="236">
        <f t="shared" si="286"/>
        <v>8333000</v>
      </c>
      <c r="F119" s="428" t="s">
        <v>948</v>
      </c>
      <c r="G119" s="428">
        <f t="shared" si="287"/>
        <v>47292</v>
      </c>
      <c r="H119" s="237" t="str">
        <f t="shared" si="288"/>
        <v>A</v>
      </c>
      <c r="I119" s="237">
        <f t="shared" si="314"/>
        <v>1</v>
      </c>
      <c r="J119" s="238">
        <f t="shared" si="290"/>
        <v>1</v>
      </c>
      <c r="K119" s="597">
        <f t="shared" si="291"/>
        <v>4.1500000000000002E-2</v>
      </c>
      <c r="L119" s="240">
        <f t="shared" si="291"/>
        <v>1.49861E-3</v>
      </c>
      <c r="M119" s="241">
        <f t="shared" si="315"/>
        <v>1.0014986100000001</v>
      </c>
      <c r="N119" s="242">
        <f t="shared" si="316"/>
        <v>1.0014986100000001</v>
      </c>
      <c r="O119" s="524">
        <v>-14300000</v>
      </c>
      <c r="P119" s="525">
        <v>44635</v>
      </c>
      <c r="Q119" s="526">
        <v>44727</v>
      </c>
      <c r="R119" s="481">
        <v>4.1500000000000002E-2</v>
      </c>
      <c r="S119" s="832">
        <v>465</v>
      </c>
      <c r="T119" s="588">
        <f t="shared" si="317"/>
        <v>-26375.555555555555</v>
      </c>
      <c r="U119" s="588">
        <f t="shared" si="318"/>
        <v>-151659.44444444444</v>
      </c>
      <c r="V119" s="524">
        <v>-14300000</v>
      </c>
      <c r="W119" s="527">
        <f t="shared" si="319"/>
        <v>-14300000</v>
      </c>
      <c r="X119" s="527">
        <f t="shared" si="320"/>
        <v>-14321430.123000002</v>
      </c>
      <c r="Y119" s="242">
        <v>0</v>
      </c>
      <c r="Z119" s="528">
        <f t="shared" si="321"/>
        <v>-14300000</v>
      </c>
      <c r="AA119" s="529">
        <f t="shared" si="322"/>
        <v>26375.555555555555</v>
      </c>
      <c r="AB119" s="528">
        <f t="shared" si="323"/>
        <v>-14321430.123000002</v>
      </c>
      <c r="AC119" s="529">
        <f t="shared" si="324"/>
        <v>4945.4325555540199</v>
      </c>
      <c r="AD119" s="825" t="e">
        <f t="shared" si="325"/>
        <v>#N/A</v>
      </c>
      <c r="AE119" s="585" t="e">
        <f t="shared" si="326"/>
        <v>#N/A</v>
      </c>
      <c r="AF119" s="243" t="e">
        <f t="shared" si="327"/>
        <v>#N/A</v>
      </c>
      <c r="AG119" s="826">
        <f t="shared" si="305"/>
        <v>0</v>
      </c>
      <c r="AH119" s="244" t="e">
        <f t="shared" si="305"/>
        <v>#N/A</v>
      </c>
      <c r="AI119" s="244" t="e">
        <f t="shared" si="305"/>
        <v>#N/A</v>
      </c>
      <c r="AJ119" s="244">
        <f t="shared" si="305"/>
        <v>6.0079601937657623</v>
      </c>
      <c r="AK119" s="743">
        <f t="shared" si="305"/>
        <v>12</v>
      </c>
      <c r="AL119" s="567" t="e">
        <f t="shared" si="328"/>
        <v>#N/A</v>
      </c>
      <c r="AM119" s="530">
        <f t="shared" si="329"/>
        <v>-14300000</v>
      </c>
      <c r="AN119" s="531">
        <v>0</v>
      </c>
      <c r="AO119" s="531">
        <f t="shared" si="330"/>
        <v>4.15E-4</v>
      </c>
      <c r="AP119" s="531" t="e">
        <f t="shared" si="331"/>
        <v>#N/A</v>
      </c>
      <c r="AQ119" s="532" t="e">
        <f t="shared" si="332"/>
        <v>#N/A</v>
      </c>
      <c r="AR119" s="488">
        <f t="shared" si="333"/>
        <v>1</v>
      </c>
      <c r="AS119" s="399">
        <v>1.0385550000000001</v>
      </c>
      <c r="AT119" s="399">
        <v>1.0385550000000001</v>
      </c>
      <c r="AU119" s="237" t="str">
        <f t="shared" si="334"/>
        <v>ALMNDEUR1</v>
      </c>
      <c r="AV119" s="533" t="str">
        <f t="shared" si="313"/>
        <v>ABSOTHER</v>
      </c>
    </row>
    <row r="120" spans="1:50" s="765" customFormat="1" x14ac:dyDescent="0.25">
      <c r="A120" s="609" t="s">
        <v>982</v>
      </c>
      <c r="B120" s="520" t="s">
        <v>4420</v>
      </c>
      <c r="C120" s="520" t="str">
        <f t="shared" si="286"/>
        <v>FRANCE (GOVT OF)</v>
      </c>
      <c r="D120" s="520" t="str">
        <f t="shared" si="286"/>
        <v>EURO-ZONE</v>
      </c>
      <c r="E120" s="236">
        <f t="shared" si="286"/>
        <v>44202000000</v>
      </c>
      <c r="F120" s="428" t="s">
        <v>948</v>
      </c>
      <c r="G120" s="428">
        <f t="shared" si="287"/>
        <v>46137</v>
      </c>
      <c r="H120" s="237" t="str">
        <f t="shared" si="288"/>
        <v>AA</v>
      </c>
      <c r="I120" s="237">
        <f t="shared" si="314"/>
        <v>1.1263160000000001</v>
      </c>
      <c r="J120" s="238">
        <f t="shared" si="290"/>
        <v>1</v>
      </c>
      <c r="K120" s="597">
        <f t="shared" si="291"/>
        <v>3.5000000000000003E-2</v>
      </c>
      <c r="L120" s="240">
        <f t="shared" si="291"/>
        <v>3.2315070000000001E-2</v>
      </c>
      <c r="M120" s="241">
        <f t="shared" si="315"/>
        <v>1.1586310700000002</v>
      </c>
      <c r="N120" s="242">
        <f t="shared" si="316"/>
        <v>1.1586310700000002</v>
      </c>
      <c r="O120" s="524">
        <v>23402200</v>
      </c>
      <c r="P120" s="525">
        <v>44635</v>
      </c>
      <c r="Q120" s="526">
        <v>44727</v>
      </c>
      <c r="R120" s="481">
        <v>-3.0000000000000001E-3</v>
      </c>
      <c r="S120" s="832">
        <v>20</v>
      </c>
      <c r="T120" s="588">
        <f t="shared" si="317"/>
        <v>-3120.2933333333335</v>
      </c>
      <c r="U120" s="588">
        <f t="shared" si="318"/>
        <v>-17941.686666666668</v>
      </c>
      <c r="V120" s="524">
        <v>20454000</v>
      </c>
      <c r="W120" s="527">
        <f t="shared" si="319"/>
        <v>23037667.464000002</v>
      </c>
      <c r="X120" s="527">
        <f t="shared" si="320"/>
        <v>23698639.905780002</v>
      </c>
      <c r="Y120" s="242">
        <v>3.8461538461500001E-2</v>
      </c>
      <c r="Z120" s="528">
        <f t="shared" si="321"/>
        <v>22151603.330770116</v>
      </c>
      <c r="AA120" s="529">
        <f t="shared" si="322"/>
        <v>-1247476.3758965505</v>
      </c>
      <c r="AB120" s="528">
        <f t="shared" si="323"/>
        <v>22787153.755558606</v>
      </c>
      <c r="AC120" s="529">
        <f t="shared" si="324"/>
        <v>-611925.95110806043</v>
      </c>
      <c r="AD120" s="825" t="e">
        <f t="shared" si="325"/>
        <v>#N/A</v>
      </c>
      <c r="AE120" s="585" t="e">
        <f t="shared" si="326"/>
        <v>#N/A</v>
      </c>
      <c r="AF120" s="243" t="e">
        <f t="shared" si="327"/>
        <v>#N/A</v>
      </c>
      <c r="AG120" s="826">
        <f t="shared" si="305"/>
        <v>0</v>
      </c>
      <c r="AH120" s="244" t="e">
        <f t="shared" si="305"/>
        <v>#N/A</v>
      </c>
      <c r="AI120" s="244" t="e">
        <f t="shared" si="305"/>
        <v>#N/A</v>
      </c>
      <c r="AJ120" s="244">
        <f t="shared" si="305"/>
        <v>3.7817263423107299</v>
      </c>
      <c r="AK120" s="743">
        <f t="shared" si="305"/>
        <v>337</v>
      </c>
      <c r="AL120" s="567" t="e">
        <f t="shared" si="328"/>
        <v>#N/A</v>
      </c>
      <c r="AM120" s="530">
        <f t="shared" si="329"/>
        <v>23402200</v>
      </c>
      <c r="AN120" s="531">
        <v>0</v>
      </c>
      <c r="AO120" s="531">
        <f t="shared" si="330"/>
        <v>3.5000000000000005E-4</v>
      </c>
      <c r="AP120" s="531" t="e">
        <f t="shared" si="331"/>
        <v>#N/A</v>
      </c>
      <c r="AQ120" s="532" t="e">
        <f t="shared" si="332"/>
        <v>#N/A</v>
      </c>
      <c r="AR120" s="488">
        <f t="shared" si="333"/>
        <v>1.1263160000000001</v>
      </c>
      <c r="AS120" s="399">
        <v>1.0385550000000001</v>
      </c>
      <c r="AT120" s="399">
        <v>1.0385550000000001</v>
      </c>
      <c r="AU120" s="237" t="str">
        <f t="shared" si="334"/>
        <v>FR0010916924</v>
      </c>
      <c r="AV120" s="533" t="str">
        <f t="shared" si="313"/>
        <v>FROAT</v>
      </c>
    </row>
    <row r="121" spans="1:50" s="765" customFormat="1" x14ac:dyDescent="0.25">
      <c r="A121" s="609" t="s">
        <v>982</v>
      </c>
      <c r="B121" s="520" t="s">
        <v>4510</v>
      </c>
      <c r="C121" s="520" t="str">
        <f t="shared" si="286"/>
        <v>Hex Zeta 1</v>
      </c>
      <c r="D121" s="520" t="str">
        <f t="shared" si="286"/>
        <v>EURO MTN</v>
      </c>
      <c r="E121" s="236">
        <f t="shared" si="286"/>
        <v>66202000</v>
      </c>
      <c r="F121" s="428" t="s">
        <v>948</v>
      </c>
      <c r="G121" s="428">
        <f t="shared" si="287"/>
        <v>47018</v>
      </c>
      <c r="H121" s="237" t="str">
        <f t="shared" si="288"/>
        <v>A</v>
      </c>
      <c r="I121" s="237">
        <f t="shared" si="314"/>
        <v>1</v>
      </c>
      <c r="J121" s="238">
        <f t="shared" si="290"/>
        <v>1</v>
      </c>
      <c r="K121" s="597">
        <f t="shared" si="291"/>
        <v>1.363E-2</v>
      </c>
      <c r="L121" s="240">
        <f t="shared" si="291"/>
        <v>2.2717000000000001E-4</v>
      </c>
      <c r="M121" s="241">
        <f t="shared" si="315"/>
        <v>1.0002271700000001</v>
      </c>
      <c r="N121" s="242">
        <f t="shared" si="316"/>
        <v>1.0002271700000001</v>
      </c>
      <c r="O121" s="524">
        <v>-66202000</v>
      </c>
      <c r="P121" s="525">
        <v>44642</v>
      </c>
      <c r="Q121" s="526">
        <v>44734</v>
      </c>
      <c r="R121" s="481">
        <v>1.363E-2</v>
      </c>
      <c r="S121" s="832">
        <v>185</v>
      </c>
      <c r="T121" s="588">
        <f t="shared" si="317"/>
        <v>-22558.3315</v>
      </c>
      <c r="U121" s="588">
        <f t="shared" si="318"/>
        <v>-230596.27755555557</v>
      </c>
      <c r="V121" s="524">
        <v>-66202000</v>
      </c>
      <c r="W121" s="527">
        <f t="shared" si="319"/>
        <v>-66202000</v>
      </c>
      <c r="X121" s="527">
        <f t="shared" si="320"/>
        <v>-66217039.108340003</v>
      </c>
      <c r="Y121" s="242">
        <v>0</v>
      </c>
      <c r="Z121" s="528">
        <f t="shared" si="321"/>
        <v>-66202000</v>
      </c>
      <c r="AA121" s="529">
        <f t="shared" si="322"/>
        <v>22558.3315</v>
      </c>
      <c r="AB121" s="528">
        <f t="shared" si="323"/>
        <v>-66217039.108340003</v>
      </c>
      <c r="AC121" s="529">
        <f t="shared" si="324"/>
        <v>7519.2231599974039</v>
      </c>
      <c r="AD121" s="825" t="e">
        <f t="shared" si="325"/>
        <v>#N/A</v>
      </c>
      <c r="AE121" s="585" t="e">
        <f t="shared" si="326"/>
        <v>#N/A</v>
      </c>
      <c r="AF121" s="243" t="e">
        <f t="shared" si="327"/>
        <v>#N/A</v>
      </c>
      <c r="AG121" s="826">
        <f t="shared" si="305"/>
        <v>0</v>
      </c>
      <c r="AH121" s="244" t="e">
        <f t="shared" si="305"/>
        <v>#N/A</v>
      </c>
      <c r="AI121" s="244" t="e">
        <f t="shared" si="305"/>
        <v>#N/A</v>
      </c>
      <c r="AJ121" s="244">
        <f t="shared" si="305"/>
        <v>6.459985883068204</v>
      </c>
      <c r="AK121" s="743">
        <f t="shared" si="305"/>
        <v>6</v>
      </c>
      <c r="AL121" s="567" t="e">
        <f t="shared" si="328"/>
        <v>#N/A</v>
      </c>
      <c r="AM121" s="530">
        <f t="shared" si="329"/>
        <v>-66202000</v>
      </c>
      <c r="AN121" s="531">
        <v>0</v>
      </c>
      <c r="AO121" s="531">
        <f t="shared" si="330"/>
        <v>1.3630000000000001E-4</v>
      </c>
      <c r="AP121" s="531" t="e">
        <f t="shared" si="331"/>
        <v>#N/A</v>
      </c>
      <c r="AQ121" s="532" t="e">
        <f t="shared" si="332"/>
        <v>#N/A</v>
      </c>
      <c r="AR121" s="488">
        <f t="shared" si="333"/>
        <v>1</v>
      </c>
      <c r="AS121" s="399">
        <v>1.0385550000000001</v>
      </c>
      <c r="AT121" s="399">
        <v>1.0385550000000001</v>
      </c>
      <c r="AU121" s="237" t="str">
        <f t="shared" si="334"/>
        <v>HEXZETA01</v>
      </c>
      <c r="AV121" s="533" t="str">
        <f t="shared" si="313"/>
        <v>ABSOTHER</v>
      </c>
    </row>
    <row r="122" spans="1:50" s="765" customFormat="1" x14ac:dyDescent="0.25">
      <c r="A122" s="609" t="s">
        <v>982</v>
      </c>
      <c r="B122" s="520" t="s">
        <v>4420</v>
      </c>
      <c r="C122" s="520" t="str">
        <f t="shared" si="286"/>
        <v>FRANCE (GOVT OF)</v>
      </c>
      <c r="D122" s="520" t="str">
        <f t="shared" si="286"/>
        <v>EURO-ZONE</v>
      </c>
      <c r="E122" s="236">
        <f t="shared" si="286"/>
        <v>44202000000</v>
      </c>
      <c r="F122" s="428" t="s">
        <v>948</v>
      </c>
      <c r="G122" s="428">
        <f t="shared" si="287"/>
        <v>46137</v>
      </c>
      <c r="H122" s="237" t="str">
        <f t="shared" si="288"/>
        <v>AA</v>
      </c>
      <c r="I122" s="237">
        <f t="shared" si="314"/>
        <v>1.1263160000000001</v>
      </c>
      <c r="J122" s="238">
        <f t="shared" si="290"/>
        <v>1</v>
      </c>
      <c r="K122" s="597">
        <f t="shared" si="291"/>
        <v>3.5000000000000003E-2</v>
      </c>
      <c r="L122" s="240">
        <f t="shared" si="291"/>
        <v>3.2315070000000001E-2</v>
      </c>
      <c r="M122" s="241">
        <f t="shared" si="315"/>
        <v>1.1586310700000002</v>
      </c>
      <c r="N122" s="242">
        <f t="shared" si="316"/>
        <v>1.1586310700000002</v>
      </c>
      <c r="O122" s="524">
        <v>70010682.340000004</v>
      </c>
      <c r="P122" s="525">
        <v>44642</v>
      </c>
      <c r="Q122" s="526">
        <v>44734</v>
      </c>
      <c r="R122" s="481">
        <v>-2.8699999999999997E-3</v>
      </c>
      <c r="S122" s="832">
        <v>20</v>
      </c>
      <c r="T122" s="588">
        <f t="shared" si="317"/>
        <v>-5023.2664578949998</v>
      </c>
      <c r="U122" s="588">
        <f t="shared" si="318"/>
        <v>-51348.946014037771</v>
      </c>
      <c r="V122" s="524">
        <v>62410000</v>
      </c>
      <c r="W122" s="527">
        <f t="shared" si="319"/>
        <v>70293381.560000002</v>
      </c>
      <c r="X122" s="527">
        <f t="shared" si="320"/>
        <v>72310165.078700006</v>
      </c>
      <c r="Y122" s="242">
        <v>3.8461538461500001E-2</v>
      </c>
      <c r="Z122" s="528">
        <f t="shared" si="321"/>
        <v>67589789.961541161</v>
      </c>
      <c r="AA122" s="529">
        <f t="shared" si="322"/>
        <v>-2415869.1120009478</v>
      </c>
      <c r="AB122" s="528">
        <f t="shared" si="323"/>
        <v>69529004.883368164</v>
      </c>
      <c r="AC122" s="529">
        <f t="shared" si="324"/>
        <v>-476654.19017394428</v>
      </c>
      <c r="AD122" s="825" t="e">
        <f t="shared" si="325"/>
        <v>#N/A</v>
      </c>
      <c r="AE122" s="585" t="e">
        <f t="shared" si="326"/>
        <v>#N/A</v>
      </c>
      <c r="AF122" s="243" t="e">
        <f t="shared" si="327"/>
        <v>#N/A</v>
      </c>
      <c r="AG122" s="826">
        <f t="shared" si="305"/>
        <v>0</v>
      </c>
      <c r="AH122" s="244" t="e">
        <f t="shared" si="305"/>
        <v>#N/A</v>
      </c>
      <c r="AI122" s="244" t="e">
        <f t="shared" si="305"/>
        <v>#N/A</v>
      </c>
      <c r="AJ122" s="244">
        <f t="shared" si="305"/>
        <v>3.7817263423107299</v>
      </c>
      <c r="AK122" s="743">
        <f t="shared" si="305"/>
        <v>337</v>
      </c>
      <c r="AL122" s="567" t="e">
        <f t="shared" si="328"/>
        <v>#N/A</v>
      </c>
      <c r="AM122" s="530">
        <f t="shared" si="329"/>
        <v>70010682.340000004</v>
      </c>
      <c r="AN122" s="531">
        <v>0</v>
      </c>
      <c r="AO122" s="531">
        <f t="shared" si="330"/>
        <v>3.5000000000000005E-4</v>
      </c>
      <c r="AP122" s="531" t="e">
        <f t="shared" si="331"/>
        <v>#N/A</v>
      </c>
      <c r="AQ122" s="532" t="e">
        <f t="shared" si="332"/>
        <v>#N/A</v>
      </c>
      <c r="AR122" s="488">
        <f t="shared" si="333"/>
        <v>1.1263160000000001</v>
      </c>
      <c r="AS122" s="399">
        <v>1.0385550000000001</v>
      </c>
      <c r="AT122" s="399">
        <v>1.0385550000000001</v>
      </c>
      <c r="AU122" s="237" t="str">
        <f t="shared" si="334"/>
        <v>FR0010916924</v>
      </c>
      <c r="AV122" s="533" t="str">
        <f t="shared" si="313"/>
        <v>FROAT</v>
      </c>
    </row>
    <row r="123" spans="1:50" s="765" customFormat="1" x14ac:dyDescent="0.25">
      <c r="A123" s="609" t="s">
        <v>982</v>
      </c>
      <c r="B123" s="520" t="s">
        <v>2358</v>
      </c>
      <c r="C123" s="520" t="str">
        <f t="shared" si="286"/>
        <v>Eastern Cypress</v>
      </c>
      <c r="D123" s="520" t="str">
        <f t="shared" si="286"/>
        <v>EURO MTN</v>
      </c>
      <c r="E123" s="236">
        <f t="shared" si="286"/>
        <v>40600000</v>
      </c>
      <c r="F123" s="428" t="s">
        <v>948</v>
      </c>
      <c r="G123" s="428">
        <f t="shared" si="287"/>
        <v>47267</v>
      </c>
      <c r="H123" s="237" t="str">
        <f t="shared" si="288"/>
        <v>A</v>
      </c>
      <c r="I123" s="237">
        <f t="shared" si="314"/>
        <v>1</v>
      </c>
      <c r="J123" s="238">
        <f t="shared" si="290"/>
        <v>1</v>
      </c>
      <c r="K123" s="597">
        <f t="shared" si="291"/>
        <v>1.6E-2</v>
      </c>
      <c r="L123" s="240">
        <f t="shared" si="291"/>
        <v>5.7778000000000007E-4</v>
      </c>
      <c r="M123" s="241">
        <f t="shared" si="315"/>
        <v>1.00057778</v>
      </c>
      <c r="N123" s="242">
        <f t="shared" si="316"/>
        <v>1.00057778</v>
      </c>
      <c r="O123" s="524">
        <v>-76400000</v>
      </c>
      <c r="P123" s="525">
        <v>44635</v>
      </c>
      <c r="Q123" s="526">
        <v>44727</v>
      </c>
      <c r="R123" s="481">
        <v>1.6E-2</v>
      </c>
      <c r="S123" s="832">
        <v>210</v>
      </c>
      <c r="T123" s="588">
        <f t="shared" si="317"/>
        <v>-54328.888888888891</v>
      </c>
      <c r="U123" s="588">
        <f t="shared" si="318"/>
        <v>-312391.11111111112</v>
      </c>
      <c r="V123" s="524">
        <v>-76400000</v>
      </c>
      <c r="W123" s="527">
        <f t="shared" si="319"/>
        <v>-76400000</v>
      </c>
      <c r="X123" s="527">
        <f t="shared" si="320"/>
        <v>-76444142.392000005</v>
      </c>
      <c r="Y123" s="242">
        <v>0</v>
      </c>
      <c r="Z123" s="528">
        <f t="shared" si="321"/>
        <v>-76400000</v>
      </c>
      <c r="AA123" s="529">
        <f t="shared" si="322"/>
        <v>54328.888888888891</v>
      </c>
      <c r="AB123" s="528">
        <f t="shared" si="323"/>
        <v>-76444142.392000005</v>
      </c>
      <c r="AC123" s="529">
        <f t="shared" si="324"/>
        <v>10186.496888884241</v>
      </c>
      <c r="AD123" s="825" t="e">
        <f t="shared" si="325"/>
        <v>#N/A</v>
      </c>
      <c r="AE123" s="585" t="e">
        <f t="shared" si="326"/>
        <v>#N/A</v>
      </c>
      <c r="AF123" s="243" t="e">
        <f t="shared" si="327"/>
        <v>#N/A</v>
      </c>
      <c r="AG123" s="826">
        <f t="shared" si="305"/>
        <v>0</v>
      </c>
      <c r="AH123" s="244" t="e">
        <f t="shared" si="305"/>
        <v>#N/A</v>
      </c>
      <c r="AI123" s="244" t="e">
        <f t="shared" si="305"/>
        <v>#N/A</v>
      </c>
      <c r="AJ123" s="244">
        <f t="shared" si="305"/>
        <v>6.7220302613546821</v>
      </c>
      <c r="AK123" s="743">
        <f t="shared" si="305"/>
        <v>12</v>
      </c>
      <c r="AL123" s="567" t="e">
        <f t="shared" si="328"/>
        <v>#N/A</v>
      </c>
      <c r="AM123" s="530">
        <f t="shared" si="329"/>
        <v>-76400000</v>
      </c>
      <c r="AN123" s="531">
        <v>0</v>
      </c>
      <c r="AO123" s="531">
        <f t="shared" si="330"/>
        <v>1.6000000000000001E-4</v>
      </c>
      <c r="AP123" s="531" t="e">
        <f t="shared" si="331"/>
        <v>#N/A</v>
      </c>
      <c r="AQ123" s="532" t="e">
        <f t="shared" si="332"/>
        <v>#N/A</v>
      </c>
      <c r="AR123" s="488">
        <f t="shared" si="333"/>
        <v>1</v>
      </c>
      <c r="AS123" s="399">
        <v>1.0385550000000001</v>
      </c>
      <c r="AT123" s="399">
        <v>1.0385550000000001</v>
      </c>
      <c r="AU123" s="237" t="str">
        <f t="shared" si="334"/>
        <v>XS2004377136</v>
      </c>
      <c r="AV123" s="533" t="str">
        <f t="shared" si="313"/>
        <v>FROAT</v>
      </c>
    </row>
    <row r="124" spans="1:50" s="765" customFormat="1" x14ac:dyDescent="0.25">
      <c r="A124" s="609" t="s">
        <v>982</v>
      </c>
      <c r="B124" s="520" t="s">
        <v>4420</v>
      </c>
      <c r="C124" s="520" t="str">
        <f t="shared" si="286"/>
        <v>FRANCE (GOVT OF)</v>
      </c>
      <c r="D124" s="520" t="str">
        <f t="shared" si="286"/>
        <v>EURO-ZONE</v>
      </c>
      <c r="E124" s="236">
        <f t="shared" si="286"/>
        <v>44202000000</v>
      </c>
      <c r="F124" s="428" t="s">
        <v>948</v>
      </c>
      <c r="G124" s="428">
        <f t="shared" si="287"/>
        <v>46137</v>
      </c>
      <c r="H124" s="237" t="str">
        <f t="shared" si="288"/>
        <v>AA</v>
      </c>
      <c r="I124" s="237">
        <f t="shared" si="314"/>
        <v>1.1263160000000001</v>
      </c>
      <c r="J124" s="238">
        <f t="shared" si="290"/>
        <v>1</v>
      </c>
      <c r="K124" s="597">
        <f t="shared" si="291"/>
        <v>3.5000000000000003E-2</v>
      </c>
      <c r="L124" s="240">
        <f t="shared" si="291"/>
        <v>3.2315070000000001E-2</v>
      </c>
      <c r="M124" s="241">
        <f t="shared" si="315"/>
        <v>1.1586310700000002</v>
      </c>
      <c r="N124" s="242">
        <f t="shared" si="316"/>
        <v>1.1586310700000002</v>
      </c>
      <c r="O124" s="524">
        <v>76400000</v>
      </c>
      <c r="P124" s="525">
        <v>44635</v>
      </c>
      <c r="Q124" s="526">
        <v>44727</v>
      </c>
      <c r="R124" s="481">
        <v>-3.0000000000000001E-3</v>
      </c>
      <c r="S124" s="832">
        <v>20</v>
      </c>
      <c r="T124" s="588">
        <f t="shared" si="317"/>
        <v>-10186.666666666666</v>
      </c>
      <c r="U124" s="588">
        <f t="shared" si="318"/>
        <v>-58573.333333333336</v>
      </c>
      <c r="V124" s="524">
        <v>66300000</v>
      </c>
      <c r="W124" s="527">
        <f t="shared" si="319"/>
        <v>74674750.800000012</v>
      </c>
      <c r="X124" s="527">
        <f t="shared" si="320"/>
        <v>76817239.941000015</v>
      </c>
      <c r="Y124" s="242">
        <v>3.8461538461500001E-2</v>
      </c>
      <c r="Z124" s="528">
        <f t="shared" si="321"/>
        <v>71802645.000002876</v>
      </c>
      <c r="AA124" s="529">
        <f t="shared" si="322"/>
        <v>-4587168.3333304571</v>
      </c>
      <c r="AB124" s="528">
        <f t="shared" si="323"/>
        <v>73862730.712502971</v>
      </c>
      <c r="AC124" s="529">
        <f t="shared" si="324"/>
        <v>-2527082.6208303622</v>
      </c>
      <c r="AD124" s="825" t="e">
        <f t="shared" si="325"/>
        <v>#N/A</v>
      </c>
      <c r="AE124" s="585" t="e">
        <f t="shared" si="326"/>
        <v>#N/A</v>
      </c>
      <c r="AF124" s="243" t="e">
        <f t="shared" si="327"/>
        <v>#N/A</v>
      </c>
      <c r="AG124" s="826">
        <f t="shared" si="305"/>
        <v>0</v>
      </c>
      <c r="AH124" s="244" t="e">
        <f t="shared" si="305"/>
        <v>#N/A</v>
      </c>
      <c r="AI124" s="244" t="e">
        <f t="shared" si="305"/>
        <v>#N/A</v>
      </c>
      <c r="AJ124" s="244">
        <f t="shared" si="305"/>
        <v>3.7817263423107299</v>
      </c>
      <c r="AK124" s="743">
        <f t="shared" si="305"/>
        <v>337</v>
      </c>
      <c r="AL124" s="567" t="e">
        <f t="shared" si="328"/>
        <v>#N/A</v>
      </c>
      <c r="AM124" s="530">
        <f t="shared" si="329"/>
        <v>76400000</v>
      </c>
      <c r="AN124" s="531">
        <v>0</v>
      </c>
      <c r="AO124" s="531">
        <f t="shared" si="330"/>
        <v>3.5000000000000005E-4</v>
      </c>
      <c r="AP124" s="531" t="e">
        <f t="shared" si="331"/>
        <v>#N/A</v>
      </c>
      <c r="AQ124" s="532" t="e">
        <f t="shared" si="332"/>
        <v>#N/A</v>
      </c>
      <c r="AR124" s="488">
        <f t="shared" si="333"/>
        <v>1.1263160000000001</v>
      </c>
      <c r="AS124" s="399">
        <v>1.0385550000000001</v>
      </c>
      <c r="AT124" s="399">
        <v>1.0385550000000001</v>
      </c>
      <c r="AU124" s="237" t="str">
        <f t="shared" si="334"/>
        <v>FR0010916924</v>
      </c>
      <c r="AV124" s="533" t="str">
        <f t="shared" si="313"/>
        <v>FROAT</v>
      </c>
    </row>
    <row r="125" spans="1:50" s="765" customFormat="1" ht="15.75" thickBot="1" x14ac:dyDescent="0.3">
      <c r="A125" s="609" t="s">
        <v>982</v>
      </c>
      <c r="B125" s="520" t="s">
        <v>607</v>
      </c>
      <c r="C125" s="520" t="str">
        <f t="shared" si="286"/>
        <v>US TREASURY</v>
      </c>
      <c r="D125" s="520" t="str">
        <f t="shared" si="286"/>
        <v>CASH</v>
      </c>
      <c r="E125" s="236">
        <f t="shared" si="286"/>
        <v>1</v>
      </c>
      <c r="F125" s="428" t="s">
        <v>939</v>
      </c>
      <c r="G125" s="428">
        <f t="shared" si="287"/>
        <v>73050</v>
      </c>
      <c r="H125" s="237" t="str">
        <f t="shared" si="288"/>
        <v>USG</v>
      </c>
      <c r="I125" s="237">
        <f t="shared" si="314"/>
        <v>1</v>
      </c>
      <c r="J125" s="238">
        <f t="shared" si="290"/>
        <v>1</v>
      </c>
      <c r="K125" s="597">
        <f t="shared" si="291"/>
        <v>0</v>
      </c>
      <c r="L125" s="240">
        <f t="shared" si="291"/>
        <v>0</v>
      </c>
      <c r="M125" s="241">
        <f t="shared" si="315"/>
        <v>1</v>
      </c>
      <c r="N125" s="242">
        <f t="shared" si="316"/>
        <v>1</v>
      </c>
      <c r="O125" s="524">
        <v>0</v>
      </c>
      <c r="P125" s="525">
        <v>44635</v>
      </c>
      <c r="Q125" s="526">
        <v>44635</v>
      </c>
      <c r="R125" s="481">
        <v>0</v>
      </c>
      <c r="S125" s="832">
        <v>0</v>
      </c>
      <c r="T125" s="588">
        <f t="shared" si="317"/>
        <v>0</v>
      </c>
      <c r="U125" s="588">
        <f t="shared" si="318"/>
        <v>0</v>
      </c>
      <c r="V125" s="524">
        <v>0</v>
      </c>
      <c r="W125" s="527">
        <f t="shared" si="319"/>
        <v>0</v>
      </c>
      <c r="X125" s="527">
        <f t="shared" si="320"/>
        <v>0</v>
      </c>
      <c r="Y125" s="242">
        <v>0</v>
      </c>
      <c r="Z125" s="528">
        <f t="shared" si="321"/>
        <v>0</v>
      </c>
      <c r="AA125" s="529">
        <f t="shared" si="322"/>
        <v>0</v>
      </c>
      <c r="AB125" s="528">
        <f t="shared" si="323"/>
        <v>0</v>
      </c>
      <c r="AC125" s="529">
        <f t="shared" si="324"/>
        <v>0</v>
      </c>
      <c r="AD125" s="825">
        <f t="shared" si="325"/>
        <v>0</v>
      </c>
      <c r="AE125" s="585">
        <f t="shared" si="326"/>
        <v>0</v>
      </c>
      <c r="AF125" s="243">
        <f t="shared" si="327"/>
        <v>0</v>
      </c>
      <c r="AG125" s="826">
        <f t="shared" si="305"/>
        <v>0</v>
      </c>
      <c r="AH125" s="244" t="e">
        <f t="shared" si="305"/>
        <v>#N/A</v>
      </c>
      <c r="AI125" s="244" t="e">
        <f t="shared" si="305"/>
        <v>#N/A</v>
      </c>
      <c r="AJ125" s="244">
        <f t="shared" si="305"/>
        <v>2.7397200000000002E-3</v>
      </c>
      <c r="AK125" s="743">
        <f t="shared" si="305"/>
        <v>0</v>
      </c>
      <c r="AL125" s="567">
        <f t="shared" si="328"/>
        <v>1E-4</v>
      </c>
      <c r="AM125" s="530">
        <f t="shared" si="329"/>
        <v>0</v>
      </c>
      <c r="AN125" s="531">
        <v>0</v>
      </c>
      <c r="AO125" s="531">
        <f t="shared" si="330"/>
        <v>0</v>
      </c>
      <c r="AP125" s="531">
        <f t="shared" si="331"/>
        <v>0</v>
      </c>
      <c r="AQ125" s="532">
        <f t="shared" si="332"/>
        <v>0</v>
      </c>
      <c r="AR125" s="488">
        <f t="shared" si="333"/>
        <v>1</v>
      </c>
      <c r="AS125" s="399">
        <v>1.0385550000000001</v>
      </c>
      <c r="AT125" s="399">
        <v>1.0385550000000001</v>
      </c>
      <c r="AU125" s="237" t="str">
        <f t="shared" si="334"/>
        <v>CASHUSD01</v>
      </c>
      <c r="AV125" s="533" t="str">
        <f t="shared" si="313"/>
        <v>CASH</v>
      </c>
    </row>
    <row r="126" spans="1:50" s="765" customFormat="1" ht="16.5" thickTop="1" thickBot="1" x14ac:dyDescent="0.3">
      <c r="A126" s="349" t="s">
        <v>613</v>
      </c>
      <c r="B126" s="654"/>
      <c r="C126" s="349"/>
      <c r="D126" s="654"/>
      <c r="E126" s="655"/>
      <c r="F126" s="656"/>
      <c r="G126" s="656"/>
      <c r="H126" s="772"/>
      <c r="I126" s="657"/>
      <c r="J126" s="658"/>
      <c r="K126" s="659"/>
      <c r="L126" s="660"/>
      <c r="M126" s="661"/>
      <c r="N126" s="662"/>
      <c r="O126" s="663"/>
      <c r="P126" s="664"/>
      <c r="Q126" s="665"/>
      <c r="R126" s="666"/>
      <c r="S126" s="837"/>
      <c r="T126" s="667"/>
      <c r="U126" s="667"/>
      <c r="V126" s="663"/>
      <c r="W126" s="668"/>
      <c r="X126" s="668"/>
      <c r="Y126" s="662"/>
      <c r="Z126" s="669"/>
      <c r="AA126" s="670"/>
      <c r="AB126" s="671"/>
      <c r="AC126" s="670"/>
      <c r="AD126" s="672"/>
      <c r="AE126" s="672"/>
      <c r="AF126" s="673"/>
      <c r="AG126" s="674"/>
      <c r="AH126" s="674"/>
      <c r="AI126" s="674"/>
      <c r="AJ126" s="674"/>
      <c r="AK126" s="675"/>
      <c r="AL126" s="676"/>
      <c r="AM126" s="677"/>
      <c r="AN126" s="672"/>
      <c r="AO126" s="672"/>
      <c r="AP126" s="672"/>
      <c r="AQ126" s="678"/>
      <c r="AR126" s="657"/>
      <c r="AS126" s="657"/>
      <c r="AT126" s="657"/>
      <c r="AU126" s="657"/>
      <c r="AV126" s="670"/>
      <c r="AW126" s="4"/>
      <c r="AX126" s="4"/>
    </row>
    <row r="127" spans="1:50" s="765" customFormat="1" ht="15.75" thickTop="1" x14ac:dyDescent="0.25">
      <c r="A127" s="609"/>
      <c r="B127" s="520"/>
      <c r="C127" s="520"/>
      <c r="D127" s="520"/>
      <c r="E127" s="236"/>
      <c r="F127" s="428"/>
      <c r="G127" s="428"/>
      <c r="H127" s="237"/>
      <c r="I127" s="237"/>
      <c r="J127" s="238"/>
      <c r="K127" s="597"/>
      <c r="L127" s="240"/>
      <c r="M127" s="241"/>
      <c r="N127" s="242"/>
      <c r="O127" s="524"/>
      <c r="P127" s="525"/>
      <c r="Q127" s="526"/>
      <c r="R127" s="481"/>
      <c r="S127" s="832"/>
      <c r="T127" s="588"/>
      <c r="U127" s="588"/>
      <c r="V127" s="524"/>
      <c r="W127" s="527"/>
      <c r="X127" s="527"/>
      <c r="Y127" s="242"/>
      <c r="Z127" s="528"/>
      <c r="AA127" s="529"/>
      <c r="AB127" s="528"/>
      <c r="AC127" s="529"/>
      <c r="AD127" s="825"/>
      <c r="AE127" s="585"/>
      <c r="AF127" s="243"/>
      <c r="AG127" s="826"/>
      <c r="AH127" s="244"/>
      <c r="AI127" s="244"/>
      <c r="AJ127" s="244"/>
      <c r="AK127" s="743"/>
      <c r="AL127" s="567"/>
      <c r="AM127" s="530"/>
      <c r="AN127" s="531"/>
      <c r="AO127" s="531"/>
      <c r="AP127" s="531"/>
      <c r="AQ127" s="532"/>
      <c r="AR127" s="488"/>
      <c r="AS127" s="399"/>
      <c r="AT127" s="399"/>
      <c r="AU127" s="237"/>
      <c r="AV127" s="533"/>
    </row>
    <row r="128" spans="1:50" s="765" customFormat="1" x14ac:dyDescent="0.25">
      <c r="A128" s="609"/>
      <c r="B128" s="520"/>
      <c r="C128" s="520"/>
      <c r="D128" s="520"/>
      <c r="E128" s="236"/>
      <c r="F128" s="428"/>
      <c r="G128" s="428"/>
      <c r="H128" s="237"/>
      <c r="I128" s="237"/>
      <c r="J128" s="238"/>
      <c r="K128" s="597"/>
      <c r="L128" s="240"/>
      <c r="M128" s="241"/>
      <c r="N128" s="242"/>
      <c r="O128" s="524"/>
      <c r="P128" s="525"/>
      <c r="Q128" s="526"/>
      <c r="R128" s="481"/>
      <c r="S128" s="832"/>
      <c r="T128" s="588"/>
      <c r="U128" s="588"/>
      <c r="V128" s="524"/>
      <c r="W128" s="527"/>
      <c r="X128" s="527"/>
      <c r="Y128" s="242"/>
      <c r="Z128" s="528"/>
      <c r="AA128" s="529"/>
      <c r="AB128" s="528"/>
      <c r="AC128" s="529"/>
      <c r="AD128" s="825"/>
      <c r="AE128" s="585"/>
      <c r="AF128" s="243"/>
      <c r="AG128" s="826"/>
      <c r="AH128" s="244"/>
      <c r="AI128" s="244"/>
      <c r="AJ128" s="244"/>
      <c r="AK128" s="743"/>
      <c r="AL128" s="567"/>
      <c r="AM128" s="530"/>
      <c r="AN128" s="531"/>
      <c r="AO128" s="531"/>
      <c r="AP128" s="531"/>
      <c r="AQ128" s="532"/>
      <c r="AR128" s="488"/>
      <c r="AS128" s="399"/>
      <c r="AT128" s="399"/>
      <c r="AU128" s="237"/>
      <c r="AV128" s="533"/>
    </row>
    <row r="129" spans="1:48" s="765" customFormat="1" x14ac:dyDescent="0.25">
      <c r="A129" s="609"/>
      <c r="B129" s="520"/>
      <c r="C129" s="520"/>
      <c r="D129" s="520"/>
      <c r="E129" s="236"/>
      <c r="F129" s="428"/>
      <c r="G129" s="428"/>
      <c r="H129" s="237"/>
      <c r="I129" s="237"/>
      <c r="J129" s="238"/>
      <c r="K129" s="597"/>
      <c r="L129" s="240"/>
      <c r="M129" s="241"/>
      <c r="N129" s="242"/>
      <c r="O129" s="524"/>
      <c r="P129" s="525"/>
      <c r="Q129" s="526"/>
      <c r="R129" s="481"/>
      <c r="S129" s="832"/>
      <c r="T129" s="588"/>
      <c r="U129" s="588"/>
      <c r="V129" s="524"/>
      <c r="W129" s="527"/>
      <c r="X129" s="527"/>
      <c r="Y129" s="242"/>
      <c r="Z129" s="528"/>
      <c r="AA129" s="529"/>
      <c r="AB129" s="528"/>
      <c r="AC129" s="529"/>
      <c r="AD129" s="825"/>
      <c r="AE129" s="585"/>
      <c r="AF129" s="243"/>
      <c r="AG129" s="826"/>
      <c r="AH129" s="244"/>
      <c r="AI129" s="244"/>
      <c r="AJ129" s="244"/>
      <c r="AK129" s="743"/>
      <c r="AL129" s="567"/>
      <c r="AM129" s="530"/>
      <c r="AN129" s="531"/>
      <c r="AO129" s="531"/>
      <c r="AP129" s="531"/>
      <c r="AQ129" s="532"/>
      <c r="AR129" s="488"/>
      <c r="AS129" s="399"/>
      <c r="AT129" s="399"/>
      <c r="AU129" s="237"/>
      <c r="AV129" s="533"/>
    </row>
    <row r="130" spans="1:48" s="765" customFormat="1" x14ac:dyDescent="0.25">
      <c r="A130" s="609"/>
      <c r="B130" s="520"/>
      <c r="C130" s="520"/>
      <c r="D130" s="520"/>
      <c r="E130" s="236"/>
      <c r="F130" s="428"/>
      <c r="G130" s="428"/>
      <c r="H130" s="237"/>
      <c r="I130" s="237"/>
      <c r="J130" s="238"/>
      <c r="K130" s="597"/>
      <c r="L130" s="240"/>
      <c r="M130" s="241"/>
      <c r="N130" s="242"/>
      <c r="O130" s="524"/>
      <c r="P130" s="525"/>
      <c r="Q130" s="526"/>
      <c r="R130" s="481"/>
      <c r="S130" s="832"/>
      <c r="T130" s="588"/>
      <c r="U130" s="588"/>
      <c r="V130" s="524"/>
      <c r="W130" s="527"/>
      <c r="X130" s="527"/>
      <c r="Y130" s="242"/>
      <c r="Z130" s="528"/>
      <c r="AA130" s="529"/>
      <c r="AB130" s="528"/>
      <c r="AC130" s="529"/>
      <c r="AD130" s="825"/>
      <c r="AE130" s="585"/>
      <c r="AF130" s="243"/>
      <c r="AG130" s="826"/>
      <c r="AH130" s="244"/>
      <c r="AI130" s="244"/>
      <c r="AJ130" s="244"/>
      <c r="AK130" s="743"/>
      <c r="AL130" s="567"/>
      <c r="AM130" s="530"/>
      <c r="AN130" s="531"/>
      <c r="AO130" s="531"/>
      <c r="AP130" s="531"/>
      <c r="AQ130" s="532"/>
      <c r="AR130" s="488"/>
      <c r="AS130" s="399"/>
      <c r="AT130" s="399"/>
      <c r="AU130" s="237"/>
      <c r="AV130" s="533"/>
    </row>
    <row r="131" spans="1:48" s="765" customFormat="1" x14ac:dyDescent="0.25">
      <c r="A131" s="609"/>
      <c r="B131" s="520"/>
      <c r="C131" s="520"/>
      <c r="D131" s="520"/>
      <c r="E131" s="236"/>
      <c r="F131" s="428"/>
      <c r="G131" s="428"/>
      <c r="H131" s="237"/>
      <c r="I131" s="237"/>
      <c r="J131" s="238"/>
      <c r="K131" s="597"/>
      <c r="L131" s="240"/>
      <c r="M131" s="241"/>
      <c r="N131" s="242"/>
      <c r="O131" s="524"/>
      <c r="P131" s="525"/>
      <c r="Q131" s="526"/>
      <c r="R131" s="481"/>
      <c r="S131" s="832"/>
      <c r="T131" s="588"/>
      <c r="U131" s="588"/>
      <c r="V131" s="524"/>
      <c r="W131" s="527"/>
      <c r="X131" s="527"/>
      <c r="Y131" s="242"/>
      <c r="Z131" s="528"/>
      <c r="AA131" s="529"/>
      <c r="AB131" s="528"/>
      <c r="AC131" s="529"/>
      <c r="AD131" s="825"/>
      <c r="AE131" s="585"/>
      <c r="AF131" s="243"/>
      <c r="AG131" s="826"/>
      <c r="AH131" s="244"/>
      <c r="AI131" s="244"/>
      <c r="AJ131" s="244"/>
      <c r="AK131" s="743"/>
      <c r="AL131" s="567"/>
      <c r="AM131" s="530"/>
      <c r="AN131" s="531"/>
      <c r="AO131" s="531"/>
      <c r="AP131" s="531"/>
      <c r="AQ131" s="532"/>
      <c r="AR131" s="488"/>
      <c r="AS131" s="399"/>
      <c r="AT131" s="399"/>
      <c r="AU131" s="237"/>
      <c r="AV131" s="533"/>
    </row>
    <row r="132" spans="1:48" s="765" customFormat="1" x14ac:dyDescent="0.25">
      <c r="A132" s="609"/>
      <c r="B132" s="520"/>
      <c r="C132" s="520"/>
      <c r="D132" s="520"/>
      <c r="E132" s="236"/>
      <c r="F132" s="428"/>
      <c r="G132" s="428"/>
      <c r="H132" s="237"/>
      <c r="I132" s="237"/>
      <c r="J132" s="238"/>
      <c r="K132" s="597"/>
      <c r="L132" s="240"/>
      <c r="M132" s="241"/>
      <c r="N132" s="242"/>
      <c r="O132" s="524"/>
      <c r="P132" s="525"/>
      <c r="Q132" s="526"/>
      <c r="R132" s="481"/>
      <c r="S132" s="832"/>
      <c r="T132" s="588"/>
      <c r="U132" s="588"/>
      <c r="V132" s="524"/>
      <c r="W132" s="527"/>
      <c r="X132" s="527"/>
      <c r="Y132" s="242"/>
      <c r="Z132" s="528"/>
      <c r="AA132" s="529"/>
      <c r="AB132" s="528"/>
      <c r="AC132" s="529"/>
      <c r="AD132" s="825"/>
      <c r="AE132" s="585"/>
      <c r="AF132" s="243"/>
      <c r="AG132" s="826"/>
      <c r="AH132" s="244"/>
      <c r="AI132" s="244"/>
      <c r="AJ132" s="244"/>
      <c r="AK132" s="743"/>
      <c r="AL132" s="567"/>
      <c r="AM132" s="530"/>
      <c r="AN132" s="531"/>
      <c r="AO132" s="531"/>
      <c r="AP132" s="531"/>
      <c r="AQ132" s="532"/>
      <c r="AR132" s="488"/>
      <c r="AS132" s="399"/>
      <c r="AT132" s="399"/>
      <c r="AU132" s="237"/>
      <c r="AV132" s="533"/>
    </row>
    <row r="133" spans="1:48" s="765" customFormat="1" x14ac:dyDescent="0.25">
      <c r="A133" s="609"/>
      <c r="B133" s="520"/>
      <c r="C133" s="520"/>
      <c r="D133" s="520"/>
      <c r="E133" s="236"/>
      <c r="F133" s="428"/>
      <c r="G133" s="428"/>
      <c r="H133" s="237"/>
      <c r="I133" s="237"/>
      <c r="J133" s="238"/>
      <c r="K133" s="597"/>
      <c r="L133" s="240"/>
      <c r="M133" s="241"/>
      <c r="N133" s="242"/>
      <c r="O133" s="524"/>
      <c r="P133" s="525"/>
      <c r="Q133" s="526"/>
      <c r="R133" s="481"/>
      <c r="S133" s="832"/>
      <c r="T133" s="588"/>
      <c r="U133" s="588"/>
      <c r="V133" s="524"/>
      <c r="W133" s="527"/>
      <c r="X133" s="527"/>
      <c r="Y133" s="242"/>
      <c r="Z133" s="528"/>
      <c r="AA133" s="529"/>
      <c r="AB133" s="528"/>
      <c r="AC133" s="529"/>
      <c r="AD133" s="825"/>
      <c r="AE133" s="585"/>
      <c r="AF133" s="243"/>
      <c r="AG133" s="826"/>
      <c r="AH133" s="244"/>
      <c r="AI133" s="244"/>
      <c r="AJ133" s="244"/>
      <c r="AK133" s="743"/>
      <c r="AL133" s="567"/>
      <c r="AM133" s="530"/>
      <c r="AN133" s="531"/>
      <c r="AO133" s="531"/>
      <c r="AP133" s="531"/>
      <c r="AQ133" s="532"/>
      <c r="AR133" s="488"/>
      <c r="AS133" s="399"/>
      <c r="AT133" s="399"/>
      <c r="AU133" s="237"/>
      <c r="AV133" s="533"/>
    </row>
    <row r="134" spans="1:48" s="765" customFormat="1" x14ac:dyDescent="0.25">
      <c r="A134" s="609"/>
      <c r="B134" s="520"/>
      <c r="C134" s="520"/>
      <c r="D134" s="520"/>
      <c r="E134" s="236"/>
      <c r="F134" s="428"/>
      <c r="G134" s="428"/>
      <c r="H134" s="237"/>
      <c r="I134" s="237"/>
      <c r="J134" s="238"/>
      <c r="K134" s="597"/>
      <c r="L134" s="240"/>
      <c r="M134" s="241"/>
      <c r="N134" s="242"/>
      <c r="O134" s="524"/>
      <c r="P134" s="525"/>
      <c r="Q134" s="526"/>
      <c r="R134" s="481"/>
      <c r="S134" s="832"/>
      <c r="T134" s="588"/>
      <c r="U134" s="588"/>
      <c r="V134" s="524"/>
      <c r="W134" s="527"/>
      <c r="X134" s="527"/>
      <c r="Y134" s="242"/>
      <c r="Z134" s="528"/>
      <c r="AA134" s="529"/>
      <c r="AB134" s="528"/>
      <c r="AC134" s="529"/>
      <c r="AD134" s="825"/>
      <c r="AE134" s="585"/>
      <c r="AF134" s="243"/>
      <c r="AG134" s="826"/>
      <c r="AH134" s="244"/>
      <c r="AI134" s="244"/>
      <c r="AJ134" s="244"/>
      <c r="AK134" s="743"/>
      <c r="AL134" s="567"/>
      <c r="AM134" s="530"/>
      <c r="AN134" s="531"/>
      <c r="AO134" s="531"/>
      <c r="AP134" s="531"/>
      <c r="AQ134" s="532"/>
      <c r="AR134" s="488"/>
      <c r="AS134" s="399"/>
      <c r="AT134" s="399"/>
      <c r="AU134" s="237"/>
      <c r="AV134" s="533"/>
    </row>
    <row r="135" spans="1:48" s="765" customFormat="1" x14ac:dyDescent="0.25">
      <c r="A135" s="609"/>
      <c r="B135" s="520"/>
      <c r="C135" s="520"/>
      <c r="D135" s="520"/>
      <c r="E135" s="236"/>
      <c r="F135" s="428"/>
      <c r="G135" s="428"/>
      <c r="H135" s="237"/>
      <c r="I135" s="237"/>
      <c r="J135" s="238"/>
      <c r="K135" s="597"/>
      <c r="L135" s="240"/>
      <c r="M135" s="241"/>
      <c r="N135" s="242"/>
      <c r="O135" s="524"/>
      <c r="P135" s="525"/>
      <c r="Q135" s="526"/>
      <c r="R135" s="481"/>
      <c r="S135" s="832"/>
      <c r="T135" s="588"/>
      <c r="U135" s="588"/>
      <c r="V135" s="524"/>
      <c r="W135" s="527"/>
      <c r="X135" s="527"/>
      <c r="Y135" s="242"/>
      <c r="Z135" s="528"/>
      <c r="AA135" s="529"/>
      <c r="AB135" s="528"/>
      <c r="AC135" s="529"/>
      <c r="AD135" s="825"/>
      <c r="AE135" s="585"/>
      <c r="AF135" s="243"/>
      <c r="AG135" s="826"/>
      <c r="AH135" s="244"/>
      <c r="AI135" s="244"/>
      <c r="AJ135" s="244"/>
      <c r="AK135" s="743"/>
      <c r="AL135" s="567"/>
      <c r="AM135" s="530"/>
      <c r="AN135" s="531"/>
      <c r="AO135" s="531"/>
      <c r="AP135" s="531"/>
      <c r="AQ135" s="532"/>
      <c r="AR135" s="488"/>
      <c r="AS135" s="399"/>
      <c r="AT135" s="399"/>
      <c r="AU135" s="237"/>
      <c r="AV135" s="533"/>
    </row>
    <row r="136" spans="1:48" s="765" customFormat="1" x14ac:dyDescent="0.25">
      <c r="A136" s="609"/>
      <c r="B136" s="520"/>
      <c r="C136" s="520"/>
      <c r="D136" s="520"/>
      <c r="E136" s="236"/>
      <c r="F136" s="428"/>
      <c r="G136" s="428"/>
      <c r="H136" s="237"/>
      <c r="I136" s="237"/>
      <c r="J136" s="238"/>
      <c r="K136" s="597"/>
      <c r="L136" s="240"/>
      <c r="M136" s="241"/>
      <c r="N136" s="242"/>
      <c r="O136" s="524"/>
      <c r="P136" s="525"/>
      <c r="Q136" s="526"/>
      <c r="R136" s="481"/>
      <c r="S136" s="832"/>
      <c r="T136" s="588"/>
      <c r="U136" s="588"/>
      <c r="V136" s="524"/>
      <c r="W136" s="527"/>
      <c r="X136" s="527"/>
      <c r="Y136" s="242"/>
      <c r="Z136" s="528"/>
      <c r="AA136" s="529"/>
      <c r="AB136" s="528"/>
      <c r="AC136" s="529"/>
      <c r="AD136" s="825"/>
      <c r="AE136" s="585"/>
      <c r="AF136" s="243"/>
      <c r="AG136" s="826"/>
      <c r="AH136" s="244"/>
      <c r="AI136" s="244"/>
      <c r="AJ136" s="244"/>
      <c r="AK136" s="743"/>
      <c r="AL136" s="567"/>
      <c r="AM136" s="530"/>
      <c r="AN136" s="531"/>
      <c r="AO136" s="531"/>
      <c r="AP136" s="531"/>
      <c r="AQ136" s="532"/>
      <c r="AR136" s="488"/>
      <c r="AS136" s="399"/>
      <c r="AT136" s="399"/>
      <c r="AU136" s="237"/>
      <c r="AV136" s="533"/>
    </row>
    <row r="137" spans="1:48" s="765" customFormat="1" x14ac:dyDescent="0.25">
      <c r="A137" s="609"/>
      <c r="B137" s="520"/>
      <c r="C137" s="520"/>
      <c r="D137" s="520"/>
      <c r="E137" s="236"/>
      <c r="F137" s="428"/>
      <c r="G137" s="428"/>
      <c r="H137" s="237"/>
      <c r="I137" s="237"/>
      <c r="J137" s="238"/>
      <c r="K137" s="597"/>
      <c r="L137" s="240"/>
      <c r="M137" s="241"/>
      <c r="N137" s="242"/>
      <c r="O137" s="524"/>
      <c r="P137" s="525"/>
      <c r="Q137" s="526"/>
      <c r="R137" s="481"/>
      <c r="S137" s="832"/>
      <c r="T137" s="588"/>
      <c r="U137" s="588"/>
      <c r="V137" s="524"/>
      <c r="W137" s="527"/>
      <c r="X137" s="527"/>
      <c r="Y137" s="242"/>
      <c r="Z137" s="528"/>
      <c r="AA137" s="529"/>
      <c r="AB137" s="528"/>
      <c r="AC137" s="529"/>
      <c r="AD137" s="825"/>
      <c r="AE137" s="585"/>
      <c r="AF137" s="243"/>
      <c r="AG137" s="826"/>
      <c r="AH137" s="244"/>
      <c r="AI137" s="244"/>
      <c r="AJ137" s="244"/>
      <c r="AK137" s="743"/>
      <c r="AL137" s="567"/>
      <c r="AM137" s="530"/>
      <c r="AN137" s="531"/>
      <c r="AO137" s="531"/>
      <c r="AP137" s="531"/>
      <c r="AQ137" s="532"/>
      <c r="AR137" s="488"/>
      <c r="AS137" s="399"/>
      <c r="AT137" s="399"/>
      <c r="AU137" s="237"/>
      <c r="AV137" s="533"/>
    </row>
    <row r="138" spans="1:48" s="765" customFormat="1" x14ac:dyDescent="0.25">
      <c r="A138" s="609"/>
      <c r="B138" s="520"/>
      <c r="C138" s="520"/>
      <c r="D138" s="520"/>
      <c r="E138" s="236"/>
      <c r="F138" s="428"/>
      <c r="G138" s="428"/>
      <c r="H138" s="237"/>
      <c r="I138" s="237"/>
      <c r="J138" s="238"/>
      <c r="K138" s="597"/>
      <c r="L138" s="240"/>
      <c r="M138" s="241"/>
      <c r="N138" s="242"/>
      <c r="O138" s="524"/>
      <c r="P138" s="525"/>
      <c r="Q138" s="526"/>
      <c r="R138" s="481"/>
      <c r="S138" s="832"/>
      <c r="T138" s="588"/>
      <c r="U138" s="588"/>
      <c r="V138" s="524"/>
      <c r="W138" s="527"/>
      <c r="X138" s="527"/>
      <c r="Y138" s="242"/>
      <c r="Z138" s="528"/>
      <c r="AA138" s="529"/>
      <c r="AB138" s="528"/>
      <c r="AC138" s="529"/>
      <c r="AD138" s="825"/>
      <c r="AE138" s="585"/>
      <c r="AF138" s="243"/>
      <c r="AG138" s="826"/>
      <c r="AH138" s="244"/>
      <c r="AI138" s="244"/>
      <c r="AJ138" s="244"/>
      <c r="AK138" s="743"/>
      <c r="AL138" s="567"/>
      <c r="AM138" s="530"/>
      <c r="AN138" s="531"/>
      <c r="AO138" s="531"/>
      <c r="AP138" s="531"/>
      <c r="AQ138" s="532"/>
      <c r="AR138" s="488"/>
      <c r="AS138" s="399"/>
      <c r="AT138" s="399"/>
      <c r="AU138" s="237"/>
      <c r="AV138" s="533"/>
    </row>
    <row r="139" spans="1:48" s="765" customFormat="1" x14ac:dyDescent="0.25">
      <c r="A139" s="609"/>
      <c r="B139" s="520"/>
      <c r="C139" s="520"/>
      <c r="D139" s="520"/>
      <c r="E139" s="236"/>
      <c r="F139" s="428"/>
      <c r="G139" s="428"/>
      <c r="H139" s="237"/>
      <c r="I139" s="237"/>
      <c r="J139" s="238"/>
      <c r="K139" s="597"/>
      <c r="L139" s="240"/>
      <c r="M139" s="241"/>
      <c r="N139" s="242"/>
      <c r="O139" s="524"/>
      <c r="P139" s="525"/>
      <c r="Q139" s="526"/>
      <c r="R139" s="481"/>
      <c r="S139" s="832"/>
      <c r="T139" s="588"/>
      <c r="U139" s="588"/>
      <c r="V139" s="524"/>
      <c r="W139" s="527"/>
      <c r="X139" s="527"/>
      <c r="Y139" s="242"/>
      <c r="Z139" s="528"/>
      <c r="AA139" s="529"/>
      <c r="AB139" s="528"/>
      <c r="AC139" s="529"/>
      <c r="AD139" s="825"/>
      <c r="AE139" s="585"/>
      <c r="AF139" s="243"/>
      <c r="AG139" s="826"/>
      <c r="AH139" s="244"/>
      <c r="AI139" s="244"/>
      <c r="AJ139" s="244"/>
      <c r="AK139" s="743"/>
      <c r="AL139" s="567"/>
      <c r="AM139" s="530"/>
      <c r="AN139" s="531"/>
      <c r="AO139" s="531"/>
      <c r="AP139" s="531"/>
      <c r="AQ139" s="532"/>
      <c r="AR139" s="488"/>
      <c r="AS139" s="399"/>
      <c r="AT139" s="399"/>
      <c r="AU139" s="237"/>
      <c r="AV139" s="533"/>
    </row>
    <row r="140" spans="1:48" ht="15.75" thickBot="1" x14ac:dyDescent="0.3">
      <c r="A140" s="605"/>
      <c r="B140" s="534"/>
      <c r="C140" s="534"/>
      <c r="D140" s="534"/>
      <c r="E140" s="253"/>
      <c r="F140" s="432"/>
      <c r="G140" s="432"/>
      <c r="H140" s="254"/>
      <c r="I140" s="254"/>
      <c r="J140" s="255"/>
      <c r="K140" s="282"/>
      <c r="L140" s="256"/>
      <c r="M140" s="257"/>
      <c r="N140" s="258"/>
      <c r="O140" s="535"/>
      <c r="P140" s="536"/>
      <c r="Q140" s="537"/>
      <c r="R140" s="482"/>
      <c r="S140" s="836"/>
      <c r="T140" s="589"/>
      <c r="U140" s="589"/>
      <c r="V140" s="535"/>
      <c r="W140" s="538"/>
      <c r="X140" s="538"/>
      <c r="Y140" s="258"/>
      <c r="Z140" s="539"/>
      <c r="AA140" s="540"/>
      <c r="AB140" s="539"/>
      <c r="AC140" s="540"/>
      <c r="AD140" s="541"/>
      <c r="AE140" s="542"/>
      <c r="AF140" s="485"/>
      <c r="AG140" s="267"/>
      <c r="AH140" s="259"/>
      <c r="AI140" s="259"/>
      <c r="AJ140" s="259"/>
      <c r="AK140" s="233"/>
      <c r="AL140" s="578"/>
      <c r="AM140" s="545"/>
      <c r="AN140" s="546"/>
      <c r="AO140" s="546"/>
      <c r="AP140" s="546"/>
      <c r="AQ140" s="547"/>
      <c r="AR140" s="489"/>
      <c r="AS140" s="402"/>
      <c r="AT140" s="402"/>
      <c r="AU140" s="254"/>
      <c r="AV140" s="548"/>
    </row>
    <row r="141" spans="1:48" ht="16.5" thickTop="1" thickBot="1" x14ac:dyDescent="0.3">
      <c r="A141" s="606"/>
      <c r="B141" s="549"/>
      <c r="C141" s="549"/>
      <c r="D141" s="549"/>
      <c r="E141" s="550"/>
      <c r="F141" s="387"/>
      <c r="G141" s="387"/>
      <c r="H141" s="387"/>
      <c r="I141" s="387"/>
      <c r="J141" s="387"/>
      <c r="K141" s="551"/>
      <c r="L141" s="387"/>
      <c r="M141" s="387"/>
      <c r="N141" s="387"/>
      <c r="O141" s="387"/>
      <c r="P141" s="355"/>
      <c r="Q141" s="355"/>
      <c r="R141" s="484"/>
      <c r="S141" s="420"/>
      <c r="T141" s="593"/>
      <c r="U141" s="593"/>
      <c r="V141" s="387"/>
      <c r="W141" s="387"/>
      <c r="X141" s="387"/>
      <c r="Y141" s="220"/>
      <c r="Z141" s="387"/>
      <c r="AA141" s="387"/>
      <c r="AB141" s="387"/>
      <c r="AC141" s="387"/>
      <c r="AD141" s="221"/>
      <c r="AE141" s="580"/>
      <c r="AF141" s="387"/>
      <c r="AG141" s="387"/>
      <c r="AH141" s="387"/>
      <c r="AI141" s="387"/>
      <c r="AJ141" s="387"/>
      <c r="AK141" s="235"/>
      <c r="AL141" s="581"/>
      <c r="AM141" s="387"/>
      <c r="AN141" s="387"/>
      <c r="AO141" s="387"/>
      <c r="AP141" s="387"/>
      <c r="AQ141" s="387"/>
      <c r="AR141" s="582"/>
      <c r="AS141" s="583"/>
      <c r="AT141" s="583"/>
      <c r="AU141" s="387"/>
      <c r="AV141" s="584"/>
    </row>
    <row r="142" spans="1:48" x14ac:dyDescent="0.25">
      <c r="A142" s="607"/>
      <c r="B142" s="555"/>
      <c r="C142" s="555"/>
      <c r="D142" s="555"/>
      <c r="E142" s="283"/>
      <c r="F142" s="429"/>
      <c r="G142" s="429"/>
      <c r="H142" s="284"/>
      <c r="I142" s="284"/>
      <c r="J142" s="285"/>
      <c r="K142" s="286"/>
      <c r="L142" s="287"/>
      <c r="M142" s="288"/>
      <c r="N142" s="289"/>
      <c r="O142" s="556"/>
      <c r="P142" s="557"/>
      <c r="Q142" s="558"/>
      <c r="R142" s="586"/>
      <c r="S142" s="834"/>
      <c r="T142" s="591"/>
      <c r="U142" s="591"/>
      <c r="V142" s="556"/>
      <c r="W142" s="559"/>
      <c r="X142" s="559"/>
      <c r="Y142" s="289"/>
      <c r="Z142" s="560"/>
      <c r="AA142" s="561"/>
      <c r="AB142" s="562"/>
      <c r="AC142" s="561"/>
      <c r="AD142" s="563"/>
      <c r="AE142" s="564"/>
      <c r="AF142" s="290"/>
      <c r="AG142" s="293"/>
      <c r="AH142" s="291"/>
      <c r="AI142" s="291"/>
      <c r="AJ142" s="291"/>
      <c r="AK142" s="292"/>
      <c r="AL142" s="565"/>
      <c r="AM142" s="530"/>
      <c r="AN142" s="531"/>
      <c r="AO142" s="531"/>
      <c r="AP142" s="531"/>
      <c r="AQ142" s="532"/>
      <c r="AR142" s="490"/>
      <c r="AS142" s="400"/>
      <c r="AT142" s="400"/>
      <c r="AU142" s="284"/>
      <c r="AV142" s="566"/>
    </row>
    <row r="143" spans="1:48" ht="15.75" thickBot="1" x14ac:dyDescent="0.3">
      <c r="A143" s="608"/>
      <c r="B143" s="568"/>
      <c r="C143" s="568"/>
      <c r="D143" s="568"/>
      <c r="E143" s="222"/>
      <c r="F143" s="430"/>
      <c r="G143" s="430"/>
      <c r="H143" s="223"/>
      <c r="I143" s="223"/>
      <c r="J143" s="224"/>
      <c r="K143" s="281"/>
      <c r="L143" s="225"/>
      <c r="M143" s="226"/>
      <c r="N143" s="227"/>
      <c r="O143" s="569"/>
      <c r="P143" s="570"/>
      <c r="Q143" s="571"/>
      <c r="R143" s="587"/>
      <c r="S143" s="835"/>
      <c r="T143" s="592"/>
      <c r="U143" s="592"/>
      <c r="V143" s="569"/>
      <c r="W143" s="572"/>
      <c r="X143" s="572"/>
      <c r="Y143" s="227"/>
      <c r="Z143" s="573"/>
      <c r="AA143" s="574"/>
      <c r="AB143" s="575"/>
      <c r="AC143" s="574"/>
      <c r="AD143" s="576"/>
      <c r="AE143" s="577"/>
      <c r="AF143" s="228"/>
      <c r="AG143" s="229"/>
      <c r="AH143" s="230"/>
      <c r="AI143" s="230"/>
      <c r="AJ143" s="230"/>
      <c r="AK143" s="234"/>
      <c r="AL143" s="578"/>
      <c r="AM143" s="545"/>
      <c r="AN143" s="546"/>
      <c r="AO143" s="546"/>
      <c r="AP143" s="546"/>
      <c r="AQ143" s="547"/>
      <c r="AR143" s="491"/>
      <c r="AS143" s="401"/>
      <c r="AT143" s="401"/>
      <c r="AU143" s="223"/>
      <c r="AV143" s="579"/>
    </row>
    <row r="144" spans="1:48" ht="16.5" thickTop="1" thickBot="1" x14ac:dyDescent="0.3">
      <c r="A144" s="639"/>
      <c r="B144" s="601"/>
      <c r="C144" s="601"/>
      <c r="D144" s="601"/>
      <c r="E144" s="519"/>
      <c r="F144" s="354"/>
      <c r="G144" s="354"/>
      <c r="H144" s="354"/>
      <c r="I144" s="354"/>
      <c r="J144" s="354"/>
      <c r="K144" s="638"/>
      <c r="L144" s="354"/>
      <c r="M144" s="354"/>
      <c r="N144" s="354"/>
      <c r="O144" s="354"/>
      <c r="P144" s="355"/>
      <c r="Q144" s="355"/>
      <c r="R144" s="484"/>
      <c r="S144" s="420"/>
      <c r="T144" s="590"/>
      <c r="U144" s="590"/>
      <c r="V144" s="354"/>
      <c r="W144" s="354"/>
      <c r="X144" s="354"/>
      <c r="Y144" s="149"/>
      <c r="Z144" s="354"/>
      <c r="AA144" s="354"/>
      <c r="AB144" s="354"/>
      <c r="AC144" s="354"/>
      <c r="AD144" s="392"/>
      <c r="AE144" s="382"/>
      <c r="AF144" s="354"/>
      <c r="AG144" s="354"/>
      <c r="AH144" s="354"/>
      <c r="AI144" s="354"/>
      <c r="AJ144" s="354"/>
      <c r="AK144" s="393"/>
      <c r="AL144" s="356"/>
      <c r="AM144" s="354"/>
      <c r="AN144" s="354"/>
      <c r="AO144" s="354"/>
      <c r="AP144" s="354"/>
      <c r="AQ144" s="354"/>
      <c r="AR144" s="552"/>
      <c r="AS144" s="553"/>
      <c r="AT144" s="553"/>
      <c r="AU144" s="354"/>
      <c r="AV144" s="554"/>
    </row>
    <row r="145" spans="1:48" x14ac:dyDescent="0.25">
      <c r="A145" s="609"/>
      <c r="B145" s="520"/>
      <c r="C145" s="520"/>
      <c r="D145" s="520"/>
      <c r="E145" s="236"/>
      <c r="F145" s="428"/>
      <c r="G145" s="428"/>
      <c r="H145" s="237"/>
      <c r="I145" s="237"/>
      <c r="J145" s="238"/>
      <c r="K145" s="597"/>
      <c r="L145" s="240"/>
      <c r="M145" s="241"/>
      <c r="N145" s="242"/>
      <c r="O145" s="521"/>
      <c r="P145" s="522"/>
      <c r="Q145" s="526"/>
      <c r="R145" s="481"/>
      <c r="S145" s="832"/>
      <c r="T145" s="588"/>
      <c r="U145" s="588"/>
      <c r="V145" s="521"/>
      <c r="W145" s="527"/>
      <c r="X145" s="527"/>
      <c r="Y145" s="242"/>
      <c r="Z145" s="528"/>
      <c r="AA145" s="529"/>
      <c r="AB145" s="528"/>
      <c r="AC145" s="529"/>
      <c r="AD145" s="523"/>
      <c r="AE145" s="585"/>
      <c r="AF145" s="243"/>
      <c r="AG145" s="266"/>
      <c r="AH145" s="244"/>
      <c r="AI145" s="244"/>
      <c r="AJ145" s="244"/>
      <c r="AK145" s="251"/>
      <c r="AL145" s="565"/>
      <c r="AM145" s="530"/>
      <c r="AN145" s="531"/>
      <c r="AO145" s="531"/>
      <c r="AP145" s="531"/>
      <c r="AQ145" s="532"/>
      <c r="AR145" s="488"/>
      <c r="AS145" s="399"/>
      <c r="AT145" s="399"/>
      <c r="AU145" s="237"/>
      <c r="AV145" s="533"/>
    </row>
    <row r="146" spans="1:48" ht="15.75" thickBot="1" x14ac:dyDescent="0.3">
      <c r="A146" s="605"/>
      <c r="B146" s="534"/>
      <c r="C146" s="534"/>
      <c r="D146" s="534"/>
      <c r="E146" s="253"/>
      <c r="F146" s="432"/>
      <c r="G146" s="432"/>
      <c r="H146" s="254"/>
      <c r="I146" s="254"/>
      <c r="J146" s="255"/>
      <c r="K146" s="282"/>
      <c r="L146" s="256"/>
      <c r="M146" s="257"/>
      <c r="N146" s="258"/>
      <c r="O146" s="535"/>
      <c r="P146" s="536"/>
      <c r="Q146" s="537"/>
      <c r="R146" s="482"/>
      <c r="S146" s="836"/>
      <c r="T146" s="589"/>
      <c r="U146" s="589"/>
      <c r="V146" s="535"/>
      <c r="W146" s="538"/>
      <c r="X146" s="538"/>
      <c r="Y146" s="258"/>
      <c r="Z146" s="539"/>
      <c r="AA146" s="540"/>
      <c r="AB146" s="539"/>
      <c r="AC146" s="540"/>
      <c r="AD146" s="541"/>
      <c r="AE146" s="542"/>
      <c r="AF146" s="485"/>
      <c r="AG146" s="267"/>
      <c r="AH146" s="259"/>
      <c r="AI146" s="259"/>
      <c r="AJ146" s="259"/>
      <c r="AK146" s="233"/>
      <c r="AL146" s="578"/>
      <c r="AM146" s="545"/>
      <c r="AN146" s="546"/>
      <c r="AO146" s="546"/>
      <c r="AP146" s="546"/>
      <c r="AQ146" s="547"/>
      <c r="AR146" s="489"/>
      <c r="AS146" s="402"/>
      <c r="AT146" s="402"/>
      <c r="AU146" s="254"/>
      <c r="AV146" s="548"/>
    </row>
    <row r="147" spans="1:48" ht="16.5" thickTop="1" thickBot="1" x14ac:dyDescent="0.3">
      <c r="A147" s="606"/>
      <c r="B147" s="549"/>
      <c r="C147" s="549"/>
      <c r="D147" s="549"/>
      <c r="E147" s="550"/>
      <c r="F147" s="387"/>
      <c r="G147" s="387"/>
      <c r="H147" s="387"/>
      <c r="I147" s="387"/>
      <c r="J147" s="387"/>
      <c r="K147" s="551"/>
      <c r="L147" s="387"/>
      <c r="M147" s="387"/>
      <c r="N147" s="387"/>
      <c r="O147" s="387"/>
      <c r="P147" s="355"/>
      <c r="Q147" s="355"/>
      <c r="R147" s="484"/>
      <c r="S147" s="420"/>
      <c r="T147" s="593"/>
      <c r="U147" s="593"/>
      <c r="V147" s="387"/>
      <c r="W147" s="387"/>
      <c r="X147" s="387"/>
      <c r="Y147" s="220"/>
      <c r="Z147" s="387"/>
      <c r="AA147" s="387"/>
      <c r="AB147" s="387"/>
      <c r="AC147" s="387"/>
      <c r="AD147" s="221"/>
      <c r="AE147" s="580"/>
      <c r="AF147" s="387"/>
      <c r="AG147" s="387"/>
      <c r="AH147" s="387"/>
      <c r="AI147" s="387"/>
      <c r="AJ147" s="387"/>
      <c r="AK147" s="235"/>
      <c r="AL147" s="581"/>
      <c r="AM147" s="387"/>
      <c r="AN147" s="387"/>
      <c r="AO147" s="387"/>
      <c r="AP147" s="387"/>
      <c r="AQ147" s="387"/>
      <c r="AR147" s="582"/>
      <c r="AS147" s="583"/>
      <c r="AT147" s="583"/>
      <c r="AU147" s="387"/>
      <c r="AV147" s="584"/>
    </row>
    <row r="148" spans="1:48" x14ac:dyDescent="0.25">
      <c r="A148" s="607"/>
      <c r="B148" s="555"/>
      <c r="C148" s="555"/>
      <c r="D148" s="555"/>
      <c r="E148" s="283"/>
      <c r="F148" s="429"/>
      <c r="G148" s="429"/>
      <c r="H148" s="284"/>
      <c r="I148" s="284"/>
      <c r="J148" s="285"/>
      <c r="K148" s="286"/>
      <c r="L148" s="287"/>
      <c r="M148" s="288"/>
      <c r="N148" s="289"/>
      <c r="O148" s="556"/>
      <c r="P148" s="557"/>
      <c r="Q148" s="558"/>
      <c r="R148" s="586"/>
      <c r="S148" s="834"/>
      <c r="T148" s="591"/>
      <c r="U148" s="591"/>
      <c r="V148" s="556"/>
      <c r="W148" s="559"/>
      <c r="X148" s="559"/>
      <c r="Y148" s="289"/>
      <c r="Z148" s="560"/>
      <c r="AA148" s="561"/>
      <c r="AB148" s="562"/>
      <c r="AC148" s="561"/>
      <c r="AD148" s="563"/>
      <c r="AE148" s="564"/>
      <c r="AF148" s="290"/>
      <c r="AG148" s="293"/>
      <c r="AH148" s="291"/>
      <c r="AI148" s="291"/>
      <c r="AJ148" s="291"/>
      <c r="AK148" s="292"/>
      <c r="AL148" s="565"/>
      <c r="AM148" s="530"/>
      <c r="AN148" s="531"/>
      <c r="AO148" s="531"/>
      <c r="AP148" s="531"/>
      <c r="AQ148" s="532"/>
      <c r="AR148" s="490"/>
      <c r="AS148" s="400"/>
      <c r="AT148" s="400"/>
      <c r="AU148" s="284"/>
      <c r="AV148" s="566"/>
    </row>
    <row r="149" spans="1:48" ht="15.75" thickBot="1" x14ac:dyDescent="0.3">
      <c r="A149" s="608"/>
      <c r="B149" s="568"/>
      <c r="C149" s="568"/>
      <c r="D149" s="568"/>
      <c r="E149" s="222"/>
      <c r="F149" s="430"/>
      <c r="G149" s="430"/>
      <c r="H149" s="223"/>
      <c r="I149" s="223"/>
      <c r="J149" s="224"/>
      <c r="K149" s="281"/>
      <c r="L149" s="225"/>
      <c r="M149" s="226"/>
      <c r="N149" s="227"/>
      <c r="O149" s="569"/>
      <c r="P149" s="570"/>
      <c r="Q149" s="571"/>
      <c r="R149" s="587"/>
      <c r="S149" s="835"/>
      <c r="T149" s="592"/>
      <c r="U149" s="592"/>
      <c r="V149" s="569"/>
      <c r="W149" s="572"/>
      <c r="X149" s="572"/>
      <c r="Y149" s="227"/>
      <c r="Z149" s="573"/>
      <c r="AA149" s="574"/>
      <c r="AB149" s="575"/>
      <c r="AC149" s="574"/>
      <c r="AD149" s="576"/>
      <c r="AE149" s="577"/>
      <c r="AF149" s="228"/>
      <c r="AG149" s="229"/>
      <c r="AH149" s="230"/>
      <c r="AI149" s="230"/>
      <c r="AJ149" s="230"/>
      <c r="AK149" s="234"/>
      <c r="AL149" s="578"/>
      <c r="AM149" s="545"/>
      <c r="AN149" s="546"/>
      <c r="AO149" s="546"/>
      <c r="AP149" s="546"/>
      <c r="AQ149" s="547"/>
      <c r="AR149" s="491"/>
      <c r="AS149" s="401"/>
      <c r="AT149" s="401"/>
      <c r="AU149" s="223"/>
      <c r="AV149" s="579"/>
    </row>
    <row r="150" spans="1:48" ht="16.5" thickTop="1" thickBot="1" x14ac:dyDescent="0.3">
      <c r="A150" s="639"/>
      <c r="B150" s="601"/>
      <c r="C150" s="601"/>
      <c r="D150" s="601"/>
      <c r="E150" s="519"/>
      <c r="F150" s="387"/>
      <c r="G150" s="387"/>
      <c r="H150" s="387"/>
      <c r="I150" s="387"/>
      <c r="J150" s="387"/>
      <c r="K150" s="551"/>
      <c r="L150" s="387"/>
      <c r="M150" s="387"/>
      <c r="N150" s="387"/>
      <c r="O150" s="387"/>
      <c r="P150" s="355"/>
      <c r="Q150" s="355"/>
      <c r="R150" s="484"/>
      <c r="S150" s="420"/>
      <c r="T150" s="593"/>
      <c r="U150" s="593"/>
      <c r="V150" s="387"/>
      <c r="W150" s="387"/>
      <c r="X150" s="387"/>
      <c r="Y150" s="220"/>
      <c r="Z150" s="387"/>
      <c r="AA150" s="387"/>
      <c r="AB150" s="387"/>
      <c r="AC150" s="387"/>
      <c r="AD150" s="221"/>
      <c r="AE150" s="580"/>
      <c r="AF150" s="387"/>
      <c r="AG150" s="387"/>
      <c r="AH150" s="387"/>
      <c r="AI150" s="387"/>
      <c r="AJ150" s="387"/>
      <c r="AK150" s="235"/>
      <c r="AL150" s="581"/>
      <c r="AM150" s="387"/>
      <c r="AN150" s="387"/>
      <c r="AO150" s="387"/>
      <c r="AP150" s="387"/>
      <c r="AQ150" s="387"/>
      <c r="AR150" s="582"/>
      <c r="AS150" s="583"/>
      <c r="AT150" s="583"/>
      <c r="AU150" s="387"/>
      <c r="AV150" s="584"/>
    </row>
    <row r="151" spans="1:48" x14ac:dyDescent="0.25">
      <c r="A151" s="609"/>
      <c r="B151" s="520"/>
      <c r="C151" s="520"/>
      <c r="D151" s="520"/>
      <c r="E151" s="236"/>
      <c r="F151" s="428"/>
      <c r="G151" s="428"/>
      <c r="H151" s="237"/>
      <c r="I151" s="237"/>
      <c r="J151" s="238"/>
      <c r="K151" s="597"/>
      <c r="L151" s="240"/>
      <c r="M151" s="241"/>
      <c r="N151" s="242"/>
      <c r="O151" s="521"/>
      <c r="P151" s="522"/>
      <c r="Q151" s="526"/>
      <c r="R151" s="481"/>
      <c r="S151" s="832"/>
      <c r="T151" s="588"/>
      <c r="U151" s="588"/>
      <c r="V151" s="521"/>
      <c r="W151" s="527"/>
      <c r="X151" s="527"/>
      <c r="Y151" s="242"/>
      <c r="Z151" s="528"/>
      <c r="AA151" s="529"/>
      <c r="AB151" s="528"/>
      <c r="AC151" s="529"/>
      <c r="AD151" s="523"/>
      <c r="AE151" s="585"/>
      <c r="AF151" s="243"/>
      <c r="AG151" s="266"/>
      <c r="AH151" s="244"/>
      <c r="AI151" s="244"/>
      <c r="AJ151" s="244"/>
      <c r="AK151" s="251"/>
      <c r="AL151" s="565"/>
      <c r="AM151" s="530"/>
      <c r="AN151" s="531"/>
      <c r="AO151" s="531"/>
      <c r="AP151" s="531"/>
      <c r="AQ151" s="532"/>
      <c r="AR151" s="488"/>
      <c r="AS151" s="399"/>
      <c r="AT151" s="399"/>
      <c r="AU151" s="237"/>
      <c r="AV151" s="533"/>
    </row>
    <row r="152" spans="1:48" ht="15.75" thickBot="1" x14ac:dyDescent="0.3">
      <c r="A152" s="605"/>
      <c r="B152" s="534"/>
      <c r="C152" s="534"/>
      <c r="D152" s="534"/>
      <c r="E152" s="253"/>
      <c r="F152" s="432"/>
      <c r="G152" s="432"/>
      <c r="H152" s="254"/>
      <c r="I152" s="254"/>
      <c r="J152" s="255"/>
      <c r="K152" s="282"/>
      <c r="L152" s="256"/>
      <c r="M152" s="257"/>
      <c r="N152" s="258"/>
      <c r="O152" s="535"/>
      <c r="P152" s="536"/>
      <c r="Q152" s="537"/>
      <c r="R152" s="482"/>
      <c r="S152" s="836"/>
      <c r="T152" s="589"/>
      <c r="U152" s="589"/>
      <c r="V152" s="535"/>
      <c r="W152" s="538"/>
      <c r="X152" s="538"/>
      <c r="Y152" s="258"/>
      <c r="Z152" s="539"/>
      <c r="AA152" s="540"/>
      <c r="AB152" s="539"/>
      <c r="AC152" s="540"/>
      <c r="AD152" s="541"/>
      <c r="AE152" s="542"/>
      <c r="AF152" s="485"/>
      <c r="AG152" s="267"/>
      <c r="AH152" s="259"/>
      <c r="AI152" s="259"/>
      <c r="AJ152" s="259"/>
      <c r="AK152" s="233"/>
      <c r="AL152" s="578"/>
      <c r="AM152" s="545"/>
      <c r="AN152" s="546"/>
      <c r="AO152" s="546"/>
      <c r="AP152" s="546"/>
      <c r="AQ152" s="547"/>
      <c r="AR152" s="489"/>
      <c r="AS152" s="402"/>
      <c r="AT152" s="402"/>
      <c r="AU152" s="254"/>
      <c r="AV152" s="548"/>
    </row>
    <row r="153" spans="1:48" ht="16.5" thickTop="1" thickBot="1" x14ac:dyDescent="0.3">
      <c r="A153" s="606"/>
      <c r="B153" s="549"/>
      <c r="C153" s="549"/>
      <c r="D153" s="549"/>
      <c r="E153" s="550"/>
      <c r="F153" s="387"/>
      <c r="G153" s="387"/>
      <c r="H153" s="387"/>
      <c r="I153" s="387"/>
      <c r="J153" s="387"/>
      <c r="K153" s="551"/>
      <c r="L153" s="387"/>
      <c r="M153" s="387"/>
      <c r="N153" s="387"/>
      <c r="O153" s="387"/>
      <c r="P153" s="355"/>
      <c r="Q153" s="355"/>
      <c r="R153" s="484"/>
      <c r="S153" s="420"/>
      <c r="T153" s="593"/>
      <c r="U153" s="593"/>
      <c r="V153" s="387"/>
      <c r="W153" s="387"/>
      <c r="X153" s="387"/>
      <c r="Y153" s="220"/>
      <c r="Z153" s="387"/>
      <c r="AA153" s="387"/>
      <c r="AB153" s="387"/>
      <c r="AC153" s="387"/>
      <c r="AD153" s="221"/>
      <c r="AE153" s="580"/>
      <c r="AF153" s="387"/>
      <c r="AG153" s="387"/>
      <c r="AH153" s="387"/>
      <c r="AI153" s="387"/>
      <c r="AJ153" s="387"/>
      <c r="AK153" s="235"/>
      <c r="AL153" s="581"/>
      <c r="AM153" s="387"/>
      <c r="AN153" s="387"/>
      <c r="AO153" s="387"/>
      <c r="AP153" s="387"/>
      <c r="AQ153" s="387"/>
      <c r="AR153" s="582"/>
      <c r="AS153" s="583"/>
      <c r="AT153" s="583"/>
      <c r="AU153" s="387"/>
      <c r="AV153" s="584"/>
    </row>
    <row r="154" spans="1:48" x14ac:dyDescent="0.25">
      <c r="A154" s="607"/>
      <c r="B154" s="555"/>
      <c r="C154" s="555"/>
      <c r="D154" s="555"/>
      <c r="E154" s="283"/>
      <c r="F154" s="429"/>
      <c r="G154" s="429"/>
      <c r="H154" s="284"/>
      <c r="I154" s="284"/>
      <c r="J154" s="285"/>
      <c r="K154" s="286"/>
      <c r="L154" s="287"/>
      <c r="M154" s="288"/>
      <c r="N154" s="289"/>
      <c r="O154" s="556"/>
      <c r="P154" s="557"/>
      <c r="Q154" s="558"/>
      <c r="R154" s="586"/>
      <c r="S154" s="834"/>
      <c r="T154" s="591"/>
      <c r="U154" s="591"/>
      <c r="V154" s="556"/>
      <c r="W154" s="559"/>
      <c r="X154" s="559"/>
      <c r="Y154" s="289"/>
      <c r="Z154" s="560"/>
      <c r="AA154" s="561"/>
      <c r="AB154" s="562"/>
      <c r="AC154" s="561"/>
      <c r="AD154" s="563"/>
      <c r="AE154" s="564"/>
      <c r="AF154" s="290"/>
      <c r="AG154" s="293"/>
      <c r="AH154" s="291"/>
      <c r="AI154" s="291"/>
      <c r="AJ154" s="291"/>
      <c r="AK154" s="292"/>
      <c r="AL154" s="565"/>
      <c r="AM154" s="530"/>
      <c r="AN154" s="531"/>
      <c r="AO154" s="531"/>
      <c r="AP154" s="531"/>
      <c r="AQ154" s="532"/>
      <c r="AR154" s="490"/>
      <c r="AS154" s="400"/>
      <c r="AT154" s="400"/>
      <c r="AU154" s="284"/>
      <c r="AV154" s="566"/>
    </row>
    <row r="155" spans="1:48" ht="15.75" thickBot="1" x14ac:dyDescent="0.3">
      <c r="A155" s="608"/>
      <c r="B155" s="568"/>
      <c r="C155" s="568"/>
      <c r="D155" s="568"/>
      <c r="E155" s="222"/>
      <c r="F155" s="430"/>
      <c r="G155" s="430"/>
      <c r="H155" s="223"/>
      <c r="I155" s="223"/>
      <c r="J155" s="224"/>
      <c r="K155" s="281"/>
      <c r="L155" s="225"/>
      <c r="M155" s="226"/>
      <c r="N155" s="227"/>
      <c r="O155" s="569"/>
      <c r="P155" s="570"/>
      <c r="Q155" s="571"/>
      <c r="R155" s="587"/>
      <c r="S155" s="835"/>
      <c r="T155" s="592"/>
      <c r="U155" s="592"/>
      <c r="V155" s="569"/>
      <c r="W155" s="572"/>
      <c r="X155" s="572"/>
      <c r="Y155" s="227"/>
      <c r="Z155" s="573"/>
      <c r="AA155" s="574"/>
      <c r="AB155" s="575"/>
      <c r="AC155" s="574"/>
      <c r="AD155" s="576"/>
      <c r="AE155" s="577"/>
      <c r="AF155" s="228"/>
      <c r="AG155" s="229"/>
      <c r="AH155" s="230"/>
      <c r="AI155" s="230"/>
      <c r="AJ155" s="230"/>
      <c r="AK155" s="234"/>
      <c r="AL155" s="578"/>
      <c r="AM155" s="545"/>
      <c r="AN155" s="546"/>
      <c r="AO155" s="546"/>
      <c r="AP155" s="546"/>
      <c r="AQ155" s="547"/>
      <c r="AR155" s="491"/>
      <c r="AS155" s="401"/>
      <c r="AT155" s="401"/>
      <c r="AU155" s="223"/>
      <c r="AV155" s="579"/>
    </row>
    <row r="156" spans="1:48" ht="15.75" thickTop="1" x14ac:dyDescent="0.25">
      <c r="F156" s="765"/>
      <c r="H156" s="765"/>
      <c r="S156" s="838"/>
      <c r="AS156" s="2"/>
      <c r="AU156" s="765"/>
    </row>
    <row r="157" spans="1:48" x14ac:dyDescent="0.25">
      <c r="F157" s="765"/>
      <c r="S157" s="838"/>
      <c r="AS157" s="2"/>
      <c r="AU157" s="765"/>
    </row>
    <row r="158" spans="1:48" x14ac:dyDescent="0.25">
      <c r="F158" s="765"/>
      <c r="Q158" s="838"/>
    </row>
    <row r="159" spans="1:48" x14ac:dyDescent="0.25">
      <c r="F159" s="765"/>
      <c r="Q159" s="838"/>
    </row>
    <row r="160" spans="1:48" x14ac:dyDescent="0.25">
      <c r="F160" s="765"/>
      <c r="J160" s="2" t="s">
        <v>344</v>
      </c>
      <c r="K160" s="2" t="s">
        <v>3438</v>
      </c>
      <c r="L160" s="2" t="s">
        <v>356</v>
      </c>
      <c r="Q160" s="838"/>
    </row>
    <row r="161" spans="6:17" x14ac:dyDescent="0.25">
      <c r="F161" s="765"/>
      <c r="I161" s="368" t="s">
        <v>3131</v>
      </c>
      <c r="J161" s="5">
        <f t="shared" ref="J161:J167" si="335">SUMIFS($O$71:$O$71,$B$71:$B$71,$I161)</f>
        <v>0</v>
      </c>
      <c r="K161" s="5">
        <f t="shared" ref="K161:K167" si="336">SUMIFS($T$71:$T$71,$B$71:$B$71,$I161)</f>
        <v>0</v>
      </c>
      <c r="L161" s="219">
        <f>J161+K161</f>
        <v>0</v>
      </c>
      <c r="M161" s="117">
        <f>SUMIFS('Facilities &amp; Bond Details'!$M$4:$M$24,'Facilities &amp; Bond Details'!$A$4:$A$24,'Repo Details and VaR'!I161)</f>
        <v>14326375.555555556</v>
      </c>
      <c r="N161" s="102">
        <f>M161+SUM(L161:L163)</f>
        <v>14326375.555555556</v>
      </c>
      <c r="Q161" s="838"/>
    </row>
    <row r="162" spans="6:17" x14ac:dyDescent="0.25">
      <c r="F162" s="765"/>
      <c r="I162" s="368" t="s">
        <v>3153</v>
      </c>
      <c r="J162" s="5">
        <f t="shared" si="335"/>
        <v>0</v>
      </c>
      <c r="K162" s="5">
        <f t="shared" si="336"/>
        <v>0</v>
      </c>
      <c r="L162" s="219">
        <f t="shared" ref="L162:L167" si="337">J162+K162</f>
        <v>0</v>
      </c>
      <c r="M162" s="117">
        <f>SUMIFS('Facilities &amp; Bond Details'!$M$4:$M$24,'Facilities &amp; Bond Details'!$A$4:$A$24,'Repo Details and VaR'!I162)</f>
        <v>0</v>
      </c>
      <c r="Q162" s="838"/>
    </row>
    <row r="163" spans="6:17" x14ac:dyDescent="0.25">
      <c r="F163" s="765"/>
      <c r="I163" s="368" t="s">
        <v>3291</v>
      </c>
      <c r="J163" s="5">
        <f t="shared" si="335"/>
        <v>0</v>
      </c>
      <c r="K163" s="5">
        <f t="shared" si="336"/>
        <v>0</v>
      </c>
      <c r="L163" s="219">
        <f t="shared" si="337"/>
        <v>0</v>
      </c>
      <c r="M163" s="117">
        <f>SUMIFS('Facilities &amp; Bond Details'!$M$4:$M$24,'Facilities &amp; Bond Details'!$A$4:$A$24,'Repo Details and VaR'!I163)</f>
        <v>0</v>
      </c>
      <c r="Q163" s="838"/>
    </row>
    <row r="164" spans="6:17" x14ac:dyDescent="0.25">
      <c r="F164" s="765"/>
      <c r="I164" s="368" t="s">
        <v>607</v>
      </c>
      <c r="J164" s="5">
        <f t="shared" si="335"/>
        <v>0</v>
      </c>
      <c r="K164" s="5">
        <f t="shared" si="336"/>
        <v>0</v>
      </c>
      <c r="L164" s="219">
        <f t="shared" si="337"/>
        <v>0</v>
      </c>
      <c r="M164" s="117">
        <f>SUMIFS('Facilities &amp; Bond Details'!$M$4:$M$24,'Facilities &amp; Bond Details'!$A$4:$A$24,'Repo Details and VaR'!I164)</f>
        <v>0</v>
      </c>
      <c r="Q164" s="838"/>
    </row>
    <row r="165" spans="6:17" x14ac:dyDescent="0.25">
      <c r="F165" s="765"/>
      <c r="I165" s="368" t="s">
        <v>981</v>
      </c>
      <c r="J165" s="5">
        <f t="shared" si="335"/>
        <v>0</v>
      </c>
      <c r="K165" s="5">
        <f t="shared" si="336"/>
        <v>0</v>
      </c>
      <c r="L165" s="219">
        <f t="shared" si="337"/>
        <v>0</v>
      </c>
      <c r="M165" s="117">
        <f>SUMIFS('Facilities &amp; Bond Details'!$M$4:$M$24,'Facilities &amp; Bond Details'!$A$4:$A$24,'Repo Details and VaR'!I165)</f>
        <v>0</v>
      </c>
      <c r="Q165" s="838"/>
    </row>
    <row r="166" spans="6:17" x14ac:dyDescent="0.25">
      <c r="F166" s="765"/>
      <c r="I166" s="368" t="s">
        <v>2358</v>
      </c>
      <c r="J166" s="5">
        <f t="shared" si="335"/>
        <v>0</v>
      </c>
      <c r="K166" s="5">
        <f t="shared" si="336"/>
        <v>0</v>
      </c>
      <c r="L166" s="219">
        <f t="shared" si="337"/>
        <v>0</v>
      </c>
      <c r="M166" s="117">
        <f>SUMIFS('Facilities &amp; Bond Details'!$M$4:$M$24,'Facilities &amp; Bond Details'!$A$4:$A$24,'Repo Details and VaR'!I166)</f>
        <v>76454328.888888896</v>
      </c>
      <c r="N166" s="102">
        <f>L166+M166</f>
        <v>76454328.888888896</v>
      </c>
      <c r="Q166" s="838"/>
    </row>
    <row r="167" spans="6:17" x14ac:dyDescent="0.25">
      <c r="F167" s="765"/>
      <c r="I167" s="368" t="s">
        <v>3418</v>
      </c>
      <c r="J167" s="5">
        <f t="shared" si="335"/>
        <v>0</v>
      </c>
      <c r="K167" s="5">
        <f t="shared" si="336"/>
        <v>0</v>
      </c>
      <c r="L167" s="219">
        <f t="shared" si="337"/>
        <v>0</v>
      </c>
      <c r="M167" s="117">
        <f>SUMIFS('Facilities &amp; Bond Details'!$M$4:$M$24,'Facilities &amp; Bond Details'!$A$4:$A$24,'Repo Details and VaR'!I167)</f>
        <v>12236647.925003557</v>
      </c>
      <c r="N167" s="102">
        <f>L167+M167</f>
        <v>12236647.925003557</v>
      </c>
      <c r="Q167" s="838"/>
    </row>
    <row r="168" spans="6:17" x14ac:dyDescent="0.25">
      <c r="F168" s="765"/>
      <c r="I168"/>
      <c r="L168" s="219">
        <f>SUM(L161:L167)</f>
        <v>0</v>
      </c>
      <c r="M168" s="219">
        <f>SUM(M161:M167)</f>
        <v>103017352.36944801</v>
      </c>
      <c r="Q168" s="838"/>
    </row>
    <row r="169" spans="6:17" x14ac:dyDescent="0.25">
      <c r="F169" s="765"/>
      <c r="I169"/>
      <c r="Q169" s="838"/>
    </row>
    <row r="170" spans="6:17" x14ac:dyDescent="0.25">
      <c r="F170" s="765"/>
      <c r="I170"/>
      <c r="Q170" s="838"/>
    </row>
    <row r="171" spans="6:17" x14ac:dyDescent="0.25">
      <c r="F171" s="765"/>
      <c r="I171"/>
      <c r="Q171" s="838"/>
    </row>
    <row r="172" spans="6:17" x14ac:dyDescent="0.25">
      <c r="F172" s="765"/>
      <c r="I172"/>
      <c r="Q172" s="838"/>
    </row>
    <row r="173" spans="6:17" x14ac:dyDescent="0.25">
      <c r="F173" s="765"/>
      <c r="I173"/>
      <c r="Q173" s="838"/>
    </row>
    <row r="174" spans="6:17" x14ac:dyDescent="0.25">
      <c r="F174" s="765"/>
      <c r="I174"/>
      <c r="Q174" s="838"/>
    </row>
    <row r="175" spans="6:17" x14ac:dyDescent="0.25">
      <c r="F175" s="765"/>
      <c r="I175"/>
      <c r="Q175" s="838"/>
    </row>
    <row r="176" spans="6:17" x14ac:dyDescent="0.25">
      <c r="F176" s="765"/>
      <c r="I176"/>
      <c r="Q176" s="838"/>
    </row>
    <row r="177" spans="6:46" x14ac:dyDescent="0.25">
      <c r="F177" s="765"/>
      <c r="I177"/>
      <c r="Q177" s="838"/>
    </row>
    <row r="178" spans="6:46" x14ac:dyDescent="0.25">
      <c r="F178" s="765"/>
      <c r="I178"/>
      <c r="Q178" s="838"/>
    </row>
    <row r="179" spans="6:46" x14ac:dyDescent="0.25">
      <c r="F179" s="765"/>
      <c r="I179"/>
      <c r="Q179" s="838"/>
    </row>
    <row r="180" spans="6:46" x14ac:dyDescent="0.25">
      <c r="F180" s="765"/>
      <c r="I180"/>
      <c r="Q180" s="838"/>
    </row>
    <row r="181" spans="6:46" x14ac:dyDescent="0.25">
      <c r="F181" s="765"/>
      <c r="I181"/>
      <c r="Q181" s="838"/>
    </row>
    <row r="182" spans="6:46" x14ac:dyDescent="0.25">
      <c r="F182" s="765"/>
      <c r="I182"/>
      <c r="Q182" s="838"/>
    </row>
    <row r="183" spans="6:46" x14ac:dyDescent="0.25">
      <c r="F183" s="765"/>
      <c r="I183"/>
      <c r="Q183" s="838"/>
    </row>
    <row r="184" spans="6:46" x14ac:dyDescent="0.25">
      <c r="F184" s="765"/>
      <c r="I184"/>
      <c r="Q184" s="838"/>
    </row>
    <row r="185" spans="6:46" x14ac:dyDescent="0.25">
      <c r="F185" s="765"/>
      <c r="I185"/>
      <c r="Q185" s="838"/>
    </row>
    <row r="186" spans="6:46" x14ac:dyDescent="0.25">
      <c r="F186" s="765"/>
      <c r="I186"/>
      <c r="Q186" s="838"/>
    </row>
    <row r="187" spans="6:46" x14ac:dyDescent="0.25">
      <c r="F187" s="765"/>
      <c r="I187"/>
      <c r="Q187" s="838"/>
    </row>
    <row r="188" spans="6:46" x14ac:dyDescent="0.25">
      <c r="I188"/>
      <c r="R188" s="838"/>
      <c r="AS188" s="2"/>
      <c r="AT188" s="765"/>
    </row>
    <row r="189" spans="6:46" x14ac:dyDescent="0.25">
      <c r="R189" s="838"/>
      <c r="AS189" s="2"/>
      <c r="AT189" s="765"/>
    </row>
    <row r="190" spans="6:46" x14ac:dyDescent="0.25">
      <c r="R190" s="838"/>
      <c r="AS190" s="2"/>
      <c r="AT190" s="765"/>
    </row>
    <row r="191" spans="6:46" x14ac:dyDescent="0.25">
      <c r="R191" s="838"/>
      <c r="AS191" s="2"/>
      <c r="AT191" s="765"/>
    </row>
    <row r="192" spans="6:46" x14ac:dyDescent="0.25">
      <c r="AS192" s="2"/>
      <c r="AT192" s="765"/>
    </row>
    <row r="193" spans="45:46" x14ac:dyDescent="0.25">
      <c r="AS193" s="2"/>
      <c r="AT193" s="765"/>
    </row>
    <row r="194" spans="45:46" x14ac:dyDescent="0.25">
      <c r="AS194" s="2"/>
      <c r="AT194" s="765"/>
    </row>
    <row r="195" spans="45:46" x14ac:dyDescent="0.25">
      <c r="AS195" s="2"/>
      <c r="AT195" s="765"/>
    </row>
    <row r="196" spans="45:46" x14ac:dyDescent="0.25">
      <c r="AS196" s="2"/>
      <c r="AT196" s="765"/>
    </row>
    <row r="197" spans="45:46" x14ac:dyDescent="0.25">
      <c r="AS197" s="2"/>
      <c r="AT197" s="765"/>
    </row>
    <row r="198" spans="45:46" x14ac:dyDescent="0.25">
      <c r="AS198" s="2"/>
      <c r="AT198" s="765"/>
    </row>
    <row r="199" spans="45:46" x14ac:dyDescent="0.25">
      <c r="AS199" s="2"/>
      <c r="AT199" s="765"/>
    </row>
    <row r="200" spans="45:46" x14ac:dyDescent="0.25">
      <c r="AS200" s="2"/>
      <c r="AT200" s="765"/>
    </row>
    <row r="201" spans="45:46" x14ac:dyDescent="0.25">
      <c r="AS201" s="2"/>
      <c r="AT201" s="765"/>
    </row>
    <row r="202" spans="45:46" x14ac:dyDescent="0.25">
      <c r="AS202" s="2"/>
      <c r="AT202" s="765"/>
    </row>
    <row r="203" spans="45:46" x14ac:dyDescent="0.25">
      <c r="AS203" s="2"/>
      <c r="AT203" s="765"/>
    </row>
    <row r="204" spans="45:46" x14ac:dyDescent="0.25">
      <c r="AS204" s="2"/>
      <c r="AT204" s="765"/>
    </row>
    <row r="205" spans="45:46" x14ac:dyDescent="0.25">
      <c r="AS205" s="2"/>
      <c r="AT205" s="765"/>
    </row>
    <row r="206" spans="45:46" x14ac:dyDescent="0.25">
      <c r="AS206" s="2"/>
      <c r="AT206" s="765"/>
    </row>
    <row r="207" spans="45:46" x14ac:dyDescent="0.25">
      <c r="AS207" s="2"/>
      <c r="AT207" s="765"/>
    </row>
    <row r="208" spans="45:46" x14ac:dyDescent="0.25">
      <c r="AS208" s="2"/>
      <c r="AT208" s="765"/>
    </row>
    <row r="209" spans="45:46" x14ac:dyDescent="0.25">
      <c r="AS209" s="2"/>
      <c r="AT209" s="765"/>
    </row>
    <row r="210" spans="45:46" x14ac:dyDescent="0.25">
      <c r="AS210" s="2"/>
      <c r="AT210" s="765"/>
    </row>
    <row r="211" spans="45:46" x14ac:dyDescent="0.25">
      <c r="AS211" s="2"/>
      <c r="AT211" s="765"/>
    </row>
    <row r="212" spans="45:46" x14ac:dyDescent="0.25">
      <c r="AS212" s="2"/>
      <c r="AT212" s="765"/>
    </row>
    <row r="213" spans="45:46" x14ac:dyDescent="0.25">
      <c r="AS213" s="2"/>
      <c r="AT213" s="765"/>
    </row>
    <row r="214" spans="45:46" x14ac:dyDescent="0.25">
      <c r="AS214" s="2"/>
      <c r="AT214" s="765"/>
    </row>
    <row r="215" spans="45:46" x14ac:dyDescent="0.25">
      <c r="AS215" s="2"/>
      <c r="AT215" s="765"/>
    </row>
    <row r="216" spans="45:46" x14ac:dyDescent="0.25">
      <c r="AS216" s="2"/>
      <c r="AT216" s="765"/>
    </row>
    <row r="217" spans="45:46" x14ac:dyDescent="0.25">
      <c r="AS217" s="2"/>
      <c r="AT217" s="765"/>
    </row>
    <row r="218" spans="45:46" x14ac:dyDescent="0.25">
      <c r="AS218" s="2"/>
      <c r="AT218" s="765"/>
    </row>
    <row r="219" spans="45:46" x14ac:dyDescent="0.25">
      <c r="AS219" s="2"/>
      <c r="AT219" s="765"/>
    </row>
    <row r="220" spans="45:46" x14ac:dyDescent="0.25">
      <c r="AS220" s="2"/>
      <c r="AT220" s="765"/>
    </row>
    <row r="221" spans="45:46" x14ac:dyDescent="0.25">
      <c r="AS221" s="2"/>
      <c r="AT221" s="765"/>
    </row>
    <row r="222" spans="45:46" x14ac:dyDescent="0.25">
      <c r="AS222" s="2"/>
      <c r="AT222" s="765"/>
    </row>
    <row r="223" spans="45:46" x14ac:dyDescent="0.25">
      <c r="AS223" s="2"/>
      <c r="AT223" s="765"/>
    </row>
    <row r="224" spans="45:46" x14ac:dyDescent="0.25">
      <c r="AS224" s="2"/>
      <c r="AT224" s="765"/>
    </row>
    <row r="225" spans="45:46" x14ac:dyDescent="0.25">
      <c r="AS225" s="2"/>
      <c r="AT225" s="765"/>
    </row>
    <row r="226" spans="45:46" x14ac:dyDescent="0.25">
      <c r="AS226" s="2"/>
      <c r="AT226" s="765"/>
    </row>
    <row r="227" spans="45:46" x14ac:dyDescent="0.25">
      <c r="AS227" s="2"/>
      <c r="AT227" s="765"/>
    </row>
    <row r="228" spans="45:46" x14ac:dyDescent="0.25">
      <c r="AS228" s="2"/>
      <c r="AT228" s="765"/>
    </row>
    <row r="229" spans="45:46" x14ac:dyDescent="0.25">
      <c r="AS229" s="2"/>
      <c r="AT229" s="765"/>
    </row>
    <row r="230" spans="45:46" x14ac:dyDescent="0.25">
      <c r="AS230" s="2"/>
      <c r="AT230" s="765"/>
    </row>
    <row r="231" spans="45:46" x14ac:dyDescent="0.25">
      <c r="AS231" s="2"/>
      <c r="AT231" s="765"/>
    </row>
  </sheetData>
  <sortState xmlns:xlrd2="http://schemas.microsoft.com/office/spreadsheetml/2017/richdata2" ref="I161:I167">
    <sortCondition ref="I161:I167"/>
  </sortState>
  <mergeCells count="13">
    <mergeCell ref="AR49:AV49"/>
    <mergeCell ref="C49:N49"/>
    <mergeCell ref="O49:AC49"/>
    <mergeCell ref="AD49:AF49"/>
    <mergeCell ref="AG49:AK49"/>
    <mergeCell ref="AL49:AQ49"/>
    <mergeCell ref="A37:S37"/>
    <mergeCell ref="T37:Y37"/>
    <mergeCell ref="A12:N12"/>
    <mergeCell ref="Q12:Y12"/>
    <mergeCell ref="Q13:S13"/>
    <mergeCell ref="T13:V13"/>
    <mergeCell ref="W13:Y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4]!Run_Multi_Borrower_VaR_Risk">
                <anchor moveWithCells="1" sizeWithCells="1">
                  <from>
                    <xdr:col>2</xdr:col>
                    <xdr:colOff>542925</xdr:colOff>
                    <xdr:row>2</xdr:row>
                    <xdr:rowOff>66675</xdr:rowOff>
                  </from>
                  <to>
                    <xdr:col>3</xdr:col>
                    <xdr:colOff>714375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ompare_Var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3</xdr:col>
                    <xdr:colOff>714375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ompare_Prices">
                <anchor moveWithCells="1" sizeWithCells="1">
                  <from>
                    <xdr:col>2</xdr:col>
                    <xdr:colOff>533400</xdr:colOff>
                    <xdr:row>6</xdr:row>
                    <xdr:rowOff>161925</xdr:rowOff>
                  </from>
                  <to>
                    <xdr:col>3</xdr:col>
                    <xdr:colOff>714375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3]!Build_IMR_Var_Sheet_WithCCY">
                <anchor moveWithCells="1" sizeWithCells="1">
                  <from>
                    <xdr:col>10</xdr:col>
                    <xdr:colOff>542925</xdr:colOff>
                    <xdr:row>2</xdr:row>
                    <xdr:rowOff>66675</xdr:rowOff>
                  </from>
                  <to>
                    <xdr:col>11</xdr:col>
                    <xdr:colOff>876300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S2356"/>
  <sheetViews>
    <sheetView showGridLines="0" zoomScaleNormal="100" workbookViewId="0">
      <selection activeCell="J9" sqref="J9:K9"/>
    </sheetView>
  </sheetViews>
  <sheetFormatPr defaultColWidth="9.140625" defaultRowHeight="15" x14ac:dyDescent="0.25"/>
  <cols>
    <col min="1" max="1" width="18.85546875" style="2" customWidth="1"/>
    <col min="2" max="2" width="27.85546875" style="2" customWidth="1"/>
    <col min="3" max="3" width="16.42578125" style="2" bestFit="1" customWidth="1"/>
    <col min="4" max="4" width="16" style="2" bestFit="1" customWidth="1"/>
    <col min="5" max="5" width="15.140625" style="2" bestFit="1" customWidth="1"/>
    <col min="6" max="6" width="15.42578125" style="2" bestFit="1" customWidth="1"/>
    <col min="7" max="7" width="15.140625" style="2" customWidth="1"/>
    <col min="8" max="8" width="16" style="2" customWidth="1"/>
    <col min="9" max="9" width="15.140625" style="2" customWidth="1"/>
    <col min="10" max="10" width="15.140625" style="2" bestFit="1" customWidth="1"/>
    <col min="11" max="11" width="16.42578125" style="2" bestFit="1" customWidth="1"/>
    <col min="12" max="12" width="24.5703125" style="765" customWidth="1"/>
    <col min="13" max="13" width="18.5703125" style="765" customWidth="1"/>
    <col min="14" max="14" width="16.140625" style="2" bestFit="1" customWidth="1"/>
    <col min="15" max="15" width="15.42578125" style="2" bestFit="1" customWidth="1"/>
    <col min="16" max="21" width="15.42578125" style="765" customWidth="1"/>
    <col min="22" max="22" width="14" style="765" customWidth="1"/>
    <col min="23" max="24" width="17.5703125" style="765" customWidth="1"/>
    <col min="25" max="25" width="11.5703125" style="2" bestFit="1" customWidth="1"/>
    <col min="26" max="26" width="15.140625" style="2" bestFit="1" customWidth="1"/>
    <col min="27" max="27" width="17.140625" style="2" bestFit="1" customWidth="1"/>
    <col min="28" max="28" width="15.140625" style="2" bestFit="1" customWidth="1"/>
    <col min="29" max="30" width="15.140625" style="765" customWidth="1"/>
    <col min="31" max="31" width="17.85546875" style="765" bestFit="1" customWidth="1"/>
    <col min="32" max="32" width="15.85546875" style="765" bestFit="1" customWidth="1"/>
    <col min="33" max="33" width="15.85546875" style="2" bestFit="1" customWidth="1"/>
    <col min="34" max="34" width="14.140625" style="765" bestFit="1" customWidth="1"/>
    <col min="35" max="35" width="15.85546875" style="765" bestFit="1" customWidth="1"/>
    <col min="36" max="36" width="16.85546875" style="2" bestFit="1" customWidth="1"/>
    <col min="37" max="37" width="16.85546875" style="2" customWidth="1"/>
    <col min="38" max="39" width="10.140625" style="2" bestFit="1" customWidth="1"/>
    <col min="40" max="40" width="16.140625" style="2" bestFit="1" customWidth="1"/>
    <col min="41" max="41" width="15.85546875" style="2" bestFit="1" customWidth="1"/>
    <col min="42" max="42" width="15.5703125" style="2" bestFit="1" customWidth="1"/>
    <col min="43" max="43" width="15.140625" style="2" bestFit="1" customWidth="1"/>
    <col min="44" max="16384" width="9.140625" style="2"/>
  </cols>
  <sheetData>
    <row r="1" spans="1:35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4"/>
      <c r="AI1" s="4"/>
    </row>
    <row r="2" spans="1:35" ht="24.75" thickTop="1" thickBot="1" x14ac:dyDescent="0.4">
      <c r="A2" s="3" t="s">
        <v>970</v>
      </c>
      <c r="B2" s="1"/>
      <c r="C2" s="1"/>
      <c r="D2" s="1"/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4"/>
      <c r="AI2" s="4"/>
    </row>
    <row r="3" spans="1:35" ht="31.5" thickTop="1" thickBot="1" x14ac:dyDescent="0.3">
      <c r="A3" s="14" t="s">
        <v>23</v>
      </c>
      <c r="B3" s="13" t="s">
        <v>39</v>
      </c>
      <c r="C3" s="15" t="s">
        <v>126</v>
      </c>
      <c r="D3" s="14" t="s">
        <v>42</v>
      </c>
      <c r="E3" s="13" t="s">
        <v>938</v>
      </c>
      <c r="F3" s="13" t="s">
        <v>766</v>
      </c>
      <c r="G3" s="14" t="s">
        <v>37</v>
      </c>
      <c r="H3" s="14" t="s">
        <v>295</v>
      </c>
      <c r="I3" s="14" t="s">
        <v>129</v>
      </c>
      <c r="J3" s="15" t="s">
        <v>125</v>
      </c>
      <c r="K3" s="14" t="s">
        <v>296</v>
      </c>
      <c r="L3" s="14" t="s">
        <v>297</v>
      </c>
      <c r="M3" s="15" t="s">
        <v>298</v>
      </c>
      <c r="N3" s="15" t="s">
        <v>299</v>
      </c>
      <c r="O3" s="15" t="s">
        <v>300</v>
      </c>
      <c r="P3" s="1098"/>
      <c r="Q3" s="1098"/>
      <c r="R3" s="1098"/>
      <c r="S3" s="1098"/>
      <c r="T3" s="1098"/>
      <c r="U3" s="1098"/>
      <c r="V3" s="1098"/>
      <c r="W3" s="1098"/>
      <c r="X3" s="1098"/>
    </row>
    <row r="4" spans="1:35" ht="15.75" thickTop="1" x14ac:dyDescent="0.25">
      <c r="A4" s="1100" t="s">
        <v>1560</v>
      </c>
      <c r="B4" s="22" t="str">
        <f t="shared" ref="B4:B18" si="0">VLOOKUP($A4,BondData,HLOOKUP(B$3,BD_Headings,2,FALSE),FALSE)</f>
        <v>Eastern Elm</v>
      </c>
      <c r="C4" s="1102">
        <v>124621986</v>
      </c>
      <c r="D4" s="1104">
        <v>0.95397363511764288</v>
      </c>
      <c r="E4" s="1104" t="s">
        <v>939</v>
      </c>
      <c r="F4" s="1105">
        <v>44635</v>
      </c>
      <c r="G4" s="870">
        <f t="shared" ref="G4:G18" si="1">DATEVALUE(VLOOKUP($A4,BondData,HLOOKUP(G$3,BD_Headings,2,FALSE),FALSE))</f>
        <v>47192</v>
      </c>
      <c r="H4" s="101">
        <f t="shared" ref="H4:H18" si="2">IF(ISNA(VLOOKUP($A4,Used_Prices,2,FALSE)),0,VLOOKUP($A4,Used_Prices,2,FALSE)/100)</f>
        <v>1</v>
      </c>
      <c r="I4" s="54">
        <f t="shared" ref="I4:I18" si="3">VLOOKUP($A4,BondData,HLOOKUP(I$3,BD_Headings,2,FALSE),FALSE)</f>
        <v>3.0760000000000001</v>
      </c>
      <c r="J4" s="1105">
        <v>44635</v>
      </c>
      <c r="K4" s="1105">
        <v>44635</v>
      </c>
      <c r="L4" s="1102">
        <v>118886089</v>
      </c>
      <c r="M4" s="102">
        <f t="shared" ref="M4:M18" si="4">L4+C4*D4*I4/100*(ValDate-J4)/360</f>
        <v>119048619.49322845</v>
      </c>
      <c r="N4" s="102">
        <f t="shared" ref="N4:N18" si="5">+C4*D4*(H4+I4/36000*(ValDate-F4))</f>
        <v>119048619.49322844</v>
      </c>
      <c r="O4" s="1112">
        <f t="shared" ref="O4:O18" si="6">N4-M4</f>
        <v>0</v>
      </c>
      <c r="P4" s="1159"/>
      <c r="Q4" s="1112"/>
      <c r="R4" s="1112"/>
      <c r="S4" s="1112"/>
      <c r="T4" s="1112"/>
      <c r="U4" s="1112"/>
      <c r="V4" s="231"/>
      <c r="W4" s="231"/>
      <c r="X4" s="231"/>
      <c r="Y4" s="5">
        <f>SUMIFS($C$4:$C$22,$B$4:$B$22,W4)</f>
        <v>0</v>
      </c>
      <c r="Z4" s="276"/>
      <c r="AA4" s="117">
        <v>2.45275</v>
      </c>
      <c r="AB4" s="102"/>
      <c r="AC4" s="117"/>
      <c r="AD4" s="117"/>
      <c r="AE4" s="102"/>
      <c r="AF4" s="102"/>
    </row>
    <row r="5" spans="1:35" s="765" customFormat="1" x14ac:dyDescent="0.25">
      <c r="A5" s="1101" t="s">
        <v>1695</v>
      </c>
      <c r="B5" s="22" t="str">
        <f t="shared" si="0"/>
        <v>Pacific Fir</v>
      </c>
      <c r="C5" s="1103">
        <v>44350150</v>
      </c>
      <c r="D5" s="1104">
        <v>1</v>
      </c>
      <c r="E5" s="1104" t="s">
        <v>939</v>
      </c>
      <c r="F5" s="1105">
        <v>44635</v>
      </c>
      <c r="G5" s="870">
        <f t="shared" si="1"/>
        <v>47557</v>
      </c>
      <c r="H5" s="101">
        <f t="shared" si="2"/>
        <v>1</v>
      </c>
      <c r="I5" s="54">
        <f t="shared" si="3"/>
        <v>3.101</v>
      </c>
      <c r="J5" s="1105">
        <v>44635</v>
      </c>
      <c r="K5" s="1105">
        <v>44635</v>
      </c>
      <c r="L5" s="1103">
        <v>44350150</v>
      </c>
      <c r="M5" s="102">
        <f>L5+C5*D5*I5/100*(ValDate-J5)/360</f>
        <v>44411274.362288892</v>
      </c>
      <c r="N5" s="102">
        <f>+C5*D5*(H5+I5/36000*(ValDate-F5))</f>
        <v>44411274.362288892</v>
      </c>
      <c r="O5" s="1112">
        <f t="shared" ref="O5:O6" si="7">N5-M5</f>
        <v>0</v>
      </c>
      <c r="P5" s="1159"/>
      <c r="Q5" s="1112"/>
      <c r="R5" s="1112"/>
      <c r="S5" s="1112"/>
      <c r="T5" s="1112"/>
      <c r="U5" s="1112"/>
      <c r="V5" s="231"/>
      <c r="W5" s="231"/>
      <c r="X5" s="231"/>
      <c r="Y5" s="767"/>
      <c r="Z5" s="276"/>
      <c r="AA5" s="102">
        <v>2.95275</v>
      </c>
      <c r="AB5" s="102"/>
      <c r="AC5" s="117"/>
      <c r="AD5" s="117"/>
      <c r="AE5" s="102"/>
      <c r="AF5" s="102"/>
    </row>
    <row r="6" spans="1:35" s="765" customFormat="1" x14ac:dyDescent="0.25">
      <c r="A6" s="1101" t="s">
        <v>3011</v>
      </c>
      <c r="B6" s="22" t="str">
        <f t="shared" si="0"/>
        <v>Southern Apple 1</v>
      </c>
      <c r="C6" s="1103">
        <v>13400000</v>
      </c>
      <c r="D6" s="1104">
        <v>1</v>
      </c>
      <c r="E6" s="1104" t="s">
        <v>939</v>
      </c>
      <c r="F6" s="1105">
        <v>44635</v>
      </c>
      <c r="G6" s="870">
        <f t="shared" si="1"/>
        <v>47292</v>
      </c>
      <c r="H6" s="101">
        <f t="shared" si="2"/>
        <v>1</v>
      </c>
      <c r="I6" s="54">
        <f t="shared" si="3"/>
        <v>3.5760000000000001</v>
      </c>
      <c r="J6" s="1105">
        <v>44635</v>
      </c>
      <c r="K6" s="1105">
        <v>44635</v>
      </c>
      <c r="L6" s="1103">
        <v>13400000</v>
      </c>
      <c r="M6" s="102">
        <f>L6+C6*D6*I6/100*(ValDate-J6)/360</f>
        <v>13421297.066666666</v>
      </c>
      <c r="N6" s="102">
        <f>+C6*D6*(H6+I6/36000*(ValDate-F6))</f>
        <v>13421297.066666668</v>
      </c>
      <c r="O6" s="1112">
        <f t="shared" si="7"/>
        <v>0</v>
      </c>
      <c r="P6" s="1159"/>
      <c r="Q6" s="1112"/>
      <c r="R6" s="1112"/>
      <c r="S6" s="1112"/>
      <c r="T6" s="1112"/>
      <c r="U6" s="1112"/>
      <c r="V6" s="231"/>
      <c r="W6" s="231"/>
      <c r="X6" s="231"/>
      <c r="Y6" s="767"/>
      <c r="Z6" s="276"/>
      <c r="AA6" s="102">
        <v>2.95275</v>
      </c>
      <c r="AB6" s="102"/>
      <c r="AC6" s="117"/>
      <c r="AD6" s="117"/>
      <c r="AE6" s="102"/>
      <c r="AF6" s="102"/>
    </row>
    <row r="7" spans="1:35" s="765" customFormat="1" x14ac:dyDescent="0.25">
      <c r="A7" s="1101" t="s">
        <v>2933</v>
      </c>
      <c r="B7" s="22" t="str">
        <f t="shared" si="0"/>
        <v>Southern Apple 2</v>
      </c>
      <c r="C7" s="1103">
        <v>1700000</v>
      </c>
      <c r="D7" s="1104">
        <v>1</v>
      </c>
      <c r="E7" s="1104" t="s">
        <v>939</v>
      </c>
      <c r="F7" s="1105">
        <v>44642</v>
      </c>
      <c r="G7" s="870">
        <f t="shared" si="1"/>
        <v>47292</v>
      </c>
      <c r="H7" s="101">
        <f t="shared" si="2"/>
        <v>1</v>
      </c>
      <c r="I7" s="54">
        <f t="shared" si="3"/>
        <v>3.5760000000000001</v>
      </c>
      <c r="J7" s="1105">
        <v>44642</v>
      </c>
      <c r="K7" s="1105">
        <v>44642</v>
      </c>
      <c r="L7" s="1103">
        <v>1700000</v>
      </c>
      <c r="M7" s="102">
        <f>L7+C7*D7*I7/100*(ValDate-J7)/360</f>
        <v>1701519.8</v>
      </c>
      <c r="N7" s="102">
        <f>+C7*D7*(H7+I7/36000*(ValDate-F7))</f>
        <v>1701519.7999999998</v>
      </c>
      <c r="O7" s="1112">
        <f t="shared" ref="O7" si="8">N7-M7</f>
        <v>0</v>
      </c>
      <c r="P7" s="1159"/>
      <c r="Q7" s="1112"/>
      <c r="R7" s="1112"/>
      <c r="S7" s="1112"/>
      <c r="T7" s="1112"/>
      <c r="U7" s="1112"/>
      <c r="V7" s="231"/>
      <c r="W7" s="231"/>
      <c r="X7" s="231"/>
      <c r="Y7" s="767"/>
      <c r="Z7" s="276"/>
      <c r="AA7" s="102"/>
      <c r="AB7" s="102"/>
      <c r="AC7" s="117"/>
      <c r="AD7" s="117"/>
      <c r="AE7" s="102"/>
      <c r="AF7" s="102"/>
    </row>
    <row r="8" spans="1:35" s="765" customFormat="1" x14ac:dyDescent="0.25">
      <c r="A8" s="1101" t="s">
        <v>4622</v>
      </c>
      <c r="B8" s="22" t="str">
        <f t="shared" si="0"/>
        <v>Lake Olive USD</v>
      </c>
      <c r="C8" s="1103">
        <v>2200000</v>
      </c>
      <c r="D8" s="1104">
        <v>1</v>
      </c>
      <c r="E8" s="1104" t="s">
        <v>939</v>
      </c>
      <c r="F8" s="1105">
        <v>44635</v>
      </c>
      <c r="G8" s="870">
        <f t="shared" si="1"/>
        <v>47267</v>
      </c>
      <c r="H8" s="101">
        <f t="shared" si="2"/>
        <v>1</v>
      </c>
      <c r="I8" s="54">
        <f t="shared" si="3"/>
        <v>3.3260000000000001</v>
      </c>
      <c r="J8" s="1105">
        <v>44635</v>
      </c>
      <c r="K8" s="1105">
        <v>44635</v>
      </c>
      <c r="L8" s="1103">
        <v>2200000</v>
      </c>
      <c r="M8" s="102">
        <f>L8+C8*D8*I8/100*(ValDate-J8)/360</f>
        <v>2203252.0888888887</v>
      </c>
      <c r="N8" s="102">
        <f>+C8*D8*(H8+I8/36000*(ValDate-F8))</f>
        <v>2203252.0888888892</v>
      </c>
      <c r="O8" s="1112">
        <f t="shared" ref="O8" si="9">N8-M8</f>
        <v>0</v>
      </c>
      <c r="P8" s="1159"/>
      <c r="Q8" s="1112"/>
      <c r="R8" s="1112"/>
      <c r="S8" s="1112"/>
      <c r="T8" s="1112"/>
      <c r="U8" s="1112"/>
      <c r="V8" s="231"/>
      <c r="W8" s="231"/>
      <c r="X8" s="231"/>
      <c r="Y8" s="767"/>
      <c r="Z8" s="276"/>
      <c r="AA8" s="102"/>
      <c r="AB8" s="102"/>
      <c r="AC8" s="117"/>
      <c r="AD8" s="117"/>
      <c r="AE8" s="102"/>
      <c r="AF8" s="102"/>
    </row>
    <row r="9" spans="1:35" s="765" customFormat="1" x14ac:dyDescent="0.25">
      <c r="A9" s="1101" t="s">
        <v>4599</v>
      </c>
      <c r="B9" s="22" t="str">
        <f t="shared" si="0"/>
        <v>Mntn Cherry 1</v>
      </c>
      <c r="C9" s="1103">
        <v>10000000</v>
      </c>
      <c r="D9" s="1104">
        <v>1</v>
      </c>
      <c r="E9" s="1104" t="s">
        <v>939</v>
      </c>
      <c r="F9" s="1105">
        <v>44651</v>
      </c>
      <c r="G9" s="870">
        <f t="shared" si="1"/>
        <v>47292</v>
      </c>
      <c r="H9" s="101">
        <f t="shared" si="2"/>
        <v>1</v>
      </c>
      <c r="I9" s="54">
        <f t="shared" si="3"/>
        <v>2.6657000000000002</v>
      </c>
      <c r="J9" s="1105">
        <v>44651</v>
      </c>
      <c r="K9" s="1105">
        <v>44651</v>
      </c>
      <c r="L9" s="1103">
        <v>10000000</v>
      </c>
      <c r="M9" s="102">
        <f t="shared" ref="M9" si="10">L9+C9*D9*I9/100*(ValDate-J9)/360</f>
        <v>10000000</v>
      </c>
      <c r="N9" s="102">
        <f t="shared" ref="N9" si="11">+C9*D9*(H9+I9/36000*(ValDate-F9))</f>
        <v>10000000</v>
      </c>
      <c r="O9" s="1112">
        <f t="shared" ref="O9" si="12">N9-M9</f>
        <v>0</v>
      </c>
      <c r="P9" s="1159"/>
      <c r="Q9" s="1112"/>
      <c r="R9" s="1112"/>
      <c r="S9" s="1112"/>
      <c r="T9" s="1112"/>
      <c r="U9" s="1112"/>
      <c r="V9" s="231"/>
      <c r="W9" s="231"/>
      <c r="X9" s="231"/>
      <c r="Y9" s="767"/>
      <c r="Z9" s="276"/>
      <c r="AA9" s="102">
        <v>4.8527500000000003</v>
      </c>
      <c r="AB9" s="102"/>
      <c r="AC9" s="117"/>
      <c r="AD9" s="117"/>
      <c r="AE9" s="102"/>
      <c r="AF9" s="102"/>
    </row>
    <row r="10" spans="1:35" s="765" customFormat="1" x14ac:dyDescent="0.25">
      <c r="A10" s="1101" t="s">
        <v>2982</v>
      </c>
      <c r="B10" s="22" t="str">
        <f t="shared" si="0"/>
        <v>South'n Almnd U1</v>
      </c>
      <c r="C10" s="1103">
        <v>24432976</v>
      </c>
      <c r="D10" s="1104">
        <v>1</v>
      </c>
      <c r="E10" s="1104" t="s">
        <v>939</v>
      </c>
      <c r="F10" s="1105">
        <v>44635</v>
      </c>
      <c r="G10" s="870">
        <f t="shared" si="1"/>
        <v>47292</v>
      </c>
      <c r="H10" s="101">
        <f t="shared" si="2"/>
        <v>1</v>
      </c>
      <c r="I10" s="54">
        <f t="shared" si="3"/>
        <v>5.476</v>
      </c>
      <c r="J10" s="1105">
        <v>44635</v>
      </c>
      <c r="K10" s="1105">
        <v>44635</v>
      </c>
      <c r="L10" s="1103">
        <v>24432976</v>
      </c>
      <c r="M10" s="102">
        <f t="shared" ref="M10:M13" si="13">L10+C10*D10*I10/100*(ValDate-J10)/360</f>
        <v>24492440.434033778</v>
      </c>
      <c r="N10" s="102">
        <f t="shared" ref="N10:N13" si="14">+C10*D10*(H10+I10/36000*(ValDate-F10))</f>
        <v>24492440.434033781</v>
      </c>
      <c r="O10" s="1112">
        <f t="shared" ref="O10:O13" si="15">N10-M10</f>
        <v>0</v>
      </c>
      <c r="P10" s="1159"/>
      <c r="Q10" s="1112"/>
      <c r="R10" s="1112"/>
      <c r="S10" s="1112"/>
      <c r="T10" s="1112"/>
      <c r="U10" s="1112"/>
      <c r="V10" s="231"/>
      <c r="W10" s="231"/>
      <c r="X10" s="231"/>
      <c r="Y10" s="767"/>
      <c r="Z10" s="276"/>
      <c r="AA10" s="102">
        <v>2.6657000000000002</v>
      </c>
      <c r="AB10" s="102"/>
      <c r="AC10" s="117"/>
      <c r="AD10" s="117"/>
      <c r="AE10" s="102"/>
      <c r="AF10" s="102"/>
    </row>
    <row r="11" spans="1:35" s="765" customFormat="1" x14ac:dyDescent="0.25">
      <c r="A11" s="1101" t="s">
        <v>5070</v>
      </c>
      <c r="B11" s="22" t="str">
        <f t="shared" si="0"/>
        <v>South'n Almnd U2</v>
      </c>
      <c r="C11" s="1103">
        <v>300000</v>
      </c>
      <c r="D11" s="1104">
        <v>1</v>
      </c>
      <c r="E11" s="1104" t="s">
        <v>939</v>
      </c>
      <c r="F11" s="1105">
        <v>44645</v>
      </c>
      <c r="G11" s="870">
        <f t="shared" si="1"/>
        <v>47292</v>
      </c>
      <c r="H11" s="101">
        <f t="shared" si="2"/>
        <v>1</v>
      </c>
      <c r="I11" s="54">
        <f t="shared" si="3"/>
        <v>5.476</v>
      </c>
      <c r="J11" s="1105">
        <v>44645</v>
      </c>
      <c r="K11" s="1105">
        <v>44645</v>
      </c>
      <c r="L11" s="1103">
        <v>300000</v>
      </c>
      <c r="M11" s="102">
        <f t="shared" ref="M11" si="16">L11+C11*D11*I11/100*(ValDate-J11)/360</f>
        <v>300273.8</v>
      </c>
      <c r="N11" s="102">
        <f t="shared" ref="N11" si="17">+C11*D11*(H11+I11/36000*(ValDate-F11))</f>
        <v>300273.8</v>
      </c>
      <c r="O11" s="1112">
        <f t="shared" ref="O11" si="18">N11-M11</f>
        <v>0</v>
      </c>
      <c r="P11" s="1159"/>
      <c r="Q11" s="1112"/>
      <c r="R11" s="1112"/>
      <c r="S11" s="1112"/>
      <c r="T11" s="1112"/>
      <c r="U11" s="1112"/>
      <c r="V11" s="231"/>
      <c r="W11" s="231"/>
      <c r="X11" s="231"/>
      <c r="Y11" s="767"/>
      <c r="Z11" s="276"/>
      <c r="AA11" s="102"/>
      <c r="AB11" s="102"/>
      <c r="AC11" s="117"/>
      <c r="AD11" s="117"/>
      <c r="AE11" s="102"/>
      <c r="AF11" s="102"/>
    </row>
    <row r="12" spans="1:35" s="765" customFormat="1" x14ac:dyDescent="0.25">
      <c r="A12" s="1101" t="s">
        <v>3378</v>
      </c>
      <c r="B12" s="22" t="str">
        <f t="shared" si="0"/>
        <v>South'n Almnd U3</v>
      </c>
      <c r="C12" s="1103">
        <v>600000</v>
      </c>
      <c r="D12" s="1104">
        <v>1</v>
      </c>
      <c r="E12" s="1104" t="s">
        <v>939</v>
      </c>
      <c r="F12" s="1105">
        <v>44648</v>
      </c>
      <c r="G12" s="870">
        <f t="shared" si="1"/>
        <v>47292</v>
      </c>
      <c r="H12" s="101">
        <f t="shared" si="2"/>
        <v>1</v>
      </c>
      <c r="I12" s="54">
        <f t="shared" si="3"/>
        <v>0</v>
      </c>
      <c r="J12" s="1105">
        <v>44648</v>
      </c>
      <c r="K12" s="1105">
        <v>44648</v>
      </c>
      <c r="L12" s="1103">
        <v>600000</v>
      </c>
      <c r="M12" s="102">
        <f t="shared" ref="M12" si="19">L12+C12*D12*I12/100*(ValDate-J12)/360</f>
        <v>600000</v>
      </c>
      <c r="N12" s="102">
        <f t="shared" ref="N12" si="20">+C12*D12*(H12+I12/36000*(ValDate-F12))</f>
        <v>600000</v>
      </c>
      <c r="O12" s="1112">
        <f t="shared" ref="O12" si="21">N12-M12</f>
        <v>0</v>
      </c>
      <c r="P12" s="1159"/>
      <c r="Q12" s="1112"/>
      <c r="R12" s="1112"/>
      <c r="S12" s="1112"/>
      <c r="T12" s="1112"/>
      <c r="U12" s="1112"/>
      <c r="V12" s="231"/>
      <c r="W12" s="231"/>
      <c r="X12" s="231"/>
      <c r="Y12" s="767"/>
      <c r="Z12" s="276"/>
      <c r="AA12" s="102"/>
      <c r="AB12" s="102"/>
      <c r="AC12" s="117"/>
      <c r="AD12" s="117"/>
      <c r="AE12" s="102"/>
      <c r="AF12" s="102"/>
    </row>
    <row r="13" spans="1:35" s="765" customFormat="1" x14ac:dyDescent="0.25">
      <c r="A13" s="1147" t="s">
        <v>2339</v>
      </c>
      <c r="B13" s="1148" t="str">
        <f t="shared" si="0"/>
        <v>So Spruce Nts</v>
      </c>
      <c r="C13" s="1149">
        <v>11434065</v>
      </c>
      <c r="D13" s="1150">
        <v>0.85442631295169302</v>
      </c>
      <c r="E13" s="1150" t="s">
        <v>939</v>
      </c>
      <c r="F13" s="1151">
        <v>44635</v>
      </c>
      <c r="G13" s="1152">
        <f t="shared" si="1"/>
        <v>47284</v>
      </c>
      <c r="H13" s="1153">
        <f t="shared" si="2"/>
        <v>1</v>
      </c>
      <c r="I13" s="1160">
        <f t="shared" si="3"/>
        <v>3.3260000000000001</v>
      </c>
      <c r="J13" s="1151">
        <v>44635</v>
      </c>
      <c r="K13" s="1151">
        <v>44635</v>
      </c>
      <c r="L13" s="1149">
        <v>9769566</v>
      </c>
      <c r="M13" s="1154">
        <f t="shared" si="13"/>
        <v>9784007.5895626675</v>
      </c>
      <c r="N13" s="1154">
        <f t="shared" si="14"/>
        <v>9784007.5895626675</v>
      </c>
      <c r="O13" s="1020">
        <f t="shared" si="15"/>
        <v>0</v>
      </c>
      <c r="P13" s="1159"/>
      <c r="Q13" s="1112"/>
      <c r="R13" s="1112"/>
      <c r="S13" s="1112"/>
      <c r="T13" s="1112"/>
      <c r="U13" s="1112"/>
      <c r="V13" s="231"/>
      <c r="W13" s="231"/>
      <c r="X13" s="231"/>
      <c r="Y13" s="767"/>
      <c r="Z13" s="276"/>
      <c r="AA13" s="102">
        <v>2.70275</v>
      </c>
      <c r="AB13" s="102"/>
      <c r="AC13" s="117"/>
      <c r="AD13" s="117"/>
      <c r="AE13" s="102"/>
      <c r="AF13" s="102"/>
    </row>
    <row r="14" spans="1:35" s="765" customFormat="1" x14ac:dyDescent="0.25">
      <c r="A14" s="1101" t="s">
        <v>3131</v>
      </c>
      <c r="B14" s="22" t="str">
        <f t="shared" si="0"/>
        <v>South'n Almnd E1</v>
      </c>
      <c r="C14" s="1103">
        <v>14300000</v>
      </c>
      <c r="D14" s="1104">
        <v>1</v>
      </c>
      <c r="E14" s="1104" t="s">
        <v>948</v>
      </c>
      <c r="F14" s="1105">
        <v>44635</v>
      </c>
      <c r="G14" s="870">
        <f t="shared" si="1"/>
        <v>47292</v>
      </c>
      <c r="H14" s="101">
        <f t="shared" si="2"/>
        <v>1</v>
      </c>
      <c r="I14" s="54">
        <f t="shared" si="3"/>
        <v>4.1500000000000004</v>
      </c>
      <c r="J14" s="1105">
        <v>44635</v>
      </c>
      <c r="K14" s="1105">
        <v>44635</v>
      </c>
      <c r="L14" s="1103">
        <v>14300000</v>
      </c>
      <c r="M14" s="102">
        <f t="shared" ref="M14:M15" si="22">L14+C14*D14*I14/100*(ValDate-J14)/360</f>
        <v>14326375.555555556</v>
      </c>
      <c r="N14" s="102">
        <f t="shared" ref="N14:N15" si="23">+C14*D14*(H14+I14/36000*(ValDate-F14))</f>
        <v>14326375.555555556</v>
      </c>
      <c r="O14" s="1112">
        <f t="shared" ref="O14:O15" si="24">N14-M14</f>
        <v>0</v>
      </c>
      <c r="P14" s="1159"/>
      <c r="Q14" s="1112"/>
      <c r="R14" s="1112"/>
      <c r="S14" s="1112"/>
      <c r="T14" s="1112"/>
      <c r="U14" s="1112"/>
      <c r="V14" s="231"/>
      <c r="W14" s="231"/>
      <c r="X14" s="231"/>
      <c r="Y14" s="767"/>
      <c r="Z14" s="276"/>
      <c r="AA14" s="102">
        <v>1.284</v>
      </c>
      <c r="AB14" s="102"/>
      <c r="AC14" s="117"/>
      <c r="AD14" s="117"/>
      <c r="AE14" s="102"/>
      <c r="AF14" s="102"/>
    </row>
    <row r="15" spans="1:35" s="765" customFormat="1" x14ac:dyDescent="0.25">
      <c r="A15" s="1101" t="s">
        <v>3418</v>
      </c>
      <c r="B15" s="22" t="str">
        <f t="shared" si="0"/>
        <v>Lake Olive EUR</v>
      </c>
      <c r="C15" s="1103">
        <v>12837041</v>
      </c>
      <c r="D15" s="1104">
        <v>0.95229850009827033</v>
      </c>
      <c r="E15" s="1121" t="s">
        <v>948</v>
      </c>
      <c r="F15" s="1105">
        <v>44635</v>
      </c>
      <c r="G15" s="870">
        <f t="shared" si="1"/>
        <v>47267</v>
      </c>
      <c r="H15" s="101">
        <f t="shared" si="2"/>
        <v>1</v>
      </c>
      <c r="I15" s="54">
        <f t="shared" si="3"/>
        <v>2.2000000000000002</v>
      </c>
      <c r="J15" s="1105">
        <v>44635</v>
      </c>
      <c r="K15" s="1105">
        <v>44635</v>
      </c>
      <c r="L15" s="1103">
        <v>12224694.890000001</v>
      </c>
      <c r="M15" s="102">
        <f t="shared" si="22"/>
        <v>12236647.925003557</v>
      </c>
      <c r="N15" s="102">
        <f t="shared" si="23"/>
        <v>12236647.925003557</v>
      </c>
      <c r="O15" s="1112">
        <f t="shared" si="24"/>
        <v>0</v>
      </c>
      <c r="P15" s="1159"/>
      <c r="Q15" s="1112"/>
      <c r="R15" s="1112"/>
      <c r="S15" s="1112"/>
      <c r="T15" s="1112"/>
      <c r="U15" s="1112"/>
      <c r="V15" s="231"/>
      <c r="W15" s="231"/>
      <c r="X15" s="231"/>
      <c r="Y15" s="767"/>
      <c r="Z15" s="276"/>
      <c r="AA15" s="102">
        <v>1.284</v>
      </c>
      <c r="AB15" s="102"/>
      <c r="AC15" s="117"/>
      <c r="AD15" s="117"/>
      <c r="AE15" s="102"/>
      <c r="AF15" s="102"/>
    </row>
    <row r="16" spans="1:35" s="765" customFormat="1" x14ac:dyDescent="0.25">
      <c r="A16" s="1119" t="s">
        <v>2358</v>
      </c>
      <c r="B16" s="108" t="str">
        <f t="shared" si="0"/>
        <v>Eastern Cypress</v>
      </c>
      <c r="C16" s="1120">
        <v>76400000</v>
      </c>
      <c r="D16" s="1121">
        <v>1</v>
      </c>
      <c r="E16" s="1121" t="s">
        <v>948</v>
      </c>
      <c r="F16" s="1122">
        <v>44635</v>
      </c>
      <c r="G16" s="1123">
        <f t="shared" si="1"/>
        <v>47267</v>
      </c>
      <c r="H16" s="1124">
        <f t="shared" si="2"/>
        <v>1</v>
      </c>
      <c r="I16" s="1125">
        <f t="shared" si="3"/>
        <v>1.6</v>
      </c>
      <c r="J16" s="1122">
        <v>44635</v>
      </c>
      <c r="K16" s="1122">
        <v>44635</v>
      </c>
      <c r="L16" s="1120">
        <v>76400000</v>
      </c>
      <c r="M16" s="102">
        <f t="shared" si="4"/>
        <v>76454328.888888896</v>
      </c>
      <c r="N16" s="112">
        <f t="shared" si="5"/>
        <v>76454328.888888896</v>
      </c>
      <c r="O16" s="261">
        <f t="shared" si="6"/>
        <v>0</v>
      </c>
      <c r="P16" s="1159"/>
      <c r="Q16" s="261"/>
      <c r="R16" s="261"/>
      <c r="S16" s="261"/>
      <c r="T16" s="261"/>
      <c r="U16" s="261"/>
      <c r="V16" s="231"/>
      <c r="W16" s="231"/>
      <c r="X16" s="231"/>
      <c r="Y16" s="767"/>
      <c r="Z16" s="276"/>
      <c r="AA16" s="1055">
        <v>4.1500000000000004</v>
      </c>
      <c r="AB16" s="1055"/>
      <c r="AC16" s="117"/>
      <c r="AD16" s="117"/>
      <c r="AE16" s="1055"/>
      <c r="AF16" s="1055"/>
    </row>
    <row r="17" spans="1:41" s="765" customFormat="1" x14ac:dyDescent="0.25">
      <c r="A17" s="1101" t="s">
        <v>4510</v>
      </c>
      <c r="B17" s="22" t="str">
        <f t="shared" si="0"/>
        <v>Hex Zeta 1</v>
      </c>
      <c r="C17" s="1103">
        <v>66202000</v>
      </c>
      <c r="D17" s="1104">
        <v>1</v>
      </c>
      <c r="E17" s="1104" t="s">
        <v>948</v>
      </c>
      <c r="F17" s="1105">
        <v>44642</v>
      </c>
      <c r="G17" s="870">
        <f t="shared" si="1"/>
        <v>47018</v>
      </c>
      <c r="H17" s="101">
        <f t="shared" si="2"/>
        <v>1</v>
      </c>
      <c r="I17" s="54">
        <f t="shared" si="3"/>
        <v>1.363</v>
      </c>
      <c r="J17" s="1105">
        <v>44642</v>
      </c>
      <c r="K17" s="1105">
        <v>44642</v>
      </c>
      <c r="L17" s="1103">
        <v>66202000</v>
      </c>
      <c r="M17" s="102">
        <f t="shared" si="4"/>
        <v>66224558.331500001</v>
      </c>
      <c r="N17" s="102">
        <f t="shared" si="5"/>
        <v>66224558.331499994</v>
      </c>
      <c r="O17" s="1112">
        <f t="shared" si="6"/>
        <v>0</v>
      </c>
      <c r="P17" s="1159"/>
      <c r="Q17" s="261"/>
      <c r="R17" s="261"/>
      <c r="S17" s="261"/>
      <c r="T17" s="261"/>
      <c r="U17" s="261"/>
      <c r="V17" s="231"/>
      <c r="W17" s="231"/>
      <c r="X17" s="231"/>
      <c r="Y17" s="767"/>
      <c r="Z17" s="276"/>
      <c r="AA17" s="1055">
        <v>4.1500000000000004</v>
      </c>
      <c r="AB17" s="1055"/>
      <c r="AC17" s="117"/>
      <c r="AD17" s="117"/>
      <c r="AE17" s="1055"/>
      <c r="AF17" s="1055"/>
    </row>
    <row r="18" spans="1:41" s="765" customFormat="1" x14ac:dyDescent="0.25">
      <c r="A18" s="1101" t="s">
        <v>4509</v>
      </c>
      <c r="B18" s="22" t="str">
        <f t="shared" si="0"/>
        <v>Hex Zeta 2</v>
      </c>
      <c r="C18" s="1103">
        <v>3808000</v>
      </c>
      <c r="D18" s="1104">
        <v>1</v>
      </c>
      <c r="E18" s="1121" t="s">
        <v>948</v>
      </c>
      <c r="F18" s="1105">
        <v>44642</v>
      </c>
      <c r="G18" s="870">
        <f t="shared" si="1"/>
        <v>47018</v>
      </c>
      <c r="H18" s="101">
        <f t="shared" si="2"/>
        <v>1</v>
      </c>
      <c r="I18" s="54">
        <f t="shared" si="3"/>
        <v>1.363</v>
      </c>
      <c r="J18" s="1105">
        <v>44642</v>
      </c>
      <c r="K18" s="1105">
        <v>44642</v>
      </c>
      <c r="L18" s="1103">
        <v>3808000</v>
      </c>
      <c r="M18" s="102">
        <f t="shared" si="4"/>
        <v>3809297.5759999999</v>
      </c>
      <c r="N18" s="102">
        <f t="shared" si="5"/>
        <v>3809297.5759999994</v>
      </c>
      <c r="O18" s="1112">
        <f t="shared" si="6"/>
        <v>0</v>
      </c>
      <c r="P18" s="1159"/>
      <c r="Q18" s="261"/>
      <c r="R18" s="261"/>
      <c r="S18" s="261"/>
      <c r="T18" s="261"/>
      <c r="U18" s="261"/>
      <c r="V18" s="231"/>
      <c r="W18" s="231"/>
      <c r="X18" s="231"/>
      <c r="Y18" s="767"/>
      <c r="Z18" s="276"/>
      <c r="AA18" s="1055">
        <v>4.1500000000000004</v>
      </c>
      <c r="AB18" s="1055"/>
      <c r="AC18" s="117"/>
      <c r="AD18" s="117"/>
      <c r="AE18" s="1055"/>
      <c r="AF18" s="1055"/>
    </row>
    <row r="19" spans="1:41" s="765" customFormat="1" x14ac:dyDescent="0.25">
      <c r="A19" s="1119"/>
      <c r="B19" s="108"/>
      <c r="C19" s="1120"/>
      <c r="D19" s="1121"/>
      <c r="E19" s="1121"/>
      <c r="F19" s="1122"/>
      <c r="G19" s="1123"/>
      <c r="H19" s="1124"/>
      <c r="I19" s="1125"/>
      <c r="J19" s="1122"/>
      <c r="K19" s="1122"/>
      <c r="L19" s="1120"/>
      <c r="M19" s="102"/>
      <c r="N19" s="112"/>
      <c r="O19" s="261"/>
      <c r="P19" s="1159"/>
      <c r="Q19" s="261"/>
      <c r="R19" s="261"/>
      <c r="S19" s="261"/>
      <c r="T19" s="261"/>
      <c r="U19" s="261"/>
      <c r="V19" s="231"/>
      <c r="W19" s="231"/>
      <c r="X19" s="231"/>
      <c r="Y19" s="767"/>
      <c r="Z19" s="276"/>
      <c r="AA19" s="1055"/>
      <c r="AB19" s="1055"/>
      <c r="AC19" s="117"/>
      <c r="AD19" s="117"/>
      <c r="AE19" s="1055"/>
      <c r="AF19" s="1055"/>
    </row>
    <row r="20" spans="1:41" s="765" customFormat="1" x14ac:dyDescent="0.25">
      <c r="A20" s="1100"/>
      <c r="B20" s="22"/>
      <c r="C20" s="1102"/>
      <c r="D20" s="1104"/>
      <c r="E20" s="1104"/>
      <c r="F20" s="1105"/>
      <c r="G20" s="870"/>
      <c r="H20" s="101"/>
      <c r="I20" s="54"/>
      <c r="J20" s="1105"/>
      <c r="K20" s="1105"/>
      <c r="L20" s="1102"/>
      <c r="M20" s="102"/>
      <c r="N20" s="102"/>
      <c r="O20" s="1112"/>
      <c r="P20" s="1159"/>
      <c r="Q20" s="1112"/>
      <c r="R20" s="1112"/>
      <c r="S20" s="1112"/>
      <c r="T20" s="1112"/>
      <c r="U20" s="1112"/>
      <c r="V20" s="1112"/>
      <c r="W20" s="1112"/>
      <c r="X20" s="1112"/>
      <c r="Y20" s="1112"/>
      <c r="Z20" s="1112"/>
      <c r="AA20" s="1112"/>
      <c r="AB20" s="1112"/>
      <c r="AC20" s="117"/>
      <c r="AD20" s="1159"/>
      <c r="AE20" s="1112"/>
      <c r="AF20" s="1112"/>
      <c r="AG20" s="1112"/>
      <c r="AH20" s="1112"/>
      <c r="AI20" s="1112"/>
      <c r="AJ20" s="1112"/>
      <c r="AK20" s="1112"/>
      <c r="AL20" s="1112"/>
      <c r="AM20" s="1112"/>
      <c r="AN20" s="1112"/>
      <c r="AO20" s="1112"/>
    </row>
    <row r="21" spans="1:41" s="765" customFormat="1" x14ac:dyDescent="0.25">
      <c r="A21" s="1100"/>
      <c r="B21" s="22"/>
      <c r="C21" s="1102"/>
      <c r="D21" s="1104"/>
      <c r="E21" s="1104"/>
      <c r="F21" s="1105"/>
      <c r="G21" s="870"/>
      <c r="H21" s="101"/>
      <c r="I21" s="54"/>
      <c r="J21" s="1105"/>
      <c r="K21" s="1105"/>
      <c r="L21" s="1102"/>
      <c r="M21" s="102"/>
      <c r="N21" s="102"/>
      <c r="O21" s="1112"/>
      <c r="P21" s="1159"/>
      <c r="Q21" s="1112"/>
      <c r="R21" s="1112"/>
      <c r="S21" s="1112"/>
      <c r="T21" s="1112"/>
      <c r="U21" s="1112"/>
      <c r="V21" s="1112"/>
      <c r="W21" s="1112"/>
      <c r="X21" s="1112"/>
      <c r="Y21" s="1112"/>
      <c r="Z21" s="1112"/>
      <c r="AA21" s="1112"/>
      <c r="AB21" s="1112"/>
      <c r="AC21" s="117"/>
      <c r="AD21" s="1159"/>
      <c r="AE21" s="1112"/>
      <c r="AF21" s="1112"/>
      <c r="AG21" s="1112"/>
      <c r="AH21" s="1112"/>
      <c r="AI21" s="1112"/>
      <c r="AJ21" s="1112"/>
      <c r="AK21" s="1112"/>
      <c r="AL21" s="1112"/>
      <c r="AM21" s="1112"/>
      <c r="AN21" s="1112"/>
      <c r="AO21" s="1112"/>
    </row>
    <row r="22" spans="1:41" s="765" customFormat="1" x14ac:dyDescent="0.25">
      <c r="A22" s="1101"/>
      <c r="B22" s="22"/>
      <c r="C22" s="1102"/>
      <c r="D22" s="1104"/>
      <c r="E22" s="1104"/>
      <c r="F22" s="1105"/>
      <c r="G22" s="870"/>
      <c r="H22" s="101"/>
      <c r="I22" s="54"/>
      <c r="J22" s="1105"/>
      <c r="K22" s="1105"/>
      <c r="L22" s="1102"/>
      <c r="M22" s="102"/>
      <c r="N22" s="102"/>
      <c r="O22" s="1112"/>
      <c r="P22" s="1159"/>
      <c r="Q22" s="1112"/>
      <c r="R22" s="1112"/>
      <c r="S22" s="1112"/>
      <c r="T22" s="1112"/>
      <c r="U22" s="1112"/>
      <c r="V22" s="1112"/>
      <c r="W22" s="1112"/>
      <c r="X22" s="1112"/>
      <c r="Y22" s="1112"/>
      <c r="Z22" s="1112"/>
      <c r="AA22" s="1112"/>
      <c r="AB22" s="1112"/>
      <c r="AC22" s="117"/>
      <c r="AD22" s="1159"/>
      <c r="AE22" s="1112"/>
      <c r="AF22" s="1112"/>
      <c r="AG22" s="1112"/>
      <c r="AH22" s="1112"/>
      <c r="AI22" s="1112"/>
      <c r="AJ22" s="1112"/>
      <c r="AK22" s="1112"/>
      <c r="AL22" s="1112"/>
      <c r="AM22" s="1112"/>
      <c r="AN22" s="1112"/>
      <c r="AO22" s="1112"/>
    </row>
    <row r="23" spans="1:41" s="765" customFormat="1" x14ac:dyDescent="0.25">
      <c r="A23" s="1101"/>
      <c r="B23" s="22"/>
      <c r="C23" s="1102"/>
      <c r="D23" s="1104"/>
      <c r="E23" s="1104"/>
      <c r="F23" s="1105"/>
      <c r="G23" s="870"/>
      <c r="H23" s="101"/>
      <c r="I23" s="54"/>
      <c r="J23" s="1105"/>
      <c r="K23" s="1105"/>
      <c r="L23" s="1102"/>
      <c r="M23" s="102"/>
      <c r="N23" s="102"/>
      <c r="O23" s="1112"/>
      <c r="P23" s="1159"/>
      <c r="Q23" s="1112"/>
      <c r="R23" s="1112"/>
      <c r="S23" s="1112"/>
      <c r="T23" s="1112"/>
      <c r="U23" s="1112"/>
      <c r="V23" s="1112"/>
      <c r="W23" s="1112"/>
      <c r="X23" s="1112"/>
      <c r="Y23" s="1112"/>
      <c r="Z23" s="1112"/>
      <c r="AA23" s="1112"/>
      <c r="AB23" s="1112"/>
      <c r="AC23" s="117"/>
      <c r="AD23" s="1159"/>
      <c r="AE23" s="1112"/>
      <c r="AF23" s="1112"/>
      <c r="AG23" s="1112"/>
      <c r="AH23" s="1112"/>
      <c r="AI23" s="1112"/>
      <c r="AJ23" s="1112"/>
      <c r="AK23" s="1112"/>
      <c r="AL23" s="1112"/>
      <c r="AM23" s="1112"/>
      <c r="AN23" s="1112"/>
      <c r="AO23" s="1112"/>
    </row>
    <row r="24" spans="1:41" s="765" customFormat="1" x14ac:dyDescent="0.25">
      <c r="A24" s="1101"/>
      <c r="B24" s="22"/>
      <c r="C24" s="1102"/>
      <c r="D24" s="1104"/>
      <c r="E24" s="1104"/>
      <c r="F24" s="1105"/>
      <c r="G24" s="870"/>
      <c r="H24" s="101"/>
      <c r="I24" s="54"/>
      <c r="J24" s="1105"/>
      <c r="K24" s="1105"/>
      <c r="L24" s="1102"/>
      <c r="M24" s="102"/>
      <c r="N24" s="102"/>
      <c r="O24" s="1112"/>
      <c r="P24" s="1159"/>
      <c r="Q24" s="1112"/>
      <c r="R24" s="1112"/>
      <c r="S24" s="1112"/>
      <c r="T24" s="1112"/>
      <c r="U24" s="1112"/>
      <c r="V24" s="1112"/>
      <c r="W24" s="1112"/>
      <c r="X24" s="1112"/>
      <c r="Y24" s="1112"/>
      <c r="Z24" s="1112"/>
      <c r="AA24" s="1112"/>
      <c r="AB24" s="1112"/>
      <c r="AC24" s="117"/>
      <c r="AD24" s="1159"/>
      <c r="AE24" s="1112"/>
      <c r="AF24" s="1112"/>
      <c r="AG24" s="1112"/>
      <c r="AH24" s="1112"/>
      <c r="AI24" s="1112"/>
      <c r="AJ24" s="1112"/>
      <c r="AK24" s="1112"/>
      <c r="AL24" s="1112"/>
      <c r="AM24" s="1112"/>
      <c r="AN24" s="1112"/>
      <c r="AO24" s="1112"/>
    </row>
    <row r="25" spans="1:41" ht="15.75" thickBot="1" x14ac:dyDescent="0.3">
      <c r="A25" s="1"/>
      <c r="B25" s="1"/>
      <c r="C25" s="1"/>
      <c r="D25" s="1"/>
      <c r="E25" s="1073"/>
      <c r="F25" s="1"/>
      <c r="G25" s="1"/>
      <c r="H25" s="1"/>
      <c r="I25" s="1"/>
      <c r="J25" s="1"/>
      <c r="K25" s="1"/>
      <c r="L25" s="515"/>
      <c r="M25" s="1"/>
      <c r="N25" s="1"/>
      <c r="O25" s="1"/>
      <c r="P25" s="1112"/>
      <c r="Q25" s="1112"/>
      <c r="R25" s="1112"/>
      <c r="S25" s="1112"/>
      <c r="T25" s="1112"/>
      <c r="U25" s="1112"/>
      <c r="V25" s="1112"/>
      <c r="W25" s="1112"/>
      <c r="X25" s="1112"/>
      <c r="Y25" s="1112"/>
      <c r="Z25" s="1112"/>
      <c r="AA25" s="1112"/>
      <c r="AB25" s="1112"/>
      <c r="AC25" s="1112"/>
      <c r="AD25" s="1112"/>
      <c r="AE25" s="1112"/>
      <c r="AF25" s="1112"/>
      <c r="AG25" s="1112"/>
      <c r="AH25" s="1112"/>
      <c r="AI25" s="1112"/>
      <c r="AJ25" s="1112"/>
      <c r="AK25" s="1112"/>
      <c r="AL25" s="1112"/>
      <c r="AM25" s="1112"/>
      <c r="AN25" s="1112"/>
      <c r="AO25" s="1112"/>
    </row>
    <row r="26" spans="1:41" s="765" customFormat="1" ht="24.75" thickTop="1" thickBot="1" x14ac:dyDescent="0.4">
      <c r="A26" s="3" t="s">
        <v>971</v>
      </c>
      <c r="B26" s="1"/>
      <c r="C26" s="1"/>
      <c r="D26" s="1"/>
      <c r="E26" s="1"/>
      <c r="F26" s="1"/>
      <c r="G26" s="515"/>
      <c r="H26" s="1"/>
      <c r="I26" s="1"/>
      <c r="J26" s="1"/>
      <c r="K26" s="1"/>
      <c r="L26" s="1"/>
      <c r="M26" s="1"/>
      <c r="N26" s="1"/>
      <c r="O26" s="1"/>
      <c r="P26" s="1112"/>
      <c r="Q26" s="1112"/>
      <c r="R26" s="1112"/>
      <c r="S26" s="1112"/>
      <c r="T26" s="1112"/>
      <c r="U26" s="1112"/>
      <c r="V26" s="1112"/>
      <c r="W26" s="1112"/>
      <c r="X26" s="1112"/>
      <c r="Y26" s="1112"/>
      <c r="Z26" s="1112"/>
      <c r="AA26" s="1112"/>
      <c r="AB26" s="1112"/>
      <c r="AC26" s="1112"/>
      <c r="AD26" s="1112"/>
      <c r="AE26" s="1112"/>
      <c r="AF26" s="1112"/>
      <c r="AG26" s="1112"/>
      <c r="AH26" s="1112"/>
      <c r="AI26" s="1112"/>
      <c r="AJ26" s="1112"/>
      <c r="AK26" s="1112"/>
      <c r="AL26" s="1112"/>
      <c r="AM26" s="1112"/>
      <c r="AN26" s="1112"/>
      <c r="AO26" s="1112"/>
    </row>
    <row r="27" spans="1:41" s="765" customFormat="1" ht="31.5" thickTop="1" thickBot="1" x14ac:dyDescent="0.3">
      <c r="A27" s="14" t="s">
        <v>972</v>
      </c>
      <c r="B27" s="14" t="s">
        <v>54</v>
      </c>
      <c r="C27" s="14" t="s">
        <v>943</v>
      </c>
      <c r="D27" s="14" t="s">
        <v>885</v>
      </c>
      <c r="E27" s="14" t="s">
        <v>834</v>
      </c>
      <c r="F27" s="14" t="s">
        <v>973</v>
      </c>
      <c r="G27" s="14" t="s">
        <v>974</v>
      </c>
      <c r="H27" s="14" t="s">
        <v>975</v>
      </c>
      <c r="I27" s="14" t="s">
        <v>3540</v>
      </c>
      <c r="J27" s="14" t="s">
        <v>4428</v>
      </c>
      <c r="K27" s="14" t="s">
        <v>4427</v>
      </c>
      <c r="L27" s="14" t="s">
        <v>4606</v>
      </c>
      <c r="M27" s="14" t="s">
        <v>4598</v>
      </c>
      <c r="N27" s="14" t="s">
        <v>63</v>
      </c>
      <c r="P27" s="1112"/>
      <c r="Q27" s="1112"/>
      <c r="R27" s="1112"/>
      <c r="S27" s="1112"/>
      <c r="T27" s="1112"/>
      <c r="U27" s="1112"/>
      <c r="V27" s="1112"/>
      <c r="W27" s="1112"/>
      <c r="X27" s="1112"/>
      <c r="Y27" s="1112"/>
      <c r="Z27" s="1112"/>
      <c r="AA27" s="1112"/>
      <c r="AB27" s="1112"/>
      <c r="AC27" s="1112"/>
      <c r="AD27" s="1112"/>
      <c r="AE27" s="1112"/>
      <c r="AF27" s="1112"/>
      <c r="AG27" s="1112"/>
      <c r="AH27" s="1112"/>
      <c r="AI27" s="1112"/>
      <c r="AJ27" s="1112"/>
      <c r="AK27" s="1112"/>
      <c r="AL27" s="1112"/>
      <c r="AM27" s="1112"/>
      <c r="AN27" s="1112"/>
      <c r="AO27" s="1112"/>
    </row>
    <row r="28" spans="1:41" s="765" customFormat="1" ht="15.75" thickTop="1" x14ac:dyDescent="0.25">
      <c r="A28" s="4" t="s">
        <v>883</v>
      </c>
      <c r="B28" s="934" t="s">
        <v>826</v>
      </c>
      <c r="C28" s="765" t="s">
        <v>939</v>
      </c>
      <c r="D28" s="12">
        <v>44635</v>
      </c>
      <c r="E28" s="1157">
        <f t="shared" ref="E28:E38" si="25">INDEX($Y$41:$AK$99,MATCH(D28,$Y$41:$Y$99,1),MATCH(A28,$Y$41:$AK$41,0))</f>
        <v>187500000</v>
      </c>
      <c r="F28" s="8">
        <f t="shared" ref="F28:F38" si="26">E28-J28</f>
        <v>68613911</v>
      </c>
      <c r="G28" s="8">
        <f>E28-VLOOKUP(ValDate,'Facilities &amp; Bond Details'!$A$43:$AM$1020,3,FALSE)</f>
        <v>68613911</v>
      </c>
      <c r="H28" s="70">
        <v>2.5000000000000001E-3</v>
      </c>
      <c r="I28" s="1108">
        <f t="shared" ref="I28:I38" si="27">IF(C28="USD",1,IF(C28="EUR",EURFX,NA()))</f>
        <v>1</v>
      </c>
      <c r="J28" s="1133">
        <f>_xlfn.XLOOKUP(D28,$A$43:$A$1020,$C$43:$C$1020)</f>
        <v>118886089</v>
      </c>
      <c r="K28" s="1176">
        <f>_xlfn.XLOOKUP(ValDate,$A$43:$A$1020,$C$43:$C$1020)</f>
        <v>118886089</v>
      </c>
      <c r="L28" s="1167">
        <f>+'Balance Sheet'!ExpAccrualStartDate</f>
        <v>44635</v>
      </c>
      <c r="M28" s="921">
        <f>+$E28*IF($C28="USD",'Balance Sheet'!M_MgmtFee,'Balance Sheet'!$C$79)/3600000</f>
        <v>651.04166666666663</v>
      </c>
      <c r="N28" s="1106">
        <f t="shared" ref="N28:N38" si="28">M28*(ValDate-L28)</f>
        <v>10416.666666666666</v>
      </c>
      <c r="P28" s="1112"/>
      <c r="Q28" s="1112"/>
      <c r="R28" s="1112"/>
      <c r="S28" s="1112"/>
      <c r="T28" s="1112"/>
      <c r="U28" s="1112"/>
      <c r="V28" s="1112"/>
      <c r="W28" s="1112"/>
      <c r="X28" s="1112"/>
      <c r="Y28" s="1112"/>
      <c r="Z28" s="1112"/>
      <c r="AA28" s="1112"/>
      <c r="AB28" s="1112"/>
      <c r="AC28" s="1112"/>
      <c r="AD28" s="1112"/>
      <c r="AE28" s="1112"/>
      <c r="AF28" s="1112"/>
      <c r="AG28" s="1112"/>
      <c r="AH28" s="1112"/>
      <c r="AI28" s="1112"/>
      <c r="AJ28" s="1112"/>
      <c r="AK28" s="1112"/>
      <c r="AL28" s="1112"/>
      <c r="AM28" s="1112"/>
      <c r="AN28" s="1112"/>
      <c r="AO28" s="1112"/>
    </row>
    <row r="29" spans="1:41" s="765" customFormat="1" x14ac:dyDescent="0.25">
      <c r="A29" s="4" t="s">
        <v>884</v>
      </c>
      <c r="B29" s="935" t="s">
        <v>826</v>
      </c>
      <c r="C29" s="765" t="s">
        <v>939</v>
      </c>
      <c r="D29" s="12">
        <v>44635</v>
      </c>
      <c r="E29" s="1157">
        <f t="shared" si="25"/>
        <v>57000000</v>
      </c>
      <c r="F29" s="8">
        <f t="shared" si="26"/>
        <v>47230434</v>
      </c>
      <c r="G29" s="8">
        <f>E29-VLOOKUP(ValDate,'Facilities &amp; Bond Details'!$A$43:$AM$1020,5,FALSE)</f>
        <v>47230434</v>
      </c>
      <c r="H29" s="70">
        <v>1.5E-3</v>
      </c>
      <c r="I29" s="1108">
        <f t="shared" si="27"/>
        <v>1</v>
      </c>
      <c r="J29" s="1106">
        <f>_xlfn.XLOOKUP(D29,$A$43:$A$1020,$E$43:$E$1020)</f>
        <v>9769566</v>
      </c>
      <c r="K29" s="1177">
        <f>_xlfn.XLOOKUP(ValDate,$A$43:$A$1020,$E$43:$E$1020)</f>
        <v>9769566</v>
      </c>
      <c r="L29" s="1167">
        <f>+'Balance Sheet'!ExpAccrualStartDate</f>
        <v>44635</v>
      </c>
      <c r="M29" s="921">
        <f>+$E29*IF($C29="USD",'Balance Sheet'!M_MgmtFee,'Balance Sheet'!$C$79)/3600000</f>
        <v>197.91666666666666</v>
      </c>
      <c r="N29" s="1106">
        <f t="shared" si="28"/>
        <v>3166.6666666666665</v>
      </c>
      <c r="P29" s="1112"/>
      <c r="Q29" s="1112"/>
      <c r="R29" s="1112"/>
      <c r="S29" s="1112"/>
      <c r="T29" s="1112"/>
      <c r="U29" s="1112"/>
      <c r="V29" s="1112"/>
      <c r="W29" s="1112"/>
      <c r="X29" s="1112"/>
      <c r="Y29" s="1112"/>
      <c r="Z29" s="1112"/>
      <c r="AA29" s="1112"/>
      <c r="AB29" s="1112"/>
      <c r="AC29" s="1112"/>
      <c r="AD29" s="1112"/>
      <c r="AE29" s="1112"/>
      <c r="AF29" s="1112"/>
      <c r="AG29" s="1112"/>
      <c r="AH29" s="1112"/>
      <c r="AI29" s="1112"/>
      <c r="AJ29" s="1112"/>
      <c r="AK29" s="1112"/>
      <c r="AL29" s="1112"/>
      <c r="AM29" s="1112"/>
      <c r="AN29" s="1112"/>
      <c r="AO29" s="1112"/>
    </row>
    <row r="30" spans="1:41" s="765" customFormat="1" x14ac:dyDescent="0.25">
      <c r="A30" s="4" t="s">
        <v>1688</v>
      </c>
      <c r="B30" s="935" t="s">
        <v>826</v>
      </c>
      <c r="C30" s="765" t="s">
        <v>939</v>
      </c>
      <c r="D30" s="12">
        <v>44635</v>
      </c>
      <c r="E30" s="1157">
        <f t="shared" si="25"/>
        <v>85400000</v>
      </c>
      <c r="F30" s="8">
        <f t="shared" si="26"/>
        <v>41049850</v>
      </c>
      <c r="G30" s="8">
        <f>E30-VLOOKUP(ValDate,'Facilities &amp; Bond Details'!$A$43:$AM$1020,9,FALSE)</f>
        <v>41049850</v>
      </c>
      <c r="H30" s="70">
        <v>1.5E-3</v>
      </c>
      <c r="I30" s="1108">
        <f t="shared" si="27"/>
        <v>1</v>
      </c>
      <c r="J30" s="1106">
        <f>_xlfn.XLOOKUP(D30,$A$43:$A$1020,$I$43:$I$1020)</f>
        <v>44350150</v>
      </c>
      <c r="K30" s="1177">
        <f>_xlfn.XLOOKUP(ValDate,$A$43:$A$1020,$I$43:$I$1020)</f>
        <v>44350150</v>
      </c>
      <c r="L30" s="1167">
        <f>+'Balance Sheet'!ExpAccrualStartDate</f>
        <v>44635</v>
      </c>
      <c r="M30" s="921">
        <f>+$E30*IF($C30="USD",'Balance Sheet'!M_MgmtFee,'Balance Sheet'!$C$79)/3600000</f>
        <v>296.52777777777777</v>
      </c>
      <c r="N30" s="1106">
        <f t="shared" si="28"/>
        <v>4744.4444444444443</v>
      </c>
      <c r="P30" s="1112"/>
      <c r="Q30" s="1112"/>
      <c r="R30" s="1112"/>
      <c r="S30" s="1112"/>
      <c r="T30" s="1112"/>
      <c r="U30" s="1112"/>
      <c r="V30" s="1112"/>
      <c r="W30" s="1112"/>
      <c r="X30" s="1112"/>
      <c r="Y30" s="1112"/>
      <c r="Z30" s="1112"/>
      <c r="AA30" s="1112"/>
      <c r="AB30" s="1112"/>
      <c r="AC30" s="1112"/>
      <c r="AD30" s="1112"/>
      <c r="AE30" s="1112"/>
      <c r="AF30" s="1112"/>
      <c r="AG30" s="1112"/>
      <c r="AH30" s="1112"/>
      <c r="AI30" s="1112"/>
      <c r="AJ30" s="1112"/>
      <c r="AK30" s="1112"/>
      <c r="AL30" s="1112"/>
      <c r="AM30" s="1112"/>
      <c r="AN30" s="1112"/>
      <c r="AO30" s="1112"/>
    </row>
    <row r="31" spans="1:41" s="765" customFormat="1" x14ac:dyDescent="0.25">
      <c r="A31" s="4" t="s">
        <v>2664</v>
      </c>
      <c r="B31" s="935" t="s">
        <v>826</v>
      </c>
      <c r="C31" s="765" t="s">
        <v>939</v>
      </c>
      <c r="D31" s="12">
        <v>44635</v>
      </c>
      <c r="E31" s="1157">
        <f t="shared" si="25"/>
        <v>28000000</v>
      </c>
      <c r="F31" s="8">
        <f t="shared" si="26"/>
        <v>14600000</v>
      </c>
      <c r="G31" s="8">
        <f>E31-VLOOKUP(ValDate,'Facilities &amp; Bond Details'!$A$43:$AM$1020,11,FALSE)</f>
        <v>12900000</v>
      </c>
      <c r="H31" s="70">
        <v>1.5E-3</v>
      </c>
      <c r="I31" s="1108">
        <f t="shared" si="27"/>
        <v>1</v>
      </c>
      <c r="J31" s="1106">
        <f>_xlfn.XLOOKUP(D31,$A$43:$A$1020,$K$43:$K$1020)</f>
        <v>13400000</v>
      </c>
      <c r="K31" s="1177">
        <f>_xlfn.XLOOKUP(ValDate,$A$43:$A$1020,$K$43:$K$1020)</f>
        <v>15100000</v>
      </c>
      <c r="L31" s="1167">
        <f>+'Balance Sheet'!ExpAccrualStartDate</f>
        <v>44635</v>
      </c>
      <c r="M31" s="921">
        <f>+$E31*IF($C31="USD",'Balance Sheet'!M_MgmtFee,'Balance Sheet'!$C$79)/3600000</f>
        <v>97.222222222222229</v>
      </c>
      <c r="N31" s="1106">
        <f t="shared" si="28"/>
        <v>1555.5555555555557</v>
      </c>
      <c r="P31" s="1112"/>
      <c r="Q31" s="1112"/>
      <c r="R31" s="1112"/>
      <c r="S31" s="1112"/>
      <c r="T31" s="1112"/>
      <c r="U31" s="1112"/>
      <c r="V31" s="1112"/>
      <c r="W31" s="1112"/>
      <c r="X31" s="1112"/>
      <c r="Y31" s="1112"/>
      <c r="Z31" s="1112"/>
      <c r="AA31" s="1112"/>
      <c r="AB31" s="1112"/>
      <c r="AC31" s="1112"/>
      <c r="AD31" s="1112"/>
      <c r="AE31" s="1112"/>
      <c r="AF31" s="1112"/>
      <c r="AG31" s="1112"/>
      <c r="AH31" s="1112"/>
      <c r="AI31" s="1112"/>
      <c r="AJ31" s="1112"/>
      <c r="AK31" s="1112"/>
      <c r="AL31" s="1112"/>
      <c r="AM31" s="1112"/>
      <c r="AN31" s="1112"/>
      <c r="AO31" s="1112"/>
    </row>
    <row r="32" spans="1:41" s="765" customFormat="1" x14ac:dyDescent="0.25">
      <c r="A32" s="4" t="s">
        <v>2949</v>
      </c>
      <c r="B32" s="935" t="s">
        <v>826</v>
      </c>
      <c r="C32" s="765" t="s">
        <v>939</v>
      </c>
      <c r="D32" s="12">
        <v>44635</v>
      </c>
      <c r="E32" s="1157">
        <f t="shared" si="25"/>
        <v>33333333.333333299</v>
      </c>
      <c r="F32" s="8">
        <f t="shared" si="26"/>
        <v>8900357.3333332986</v>
      </c>
      <c r="G32" s="8">
        <f>F32</f>
        <v>8900357.3333332986</v>
      </c>
      <c r="H32" s="70">
        <v>1.5E-3</v>
      </c>
      <c r="I32" s="1108">
        <f t="shared" si="27"/>
        <v>1</v>
      </c>
      <c r="J32" s="1106">
        <f>_xlfn.XLOOKUP(D32,$A$43:$A$1020,$M$43:$M$1020)</f>
        <v>24432976</v>
      </c>
      <c r="K32" s="1177">
        <f>_xlfn.XLOOKUP(ValDate,$A$43:$A$1020,$M$43:$M$1020)</f>
        <v>25332976</v>
      </c>
      <c r="L32" s="1167">
        <f>+'Balance Sheet'!ExpAccrualStartDate</f>
        <v>44635</v>
      </c>
      <c r="M32" s="921">
        <f>+$E32*IF($C32="USD",'Balance Sheet'!M_MgmtFee,'Balance Sheet'!$C$79)/3600000</f>
        <v>115.74074074074062</v>
      </c>
      <c r="N32" s="1106">
        <f t="shared" si="28"/>
        <v>1851.8518518518499</v>
      </c>
      <c r="P32" s="1112"/>
      <c r="Q32" s="1112"/>
      <c r="R32" s="1112"/>
      <c r="S32" s="1112"/>
      <c r="T32" s="1112"/>
      <c r="U32" s="1112"/>
      <c r="V32" s="1112"/>
      <c r="W32" s="1112"/>
      <c r="X32" s="1112"/>
      <c r="Y32" s="1112"/>
      <c r="Z32" s="1112"/>
      <c r="AA32" s="1112"/>
      <c r="AB32" s="1112"/>
      <c r="AC32" s="1112"/>
      <c r="AD32" s="1112"/>
      <c r="AE32" s="1112"/>
      <c r="AF32" s="1112"/>
      <c r="AG32" s="1112"/>
      <c r="AH32" s="1112"/>
      <c r="AI32" s="1112"/>
      <c r="AJ32" s="1112"/>
      <c r="AK32" s="1112"/>
      <c r="AL32" s="1112"/>
      <c r="AM32" s="1112"/>
      <c r="AN32" s="1112"/>
      <c r="AO32" s="1112"/>
    </row>
    <row r="33" spans="1:45" s="765" customFormat="1" x14ac:dyDescent="0.25">
      <c r="A33" s="4" t="s">
        <v>4597</v>
      </c>
      <c r="B33" s="935" t="s">
        <v>826</v>
      </c>
      <c r="C33" s="765" t="s">
        <v>939</v>
      </c>
      <c r="D33" s="1196">
        <v>44594</v>
      </c>
      <c r="E33" s="1157">
        <f t="shared" si="25"/>
        <v>11000000</v>
      </c>
      <c r="F33" s="8">
        <f t="shared" si="26"/>
        <v>11000000</v>
      </c>
      <c r="G33" s="8">
        <f t="shared" ref="G33:G35" si="29">F33</f>
        <v>11000000</v>
      </c>
      <c r="H33" s="70">
        <v>1.5E-3</v>
      </c>
      <c r="I33" s="1108">
        <f t="shared" si="27"/>
        <v>1</v>
      </c>
      <c r="J33" s="1106">
        <f>_xlfn.XLOOKUP(D33,$A$43:$A$1020,$S$43:$S$1020)</f>
        <v>0</v>
      </c>
      <c r="K33" s="1177">
        <f>_xlfn.XLOOKUP(ValDate,$A$43:$A$1020,$S$43:$S$1020)</f>
        <v>10000000</v>
      </c>
      <c r="L33" s="1195">
        <f>+'Balance Sheet'!ExpAccrualStartDate</f>
        <v>44635</v>
      </c>
      <c r="M33" s="921">
        <f>+$E33*IF($C33="USD",'Balance Sheet'!M_MgmtFee,'Balance Sheet'!$C$79)/3600000</f>
        <v>38.194444444444443</v>
      </c>
      <c r="N33" s="1106">
        <f t="shared" si="28"/>
        <v>611.11111111111109</v>
      </c>
      <c r="P33" s="1112"/>
      <c r="Q33" s="1112"/>
      <c r="R33" s="1112"/>
      <c r="S33" s="1112"/>
      <c r="T33" s="1112"/>
      <c r="U33" s="1112"/>
      <c r="V33" s="1112"/>
      <c r="W33" s="1112"/>
      <c r="X33" s="1112"/>
      <c r="Y33" s="1112"/>
      <c r="Z33" s="1112"/>
      <c r="AA33" s="1112"/>
      <c r="AB33" s="1112"/>
      <c r="AC33" s="1112"/>
      <c r="AD33" s="1112"/>
      <c r="AE33" s="1112"/>
      <c r="AF33" s="1112"/>
      <c r="AG33" s="1112"/>
      <c r="AH33" s="1112"/>
      <c r="AI33" s="1112"/>
      <c r="AJ33" s="1112"/>
      <c r="AK33" s="1112"/>
      <c r="AL33" s="1112"/>
      <c r="AM33" s="1112"/>
      <c r="AN33" s="1112"/>
      <c r="AO33" s="1112"/>
    </row>
    <row r="34" spans="1:45" s="765" customFormat="1" x14ac:dyDescent="0.25">
      <c r="A34" s="4" t="s">
        <v>3535</v>
      </c>
      <c r="B34" s="935" t="s">
        <v>826</v>
      </c>
      <c r="C34" s="765" t="s">
        <v>939</v>
      </c>
      <c r="D34" s="12">
        <v>44635</v>
      </c>
      <c r="E34" s="1157">
        <f t="shared" si="25"/>
        <v>39000000</v>
      </c>
      <c r="F34" s="8">
        <f t="shared" ref="F34" si="30">E34-J34</f>
        <v>36800000</v>
      </c>
      <c r="G34" s="8">
        <f t="shared" ref="G34" si="31">F34</f>
        <v>36800000</v>
      </c>
      <c r="H34" s="70">
        <v>1.5E-3</v>
      </c>
      <c r="I34" s="1108">
        <f t="shared" ref="I34" si="32">IF(C34="USD",1,IF(C34="EUR",EURFX,NA()))</f>
        <v>1</v>
      </c>
      <c r="J34" s="1106">
        <f>_xlfn.XLOOKUP(D34,$A$43:$A$1020,$U$43:$U$1020)</f>
        <v>2200000</v>
      </c>
      <c r="K34" s="1177">
        <f>_xlfn.XLOOKUP(ValDate,$A$43:$A$1020,$U$43:$U$1020)</f>
        <v>2200000</v>
      </c>
      <c r="L34" s="1167">
        <f>+'Balance Sheet'!ExpAccrualStartDate</f>
        <v>44635</v>
      </c>
      <c r="M34" s="921">
        <f>+$E34*IF($C34="USD",'Balance Sheet'!M_MgmtFee,'Balance Sheet'!$C$79)/3600000</f>
        <v>135.41666666666666</v>
      </c>
      <c r="N34" s="1106">
        <f t="shared" ref="N34" si="33">M34*(ValDate-L34)</f>
        <v>2166.6666666666665</v>
      </c>
      <c r="P34" s="1112"/>
      <c r="Q34" s="1112"/>
      <c r="R34" s="1112"/>
      <c r="S34" s="1112"/>
      <c r="T34" s="1112"/>
      <c r="U34" s="1112"/>
      <c r="V34" s="1112"/>
      <c r="W34" s="1112"/>
      <c r="X34" s="1112"/>
      <c r="Y34" s="1112"/>
      <c r="Z34" s="1112"/>
      <c r="AA34" s="1112"/>
      <c r="AB34" s="1112"/>
      <c r="AC34" s="1112"/>
      <c r="AD34" s="1112"/>
      <c r="AE34" s="1112"/>
      <c r="AF34" s="1112"/>
      <c r="AG34" s="1112"/>
      <c r="AH34" s="1112"/>
      <c r="AI34" s="1112"/>
      <c r="AJ34" s="1112"/>
      <c r="AK34" s="1112"/>
      <c r="AL34" s="1112"/>
      <c r="AM34" s="1112"/>
      <c r="AN34" s="1112"/>
      <c r="AO34" s="1112"/>
    </row>
    <row r="35" spans="1:45" s="765" customFormat="1" x14ac:dyDescent="0.25">
      <c r="A35" s="133" t="s">
        <v>4596</v>
      </c>
      <c r="B35" s="1178" t="s">
        <v>826</v>
      </c>
      <c r="C35" s="133" t="s">
        <v>948</v>
      </c>
      <c r="D35" s="1179">
        <v>44635</v>
      </c>
      <c r="E35" s="1180">
        <f t="shared" si="25"/>
        <v>70010000</v>
      </c>
      <c r="F35" s="1181">
        <f t="shared" si="26"/>
        <v>70010000</v>
      </c>
      <c r="G35" s="1181">
        <f t="shared" si="29"/>
        <v>70010000</v>
      </c>
      <c r="H35" s="960">
        <v>0</v>
      </c>
      <c r="I35" s="1182">
        <f t="shared" si="27"/>
        <v>1.1065499999999999</v>
      </c>
      <c r="J35" s="1183">
        <f>_xlfn.XLOOKUP(D35,$A$43:$A$1020,$Q$43:$Q$1020)</f>
        <v>0</v>
      </c>
      <c r="K35" s="1184">
        <f>_xlfn.XLOOKUP(ValDate,$A$43:$A$1020,$Q$43:$Q$1020)</f>
        <v>0</v>
      </c>
      <c r="L35" s="1185">
        <f>+'Balance Sheet'!ExpAccrualStartDate</f>
        <v>44635</v>
      </c>
      <c r="M35" s="1186">
        <f>+$E35*IF($C35="USD",'Balance Sheet'!M_MgmtFee,'Balance Sheet'!$C$79)/3600000</f>
        <v>243.09027777777777</v>
      </c>
      <c r="N35" s="1183">
        <f t="shared" si="28"/>
        <v>3889.4444444444443</v>
      </c>
      <c r="P35" s="1142"/>
      <c r="Q35" s="12"/>
      <c r="R35" s="12"/>
      <c r="S35" s="12"/>
      <c r="T35" s="12"/>
      <c r="U35" s="12"/>
      <c r="V35" s="12"/>
      <c r="W35" s="12"/>
      <c r="X35" s="12"/>
      <c r="Y35" s="143"/>
      <c r="Z35" s="12"/>
      <c r="AA35" s="1052"/>
      <c r="AB35" s="12"/>
      <c r="AC35" s="12"/>
      <c r="AD35" s="12"/>
      <c r="AE35" s="12"/>
      <c r="AF35" s="12"/>
      <c r="AG35" s="1052"/>
      <c r="AH35" s="12"/>
      <c r="AI35" s="12"/>
      <c r="AJ35" s="1052"/>
      <c r="AK35" s="1052"/>
    </row>
    <row r="36" spans="1:45" s="765" customFormat="1" x14ac:dyDescent="0.25">
      <c r="A36" s="4" t="s">
        <v>2950</v>
      </c>
      <c r="B36" s="935" t="s">
        <v>826</v>
      </c>
      <c r="C36" s="765" t="s">
        <v>948</v>
      </c>
      <c r="D36" s="12">
        <v>44635</v>
      </c>
      <c r="E36" s="1157">
        <f t="shared" si="25"/>
        <v>20000000</v>
      </c>
      <c r="F36" s="8">
        <f t="shared" si="26"/>
        <v>5700000</v>
      </c>
      <c r="G36" s="8">
        <f>F36</f>
        <v>5700000</v>
      </c>
      <c r="H36" s="70">
        <v>1.5E-3</v>
      </c>
      <c r="I36" s="1108">
        <f t="shared" si="27"/>
        <v>1.1065499999999999</v>
      </c>
      <c r="J36" s="1106">
        <f>_xlfn.XLOOKUP(D36,$A$43:$A$1020,$O$43:$O$1020)</f>
        <v>14300000</v>
      </c>
      <c r="K36" s="1177">
        <f>_xlfn.XLOOKUP(ValDate,$A$43:$A$1020,$O$43:$O$1020)</f>
        <v>14300000</v>
      </c>
      <c r="L36" s="1167">
        <f>+'Balance Sheet'!ExpAccrualStartDate</f>
        <v>44635</v>
      </c>
      <c r="M36" s="921">
        <f>+$E36*IF($C36="USD",'Balance Sheet'!M_MgmtFee,'Balance Sheet'!$C$79)/3600000</f>
        <v>69.444444444444443</v>
      </c>
      <c r="N36" s="1106">
        <f t="shared" si="28"/>
        <v>1111.1111111111111</v>
      </c>
      <c r="P36" s="1142"/>
      <c r="Q36" s="12"/>
      <c r="R36" s="12"/>
      <c r="S36" s="12"/>
      <c r="T36" s="12"/>
      <c r="U36" s="12"/>
      <c r="V36" s="12"/>
      <c r="W36" s="12"/>
      <c r="X36" s="12"/>
      <c r="Y36" s="143"/>
      <c r="Z36" s="12"/>
      <c r="AA36" s="1052"/>
      <c r="AB36" s="12"/>
      <c r="AC36" s="12"/>
      <c r="AD36" s="12"/>
      <c r="AE36" s="12"/>
      <c r="AF36" s="12"/>
      <c r="AG36" s="1052"/>
      <c r="AH36" s="12"/>
      <c r="AI36" s="12"/>
      <c r="AJ36" s="1052"/>
      <c r="AK36" s="1052"/>
    </row>
    <row r="37" spans="1:45" s="765" customFormat="1" x14ac:dyDescent="0.25">
      <c r="A37" s="4" t="s">
        <v>3397</v>
      </c>
      <c r="B37" s="935" t="s">
        <v>826</v>
      </c>
      <c r="C37" s="765" t="s">
        <v>948</v>
      </c>
      <c r="D37" s="12">
        <v>44635</v>
      </c>
      <c r="E37" s="1157">
        <f t="shared" si="25"/>
        <v>22500000</v>
      </c>
      <c r="F37" s="8">
        <f t="shared" si="26"/>
        <v>10275305.109999999</v>
      </c>
      <c r="G37" s="8">
        <f>F37</f>
        <v>10275305.109999999</v>
      </c>
      <c r="H37" s="70">
        <v>1.5E-3</v>
      </c>
      <c r="I37" s="1108">
        <f t="shared" si="27"/>
        <v>1.1065499999999999</v>
      </c>
      <c r="J37" s="1106">
        <f>_xlfn.XLOOKUP(D37,$A$43:$A$1020,$W$43:$W$1020)</f>
        <v>12224694.890000001</v>
      </c>
      <c r="K37" s="1177">
        <f>_xlfn.XLOOKUP(ValDate,$A$43:$A$1020,$W$43:$W$1020)</f>
        <v>12224694.890000001</v>
      </c>
      <c r="L37" s="1167">
        <f>+'Balance Sheet'!ExpAccrualStartDate</f>
        <v>44635</v>
      </c>
      <c r="M37" s="921">
        <f>+$E37*IF($C37="USD",'Balance Sheet'!M_MgmtFee,'Balance Sheet'!$C$79)/3600000</f>
        <v>78.125</v>
      </c>
      <c r="N37" s="1106">
        <f t="shared" si="28"/>
        <v>1250</v>
      </c>
      <c r="P37" s="1142"/>
      <c r="Q37" s="12"/>
      <c r="R37" s="12"/>
      <c r="S37" s="12"/>
      <c r="T37" s="12"/>
      <c r="U37" s="12"/>
      <c r="V37" s="12"/>
      <c r="W37" s="12"/>
      <c r="X37" s="12"/>
      <c r="Y37" s="143"/>
      <c r="Z37" s="12"/>
      <c r="AA37" s="1052"/>
      <c r="AB37" s="12"/>
      <c r="AC37" s="12"/>
      <c r="AD37" s="12"/>
      <c r="AE37" s="12"/>
      <c r="AF37" s="12"/>
      <c r="AG37" s="1052"/>
      <c r="AH37" s="12"/>
      <c r="AI37" s="12"/>
      <c r="AJ37" s="1052"/>
      <c r="AK37" s="1052"/>
    </row>
    <row r="38" spans="1:45" s="765" customFormat="1" x14ac:dyDescent="0.25">
      <c r="A38" s="4" t="s">
        <v>969</v>
      </c>
      <c r="B38" s="935" t="s">
        <v>826</v>
      </c>
      <c r="C38" s="765" t="s">
        <v>948</v>
      </c>
      <c r="D38" s="12">
        <v>44635</v>
      </c>
      <c r="E38" s="1157">
        <f t="shared" si="25"/>
        <v>112000000</v>
      </c>
      <c r="F38" s="8">
        <f t="shared" si="26"/>
        <v>35600000</v>
      </c>
      <c r="G38" s="8">
        <f>E38-VLOOKUP(ValDate,'Facilities &amp; Bond Details'!$A$43:$AM$1020,7,FALSE)</f>
        <v>35600000</v>
      </c>
      <c r="H38" s="70">
        <v>1.5E-3</v>
      </c>
      <c r="I38" s="1108">
        <f t="shared" si="27"/>
        <v>1.1065499999999999</v>
      </c>
      <c r="J38" s="1106">
        <f>_xlfn.XLOOKUP(D38,$A$43:$A$1020,$G$43:$G$1020)</f>
        <v>76400000</v>
      </c>
      <c r="K38" s="1177">
        <f>_xlfn.XLOOKUP(ValDate,$A$43:$A$1020,$G$43:$G$1020)</f>
        <v>76400000</v>
      </c>
      <c r="L38" s="1167">
        <f>+'Balance Sheet'!ExpAccrualStartDate</f>
        <v>44635</v>
      </c>
      <c r="M38" s="921">
        <f>+$E38*IF($C38="USD",'Balance Sheet'!M_MgmtFee,'Balance Sheet'!$C$79)/3600000</f>
        <v>388.88888888888891</v>
      </c>
      <c r="N38" s="1106">
        <f t="shared" si="28"/>
        <v>6222.2222222222226</v>
      </c>
      <c r="P38" s="1142"/>
      <c r="Q38" s="12"/>
      <c r="R38" s="12"/>
      <c r="S38" s="12"/>
      <c r="T38" s="12"/>
      <c r="U38" s="12"/>
      <c r="V38" s="12"/>
      <c r="W38" s="12"/>
      <c r="X38" s="12"/>
      <c r="Y38" s="143"/>
      <c r="Z38" s="12"/>
      <c r="AA38" s="143"/>
      <c r="AG38" s="143"/>
    </row>
    <row r="39" spans="1:45" s="765" customFormat="1" ht="15.75" thickBot="1" x14ac:dyDescent="0.3">
      <c r="A39" s="4"/>
      <c r="B39" s="935"/>
      <c r="D39" s="12"/>
      <c r="E39" s="915"/>
      <c r="F39" s="921"/>
      <c r="G39" s="921"/>
      <c r="H39" s="915"/>
      <c r="I39" s="70"/>
      <c r="J39" s="112"/>
      <c r="K39" s="4"/>
      <c r="M39" s="1106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43"/>
      <c r="Z39" s="12"/>
      <c r="AA39" s="143"/>
      <c r="AG39" s="143"/>
    </row>
    <row r="40" spans="1:45" ht="24" thickBot="1" x14ac:dyDescent="0.4">
      <c r="A40" s="3" t="s">
        <v>955</v>
      </c>
      <c r="B40" s="1"/>
      <c r="C40" s="1"/>
      <c r="D40" s="1"/>
      <c r="E40" s="515"/>
      <c r="F40" s="1"/>
      <c r="G40" s="1"/>
      <c r="J40" s="112"/>
      <c r="L40" s="1168"/>
      <c r="N40" s="765"/>
      <c r="O40" s="765"/>
      <c r="Y40" s="1245" t="s">
        <v>4603</v>
      </c>
      <c r="Z40" s="1246"/>
      <c r="AA40" s="1246"/>
      <c r="AB40" s="1246"/>
      <c r="AC40" s="1246"/>
      <c r="AD40" s="1246"/>
      <c r="AE40" s="1246"/>
      <c r="AF40" s="1246"/>
      <c r="AG40" s="1246"/>
      <c r="AH40" s="1246"/>
      <c r="AI40" s="1246"/>
      <c r="AJ40" s="1246"/>
      <c r="AK40" s="1247"/>
    </row>
    <row r="41" spans="1:45" ht="15.75" thickTop="1" x14ac:dyDescent="0.25">
      <c r="A41" s="1252" t="s">
        <v>76</v>
      </c>
      <c r="B41" s="1248" t="s">
        <v>833</v>
      </c>
      <c r="C41" s="1254"/>
      <c r="D41" s="1248" t="s">
        <v>882</v>
      </c>
      <c r="E41" s="1250"/>
      <c r="F41" s="1248" t="s">
        <v>983</v>
      </c>
      <c r="G41" s="1250"/>
      <c r="H41" s="1248" t="s">
        <v>1689</v>
      </c>
      <c r="I41" s="1250"/>
      <c r="J41" s="1248" t="s">
        <v>2662</v>
      </c>
      <c r="K41" s="1250"/>
      <c r="L41" s="1248" t="s">
        <v>2979</v>
      </c>
      <c r="M41" s="1251"/>
      <c r="N41" s="1248" t="s">
        <v>3132</v>
      </c>
      <c r="O41" s="1250"/>
      <c r="P41" s="1248" t="s">
        <v>4594</v>
      </c>
      <c r="Q41" s="1250"/>
      <c r="R41" s="1248" t="s">
        <v>4595</v>
      </c>
      <c r="S41" s="1250"/>
      <c r="T41" s="1248" t="s">
        <v>4624</v>
      </c>
      <c r="U41" s="1250"/>
      <c r="V41" s="1248" t="s">
        <v>3419</v>
      </c>
      <c r="W41" s="1249"/>
      <c r="Y41" s="1143" t="s">
        <v>4604</v>
      </c>
      <c r="Z41" s="766" t="s">
        <v>883</v>
      </c>
      <c r="AA41" s="766" t="s">
        <v>884</v>
      </c>
      <c r="AB41" s="766" t="s">
        <v>1688</v>
      </c>
      <c r="AC41" s="766" t="s">
        <v>2664</v>
      </c>
      <c r="AD41" s="766" t="s">
        <v>2949</v>
      </c>
      <c r="AE41" s="766" t="s">
        <v>4597</v>
      </c>
      <c r="AF41" s="766" t="s">
        <v>4596</v>
      </c>
      <c r="AG41" s="766" t="s">
        <v>2950</v>
      </c>
      <c r="AH41" s="766" t="s">
        <v>3535</v>
      </c>
      <c r="AI41" s="766" t="s">
        <v>3397</v>
      </c>
      <c r="AJ41" s="766" t="s">
        <v>969</v>
      </c>
    </row>
    <row r="42" spans="1:45" x14ac:dyDescent="0.25">
      <c r="A42" s="1253"/>
      <c r="B42" s="871" t="s">
        <v>77</v>
      </c>
      <c r="C42" s="873" t="s">
        <v>78</v>
      </c>
      <c r="D42" s="871" t="s">
        <v>77</v>
      </c>
      <c r="E42" s="873" t="s">
        <v>78</v>
      </c>
      <c r="F42" s="871" t="s">
        <v>77</v>
      </c>
      <c r="G42" s="873" t="s">
        <v>78</v>
      </c>
      <c r="H42" s="871" t="s">
        <v>77</v>
      </c>
      <c r="I42" s="873" t="s">
        <v>78</v>
      </c>
      <c r="J42" s="871" t="s">
        <v>77</v>
      </c>
      <c r="K42" s="873" t="s">
        <v>78</v>
      </c>
      <c r="L42" s="871" t="s">
        <v>77</v>
      </c>
      <c r="M42" s="873" t="s">
        <v>78</v>
      </c>
      <c r="N42" s="871" t="s">
        <v>77</v>
      </c>
      <c r="O42" s="873" t="s">
        <v>78</v>
      </c>
      <c r="P42" s="871" t="s">
        <v>77</v>
      </c>
      <c r="Q42" s="873" t="s">
        <v>78</v>
      </c>
      <c r="R42" s="871" t="s">
        <v>77</v>
      </c>
      <c r="S42" s="873" t="s">
        <v>78</v>
      </c>
      <c r="T42" s="871" t="s">
        <v>77</v>
      </c>
      <c r="U42" s="873" t="s">
        <v>78</v>
      </c>
      <c r="V42" s="871" t="s">
        <v>77</v>
      </c>
      <c r="W42" s="873" t="s">
        <v>78</v>
      </c>
      <c r="Y42" s="1143" t="s">
        <v>943</v>
      </c>
      <c r="Z42" s="768" t="s">
        <v>939</v>
      </c>
      <c r="AA42" s="768" t="s">
        <v>939</v>
      </c>
      <c r="AB42" s="768" t="s">
        <v>939</v>
      </c>
      <c r="AC42" s="768" t="s">
        <v>939</v>
      </c>
      <c r="AD42" s="768" t="s">
        <v>939</v>
      </c>
      <c r="AE42" s="768" t="s">
        <v>939</v>
      </c>
      <c r="AF42" s="768" t="s">
        <v>948</v>
      </c>
      <c r="AG42" s="768" t="s">
        <v>948</v>
      </c>
      <c r="AH42" s="768" t="s">
        <v>939</v>
      </c>
      <c r="AI42" s="768" t="s">
        <v>948</v>
      </c>
      <c r="AJ42" s="768" t="s">
        <v>948</v>
      </c>
      <c r="AK42"/>
    </row>
    <row r="43" spans="1:45" ht="15.75" thickBot="1" x14ac:dyDescent="0.3">
      <c r="A43" s="335">
        <v>43503</v>
      </c>
      <c r="B43" s="329">
        <f t="shared" ref="B43:B106" si="34">SUMIFS(Usage_Main,CF_Dates,$A43,CF_Descriptions,"XS1951177309 Change")</f>
        <v>0</v>
      </c>
      <c r="C43" s="338">
        <f>B43</f>
        <v>0</v>
      </c>
      <c r="D43" s="329">
        <f t="shared" ref="D43:D74" si="35">SUMIFS(Usage_Main,CF_Dates,$A43,CF_Descriptions,"SOSPRUCE1 Change")</f>
        <v>0</v>
      </c>
      <c r="E43" s="338">
        <f>D43</f>
        <v>0</v>
      </c>
      <c r="F43" s="329">
        <f>SUMIFS(Usage_Main,CF_Dates,$A43,CF_Descriptions,"EASTCYPRESS1 Change")</f>
        <v>0</v>
      </c>
      <c r="G43" s="338">
        <f>F43</f>
        <v>0</v>
      </c>
      <c r="H43" s="329">
        <f t="shared" ref="H43:H106" si="36">SUMIFS(Usage_Main,CF_Dates,$A43,CF_Descriptions,"XS2091648928 Change")</f>
        <v>0</v>
      </c>
      <c r="I43" s="338">
        <f>H43</f>
        <v>0</v>
      </c>
      <c r="J43" s="329">
        <f>SUMIFS(Usage_Main,CF_Dates,$A43,CF_Descriptions,"Southern Apple Change")</f>
        <v>0</v>
      </c>
      <c r="K43" s="338">
        <f>J43</f>
        <v>0</v>
      </c>
      <c r="L43" s="329">
        <f>SUMIFS(Usage_Main,CF_Dates,$A43,CF_Descriptions,"ALMONDUSD Change")</f>
        <v>0</v>
      </c>
      <c r="M43" s="338">
        <f>L43</f>
        <v>0</v>
      </c>
      <c r="N43" s="329">
        <f t="shared" ref="N43:N106" si="37">SUMIFS(Usage_Main,CF_Dates,$A43,CF_Descriptions,"ALMONDEUR Change")</f>
        <v>0</v>
      </c>
      <c r="O43" s="338">
        <f>N43</f>
        <v>0</v>
      </c>
      <c r="P43" s="329">
        <f t="shared" ref="P43:P106" si="38">SUMIFS(Usage_Main,CF_Dates,$A43,CF_Descriptions,"HEXZETA Change")</f>
        <v>0</v>
      </c>
      <c r="Q43" s="338">
        <f>P43</f>
        <v>0</v>
      </c>
      <c r="R43" s="329">
        <f t="shared" ref="R43:R106" si="39">SUMIFS(Usage_Main,CF_Dates,$A43,CF_Descriptions,"MNTNCHERRY Change")</f>
        <v>0</v>
      </c>
      <c r="S43" s="338">
        <f>R43</f>
        <v>0</v>
      </c>
      <c r="T43" s="329">
        <f t="shared" ref="T43:T106" si="40">SUMIFS(Usage_Main,CF_Dates,$A43,CF_Descriptions,"OLIVEUSD Change")</f>
        <v>0</v>
      </c>
      <c r="U43" s="338">
        <f>T43</f>
        <v>0</v>
      </c>
      <c r="V43" s="329">
        <f t="shared" ref="V43:V106" si="41">SUMIFS(Usage_Main,CF_Dates,$A43,CF_Descriptions,"OLIVEEUR Change")</f>
        <v>0</v>
      </c>
      <c r="W43" s="338">
        <f>V43</f>
        <v>0</v>
      </c>
      <c r="Y43" s="41" t="s">
        <v>3540</v>
      </c>
      <c r="Z43" s="1156">
        <f>_xlfn.XLOOKUP(Z42,'Balance Sheet'!$A$15:$A$16,'Balance Sheet'!$B$15:$B$16)</f>
        <v>1</v>
      </c>
      <c r="AA43" s="1156">
        <f>_xlfn.XLOOKUP(AA42,'Balance Sheet'!$A$15:$A$16,'Balance Sheet'!$B$15:$B$16)</f>
        <v>1</v>
      </c>
      <c r="AB43" s="1156">
        <f>_xlfn.XLOOKUP(AB42,'Balance Sheet'!$A$15:$A$16,'Balance Sheet'!$B$15:$B$16)</f>
        <v>1</v>
      </c>
      <c r="AC43" s="1156">
        <f>_xlfn.XLOOKUP(AC42,'Balance Sheet'!$A$15:$A$16,'Balance Sheet'!$B$15:$B$16)</f>
        <v>1</v>
      </c>
      <c r="AD43" s="1156">
        <f>_xlfn.XLOOKUP(AD42,'Balance Sheet'!$A$15:$A$16,'Balance Sheet'!$B$15:$B$16)</f>
        <v>1</v>
      </c>
      <c r="AE43" s="1156">
        <f>_xlfn.XLOOKUP(AE42,'Balance Sheet'!$A$15:$A$16,'Balance Sheet'!$B$15:$B$16)</f>
        <v>1</v>
      </c>
      <c r="AF43" s="1156">
        <f>_xlfn.XLOOKUP(AF42,'Balance Sheet'!$A$15:$A$16,'Balance Sheet'!$B$15:$B$16)</f>
        <v>1.1065499999999999</v>
      </c>
      <c r="AG43" s="1156">
        <f>_xlfn.XLOOKUP(AG42,'Balance Sheet'!$A$15:$A$16,'Balance Sheet'!$B$15:$B$16)</f>
        <v>1.1065499999999999</v>
      </c>
      <c r="AH43" s="1156">
        <f>_xlfn.XLOOKUP(AH42,'Balance Sheet'!$A$15:$A$16,'Balance Sheet'!$B$15:$B$16)</f>
        <v>1</v>
      </c>
      <c r="AI43" s="1156">
        <f>_xlfn.XLOOKUP(AI42,'Balance Sheet'!$A$15:$A$16,'Balance Sheet'!$B$15:$B$16)</f>
        <v>1.1065499999999999</v>
      </c>
      <c r="AJ43" s="1156">
        <f>_xlfn.XLOOKUP(AJ42,'Balance Sheet'!$A$15:$A$16,'Balance Sheet'!$B$15:$B$16)</f>
        <v>1.1065499999999999</v>
      </c>
      <c r="AK43" s="1155" t="s">
        <v>4605</v>
      </c>
    </row>
    <row r="44" spans="1:45" ht="15.75" thickTop="1" x14ac:dyDescent="0.25">
      <c r="A44" s="335">
        <f>A43+1</f>
        <v>43504</v>
      </c>
      <c r="B44" s="329">
        <f t="shared" si="34"/>
        <v>0</v>
      </c>
      <c r="C44" s="338">
        <f t="shared" ref="C44:C55" si="42">B44+C43</f>
        <v>0</v>
      </c>
      <c r="D44" s="329">
        <f>SUMIFS(Usage_Main,CF_Dates,$A44,CF_Descriptions,"SOSPRUCE1 Change")</f>
        <v>0</v>
      </c>
      <c r="E44" s="338">
        <f t="shared" ref="E44:E107" si="43">D44+E43</f>
        <v>0</v>
      </c>
      <c r="F44" s="329">
        <f>SUMIFS(Usage_Main,CF_Dates,$A44,CF_Descriptions,"EASTCYPRESS1 Change")</f>
        <v>0</v>
      </c>
      <c r="G44" s="338">
        <f t="shared" ref="G44:G107" si="44">F44+G43</f>
        <v>0</v>
      </c>
      <c r="H44" s="329">
        <f t="shared" si="36"/>
        <v>0</v>
      </c>
      <c r="I44" s="338">
        <f t="shared" ref="I44:I107" si="45">H44+I43</f>
        <v>0</v>
      </c>
      <c r="J44" s="329">
        <f>SUMIFS(Usage_Main,CF_Dates,$A44,CF_Descriptions,"Southern Apple Change")</f>
        <v>0</v>
      </c>
      <c r="K44" s="338">
        <f t="shared" ref="K44:K107" si="46">J44+K43</f>
        <v>0</v>
      </c>
      <c r="L44" s="329">
        <f>SUMIFS(Usage_Main,CF_Dates,$A44,CF_Descriptions,"ALMONDUSD Change")</f>
        <v>0</v>
      </c>
      <c r="M44" s="338">
        <f t="shared" ref="M44:M107" si="47">L44+M43</f>
        <v>0</v>
      </c>
      <c r="N44" s="329">
        <f t="shared" si="37"/>
        <v>0</v>
      </c>
      <c r="O44" s="338">
        <f t="shared" ref="O44:O107" si="48">N44+O43</f>
        <v>0</v>
      </c>
      <c r="P44" s="329">
        <f t="shared" si="38"/>
        <v>0</v>
      </c>
      <c r="Q44" s="338">
        <f t="shared" ref="Q44:Q107" si="49">P44+Q43</f>
        <v>0</v>
      </c>
      <c r="R44" s="329">
        <f t="shared" si="39"/>
        <v>0</v>
      </c>
      <c r="S44" s="338">
        <f t="shared" ref="S44:S107" si="50">R44+S43</f>
        <v>0</v>
      </c>
      <c r="T44" s="329">
        <f t="shared" si="40"/>
        <v>0</v>
      </c>
      <c r="U44" s="338">
        <f t="shared" ref="U44:U107" si="51">T44+U43</f>
        <v>0</v>
      </c>
      <c r="V44" s="329">
        <f t="shared" si="41"/>
        <v>0</v>
      </c>
      <c r="W44" s="338">
        <f t="shared" ref="W44:W107" si="52">V44+W43</f>
        <v>0</v>
      </c>
      <c r="Y44" s="10">
        <v>43503</v>
      </c>
      <c r="Z44" s="1084">
        <v>93750000</v>
      </c>
      <c r="AA44" s="1085">
        <v>0</v>
      </c>
      <c r="AB44" s="1085">
        <v>0</v>
      </c>
      <c r="AC44" s="1086">
        <v>0</v>
      </c>
      <c r="AD44" s="1086">
        <v>0</v>
      </c>
      <c r="AE44" s="1085">
        <v>0</v>
      </c>
      <c r="AF44" s="1145">
        <v>0</v>
      </c>
      <c r="AG44" s="1088">
        <v>0</v>
      </c>
      <c r="AH44" s="1086">
        <v>0</v>
      </c>
      <c r="AI44" s="1088">
        <v>0</v>
      </c>
      <c r="AJ44" s="1088">
        <v>0</v>
      </c>
      <c r="AK44" s="1144">
        <f t="shared" ref="AK44:AK78" si="53">SUMPRODUCT($Z$43:$AJ$43,Z44:AJ44)</f>
        <v>93750000</v>
      </c>
    </row>
    <row r="45" spans="1:45" x14ac:dyDescent="0.25">
      <c r="A45" s="336">
        <f>A44+3</f>
        <v>43507</v>
      </c>
      <c r="B45" s="329">
        <f t="shared" si="34"/>
        <v>0</v>
      </c>
      <c r="C45" s="338">
        <f t="shared" si="42"/>
        <v>0</v>
      </c>
      <c r="D45" s="329">
        <f t="shared" si="35"/>
        <v>0</v>
      </c>
      <c r="E45" s="338">
        <f t="shared" si="43"/>
        <v>0</v>
      </c>
      <c r="F45" s="329">
        <f t="shared" ref="F45:F73" si="54">SUMIFS(Usage_Main,CF_Dates,$A45,CF_Descriptions,"EASTCYPRESS1 Change")</f>
        <v>0</v>
      </c>
      <c r="G45" s="338">
        <f t="shared" si="44"/>
        <v>0</v>
      </c>
      <c r="H45" s="329">
        <f>SUMIFS(Usage_Main,CF_Dates,$A45,CF_Descriptions,"XS2091648928 Change")</f>
        <v>0</v>
      </c>
      <c r="I45" s="338">
        <f t="shared" si="45"/>
        <v>0</v>
      </c>
      <c r="J45" s="329">
        <f t="shared" ref="J45:J106" si="55">SUMIFS(Usage_Main,CF_Dates,$A45,CF_Descriptions,"Southern Apple Change")</f>
        <v>0</v>
      </c>
      <c r="K45" s="338">
        <f t="shared" si="46"/>
        <v>0</v>
      </c>
      <c r="L45" s="329">
        <f t="shared" ref="L45:L106" si="56">SUMIFS(Usage_Main,CF_Dates,$A45,CF_Descriptions,"ALMONDUSD Change")</f>
        <v>0</v>
      </c>
      <c r="M45" s="338">
        <f t="shared" si="47"/>
        <v>0</v>
      </c>
      <c r="N45" s="329">
        <f t="shared" si="37"/>
        <v>0</v>
      </c>
      <c r="O45" s="338">
        <f t="shared" si="48"/>
        <v>0</v>
      </c>
      <c r="P45" s="329">
        <f t="shared" si="38"/>
        <v>0</v>
      </c>
      <c r="Q45" s="338">
        <f t="shared" si="49"/>
        <v>0</v>
      </c>
      <c r="R45" s="329">
        <f t="shared" si="39"/>
        <v>0</v>
      </c>
      <c r="S45" s="338">
        <f t="shared" si="50"/>
        <v>0</v>
      </c>
      <c r="T45" s="329">
        <f t="shared" si="40"/>
        <v>0</v>
      </c>
      <c r="U45" s="338">
        <f t="shared" si="51"/>
        <v>0</v>
      </c>
      <c r="V45" s="329">
        <f t="shared" si="41"/>
        <v>0</v>
      </c>
      <c r="W45" s="338">
        <f t="shared" si="52"/>
        <v>0</v>
      </c>
      <c r="Y45" s="10">
        <v>43585</v>
      </c>
      <c r="Z45" s="1086">
        <f>Z44</f>
        <v>93750000</v>
      </c>
      <c r="AA45" s="1084">
        <v>26250000</v>
      </c>
      <c r="AB45" s="1085">
        <v>0</v>
      </c>
      <c r="AC45" s="1086">
        <v>0</v>
      </c>
      <c r="AD45" s="1086">
        <v>0</v>
      </c>
      <c r="AE45" s="1085">
        <v>0</v>
      </c>
      <c r="AF45" s="1145">
        <v>0</v>
      </c>
      <c r="AG45" s="1088">
        <v>0</v>
      </c>
      <c r="AH45" s="1086">
        <v>0</v>
      </c>
      <c r="AI45" s="1088">
        <v>0</v>
      </c>
      <c r="AJ45" s="1088">
        <v>0</v>
      </c>
      <c r="AK45" s="121">
        <f t="shared" si="53"/>
        <v>120000000</v>
      </c>
      <c r="AL45" s="219"/>
      <c r="AM45" s="219"/>
      <c r="AN45" s="765" t="s">
        <v>2329</v>
      </c>
      <c r="AO45" s="765"/>
      <c r="AP45" s="765"/>
    </row>
    <row r="46" spans="1:45" x14ac:dyDescent="0.25">
      <c r="A46" s="335">
        <f>A45+1</f>
        <v>43508</v>
      </c>
      <c r="B46" s="329">
        <f>SUMIFS(Usage_Main,CF_Dates,$A46,CF_Descriptions,"XS1951177309 Change")</f>
        <v>8880000</v>
      </c>
      <c r="C46" s="338">
        <f t="shared" si="42"/>
        <v>8880000</v>
      </c>
      <c r="D46" s="329">
        <f t="shared" si="35"/>
        <v>0</v>
      </c>
      <c r="E46" s="338">
        <f t="shared" si="43"/>
        <v>0</v>
      </c>
      <c r="F46" s="329">
        <f t="shared" si="54"/>
        <v>0</v>
      </c>
      <c r="G46" s="338">
        <f t="shared" si="44"/>
        <v>0</v>
      </c>
      <c r="H46" s="329">
        <f t="shared" si="36"/>
        <v>0</v>
      </c>
      <c r="I46" s="338">
        <f t="shared" si="45"/>
        <v>0</v>
      </c>
      <c r="J46" s="329">
        <f t="shared" si="55"/>
        <v>0</v>
      </c>
      <c r="K46" s="338">
        <f t="shared" si="46"/>
        <v>0</v>
      </c>
      <c r="L46" s="329">
        <f t="shared" si="56"/>
        <v>0</v>
      </c>
      <c r="M46" s="338">
        <f t="shared" si="47"/>
        <v>0</v>
      </c>
      <c r="N46" s="329">
        <f t="shared" si="37"/>
        <v>0</v>
      </c>
      <c r="O46" s="338">
        <f t="shared" si="48"/>
        <v>0</v>
      </c>
      <c r="P46" s="329">
        <f t="shared" si="38"/>
        <v>0</v>
      </c>
      <c r="Q46" s="338">
        <f t="shared" si="49"/>
        <v>0</v>
      </c>
      <c r="R46" s="329">
        <f t="shared" si="39"/>
        <v>0</v>
      </c>
      <c r="S46" s="338">
        <f t="shared" si="50"/>
        <v>0</v>
      </c>
      <c r="T46" s="329">
        <f t="shared" si="40"/>
        <v>0</v>
      </c>
      <c r="U46" s="338">
        <f t="shared" si="51"/>
        <v>0</v>
      </c>
      <c r="V46" s="329">
        <f t="shared" si="41"/>
        <v>0</v>
      </c>
      <c r="W46" s="338">
        <f t="shared" si="52"/>
        <v>0</v>
      </c>
      <c r="Y46" s="10">
        <v>43613</v>
      </c>
      <c r="Z46" s="1086">
        <f>Z45</f>
        <v>93750000</v>
      </c>
      <c r="AA46" s="1086">
        <f t="shared" ref="AA46:AG46" si="57">AA45</f>
        <v>26250000</v>
      </c>
      <c r="AB46" s="1086">
        <f t="shared" si="57"/>
        <v>0</v>
      </c>
      <c r="AC46" s="1086">
        <f>AC45</f>
        <v>0</v>
      </c>
      <c r="AD46" s="1086">
        <f>AD45</f>
        <v>0</v>
      </c>
      <c r="AE46" s="1086">
        <v>0</v>
      </c>
      <c r="AF46" s="1097">
        <v>0</v>
      </c>
      <c r="AG46" s="1088">
        <f t="shared" si="57"/>
        <v>0</v>
      </c>
      <c r="AH46" s="1086">
        <f t="shared" ref="AH46:AI55" si="58">AH45</f>
        <v>0</v>
      </c>
      <c r="AI46" s="1088">
        <f t="shared" si="58"/>
        <v>0</v>
      </c>
      <c r="AJ46" s="1087">
        <v>56000000</v>
      </c>
      <c r="AK46" s="121">
        <f t="shared" si="53"/>
        <v>181966800</v>
      </c>
      <c r="AL46" s="219"/>
      <c r="AM46" s="219"/>
      <c r="AN46" s="765" t="s">
        <v>2330</v>
      </c>
      <c r="AO46" s="765" t="s">
        <v>2331</v>
      </c>
      <c r="AP46" s="765" t="s">
        <v>834</v>
      </c>
      <c r="AS46" s="10"/>
    </row>
    <row r="47" spans="1:45" x14ac:dyDescent="0.25">
      <c r="A47" s="335">
        <f>A46+1</f>
        <v>43509</v>
      </c>
      <c r="B47" s="329">
        <f t="shared" si="34"/>
        <v>0</v>
      </c>
      <c r="C47" s="338">
        <f t="shared" si="42"/>
        <v>8880000</v>
      </c>
      <c r="D47" s="329">
        <f t="shared" si="35"/>
        <v>0</v>
      </c>
      <c r="E47" s="338">
        <f t="shared" si="43"/>
        <v>0</v>
      </c>
      <c r="F47" s="329">
        <f>SUMIFS(Usage_Main,CF_Dates,$A47,CF_Descriptions,"EASTCYPRESS1 Change")</f>
        <v>0</v>
      </c>
      <c r="G47" s="338">
        <f t="shared" si="44"/>
        <v>0</v>
      </c>
      <c r="H47" s="329">
        <f t="shared" si="36"/>
        <v>0</v>
      </c>
      <c r="I47" s="338">
        <f t="shared" si="45"/>
        <v>0</v>
      </c>
      <c r="J47" s="329">
        <f t="shared" si="55"/>
        <v>0</v>
      </c>
      <c r="K47" s="338">
        <f t="shared" si="46"/>
        <v>0</v>
      </c>
      <c r="L47" s="329">
        <f t="shared" si="56"/>
        <v>0</v>
      </c>
      <c r="M47" s="338">
        <f t="shared" si="47"/>
        <v>0</v>
      </c>
      <c r="N47" s="329">
        <f t="shared" si="37"/>
        <v>0</v>
      </c>
      <c r="O47" s="338">
        <f t="shared" si="48"/>
        <v>0</v>
      </c>
      <c r="P47" s="329">
        <f t="shared" si="38"/>
        <v>0</v>
      </c>
      <c r="Q47" s="338">
        <f t="shared" si="49"/>
        <v>0</v>
      </c>
      <c r="R47" s="329">
        <f t="shared" si="39"/>
        <v>0</v>
      </c>
      <c r="S47" s="338">
        <f t="shared" si="50"/>
        <v>0</v>
      </c>
      <c r="T47" s="329">
        <f t="shared" si="40"/>
        <v>0</v>
      </c>
      <c r="U47" s="338">
        <f t="shared" si="51"/>
        <v>0</v>
      </c>
      <c r="V47" s="329">
        <f t="shared" si="41"/>
        <v>0</v>
      </c>
      <c r="W47" s="338">
        <f t="shared" si="52"/>
        <v>0</v>
      </c>
      <c r="Y47" s="10">
        <v>43768</v>
      </c>
      <c r="Z47" s="1086">
        <f>Z46</f>
        <v>93750000</v>
      </c>
      <c r="AA47" s="1084">
        <v>35000000</v>
      </c>
      <c r="AB47" s="1086">
        <f t="shared" ref="AB47" si="59">AB46</f>
        <v>0</v>
      </c>
      <c r="AC47" s="1086">
        <f t="shared" ref="AC47:AC51" si="60">AC46</f>
        <v>0</v>
      </c>
      <c r="AD47" s="1086">
        <f t="shared" ref="AD47:AD51" si="61">AD46</f>
        <v>0</v>
      </c>
      <c r="AE47" s="1086">
        <v>0</v>
      </c>
      <c r="AF47" s="1097">
        <v>0</v>
      </c>
      <c r="AG47" s="1088">
        <f t="shared" ref="AG47:AG51" si="62">AG46</f>
        <v>0</v>
      </c>
      <c r="AH47" s="1086">
        <f t="shared" si="58"/>
        <v>0</v>
      </c>
      <c r="AI47" s="1088">
        <f t="shared" si="58"/>
        <v>0</v>
      </c>
      <c r="AJ47" s="1057">
        <f>AJ46</f>
        <v>56000000</v>
      </c>
      <c r="AK47" s="121">
        <f t="shared" si="53"/>
        <v>190716800</v>
      </c>
      <c r="AL47" s="219"/>
      <c r="AM47" s="219"/>
      <c r="AN47" s="10">
        <v>43613</v>
      </c>
      <c r="AO47" s="10">
        <f>EDATE(AN47,12)</f>
        <v>43979</v>
      </c>
      <c r="AP47" s="1057">
        <v>56000000</v>
      </c>
      <c r="AS47" s="10"/>
    </row>
    <row r="48" spans="1:45" x14ac:dyDescent="0.25">
      <c r="A48" s="335">
        <f>A47+1</f>
        <v>43510</v>
      </c>
      <c r="B48" s="329">
        <f t="shared" si="34"/>
        <v>0</v>
      </c>
      <c r="C48" s="338">
        <f t="shared" si="42"/>
        <v>8880000</v>
      </c>
      <c r="D48" s="329">
        <f t="shared" si="35"/>
        <v>0</v>
      </c>
      <c r="E48" s="338">
        <f t="shared" si="43"/>
        <v>0</v>
      </c>
      <c r="F48" s="329">
        <f t="shared" si="54"/>
        <v>0</v>
      </c>
      <c r="G48" s="338">
        <f t="shared" si="44"/>
        <v>0</v>
      </c>
      <c r="H48" s="329">
        <f t="shared" si="36"/>
        <v>0</v>
      </c>
      <c r="I48" s="338">
        <f t="shared" si="45"/>
        <v>0</v>
      </c>
      <c r="J48" s="329">
        <f t="shared" si="55"/>
        <v>0</v>
      </c>
      <c r="K48" s="338">
        <f t="shared" si="46"/>
        <v>0</v>
      </c>
      <c r="L48" s="329">
        <f t="shared" si="56"/>
        <v>0</v>
      </c>
      <c r="M48" s="338">
        <f t="shared" si="47"/>
        <v>0</v>
      </c>
      <c r="N48" s="329">
        <f t="shared" si="37"/>
        <v>0</v>
      </c>
      <c r="O48" s="338">
        <f t="shared" si="48"/>
        <v>0</v>
      </c>
      <c r="P48" s="329">
        <f t="shared" si="38"/>
        <v>0</v>
      </c>
      <c r="Q48" s="338">
        <f t="shared" si="49"/>
        <v>0</v>
      </c>
      <c r="R48" s="329">
        <f t="shared" si="39"/>
        <v>0</v>
      </c>
      <c r="S48" s="338">
        <f t="shared" si="50"/>
        <v>0</v>
      </c>
      <c r="T48" s="329">
        <f t="shared" si="40"/>
        <v>0</v>
      </c>
      <c r="U48" s="338">
        <f t="shared" si="51"/>
        <v>0</v>
      </c>
      <c r="V48" s="329">
        <f t="shared" si="41"/>
        <v>0</v>
      </c>
      <c r="W48" s="338">
        <f t="shared" si="52"/>
        <v>0</v>
      </c>
      <c r="Y48" s="10">
        <v>43803</v>
      </c>
      <c r="Z48" s="1086">
        <f t="shared" ref="Z48:AA48" si="63">Z47</f>
        <v>93750000</v>
      </c>
      <c r="AA48" s="1086">
        <f t="shared" si="63"/>
        <v>35000000</v>
      </c>
      <c r="AB48" s="1084">
        <v>36600000</v>
      </c>
      <c r="AC48" s="1086">
        <f t="shared" si="60"/>
        <v>0</v>
      </c>
      <c r="AD48" s="1086">
        <f t="shared" si="61"/>
        <v>0</v>
      </c>
      <c r="AE48" s="1086">
        <v>0</v>
      </c>
      <c r="AF48" s="1097">
        <v>0</v>
      </c>
      <c r="AG48" s="1088">
        <f t="shared" si="62"/>
        <v>0</v>
      </c>
      <c r="AH48" s="1086">
        <f t="shared" si="58"/>
        <v>0</v>
      </c>
      <c r="AI48" s="1088">
        <f t="shared" si="58"/>
        <v>0</v>
      </c>
      <c r="AJ48" s="1057">
        <f>AJ47</f>
        <v>56000000</v>
      </c>
      <c r="AK48" s="121">
        <f t="shared" si="53"/>
        <v>227316800</v>
      </c>
      <c r="AL48" s="219"/>
      <c r="AM48" s="219"/>
      <c r="AN48" s="10">
        <f>AO47</f>
        <v>43979</v>
      </c>
      <c r="AO48" s="10">
        <f t="shared" ref="AO48:AO49" si="64">EDATE(AN48,12)</f>
        <v>44344</v>
      </c>
      <c r="AP48" s="1057">
        <f>AP47+28000000</f>
        <v>84000000</v>
      </c>
      <c r="AS48" s="10"/>
    </row>
    <row r="49" spans="1:45" x14ac:dyDescent="0.25">
      <c r="A49" s="335">
        <f>A48+1</f>
        <v>43511</v>
      </c>
      <c r="B49" s="329">
        <f t="shared" si="34"/>
        <v>0</v>
      </c>
      <c r="C49" s="338">
        <f t="shared" si="42"/>
        <v>8880000</v>
      </c>
      <c r="D49" s="329">
        <f t="shared" si="35"/>
        <v>0</v>
      </c>
      <c r="E49" s="338">
        <f t="shared" si="43"/>
        <v>0</v>
      </c>
      <c r="F49" s="329">
        <f t="shared" si="54"/>
        <v>0</v>
      </c>
      <c r="G49" s="338">
        <f t="shared" si="44"/>
        <v>0</v>
      </c>
      <c r="H49" s="329">
        <f t="shared" si="36"/>
        <v>0</v>
      </c>
      <c r="I49" s="338">
        <f t="shared" si="45"/>
        <v>0</v>
      </c>
      <c r="J49" s="329">
        <f t="shared" si="55"/>
        <v>0</v>
      </c>
      <c r="K49" s="338">
        <f t="shared" si="46"/>
        <v>0</v>
      </c>
      <c r="L49" s="329">
        <f t="shared" si="56"/>
        <v>0</v>
      </c>
      <c r="M49" s="338">
        <f t="shared" si="47"/>
        <v>0</v>
      </c>
      <c r="N49" s="329">
        <f>SUMIFS(Usage_Main,CF_Dates,$A49,CF_Descriptions,"ALMONDEUR Change")</f>
        <v>0</v>
      </c>
      <c r="O49" s="338">
        <f t="shared" si="48"/>
        <v>0</v>
      </c>
      <c r="P49" s="329">
        <f t="shared" si="38"/>
        <v>0</v>
      </c>
      <c r="Q49" s="338">
        <f t="shared" si="49"/>
        <v>0</v>
      </c>
      <c r="R49" s="329">
        <f t="shared" si="39"/>
        <v>0</v>
      </c>
      <c r="S49" s="338">
        <f t="shared" si="50"/>
        <v>0</v>
      </c>
      <c r="T49" s="329">
        <f t="shared" si="40"/>
        <v>0</v>
      </c>
      <c r="U49" s="338">
        <f t="shared" si="51"/>
        <v>0</v>
      </c>
      <c r="V49" s="329">
        <f t="shared" si="41"/>
        <v>0</v>
      </c>
      <c r="W49" s="338">
        <f t="shared" si="52"/>
        <v>0</v>
      </c>
      <c r="Y49" s="10">
        <v>43868</v>
      </c>
      <c r="Z49" s="1084">
        <v>140625000</v>
      </c>
      <c r="AA49" s="1086">
        <f t="shared" ref="AA49" si="65">AA48</f>
        <v>35000000</v>
      </c>
      <c r="AB49" s="1086">
        <f t="shared" ref="AB49:AB50" si="66">AB48</f>
        <v>36600000</v>
      </c>
      <c r="AC49" s="1086">
        <f t="shared" si="60"/>
        <v>0</v>
      </c>
      <c r="AD49" s="1086">
        <f t="shared" si="61"/>
        <v>0</v>
      </c>
      <c r="AE49" s="1086">
        <v>0</v>
      </c>
      <c r="AF49" s="1097">
        <v>0</v>
      </c>
      <c r="AG49" s="1088">
        <f t="shared" si="62"/>
        <v>0</v>
      </c>
      <c r="AH49" s="1086">
        <f t="shared" si="58"/>
        <v>0</v>
      </c>
      <c r="AI49" s="1088">
        <f t="shared" si="58"/>
        <v>0</v>
      </c>
      <c r="AJ49" s="1057">
        <f>AJ48</f>
        <v>56000000</v>
      </c>
      <c r="AK49" s="121">
        <f t="shared" si="53"/>
        <v>274191800</v>
      </c>
      <c r="AL49" s="219"/>
      <c r="AM49" s="219"/>
      <c r="AN49" s="10">
        <f t="shared" ref="AN49:AN50" si="67">AO48</f>
        <v>44344</v>
      </c>
      <c r="AO49" s="10">
        <f t="shared" si="64"/>
        <v>44709</v>
      </c>
      <c r="AP49" s="1057">
        <f>AP48+28000000</f>
        <v>112000000</v>
      </c>
      <c r="AS49" s="10"/>
    </row>
    <row r="50" spans="1:45" x14ac:dyDescent="0.25">
      <c r="A50" s="336">
        <f>A49+4</f>
        <v>43515</v>
      </c>
      <c r="B50" s="329">
        <f t="shared" si="34"/>
        <v>0</v>
      </c>
      <c r="C50" s="338">
        <f t="shared" si="42"/>
        <v>8880000</v>
      </c>
      <c r="D50" s="329">
        <f t="shared" si="35"/>
        <v>0</v>
      </c>
      <c r="E50" s="338">
        <f t="shared" si="43"/>
        <v>0</v>
      </c>
      <c r="F50" s="329">
        <f t="shared" si="54"/>
        <v>0</v>
      </c>
      <c r="G50" s="338">
        <f t="shared" si="44"/>
        <v>0</v>
      </c>
      <c r="H50" s="329">
        <f t="shared" si="36"/>
        <v>0</v>
      </c>
      <c r="I50" s="338">
        <f t="shared" si="45"/>
        <v>0</v>
      </c>
      <c r="J50" s="329">
        <f t="shared" si="55"/>
        <v>0</v>
      </c>
      <c r="K50" s="338">
        <f t="shared" si="46"/>
        <v>0</v>
      </c>
      <c r="L50" s="329">
        <f t="shared" si="56"/>
        <v>0</v>
      </c>
      <c r="M50" s="338">
        <f t="shared" si="47"/>
        <v>0</v>
      </c>
      <c r="N50" s="329">
        <f t="shared" si="37"/>
        <v>0</v>
      </c>
      <c r="O50" s="338">
        <f t="shared" si="48"/>
        <v>0</v>
      </c>
      <c r="P50" s="329">
        <f t="shared" si="38"/>
        <v>0</v>
      </c>
      <c r="Q50" s="338">
        <f t="shared" si="49"/>
        <v>0</v>
      </c>
      <c r="R50" s="329">
        <f t="shared" si="39"/>
        <v>0</v>
      </c>
      <c r="S50" s="338">
        <f t="shared" si="50"/>
        <v>0</v>
      </c>
      <c r="T50" s="329">
        <f t="shared" si="40"/>
        <v>0</v>
      </c>
      <c r="U50" s="338">
        <f t="shared" si="51"/>
        <v>0</v>
      </c>
      <c r="V50" s="329">
        <f t="shared" si="41"/>
        <v>0</v>
      </c>
      <c r="W50" s="338">
        <f t="shared" si="52"/>
        <v>0</v>
      </c>
      <c r="Y50" s="10">
        <v>43979</v>
      </c>
      <c r="Z50" s="1086">
        <f t="shared" ref="Z50" si="68">Z49</f>
        <v>140625000</v>
      </c>
      <c r="AA50" s="1086">
        <f t="shared" ref="AA50:AA51" si="69">AA49</f>
        <v>35000000</v>
      </c>
      <c r="AB50" s="1086">
        <f t="shared" si="66"/>
        <v>36600000</v>
      </c>
      <c r="AC50" s="1086">
        <f t="shared" si="60"/>
        <v>0</v>
      </c>
      <c r="AD50" s="1086">
        <f t="shared" si="61"/>
        <v>0</v>
      </c>
      <c r="AE50" s="1086">
        <v>0</v>
      </c>
      <c r="AF50" s="1097">
        <v>0</v>
      </c>
      <c r="AG50" s="1088">
        <f t="shared" si="62"/>
        <v>0</v>
      </c>
      <c r="AH50" s="1086">
        <f t="shared" si="58"/>
        <v>0</v>
      </c>
      <c r="AI50" s="1088">
        <f t="shared" si="58"/>
        <v>0</v>
      </c>
      <c r="AJ50" s="1087">
        <v>84000000</v>
      </c>
      <c r="AK50" s="121">
        <f t="shared" si="53"/>
        <v>305175200</v>
      </c>
      <c r="AL50" s="219"/>
      <c r="AM50" s="219"/>
      <c r="AN50" s="10">
        <f t="shared" si="67"/>
        <v>44709</v>
      </c>
      <c r="AO50" s="768" t="s">
        <v>2331</v>
      </c>
      <c r="AP50" s="1057">
        <f>AP49+28000000</f>
        <v>140000000</v>
      </c>
      <c r="AS50" s="10"/>
    </row>
    <row r="51" spans="1:45" x14ac:dyDescent="0.25">
      <c r="A51" s="335">
        <f>A50+1</f>
        <v>43516</v>
      </c>
      <c r="B51" s="329">
        <f>SUMIFS(Usage_Main,CF_Dates,$A51,CF_Descriptions,"XS1951177309 Change")</f>
        <v>0</v>
      </c>
      <c r="C51" s="338">
        <f t="shared" si="42"/>
        <v>8880000</v>
      </c>
      <c r="D51" s="329">
        <f>SUMIFS(Usage_Main,CF_Dates,$A51,CF_Descriptions,"SOSPRUCE1 Change")</f>
        <v>0</v>
      </c>
      <c r="E51" s="338">
        <f t="shared" si="43"/>
        <v>0</v>
      </c>
      <c r="F51" s="329">
        <f t="shared" si="54"/>
        <v>0</v>
      </c>
      <c r="G51" s="338">
        <f t="shared" si="44"/>
        <v>0</v>
      </c>
      <c r="H51" s="329">
        <f t="shared" si="36"/>
        <v>0</v>
      </c>
      <c r="I51" s="338">
        <f t="shared" si="45"/>
        <v>0</v>
      </c>
      <c r="J51" s="329">
        <f t="shared" si="55"/>
        <v>0</v>
      </c>
      <c r="K51" s="338">
        <f t="shared" si="46"/>
        <v>0</v>
      </c>
      <c r="L51" s="329">
        <f t="shared" si="56"/>
        <v>0</v>
      </c>
      <c r="M51" s="338">
        <f t="shared" si="47"/>
        <v>0</v>
      </c>
      <c r="N51" s="329">
        <f t="shared" si="37"/>
        <v>0</v>
      </c>
      <c r="O51" s="338">
        <f t="shared" si="48"/>
        <v>0</v>
      </c>
      <c r="P51" s="329">
        <f t="shared" si="38"/>
        <v>0</v>
      </c>
      <c r="Q51" s="338">
        <f t="shared" si="49"/>
        <v>0</v>
      </c>
      <c r="R51" s="329">
        <f t="shared" si="39"/>
        <v>0</v>
      </c>
      <c r="S51" s="338">
        <f t="shared" si="50"/>
        <v>0</v>
      </c>
      <c r="T51" s="329">
        <f t="shared" si="40"/>
        <v>0</v>
      </c>
      <c r="U51" s="338">
        <f t="shared" si="51"/>
        <v>0</v>
      </c>
      <c r="V51" s="329">
        <f t="shared" si="41"/>
        <v>0</v>
      </c>
      <c r="W51" s="338">
        <f t="shared" si="52"/>
        <v>0</v>
      </c>
      <c r="Y51" s="10">
        <v>43986</v>
      </c>
      <c r="Z51" s="1086">
        <f t="shared" ref="Z51" si="70">Z50</f>
        <v>140625000</v>
      </c>
      <c r="AA51" s="1086">
        <f t="shared" si="69"/>
        <v>35000000</v>
      </c>
      <c r="AB51" s="1084">
        <v>48800000</v>
      </c>
      <c r="AC51" s="1086">
        <f t="shared" si="60"/>
        <v>0</v>
      </c>
      <c r="AD51" s="1086">
        <f t="shared" si="61"/>
        <v>0</v>
      </c>
      <c r="AE51" s="1086">
        <v>0</v>
      </c>
      <c r="AF51" s="1097">
        <v>0</v>
      </c>
      <c r="AG51" s="1088">
        <f t="shared" si="62"/>
        <v>0</v>
      </c>
      <c r="AH51" s="1086">
        <f t="shared" si="58"/>
        <v>0</v>
      </c>
      <c r="AI51" s="1088">
        <f t="shared" si="58"/>
        <v>0</v>
      </c>
      <c r="AJ51" s="1057">
        <f t="shared" ref="AJ51:AJ56" si="71">AJ50</f>
        <v>84000000</v>
      </c>
      <c r="AK51" s="121">
        <f t="shared" si="53"/>
        <v>317375200</v>
      </c>
      <c r="AL51" s="219"/>
      <c r="AM51" s="219"/>
      <c r="AN51" s="10"/>
      <c r="AO51" s="10"/>
      <c r="AP51" s="1057"/>
      <c r="AS51" s="10"/>
    </row>
    <row r="52" spans="1:45" x14ac:dyDescent="0.25">
      <c r="A52" s="335">
        <f>A51+1</f>
        <v>43517</v>
      </c>
      <c r="B52" s="329">
        <f t="shared" si="34"/>
        <v>0</v>
      </c>
      <c r="C52" s="338">
        <f t="shared" si="42"/>
        <v>8880000</v>
      </c>
      <c r="D52" s="329">
        <f t="shared" si="35"/>
        <v>0</v>
      </c>
      <c r="E52" s="338">
        <f t="shared" si="43"/>
        <v>0</v>
      </c>
      <c r="F52" s="329">
        <f t="shared" si="54"/>
        <v>0</v>
      </c>
      <c r="G52" s="338">
        <f t="shared" si="44"/>
        <v>0</v>
      </c>
      <c r="H52" s="329">
        <f t="shared" si="36"/>
        <v>0</v>
      </c>
      <c r="I52" s="338">
        <f t="shared" si="45"/>
        <v>0</v>
      </c>
      <c r="J52" s="329">
        <f t="shared" si="55"/>
        <v>0</v>
      </c>
      <c r="K52" s="338">
        <f t="shared" si="46"/>
        <v>0</v>
      </c>
      <c r="L52" s="329">
        <f t="shared" si="56"/>
        <v>0</v>
      </c>
      <c r="M52" s="338">
        <f t="shared" si="47"/>
        <v>0</v>
      </c>
      <c r="N52" s="329">
        <f t="shared" si="37"/>
        <v>0</v>
      </c>
      <c r="O52" s="338">
        <f t="shared" si="48"/>
        <v>0</v>
      </c>
      <c r="P52" s="329">
        <f t="shared" si="38"/>
        <v>0</v>
      </c>
      <c r="Q52" s="338">
        <f t="shared" si="49"/>
        <v>0</v>
      </c>
      <c r="R52" s="329">
        <f t="shared" si="39"/>
        <v>0</v>
      </c>
      <c r="S52" s="338">
        <f t="shared" si="50"/>
        <v>0</v>
      </c>
      <c r="T52" s="329">
        <f t="shared" si="40"/>
        <v>0</v>
      </c>
      <c r="U52" s="338">
        <f t="shared" si="51"/>
        <v>0</v>
      </c>
      <c r="V52" s="329">
        <f t="shared" si="41"/>
        <v>0</v>
      </c>
      <c r="W52" s="338">
        <f t="shared" si="52"/>
        <v>0</v>
      </c>
      <c r="Y52" s="10">
        <v>44169</v>
      </c>
      <c r="Z52" s="1086">
        <f t="shared" ref="Z52" si="72">Z51</f>
        <v>140625000</v>
      </c>
      <c r="AA52" s="1086">
        <f t="shared" ref="AA52" si="73">AA51</f>
        <v>35000000</v>
      </c>
      <c r="AB52" s="1084">
        <v>61000000</v>
      </c>
      <c r="AC52" s="1086">
        <f t="shared" ref="AC52:AC54" si="74">AC51</f>
        <v>0</v>
      </c>
      <c r="AD52" s="1086">
        <f t="shared" ref="AD52:AD55" si="75">AD51</f>
        <v>0</v>
      </c>
      <c r="AE52" s="1086">
        <v>0</v>
      </c>
      <c r="AF52" s="1097">
        <v>0</v>
      </c>
      <c r="AG52" s="1088">
        <f t="shared" ref="AG52:AG55" si="76">AG51</f>
        <v>0</v>
      </c>
      <c r="AH52" s="1086">
        <f t="shared" si="58"/>
        <v>0</v>
      </c>
      <c r="AI52" s="1088">
        <f t="shared" si="58"/>
        <v>0</v>
      </c>
      <c r="AJ52" s="1057">
        <f t="shared" si="71"/>
        <v>84000000</v>
      </c>
      <c r="AK52" s="121">
        <f t="shared" si="53"/>
        <v>329575200</v>
      </c>
      <c r="AL52" s="219"/>
      <c r="AM52" s="219"/>
      <c r="AN52" s="10"/>
      <c r="AO52" s="10"/>
      <c r="AP52" s="1057"/>
      <c r="AS52" s="10"/>
    </row>
    <row r="53" spans="1:45" x14ac:dyDescent="0.25">
      <c r="A53" s="335">
        <f>A52+1</f>
        <v>43518</v>
      </c>
      <c r="B53" s="329">
        <f t="shared" si="34"/>
        <v>0</v>
      </c>
      <c r="C53" s="338">
        <f t="shared" si="42"/>
        <v>8880000</v>
      </c>
      <c r="D53" s="329">
        <f t="shared" si="35"/>
        <v>0</v>
      </c>
      <c r="E53" s="338">
        <f t="shared" si="43"/>
        <v>0</v>
      </c>
      <c r="F53" s="329">
        <f t="shared" si="54"/>
        <v>0</v>
      </c>
      <c r="G53" s="338">
        <f t="shared" si="44"/>
        <v>0</v>
      </c>
      <c r="H53" s="329">
        <f t="shared" si="36"/>
        <v>0</v>
      </c>
      <c r="I53" s="338">
        <f t="shared" si="45"/>
        <v>0</v>
      </c>
      <c r="J53" s="329">
        <f t="shared" si="55"/>
        <v>0</v>
      </c>
      <c r="K53" s="338">
        <f t="shared" si="46"/>
        <v>0</v>
      </c>
      <c r="L53" s="329">
        <f t="shared" si="56"/>
        <v>0</v>
      </c>
      <c r="M53" s="338">
        <f t="shared" si="47"/>
        <v>0</v>
      </c>
      <c r="N53" s="329">
        <f t="shared" si="37"/>
        <v>0</v>
      </c>
      <c r="O53" s="338">
        <f t="shared" si="48"/>
        <v>0</v>
      </c>
      <c r="P53" s="329">
        <f t="shared" si="38"/>
        <v>0</v>
      </c>
      <c r="Q53" s="338">
        <f t="shared" si="49"/>
        <v>0</v>
      </c>
      <c r="R53" s="329">
        <f t="shared" si="39"/>
        <v>0</v>
      </c>
      <c r="S53" s="338">
        <f t="shared" si="50"/>
        <v>0</v>
      </c>
      <c r="T53" s="329">
        <f t="shared" si="40"/>
        <v>0</v>
      </c>
      <c r="U53" s="338">
        <f t="shared" si="51"/>
        <v>0</v>
      </c>
      <c r="V53" s="329">
        <f t="shared" si="41"/>
        <v>0</v>
      </c>
      <c r="W53" s="338">
        <f t="shared" si="52"/>
        <v>0</v>
      </c>
      <c r="Y53" s="10">
        <v>44234</v>
      </c>
      <c r="Z53" s="1084">
        <v>187500000</v>
      </c>
      <c r="AA53" s="1086">
        <f t="shared" ref="AA53:AA55" si="77">AA52</f>
        <v>35000000</v>
      </c>
      <c r="AB53" s="1086">
        <f t="shared" ref="AB53:AB55" si="78">AB52</f>
        <v>61000000</v>
      </c>
      <c r="AC53" s="1086">
        <f t="shared" si="74"/>
        <v>0</v>
      </c>
      <c r="AD53" s="1086">
        <f t="shared" si="75"/>
        <v>0</v>
      </c>
      <c r="AE53" s="1086">
        <v>0</v>
      </c>
      <c r="AF53" s="1097">
        <v>0</v>
      </c>
      <c r="AG53" s="1088">
        <f t="shared" si="76"/>
        <v>0</v>
      </c>
      <c r="AH53" s="1086">
        <f t="shared" si="58"/>
        <v>0</v>
      </c>
      <c r="AI53" s="1088">
        <f t="shared" si="58"/>
        <v>0</v>
      </c>
      <c r="AJ53" s="1057">
        <f t="shared" si="71"/>
        <v>84000000</v>
      </c>
      <c r="AK53" s="121">
        <f t="shared" si="53"/>
        <v>376450200</v>
      </c>
      <c r="AL53" s="219"/>
      <c r="AM53" s="219"/>
      <c r="AN53" s="10" t="s">
        <v>2332</v>
      </c>
      <c r="AO53" s="10"/>
      <c r="AP53" s="1057"/>
      <c r="AS53" s="10"/>
    </row>
    <row r="54" spans="1:45" x14ac:dyDescent="0.25">
      <c r="A54" s="336">
        <f>A53+3</f>
        <v>43521</v>
      </c>
      <c r="B54" s="329">
        <f t="shared" si="34"/>
        <v>0</v>
      </c>
      <c r="C54" s="338">
        <f t="shared" si="42"/>
        <v>8880000</v>
      </c>
      <c r="D54" s="329">
        <f t="shared" si="35"/>
        <v>0</v>
      </c>
      <c r="E54" s="338">
        <f t="shared" si="43"/>
        <v>0</v>
      </c>
      <c r="F54" s="329">
        <f t="shared" si="54"/>
        <v>0</v>
      </c>
      <c r="G54" s="338">
        <f t="shared" si="44"/>
        <v>0</v>
      </c>
      <c r="H54" s="329">
        <f t="shared" si="36"/>
        <v>0</v>
      </c>
      <c r="I54" s="338">
        <f t="shared" si="45"/>
        <v>0</v>
      </c>
      <c r="J54" s="329">
        <f t="shared" si="55"/>
        <v>0</v>
      </c>
      <c r="K54" s="338">
        <f t="shared" si="46"/>
        <v>0</v>
      </c>
      <c r="L54" s="329">
        <f t="shared" si="56"/>
        <v>0</v>
      </c>
      <c r="M54" s="338">
        <f t="shared" si="47"/>
        <v>0</v>
      </c>
      <c r="N54" s="329">
        <f t="shared" si="37"/>
        <v>0</v>
      </c>
      <c r="O54" s="338">
        <f t="shared" si="48"/>
        <v>0</v>
      </c>
      <c r="P54" s="329">
        <f t="shared" si="38"/>
        <v>0</v>
      </c>
      <c r="Q54" s="338">
        <f t="shared" si="49"/>
        <v>0</v>
      </c>
      <c r="R54" s="329">
        <f t="shared" si="39"/>
        <v>0</v>
      </c>
      <c r="S54" s="338">
        <f t="shared" si="50"/>
        <v>0</v>
      </c>
      <c r="T54" s="329">
        <f t="shared" si="40"/>
        <v>0</v>
      </c>
      <c r="U54" s="338">
        <f t="shared" si="51"/>
        <v>0</v>
      </c>
      <c r="V54" s="329">
        <f t="shared" si="41"/>
        <v>0</v>
      </c>
      <c r="W54" s="338">
        <f t="shared" si="52"/>
        <v>0</v>
      </c>
      <c r="Y54" s="10">
        <v>44198</v>
      </c>
      <c r="Z54" s="1086">
        <f t="shared" ref="Z54:Z57" si="79">Z53</f>
        <v>187500000</v>
      </c>
      <c r="AA54" s="1084">
        <v>42000000</v>
      </c>
      <c r="AB54" s="1086">
        <f t="shared" si="78"/>
        <v>61000000</v>
      </c>
      <c r="AC54" s="1086">
        <f t="shared" si="74"/>
        <v>0</v>
      </c>
      <c r="AD54" s="1086">
        <f t="shared" si="75"/>
        <v>0</v>
      </c>
      <c r="AE54" s="1086">
        <v>0</v>
      </c>
      <c r="AF54" s="1097">
        <v>0</v>
      </c>
      <c r="AG54" s="1088">
        <f t="shared" si="76"/>
        <v>0</v>
      </c>
      <c r="AH54" s="1086">
        <f t="shared" si="58"/>
        <v>0</v>
      </c>
      <c r="AI54" s="1088">
        <f t="shared" si="58"/>
        <v>0</v>
      </c>
      <c r="AJ54" s="1057">
        <f t="shared" si="71"/>
        <v>84000000</v>
      </c>
      <c r="AK54" s="121">
        <f t="shared" si="53"/>
        <v>383450200</v>
      </c>
      <c r="AL54" s="219"/>
      <c r="AM54" s="219"/>
      <c r="AN54" s="765" t="s">
        <v>2330</v>
      </c>
      <c r="AO54" s="765" t="s">
        <v>2331</v>
      </c>
      <c r="AP54" s="765" t="s">
        <v>834</v>
      </c>
      <c r="AS54" s="10"/>
    </row>
    <row r="55" spans="1:45" x14ac:dyDescent="0.25">
      <c r="A55" s="335">
        <f>A54+1</f>
        <v>43522</v>
      </c>
      <c r="B55" s="329">
        <f t="shared" si="34"/>
        <v>0</v>
      </c>
      <c r="C55" s="338">
        <f t="shared" si="42"/>
        <v>8880000</v>
      </c>
      <c r="D55" s="329">
        <f t="shared" si="35"/>
        <v>0</v>
      </c>
      <c r="E55" s="338">
        <f t="shared" si="43"/>
        <v>0</v>
      </c>
      <c r="F55" s="329">
        <f t="shared" si="54"/>
        <v>0</v>
      </c>
      <c r="G55" s="338">
        <f t="shared" si="44"/>
        <v>0</v>
      </c>
      <c r="H55" s="329">
        <f t="shared" si="36"/>
        <v>0</v>
      </c>
      <c r="I55" s="338">
        <f t="shared" si="45"/>
        <v>0</v>
      </c>
      <c r="J55" s="329">
        <f t="shared" si="55"/>
        <v>0</v>
      </c>
      <c r="K55" s="338">
        <f t="shared" si="46"/>
        <v>0</v>
      </c>
      <c r="L55" s="329">
        <f t="shared" si="56"/>
        <v>0</v>
      </c>
      <c r="M55" s="338">
        <f t="shared" si="47"/>
        <v>0</v>
      </c>
      <c r="N55" s="329">
        <f t="shared" si="37"/>
        <v>0</v>
      </c>
      <c r="O55" s="338">
        <f t="shared" si="48"/>
        <v>0</v>
      </c>
      <c r="P55" s="329">
        <f t="shared" si="38"/>
        <v>0</v>
      </c>
      <c r="Q55" s="338">
        <f t="shared" si="49"/>
        <v>0</v>
      </c>
      <c r="R55" s="329">
        <f t="shared" si="39"/>
        <v>0</v>
      </c>
      <c r="S55" s="338">
        <f t="shared" si="50"/>
        <v>0</v>
      </c>
      <c r="T55" s="329">
        <f t="shared" si="40"/>
        <v>0</v>
      </c>
      <c r="U55" s="338">
        <f t="shared" si="51"/>
        <v>0</v>
      </c>
      <c r="V55" s="329">
        <f t="shared" si="41"/>
        <v>0</v>
      </c>
      <c r="W55" s="338">
        <f t="shared" si="52"/>
        <v>0</v>
      </c>
      <c r="Y55" s="10">
        <v>44271</v>
      </c>
      <c r="Z55" s="1086">
        <f t="shared" si="79"/>
        <v>187500000</v>
      </c>
      <c r="AA55" s="1086">
        <f t="shared" si="77"/>
        <v>42000000</v>
      </c>
      <c r="AB55" s="1086">
        <f t="shared" si="78"/>
        <v>61000000</v>
      </c>
      <c r="AC55" s="1084">
        <v>14000000</v>
      </c>
      <c r="AD55" s="1086">
        <f t="shared" si="75"/>
        <v>0</v>
      </c>
      <c r="AE55" s="1086">
        <v>0</v>
      </c>
      <c r="AF55" s="1097">
        <v>0</v>
      </c>
      <c r="AG55" s="1088">
        <f t="shared" si="76"/>
        <v>0</v>
      </c>
      <c r="AH55" s="1086">
        <f t="shared" si="58"/>
        <v>0</v>
      </c>
      <c r="AI55" s="1088">
        <f t="shared" si="58"/>
        <v>0</v>
      </c>
      <c r="AJ55" s="1057">
        <f t="shared" si="71"/>
        <v>84000000</v>
      </c>
      <c r="AK55" s="121">
        <f t="shared" si="53"/>
        <v>397450200</v>
      </c>
      <c r="AL55" s="219"/>
      <c r="AM55" s="219"/>
      <c r="AN55" s="10">
        <v>43503</v>
      </c>
      <c r="AO55" s="10">
        <f>EDATE(AN55,12)</f>
        <v>43868</v>
      </c>
      <c r="AP55" s="1058">
        <v>93750000</v>
      </c>
      <c r="AS55" s="10"/>
    </row>
    <row r="56" spans="1:45" x14ac:dyDescent="0.25">
      <c r="A56" s="335">
        <f>A55+1</f>
        <v>43523</v>
      </c>
      <c r="B56" s="329">
        <f t="shared" si="34"/>
        <v>0</v>
      </c>
      <c r="C56" s="338">
        <f t="shared" ref="C56:C63" si="80">B56+C55</f>
        <v>8880000</v>
      </c>
      <c r="D56" s="329">
        <f t="shared" si="35"/>
        <v>0</v>
      </c>
      <c r="E56" s="338">
        <f t="shared" si="43"/>
        <v>0</v>
      </c>
      <c r="F56" s="329">
        <f t="shared" si="54"/>
        <v>0</v>
      </c>
      <c r="G56" s="338">
        <f t="shared" si="44"/>
        <v>0</v>
      </c>
      <c r="H56" s="329">
        <f t="shared" si="36"/>
        <v>0</v>
      </c>
      <c r="I56" s="338">
        <f t="shared" si="45"/>
        <v>0</v>
      </c>
      <c r="J56" s="329">
        <f t="shared" si="55"/>
        <v>0</v>
      </c>
      <c r="K56" s="338">
        <f t="shared" si="46"/>
        <v>0</v>
      </c>
      <c r="L56" s="329">
        <f t="shared" si="56"/>
        <v>0</v>
      </c>
      <c r="M56" s="338">
        <f t="shared" si="47"/>
        <v>0</v>
      </c>
      <c r="N56" s="329">
        <f t="shared" si="37"/>
        <v>0</v>
      </c>
      <c r="O56" s="338">
        <f t="shared" si="48"/>
        <v>0</v>
      </c>
      <c r="P56" s="329">
        <f t="shared" si="38"/>
        <v>0</v>
      </c>
      <c r="Q56" s="338">
        <f t="shared" si="49"/>
        <v>0</v>
      </c>
      <c r="R56" s="329">
        <f t="shared" si="39"/>
        <v>0</v>
      </c>
      <c r="S56" s="338">
        <f t="shared" si="50"/>
        <v>0</v>
      </c>
      <c r="T56" s="329">
        <f t="shared" si="40"/>
        <v>0</v>
      </c>
      <c r="U56" s="338">
        <f t="shared" si="51"/>
        <v>0</v>
      </c>
      <c r="V56" s="329">
        <f t="shared" si="41"/>
        <v>0</v>
      </c>
      <c r="W56" s="338">
        <f t="shared" si="52"/>
        <v>0</v>
      </c>
      <c r="Y56" s="10">
        <v>44321</v>
      </c>
      <c r="Z56" s="1086">
        <f t="shared" si="79"/>
        <v>187500000</v>
      </c>
      <c r="AA56" s="1086">
        <f>AA55</f>
        <v>42000000</v>
      </c>
      <c r="AB56" s="1086">
        <f>AB55</f>
        <v>61000000</v>
      </c>
      <c r="AC56" s="1084">
        <v>16000000</v>
      </c>
      <c r="AD56" s="1086">
        <f>AD55</f>
        <v>0</v>
      </c>
      <c r="AE56" s="1086">
        <v>0</v>
      </c>
      <c r="AF56" s="1097">
        <v>0</v>
      </c>
      <c r="AG56" s="1088">
        <f t="shared" ref="AG56:AG58" si="81">AG55</f>
        <v>0</v>
      </c>
      <c r="AH56" s="1086">
        <f t="shared" ref="AH56:AI58" si="82">AH55</f>
        <v>0</v>
      </c>
      <c r="AI56" s="1088">
        <f t="shared" si="82"/>
        <v>0</v>
      </c>
      <c r="AJ56" s="1057">
        <f t="shared" si="71"/>
        <v>84000000</v>
      </c>
      <c r="AK56" s="121">
        <f t="shared" si="53"/>
        <v>399450200</v>
      </c>
      <c r="AL56" s="219"/>
      <c r="AM56" s="219"/>
      <c r="AN56" s="10">
        <f>AO55</f>
        <v>43868</v>
      </c>
      <c r="AO56" s="10">
        <f t="shared" ref="AO56" si="83">EDATE(AN56,12)</f>
        <v>44234</v>
      </c>
      <c r="AP56" s="31">
        <f>AP55+$AP$55/2</f>
        <v>140625000</v>
      </c>
      <c r="AS56" s="10"/>
    </row>
    <row r="57" spans="1:45" x14ac:dyDescent="0.25">
      <c r="A57" s="335">
        <f>A56+1</f>
        <v>43524</v>
      </c>
      <c r="B57" s="329">
        <f t="shared" si="34"/>
        <v>0</v>
      </c>
      <c r="C57" s="338">
        <f t="shared" si="80"/>
        <v>8880000</v>
      </c>
      <c r="D57" s="329">
        <f t="shared" si="35"/>
        <v>0</v>
      </c>
      <c r="E57" s="338">
        <f t="shared" si="43"/>
        <v>0</v>
      </c>
      <c r="F57" s="329">
        <f t="shared" si="54"/>
        <v>0</v>
      </c>
      <c r="G57" s="338">
        <f t="shared" si="44"/>
        <v>0</v>
      </c>
      <c r="H57" s="329">
        <f t="shared" si="36"/>
        <v>0</v>
      </c>
      <c r="I57" s="338">
        <f t="shared" si="45"/>
        <v>0</v>
      </c>
      <c r="J57" s="329">
        <f t="shared" si="55"/>
        <v>0</v>
      </c>
      <c r="K57" s="338">
        <f t="shared" si="46"/>
        <v>0</v>
      </c>
      <c r="L57" s="329">
        <f t="shared" si="56"/>
        <v>0</v>
      </c>
      <c r="M57" s="338">
        <f t="shared" si="47"/>
        <v>0</v>
      </c>
      <c r="N57" s="329">
        <f t="shared" si="37"/>
        <v>0</v>
      </c>
      <c r="O57" s="338">
        <f t="shared" si="48"/>
        <v>0</v>
      </c>
      <c r="P57" s="329">
        <f t="shared" si="38"/>
        <v>0</v>
      </c>
      <c r="Q57" s="338">
        <f t="shared" si="49"/>
        <v>0</v>
      </c>
      <c r="R57" s="329">
        <f t="shared" si="39"/>
        <v>0</v>
      </c>
      <c r="S57" s="338">
        <f t="shared" si="50"/>
        <v>0</v>
      </c>
      <c r="T57" s="329">
        <f t="shared" si="40"/>
        <v>0</v>
      </c>
      <c r="U57" s="338">
        <f t="shared" si="51"/>
        <v>0</v>
      </c>
      <c r="V57" s="329">
        <f t="shared" si="41"/>
        <v>0</v>
      </c>
      <c r="W57" s="338">
        <f t="shared" si="52"/>
        <v>0</v>
      </c>
      <c r="Y57" s="10">
        <v>44344</v>
      </c>
      <c r="Z57" s="1086">
        <f t="shared" si="79"/>
        <v>187500000</v>
      </c>
      <c r="AA57" s="1086">
        <f>AA56</f>
        <v>42000000</v>
      </c>
      <c r="AB57" s="1086">
        <f>AB56</f>
        <v>61000000</v>
      </c>
      <c r="AC57" s="1086">
        <f t="shared" ref="AC57" si="84">AC56</f>
        <v>16000000</v>
      </c>
      <c r="AD57" s="1086">
        <f>AD56</f>
        <v>0</v>
      </c>
      <c r="AE57" s="1086">
        <v>0</v>
      </c>
      <c r="AF57" s="1097">
        <v>0</v>
      </c>
      <c r="AG57" s="1088">
        <f t="shared" si="81"/>
        <v>0</v>
      </c>
      <c r="AH57" s="1086">
        <f t="shared" si="82"/>
        <v>0</v>
      </c>
      <c r="AI57" s="1088">
        <f t="shared" si="82"/>
        <v>0</v>
      </c>
      <c r="AJ57" s="1087">
        <v>112000000</v>
      </c>
      <c r="AK57" s="121">
        <f t="shared" si="53"/>
        <v>430433600</v>
      </c>
      <c r="AL57" s="219"/>
      <c r="AM57" s="219"/>
      <c r="AN57" s="10">
        <f t="shared" ref="AN57" si="85">AO56</f>
        <v>44234</v>
      </c>
      <c r="AO57" s="768" t="s">
        <v>2331</v>
      </c>
      <c r="AP57" s="31">
        <f>AP56+$AP$55/2</f>
        <v>187500000</v>
      </c>
      <c r="AS57" s="10"/>
    </row>
    <row r="58" spans="1:45" x14ac:dyDescent="0.25">
      <c r="A58" s="335">
        <f>A57+1</f>
        <v>43525</v>
      </c>
      <c r="B58" s="329">
        <f t="shared" si="34"/>
        <v>0</v>
      </c>
      <c r="C58" s="338">
        <f t="shared" si="80"/>
        <v>8880000</v>
      </c>
      <c r="D58" s="329">
        <f t="shared" si="35"/>
        <v>0</v>
      </c>
      <c r="E58" s="338">
        <f t="shared" si="43"/>
        <v>0</v>
      </c>
      <c r="F58" s="329">
        <f t="shared" si="54"/>
        <v>0</v>
      </c>
      <c r="G58" s="338">
        <f t="shared" si="44"/>
        <v>0</v>
      </c>
      <c r="H58" s="329">
        <f t="shared" si="36"/>
        <v>0</v>
      </c>
      <c r="I58" s="338">
        <f t="shared" si="45"/>
        <v>0</v>
      </c>
      <c r="J58" s="329">
        <f t="shared" si="55"/>
        <v>0</v>
      </c>
      <c r="K58" s="338">
        <f t="shared" si="46"/>
        <v>0</v>
      </c>
      <c r="L58" s="329">
        <f t="shared" si="56"/>
        <v>0</v>
      </c>
      <c r="M58" s="338">
        <f t="shared" si="47"/>
        <v>0</v>
      </c>
      <c r="N58" s="329">
        <f t="shared" si="37"/>
        <v>0</v>
      </c>
      <c r="O58" s="338">
        <f t="shared" si="48"/>
        <v>0</v>
      </c>
      <c r="P58" s="329">
        <f t="shared" si="38"/>
        <v>0</v>
      </c>
      <c r="Q58" s="338">
        <f t="shared" si="49"/>
        <v>0</v>
      </c>
      <c r="R58" s="329">
        <f t="shared" si="39"/>
        <v>0</v>
      </c>
      <c r="S58" s="338">
        <f t="shared" si="50"/>
        <v>0</v>
      </c>
      <c r="T58" s="329">
        <f t="shared" si="40"/>
        <v>0</v>
      </c>
      <c r="U58" s="338">
        <f t="shared" si="51"/>
        <v>0</v>
      </c>
      <c r="V58" s="329">
        <f t="shared" si="41"/>
        <v>0</v>
      </c>
      <c r="W58" s="338">
        <f t="shared" si="52"/>
        <v>0</v>
      </c>
      <c r="Y58" s="10">
        <v>44351</v>
      </c>
      <c r="Z58" s="1086">
        <f t="shared" ref="Z58" si="86">Z57</f>
        <v>187500000</v>
      </c>
      <c r="AA58" s="1086">
        <f>AA57</f>
        <v>42000000</v>
      </c>
      <c r="AB58" s="1084">
        <v>73200000</v>
      </c>
      <c r="AC58" s="1086">
        <f t="shared" ref="AC58" si="87">AC57</f>
        <v>16000000</v>
      </c>
      <c r="AD58" s="1086">
        <f>AD57</f>
        <v>0</v>
      </c>
      <c r="AE58" s="1086">
        <v>0</v>
      </c>
      <c r="AF58" s="1097">
        <v>0</v>
      </c>
      <c r="AG58" s="1088">
        <f t="shared" si="81"/>
        <v>0</v>
      </c>
      <c r="AH58" s="1086">
        <f t="shared" si="82"/>
        <v>0</v>
      </c>
      <c r="AI58" s="1088">
        <f t="shared" si="82"/>
        <v>0</v>
      </c>
      <c r="AJ58" s="1057">
        <f>AJ57</f>
        <v>112000000</v>
      </c>
      <c r="AK58" s="121">
        <f t="shared" si="53"/>
        <v>442633600</v>
      </c>
      <c r="AL58" s="219"/>
      <c r="AM58" s="219"/>
      <c r="AN58" s="10"/>
      <c r="AO58" s="768"/>
      <c r="AP58" s="31"/>
      <c r="AS58" s="10"/>
    </row>
    <row r="59" spans="1:45" x14ac:dyDescent="0.25">
      <c r="A59" s="336">
        <f>A58+3</f>
        <v>43528</v>
      </c>
      <c r="B59" s="329">
        <f t="shared" si="34"/>
        <v>0</v>
      </c>
      <c r="C59" s="338">
        <f t="shared" si="80"/>
        <v>8880000</v>
      </c>
      <c r="D59" s="329">
        <f t="shared" si="35"/>
        <v>0</v>
      </c>
      <c r="E59" s="338">
        <f t="shared" si="43"/>
        <v>0</v>
      </c>
      <c r="F59" s="329">
        <f t="shared" si="54"/>
        <v>0</v>
      </c>
      <c r="G59" s="338">
        <f t="shared" si="44"/>
        <v>0</v>
      </c>
      <c r="H59" s="329">
        <f t="shared" si="36"/>
        <v>0</v>
      </c>
      <c r="I59" s="338">
        <f t="shared" si="45"/>
        <v>0</v>
      </c>
      <c r="J59" s="329">
        <f t="shared" si="55"/>
        <v>0</v>
      </c>
      <c r="K59" s="338">
        <f t="shared" si="46"/>
        <v>0</v>
      </c>
      <c r="L59" s="329">
        <f t="shared" si="56"/>
        <v>0</v>
      </c>
      <c r="M59" s="338">
        <f t="shared" si="47"/>
        <v>0</v>
      </c>
      <c r="N59" s="329">
        <f t="shared" si="37"/>
        <v>0</v>
      </c>
      <c r="O59" s="338">
        <f t="shared" si="48"/>
        <v>0</v>
      </c>
      <c r="P59" s="329">
        <f t="shared" si="38"/>
        <v>0</v>
      </c>
      <c r="Q59" s="338">
        <f t="shared" si="49"/>
        <v>0</v>
      </c>
      <c r="R59" s="329">
        <f t="shared" si="39"/>
        <v>0</v>
      </c>
      <c r="S59" s="338">
        <f t="shared" si="50"/>
        <v>0</v>
      </c>
      <c r="T59" s="329">
        <f t="shared" si="40"/>
        <v>0</v>
      </c>
      <c r="U59" s="338">
        <f t="shared" si="51"/>
        <v>0</v>
      </c>
      <c r="V59" s="329">
        <f t="shared" si="41"/>
        <v>0</v>
      </c>
      <c r="W59" s="338">
        <f t="shared" si="52"/>
        <v>0</v>
      </c>
      <c r="Y59" s="10">
        <v>44355</v>
      </c>
      <c r="Z59" s="1086">
        <f t="shared" ref="Z59:Z60" si="88">Z58</f>
        <v>187500000</v>
      </c>
      <c r="AA59" s="1086">
        <f>AA58</f>
        <v>42000000</v>
      </c>
      <c r="AB59" s="1086">
        <f t="shared" ref="AB59:AB62" si="89">AB58</f>
        <v>73200000</v>
      </c>
      <c r="AC59" s="1086">
        <f t="shared" ref="AC59" si="90">AC58</f>
        <v>16000000</v>
      </c>
      <c r="AD59" s="1084">
        <v>25000000</v>
      </c>
      <c r="AE59" s="1086">
        <v>0</v>
      </c>
      <c r="AF59" s="1097">
        <v>0</v>
      </c>
      <c r="AG59" s="1089">
        <v>8333333.3300000001</v>
      </c>
      <c r="AH59" s="1086">
        <f t="shared" ref="AH59:AH60" si="91">AH58</f>
        <v>0</v>
      </c>
      <c r="AI59" s="1088">
        <f t="shared" ref="AI59:AI60" si="92">AI58</f>
        <v>0</v>
      </c>
      <c r="AJ59" s="1057">
        <f>AJ58</f>
        <v>112000000</v>
      </c>
      <c r="AK59" s="121">
        <f t="shared" si="53"/>
        <v>476854849.99631149</v>
      </c>
      <c r="AL59" s="219"/>
      <c r="AM59" s="219"/>
      <c r="AN59" s="10"/>
      <c r="AO59" s="768"/>
      <c r="AP59" s="31"/>
      <c r="AS59" s="10"/>
    </row>
    <row r="60" spans="1:45" x14ac:dyDescent="0.25">
      <c r="A60" s="335">
        <f>A59+1</f>
        <v>43529</v>
      </c>
      <c r="B60" s="329">
        <f t="shared" si="34"/>
        <v>0</v>
      </c>
      <c r="C60" s="338">
        <f t="shared" si="80"/>
        <v>8880000</v>
      </c>
      <c r="D60" s="329">
        <f t="shared" si="35"/>
        <v>0</v>
      </c>
      <c r="E60" s="338">
        <f t="shared" si="43"/>
        <v>0</v>
      </c>
      <c r="F60" s="329">
        <f t="shared" si="54"/>
        <v>0</v>
      </c>
      <c r="G60" s="338">
        <f t="shared" si="44"/>
        <v>0</v>
      </c>
      <c r="H60" s="329">
        <f t="shared" si="36"/>
        <v>0</v>
      </c>
      <c r="I60" s="338">
        <f t="shared" si="45"/>
        <v>0</v>
      </c>
      <c r="J60" s="329">
        <f t="shared" si="55"/>
        <v>0</v>
      </c>
      <c r="K60" s="338">
        <f t="shared" si="46"/>
        <v>0</v>
      </c>
      <c r="L60" s="329">
        <f t="shared" si="56"/>
        <v>0</v>
      </c>
      <c r="M60" s="338">
        <f t="shared" si="47"/>
        <v>0</v>
      </c>
      <c r="N60" s="329">
        <f t="shared" si="37"/>
        <v>0</v>
      </c>
      <c r="O60" s="338">
        <f t="shared" si="48"/>
        <v>0</v>
      </c>
      <c r="P60" s="329">
        <f t="shared" si="38"/>
        <v>0</v>
      </c>
      <c r="Q60" s="338">
        <f t="shared" si="49"/>
        <v>0</v>
      </c>
      <c r="R60" s="329">
        <f t="shared" si="39"/>
        <v>0</v>
      </c>
      <c r="S60" s="338">
        <f t="shared" si="50"/>
        <v>0</v>
      </c>
      <c r="T60" s="329">
        <f t="shared" si="40"/>
        <v>0</v>
      </c>
      <c r="U60" s="338">
        <f t="shared" si="51"/>
        <v>0</v>
      </c>
      <c r="V60" s="329">
        <f t="shared" si="41"/>
        <v>0</v>
      </c>
      <c r="W60" s="338">
        <f t="shared" si="52"/>
        <v>0</v>
      </c>
      <c r="Y60" s="10">
        <v>44379</v>
      </c>
      <c r="Z60" s="1086">
        <f t="shared" si="88"/>
        <v>187500000</v>
      </c>
      <c r="AA60" s="1084">
        <v>49000000</v>
      </c>
      <c r="AB60" s="1086">
        <f t="shared" si="89"/>
        <v>73200000</v>
      </c>
      <c r="AC60" s="1086">
        <f t="shared" ref="AC60" si="93">AC59</f>
        <v>16000000</v>
      </c>
      <c r="AD60" s="121">
        <f>AD59</f>
        <v>25000000</v>
      </c>
      <c r="AE60" s="1086">
        <v>0</v>
      </c>
      <c r="AF60" s="1097">
        <v>0</v>
      </c>
      <c r="AG60" s="1057">
        <f t="shared" ref="AG60" si="94">AG59</f>
        <v>8333333.3300000001</v>
      </c>
      <c r="AH60" s="1086">
        <f t="shared" si="91"/>
        <v>0</v>
      </c>
      <c r="AI60" s="1088">
        <f t="shared" si="92"/>
        <v>0</v>
      </c>
      <c r="AJ60" s="1057">
        <f t="shared" ref="AJ60:AJ63" si="95">AJ59</f>
        <v>112000000</v>
      </c>
      <c r="AK60" s="121">
        <f t="shared" si="53"/>
        <v>483854849.99631149</v>
      </c>
      <c r="AL60" s="219"/>
      <c r="AM60" s="219"/>
      <c r="AN60" s="10" t="s">
        <v>2333</v>
      </c>
      <c r="AO60" s="10"/>
      <c r="AP60" s="765"/>
      <c r="AS60" s="10"/>
    </row>
    <row r="61" spans="1:45" x14ac:dyDescent="0.25">
      <c r="A61" s="335">
        <f>A60+1</f>
        <v>43530</v>
      </c>
      <c r="B61" s="329">
        <f t="shared" si="34"/>
        <v>0</v>
      </c>
      <c r="C61" s="338">
        <f t="shared" si="80"/>
        <v>8880000</v>
      </c>
      <c r="D61" s="329">
        <f t="shared" si="35"/>
        <v>0</v>
      </c>
      <c r="E61" s="338">
        <f t="shared" si="43"/>
        <v>0</v>
      </c>
      <c r="F61" s="329">
        <f t="shared" si="54"/>
        <v>0</v>
      </c>
      <c r="G61" s="338">
        <f t="shared" si="44"/>
        <v>0</v>
      </c>
      <c r="H61" s="329">
        <f t="shared" si="36"/>
        <v>0</v>
      </c>
      <c r="I61" s="338">
        <f t="shared" si="45"/>
        <v>0</v>
      </c>
      <c r="J61" s="329">
        <f t="shared" si="55"/>
        <v>0</v>
      </c>
      <c r="K61" s="338">
        <f t="shared" si="46"/>
        <v>0</v>
      </c>
      <c r="L61" s="329">
        <f t="shared" si="56"/>
        <v>0</v>
      </c>
      <c r="M61" s="338">
        <f t="shared" si="47"/>
        <v>0</v>
      </c>
      <c r="N61" s="329">
        <f t="shared" si="37"/>
        <v>0</v>
      </c>
      <c r="O61" s="338">
        <f t="shared" si="48"/>
        <v>0</v>
      </c>
      <c r="P61" s="329">
        <f t="shared" si="38"/>
        <v>0</v>
      </c>
      <c r="Q61" s="338">
        <f t="shared" si="49"/>
        <v>0</v>
      </c>
      <c r="R61" s="329">
        <f t="shared" si="39"/>
        <v>0</v>
      </c>
      <c r="S61" s="338">
        <f t="shared" si="50"/>
        <v>0</v>
      </c>
      <c r="T61" s="329">
        <f t="shared" si="40"/>
        <v>0</v>
      </c>
      <c r="U61" s="338">
        <f t="shared" si="51"/>
        <v>0</v>
      </c>
      <c r="V61" s="329">
        <f t="shared" si="41"/>
        <v>0</v>
      </c>
      <c r="W61" s="338">
        <f t="shared" si="52"/>
        <v>0</v>
      </c>
      <c r="Y61" s="10">
        <v>44426</v>
      </c>
      <c r="Z61" s="1086">
        <f>Z60</f>
        <v>187500000</v>
      </c>
      <c r="AA61" s="1086">
        <f t="shared" ref="AA61:AA64" si="96">AA60</f>
        <v>49000000</v>
      </c>
      <c r="AB61" s="1086">
        <f t="shared" si="89"/>
        <v>73200000</v>
      </c>
      <c r="AC61" s="1086">
        <f>AC60</f>
        <v>16000000</v>
      </c>
      <c r="AD61" s="1086">
        <f>AD60</f>
        <v>25000000</v>
      </c>
      <c r="AE61" s="1086">
        <v>0</v>
      </c>
      <c r="AF61" s="1097">
        <v>0</v>
      </c>
      <c r="AG61" s="1097">
        <f t="shared" ref="AG61:AG64" si="97">AG60</f>
        <v>8333333.3300000001</v>
      </c>
      <c r="AH61" s="1086">
        <f t="shared" ref="AH61:AI62" si="98">AH60</f>
        <v>0</v>
      </c>
      <c r="AI61" s="1089">
        <v>15000000</v>
      </c>
      <c r="AJ61" s="1057">
        <f t="shared" si="95"/>
        <v>112000000</v>
      </c>
      <c r="AK61" s="121">
        <f t="shared" si="53"/>
        <v>500453099.99631149</v>
      </c>
      <c r="AL61" s="219"/>
      <c r="AM61" s="219"/>
      <c r="AN61" s="765" t="s">
        <v>2330</v>
      </c>
      <c r="AO61" s="765" t="s">
        <v>2331</v>
      </c>
      <c r="AP61" s="765" t="s">
        <v>834</v>
      </c>
      <c r="AS61" s="10"/>
    </row>
    <row r="62" spans="1:45" x14ac:dyDescent="0.25">
      <c r="A62" s="335">
        <f>A61+1</f>
        <v>43531</v>
      </c>
      <c r="B62" s="329">
        <f t="shared" si="34"/>
        <v>0</v>
      </c>
      <c r="C62" s="338">
        <f t="shared" si="80"/>
        <v>8880000</v>
      </c>
      <c r="D62" s="329">
        <f t="shared" si="35"/>
        <v>0</v>
      </c>
      <c r="E62" s="338">
        <f t="shared" si="43"/>
        <v>0</v>
      </c>
      <c r="F62" s="329">
        <f t="shared" si="54"/>
        <v>0</v>
      </c>
      <c r="G62" s="338">
        <f t="shared" si="44"/>
        <v>0</v>
      </c>
      <c r="H62" s="329">
        <f t="shared" si="36"/>
        <v>0</v>
      </c>
      <c r="I62" s="338">
        <f t="shared" si="45"/>
        <v>0</v>
      </c>
      <c r="J62" s="329">
        <f t="shared" si="55"/>
        <v>0</v>
      </c>
      <c r="K62" s="338">
        <f t="shared" si="46"/>
        <v>0</v>
      </c>
      <c r="L62" s="329">
        <f t="shared" si="56"/>
        <v>0</v>
      </c>
      <c r="M62" s="338">
        <f t="shared" si="47"/>
        <v>0</v>
      </c>
      <c r="N62" s="329">
        <f t="shared" si="37"/>
        <v>0</v>
      </c>
      <c r="O62" s="338">
        <f t="shared" si="48"/>
        <v>0</v>
      </c>
      <c r="P62" s="329">
        <f t="shared" si="38"/>
        <v>0</v>
      </c>
      <c r="Q62" s="338">
        <f t="shared" si="49"/>
        <v>0</v>
      </c>
      <c r="R62" s="329">
        <f t="shared" si="39"/>
        <v>0</v>
      </c>
      <c r="S62" s="338">
        <f t="shared" si="50"/>
        <v>0</v>
      </c>
      <c r="T62" s="329">
        <f t="shared" si="40"/>
        <v>0</v>
      </c>
      <c r="U62" s="338">
        <f t="shared" si="51"/>
        <v>0</v>
      </c>
      <c r="V62" s="329">
        <f t="shared" si="41"/>
        <v>0</v>
      </c>
      <c r="W62" s="338">
        <f t="shared" si="52"/>
        <v>0</v>
      </c>
      <c r="Y62" s="10">
        <v>44465</v>
      </c>
      <c r="Z62" s="1086">
        <f>Z61</f>
        <v>187500000</v>
      </c>
      <c r="AA62" s="1086">
        <f t="shared" si="96"/>
        <v>49000000</v>
      </c>
      <c r="AB62" s="1086">
        <f t="shared" si="89"/>
        <v>73200000</v>
      </c>
      <c r="AC62" s="1086">
        <f>AC61</f>
        <v>16000000</v>
      </c>
      <c r="AD62" s="1086">
        <f>AD61</f>
        <v>25000000</v>
      </c>
      <c r="AE62" s="1086">
        <v>0</v>
      </c>
      <c r="AF62" s="1097">
        <v>0</v>
      </c>
      <c r="AG62" s="1089">
        <v>13333333.33</v>
      </c>
      <c r="AH62" s="1086">
        <f t="shared" si="98"/>
        <v>0</v>
      </c>
      <c r="AI62" s="1088">
        <f t="shared" si="98"/>
        <v>15000000</v>
      </c>
      <c r="AJ62" s="1057">
        <f t="shared" si="95"/>
        <v>112000000</v>
      </c>
      <c r="AK62" s="121">
        <f t="shared" si="53"/>
        <v>505985849.99631149</v>
      </c>
      <c r="AL62" s="219"/>
      <c r="AM62" s="219"/>
      <c r="AN62" s="10">
        <v>43803</v>
      </c>
      <c r="AO62" s="10">
        <f>EDATE(AN62,6)</f>
        <v>43986</v>
      </c>
      <c r="AP62" s="1058">
        <v>36600000</v>
      </c>
      <c r="AS62" s="10"/>
    </row>
    <row r="63" spans="1:45" x14ac:dyDescent="0.25">
      <c r="A63" s="335">
        <f>A62+1</f>
        <v>43532</v>
      </c>
      <c r="B63" s="329">
        <f t="shared" si="34"/>
        <v>0</v>
      </c>
      <c r="C63" s="338">
        <f t="shared" si="80"/>
        <v>8880000</v>
      </c>
      <c r="D63" s="329">
        <f t="shared" si="35"/>
        <v>0</v>
      </c>
      <c r="E63" s="338">
        <f t="shared" si="43"/>
        <v>0</v>
      </c>
      <c r="F63" s="329">
        <f t="shared" si="54"/>
        <v>0</v>
      </c>
      <c r="G63" s="338">
        <f t="shared" si="44"/>
        <v>0</v>
      </c>
      <c r="H63" s="329">
        <f t="shared" si="36"/>
        <v>0</v>
      </c>
      <c r="I63" s="338">
        <f t="shared" si="45"/>
        <v>0</v>
      </c>
      <c r="J63" s="329">
        <f t="shared" si="55"/>
        <v>0</v>
      </c>
      <c r="K63" s="338">
        <f t="shared" si="46"/>
        <v>0</v>
      </c>
      <c r="L63" s="329">
        <f t="shared" si="56"/>
        <v>0</v>
      </c>
      <c r="M63" s="338">
        <f t="shared" si="47"/>
        <v>0</v>
      </c>
      <c r="N63" s="329">
        <f t="shared" si="37"/>
        <v>0</v>
      </c>
      <c r="O63" s="338">
        <f t="shared" si="48"/>
        <v>0</v>
      </c>
      <c r="P63" s="329">
        <f t="shared" si="38"/>
        <v>0</v>
      </c>
      <c r="Q63" s="338">
        <f t="shared" si="49"/>
        <v>0</v>
      </c>
      <c r="R63" s="329">
        <f t="shared" si="39"/>
        <v>0</v>
      </c>
      <c r="S63" s="338">
        <f t="shared" si="50"/>
        <v>0</v>
      </c>
      <c r="T63" s="329">
        <f t="shared" si="40"/>
        <v>0</v>
      </c>
      <c r="U63" s="338">
        <f t="shared" si="51"/>
        <v>0</v>
      </c>
      <c r="V63" s="329">
        <f t="shared" si="41"/>
        <v>0</v>
      </c>
      <c r="W63" s="338">
        <f t="shared" si="52"/>
        <v>0</v>
      </c>
      <c r="Y63" s="10">
        <v>44534</v>
      </c>
      <c r="Z63" s="1086">
        <f t="shared" ref="Z63:Z66" si="99">Z62</f>
        <v>187500000</v>
      </c>
      <c r="AA63" s="1086">
        <f t="shared" si="96"/>
        <v>49000000</v>
      </c>
      <c r="AB63" s="1084">
        <v>85400000</v>
      </c>
      <c r="AC63" s="1086">
        <f>AC62</f>
        <v>16000000</v>
      </c>
      <c r="AD63" s="1086">
        <f t="shared" ref="AD63" si="100">AD62</f>
        <v>25000000</v>
      </c>
      <c r="AE63" s="1086">
        <v>0</v>
      </c>
      <c r="AF63" s="1097">
        <v>0</v>
      </c>
      <c r="AG63" s="1089">
        <v>20000000</v>
      </c>
      <c r="AH63" s="1086">
        <f>AH61</f>
        <v>0</v>
      </c>
      <c r="AI63" s="1088">
        <f t="shared" ref="AI63" si="101">AI62</f>
        <v>15000000</v>
      </c>
      <c r="AJ63" s="1057">
        <f t="shared" si="95"/>
        <v>112000000</v>
      </c>
      <c r="AK63" s="121">
        <f t="shared" si="53"/>
        <v>525562850</v>
      </c>
      <c r="AL63" s="219"/>
      <c r="AM63" s="219"/>
      <c r="AN63" s="10">
        <f>AO62</f>
        <v>43986</v>
      </c>
      <c r="AO63" s="10">
        <f>EDATE(AN63,6)</f>
        <v>44169</v>
      </c>
      <c r="AP63" s="31">
        <f>AP62+12200000</f>
        <v>48800000</v>
      </c>
      <c r="AS63" s="10"/>
    </row>
    <row r="64" spans="1:45" x14ac:dyDescent="0.25">
      <c r="A64" s="336">
        <f>A63+3</f>
        <v>43535</v>
      </c>
      <c r="B64" s="329">
        <f t="shared" si="34"/>
        <v>0</v>
      </c>
      <c r="C64" s="338">
        <f t="shared" ref="C64:C83" si="102">B64+C63</f>
        <v>8880000</v>
      </c>
      <c r="D64" s="329">
        <f t="shared" si="35"/>
        <v>0</v>
      </c>
      <c r="E64" s="338">
        <f t="shared" si="43"/>
        <v>0</v>
      </c>
      <c r="F64" s="329">
        <f t="shared" si="54"/>
        <v>0</v>
      </c>
      <c r="G64" s="338">
        <f t="shared" si="44"/>
        <v>0</v>
      </c>
      <c r="H64" s="329">
        <f t="shared" si="36"/>
        <v>0</v>
      </c>
      <c r="I64" s="338">
        <f t="shared" si="45"/>
        <v>0</v>
      </c>
      <c r="J64" s="329">
        <f t="shared" si="55"/>
        <v>0</v>
      </c>
      <c r="K64" s="338">
        <f t="shared" si="46"/>
        <v>0</v>
      </c>
      <c r="L64" s="329">
        <f t="shared" si="56"/>
        <v>0</v>
      </c>
      <c r="M64" s="338">
        <f t="shared" si="47"/>
        <v>0</v>
      </c>
      <c r="N64" s="329">
        <f t="shared" si="37"/>
        <v>0</v>
      </c>
      <c r="O64" s="338">
        <f t="shared" si="48"/>
        <v>0</v>
      </c>
      <c r="P64" s="329">
        <f t="shared" si="38"/>
        <v>0</v>
      </c>
      <c r="Q64" s="338">
        <f t="shared" si="49"/>
        <v>0</v>
      </c>
      <c r="R64" s="329">
        <f t="shared" si="39"/>
        <v>0</v>
      </c>
      <c r="S64" s="338">
        <f t="shared" si="50"/>
        <v>0</v>
      </c>
      <c r="T64" s="329">
        <f t="shared" si="40"/>
        <v>0</v>
      </c>
      <c r="U64" s="338">
        <f t="shared" si="51"/>
        <v>0</v>
      </c>
      <c r="V64" s="329">
        <f t="shared" si="41"/>
        <v>0</v>
      </c>
      <c r="W64" s="338">
        <f t="shared" si="52"/>
        <v>0</v>
      </c>
      <c r="Y64" s="10">
        <v>44561</v>
      </c>
      <c r="Z64" s="1086">
        <f t="shared" si="99"/>
        <v>187500000</v>
      </c>
      <c r="AA64" s="1086">
        <f t="shared" si="96"/>
        <v>49000000</v>
      </c>
      <c r="AB64" s="1086">
        <f>AB63</f>
        <v>85400000</v>
      </c>
      <c r="AC64" s="1084">
        <v>28000000</v>
      </c>
      <c r="AD64" s="1084">
        <v>33333333.333333299</v>
      </c>
      <c r="AE64" s="1086">
        <v>0</v>
      </c>
      <c r="AF64" s="1097">
        <v>0</v>
      </c>
      <c r="AG64" s="1097">
        <f t="shared" si="97"/>
        <v>20000000</v>
      </c>
      <c r="AH64" s="1084">
        <v>39000000</v>
      </c>
      <c r="AI64" s="1089">
        <v>22500000</v>
      </c>
      <c r="AJ64" s="1057">
        <f>AJ63</f>
        <v>112000000</v>
      </c>
      <c r="AK64" s="121">
        <f t="shared" si="53"/>
        <v>593195308.33333325</v>
      </c>
      <c r="AL64" s="219"/>
      <c r="AM64" s="219"/>
      <c r="AN64" s="10">
        <f t="shared" ref="AN64:AN69" si="103">AO63</f>
        <v>44169</v>
      </c>
      <c r="AO64" s="10">
        <f t="shared" ref="AO64:AO68" si="104">EDATE(AN64,6)</f>
        <v>44351</v>
      </c>
      <c r="AP64" s="31">
        <f t="shared" ref="AP64:AP69" si="105">AP63+12200000</f>
        <v>61000000</v>
      </c>
      <c r="AS64" s="10"/>
    </row>
    <row r="65" spans="1:45" x14ac:dyDescent="0.25">
      <c r="A65" s="335">
        <f>A64+1</f>
        <v>43536</v>
      </c>
      <c r="B65" s="329">
        <f t="shared" si="34"/>
        <v>500000</v>
      </c>
      <c r="C65" s="338">
        <f t="shared" si="102"/>
        <v>9380000</v>
      </c>
      <c r="D65" s="329">
        <f t="shared" si="35"/>
        <v>0</v>
      </c>
      <c r="E65" s="338">
        <f t="shared" si="43"/>
        <v>0</v>
      </c>
      <c r="F65" s="329">
        <f t="shared" si="54"/>
        <v>0</v>
      </c>
      <c r="G65" s="338">
        <f t="shared" si="44"/>
        <v>0</v>
      </c>
      <c r="H65" s="329">
        <f t="shared" si="36"/>
        <v>0</v>
      </c>
      <c r="I65" s="338">
        <f t="shared" si="45"/>
        <v>0</v>
      </c>
      <c r="J65" s="329">
        <f t="shared" si="55"/>
        <v>0</v>
      </c>
      <c r="K65" s="338">
        <f t="shared" si="46"/>
        <v>0</v>
      </c>
      <c r="L65" s="329">
        <f t="shared" si="56"/>
        <v>0</v>
      </c>
      <c r="M65" s="338">
        <f t="shared" si="47"/>
        <v>0</v>
      </c>
      <c r="N65" s="329">
        <f t="shared" si="37"/>
        <v>0</v>
      </c>
      <c r="O65" s="338">
        <f t="shared" si="48"/>
        <v>0</v>
      </c>
      <c r="P65" s="329">
        <f t="shared" si="38"/>
        <v>0</v>
      </c>
      <c r="Q65" s="338">
        <f t="shared" si="49"/>
        <v>0</v>
      </c>
      <c r="R65" s="329">
        <f t="shared" si="39"/>
        <v>0</v>
      </c>
      <c r="S65" s="338">
        <f t="shared" si="50"/>
        <v>0</v>
      </c>
      <c r="T65" s="329">
        <f t="shared" si="40"/>
        <v>0</v>
      </c>
      <c r="U65" s="338">
        <f t="shared" si="51"/>
        <v>0</v>
      </c>
      <c r="V65" s="329">
        <f t="shared" si="41"/>
        <v>0</v>
      </c>
      <c r="W65" s="338">
        <f t="shared" si="52"/>
        <v>0</v>
      </c>
      <c r="Y65" s="10">
        <v>44563</v>
      </c>
      <c r="Z65" s="1086">
        <f t="shared" si="99"/>
        <v>187500000</v>
      </c>
      <c r="AA65" s="1084">
        <v>57000000</v>
      </c>
      <c r="AB65" s="1086">
        <f>AB64</f>
        <v>85400000</v>
      </c>
      <c r="AC65" s="1086">
        <f t="shared" ref="AC65:AD68" si="106">AC64</f>
        <v>28000000</v>
      </c>
      <c r="AD65" s="1086">
        <f t="shared" si="106"/>
        <v>33333333.333333299</v>
      </c>
      <c r="AE65" s="1086">
        <v>0</v>
      </c>
      <c r="AF65" s="1097">
        <v>0</v>
      </c>
      <c r="AG65" s="1097">
        <f t="shared" ref="AG65:AG68" si="107">AG64</f>
        <v>20000000</v>
      </c>
      <c r="AH65" s="1086">
        <f t="shared" ref="AH65:AI68" si="108">AH64</f>
        <v>39000000</v>
      </c>
      <c r="AI65" s="1088">
        <f t="shared" si="108"/>
        <v>22500000</v>
      </c>
      <c r="AJ65" s="1057">
        <f>AJ64</f>
        <v>112000000</v>
      </c>
      <c r="AK65" s="121">
        <f t="shared" si="53"/>
        <v>601195308.33333325</v>
      </c>
      <c r="AL65" s="219"/>
      <c r="AM65" s="219"/>
      <c r="AN65" s="10">
        <f t="shared" si="103"/>
        <v>44351</v>
      </c>
      <c r="AO65" s="10">
        <f t="shared" si="104"/>
        <v>44534</v>
      </c>
      <c r="AP65" s="31">
        <f t="shared" si="105"/>
        <v>73200000</v>
      </c>
      <c r="AS65" s="10"/>
    </row>
    <row r="66" spans="1:45" x14ac:dyDescent="0.25">
      <c r="A66" s="335">
        <f>A65+1</f>
        <v>43537</v>
      </c>
      <c r="B66" s="329">
        <f t="shared" si="34"/>
        <v>0</v>
      </c>
      <c r="C66" s="338">
        <f t="shared" si="102"/>
        <v>9380000</v>
      </c>
      <c r="D66" s="329">
        <f t="shared" si="35"/>
        <v>0</v>
      </c>
      <c r="E66" s="338">
        <f t="shared" si="43"/>
        <v>0</v>
      </c>
      <c r="F66" s="329">
        <f t="shared" si="54"/>
        <v>0</v>
      </c>
      <c r="G66" s="338">
        <f t="shared" si="44"/>
        <v>0</v>
      </c>
      <c r="H66" s="329">
        <f t="shared" si="36"/>
        <v>0</v>
      </c>
      <c r="I66" s="338">
        <f t="shared" si="45"/>
        <v>0</v>
      </c>
      <c r="J66" s="329">
        <f t="shared" si="55"/>
        <v>0</v>
      </c>
      <c r="K66" s="338">
        <f t="shared" si="46"/>
        <v>0</v>
      </c>
      <c r="L66" s="329">
        <f t="shared" si="56"/>
        <v>0</v>
      </c>
      <c r="M66" s="338">
        <f t="shared" si="47"/>
        <v>0</v>
      </c>
      <c r="N66" s="329">
        <f t="shared" si="37"/>
        <v>0</v>
      </c>
      <c r="O66" s="338">
        <f t="shared" si="48"/>
        <v>0</v>
      </c>
      <c r="P66" s="329">
        <f t="shared" si="38"/>
        <v>0</v>
      </c>
      <c r="Q66" s="338">
        <f t="shared" si="49"/>
        <v>0</v>
      </c>
      <c r="R66" s="329">
        <f t="shared" si="39"/>
        <v>0</v>
      </c>
      <c r="S66" s="338">
        <f t="shared" si="50"/>
        <v>0</v>
      </c>
      <c r="T66" s="329">
        <f t="shared" si="40"/>
        <v>0</v>
      </c>
      <c r="U66" s="338">
        <f t="shared" si="51"/>
        <v>0</v>
      </c>
      <c r="V66" s="329">
        <f t="shared" si="41"/>
        <v>0</v>
      </c>
      <c r="W66" s="338">
        <f t="shared" si="52"/>
        <v>0</v>
      </c>
      <c r="Y66" s="10">
        <v>44594</v>
      </c>
      <c r="Z66" s="1086">
        <f t="shared" si="99"/>
        <v>187500000</v>
      </c>
      <c r="AA66" s="1084">
        <v>57000000</v>
      </c>
      <c r="AB66" s="1086">
        <f>AB65</f>
        <v>85400000</v>
      </c>
      <c r="AC66" s="1086">
        <f t="shared" si="106"/>
        <v>28000000</v>
      </c>
      <c r="AD66" s="1086">
        <f t="shared" si="106"/>
        <v>33333333.333333299</v>
      </c>
      <c r="AE66" s="1084">
        <v>11000000</v>
      </c>
      <c r="AF66" s="1146">
        <v>70010000</v>
      </c>
      <c r="AG66" s="1097">
        <f t="shared" si="107"/>
        <v>20000000</v>
      </c>
      <c r="AH66" s="1086">
        <f t="shared" si="108"/>
        <v>39000000</v>
      </c>
      <c r="AI66" s="1088">
        <f t="shared" si="108"/>
        <v>22500000</v>
      </c>
      <c r="AJ66" s="1057">
        <f>AJ65</f>
        <v>112000000</v>
      </c>
      <c r="AK66" s="121">
        <f t="shared" si="53"/>
        <v>689664873.83333325</v>
      </c>
      <c r="AL66" s="219"/>
      <c r="AM66" s="219"/>
      <c r="AN66" s="10">
        <f t="shared" si="103"/>
        <v>44534</v>
      </c>
      <c r="AO66" s="10">
        <f t="shared" si="104"/>
        <v>44716</v>
      </c>
      <c r="AP66" s="31">
        <f t="shared" si="105"/>
        <v>85400000</v>
      </c>
      <c r="AS66" s="10"/>
    </row>
    <row r="67" spans="1:45" x14ac:dyDescent="0.25">
      <c r="A67" s="335">
        <f>A66+1</f>
        <v>43538</v>
      </c>
      <c r="B67" s="329">
        <f t="shared" si="34"/>
        <v>0</v>
      </c>
      <c r="C67" s="338">
        <f t="shared" si="102"/>
        <v>9380000</v>
      </c>
      <c r="D67" s="329">
        <f t="shared" si="35"/>
        <v>0</v>
      </c>
      <c r="E67" s="338">
        <f t="shared" si="43"/>
        <v>0</v>
      </c>
      <c r="F67" s="329">
        <f t="shared" si="54"/>
        <v>0</v>
      </c>
      <c r="G67" s="338">
        <f t="shared" si="44"/>
        <v>0</v>
      </c>
      <c r="H67" s="329">
        <f t="shared" si="36"/>
        <v>0</v>
      </c>
      <c r="I67" s="338">
        <f t="shared" si="45"/>
        <v>0</v>
      </c>
      <c r="J67" s="329">
        <f t="shared" si="55"/>
        <v>0</v>
      </c>
      <c r="K67" s="338">
        <f t="shared" si="46"/>
        <v>0</v>
      </c>
      <c r="L67" s="329">
        <f t="shared" si="56"/>
        <v>0</v>
      </c>
      <c r="M67" s="338">
        <f t="shared" si="47"/>
        <v>0</v>
      </c>
      <c r="N67" s="329">
        <f t="shared" si="37"/>
        <v>0</v>
      </c>
      <c r="O67" s="338">
        <f t="shared" si="48"/>
        <v>0</v>
      </c>
      <c r="P67" s="329">
        <f t="shared" si="38"/>
        <v>0</v>
      </c>
      <c r="Q67" s="338">
        <f t="shared" si="49"/>
        <v>0</v>
      </c>
      <c r="R67" s="329">
        <f t="shared" si="39"/>
        <v>0</v>
      </c>
      <c r="S67" s="338">
        <f t="shared" si="50"/>
        <v>0</v>
      </c>
      <c r="T67" s="329">
        <f t="shared" si="40"/>
        <v>0</v>
      </c>
      <c r="U67" s="338">
        <f t="shared" si="51"/>
        <v>0</v>
      </c>
      <c r="V67" s="329">
        <f t="shared" si="41"/>
        <v>0</v>
      </c>
      <c r="W67" s="338">
        <f t="shared" si="52"/>
        <v>0</v>
      </c>
      <c r="Y67" s="10">
        <v>44709</v>
      </c>
      <c r="Z67" s="1086">
        <f>Z65</f>
        <v>187500000</v>
      </c>
      <c r="AA67" s="1086">
        <f>AA65</f>
        <v>57000000</v>
      </c>
      <c r="AB67" s="1086">
        <f>AB65</f>
        <v>85400000</v>
      </c>
      <c r="AC67" s="1086">
        <f t="shared" si="106"/>
        <v>28000000</v>
      </c>
      <c r="AD67" s="1086">
        <f t="shared" si="106"/>
        <v>33333333.333333299</v>
      </c>
      <c r="AE67" s="1086">
        <v>11000000</v>
      </c>
      <c r="AF67" s="1097">
        <f>AF66</f>
        <v>70010000</v>
      </c>
      <c r="AG67" s="1097">
        <f t="shared" si="107"/>
        <v>20000000</v>
      </c>
      <c r="AH67" s="1086">
        <f t="shared" si="108"/>
        <v>39000000</v>
      </c>
      <c r="AI67" s="1088">
        <f t="shared" si="108"/>
        <v>22500000</v>
      </c>
      <c r="AJ67" s="1087">
        <v>140000000</v>
      </c>
      <c r="AK67" s="121">
        <f t="shared" si="53"/>
        <v>720648273.83333325</v>
      </c>
      <c r="AL67" s="219"/>
      <c r="AM67" s="219"/>
      <c r="AN67" s="10">
        <f t="shared" si="103"/>
        <v>44716</v>
      </c>
      <c r="AO67" s="10">
        <f t="shared" si="104"/>
        <v>44899</v>
      </c>
      <c r="AP67" s="31">
        <f t="shared" si="105"/>
        <v>97600000</v>
      </c>
      <c r="AS67" s="10"/>
    </row>
    <row r="68" spans="1:45" x14ac:dyDescent="0.25">
      <c r="A68" s="335">
        <f>A67+1</f>
        <v>43539</v>
      </c>
      <c r="B68" s="329">
        <f t="shared" si="34"/>
        <v>0</v>
      </c>
      <c r="C68" s="338">
        <f t="shared" si="102"/>
        <v>9380000</v>
      </c>
      <c r="D68" s="329">
        <f t="shared" si="35"/>
        <v>0</v>
      </c>
      <c r="E68" s="338">
        <f t="shared" si="43"/>
        <v>0</v>
      </c>
      <c r="F68" s="329">
        <f t="shared" si="54"/>
        <v>0</v>
      </c>
      <c r="G68" s="338">
        <f t="shared" si="44"/>
        <v>0</v>
      </c>
      <c r="H68" s="329">
        <f t="shared" si="36"/>
        <v>0</v>
      </c>
      <c r="I68" s="338">
        <f t="shared" si="45"/>
        <v>0</v>
      </c>
      <c r="J68" s="329">
        <f t="shared" si="55"/>
        <v>0</v>
      </c>
      <c r="K68" s="338">
        <f t="shared" si="46"/>
        <v>0</v>
      </c>
      <c r="L68" s="329">
        <f t="shared" si="56"/>
        <v>0</v>
      </c>
      <c r="M68" s="338">
        <f t="shared" si="47"/>
        <v>0</v>
      </c>
      <c r="N68" s="329">
        <f t="shared" si="37"/>
        <v>0</v>
      </c>
      <c r="O68" s="338">
        <f t="shared" si="48"/>
        <v>0</v>
      </c>
      <c r="P68" s="329">
        <f t="shared" si="38"/>
        <v>0</v>
      </c>
      <c r="Q68" s="338">
        <f t="shared" si="49"/>
        <v>0</v>
      </c>
      <c r="R68" s="329">
        <f t="shared" si="39"/>
        <v>0</v>
      </c>
      <c r="S68" s="338">
        <f t="shared" si="50"/>
        <v>0</v>
      </c>
      <c r="T68" s="329">
        <f t="shared" si="40"/>
        <v>0</v>
      </c>
      <c r="U68" s="338">
        <f t="shared" si="51"/>
        <v>0</v>
      </c>
      <c r="V68" s="329">
        <f t="shared" si="41"/>
        <v>0</v>
      </c>
      <c r="W68" s="338">
        <f t="shared" si="52"/>
        <v>0</v>
      </c>
      <c r="Y68" s="10">
        <v>44716</v>
      </c>
      <c r="Z68" s="1086">
        <f t="shared" ref="Z68:Z78" si="109">Z67</f>
        <v>187500000</v>
      </c>
      <c r="AA68" s="1086">
        <f t="shared" ref="AA68:AA78" si="110">AA67</f>
        <v>57000000</v>
      </c>
      <c r="AB68" s="1084">
        <v>97600000</v>
      </c>
      <c r="AC68" s="1086">
        <f t="shared" si="106"/>
        <v>28000000</v>
      </c>
      <c r="AD68" s="1086">
        <f t="shared" si="106"/>
        <v>33333333.333333299</v>
      </c>
      <c r="AE68" s="1086">
        <v>11000000</v>
      </c>
      <c r="AF68" s="1097">
        <f t="shared" ref="AF68:AF78" si="111">AF67</f>
        <v>70010000</v>
      </c>
      <c r="AG68" s="1088">
        <f t="shared" si="107"/>
        <v>20000000</v>
      </c>
      <c r="AH68" s="1086">
        <f t="shared" si="108"/>
        <v>39000000</v>
      </c>
      <c r="AI68" s="1088">
        <f t="shared" si="108"/>
        <v>22500000</v>
      </c>
      <c r="AJ68" s="1057">
        <f t="shared" ref="AJ68:AJ78" si="112">AJ67</f>
        <v>140000000</v>
      </c>
      <c r="AK68" s="121">
        <f t="shared" si="53"/>
        <v>732848273.83333325</v>
      </c>
      <c r="AL68" s="219"/>
      <c r="AM68" s="219"/>
      <c r="AN68" s="10">
        <f t="shared" si="103"/>
        <v>44899</v>
      </c>
      <c r="AO68" s="10">
        <f t="shared" si="104"/>
        <v>45081</v>
      </c>
      <c r="AP68" s="31">
        <f t="shared" si="105"/>
        <v>109800000</v>
      </c>
      <c r="AS68" s="10"/>
    </row>
    <row r="69" spans="1:45" x14ac:dyDescent="0.25">
      <c r="A69" s="336">
        <f>A68+3</f>
        <v>43542</v>
      </c>
      <c r="B69" s="329">
        <f t="shared" si="34"/>
        <v>0</v>
      </c>
      <c r="C69" s="338">
        <f t="shared" si="102"/>
        <v>9380000</v>
      </c>
      <c r="D69" s="329">
        <f t="shared" si="35"/>
        <v>0</v>
      </c>
      <c r="E69" s="338">
        <f t="shared" si="43"/>
        <v>0</v>
      </c>
      <c r="F69" s="329">
        <f t="shared" si="54"/>
        <v>0</v>
      </c>
      <c r="G69" s="338">
        <f t="shared" si="44"/>
        <v>0</v>
      </c>
      <c r="H69" s="329">
        <f t="shared" si="36"/>
        <v>0</v>
      </c>
      <c r="I69" s="338">
        <f t="shared" si="45"/>
        <v>0</v>
      </c>
      <c r="J69" s="329">
        <f t="shared" si="55"/>
        <v>0</v>
      </c>
      <c r="K69" s="338">
        <f t="shared" si="46"/>
        <v>0</v>
      </c>
      <c r="L69" s="329">
        <f t="shared" si="56"/>
        <v>0</v>
      </c>
      <c r="M69" s="338">
        <f t="shared" si="47"/>
        <v>0</v>
      </c>
      <c r="N69" s="329">
        <f t="shared" si="37"/>
        <v>0</v>
      </c>
      <c r="O69" s="338">
        <f t="shared" si="48"/>
        <v>0</v>
      </c>
      <c r="P69" s="329">
        <f t="shared" si="38"/>
        <v>0</v>
      </c>
      <c r="Q69" s="338">
        <f t="shared" si="49"/>
        <v>0</v>
      </c>
      <c r="R69" s="329">
        <f t="shared" si="39"/>
        <v>0</v>
      </c>
      <c r="S69" s="338">
        <f t="shared" si="50"/>
        <v>0</v>
      </c>
      <c r="T69" s="329">
        <f t="shared" si="40"/>
        <v>0</v>
      </c>
      <c r="U69" s="338">
        <f t="shared" si="51"/>
        <v>0</v>
      </c>
      <c r="V69" s="329">
        <f t="shared" si="41"/>
        <v>0</v>
      </c>
      <c r="W69" s="338">
        <f t="shared" si="52"/>
        <v>0</v>
      </c>
      <c r="Y69" s="10">
        <v>44742</v>
      </c>
      <c r="Z69" s="1086">
        <f t="shared" si="109"/>
        <v>187500000</v>
      </c>
      <c r="AA69" s="1086">
        <f t="shared" si="110"/>
        <v>57000000</v>
      </c>
      <c r="AB69" s="1086">
        <f>AB68</f>
        <v>97600000</v>
      </c>
      <c r="AC69" s="1084">
        <v>40000000</v>
      </c>
      <c r="AD69" s="1084">
        <v>41666666.666666664</v>
      </c>
      <c r="AE69" s="1086">
        <v>11000000</v>
      </c>
      <c r="AF69" s="1097">
        <f t="shared" si="111"/>
        <v>70010000</v>
      </c>
      <c r="AG69" s="1088">
        <f t="shared" ref="AG69" si="113">AG68</f>
        <v>20000000</v>
      </c>
      <c r="AH69" s="1084">
        <v>45000000</v>
      </c>
      <c r="AI69" s="1089">
        <v>30000000</v>
      </c>
      <c r="AJ69" s="1057">
        <f t="shared" si="112"/>
        <v>140000000</v>
      </c>
      <c r="AK69" s="121">
        <f t="shared" si="53"/>
        <v>767480732.16666675</v>
      </c>
      <c r="AL69" s="219"/>
      <c r="AM69" s="219"/>
      <c r="AN69" s="10">
        <f t="shared" si="103"/>
        <v>45081</v>
      </c>
      <c r="AO69" s="768" t="s">
        <v>2331</v>
      </c>
      <c r="AP69" s="31">
        <f t="shared" si="105"/>
        <v>122000000</v>
      </c>
      <c r="AS69" s="10"/>
    </row>
    <row r="70" spans="1:45" x14ac:dyDescent="0.25">
      <c r="A70" s="335">
        <f>A69+1</f>
        <v>43543</v>
      </c>
      <c r="B70" s="329">
        <f t="shared" si="34"/>
        <v>0</v>
      </c>
      <c r="C70" s="338">
        <f t="shared" si="102"/>
        <v>9380000</v>
      </c>
      <c r="D70" s="329">
        <f t="shared" si="35"/>
        <v>0</v>
      </c>
      <c r="E70" s="338">
        <f t="shared" si="43"/>
        <v>0</v>
      </c>
      <c r="F70" s="329">
        <f t="shared" si="54"/>
        <v>0</v>
      </c>
      <c r="G70" s="338">
        <f t="shared" si="44"/>
        <v>0</v>
      </c>
      <c r="H70" s="329">
        <f t="shared" si="36"/>
        <v>0</v>
      </c>
      <c r="I70" s="338">
        <f t="shared" si="45"/>
        <v>0</v>
      </c>
      <c r="J70" s="329">
        <f t="shared" si="55"/>
        <v>0</v>
      </c>
      <c r="K70" s="338">
        <f t="shared" si="46"/>
        <v>0</v>
      </c>
      <c r="L70" s="329">
        <f t="shared" si="56"/>
        <v>0</v>
      </c>
      <c r="M70" s="338">
        <f t="shared" si="47"/>
        <v>0</v>
      </c>
      <c r="N70" s="329">
        <f t="shared" si="37"/>
        <v>0</v>
      </c>
      <c r="O70" s="338">
        <f t="shared" si="48"/>
        <v>0</v>
      </c>
      <c r="P70" s="329">
        <f t="shared" si="38"/>
        <v>0</v>
      </c>
      <c r="Q70" s="338">
        <f t="shared" si="49"/>
        <v>0</v>
      </c>
      <c r="R70" s="329">
        <f t="shared" si="39"/>
        <v>0</v>
      </c>
      <c r="S70" s="338">
        <f t="shared" si="50"/>
        <v>0</v>
      </c>
      <c r="T70" s="329">
        <f t="shared" si="40"/>
        <v>0</v>
      </c>
      <c r="U70" s="338">
        <f t="shared" si="51"/>
        <v>0</v>
      </c>
      <c r="V70" s="329">
        <f t="shared" si="41"/>
        <v>0</v>
      </c>
      <c r="W70" s="338">
        <f t="shared" si="52"/>
        <v>0</v>
      </c>
      <c r="Y70" s="10">
        <v>44899</v>
      </c>
      <c r="Z70" s="1086">
        <f t="shared" si="109"/>
        <v>187500000</v>
      </c>
      <c r="AA70" s="1086">
        <f t="shared" si="110"/>
        <v>57000000</v>
      </c>
      <c r="AB70" s="1084">
        <v>109800000</v>
      </c>
      <c r="AC70" s="1086">
        <f>AC69</f>
        <v>40000000</v>
      </c>
      <c r="AD70" s="1086">
        <f>AD69</f>
        <v>41666666.666666664</v>
      </c>
      <c r="AE70" s="1086">
        <v>11000000</v>
      </c>
      <c r="AF70" s="1097">
        <f t="shared" si="111"/>
        <v>70010000</v>
      </c>
      <c r="AG70" s="1088">
        <f t="shared" ref="AG70" si="114">AG69</f>
        <v>20000000</v>
      </c>
      <c r="AH70" s="1086">
        <f>AH69</f>
        <v>45000000</v>
      </c>
      <c r="AI70" s="1088">
        <f>AI69</f>
        <v>30000000</v>
      </c>
      <c r="AJ70" s="1057">
        <f t="shared" si="112"/>
        <v>140000000</v>
      </c>
      <c r="AK70" s="121">
        <f t="shared" si="53"/>
        <v>779680732.16666675</v>
      </c>
      <c r="AL70" s="219"/>
      <c r="AM70" s="219"/>
      <c r="AN70" s="10"/>
      <c r="AO70" s="10"/>
      <c r="AP70" s="765"/>
      <c r="AS70" s="10"/>
    </row>
    <row r="71" spans="1:45" x14ac:dyDescent="0.25">
      <c r="A71" s="335">
        <f>A70+1</f>
        <v>43544</v>
      </c>
      <c r="B71" s="329">
        <f t="shared" si="34"/>
        <v>0</v>
      </c>
      <c r="C71" s="338">
        <f t="shared" si="102"/>
        <v>9380000</v>
      </c>
      <c r="D71" s="329">
        <f t="shared" si="35"/>
        <v>0</v>
      </c>
      <c r="E71" s="338">
        <f t="shared" si="43"/>
        <v>0</v>
      </c>
      <c r="F71" s="329">
        <f t="shared" si="54"/>
        <v>0</v>
      </c>
      <c r="G71" s="338">
        <f t="shared" si="44"/>
        <v>0</v>
      </c>
      <c r="H71" s="329">
        <f t="shared" si="36"/>
        <v>0</v>
      </c>
      <c r="I71" s="338">
        <f t="shared" si="45"/>
        <v>0</v>
      </c>
      <c r="J71" s="329">
        <f t="shared" si="55"/>
        <v>0</v>
      </c>
      <c r="K71" s="338">
        <f t="shared" si="46"/>
        <v>0</v>
      </c>
      <c r="L71" s="329">
        <f t="shared" si="56"/>
        <v>0</v>
      </c>
      <c r="M71" s="338">
        <f t="shared" si="47"/>
        <v>0</v>
      </c>
      <c r="N71" s="329">
        <f t="shared" si="37"/>
        <v>0</v>
      </c>
      <c r="O71" s="338">
        <f t="shared" si="48"/>
        <v>0</v>
      </c>
      <c r="P71" s="329">
        <f t="shared" si="38"/>
        <v>0</v>
      </c>
      <c r="Q71" s="338">
        <f t="shared" si="49"/>
        <v>0</v>
      </c>
      <c r="R71" s="329">
        <f t="shared" si="39"/>
        <v>0</v>
      </c>
      <c r="S71" s="338">
        <f t="shared" si="50"/>
        <v>0</v>
      </c>
      <c r="T71" s="329">
        <f t="shared" si="40"/>
        <v>0</v>
      </c>
      <c r="U71" s="338">
        <f t="shared" si="51"/>
        <v>0</v>
      </c>
      <c r="V71" s="329">
        <f t="shared" si="41"/>
        <v>0</v>
      </c>
      <c r="W71" s="338">
        <f t="shared" si="52"/>
        <v>0</v>
      </c>
      <c r="Y71" s="10">
        <v>44926</v>
      </c>
      <c r="Z71" s="1086">
        <f t="shared" si="109"/>
        <v>187500000</v>
      </c>
      <c r="AA71" s="1086">
        <f t="shared" si="110"/>
        <v>57000000</v>
      </c>
      <c r="AB71" s="1086">
        <f>AB70</f>
        <v>109800000</v>
      </c>
      <c r="AC71" s="1084">
        <v>52000000</v>
      </c>
      <c r="AD71" s="1084">
        <v>50000000</v>
      </c>
      <c r="AE71" s="1086">
        <v>11000000</v>
      </c>
      <c r="AF71" s="1097">
        <f t="shared" si="111"/>
        <v>70010000</v>
      </c>
      <c r="AG71" s="1089">
        <v>23333333.329999998</v>
      </c>
      <c r="AH71" s="1084">
        <v>51000000</v>
      </c>
      <c r="AI71" s="1089">
        <v>37500000</v>
      </c>
      <c r="AJ71" s="1057">
        <f t="shared" si="112"/>
        <v>140000000</v>
      </c>
      <c r="AK71" s="121">
        <f t="shared" si="53"/>
        <v>818001690.49631155</v>
      </c>
      <c r="AL71" s="219"/>
      <c r="AM71" s="219"/>
      <c r="AN71" s="10"/>
      <c r="AO71" s="10"/>
      <c r="AP71" s="765"/>
      <c r="AS71" s="10"/>
    </row>
    <row r="72" spans="1:45" x14ac:dyDescent="0.25">
      <c r="A72" s="335">
        <f>A71+1</f>
        <v>43545</v>
      </c>
      <c r="B72" s="329">
        <f t="shared" si="34"/>
        <v>0</v>
      </c>
      <c r="C72" s="338">
        <f t="shared" si="102"/>
        <v>9380000</v>
      </c>
      <c r="D72" s="329">
        <f t="shared" si="35"/>
        <v>0</v>
      </c>
      <c r="E72" s="338">
        <f t="shared" si="43"/>
        <v>0</v>
      </c>
      <c r="F72" s="329">
        <f t="shared" si="54"/>
        <v>0</v>
      </c>
      <c r="G72" s="338">
        <f t="shared" si="44"/>
        <v>0</v>
      </c>
      <c r="H72" s="329">
        <f t="shared" si="36"/>
        <v>0</v>
      </c>
      <c r="I72" s="338">
        <f t="shared" si="45"/>
        <v>0</v>
      </c>
      <c r="J72" s="329">
        <f t="shared" si="55"/>
        <v>0</v>
      </c>
      <c r="K72" s="338">
        <f t="shared" si="46"/>
        <v>0</v>
      </c>
      <c r="L72" s="329">
        <f t="shared" si="56"/>
        <v>0</v>
      </c>
      <c r="M72" s="338">
        <f t="shared" si="47"/>
        <v>0</v>
      </c>
      <c r="N72" s="329">
        <f t="shared" si="37"/>
        <v>0</v>
      </c>
      <c r="O72" s="338">
        <f t="shared" si="48"/>
        <v>0</v>
      </c>
      <c r="P72" s="329">
        <f t="shared" si="38"/>
        <v>0</v>
      </c>
      <c r="Q72" s="338">
        <f t="shared" si="49"/>
        <v>0</v>
      </c>
      <c r="R72" s="329">
        <f t="shared" si="39"/>
        <v>0</v>
      </c>
      <c r="S72" s="338">
        <f t="shared" si="50"/>
        <v>0</v>
      </c>
      <c r="T72" s="329">
        <f t="shared" si="40"/>
        <v>0</v>
      </c>
      <c r="U72" s="338">
        <f t="shared" si="51"/>
        <v>0</v>
      </c>
      <c r="V72" s="329">
        <f t="shared" si="41"/>
        <v>0</v>
      </c>
      <c r="W72" s="338">
        <f t="shared" si="52"/>
        <v>0</v>
      </c>
      <c r="Y72" s="10">
        <v>45081</v>
      </c>
      <c r="Z72" s="1086">
        <f t="shared" si="109"/>
        <v>187500000</v>
      </c>
      <c r="AA72" s="1086">
        <f t="shared" si="110"/>
        <v>57000000</v>
      </c>
      <c r="AB72" s="1084">
        <v>122000000</v>
      </c>
      <c r="AC72" s="1086">
        <f>AC71</f>
        <v>52000000</v>
      </c>
      <c r="AD72" s="1086">
        <f>AD71</f>
        <v>50000000</v>
      </c>
      <c r="AE72" s="1086">
        <v>11000000</v>
      </c>
      <c r="AF72" s="1097">
        <f t="shared" si="111"/>
        <v>70010000</v>
      </c>
      <c r="AG72" s="1088">
        <f t="shared" ref="AG72:AG78" si="115">AG71</f>
        <v>23333333.329999998</v>
      </c>
      <c r="AH72" s="1086">
        <f>AH71</f>
        <v>51000000</v>
      </c>
      <c r="AI72" s="1088">
        <f>AI71</f>
        <v>37500000</v>
      </c>
      <c r="AJ72" s="1057">
        <f t="shared" si="112"/>
        <v>140000000</v>
      </c>
      <c r="AK72" s="121">
        <f t="shared" si="53"/>
        <v>830201690.49631155</v>
      </c>
      <c r="AL72" s="219"/>
      <c r="AM72" s="219"/>
      <c r="AN72" s="765" t="s">
        <v>2334</v>
      </c>
      <c r="AO72" s="765"/>
      <c r="AP72" s="765"/>
      <c r="AS72" s="10"/>
    </row>
    <row r="73" spans="1:45" x14ac:dyDescent="0.25">
      <c r="A73" s="335">
        <f>A72+1</f>
        <v>43546</v>
      </c>
      <c r="B73" s="329">
        <f t="shared" si="34"/>
        <v>0</v>
      </c>
      <c r="C73" s="338">
        <f t="shared" si="102"/>
        <v>9380000</v>
      </c>
      <c r="D73" s="329">
        <f t="shared" si="35"/>
        <v>0</v>
      </c>
      <c r="E73" s="338">
        <f t="shared" si="43"/>
        <v>0</v>
      </c>
      <c r="F73" s="329">
        <f t="shared" si="54"/>
        <v>0</v>
      </c>
      <c r="G73" s="338">
        <f t="shared" si="44"/>
        <v>0</v>
      </c>
      <c r="H73" s="329">
        <f t="shared" si="36"/>
        <v>0</v>
      </c>
      <c r="I73" s="338">
        <f t="shared" si="45"/>
        <v>0</v>
      </c>
      <c r="J73" s="329">
        <f t="shared" si="55"/>
        <v>0</v>
      </c>
      <c r="K73" s="338">
        <f t="shared" si="46"/>
        <v>0</v>
      </c>
      <c r="L73" s="329">
        <f t="shared" si="56"/>
        <v>0</v>
      </c>
      <c r="M73" s="338">
        <f t="shared" si="47"/>
        <v>0</v>
      </c>
      <c r="N73" s="329">
        <f t="shared" si="37"/>
        <v>0</v>
      </c>
      <c r="O73" s="338">
        <f t="shared" si="48"/>
        <v>0</v>
      </c>
      <c r="P73" s="329">
        <f t="shared" si="38"/>
        <v>0</v>
      </c>
      <c r="Q73" s="338">
        <f t="shared" si="49"/>
        <v>0</v>
      </c>
      <c r="R73" s="329">
        <f t="shared" si="39"/>
        <v>0</v>
      </c>
      <c r="S73" s="338">
        <f t="shared" si="50"/>
        <v>0</v>
      </c>
      <c r="T73" s="329">
        <f t="shared" si="40"/>
        <v>0</v>
      </c>
      <c r="U73" s="338">
        <f t="shared" si="51"/>
        <v>0</v>
      </c>
      <c r="V73" s="329">
        <f t="shared" si="41"/>
        <v>0</v>
      </c>
      <c r="W73" s="338">
        <f t="shared" si="52"/>
        <v>0</v>
      </c>
      <c r="Y73" s="10">
        <v>45107</v>
      </c>
      <c r="Z73" s="1086">
        <f t="shared" si="109"/>
        <v>187500000</v>
      </c>
      <c r="AA73" s="1086">
        <f t="shared" si="110"/>
        <v>57000000</v>
      </c>
      <c r="AB73" s="1086">
        <f t="shared" ref="AB73:AB78" si="116">AB72</f>
        <v>122000000</v>
      </c>
      <c r="AC73" s="1084">
        <v>60000000</v>
      </c>
      <c r="AD73" s="1084">
        <v>58333333.333333336</v>
      </c>
      <c r="AE73" s="1086">
        <v>11000000</v>
      </c>
      <c r="AF73" s="1097">
        <f t="shared" si="111"/>
        <v>70010000</v>
      </c>
      <c r="AG73" s="1088">
        <f t="shared" si="115"/>
        <v>23333333.329999998</v>
      </c>
      <c r="AH73" s="1084">
        <v>57000000</v>
      </c>
      <c r="AI73" s="1089">
        <v>45000000</v>
      </c>
      <c r="AJ73" s="1057">
        <f t="shared" si="112"/>
        <v>140000000</v>
      </c>
      <c r="AK73" s="121">
        <f t="shared" si="53"/>
        <v>860834148.8296448</v>
      </c>
      <c r="AL73" s="219"/>
      <c r="AM73" s="219"/>
      <c r="AN73" s="10">
        <v>43585</v>
      </c>
      <c r="AO73" s="10">
        <v>43768</v>
      </c>
      <c r="AP73" s="31">
        <v>26250000</v>
      </c>
      <c r="AS73" s="10"/>
    </row>
    <row r="74" spans="1:45" x14ac:dyDescent="0.25">
      <c r="A74" s="336">
        <f>A73+3</f>
        <v>43549</v>
      </c>
      <c r="B74" s="329">
        <f t="shared" si="34"/>
        <v>5620000</v>
      </c>
      <c r="C74" s="338">
        <f t="shared" si="102"/>
        <v>15000000</v>
      </c>
      <c r="D74" s="329">
        <f t="shared" si="35"/>
        <v>0</v>
      </c>
      <c r="E74" s="338">
        <f t="shared" si="43"/>
        <v>0</v>
      </c>
      <c r="F74" s="329">
        <f>SUMIFS(Usage_Main,CF_Dates,$A74,CF_Descriptions,"EASTCYPRESS1 Change")</f>
        <v>0</v>
      </c>
      <c r="G74" s="338">
        <f t="shared" si="44"/>
        <v>0</v>
      </c>
      <c r="H74" s="329">
        <f t="shared" si="36"/>
        <v>0</v>
      </c>
      <c r="I74" s="338">
        <f t="shared" si="45"/>
        <v>0</v>
      </c>
      <c r="J74" s="329">
        <f t="shared" si="55"/>
        <v>0</v>
      </c>
      <c r="K74" s="338">
        <f t="shared" si="46"/>
        <v>0</v>
      </c>
      <c r="L74" s="329">
        <f t="shared" si="56"/>
        <v>0</v>
      </c>
      <c r="M74" s="338">
        <f t="shared" si="47"/>
        <v>0</v>
      </c>
      <c r="N74" s="329">
        <f t="shared" si="37"/>
        <v>0</v>
      </c>
      <c r="O74" s="338">
        <f t="shared" si="48"/>
        <v>0</v>
      </c>
      <c r="P74" s="329">
        <f t="shared" si="38"/>
        <v>0</v>
      </c>
      <c r="Q74" s="338">
        <f t="shared" si="49"/>
        <v>0</v>
      </c>
      <c r="R74" s="329">
        <f t="shared" si="39"/>
        <v>0</v>
      </c>
      <c r="S74" s="338">
        <f t="shared" si="50"/>
        <v>0</v>
      </c>
      <c r="T74" s="329">
        <f t="shared" si="40"/>
        <v>0</v>
      </c>
      <c r="U74" s="338">
        <f t="shared" si="51"/>
        <v>0</v>
      </c>
      <c r="V74" s="329">
        <f t="shared" si="41"/>
        <v>0</v>
      </c>
      <c r="W74" s="338">
        <f t="shared" si="52"/>
        <v>0</v>
      </c>
      <c r="X74" s="35"/>
      <c r="Y74" s="10">
        <v>45291</v>
      </c>
      <c r="Z74" s="1086">
        <f t="shared" si="109"/>
        <v>187500000</v>
      </c>
      <c r="AA74" s="1086">
        <f t="shared" si="110"/>
        <v>57000000</v>
      </c>
      <c r="AB74" s="1086">
        <f t="shared" si="116"/>
        <v>122000000</v>
      </c>
      <c r="AC74" s="1084">
        <v>68000000</v>
      </c>
      <c r="AD74" s="1084">
        <v>66666666.666666672</v>
      </c>
      <c r="AE74" s="1086">
        <v>11000000</v>
      </c>
      <c r="AF74" s="1097">
        <f t="shared" si="111"/>
        <v>70010000</v>
      </c>
      <c r="AG74" s="1088">
        <f t="shared" si="115"/>
        <v>23333333.329999998</v>
      </c>
      <c r="AH74" s="1084">
        <v>60000000</v>
      </c>
      <c r="AI74" s="1089">
        <v>52500000</v>
      </c>
      <c r="AJ74" s="1057">
        <f t="shared" si="112"/>
        <v>140000000</v>
      </c>
      <c r="AK74" s="121">
        <f t="shared" si="53"/>
        <v>888466607.16297829</v>
      </c>
      <c r="AL74" s="219"/>
      <c r="AM74" s="219"/>
      <c r="AN74" s="10">
        <v>43768</v>
      </c>
      <c r="AO74" s="768" t="s">
        <v>2331</v>
      </c>
      <c r="AP74" s="31">
        <v>35000000</v>
      </c>
    </row>
    <row r="75" spans="1:45" x14ac:dyDescent="0.25">
      <c r="A75" s="335">
        <f>A74+1</f>
        <v>43550</v>
      </c>
      <c r="B75" s="329">
        <f t="shared" si="34"/>
        <v>0</v>
      </c>
      <c r="C75" s="338">
        <f t="shared" si="102"/>
        <v>15000000</v>
      </c>
      <c r="D75" s="329">
        <f t="shared" ref="D75:D138" si="117">SUMIFS(Usage_Main,CF_Dates,$A75,CF_Descriptions,"SOSPRUCE1 Change")</f>
        <v>0</v>
      </c>
      <c r="E75" s="338">
        <f t="shared" si="43"/>
        <v>0</v>
      </c>
      <c r="F75" s="329">
        <f t="shared" ref="F75:F106" si="118">SUMIFS(Usage_Main,CF_Dates,$A75,CF_Descriptions,"EASTCYPRESS1 Change")</f>
        <v>0</v>
      </c>
      <c r="G75" s="338">
        <f t="shared" si="44"/>
        <v>0</v>
      </c>
      <c r="H75" s="329">
        <f t="shared" si="36"/>
        <v>0</v>
      </c>
      <c r="I75" s="338">
        <f t="shared" si="45"/>
        <v>0</v>
      </c>
      <c r="J75" s="329">
        <f t="shared" si="55"/>
        <v>0</v>
      </c>
      <c r="K75" s="338">
        <f t="shared" si="46"/>
        <v>0</v>
      </c>
      <c r="L75" s="329">
        <f t="shared" si="56"/>
        <v>0</v>
      </c>
      <c r="M75" s="338">
        <f t="shared" si="47"/>
        <v>0</v>
      </c>
      <c r="N75" s="329">
        <f t="shared" si="37"/>
        <v>0</v>
      </c>
      <c r="O75" s="338">
        <f t="shared" si="48"/>
        <v>0</v>
      </c>
      <c r="P75" s="329">
        <f t="shared" si="38"/>
        <v>0</v>
      </c>
      <c r="Q75" s="338">
        <f t="shared" si="49"/>
        <v>0</v>
      </c>
      <c r="R75" s="329">
        <f t="shared" si="39"/>
        <v>0</v>
      </c>
      <c r="S75" s="338">
        <f t="shared" si="50"/>
        <v>0</v>
      </c>
      <c r="T75" s="329">
        <f t="shared" si="40"/>
        <v>0</v>
      </c>
      <c r="U75" s="338">
        <f t="shared" si="51"/>
        <v>0</v>
      </c>
      <c r="V75" s="329">
        <f t="shared" si="41"/>
        <v>0</v>
      </c>
      <c r="W75" s="338">
        <f t="shared" si="52"/>
        <v>0</v>
      </c>
      <c r="X75" s="35"/>
      <c r="Y75" s="10">
        <v>45473</v>
      </c>
      <c r="Z75" s="1086">
        <f t="shared" si="109"/>
        <v>187500000</v>
      </c>
      <c r="AA75" s="1086">
        <f t="shared" si="110"/>
        <v>57000000</v>
      </c>
      <c r="AB75" s="1086">
        <f t="shared" si="116"/>
        <v>122000000</v>
      </c>
      <c r="AC75" s="1084">
        <v>76000000</v>
      </c>
      <c r="AD75" s="1084">
        <v>75000000</v>
      </c>
      <c r="AE75" s="1086">
        <v>11000000</v>
      </c>
      <c r="AF75" s="1097">
        <f t="shared" si="111"/>
        <v>70010000</v>
      </c>
      <c r="AG75" s="1088">
        <f t="shared" si="115"/>
        <v>23333333.329999998</v>
      </c>
      <c r="AH75" s="1086">
        <f t="shared" ref="AH75:AI78" si="119">AH74</f>
        <v>60000000</v>
      </c>
      <c r="AI75" s="1088">
        <f t="shared" si="119"/>
        <v>52500000</v>
      </c>
      <c r="AJ75" s="1057">
        <f t="shared" si="112"/>
        <v>140000000</v>
      </c>
      <c r="AK75" s="121">
        <f t="shared" si="53"/>
        <v>904799940.49631155</v>
      </c>
      <c r="AL75" s="219"/>
      <c r="AM75" s="219"/>
      <c r="AP75" s="31"/>
      <c r="AS75" s="765"/>
    </row>
    <row r="76" spans="1:45" x14ac:dyDescent="0.25">
      <c r="A76" s="335">
        <f>A75+1</f>
        <v>43551</v>
      </c>
      <c r="B76" s="329">
        <f t="shared" si="34"/>
        <v>0</v>
      </c>
      <c r="C76" s="338">
        <f t="shared" si="102"/>
        <v>15000000</v>
      </c>
      <c r="D76" s="329">
        <f t="shared" si="117"/>
        <v>0</v>
      </c>
      <c r="E76" s="338">
        <f t="shared" si="43"/>
        <v>0</v>
      </c>
      <c r="F76" s="329">
        <f t="shared" si="118"/>
        <v>0</v>
      </c>
      <c r="G76" s="338">
        <f t="shared" si="44"/>
        <v>0</v>
      </c>
      <c r="H76" s="329">
        <f t="shared" si="36"/>
        <v>0</v>
      </c>
      <c r="I76" s="338">
        <f t="shared" si="45"/>
        <v>0</v>
      </c>
      <c r="J76" s="329">
        <f t="shared" si="55"/>
        <v>0</v>
      </c>
      <c r="K76" s="338">
        <f t="shared" si="46"/>
        <v>0</v>
      </c>
      <c r="L76" s="329">
        <f t="shared" si="56"/>
        <v>0</v>
      </c>
      <c r="M76" s="338">
        <f t="shared" si="47"/>
        <v>0</v>
      </c>
      <c r="N76" s="329">
        <f t="shared" si="37"/>
        <v>0</v>
      </c>
      <c r="O76" s="338">
        <f t="shared" si="48"/>
        <v>0</v>
      </c>
      <c r="P76" s="329">
        <f t="shared" si="38"/>
        <v>0</v>
      </c>
      <c r="Q76" s="338">
        <f t="shared" si="49"/>
        <v>0</v>
      </c>
      <c r="R76" s="329">
        <f t="shared" si="39"/>
        <v>0</v>
      </c>
      <c r="S76" s="338">
        <f t="shared" si="50"/>
        <v>0</v>
      </c>
      <c r="T76" s="329">
        <f t="shared" si="40"/>
        <v>0</v>
      </c>
      <c r="U76" s="338">
        <f t="shared" si="51"/>
        <v>0</v>
      </c>
      <c r="V76" s="329">
        <f t="shared" si="41"/>
        <v>0</v>
      </c>
      <c r="W76" s="338">
        <f t="shared" si="52"/>
        <v>0</v>
      </c>
      <c r="X76" s="35"/>
      <c r="Y76" s="10">
        <v>45657</v>
      </c>
      <c r="Z76" s="1086">
        <f t="shared" si="109"/>
        <v>187500000</v>
      </c>
      <c r="AA76" s="1086">
        <f t="shared" si="110"/>
        <v>57000000</v>
      </c>
      <c r="AB76" s="1086">
        <f t="shared" si="116"/>
        <v>122000000</v>
      </c>
      <c r="AC76" s="1084">
        <v>80000000</v>
      </c>
      <c r="AD76" s="1084">
        <v>83333333.333333328</v>
      </c>
      <c r="AE76" s="1086">
        <v>11000000</v>
      </c>
      <c r="AF76" s="1097">
        <f t="shared" si="111"/>
        <v>70010000</v>
      </c>
      <c r="AG76" s="1088">
        <f t="shared" si="115"/>
        <v>23333333.329999998</v>
      </c>
      <c r="AH76" s="1086">
        <f t="shared" si="119"/>
        <v>60000000</v>
      </c>
      <c r="AI76" s="1088">
        <f t="shared" si="119"/>
        <v>52500000</v>
      </c>
      <c r="AJ76" s="1057">
        <f t="shared" si="112"/>
        <v>140000000</v>
      </c>
      <c r="AK76" s="121">
        <f t="shared" si="53"/>
        <v>917133273.8296448</v>
      </c>
      <c r="AL76" s="219"/>
      <c r="AM76" s="219"/>
      <c r="AP76" s="31"/>
      <c r="AS76" s="765"/>
    </row>
    <row r="77" spans="1:45" x14ac:dyDescent="0.25">
      <c r="A77" s="335">
        <f>A76+1</f>
        <v>43552</v>
      </c>
      <c r="B77" s="329">
        <f t="shared" si="34"/>
        <v>0</v>
      </c>
      <c r="C77" s="338">
        <f t="shared" si="102"/>
        <v>15000000</v>
      </c>
      <c r="D77" s="329">
        <f t="shared" si="117"/>
        <v>0</v>
      </c>
      <c r="E77" s="338">
        <f t="shared" si="43"/>
        <v>0</v>
      </c>
      <c r="F77" s="329">
        <f t="shared" si="118"/>
        <v>0</v>
      </c>
      <c r="G77" s="338">
        <f t="shared" si="44"/>
        <v>0</v>
      </c>
      <c r="H77" s="329">
        <f t="shared" si="36"/>
        <v>0</v>
      </c>
      <c r="I77" s="338">
        <f t="shared" si="45"/>
        <v>0</v>
      </c>
      <c r="J77" s="329">
        <f t="shared" si="55"/>
        <v>0</v>
      </c>
      <c r="K77" s="338">
        <f t="shared" si="46"/>
        <v>0</v>
      </c>
      <c r="L77" s="329">
        <f t="shared" si="56"/>
        <v>0</v>
      </c>
      <c r="M77" s="338">
        <f t="shared" si="47"/>
        <v>0</v>
      </c>
      <c r="N77" s="329">
        <f t="shared" si="37"/>
        <v>0</v>
      </c>
      <c r="O77" s="338">
        <f t="shared" si="48"/>
        <v>0</v>
      </c>
      <c r="P77" s="329">
        <f t="shared" si="38"/>
        <v>0</v>
      </c>
      <c r="Q77" s="338">
        <f t="shared" si="49"/>
        <v>0</v>
      </c>
      <c r="R77" s="329">
        <f t="shared" si="39"/>
        <v>0</v>
      </c>
      <c r="S77" s="338">
        <f t="shared" si="50"/>
        <v>0</v>
      </c>
      <c r="T77" s="329">
        <f t="shared" si="40"/>
        <v>0</v>
      </c>
      <c r="U77" s="338">
        <f t="shared" si="51"/>
        <v>0</v>
      </c>
      <c r="V77" s="329">
        <f t="shared" si="41"/>
        <v>0</v>
      </c>
      <c r="W77" s="338">
        <f t="shared" si="52"/>
        <v>0</v>
      </c>
      <c r="X77" s="35"/>
      <c r="Y77" s="10">
        <v>45838</v>
      </c>
      <c r="Z77" s="1086">
        <f t="shared" si="109"/>
        <v>187500000</v>
      </c>
      <c r="AA77" s="1086">
        <f t="shared" si="110"/>
        <v>57000000</v>
      </c>
      <c r="AB77" s="1086">
        <f t="shared" si="116"/>
        <v>122000000</v>
      </c>
      <c r="AC77" s="1086">
        <f>AC76</f>
        <v>80000000</v>
      </c>
      <c r="AD77" s="1086">
        <f>AD76</f>
        <v>83333333.333333328</v>
      </c>
      <c r="AE77" s="1086">
        <v>11000000</v>
      </c>
      <c r="AF77" s="1097">
        <f t="shared" si="111"/>
        <v>70010000</v>
      </c>
      <c r="AG77" s="1088">
        <f t="shared" si="115"/>
        <v>23333333.329999998</v>
      </c>
      <c r="AH77" s="1086">
        <f t="shared" si="119"/>
        <v>60000000</v>
      </c>
      <c r="AI77" s="1088">
        <f t="shared" si="119"/>
        <v>52500000</v>
      </c>
      <c r="AJ77" s="1057">
        <f t="shared" si="112"/>
        <v>140000000</v>
      </c>
      <c r="AK77" s="121">
        <f t="shared" si="53"/>
        <v>917133273.8296448</v>
      </c>
      <c r="AL77" s="219"/>
      <c r="AM77" s="219"/>
      <c r="AN77" s="2" t="s">
        <v>2663</v>
      </c>
      <c r="AP77" s="31"/>
      <c r="AS77" s="765"/>
    </row>
    <row r="78" spans="1:45" x14ac:dyDescent="0.25">
      <c r="A78" s="335">
        <f>A77+1</f>
        <v>43553</v>
      </c>
      <c r="B78" s="329">
        <f t="shared" si="34"/>
        <v>0</v>
      </c>
      <c r="C78" s="338">
        <f t="shared" si="102"/>
        <v>15000000</v>
      </c>
      <c r="D78" s="329">
        <f t="shared" si="117"/>
        <v>0</v>
      </c>
      <c r="E78" s="338">
        <f t="shared" si="43"/>
        <v>0</v>
      </c>
      <c r="F78" s="329">
        <f t="shared" si="118"/>
        <v>0</v>
      </c>
      <c r="G78" s="338">
        <f t="shared" si="44"/>
        <v>0</v>
      </c>
      <c r="H78" s="329">
        <f t="shared" si="36"/>
        <v>0</v>
      </c>
      <c r="I78" s="338">
        <f t="shared" si="45"/>
        <v>0</v>
      </c>
      <c r="J78" s="329">
        <f t="shared" si="55"/>
        <v>0</v>
      </c>
      <c r="K78" s="338">
        <f t="shared" si="46"/>
        <v>0</v>
      </c>
      <c r="L78" s="329">
        <f t="shared" si="56"/>
        <v>0</v>
      </c>
      <c r="M78" s="338">
        <f t="shared" si="47"/>
        <v>0</v>
      </c>
      <c r="N78" s="329">
        <f t="shared" si="37"/>
        <v>0</v>
      </c>
      <c r="O78" s="338">
        <f t="shared" si="48"/>
        <v>0</v>
      </c>
      <c r="P78" s="329">
        <f t="shared" si="38"/>
        <v>0</v>
      </c>
      <c r="Q78" s="338">
        <f t="shared" si="49"/>
        <v>0</v>
      </c>
      <c r="R78" s="329">
        <f t="shared" si="39"/>
        <v>0</v>
      </c>
      <c r="S78" s="338">
        <f t="shared" si="50"/>
        <v>0</v>
      </c>
      <c r="T78" s="329">
        <f t="shared" si="40"/>
        <v>0</v>
      </c>
      <c r="U78" s="338">
        <f t="shared" si="51"/>
        <v>0</v>
      </c>
      <c r="V78" s="329">
        <f t="shared" si="41"/>
        <v>0</v>
      </c>
      <c r="W78" s="338">
        <f t="shared" si="52"/>
        <v>0</v>
      </c>
      <c r="X78" s="35"/>
      <c r="Y78" s="10">
        <v>46022</v>
      </c>
      <c r="Z78" s="1086">
        <f t="shared" si="109"/>
        <v>187500000</v>
      </c>
      <c r="AA78" s="1086">
        <f t="shared" si="110"/>
        <v>57000000</v>
      </c>
      <c r="AB78" s="1086">
        <f t="shared" si="116"/>
        <v>122000000</v>
      </c>
      <c r="AC78" s="1086">
        <f>AC77</f>
        <v>80000000</v>
      </c>
      <c r="AD78" s="1086">
        <f>AD77</f>
        <v>83333333.333333328</v>
      </c>
      <c r="AE78" s="1086">
        <v>11000000</v>
      </c>
      <c r="AF78" s="1097">
        <f t="shared" si="111"/>
        <v>70010000</v>
      </c>
      <c r="AG78" s="1088">
        <f t="shared" si="115"/>
        <v>23333333.329999998</v>
      </c>
      <c r="AH78" s="1086">
        <f t="shared" si="119"/>
        <v>60000000</v>
      </c>
      <c r="AI78" s="1088">
        <f t="shared" si="119"/>
        <v>52500000</v>
      </c>
      <c r="AJ78" s="1057">
        <f t="shared" si="112"/>
        <v>140000000</v>
      </c>
      <c r="AK78" s="121">
        <f t="shared" si="53"/>
        <v>917133273.8296448</v>
      </c>
      <c r="AL78" s="219"/>
      <c r="AM78" s="219"/>
      <c r="AN78" s="10">
        <v>44271</v>
      </c>
      <c r="AO78" s="10">
        <v>44561</v>
      </c>
      <c r="AP78" s="31">
        <v>14000000</v>
      </c>
      <c r="AS78" s="765"/>
    </row>
    <row r="79" spans="1:45" x14ac:dyDescent="0.25">
      <c r="A79" s="336">
        <f>A78+2</f>
        <v>43555</v>
      </c>
      <c r="B79" s="329">
        <f t="shared" si="34"/>
        <v>0</v>
      </c>
      <c r="C79" s="338">
        <f t="shared" si="102"/>
        <v>15000000</v>
      </c>
      <c r="D79" s="329">
        <f t="shared" si="117"/>
        <v>0</v>
      </c>
      <c r="E79" s="338">
        <f t="shared" si="43"/>
        <v>0</v>
      </c>
      <c r="F79" s="329">
        <f t="shared" si="118"/>
        <v>0</v>
      </c>
      <c r="G79" s="338">
        <f t="shared" si="44"/>
        <v>0</v>
      </c>
      <c r="H79" s="329">
        <f t="shared" si="36"/>
        <v>0</v>
      </c>
      <c r="I79" s="338">
        <f t="shared" si="45"/>
        <v>0</v>
      </c>
      <c r="J79" s="329">
        <f t="shared" si="55"/>
        <v>0</v>
      </c>
      <c r="K79" s="338">
        <f t="shared" si="46"/>
        <v>0</v>
      </c>
      <c r="L79" s="329">
        <f t="shared" si="56"/>
        <v>0</v>
      </c>
      <c r="M79" s="338">
        <f t="shared" si="47"/>
        <v>0</v>
      </c>
      <c r="N79" s="329">
        <f t="shared" si="37"/>
        <v>0</v>
      </c>
      <c r="O79" s="338">
        <f t="shared" si="48"/>
        <v>0</v>
      </c>
      <c r="P79" s="329">
        <f t="shared" si="38"/>
        <v>0</v>
      </c>
      <c r="Q79" s="338">
        <f t="shared" si="49"/>
        <v>0</v>
      </c>
      <c r="R79" s="329">
        <f t="shared" si="39"/>
        <v>0</v>
      </c>
      <c r="S79" s="338">
        <f t="shared" si="50"/>
        <v>0</v>
      </c>
      <c r="T79" s="329">
        <f t="shared" si="40"/>
        <v>0</v>
      </c>
      <c r="U79" s="338">
        <f t="shared" si="51"/>
        <v>0</v>
      </c>
      <c r="V79" s="329">
        <f t="shared" si="41"/>
        <v>0</v>
      </c>
      <c r="W79" s="338">
        <f t="shared" si="52"/>
        <v>0</v>
      </c>
      <c r="X79" s="35"/>
      <c r="AL79" s="219"/>
      <c r="AM79" s="219"/>
      <c r="AN79" s="10">
        <f>AO78</f>
        <v>44561</v>
      </c>
      <c r="AO79" s="10">
        <f>EDATE(AO78,6)</f>
        <v>44742</v>
      </c>
      <c r="AP79" s="31">
        <f>AP78+4000000</f>
        <v>18000000</v>
      </c>
      <c r="AS79" s="765"/>
    </row>
    <row r="80" spans="1:45" x14ac:dyDescent="0.25">
      <c r="A80" s="336">
        <f>A79+1</f>
        <v>43556</v>
      </c>
      <c r="B80" s="329">
        <f t="shared" si="34"/>
        <v>0</v>
      </c>
      <c r="C80" s="338">
        <f t="shared" si="102"/>
        <v>15000000</v>
      </c>
      <c r="D80" s="329">
        <f t="shared" si="117"/>
        <v>0</v>
      </c>
      <c r="E80" s="338">
        <f t="shared" si="43"/>
        <v>0</v>
      </c>
      <c r="F80" s="329">
        <f t="shared" si="118"/>
        <v>0</v>
      </c>
      <c r="G80" s="338">
        <f t="shared" si="44"/>
        <v>0</v>
      </c>
      <c r="H80" s="329">
        <f t="shared" si="36"/>
        <v>0</v>
      </c>
      <c r="I80" s="338">
        <f t="shared" si="45"/>
        <v>0</v>
      </c>
      <c r="J80" s="329">
        <f t="shared" si="55"/>
        <v>0</v>
      </c>
      <c r="K80" s="338">
        <f t="shared" si="46"/>
        <v>0</v>
      </c>
      <c r="L80" s="329">
        <f t="shared" si="56"/>
        <v>0</v>
      </c>
      <c r="M80" s="338">
        <f t="shared" si="47"/>
        <v>0</v>
      </c>
      <c r="N80" s="329">
        <f t="shared" si="37"/>
        <v>0</v>
      </c>
      <c r="O80" s="338">
        <f t="shared" si="48"/>
        <v>0</v>
      </c>
      <c r="P80" s="329">
        <f t="shared" si="38"/>
        <v>0</v>
      </c>
      <c r="Q80" s="338">
        <f t="shared" si="49"/>
        <v>0</v>
      </c>
      <c r="R80" s="329">
        <f t="shared" si="39"/>
        <v>0</v>
      </c>
      <c r="S80" s="338">
        <f t="shared" si="50"/>
        <v>0</v>
      </c>
      <c r="T80" s="329">
        <f t="shared" si="40"/>
        <v>0</v>
      </c>
      <c r="U80" s="338">
        <f t="shared" si="51"/>
        <v>0</v>
      </c>
      <c r="V80" s="329">
        <f t="shared" si="41"/>
        <v>0</v>
      </c>
      <c r="W80" s="338">
        <f t="shared" si="52"/>
        <v>0</v>
      </c>
      <c r="X80" s="35"/>
      <c r="Y80" s="10"/>
      <c r="Z80" s="765"/>
      <c r="AA80" s="765"/>
      <c r="AN80" s="10">
        <f t="shared" ref="AN80:AN85" si="120">AO79</f>
        <v>44742</v>
      </c>
      <c r="AO80" s="10">
        <f>EDATE(AO78,12)</f>
        <v>44926</v>
      </c>
      <c r="AP80" s="31">
        <f>AP79+6000000</f>
        <v>24000000</v>
      </c>
      <c r="AS80" s="765"/>
    </row>
    <row r="81" spans="1:45" x14ac:dyDescent="0.25">
      <c r="A81" s="335">
        <f>A80+1</f>
        <v>43557</v>
      </c>
      <c r="B81" s="329">
        <f t="shared" si="34"/>
        <v>0</v>
      </c>
      <c r="C81" s="338">
        <f t="shared" si="102"/>
        <v>15000000</v>
      </c>
      <c r="D81" s="329">
        <f t="shared" si="117"/>
        <v>0</v>
      </c>
      <c r="E81" s="338">
        <f t="shared" si="43"/>
        <v>0</v>
      </c>
      <c r="F81" s="329">
        <f t="shared" si="118"/>
        <v>0</v>
      </c>
      <c r="G81" s="338">
        <f t="shared" si="44"/>
        <v>0</v>
      </c>
      <c r="H81" s="329">
        <f t="shared" si="36"/>
        <v>0</v>
      </c>
      <c r="I81" s="338">
        <f t="shared" si="45"/>
        <v>0</v>
      </c>
      <c r="J81" s="329">
        <f t="shared" si="55"/>
        <v>0</v>
      </c>
      <c r="K81" s="338">
        <f t="shared" si="46"/>
        <v>0</v>
      </c>
      <c r="L81" s="329">
        <f t="shared" si="56"/>
        <v>0</v>
      </c>
      <c r="M81" s="338">
        <f t="shared" si="47"/>
        <v>0</v>
      </c>
      <c r="N81" s="329">
        <f t="shared" si="37"/>
        <v>0</v>
      </c>
      <c r="O81" s="338">
        <f t="shared" si="48"/>
        <v>0</v>
      </c>
      <c r="P81" s="329">
        <f t="shared" si="38"/>
        <v>0</v>
      </c>
      <c r="Q81" s="338">
        <f t="shared" si="49"/>
        <v>0</v>
      </c>
      <c r="R81" s="329">
        <f t="shared" si="39"/>
        <v>0</v>
      </c>
      <c r="S81" s="338">
        <f t="shared" si="50"/>
        <v>0</v>
      </c>
      <c r="T81" s="329">
        <f t="shared" si="40"/>
        <v>0</v>
      </c>
      <c r="U81" s="338">
        <f t="shared" si="51"/>
        <v>0</v>
      </c>
      <c r="V81" s="329">
        <f t="shared" si="41"/>
        <v>0</v>
      </c>
      <c r="W81" s="338">
        <f t="shared" si="52"/>
        <v>0</v>
      </c>
      <c r="X81" s="35"/>
      <c r="Y81" s="10"/>
      <c r="Z81" s="765"/>
      <c r="AA81" s="765"/>
      <c r="AN81" s="10">
        <f t="shared" si="120"/>
        <v>44926</v>
      </c>
      <c r="AO81" s="10">
        <f t="shared" ref="AO81:AO84" si="121">EDATE(AO79,12)</f>
        <v>45107</v>
      </c>
      <c r="AP81" s="31">
        <f>AP80+6000000</f>
        <v>30000000</v>
      </c>
      <c r="AS81" s="765"/>
    </row>
    <row r="82" spans="1:45" x14ac:dyDescent="0.25">
      <c r="A82" s="335">
        <f>A81+1</f>
        <v>43558</v>
      </c>
      <c r="B82" s="329">
        <f t="shared" si="34"/>
        <v>0</v>
      </c>
      <c r="C82" s="338">
        <f t="shared" si="102"/>
        <v>15000000</v>
      </c>
      <c r="D82" s="329">
        <f t="shared" si="117"/>
        <v>0</v>
      </c>
      <c r="E82" s="338">
        <f t="shared" si="43"/>
        <v>0</v>
      </c>
      <c r="F82" s="329">
        <f t="shared" si="118"/>
        <v>0</v>
      </c>
      <c r="G82" s="338">
        <f t="shared" si="44"/>
        <v>0</v>
      </c>
      <c r="H82" s="329">
        <f t="shared" si="36"/>
        <v>0</v>
      </c>
      <c r="I82" s="338">
        <f t="shared" si="45"/>
        <v>0</v>
      </c>
      <c r="J82" s="329">
        <f t="shared" si="55"/>
        <v>0</v>
      </c>
      <c r="K82" s="338">
        <f t="shared" si="46"/>
        <v>0</v>
      </c>
      <c r="L82" s="329">
        <f t="shared" si="56"/>
        <v>0</v>
      </c>
      <c r="M82" s="338">
        <f t="shared" si="47"/>
        <v>0</v>
      </c>
      <c r="N82" s="329">
        <f t="shared" si="37"/>
        <v>0</v>
      </c>
      <c r="O82" s="338">
        <f t="shared" si="48"/>
        <v>0</v>
      </c>
      <c r="P82" s="329">
        <f t="shared" si="38"/>
        <v>0</v>
      </c>
      <c r="Q82" s="338">
        <f t="shared" si="49"/>
        <v>0</v>
      </c>
      <c r="R82" s="329">
        <f t="shared" si="39"/>
        <v>0</v>
      </c>
      <c r="S82" s="338">
        <f t="shared" si="50"/>
        <v>0</v>
      </c>
      <c r="T82" s="329">
        <f t="shared" si="40"/>
        <v>0</v>
      </c>
      <c r="U82" s="338">
        <f t="shared" si="51"/>
        <v>0</v>
      </c>
      <c r="V82" s="329">
        <f t="shared" si="41"/>
        <v>0</v>
      </c>
      <c r="W82" s="338">
        <f t="shared" si="52"/>
        <v>0</v>
      </c>
      <c r="X82" s="35"/>
      <c r="Y82" s="10"/>
      <c r="AN82" s="10">
        <f t="shared" si="120"/>
        <v>45107</v>
      </c>
      <c r="AO82" s="10">
        <f t="shared" si="121"/>
        <v>45291</v>
      </c>
      <c r="AP82" s="31">
        <f>AP81+2000000</f>
        <v>32000000</v>
      </c>
      <c r="AS82" s="765"/>
    </row>
    <row r="83" spans="1:45" x14ac:dyDescent="0.25">
      <c r="A83" s="335">
        <f>A82+1</f>
        <v>43559</v>
      </c>
      <c r="B83" s="329">
        <f t="shared" si="34"/>
        <v>0</v>
      </c>
      <c r="C83" s="338">
        <f t="shared" si="102"/>
        <v>15000000</v>
      </c>
      <c r="D83" s="329">
        <f t="shared" si="117"/>
        <v>0</v>
      </c>
      <c r="E83" s="338">
        <f t="shared" si="43"/>
        <v>0</v>
      </c>
      <c r="F83" s="329">
        <f t="shared" si="118"/>
        <v>0</v>
      </c>
      <c r="G83" s="338">
        <f t="shared" si="44"/>
        <v>0</v>
      </c>
      <c r="H83" s="329">
        <f t="shared" si="36"/>
        <v>0</v>
      </c>
      <c r="I83" s="338">
        <f t="shared" si="45"/>
        <v>0</v>
      </c>
      <c r="J83" s="329">
        <f t="shared" si="55"/>
        <v>0</v>
      </c>
      <c r="K83" s="338">
        <f t="shared" si="46"/>
        <v>0</v>
      </c>
      <c r="L83" s="329">
        <f t="shared" si="56"/>
        <v>0</v>
      </c>
      <c r="M83" s="338">
        <f t="shared" si="47"/>
        <v>0</v>
      </c>
      <c r="N83" s="329">
        <f t="shared" si="37"/>
        <v>0</v>
      </c>
      <c r="O83" s="338">
        <f t="shared" si="48"/>
        <v>0</v>
      </c>
      <c r="P83" s="329">
        <f t="shared" si="38"/>
        <v>0</v>
      </c>
      <c r="Q83" s="338">
        <f t="shared" si="49"/>
        <v>0</v>
      </c>
      <c r="R83" s="329">
        <f t="shared" si="39"/>
        <v>0</v>
      </c>
      <c r="S83" s="338">
        <f t="shared" si="50"/>
        <v>0</v>
      </c>
      <c r="T83" s="329">
        <f t="shared" si="40"/>
        <v>0</v>
      </c>
      <c r="U83" s="338">
        <f t="shared" si="51"/>
        <v>0</v>
      </c>
      <c r="V83" s="329">
        <f t="shared" si="41"/>
        <v>0</v>
      </c>
      <c r="W83" s="338">
        <f t="shared" si="52"/>
        <v>0</v>
      </c>
      <c r="X83" s="35"/>
      <c r="Y83" s="10"/>
      <c r="AN83" s="10">
        <f t="shared" si="120"/>
        <v>45291</v>
      </c>
      <c r="AO83" s="10">
        <f t="shared" si="121"/>
        <v>45473</v>
      </c>
      <c r="AP83" s="31">
        <f>AP82+2000000</f>
        <v>34000000</v>
      </c>
      <c r="AS83" s="765"/>
    </row>
    <row r="84" spans="1:45" x14ac:dyDescent="0.25">
      <c r="A84" s="335">
        <f>A83+1</f>
        <v>43560</v>
      </c>
      <c r="B84" s="329">
        <f t="shared" si="34"/>
        <v>0</v>
      </c>
      <c r="C84" s="338">
        <f t="shared" ref="C84:C89" si="122">B84+C83</f>
        <v>15000000</v>
      </c>
      <c r="D84" s="329">
        <f t="shared" si="117"/>
        <v>0</v>
      </c>
      <c r="E84" s="338">
        <f t="shared" si="43"/>
        <v>0</v>
      </c>
      <c r="F84" s="329">
        <f t="shared" si="118"/>
        <v>0</v>
      </c>
      <c r="G84" s="338">
        <f t="shared" si="44"/>
        <v>0</v>
      </c>
      <c r="H84" s="329">
        <f t="shared" si="36"/>
        <v>0</v>
      </c>
      <c r="I84" s="338">
        <f t="shared" si="45"/>
        <v>0</v>
      </c>
      <c r="J84" s="329">
        <f t="shared" si="55"/>
        <v>0</v>
      </c>
      <c r="K84" s="338">
        <f t="shared" si="46"/>
        <v>0</v>
      </c>
      <c r="L84" s="329">
        <f t="shared" si="56"/>
        <v>0</v>
      </c>
      <c r="M84" s="338">
        <f t="shared" si="47"/>
        <v>0</v>
      </c>
      <c r="N84" s="329">
        <f t="shared" si="37"/>
        <v>0</v>
      </c>
      <c r="O84" s="338">
        <f t="shared" si="48"/>
        <v>0</v>
      </c>
      <c r="P84" s="329">
        <f t="shared" si="38"/>
        <v>0</v>
      </c>
      <c r="Q84" s="338">
        <f t="shared" si="49"/>
        <v>0</v>
      </c>
      <c r="R84" s="329">
        <f t="shared" si="39"/>
        <v>0</v>
      </c>
      <c r="S84" s="338">
        <f t="shared" si="50"/>
        <v>0</v>
      </c>
      <c r="T84" s="329">
        <f t="shared" si="40"/>
        <v>0</v>
      </c>
      <c r="U84" s="338">
        <f t="shared" si="51"/>
        <v>0</v>
      </c>
      <c r="V84" s="329">
        <f t="shared" si="41"/>
        <v>0</v>
      </c>
      <c r="W84" s="338">
        <f t="shared" si="52"/>
        <v>0</v>
      </c>
      <c r="X84" s="35"/>
      <c r="Y84" s="10"/>
      <c r="AN84" s="10">
        <f t="shared" si="120"/>
        <v>45473</v>
      </c>
      <c r="AO84" s="10">
        <f t="shared" si="121"/>
        <v>45657</v>
      </c>
      <c r="AP84" s="31">
        <f>AP83+4000000</f>
        <v>38000000</v>
      </c>
      <c r="AS84" s="765"/>
    </row>
    <row r="85" spans="1:45" x14ac:dyDescent="0.25">
      <c r="A85" s="336">
        <f>A84+3</f>
        <v>43563</v>
      </c>
      <c r="B85" s="329">
        <f t="shared" si="34"/>
        <v>0</v>
      </c>
      <c r="C85" s="338">
        <f t="shared" si="122"/>
        <v>15000000</v>
      </c>
      <c r="D85" s="329">
        <f t="shared" si="117"/>
        <v>0</v>
      </c>
      <c r="E85" s="338">
        <f t="shared" si="43"/>
        <v>0</v>
      </c>
      <c r="F85" s="329">
        <f t="shared" si="118"/>
        <v>0</v>
      </c>
      <c r="G85" s="338">
        <f t="shared" si="44"/>
        <v>0</v>
      </c>
      <c r="H85" s="329">
        <f t="shared" si="36"/>
        <v>0</v>
      </c>
      <c r="I85" s="338">
        <f t="shared" si="45"/>
        <v>0</v>
      </c>
      <c r="J85" s="329">
        <f t="shared" si="55"/>
        <v>0</v>
      </c>
      <c r="K85" s="338">
        <f t="shared" si="46"/>
        <v>0</v>
      </c>
      <c r="L85" s="329">
        <f t="shared" si="56"/>
        <v>0</v>
      </c>
      <c r="M85" s="338">
        <f t="shared" si="47"/>
        <v>0</v>
      </c>
      <c r="N85" s="329">
        <f t="shared" si="37"/>
        <v>0</v>
      </c>
      <c r="O85" s="338">
        <f t="shared" si="48"/>
        <v>0</v>
      </c>
      <c r="P85" s="329">
        <f t="shared" si="38"/>
        <v>0</v>
      </c>
      <c r="Q85" s="338">
        <f t="shared" si="49"/>
        <v>0</v>
      </c>
      <c r="R85" s="329">
        <f t="shared" si="39"/>
        <v>0</v>
      </c>
      <c r="S85" s="338">
        <f t="shared" si="50"/>
        <v>0</v>
      </c>
      <c r="T85" s="329">
        <f t="shared" si="40"/>
        <v>0</v>
      </c>
      <c r="U85" s="338">
        <f t="shared" si="51"/>
        <v>0</v>
      </c>
      <c r="V85" s="329">
        <f t="shared" si="41"/>
        <v>0</v>
      </c>
      <c r="W85" s="338">
        <f t="shared" si="52"/>
        <v>0</v>
      </c>
      <c r="X85" s="35"/>
      <c r="Y85" s="10"/>
      <c r="AN85" s="10">
        <f t="shared" si="120"/>
        <v>45657</v>
      </c>
      <c r="AO85" s="10" t="s">
        <v>2331</v>
      </c>
      <c r="AP85" s="31">
        <f t="shared" ref="AP85" si="123">AP84+2000000</f>
        <v>40000000</v>
      </c>
      <c r="AS85" s="765"/>
    </row>
    <row r="86" spans="1:45" x14ac:dyDescent="0.25">
      <c r="A86" s="335">
        <f>A85+1</f>
        <v>43564</v>
      </c>
      <c r="B86" s="329">
        <f t="shared" si="34"/>
        <v>0</v>
      </c>
      <c r="C86" s="338">
        <f t="shared" si="122"/>
        <v>15000000</v>
      </c>
      <c r="D86" s="329">
        <f t="shared" si="117"/>
        <v>0</v>
      </c>
      <c r="E86" s="338">
        <f t="shared" si="43"/>
        <v>0</v>
      </c>
      <c r="F86" s="329">
        <f t="shared" si="118"/>
        <v>0</v>
      </c>
      <c r="G86" s="338">
        <f t="shared" si="44"/>
        <v>0</v>
      </c>
      <c r="H86" s="329">
        <f t="shared" si="36"/>
        <v>0</v>
      </c>
      <c r="I86" s="338">
        <f t="shared" si="45"/>
        <v>0</v>
      </c>
      <c r="J86" s="329">
        <f t="shared" si="55"/>
        <v>0</v>
      </c>
      <c r="K86" s="338">
        <f t="shared" si="46"/>
        <v>0</v>
      </c>
      <c r="L86" s="329">
        <f t="shared" si="56"/>
        <v>0</v>
      </c>
      <c r="M86" s="338">
        <f t="shared" si="47"/>
        <v>0</v>
      </c>
      <c r="N86" s="329">
        <f t="shared" si="37"/>
        <v>0</v>
      </c>
      <c r="O86" s="338">
        <f t="shared" si="48"/>
        <v>0</v>
      </c>
      <c r="P86" s="329">
        <f t="shared" si="38"/>
        <v>0</v>
      </c>
      <c r="Q86" s="338">
        <f t="shared" si="49"/>
        <v>0</v>
      </c>
      <c r="R86" s="329">
        <f t="shared" si="39"/>
        <v>0</v>
      </c>
      <c r="S86" s="338">
        <f t="shared" si="50"/>
        <v>0</v>
      </c>
      <c r="T86" s="329">
        <f t="shared" si="40"/>
        <v>0</v>
      </c>
      <c r="U86" s="338">
        <f t="shared" si="51"/>
        <v>0</v>
      </c>
      <c r="V86" s="329">
        <f t="shared" si="41"/>
        <v>0</v>
      </c>
      <c r="W86" s="338">
        <f t="shared" si="52"/>
        <v>0</v>
      </c>
      <c r="X86" s="35"/>
      <c r="Y86" s="10"/>
      <c r="AN86" s="10"/>
      <c r="AO86" s="10"/>
      <c r="AP86" s="31"/>
      <c r="AS86" s="765"/>
    </row>
    <row r="87" spans="1:45" x14ac:dyDescent="0.25">
      <c r="A87" s="335">
        <f>A86+1</f>
        <v>43565</v>
      </c>
      <c r="B87" s="329">
        <f t="shared" si="34"/>
        <v>0</v>
      </c>
      <c r="C87" s="338">
        <f t="shared" si="122"/>
        <v>15000000</v>
      </c>
      <c r="D87" s="329">
        <f t="shared" si="117"/>
        <v>0</v>
      </c>
      <c r="E87" s="338">
        <f t="shared" si="43"/>
        <v>0</v>
      </c>
      <c r="F87" s="329">
        <f t="shared" si="118"/>
        <v>0</v>
      </c>
      <c r="G87" s="338">
        <f t="shared" si="44"/>
        <v>0</v>
      </c>
      <c r="H87" s="329">
        <f t="shared" si="36"/>
        <v>0</v>
      </c>
      <c r="I87" s="338">
        <f t="shared" si="45"/>
        <v>0</v>
      </c>
      <c r="J87" s="329">
        <f t="shared" si="55"/>
        <v>0</v>
      </c>
      <c r="K87" s="338">
        <f t="shared" si="46"/>
        <v>0</v>
      </c>
      <c r="L87" s="329">
        <f t="shared" si="56"/>
        <v>0</v>
      </c>
      <c r="M87" s="338">
        <f t="shared" si="47"/>
        <v>0</v>
      </c>
      <c r="N87" s="329">
        <f t="shared" si="37"/>
        <v>0</v>
      </c>
      <c r="O87" s="338">
        <f t="shared" si="48"/>
        <v>0</v>
      </c>
      <c r="P87" s="329">
        <f t="shared" si="38"/>
        <v>0</v>
      </c>
      <c r="Q87" s="338">
        <f t="shared" si="49"/>
        <v>0</v>
      </c>
      <c r="R87" s="329">
        <f t="shared" si="39"/>
        <v>0</v>
      </c>
      <c r="S87" s="338">
        <f t="shared" si="50"/>
        <v>0</v>
      </c>
      <c r="T87" s="329">
        <f t="shared" si="40"/>
        <v>0</v>
      </c>
      <c r="U87" s="338">
        <f t="shared" si="51"/>
        <v>0</v>
      </c>
      <c r="V87" s="329">
        <f t="shared" si="41"/>
        <v>0</v>
      </c>
      <c r="W87" s="338">
        <f t="shared" si="52"/>
        <v>0</v>
      </c>
      <c r="X87" s="35"/>
      <c r="Y87" s="10"/>
      <c r="AN87" s="10"/>
      <c r="AO87" s="10"/>
      <c r="AP87" s="31"/>
      <c r="AS87" s="765"/>
    </row>
    <row r="88" spans="1:45" x14ac:dyDescent="0.25">
      <c r="A88" s="335">
        <f>A87+1</f>
        <v>43566</v>
      </c>
      <c r="B88" s="329">
        <f t="shared" si="34"/>
        <v>0</v>
      </c>
      <c r="C88" s="338">
        <f t="shared" si="122"/>
        <v>15000000</v>
      </c>
      <c r="D88" s="329">
        <f t="shared" si="117"/>
        <v>0</v>
      </c>
      <c r="E88" s="338">
        <f t="shared" si="43"/>
        <v>0</v>
      </c>
      <c r="F88" s="329">
        <f t="shared" si="118"/>
        <v>0</v>
      </c>
      <c r="G88" s="338">
        <f t="shared" si="44"/>
        <v>0</v>
      </c>
      <c r="H88" s="329">
        <f t="shared" si="36"/>
        <v>0</v>
      </c>
      <c r="I88" s="338">
        <f t="shared" si="45"/>
        <v>0</v>
      </c>
      <c r="J88" s="329">
        <f t="shared" si="55"/>
        <v>0</v>
      </c>
      <c r="K88" s="338">
        <f t="shared" si="46"/>
        <v>0</v>
      </c>
      <c r="L88" s="329">
        <f t="shared" si="56"/>
        <v>0</v>
      </c>
      <c r="M88" s="338">
        <f t="shared" si="47"/>
        <v>0</v>
      </c>
      <c r="N88" s="329">
        <f t="shared" si="37"/>
        <v>0</v>
      </c>
      <c r="O88" s="338">
        <f t="shared" si="48"/>
        <v>0</v>
      </c>
      <c r="P88" s="329">
        <f t="shared" si="38"/>
        <v>0</v>
      </c>
      <c r="Q88" s="338">
        <f t="shared" si="49"/>
        <v>0</v>
      </c>
      <c r="R88" s="329">
        <f t="shared" si="39"/>
        <v>0</v>
      </c>
      <c r="S88" s="338">
        <f t="shared" si="50"/>
        <v>0</v>
      </c>
      <c r="T88" s="329">
        <f t="shared" si="40"/>
        <v>0</v>
      </c>
      <c r="U88" s="338">
        <f t="shared" si="51"/>
        <v>0</v>
      </c>
      <c r="V88" s="329">
        <f t="shared" si="41"/>
        <v>0</v>
      </c>
      <c r="W88" s="338">
        <f t="shared" si="52"/>
        <v>0</v>
      </c>
      <c r="X88" s="35"/>
      <c r="Y88" s="10"/>
      <c r="AN88" s="10" t="s">
        <v>2948</v>
      </c>
      <c r="AO88" s="10"/>
      <c r="AP88" s="31"/>
      <c r="AS88" s="765"/>
    </row>
    <row r="89" spans="1:45" x14ac:dyDescent="0.25">
      <c r="A89" s="335">
        <f>A88+1</f>
        <v>43567</v>
      </c>
      <c r="B89" s="329">
        <f t="shared" si="34"/>
        <v>0</v>
      </c>
      <c r="C89" s="338">
        <f t="shared" si="122"/>
        <v>15000000</v>
      </c>
      <c r="D89" s="329">
        <f t="shared" si="117"/>
        <v>0</v>
      </c>
      <c r="E89" s="338">
        <f t="shared" si="43"/>
        <v>0</v>
      </c>
      <c r="F89" s="329">
        <f t="shared" si="118"/>
        <v>0</v>
      </c>
      <c r="G89" s="338">
        <f t="shared" si="44"/>
        <v>0</v>
      </c>
      <c r="H89" s="329">
        <f t="shared" si="36"/>
        <v>0</v>
      </c>
      <c r="I89" s="338">
        <f t="shared" si="45"/>
        <v>0</v>
      </c>
      <c r="J89" s="329">
        <f t="shared" si="55"/>
        <v>0</v>
      </c>
      <c r="K89" s="338">
        <f t="shared" si="46"/>
        <v>0</v>
      </c>
      <c r="L89" s="329">
        <f t="shared" si="56"/>
        <v>0</v>
      </c>
      <c r="M89" s="338">
        <f t="shared" si="47"/>
        <v>0</v>
      </c>
      <c r="N89" s="329">
        <f t="shared" si="37"/>
        <v>0</v>
      </c>
      <c r="O89" s="338">
        <f t="shared" si="48"/>
        <v>0</v>
      </c>
      <c r="P89" s="329">
        <f t="shared" si="38"/>
        <v>0</v>
      </c>
      <c r="Q89" s="338">
        <f t="shared" si="49"/>
        <v>0</v>
      </c>
      <c r="R89" s="329">
        <f t="shared" si="39"/>
        <v>0</v>
      </c>
      <c r="S89" s="338">
        <f t="shared" si="50"/>
        <v>0</v>
      </c>
      <c r="T89" s="329">
        <f t="shared" si="40"/>
        <v>0</v>
      </c>
      <c r="U89" s="338">
        <f t="shared" si="51"/>
        <v>0</v>
      </c>
      <c r="V89" s="329">
        <f t="shared" si="41"/>
        <v>0</v>
      </c>
      <c r="W89" s="338">
        <f t="shared" si="52"/>
        <v>0</v>
      </c>
      <c r="X89" s="35"/>
      <c r="Y89" s="10"/>
      <c r="AN89" s="10">
        <v>44355</v>
      </c>
      <c r="AO89" s="10">
        <f>AN90</f>
        <v>44561</v>
      </c>
      <c r="AP89" s="31">
        <v>25000000</v>
      </c>
      <c r="AQ89" s="899">
        <v>8333333.3300000001</v>
      </c>
      <c r="AS89" s="765"/>
    </row>
    <row r="90" spans="1:45" x14ac:dyDescent="0.25">
      <c r="A90" s="336">
        <f>A89+3</f>
        <v>43570</v>
      </c>
      <c r="B90" s="329">
        <f t="shared" si="34"/>
        <v>0</v>
      </c>
      <c r="C90" s="338">
        <f>B90+C89</f>
        <v>15000000</v>
      </c>
      <c r="D90" s="329">
        <f t="shared" si="117"/>
        <v>0</v>
      </c>
      <c r="E90" s="338">
        <f t="shared" si="43"/>
        <v>0</v>
      </c>
      <c r="F90" s="329">
        <f t="shared" si="118"/>
        <v>0</v>
      </c>
      <c r="G90" s="338">
        <f t="shared" si="44"/>
        <v>0</v>
      </c>
      <c r="H90" s="329">
        <f t="shared" si="36"/>
        <v>0</v>
      </c>
      <c r="I90" s="338">
        <f t="shared" si="45"/>
        <v>0</v>
      </c>
      <c r="J90" s="329">
        <f t="shared" si="55"/>
        <v>0</v>
      </c>
      <c r="K90" s="338">
        <f t="shared" si="46"/>
        <v>0</v>
      </c>
      <c r="L90" s="329">
        <f t="shared" si="56"/>
        <v>0</v>
      </c>
      <c r="M90" s="338">
        <f t="shared" si="47"/>
        <v>0</v>
      </c>
      <c r="N90" s="329">
        <f t="shared" si="37"/>
        <v>0</v>
      </c>
      <c r="O90" s="338">
        <f t="shared" si="48"/>
        <v>0</v>
      </c>
      <c r="P90" s="329">
        <f t="shared" si="38"/>
        <v>0</v>
      </c>
      <c r="Q90" s="338">
        <f t="shared" si="49"/>
        <v>0</v>
      </c>
      <c r="R90" s="329">
        <f t="shared" si="39"/>
        <v>0</v>
      </c>
      <c r="S90" s="338">
        <f t="shared" si="50"/>
        <v>0</v>
      </c>
      <c r="T90" s="329">
        <f t="shared" si="40"/>
        <v>0</v>
      </c>
      <c r="U90" s="338">
        <f t="shared" si="51"/>
        <v>0</v>
      </c>
      <c r="V90" s="329">
        <f t="shared" si="41"/>
        <v>0</v>
      </c>
      <c r="W90" s="338">
        <f t="shared" si="52"/>
        <v>0</v>
      </c>
      <c r="X90" s="35"/>
      <c r="Y90" s="10"/>
      <c r="AN90" s="10">
        <v>44561</v>
      </c>
      <c r="AO90" s="10">
        <f t="shared" ref="AO90:AO97" si="124">AN91</f>
        <v>44742</v>
      </c>
      <c r="AP90" s="31">
        <f t="shared" ref="AP90:AP96" si="125">AP89+$AP$89/3</f>
        <v>33333333.333333332</v>
      </c>
      <c r="AQ90" s="899">
        <v>12500000</v>
      </c>
      <c r="AS90" s="765"/>
    </row>
    <row r="91" spans="1:45" x14ac:dyDescent="0.25">
      <c r="A91" s="335">
        <f>A90+1</f>
        <v>43571</v>
      </c>
      <c r="B91" s="329">
        <f t="shared" si="34"/>
        <v>0</v>
      </c>
      <c r="C91" s="338">
        <f>B91+C90</f>
        <v>15000000</v>
      </c>
      <c r="D91" s="329">
        <f t="shared" si="117"/>
        <v>0</v>
      </c>
      <c r="E91" s="338">
        <f t="shared" si="43"/>
        <v>0</v>
      </c>
      <c r="F91" s="329">
        <f t="shared" si="118"/>
        <v>0</v>
      </c>
      <c r="G91" s="338">
        <f t="shared" si="44"/>
        <v>0</v>
      </c>
      <c r="H91" s="329">
        <f t="shared" si="36"/>
        <v>0</v>
      </c>
      <c r="I91" s="338">
        <f t="shared" si="45"/>
        <v>0</v>
      </c>
      <c r="J91" s="329">
        <f t="shared" si="55"/>
        <v>0</v>
      </c>
      <c r="K91" s="338">
        <f t="shared" si="46"/>
        <v>0</v>
      </c>
      <c r="L91" s="329">
        <f t="shared" si="56"/>
        <v>0</v>
      </c>
      <c r="M91" s="338">
        <f t="shared" si="47"/>
        <v>0</v>
      </c>
      <c r="N91" s="329">
        <f t="shared" si="37"/>
        <v>0</v>
      </c>
      <c r="O91" s="338">
        <f t="shared" si="48"/>
        <v>0</v>
      </c>
      <c r="P91" s="329">
        <f t="shared" si="38"/>
        <v>0</v>
      </c>
      <c r="Q91" s="338">
        <f t="shared" si="49"/>
        <v>0</v>
      </c>
      <c r="R91" s="329">
        <f t="shared" si="39"/>
        <v>0</v>
      </c>
      <c r="S91" s="338">
        <f t="shared" si="50"/>
        <v>0</v>
      </c>
      <c r="T91" s="329">
        <f t="shared" si="40"/>
        <v>0</v>
      </c>
      <c r="U91" s="338">
        <f t="shared" si="51"/>
        <v>0</v>
      </c>
      <c r="V91" s="329">
        <f t="shared" si="41"/>
        <v>0</v>
      </c>
      <c r="W91" s="338">
        <f t="shared" si="52"/>
        <v>0</v>
      </c>
      <c r="X91" s="35"/>
      <c r="Y91" s="10"/>
      <c r="AN91" s="10">
        <v>44742</v>
      </c>
      <c r="AO91" s="10">
        <f t="shared" si="124"/>
        <v>44926</v>
      </c>
      <c r="AP91" s="31">
        <f t="shared" si="125"/>
        <v>41666666.666666664</v>
      </c>
      <c r="AQ91" s="899">
        <v>16666666.67</v>
      </c>
      <c r="AS91" s="765"/>
    </row>
    <row r="92" spans="1:45" x14ac:dyDescent="0.25">
      <c r="A92" s="335">
        <f>A91+1</f>
        <v>43572</v>
      </c>
      <c r="B92" s="329">
        <f t="shared" si="34"/>
        <v>0</v>
      </c>
      <c r="C92" s="338">
        <f>B92+C91</f>
        <v>15000000</v>
      </c>
      <c r="D92" s="329">
        <f t="shared" si="117"/>
        <v>0</v>
      </c>
      <c r="E92" s="338">
        <f t="shared" si="43"/>
        <v>0</v>
      </c>
      <c r="F92" s="329">
        <f t="shared" si="118"/>
        <v>0</v>
      </c>
      <c r="G92" s="338">
        <f t="shared" si="44"/>
        <v>0</v>
      </c>
      <c r="H92" s="329">
        <f t="shared" si="36"/>
        <v>0</v>
      </c>
      <c r="I92" s="338">
        <f t="shared" si="45"/>
        <v>0</v>
      </c>
      <c r="J92" s="329">
        <f t="shared" si="55"/>
        <v>0</v>
      </c>
      <c r="K92" s="338">
        <f t="shared" si="46"/>
        <v>0</v>
      </c>
      <c r="L92" s="329">
        <f t="shared" si="56"/>
        <v>0</v>
      </c>
      <c r="M92" s="338">
        <f t="shared" si="47"/>
        <v>0</v>
      </c>
      <c r="N92" s="329">
        <f t="shared" si="37"/>
        <v>0</v>
      </c>
      <c r="O92" s="338">
        <f t="shared" si="48"/>
        <v>0</v>
      </c>
      <c r="P92" s="329">
        <f t="shared" si="38"/>
        <v>0</v>
      </c>
      <c r="Q92" s="338">
        <f t="shared" si="49"/>
        <v>0</v>
      </c>
      <c r="R92" s="329">
        <f t="shared" si="39"/>
        <v>0</v>
      </c>
      <c r="S92" s="338">
        <f t="shared" si="50"/>
        <v>0</v>
      </c>
      <c r="T92" s="329">
        <f t="shared" si="40"/>
        <v>0</v>
      </c>
      <c r="U92" s="338">
        <f t="shared" si="51"/>
        <v>0</v>
      </c>
      <c r="V92" s="329">
        <f t="shared" si="41"/>
        <v>0</v>
      </c>
      <c r="W92" s="338">
        <f t="shared" si="52"/>
        <v>0</v>
      </c>
      <c r="X92" s="35"/>
      <c r="Y92" s="10"/>
      <c r="AN92" s="10">
        <f>AN90+365</f>
        <v>44926</v>
      </c>
      <c r="AO92" s="10">
        <f t="shared" si="124"/>
        <v>45107</v>
      </c>
      <c r="AP92" s="31">
        <f t="shared" si="125"/>
        <v>50000000</v>
      </c>
      <c r="AQ92" s="899">
        <v>16666666.67</v>
      </c>
      <c r="AS92" s="765"/>
    </row>
    <row r="93" spans="1:45" x14ac:dyDescent="0.25">
      <c r="A93" s="335">
        <f>A92+1</f>
        <v>43573</v>
      </c>
      <c r="B93" s="329">
        <f t="shared" si="34"/>
        <v>0</v>
      </c>
      <c r="C93" s="338">
        <f>B93+C92</f>
        <v>15000000</v>
      </c>
      <c r="D93" s="329">
        <f t="shared" si="117"/>
        <v>0</v>
      </c>
      <c r="E93" s="338">
        <f t="shared" si="43"/>
        <v>0</v>
      </c>
      <c r="F93" s="329">
        <f t="shared" si="118"/>
        <v>0</v>
      </c>
      <c r="G93" s="338">
        <f t="shared" si="44"/>
        <v>0</v>
      </c>
      <c r="H93" s="329">
        <f t="shared" si="36"/>
        <v>0</v>
      </c>
      <c r="I93" s="338">
        <f t="shared" si="45"/>
        <v>0</v>
      </c>
      <c r="J93" s="329">
        <f t="shared" si="55"/>
        <v>0</v>
      </c>
      <c r="K93" s="338">
        <f t="shared" si="46"/>
        <v>0</v>
      </c>
      <c r="L93" s="329">
        <f t="shared" si="56"/>
        <v>0</v>
      </c>
      <c r="M93" s="338">
        <f t="shared" si="47"/>
        <v>0</v>
      </c>
      <c r="N93" s="329">
        <f t="shared" si="37"/>
        <v>0</v>
      </c>
      <c r="O93" s="338">
        <f t="shared" si="48"/>
        <v>0</v>
      </c>
      <c r="P93" s="329">
        <f t="shared" si="38"/>
        <v>0</v>
      </c>
      <c r="Q93" s="338">
        <f t="shared" si="49"/>
        <v>0</v>
      </c>
      <c r="R93" s="329">
        <f t="shared" si="39"/>
        <v>0</v>
      </c>
      <c r="S93" s="338">
        <f t="shared" si="50"/>
        <v>0</v>
      </c>
      <c r="T93" s="329">
        <f t="shared" si="40"/>
        <v>0</v>
      </c>
      <c r="U93" s="338">
        <f t="shared" si="51"/>
        <v>0</v>
      </c>
      <c r="V93" s="329">
        <f t="shared" si="41"/>
        <v>0</v>
      </c>
      <c r="W93" s="338">
        <f t="shared" si="52"/>
        <v>0</v>
      </c>
      <c r="X93" s="35"/>
      <c r="Y93" s="10"/>
      <c r="AN93" s="10">
        <f>AN91+365</f>
        <v>45107</v>
      </c>
      <c r="AO93" s="10">
        <f t="shared" si="124"/>
        <v>45291</v>
      </c>
      <c r="AP93" s="31">
        <f t="shared" si="125"/>
        <v>58333333.333333336</v>
      </c>
      <c r="AQ93" s="899">
        <v>16666666.67</v>
      </c>
      <c r="AS93" s="765"/>
    </row>
    <row r="94" spans="1:45" x14ac:dyDescent="0.25">
      <c r="A94" s="336">
        <f>A93+4</f>
        <v>43577</v>
      </c>
      <c r="B94" s="329">
        <f t="shared" si="34"/>
        <v>0</v>
      </c>
      <c r="C94" s="338">
        <f>B94+C93</f>
        <v>15000000</v>
      </c>
      <c r="D94" s="329">
        <f t="shared" si="117"/>
        <v>0</v>
      </c>
      <c r="E94" s="338">
        <f t="shared" si="43"/>
        <v>0</v>
      </c>
      <c r="F94" s="329">
        <f t="shared" si="118"/>
        <v>0</v>
      </c>
      <c r="G94" s="338">
        <f t="shared" si="44"/>
        <v>0</v>
      </c>
      <c r="H94" s="329">
        <f t="shared" si="36"/>
        <v>0</v>
      </c>
      <c r="I94" s="338">
        <f t="shared" si="45"/>
        <v>0</v>
      </c>
      <c r="J94" s="329">
        <f t="shared" si="55"/>
        <v>0</v>
      </c>
      <c r="K94" s="338">
        <f t="shared" si="46"/>
        <v>0</v>
      </c>
      <c r="L94" s="329">
        <f t="shared" si="56"/>
        <v>0</v>
      </c>
      <c r="M94" s="338">
        <f t="shared" si="47"/>
        <v>0</v>
      </c>
      <c r="N94" s="329">
        <f t="shared" si="37"/>
        <v>0</v>
      </c>
      <c r="O94" s="338">
        <f t="shared" si="48"/>
        <v>0</v>
      </c>
      <c r="P94" s="329">
        <f t="shared" si="38"/>
        <v>0</v>
      </c>
      <c r="Q94" s="338">
        <f t="shared" si="49"/>
        <v>0</v>
      </c>
      <c r="R94" s="329">
        <f t="shared" si="39"/>
        <v>0</v>
      </c>
      <c r="S94" s="338">
        <f t="shared" si="50"/>
        <v>0</v>
      </c>
      <c r="T94" s="329">
        <f t="shared" si="40"/>
        <v>0</v>
      </c>
      <c r="U94" s="338">
        <f t="shared" si="51"/>
        <v>0</v>
      </c>
      <c r="V94" s="329">
        <f t="shared" si="41"/>
        <v>0</v>
      </c>
      <c r="W94" s="338">
        <f t="shared" si="52"/>
        <v>0</v>
      </c>
      <c r="X94" s="35"/>
      <c r="Y94" s="10"/>
      <c r="AN94" s="10">
        <f>AN92+365</f>
        <v>45291</v>
      </c>
      <c r="AO94" s="10">
        <f t="shared" si="124"/>
        <v>45473</v>
      </c>
      <c r="AP94" s="31">
        <f t="shared" si="125"/>
        <v>66666666.666666672</v>
      </c>
      <c r="AQ94" s="899">
        <v>16666666.67</v>
      </c>
      <c r="AS94" s="765"/>
    </row>
    <row r="95" spans="1:45" x14ac:dyDescent="0.25">
      <c r="A95" s="335">
        <f>A94+1</f>
        <v>43578</v>
      </c>
      <c r="B95" s="329">
        <f t="shared" si="34"/>
        <v>0</v>
      </c>
      <c r="C95" s="338">
        <f t="shared" ref="C95:C109" si="126">B95+C94</f>
        <v>15000000</v>
      </c>
      <c r="D95" s="329">
        <f t="shared" si="117"/>
        <v>0</v>
      </c>
      <c r="E95" s="338">
        <f t="shared" si="43"/>
        <v>0</v>
      </c>
      <c r="F95" s="329">
        <f t="shared" si="118"/>
        <v>0</v>
      </c>
      <c r="G95" s="338">
        <f t="shared" si="44"/>
        <v>0</v>
      </c>
      <c r="H95" s="329">
        <f t="shared" si="36"/>
        <v>0</v>
      </c>
      <c r="I95" s="338">
        <f t="shared" si="45"/>
        <v>0</v>
      </c>
      <c r="J95" s="329">
        <f t="shared" si="55"/>
        <v>0</v>
      </c>
      <c r="K95" s="338">
        <f t="shared" si="46"/>
        <v>0</v>
      </c>
      <c r="L95" s="329">
        <f t="shared" si="56"/>
        <v>0</v>
      </c>
      <c r="M95" s="338">
        <f t="shared" si="47"/>
        <v>0</v>
      </c>
      <c r="N95" s="329">
        <f t="shared" si="37"/>
        <v>0</v>
      </c>
      <c r="O95" s="338">
        <f t="shared" si="48"/>
        <v>0</v>
      </c>
      <c r="P95" s="329">
        <f t="shared" si="38"/>
        <v>0</v>
      </c>
      <c r="Q95" s="338">
        <f t="shared" si="49"/>
        <v>0</v>
      </c>
      <c r="R95" s="329">
        <f t="shared" si="39"/>
        <v>0</v>
      </c>
      <c r="S95" s="338">
        <f t="shared" si="50"/>
        <v>0</v>
      </c>
      <c r="T95" s="329">
        <f t="shared" si="40"/>
        <v>0</v>
      </c>
      <c r="U95" s="338">
        <f t="shared" si="51"/>
        <v>0</v>
      </c>
      <c r="V95" s="329">
        <f t="shared" si="41"/>
        <v>0</v>
      </c>
      <c r="W95" s="338">
        <f t="shared" si="52"/>
        <v>0</v>
      </c>
      <c r="X95" s="35"/>
      <c r="Y95" s="10"/>
      <c r="AN95" s="10">
        <f>AN93+366</f>
        <v>45473</v>
      </c>
      <c r="AO95" s="10">
        <f t="shared" si="124"/>
        <v>45657</v>
      </c>
      <c r="AP95" s="31">
        <f t="shared" si="125"/>
        <v>75000000</v>
      </c>
      <c r="AQ95" s="899">
        <v>16666666.67</v>
      </c>
      <c r="AS95" s="765"/>
    </row>
    <row r="96" spans="1:45" x14ac:dyDescent="0.25">
      <c r="A96" s="335">
        <f>A95+1</f>
        <v>43579</v>
      </c>
      <c r="B96" s="329">
        <f t="shared" si="34"/>
        <v>0</v>
      </c>
      <c r="C96" s="338">
        <f t="shared" si="126"/>
        <v>15000000</v>
      </c>
      <c r="D96" s="329">
        <f t="shared" si="117"/>
        <v>0</v>
      </c>
      <c r="E96" s="338">
        <f t="shared" si="43"/>
        <v>0</v>
      </c>
      <c r="F96" s="329">
        <f t="shared" si="118"/>
        <v>0</v>
      </c>
      <c r="G96" s="338">
        <f t="shared" si="44"/>
        <v>0</v>
      </c>
      <c r="H96" s="329">
        <f t="shared" si="36"/>
        <v>0</v>
      </c>
      <c r="I96" s="338">
        <f t="shared" si="45"/>
        <v>0</v>
      </c>
      <c r="J96" s="329">
        <f t="shared" si="55"/>
        <v>0</v>
      </c>
      <c r="K96" s="338">
        <f t="shared" si="46"/>
        <v>0</v>
      </c>
      <c r="L96" s="329">
        <f t="shared" si="56"/>
        <v>0</v>
      </c>
      <c r="M96" s="338">
        <f t="shared" si="47"/>
        <v>0</v>
      </c>
      <c r="N96" s="329">
        <f t="shared" si="37"/>
        <v>0</v>
      </c>
      <c r="O96" s="338">
        <f t="shared" si="48"/>
        <v>0</v>
      </c>
      <c r="P96" s="329">
        <f t="shared" si="38"/>
        <v>0</v>
      </c>
      <c r="Q96" s="338">
        <f t="shared" si="49"/>
        <v>0</v>
      </c>
      <c r="R96" s="329">
        <f t="shared" si="39"/>
        <v>0</v>
      </c>
      <c r="S96" s="338">
        <f t="shared" si="50"/>
        <v>0</v>
      </c>
      <c r="T96" s="329">
        <f t="shared" si="40"/>
        <v>0</v>
      </c>
      <c r="U96" s="338">
        <f t="shared" si="51"/>
        <v>0</v>
      </c>
      <c r="V96" s="329">
        <f t="shared" si="41"/>
        <v>0</v>
      </c>
      <c r="W96" s="338">
        <f t="shared" si="52"/>
        <v>0</v>
      </c>
      <c r="X96" s="35"/>
      <c r="AN96" s="10">
        <f>AN94+366</f>
        <v>45657</v>
      </c>
      <c r="AO96" s="10">
        <f t="shared" si="124"/>
        <v>45838</v>
      </c>
      <c r="AP96" s="31">
        <f t="shared" si="125"/>
        <v>83333333.333333328</v>
      </c>
      <c r="AQ96" s="899">
        <v>16666666.67</v>
      </c>
      <c r="AS96" s="765"/>
    </row>
    <row r="97" spans="1:45" x14ac:dyDescent="0.25">
      <c r="A97" s="335">
        <f>A96+1</f>
        <v>43580</v>
      </c>
      <c r="B97" s="329">
        <f t="shared" si="34"/>
        <v>0</v>
      </c>
      <c r="C97" s="338">
        <f t="shared" si="126"/>
        <v>15000000</v>
      </c>
      <c r="D97" s="329">
        <f t="shared" si="117"/>
        <v>0</v>
      </c>
      <c r="E97" s="338">
        <f t="shared" si="43"/>
        <v>0</v>
      </c>
      <c r="F97" s="329">
        <f t="shared" si="118"/>
        <v>0</v>
      </c>
      <c r="G97" s="338">
        <f t="shared" si="44"/>
        <v>0</v>
      </c>
      <c r="H97" s="329">
        <f t="shared" si="36"/>
        <v>0</v>
      </c>
      <c r="I97" s="338">
        <f t="shared" si="45"/>
        <v>0</v>
      </c>
      <c r="J97" s="329">
        <f t="shared" si="55"/>
        <v>0</v>
      </c>
      <c r="K97" s="338">
        <f t="shared" si="46"/>
        <v>0</v>
      </c>
      <c r="L97" s="329">
        <f t="shared" si="56"/>
        <v>0</v>
      </c>
      <c r="M97" s="338">
        <f t="shared" si="47"/>
        <v>0</v>
      </c>
      <c r="N97" s="329">
        <f t="shared" si="37"/>
        <v>0</v>
      </c>
      <c r="O97" s="338">
        <f t="shared" si="48"/>
        <v>0</v>
      </c>
      <c r="P97" s="329">
        <f t="shared" si="38"/>
        <v>0</v>
      </c>
      <c r="Q97" s="338">
        <f t="shared" si="49"/>
        <v>0</v>
      </c>
      <c r="R97" s="329">
        <f t="shared" si="39"/>
        <v>0</v>
      </c>
      <c r="S97" s="338">
        <f t="shared" si="50"/>
        <v>0</v>
      </c>
      <c r="T97" s="329">
        <f t="shared" si="40"/>
        <v>0</v>
      </c>
      <c r="U97" s="338">
        <f t="shared" si="51"/>
        <v>0</v>
      </c>
      <c r="V97" s="329">
        <f t="shared" si="41"/>
        <v>0</v>
      </c>
      <c r="W97" s="338">
        <f t="shared" si="52"/>
        <v>0</v>
      </c>
      <c r="X97" s="35"/>
      <c r="AN97" s="10">
        <f>AN95+365</f>
        <v>45838</v>
      </c>
      <c r="AO97" s="10">
        <f t="shared" si="124"/>
        <v>46022</v>
      </c>
      <c r="AP97" s="31">
        <f>AP96</f>
        <v>83333333.333333328</v>
      </c>
      <c r="AQ97" s="899">
        <v>16666666.67</v>
      </c>
      <c r="AS97" s="765"/>
    </row>
    <row r="98" spans="1:45" x14ac:dyDescent="0.25">
      <c r="A98" s="335">
        <f>A97+1</f>
        <v>43581</v>
      </c>
      <c r="B98" s="329">
        <f t="shared" si="34"/>
        <v>0</v>
      </c>
      <c r="C98" s="338">
        <f t="shared" si="126"/>
        <v>15000000</v>
      </c>
      <c r="D98" s="329">
        <f t="shared" si="117"/>
        <v>0</v>
      </c>
      <c r="E98" s="338">
        <f t="shared" si="43"/>
        <v>0</v>
      </c>
      <c r="F98" s="329">
        <f t="shared" si="118"/>
        <v>0</v>
      </c>
      <c r="G98" s="338">
        <f t="shared" si="44"/>
        <v>0</v>
      </c>
      <c r="H98" s="329">
        <f t="shared" si="36"/>
        <v>0</v>
      </c>
      <c r="I98" s="338">
        <f t="shared" si="45"/>
        <v>0</v>
      </c>
      <c r="J98" s="329">
        <f t="shared" si="55"/>
        <v>0</v>
      </c>
      <c r="K98" s="338">
        <f t="shared" si="46"/>
        <v>0</v>
      </c>
      <c r="L98" s="329">
        <f t="shared" si="56"/>
        <v>0</v>
      </c>
      <c r="M98" s="338">
        <f t="shared" si="47"/>
        <v>0</v>
      </c>
      <c r="N98" s="329">
        <f t="shared" si="37"/>
        <v>0</v>
      </c>
      <c r="O98" s="338">
        <f t="shared" si="48"/>
        <v>0</v>
      </c>
      <c r="P98" s="329">
        <f t="shared" si="38"/>
        <v>0</v>
      </c>
      <c r="Q98" s="338">
        <f t="shared" si="49"/>
        <v>0</v>
      </c>
      <c r="R98" s="329">
        <f t="shared" si="39"/>
        <v>0</v>
      </c>
      <c r="S98" s="338">
        <f t="shared" si="50"/>
        <v>0</v>
      </c>
      <c r="T98" s="329">
        <f t="shared" si="40"/>
        <v>0</v>
      </c>
      <c r="U98" s="338">
        <f t="shared" si="51"/>
        <v>0</v>
      </c>
      <c r="V98" s="329">
        <f t="shared" si="41"/>
        <v>0</v>
      </c>
      <c r="W98" s="338">
        <f t="shared" si="52"/>
        <v>0</v>
      </c>
      <c r="X98" s="35"/>
      <c r="AN98" s="10">
        <f>AN96+365</f>
        <v>46022</v>
      </c>
      <c r="AO98" s="10" t="s">
        <v>2331</v>
      </c>
      <c r="AP98" s="31">
        <f>AP97</f>
        <v>83333333.333333328</v>
      </c>
      <c r="AQ98" s="899">
        <v>16666666.67</v>
      </c>
      <c r="AS98" s="765"/>
    </row>
    <row r="99" spans="1:45" x14ac:dyDescent="0.25">
      <c r="A99" s="336">
        <f>A98+3</f>
        <v>43584</v>
      </c>
      <c r="B99" s="329">
        <f t="shared" si="34"/>
        <v>0</v>
      </c>
      <c r="C99" s="338">
        <f t="shared" si="126"/>
        <v>15000000</v>
      </c>
      <c r="D99" s="329">
        <f t="shared" si="117"/>
        <v>0</v>
      </c>
      <c r="E99" s="338">
        <f t="shared" si="43"/>
        <v>0</v>
      </c>
      <c r="F99" s="329">
        <f t="shared" si="118"/>
        <v>0</v>
      </c>
      <c r="G99" s="338">
        <f t="shared" si="44"/>
        <v>0</v>
      </c>
      <c r="H99" s="329">
        <f t="shared" si="36"/>
        <v>0</v>
      </c>
      <c r="I99" s="338">
        <f t="shared" si="45"/>
        <v>0</v>
      </c>
      <c r="J99" s="329">
        <f t="shared" si="55"/>
        <v>0</v>
      </c>
      <c r="K99" s="338">
        <f t="shared" si="46"/>
        <v>0</v>
      </c>
      <c r="L99" s="329">
        <f t="shared" si="56"/>
        <v>0</v>
      </c>
      <c r="M99" s="338">
        <f t="shared" si="47"/>
        <v>0</v>
      </c>
      <c r="N99" s="329">
        <f t="shared" si="37"/>
        <v>0</v>
      </c>
      <c r="O99" s="338">
        <f t="shared" si="48"/>
        <v>0</v>
      </c>
      <c r="P99" s="329">
        <f t="shared" si="38"/>
        <v>0</v>
      </c>
      <c r="Q99" s="338">
        <f t="shared" si="49"/>
        <v>0</v>
      </c>
      <c r="R99" s="329">
        <f t="shared" si="39"/>
        <v>0</v>
      </c>
      <c r="S99" s="338">
        <f t="shared" si="50"/>
        <v>0</v>
      </c>
      <c r="T99" s="329">
        <f t="shared" si="40"/>
        <v>0</v>
      </c>
      <c r="U99" s="338">
        <f t="shared" si="51"/>
        <v>0</v>
      </c>
      <c r="V99" s="329">
        <f t="shared" si="41"/>
        <v>0</v>
      </c>
      <c r="W99" s="338">
        <f t="shared" si="52"/>
        <v>0</v>
      </c>
      <c r="X99" s="35"/>
      <c r="AN99" s="10"/>
      <c r="AO99" s="10"/>
      <c r="AP99" s="31"/>
      <c r="AS99" s="765"/>
    </row>
    <row r="100" spans="1:45" x14ac:dyDescent="0.25">
      <c r="A100" s="335">
        <f>A99+1</f>
        <v>43585</v>
      </c>
      <c r="B100" s="329">
        <f t="shared" si="34"/>
        <v>0</v>
      </c>
      <c r="C100" s="338">
        <f t="shared" si="126"/>
        <v>15000000</v>
      </c>
      <c r="D100" s="329">
        <f>SUMIFS(Usage_Main,CF_Dates,$A100,CF_Descriptions,"SOSPRUCE1 Change")</f>
        <v>8800000</v>
      </c>
      <c r="E100" s="338">
        <f t="shared" si="43"/>
        <v>8800000</v>
      </c>
      <c r="F100" s="329">
        <f t="shared" si="118"/>
        <v>0</v>
      </c>
      <c r="G100" s="338">
        <f t="shared" si="44"/>
        <v>0</v>
      </c>
      <c r="H100" s="329">
        <f t="shared" si="36"/>
        <v>0</v>
      </c>
      <c r="I100" s="338">
        <f t="shared" si="45"/>
        <v>0</v>
      </c>
      <c r="J100" s="329">
        <f t="shared" si="55"/>
        <v>0</v>
      </c>
      <c r="K100" s="338">
        <f t="shared" si="46"/>
        <v>0</v>
      </c>
      <c r="L100" s="329">
        <f t="shared" si="56"/>
        <v>0</v>
      </c>
      <c r="M100" s="338">
        <f t="shared" si="47"/>
        <v>0</v>
      </c>
      <c r="N100" s="329">
        <f t="shared" si="37"/>
        <v>0</v>
      </c>
      <c r="O100" s="338">
        <f t="shared" si="48"/>
        <v>0</v>
      </c>
      <c r="P100" s="329">
        <f t="shared" si="38"/>
        <v>0</v>
      </c>
      <c r="Q100" s="338">
        <f t="shared" si="49"/>
        <v>0</v>
      </c>
      <c r="R100" s="329">
        <f t="shared" si="39"/>
        <v>0</v>
      </c>
      <c r="S100" s="338">
        <f t="shared" si="50"/>
        <v>0</v>
      </c>
      <c r="T100" s="329">
        <f t="shared" si="40"/>
        <v>0</v>
      </c>
      <c r="U100" s="338">
        <f t="shared" si="51"/>
        <v>0</v>
      </c>
      <c r="V100" s="329">
        <f t="shared" si="41"/>
        <v>0</v>
      </c>
      <c r="W100" s="338">
        <f t="shared" si="52"/>
        <v>0</v>
      </c>
      <c r="X100" s="35"/>
      <c r="AN100" s="10"/>
      <c r="AO100" s="10"/>
      <c r="AP100" s="31"/>
      <c r="AS100" s="765"/>
    </row>
    <row r="101" spans="1:45" x14ac:dyDescent="0.25">
      <c r="A101" s="335">
        <f>A100+1</f>
        <v>43586</v>
      </c>
      <c r="B101" s="329">
        <f t="shared" si="34"/>
        <v>0</v>
      </c>
      <c r="C101" s="338">
        <f t="shared" si="126"/>
        <v>15000000</v>
      </c>
      <c r="D101" s="329">
        <f t="shared" si="117"/>
        <v>0</v>
      </c>
      <c r="E101" s="338">
        <f t="shared" si="43"/>
        <v>8800000</v>
      </c>
      <c r="F101" s="329">
        <f t="shared" si="118"/>
        <v>0</v>
      </c>
      <c r="G101" s="338">
        <f t="shared" si="44"/>
        <v>0</v>
      </c>
      <c r="H101" s="329">
        <f t="shared" si="36"/>
        <v>0</v>
      </c>
      <c r="I101" s="338">
        <f t="shared" si="45"/>
        <v>0</v>
      </c>
      <c r="J101" s="329">
        <f t="shared" si="55"/>
        <v>0</v>
      </c>
      <c r="K101" s="338">
        <f t="shared" si="46"/>
        <v>0</v>
      </c>
      <c r="L101" s="329">
        <f t="shared" si="56"/>
        <v>0</v>
      </c>
      <c r="M101" s="338">
        <f t="shared" si="47"/>
        <v>0</v>
      </c>
      <c r="N101" s="329">
        <f t="shared" si="37"/>
        <v>0</v>
      </c>
      <c r="O101" s="338">
        <f t="shared" si="48"/>
        <v>0</v>
      </c>
      <c r="P101" s="329">
        <f t="shared" si="38"/>
        <v>0</v>
      </c>
      <c r="Q101" s="338">
        <f t="shared" si="49"/>
        <v>0</v>
      </c>
      <c r="R101" s="329">
        <f t="shared" si="39"/>
        <v>0</v>
      </c>
      <c r="S101" s="338">
        <f t="shared" si="50"/>
        <v>0</v>
      </c>
      <c r="T101" s="329">
        <f t="shared" si="40"/>
        <v>0</v>
      </c>
      <c r="U101" s="338">
        <f t="shared" si="51"/>
        <v>0</v>
      </c>
      <c r="V101" s="329">
        <f t="shared" si="41"/>
        <v>0</v>
      </c>
      <c r="W101" s="338">
        <f t="shared" si="52"/>
        <v>0</v>
      </c>
      <c r="X101" s="35"/>
      <c r="AN101" s="10" t="s">
        <v>3396</v>
      </c>
      <c r="AO101" s="10"/>
      <c r="AP101" s="31"/>
      <c r="AS101" s="765"/>
    </row>
    <row r="102" spans="1:45" x14ac:dyDescent="0.25">
      <c r="A102" s="335">
        <f>A101+1</f>
        <v>43587</v>
      </c>
      <c r="B102" s="329">
        <f t="shared" si="34"/>
        <v>0</v>
      </c>
      <c r="C102" s="338">
        <f t="shared" si="126"/>
        <v>15000000</v>
      </c>
      <c r="D102" s="329">
        <f t="shared" si="117"/>
        <v>0</v>
      </c>
      <c r="E102" s="338">
        <f t="shared" si="43"/>
        <v>8800000</v>
      </c>
      <c r="F102" s="329">
        <f t="shared" si="118"/>
        <v>0</v>
      </c>
      <c r="G102" s="338">
        <f t="shared" si="44"/>
        <v>0</v>
      </c>
      <c r="H102" s="329">
        <f t="shared" si="36"/>
        <v>0</v>
      </c>
      <c r="I102" s="338">
        <f t="shared" si="45"/>
        <v>0</v>
      </c>
      <c r="J102" s="329">
        <f t="shared" si="55"/>
        <v>0</v>
      </c>
      <c r="K102" s="338">
        <f t="shared" si="46"/>
        <v>0</v>
      </c>
      <c r="L102" s="329">
        <f t="shared" si="56"/>
        <v>0</v>
      </c>
      <c r="M102" s="338">
        <f t="shared" si="47"/>
        <v>0</v>
      </c>
      <c r="N102" s="329">
        <f t="shared" si="37"/>
        <v>0</v>
      </c>
      <c r="O102" s="338">
        <f t="shared" si="48"/>
        <v>0</v>
      </c>
      <c r="P102" s="329">
        <f t="shared" si="38"/>
        <v>0</v>
      </c>
      <c r="Q102" s="338">
        <f t="shared" si="49"/>
        <v>0</v>
      </c>
      <c r="R102" s="329">
        <f t="shared" si="39"/>
        <v>0</v>
      </c>
      <c r="S102" s="338">
        <f t="shared" si="50"/>
        <v>0</v>
      </c>
      <c r="T102" s="329">
        <f t="shared" si="40"/>
        <v>0</v>
      </c>
      <c r="U102" s="338">
        <f t="shared" si="51"/>
        <v>0</v>
      </c>
      <c r="V102" s="329">
        <f t="shared" si="41"/>
        <v>0</v>
      </c>
      <c r="W102" s="338">
        <f t="shared" si="52"/>
        <v>0</v>
      </c>
      <c r="X102" s="35"/>
      <c r="AN102" s="10"/>
      <c r="AO102" s="10"/>
      <c r="AP102" s="31"/>
      <c r="AS102" s="765"/>
    </row>
    <row r="103" spans="1:45" x14ac:dyDescent="0.25">
      <c r="A103" s="335">
        <f>A102+1</f>
        <v>43588</v>
      </c>
      <c r="B103" s="329">
        <f t="shared" si="34"/>
        <v>0</v>
      </c>
      <c r="C103" s="338">
        <f t="shared" si="126"/>
        <v>15000000</v>
      </c>
      <c r="D103" s="329">
        <f t="shared" si="117"/>
        <v>0</v>
      </c>
      <c r="E103" s="338">
        <f t="shared" si="43"/>
        <v>8800000</v>
      </c>
      <c r="F103" s="329">
        <f t="shared" si="118"/>
        <v>0</v>
      </c>
      <c r="G103" s="338">
        <f t="shared" si="44"/>
        <v>0</v>
      </c>
      <c r="H103" s="329">
        <f t="shared" si="36"/>
        <v>0</v>
      </c>
      <c r="I103" s="338">
        <f t="shared" si="45"/>
        <v>0</v>
      </c>
      <c r="J103" s="329">
        <f t="shared" si="55"/>
        <v>0</v>
      </c>
      <c r="K103" s="338">
        <f t="shared" si="46"/>
        <v>0</v>
      </c>
      <c r="L103" s="329">
        <f t="shared" si="56"/>
        <v>0</v>
      </c>
      <c r="M103" s="338">
        <f t="shared" si="47"/>
        <v>0</v>
      </c>
      <c r="N103" s="329">
        <f t="shared" si="37"/>
        <v>0</v>
      </c>
      <c r="O103" s="338">
        <f t="shared" si="48"/>
        <v>0</v>
      </c>
      <c r="P103" s="329">
        <f t="shared" si="38"/>
        <v>0</v>
      </c>
      <c r="Q103" s="338">
        <f t="shared" si="49"/>
        <v>0</v>
      </c>
      <c r="R103" s="329">
        <f t="shared" si="39"/>
        <v>0</v>
      </c>
      <c r="S103" s="338">
        <f t="shared" si="50"/>
        <v>0</v>
      </c>
      <c r="T103" s="329">
        <f t="shared" si="40"/>
        <v>0</v>
      </c>
      <c r="U103" s="338">
        <f t="shared" si="51"/>
        <v>0</v>
      </c>
      <c r="V103" s="329">
        <f t="shared" si="41"/>
        <v>0</v>
      </c>
      <c r="W103" s="338">
        <f t="shared" si="52"/>
        <v>0</v>
      </c>
      <c r="X103" s="35"/>
      <c r="AN103" s="10"/>
      <c r="AO103" s="10"/>
      <c r="AP103" s="31"/>
      <c r="AS103" s="765"/>
    </row>
    <row r="104" spans="1:45" x14ac:dyDescent="0.25">
      <c r="A104" s="336">
        <f>A103+3</f>
        <v>43591</v>
      </c>
      <c r="B104" s="329">
        <f t="shared" si="34"/>
        <v>0</v>
      </c>
      <c r="C104" s="338">
        <f t="shared" si="126"/>
        <v>15000000</v>
      </c>
      <c r="D104" s="329">
        <f t="shared" si="117"/>
        <v>0</v>
      </c>
      <c r="E104" s="338">
        <f t="shared" si="43"/>
        <v>8800000</v>
      </c>
      <c r="F104" s="329">
        <f t="shared" si="118"/>
        <v>0</v>
      </c>
      <c r="G104" s="338">
        <f t="shared" si="44"/>
        <v>0</v>
      </c>
      <c r="H104" s="329">
        <f t="shared" si="36"/>
        <v>0</v>
      </c>
      <c r="I104" s="338">
        <f t="shared" si="45"/>
        <v>0</v>
      </c>
      <c r="J104" s="329">
        <f t="shared" si="55"/>
        <v>0</v>
      </c>
      <c r="K104" s="338">
        <f t="shared" si="46"/>
        <v>0</v>
      </c>
      <c r="L104" s="329">
        <f t="shared" si="56"/>
        <v>0</v>
      </c>
      <c r="M104" s="338">
        <f t="shared" si="47"/>
        <v>0</v>
      </c>
      <c r="N104" s="329">
        <f t="shared" si="37"/>
        <v>0</v>
      </c>
      <c r="O104" s="338">
        <f t="shared" si="48"/>
        <v>0</v>
      </c>
      <c r="P104" s="329">
        <f t="shared" si="38"/>
        <v>0</v>
      </c>
      <c r="Q104" s="338">
        <f t="shared" si="49"/>
        <v>0</v>
      </c>
      <c r="R104" s="329">
        <f t="shared" si="39"/>
        <v>0</v>
      </c>
      <c r="S104" s="338">
        <f t="shared" si="50"/>
        <v>0</v>
      </c>
      <c r="T104" s="329">
        <f t="shared" si="40"/>
        <v>0</v>
      </c>
      <c r="U104" s="338">
        <f t="shared" si="51"/>
        <v>0</v>
      </c>
      <c r="V104" s="329">
        <f t="shared" si="41"/>
        <v>0</v>
      </c>
      <c r="W104" s="338">
        <f t="shared" si="52"/>
        <v>0</v>
      </c>
      <c r="X104" s="35"/>
      <c r="AN104" s="10"/>
      <c r="AO104" s="10"/>
      <c r="AP104" s="31"/>
      <c r="AS104" s="765"/>
    </row>
    <row r="105" spans="1:45" x14ac:dyDescent="0.25">
      <c r="A105" s="335">
        <f>A104+1</f>
        <v>43592</v>
      </c>
      <c r="B105" s="329">
        <f t="shared" si="34"/>
        <v>0</v>
      </c>
      <c r="C105" s="338">
        <f t="shared" si="126"/>
        <v>15000000</v>
      </c>
      <c r="D105" s="329">
        <f t="shared" si="117"/>
        <v>0</v>
      </c>
      <c r="E105" s="338">
        <f t="shared" si="43"/>
        <v>8800000</v>
      </c>
      <c r="F105" s="329">
        <f t="shared" si="118"/>
        <v>0</v>
      </c>
      <c r="G105" s="338">
        <f t="shared" si="44"/>
        <v>0</v>
      </c>
      <c r="H105" s="329">
        <f t="shared" si="36"/>
        <v>0</v>
      </c>
      <c r="I105" s="338">
        <f t="shared" si="45"/>
        <v>0</v>
      </c>
      <c r="J105" s="329">
        <f t="shared" si="55"/>
        <v>0</v>
      </c>
      <c r="K105" s="338">
        <f t="shared" si="46"/>
        <v>0</v>
      </c>
      <c r="L105" s="329">
        <f t="shared" si="56"/>
        <v>0</v>
      </c>
      <c r="M105" s="338">
        <f t="shared" si="47"/>
        <v>0</v>
      </c>
      <c r="N105" s="329">
        <f t="shared" si="37"/>
        <v>0</v>
      </c>
      <c r="O105" s="338">
        <f t="shared" si="48"/>
        <v>0</v>
      </c>
      <c r="P105" s="329">
        <f t="shared" si="38"/>
        <v>0</v>
      </c>
      <c r="Q105" s="338">
        <f t="shared" si="49"/>
        <v>0</v>
      </c>
      <c r="R105" s="329">
        <f t="shared" si="39"/>
        <v>0</v>
      </c>
      <c r="S105" s="338">
        <f t="shared" si="50"/>
        <v>0</v>
      </c>
      <c r="T105" s="329">
        <f t="shared" si="40"/>
        <v>0</v>
      </c>
      <c r="U105" s="338">
        <f t="shared" si="51"/>
        <v>0</v>
      </c>
      <c r="V105" s="329">
        <f t="shared" si="41"/>
        <v>0</v>
      </c>
      <c r="W105" s="338">
        <f t="shared" si="52"/>
        <v>0</v>
      </c>
      <c r="X105" s="35"/>
      <c r="AN105" s="10"/>
      <c r="AO105" s="10"/>
      <c r="AP105" s="31"/>
      <c r="AS105" s="765"/>
    </row>
    <row r="106" spans="1:45" x14ac:dyDescent="0.25">
      <c r="A106" s="335">
        <f>A105+1</f>
        <v>43593</v>
      </c>
      <c r="B106" s="329">
        <f t="shared" si="34"/>
        <v>0</v>
      </c>
      <c r="C106" s="338">
        <f t="shared" si="126"/>
        <v>15000000</v>
      </c>
      <c r="D106" s="329">
        <f t="shared" si="117"/>
        <v>0</v>
      </c>
      <c r="E106" s="338">
        <f t="shared" si="43"/>
        <v>8800000</v>
      </c>
      <c r="F106" s="329">
        <f t="shared" si="118"/>
        <v>0</v>
      </c>
      <c r="G106" s="338">
        <f t="shared" si="44"/>
        <v>0</v>
      </c>
      <c r="H106" s="329">
        <f t="shared" si="36"/>
        <v>0</v>
      </c>
      <c r="I106" s="338">
        <f t="shared" si="45"/>
        <v>0</v>
      </c>
      <c r="J106" s="329">
        <f t="shared" si="55"/>
        <v>0</v>
      </c>
      <c r="K106" s="338">
        <f t="shared" si="46"/>
        <v>0</v>
      </c>
      <c r="L106" s="329">
        <f t="shared" si="56"/>
        <v>0</v>
      </c>
      <c r="M106" s="338">
        <f t="shared" si="47"/>
        <v>0</v>
      </c>
      <c r="N106" s="329">
        <f t="shared" si="37"/>
        <v>0</v>
      </c>
      <c r="O106" s="338">
        <f t="shared" si="48"/>
        <v>0</v>
      </c>
      <c r="P106" s="329">
        <f t="shared" si="38"/>
        <v>0</v>
      </c>
      <c r="Q106" s="338">
        <f t="shared" si="49"/>
        <v>0</v>
      </c>
      <c r="R106" s="329">
        <f t="shared" si="39"/>
        <v>0</v>
      </c>
      <c r="S106" s="338">
        <f t="shared" si="50"/>
        <v>0</v>
      </c>
      <c r="T106" s="329">
        <f t="shared" si="40"/>
        <v>0</v>
      </c>
      <c r="U106" s="338">
        <f t="shared" si="51"/>
        <v>0</v>
      </c>
      <c r="V106" s="329">
        <f t="shared" si="41"/>
        <v>0</v>
      </c>
      <c r="W106" s="338">
        <f t="shared" si="52"/>
        <v>0</v>
      </c>
      <c r="X106" s="35"/>
      <c r="AN106" s="10"/>
      <c r="AO106" s="10"/>
      <c r="AP106" s="31"/>
      <c r="AS106" s="765"/>
    </row>
    <row r="107" spans="1:45" x14ac:dyDescent="0.25">
      <c r="A107" s="335">
        <f>A106+1</f>
        <v>43594</v>
      </c>
      <c r="B107" s="329">
        <f t="shared" ref="B107:B170" si="127">SUMIFS(Usage_Main,CF_Dates,$A107,CF_Descriptions,"XS1951177309 Change")</f>
        <v>0</v>
      </c>
      <c r="C107" s="338">
        <f t="shared" si="126"/>
        <v>15000000</v>
      </c>
      <c r="D107" s="329">
        <f t="shared" si="117"/>
        <v>0</v>
      </c>
      <c r="E107" s="338">
        <f t="shared" si="43"/>
        <v>8800000</v>
      </c>
      <c r="F107" s="329">
        <f t="shared" ref="F107:F170" si="128">SUMIFS(Usage_Main,CF_Dates,$A107,CF_Descriptions,"EASTCYPRESS1 Change")</f>
        <v>0</v>
      </c>
      <c r="G107" s="338">
        <f t="shared" si="44"/>
        <v>0</v>
      </c>
      <c r="H107" s="329">
        <f t="shared" ref="H107:H170" si="129">SUMIFS(Usage_Main,CF_Dates,$A107,CF_Descriptions,"XS2091648928 Change")</f>
        <v>0</v>
      </c>
      <c r="I107" s="338">
        <f t="shared" si="45"/>
        <v>0</v>
      </c>
      <c r="J107" s="329">
        <f t="shared" ref="J107:J170" si="130">SUMIFS(Usage_Main,CF_Dates,$A107,CF_Descriptions,"Southern Apple Change")</f>
        <v>0</v>
      </c>
      <c r="K107" s="338">
        <f t="shared" si="46"/>
        <v>0</v>
      </c>
      <c r="L107" s="329">
        <f t="shared" ref="L107:L170" si="131">SUMIFS(Usage_Main,CF_Dates,$A107,CF_Descriptions,"ALMONDUSD Change")</f>
        <v>0</v>
      </c>
      <c r="M107" s="338">
        <f t="shared" si="47"/>
        <v>0</v>
      </c>
      <c r="N107" s="329">
        <f t="shared" ref="N107:N170" si="132">SUMIFS(Usage_Main,CF_Dates,$A107,CF_Descriptions,"ALMONDEUR Change")</f>
        <v>0</v>
      </c>
      <c r="O107" s="338">
        <f t="shared" si="48"/>
        <v>0</v>
      </c>
      <c r="P107" s="329">
        <f t="shared" ref="P107:P170" si="133">SUMIFS(Usage_Main,CF_Dates,$A107,CF_Descriptions,"HEXZETA Change")</f>
        <v>0</v>
      </c>
      <c r="Q107" s="338">
        <f t="shared" si="49"/>
        <v>0</v>
      </c>
      <c r="R107" s="329">
        <f t="shared" ref="R107:R170" si="134">SUMIFS(Usage_Main,CF_Dates,$A107,CF_Descriptions,"MNTNCHERRY Change")</f>
        <v>0</v>
      </c>
      <c r="S107" s="338">
        <f t="shared" si="50"/>
        <v>0</v>
      </c>
      <c r="T107" s="329">
        <f t="shared" ref="T107:T170" si="135">SUMIFS(Usage_Main,CF_Dates,$A107,CF_Descriptions,"OLIVEUSD Change")</f>
        <v>0</v>
      </c>
      <c r="U107" s="338">
        <f t="shared" si="51"/>
        <v>0</v>
      </c>
      <c r="V107" s="329">
        <f t="shared" ref="V107:V170" si="136">SUMIFS(Usage_Main,CF_Dates,$A107,CF_Descriptions,"OLIVEEUR Change")</f>
        <v>0</v>
      </c>
      <c r="W107" s="338">
        <f t="shared" si="52"/>
        <v>0</v>
      </c>
      <c r="X107" s="35"/>
      <c r="AN107" s="10"/>
      <c r="AO107" s="10"/>
      <c r="AP107" s="31"/>
      <c r="AS107" s="765"/>
    </row>
    <row r="108" spans="1:45" x14ac:dyDescent="0.25">
      <c r="A108" s="335">
        <f>A107+1</f>
        <v>43595</v>
      </c>
      <c r="B108" s="329">
        <f t="shared" si="127"/>
        <v>0</v>
      </c>
      <c r="C108" s="338">
        <f t="shared" si="126"/>
        <v>15000000</v>
      </c>
      <c r="D108" s="329">
        <f t="shared" si="117"/>
        <v>0</v>
      </c>
      <c r="E108" s="338">
        <f>D108+E107</f>
        <v>8800000</v>
      </c>
      <c r="F108" s="329">
        <f t="shared" si="128"/>
        <v>0</v>
      </c>
      <c r="G108" s="338">
        <f t="shared" ref="G108:G131" si="137">F108+G107</f>
        <v>0</v>
      </c>
      <c r="H108" s="329">
        <f t="shared" si="129"/>
        <v>0</v>
      </c>
      <c r="I108" s="338">
        <f t="shared" ref="I108:I171" si="138">H108+I107</f>
        <v>0</v>
      </c>
      <c r="J108" s="329">
        <f t="shared" si="130"/>
        <v>0</v>
      </c>
      <c r="K108" s="338">
        <f t="shared" ref="K108:K171" si="139">J108+K107</f>
        <v>0</v>
      </c>
      <c r="L108" s="329">
        <f t="shared" si="131"/>
        <v>0</v>
      </c>
      <c r="M108" s="338">
        <f t="shared" ref="M108:M171" si="140">L108+M107</f>
        <v>0</v>
      </c>
      <c r="N108" s="329">
        <f t="shared" si="132"/>
        <v>0</v>
      </c>
      <c r="O108" s="338">
        <f t="shared" ref="O108:O171" si="141">N108+O107</f>
        <v>0</v>
      </c>
      <c r="P108" s="329">
        <f t="shared" si="133"/>
        <v>0</v>
      </c>
      <c r="Q108" s="338">
        <f t="shared" ref="Q108:Q171" si="142">P108+Q107</f>
        <v>0</v>
      </c>
      <c r="R108" s="329">
        <f t="shared" si="134"/>
        <v>0</v>
      </c>
      <c r="S108" s="338">
        <f t="shared" ref="S108:S171" si="143">R108+S107</f>
        <v>0</v>
      </c>
      <c r="T108" s="329">
        <f t="shared" si="135"/>
        <v>0</v>
      </c>
      <c r="U108" s="338">
        <f t="shared" ref="U108:U171" si="144">T108+U107</f>
        <v>0</v>
      </c>
      <c r="V108" s="329">
        <f t="shared" si="136"/>
        <v>0</v>
      </c>
      <c r="W108" s="338">
        <f t="shared" ref="W108:W171" si="145">V108+W107</f>
        <v>0</v>
      </c>
      <c r="X108" s="35"/>
      <c r="AN108" s="10"/>
      <c r="AO108" s="10"/>
      <c r="AS108" s="765"/>
    </row>
    <row r="109" spans="1:45" x14ac:dyDescent="0.25">
      <c r="A109" s="336">
        <f>A108+3</f>
        <v>43598</v>
      </c>
      <c r="B109" s="329">
        <f t="shared" si="127"/>
        <v>0</v>
      </c>
      <c r="C109" s="338">
        <f t="shared" si="126"/>
        <v>15000000</v>
      </c>
      <c r="D109" s="329">
        <f t="shared" si="117"/>
        <v>0</v>
      </c>
      <c r="E109" s="338">
        <f>D109+E108</f>
        <v>8800000</v>
      </c>
      <c r="F109" s="329">
        <f t="shared" si="128"/>
        <v>0</v>
      </c>
      <c r="G109" s="338">
        <f t="shared" si="137"/>
        <v>0</v>
      </c>
      <c r="H109" s="329">
        <f t="shared" si="129"/>
        <v>0</v>
      </c>
      <c r="I109" s="338">
        <f t="shared" si="138"/>
        <v>0</v>
      </c>
      <c r="J109" s="329">
        <f t="shared" si="130"/>
        <v>0</v>
      </c>
      <c r="K109" s="338">
        <f t="shared" si="139"/>
        <v>0</v>
      </c>
      <c r="L109" s="329">
        <f t="shared" si="131"/>
        <v>0</v>
      </c>
      <c r="M109" s="338">
        <f t="shared" si="140"/>
        <v>0</v>
      </c>
      <c r="N109" s="329">
        <f t="shared" si="132"/>
        <v>0</v>
      </c>
      <c r="O109" s="338">
        <f t="shared" si="141"/>
        <v>0</v>
      </c>
      <c r="P109" s="329">
        <f t="shared" si="133"/>
        <v>0</v>
      </c>
      <c r="Q109" s="338">
        <f t="shared" si="142"/>
        <v>0</v>
      </c>
      <c r="R109" s="329">
        <f t="shared" si="134"/>
        <v>0</v>
      </c>
      <c r="S109" s="338">
        <f t="shared" si="143"/>
        <v>0</v>
      </c>
      <c r="T109" s="329">
        <f t="shared" si="135"/>
        <v>0</v>
      </c>
      <c r="U109" s="338">
        <f t="shared" si="144"/>
        <v>0</v>
      </c>
      <c r="V109" s="329">
        <f t="shared" si="136"/>
        <v>0</v>
      </c>
      <c r="W109" s="338">
        <f t="shared" si="145"/>
        <v>0</v>
      </c>
      <c r="X109" s="35"/>
      <c r="AN109" s="10"/>
      <c r="AO109" s="10"/>
      <c r="AS109" s="765"/>
    </row>
    <row r="110" spans="1:45" x14ac:dyDescent="0.25">
      <c r="A110" s="335">
        <f>A109+1</f>
        <v>43599</v>
      </c>
      <c r="B110" s="329">
        <f t="shared" si="127"/>
        <v>0</v>
      </c>
      <c r="C110" s="338">
        <f t="shared" ref="C110:C119" si="146">B110+C109</f>
        <v>15000000</v>
      </c>
      <c r="D110" s="329">
        <f t="shared" si="117"/>
        <v>0</v>
      </c>
      <c r="E110" s="338">
        <f t="shared" ref="E110:E119" si="147">D110+E109</f>
        <v>8800000</v>
      </c>
      <c r="F110" s="329">
        <f t="shared" si="128"/>
        <v>0</v>
      </c>
      <c r="G110" s="338">
        <f t="shared" si="137"/>
        <v>0</v>
      </c>
      <c r="H110" s="329">
        <f t="shared" si="129"/>
        <v>0</v>
      </c>
      <c r="I110" s="338">
        <f t="shared" si="138"/>
        <v>0</v>
      </c>
      <c r="J110" s="329">
        <f t="shared" si="130"/>
        <v>0</v>
      </c>
      <c r="K110" s="338">
        <f t="shared" si="139"/>
        <v>0</v>
      </c>
      <c r="L110" s="329">
        <f t="shared" si="131"/>
        <v>0</v>
      </c>
      <c r="M110" s="338">
        <f t="shared" si="140"/>
        <v>0</v>
      </c>
      <c r="N110" s="329">
        <f t="shared" si="132"/>
        <v>0</v>
      </c>
      <c r="O110" s="338">
        <f t="shared" si="141"/>
        <v>0</v>
      </c>
      <c r="P110" s="329">
        <f t="shared" si="133"/>
        <v>0</v>
      </c>
      <c r="Q110" s="338">
        <f t="shared" si="142"/>
        <v>0</v>
      </c>
      <c r="R110" s="329">
        <f t="shared" si="134"/>
        <v>0</v>
      </c>
      <c r="S110" s="338">
        <f t="shared" si="143"/>
        <v>0</v>
      </c>
      <c r="T110" s="329">
        <f t="shared" si="135"/>
        <v>0</v>
      </c>
      <c r="U110" s="338">
        <f t="shared" si="144"/>
        <v>0</v>
      </c>
      <c r="V110" s="329">
        <f t="shared" si="136"/>
        <v>0</v>
      </c>
      <c r="W110" s="338">
        <f t="shared" si="145"/>
        <v>0</v>
      </c>
      <c r="X110" s="35"/>
      <c r="AN110" s="10"/>
      <c r="AO110" s="10"/>
      <c r="AS110" s="765"/>
    </row>
    <row r="111" spans="1:45" x14ac:dyDescent="0.25">
      <c r="A111" s="335">
        <f>A110+1</f>
        <v>43600</v>
      </c>
      <c r="B111" s="329">
        <f t="shared" si="127"/>
        <v>0</v>
      </c>
      <c r="C111" s="338">
        <f t="shared" si="146"/>
        <v>15000000</v>
      </c>
      <c r="D111" s="329">
        <f t="shared" si="117"/>
        <v>0</v>
      </c>
      <c r="E111" s="338">
        <f t="shared" si="147"/>
        <v>8800000</v>
      </c>
      <c r="F111" s="329">
        <f t="shared" si="128"/>
        <v>0</v>
      </c>
      <c r="G111" s="338">
        <f t="shared" si="137"/>
        <v>0</v>
      </c>
      <c r="H111" s="329">
        <f t="shared" si="129"/>
        <v>0</v>
      </c>
      <c r="I111" s="338">
        <f t="shared" si="138"/>
        <v>0</v>
      </c>
      <c r="J111" s="329">
        <f t="shared" si="130"/>
        <v>0</v>
      </c>
      <c r="K111" s="338">
        <f t="shared" si="139"/>
        <v>0</v>
      </c>
      <c r="L111" s="329">
        <f t="shared" si="131"/>
        <v>0</v>
      </c>
      <c r="M111" s="338">
        <f t="shared" si="140"/>
        <v>0</v>
      </c>
      <c r="N111" s="329">
        <f t="shared" si="132"/>
        <v>0</v>
      </c>
      <c r="O111" s="338">
        <f t="shared" si="141"/>
        <v>0</v>
      </c>
      <c r="P111" s="329">
        <f t="shared" si="133"/>
        <v>0</v>
      </c>
      <c r="Q111" s="338">
        <f t="shared" si="142"/>
        <v>0</v>
      </c>
      <c r="R111" s="329">
        <f t="shared" si="134"/>
        <v>0</v>
      </c>
      <c r="S111" s="338">
        <f t="shared" si="143"/>
        <v>0</v>
      </c>
      <c r="T111" s="329">
        <f t="shared" si="135"/>
        <v>0</v>
      </c>
      <c r="U111" s="338">
        <f t="shared" si="144"/>
        <v>0</v>
      </c>
      <c r="V111" s="329">
        <f t="shared" si="136"/>
        <v>0</v>
      </c>
      <c r="W111" s="338">
        <f t="shared" si="145"/>
        <v>0</v>
      </c>
      <c r="X111" s="35"/>
      <c r="AN111" s="10"/>
      <c r="AO111" s="10"/>
      <c r="AS111" s="765"/>
    </row>
    <row r="112" spans="1:45" x14ac:dyDescent="0.25">
      <c r="A112" s="335">
        <f>A111+1</f>
        <v>43601</v>
      </c>
      <c r="B112" s="329">
        <f t="shared" si="127"/>
        <v>0</v>
      </c>
      <c r="C112" s="338">
        <f t="shared" si="146"/>
        <v>15000000</v>
      </c>
      <c r="D112" s="329">
        <f t="shared" si="117"/>
        <v>0</v>
      </c>
      <c r="E112" s="338">
        <f t="shared" si="147"/>
        <v>8800000</v>
      </c>
      <c r="F112" s="329">
        <f t="shared" si="128"/>
        <v>0</v>
      </c>
      <c r="G112" s="338">
        <f t="shared" si="137"/>
        <v>0</v>
      </c>
      <c r="H112" s="329">
        <f t="shared" si="129"/>
        <v>0</v>
      </c>
      <c r="I112" s="338">
        <f t="shared" si="138"/>
        <v>0</v>
      </c>
      <c r="J112" s="329">
        <f t="shared" si="130"/>
        <v>0</v>
      </c>
      <c r="K112" s="338">
        <f t="shared" si="139"/>
        <v>0</v>
      </c>
      <c r="L112" s="329">
        <f t="shared" si="131"/>
        <v>0</v>
      </c>
      <c r="M112" s="338">
        <f t="shared" si="140"/>
        <v>0</v>
      </c>
      <c r="N112" s="329">
        <f t="shared" si="132"/>
        <v>0</v>
      </c>
      <c r="O112" s="338">
        <f t="shared" si="141"/>
        <v>0</v>
      </c>
      <c r="P112" s="329">
        <f t="shared" si="133"/>
        <v>0</v>
      </c>
      <c r="Q112" s="338">
        <f t="shared" si="142"/>
        <v>0</v>
      </c>
      <c r="R112" s="329">
        <f t="shared" si="134"/>
        <v>0</v>
      </c>
      <c r="S112" s="338">
        <f t="shared" si="143"/>
        <v>0</v>
      </c>
      <c r="T112" s="329">
        <f t="shared" si="135"/>
        <v>0</v>
      </c>
      <c r="U112" s="338">
        <f t="shared" si="144"/>
        <v>0</v>
      </c>
      <c r="V112" s="329">
        <f t="shared" si="136"/>
        <v>0</v>
      </c>
      <c r="W112" s="338">
        <f t="shared" si="145"/>
        <v>0</v>
      </c>
      <c r="X112" s="35"/>
      <c r="AS112" s="765"/>
    </row>
    <row r="113" spans="1:24" x14ac:dyDescent="0.25">
      <c r="A113" s="335">
        <f>A112+1</f>
        <v>43602</v>
      </c>
      <c r="B113" s="329">
        <f t="shared" si="127"/>
        <v>0</v>
      </c>
      <c r="C113" s="338">
        <f t="shared" si="146"/>
        <v>15000000</v>
      </c>
      <c r="D113" s="329">
        <f t="shared" si="117"/>
        <v>0</v>
      </c>
      <c r="E113" s="338">
        <f t="shared" si="147"/>
        <v>8800000</v>
      </c>
      <c r="F113" s="329">
        <f t="shared" si="128"/>
        <v>0</v>
      </c>
      <c r="G113" s="338">
        <f t="shared" si="137"/>
        <v>0</v>
      </c>
      <c r="H113" s="329">
        <f t="shared" si="129"/>
        <v>0</v>
      </c>
      <c r="I113" s="338">
        <f t="shared" si="138"/>
        <v>0</v>
      </c>
      <c r="J113" s="329">
        <f t="shared" si="130"/>
        <v>0</v>
      </c>
      <c r="K113" s="338">
        <f t="shared" si="139"/>
        <v>0</v>
      </c>
      <c r="L113" s="329">
        <f t="shared" si="131"/>
        <v>0</v>
      </c>
      <c r="M113" s="338">
        <f t="shared" si="140"/>
        <v>0</v>
      </c>
      <c r="N113" s="329">
        <f t="shared" si="132"/>
        <v>0</v>
      </c>
      <c r="O113" s="338">
        <f t="shared" si="141"/>
        <v>0</v>
      </c>
      <c r="P113" s="329">
        <f t="shared" si="133"/>
        <v>0</v>
      </c>
      <c r="Q113" s="338">
        <f t="shared" si="142"/>
        <v>0</v>
      </c>
      <c r="R113" s="329">
        <f t="shared" si="134"/>
        <v>0</v>
      </c>
      <c r="S113" s="338">
        <f t="shared" si="143"/>
        <v>0</v>
      </c>
      <c r="T113" s="329">
        <f t="shared" si="135"/>
        <v>0</v>
      </c>
      <c r="U113" s="338">
        <f t="shared" si="144"/>
        <v>0</v>
      </c>
      <c r="V113" s="329">
        <f t="shared" si="136"/>
        <v>0</v>
      </c>
      <c r="W113" s="338">
        <f t="shared" si="145"/>
        <v>0</v>
      </c>
      <c r="X113" s="35"/>
    </row>
    <row r="114" spans="1:24" x14ac:dyDescent="0.25">
      <c r="A114" s="336">
        <f>A113+3</f>
        <v>43605</v>
      </c>
      <c r="B114" s="329">
        <f t="shared" si="127"/>
        <v>0</v>
      </c>
      <c r="C114" s="338">
        <f t="shared" si="146"/>
        <v>15000000</v>
      </c>
      <c r="D114" s="329">
        <f t="shared" si="117"/>
        <v>0</v>
      </c>
      <c r="E114" s="338">
        <f t="shared" si="147"/>
        <v>8800000</v>
      </c>
      <c r="F114" s="329">
        <f t="shared" si="128"/>
        <v>0</v>
      </c>
      <c r="G114" s="338">
        <f t="shared" si="137"/>
        <v>0</v>
      </c>
      <c r="H114" s="329">
        <f t="shared" si="129"/>
        <v>0</v>
      </c>
      <c r="I114" s="338">
        <f t="shared" si="138"/>
        <v>0</v>
      </c>
      <c r="J114" s="329">
        <f t="shared" si="130"/>
        <v>0</v>
      </c>
      <c r="K114" s="338">
        <f t="shared" si="139"/>
        <v>0</v>
      </c>
      <c r="L114" s="329">
        <f t="shared" si="131"/>
        <v>0</v>
      </c>
      <c r="M114" s="338">
        <f t="shared" si="140"/>
        <v>0</v>
      </c>
      <c r="N114" s="329">
        <f t="shared" si="132"/>
        <v>0</v>
      </c>
      <c r="O114" s="338">
        <f t="shared" si="141"/>
        <v>0</v>
      </c>
      <c r="P114" s="329">
        <f t="shared" si="133"/>
        <v>0</v>
      </c>
      <c r="Q114" s="338">
        <f t="shared" si="142"/>
        <v>0</v>
      </c>
      <c r="R114" s="329">
        <f t="shared" si="134"/>
        <v>0</v>
      </c>
      <c r="S114" s="338">
        <f t="shared" si="143"/>
        <v>0</v>
      </c>
      <c r="T114" s="329">
        <f t="shared" si="135"/>
        <v>0</v>
      </c>
      <c r="U114" s="338">
        <f t="shared" si="144"/>
        <v>0</v>
      </c>
      <c r="V114" s="329">
        <f t="shared" si="136"/>
        <v>0</v>
      </c>
      <c r="W114" s="338">
        <f t="shared" si="145"/>
        <v>0</v>
      </c>
      <c r="X114" s="35"/>
    </row>
    <row r="115" spans="1:24" x14ac:dyDescent="0.25">
      <c r="A115" s="335">
        <f>A114+1</f>
        <v>43606</v>
      </c>
      <c r="B115" s="329">
        <f t="shared" si="127"/>
        <v>0</v>
      </c>
      <c r="C115" s="338">
        <f t="shared" si="146"/>
        <v>15000000</v>
      </c>
      <c r="D115" s="329">
        <f t="shared" si="117"/>
        <v>0</v>
      </c>
      <c r="E115" s="338">
        <f t="shared" si="147"/>
        <v>8800000</v>
      </c>
      <c r="F115" s="329">
        <f t="shared" si="128"/>
        <v>0</v>
      </c>
      <c r="G115" s="338">
        <f t="shared" si="137"/>
        <v>0</v>
      </c>
      <c r="H115" s="329">
        <f t="shared" si="129"/>
        <v>0</v>
      </c>
      <c r="I115" s="338">
        <f t="shared" si="138"/>
        <v>0</v>
      </c>
      <c r="J115" s="329">
        <f t="shared" si="130"/>
        <v>0</v>
      </c>
      <c r="K115" s="338">
        <f t="shared" si="139"/>
        <v>0</v>
      </c>
      <c r="L115" s="329">
        <f t="shared" si="131"/>
        <v>0</v>
      </c>
      <c r="M115" s="338">
        <f t="shared" si="140"/>
        <v>0</v>
      </c>
      <c r="N115" s="329">
        <f t="shared" si="132"/>
        <v>0</v>
      </c>
      <c r="O115" s="338">
        <f t="shared" si="141"/>
        <v>0</v>
      </c>
      <c r="P115" s="329">
        <f t="shared" si="133"/>
        <v>0</v>
      </c>
      <c r="Q115" s="338">
        <f t="shared" si="142"/>
        <v>0</v>
      </c>
      <c r="R115" s="329">
        <f t="shared" si="134"/>
        <v>0</v>
      </c>
      <c r="S115" s="338">
        <f t="shared" si="143"/>
        <v>0</v>
      </c>
      <c r="T115" s="329">
        <f t="shared" si="135"/>
        <v>0</v>
      </c>
      <c r="U115" s="338">
        <f t="shared" si="144"/>
        <v>0</v>
      </c>
      <c r="V115" s="329">
        <f t="shared" si="136"/>
        <v>0</v>
      </c>
      <c r="W115" s="338">
        <f t="shared" si="145"/>
        <v>0</v>
      </c>
      <c r="X115" s="35"/>
    </row>
    <row r="116" spans="1:24" x14ac:dyDescent="0.25">
      <c r="A116" s="335">
        <f>A115+1</f>
        <v>43607</v>
      </c>
      <c r="B116" s="329">
        <f t="shared" si="127"/>
        <v>0</v>
      </c>
      <c r="C116" s="338">
        <f t="shared" si="146"/>
        <v>15000000</v>
      </c>
      <c r="D116" s="329">
        <f t="shared" si="117"/>
        <v>0</v>
      </c>
      <c r="E116" s="338">
        <f t="shared" si="147"/>
        <v>8800000</v>
      </c>
      <c r="F116" s="329">
        <f t="shared" si="128"/>
        <v>0</v>
      </c>
      <c r="G116" s="338">
        <f t="shared" si="137"/>
        <v>0</v>
      </c>
      <c r="H116" s="329">
        <f t="shared" si="129"/>
        <v>0</v>
      </c>
      <c r="I116" s="338">
        <f t="shared" si="138"/>
        <v>0</v>
      </c>
      <c r="J116" s="329">
        <f t="shared" si="130"/>
        <v>0</v>
      </c>
      <c r="K116" s="338">
        <f t="shared" si="139"/>
        <v>0</v>
      </c>
      <c r="L116" s="329">
        <f t="shared" si="131"/>
        <v>0</v>
      </c>
      <c r="M116" s="338">
        <f t="shared" si="140"/>
        <v>0</v>
      </c>
      <c r="N116" s="329">
        <f t="shared" si="132"/>
        <v>0</v>
      </c>
      <c r="O116" s="338">
        <f t="shared" si="141"/>
        <v>0</v>
      </c>
      <c r="P116" s="329">
        <f t="shared" si="133"/>
        <v>0</v>
      </c>
      <c r="Q116" s="338">
        <f t="shared" si="142"/>
        <v>0</v>
      </c>
      <c r="R116" s="329">
        <f t="shared" si="134"/>
        <v>0</v>
      </c>
      <c r="S116" s="338">
        <f t="shared" si="143"/>
        <v>0</v>
      </c>
      <c r="T116" s="329">
        <f t="shared" si="135"/>
        <v>0</v>
      </c>
      <c r="U116" s="338">
        <f t="shared" si="144"/>
        <v>0</v>
      </c>
      <c r="V116" s="329">
        <f t="shared" si="136"/>
        <v>0</v>
      </c>
      <c r="W116" s="338">
        <f t="shared" si="145"/>
        <v>0</v>
      </c>
      <c r="X116" s="35"/>
    </row>
    <row r="117" spans="1:24" x14ac:dyDescent="0.25">
      <c r="A117" s="335">
        <f>A116+1</f>
        <v>43608</v>
      </c>
      <c r="B117" s="329">
        <f t="shared" si="127"/>
        <v>0</v>
      </c>
      <c r="C117" s="338">
        <f t="shared" si="146"/>
        <v>15000000</v>
      </c>
      <c r="D117" s="329">
        <f t="shared" si="117"/>
        <v>0</v>
      </c>
      <c r="E117" s="338">
        <f t="shared" si="147"/>
        <v>8800000</v>
      </c>
      <c r="F117" s="329">
        <f t="shared" si="128"/>
        <v>0</v>
      </c>
      <c r="G117" s="338">
        <f t="shared" si="137"/>
        <v>0</v>
      </c>
      <c r="H117" s="329">
        <f t="shared" si="129"/>
        <v>0</v>
      </c>
      <c r="I117" s="338">
        <f t="shared" si="138"/>
        <v>0</v>
      </c>
      <c r="J117" s="329">
        <f t="shared" si="130"/>
        <v>0</v>
      </c>
      <c r="K117" s="338">
        <f t="shared" si="139"/>
        <v>0</v>
      </c>
      <c r="L117" s="329">
        <f t="shared" si="131"/>
        <v>0</v>
      </c>
      <c r="M117" s="338">
        <f t="shared" si="140"/>
        <v>0</v>
      </c>
      <c r="N117" s="329">
        <f t="shared" si="132"/>
        <v>0</v>
      </c>
      <c r="O117" s="338">
        <f t="shared" si="141"/>
        <v>0</v>
      </c>
      <c r="P117" s="329">
        <f t="shared" si="133"/>
        <v>0</v>
      </c>
      <c r="Q117" s="338">
        <f t="shared" si="142"/>
        <v>0</v>
      </c>
      <c r="R117" s="329">
        <f t="shared" si="134"/>
        <v>0</v>
      </c>
      <c r="S117" s="338">
        <f t="shared" si="143"/>
        <v>0</v>
      </c>
      <c r="T117" s="329">
        <f t="shared" si="135"/>
        <v>0</v>
      </c>
      <c r="U117" s="338">
        <f t="shared" si="144"/>
        <v>0</v>
      </c>
      <c r="V117" s="329">
        <f t="shared" si="136"/>
        <v>0</v>
      </c>
      <c r="W117" s="338">
        <f t="shared" si="145"/>
        <v>0</v>
      </c>
      <c r="X117" s="35"/>
    </row>
    <row r="118" spans="1:24" x14ac:dyDescent="0.25">
      <c r="A118" s="335">
        <f>A117+1</f>
        <v>43609</v>
      </c>
      <c r="B118" s="329">
        <f t="shared" si="127"/>
        <v>0</v>
      </c>
      <c r="C118" s="338">
        <f t="shared" si="146"/>
        <v>15000000</v>
      </c>
      <c r="D118" s="329">
        <f t="shared" si="117"/>
        <v>0</v>
      </c>
      <c r="E118" s="338">
        <f t="shared" si="147"/>
        <v>8800000</v>
      </c>
      <c r="F118" s="329">
        <f t="shared" si="128"/>
        <v>0</v>
      </c>
      <c r="G118" s="338">
        <f t="shared" si="137"/>
        <v>0</v>
      </c>
      <c r="H118" s="329">
        <f t="shared" si="129"/>
        <v>0</v>
      </c>
      <c r="I118" s="338">
        <f t="shared" si="138"/>
        <v>0</v>
      </c>
      <c r="J118" s="329">
        <f t="shared" si="130"/>
        <v>0</v>
      </c>
      <c r="K118" s="338">
        <f t="shared" si="139"/>
        <v>0</v>
      </c>
      <c r="L118" s="329">
        <f t="shared" si="131"/>
        <v>0</v>
      </c>
      <c r="M118" s="338">
        <f t="shared" si="140"/>
        <v>0</v>
      </c>
      <c r="N118" s="329">
        <f t="shared" si="132"/>
        <v>0</v>
      </c>
      <c r="O118" s="338">
        <f t="shared" si="141"/>
        <v>0</v>
      </c>
      <c r="P118" s="329">
        <f t="shared" si="133"/>
        <v>0</v>
      </c>
      <c r="Q118" s="338">
        <f t="shared" si="142"/>
        <v>0</v>
      </c>
      <c r="R118" s="329">
        <f t="shared" si="134"/>
        <v>0</v>
      </c>
      <c r="S118" s="338">
        <f t="shared" si="143"/>
        <v>0</v>
      </c>
      <c r="T118" s="329">
        <f t="shared" si="135"/>
        <v>0</v>
      </c>
      <c r="U118" s="338">
        <f t="shared" si="144"/>
        <v>0</v>
      </c>
      <c r="V118" s="329">
        <f t="shared" si="136"/>
        <v>0</v>
      </c>
      <c r="W118" s="338">
        <f t="shared" si="145"/>
        <v>0</v>
      </c>
      <c r="X118" s="35"/>
    </row>
    <row r="119" spans="1:24" x14ac:dyDescent="0.25">
      <c r="A119" s="336">
        <f>A118+4</f>
        <v>43613</v>
      </c>
      <c r="B119" s="329">
        <f t="shared" si="127"/>
        <v>0</v>
      </c>
      <c r="C119" s="338">
        <f t="shared" si="146"/>
        <v>15000000</v>
      </c>
      <c r="D119" s="329">
        <f t="shared" si="117"/>
        <v>0</v>
      </c>
      <c r="E119" s="338">
        <f t="shared" si="147"/>
        <v>8800000</v>
      </c>
      <c r="F119" s="329">
        <f t="shared" si="128"/>
        <v>0</v>
      </c>
      <c r="G119" s="338">
        <f t="shared" si="137"/>
        <v>0</v>
      </c>
      <c r="H119" s="329">
        <f t="shared" si="129"/>
        <v>0</v>
      </c>
      <c r="I119" s="338">
        <f t="shared" si="138"/>
        <v>0</v>
      </c>
      <c r="J119" s="329">
        <f t="shared" si="130"/>
        <v>0</v>
      </c>
      <c r="K119" s="338">
        <f t="shared" si="139"/>
        <v>0</v>
      </c>
      <c r="L119" s="329">
        <f t="shared" si="131"/>
        <v>0</v>
      </c>
      <c r="M119" s="338">
        <f t="shared" si="140"/>
        <v>0</v>
      </c>
      <c r="N119" s="329">
        <f t="shared" si="132"/>
        <v>0</v>
      </c>
      <c r="O119" s="338">
        <f t="shared" si="141"/>
        <v>0</v>
      </c>
      <c r="P119" s="329">
        <f t="shared" si="133"/>
        <v>0</v>
      </c>
      <c r="Q119" s="338">
        <f t="shared" si="142"/>
        <v>0</v>
      </c>
      <c r="R119" s="329">
        <f t="shared" si="134"/>
        <v>0</v>
      </c>
      <c r="S119" s="338">
        <f t="shared" si="143"/>
        <v>0</v>
      </c>
      <c r="T119" s="329">
        <f t="shared" si="135"/>
        <v>0</v>
      </c>
      <c r="U119" s="338">
        <f t="shared" si="144"/>
        <v>0</v>
      </c>
      <c r="V119" s="329">
        <f t="shared" si="136"/>
        <v>0</v>
      </c>
      <c r="W119" s="338">
        <f t="shared" si="145"/>
        <v>0</v>
      </c>
      <c r="X119" s="35"/>
    </row>
    <row r="120" spans="1:24" x14ac:dyDescent="0.25">
      <c r="A120" s="335">
        <f>A119+1</f>
        <v>43614</v>
      </c>
      <c r="B120" s="329">
        <f t="shared" si="127"/>
        <v>0</v>
      </c>
      <c r="C120" s="338">
        <f t="shared" ref="C120:C132" si="148">B120+C119</f>
        <v>15000000</v>
      </c>
      <c r="D120" s="329">
        <f t="shared" si="117"/>
        <v>0</v>
      </c>
      <c r="E120" s="338">
        <f t="shared" ref="E120:E132" si="149">D120+E119</f>
        <v>8800000</v>
      </c>
      <c r="F120" s="329">
        <f t="shared" si="128"/>
        <v>0</v>
      </c>
      <c r="G120" s="338">
        <f t="shared" si="137"/>
        <v>0</v>
      </c>
      <c r="H120" s="329">
        <f t="shared" si="129"/>
        <v>0</v>
      </c>
      <c r="I120" s="338">
        <f t="shared" si="138"/>
        <v>0</v>
      </c>
      <c r="J120" s="329">
        <f t="shared" si="130"/>
        <v>0</v>
      </c>
      <c r="K120" s="338">
        <f t="shared" si="139"/>
        <v>0</v>
      </c>
      <c r="L120" s="329">
        <f t="shared" si="131"/>
        <v>0</v>
      </c>
      <c r="M120" s="338">
        <f t="shared" si="140"/>
        <v>0</v>
      </c>
      <c r="N120" s="329">
        <f t="shared" si="132"/>
        <v>0</v>
      </c>
      <c r="O120" s="338">
        <f t="shared" si="141"/>
        <v>0</v>
      </c>
      <c r="P120" s="329">
        <f t="shared" si="133"/>
        <v>0</v>
      </c>
      <c r="Q120" s="338">
        <f t="shared" si="142"/>
        <v>0</v>
      </c>
      <c r="R120" s="329">
        <f t="shared" si="134"/>
        <v>0</v>
      </c>
      <c r="S120" s="338">
        <f t="shared" si="143"/>
        <v>0</v>
      </c>
      <c r="T120" s="329">
        <f t="shared" si="135"/>
        <v>0</v>
      </c>
      <c r="U120" s="338">
        <f t="shared" si="144"/>
        <v>0</v>
      </c>
      <c r="V120" s="329">
        <f t="shared" si="136"/>
        <v>0</v>
      </c>
      <c r="W120" s="338">
        <f t="shared" si="145"/>
        <v>0</v>
      </c>
      <c r="X120" s="35"/>
    </row>
    <row r="121" spans="1:24" x14ac:dyDescent="0.25">
      <c r="A121" s="335">
        <f>A120+1</f>
        <v>43615</v>
      </c>
      <c r="B121" s="329">
        <f t="shared" si="127"/>
        <v>0</v>
      </c>
      <c r="C121" s="338">
        <f t="shared" si="148"/>
        <v>15000000</v>
      </c>
      <c r="D121" s="329">
        <f t="shared" si="117"/>
        <v>0</v>
      </c>
      <c r="E121" s="338">
        <f t="shared" si="149"/>
        <v>8800000</v>
      </c>
      <c r="F121" s="329">
        <f t="shared" si="128"/>
        <v>0</v>
      </c>
      <c r="G121" s="338">
        <f t="shared" si="137"/>
        <v>0</v>
      </c>
      <c r="H121" s="329">
        <f t="shared" si="129"/>
        <v>0</v>
      </c>
      <c r="I121" s="338">
        <f t="shared" si="138"/>
        <v>0</v>
      </c>
      <c r="J121" s="329">
        <f t="shared" si="130"/>
        <v>0</v>
      </c>
      <c r="K121" s="338">
        <f t="shared" si="139"/>
        <v>0</v>
      </c>
      <c r="L121" s="329">
        <f t="shared" si="131"/>
        <v>0</v>
      </c>
      <c r="M121" s="338">
        <f t="shared" si="140"/>
        <v>0</v>
      </c>
      <c r="N121" s="329">
        <f t="shared" si="132"/>
        <v>0</v>
      </c>
      <c r="O121" s="338">
        <f t="shared" si="141"/>
        <v>0</v>
      </c>
      <c r="P121" s="329">
        <f t="shared" si="133"/>
        <v>0</v>
      </c>
      <c r="Q121" s="338">
        <f t="shared" si="142"/>
        <v>0</v>
      </c>
      <c r="R121" s="329">
        <f t="shared" si="134"/>
        <v>0</v>
      </c>
      <c r="S121" s="338">
        <f t="shared" si="143"/>
        <v>0</v>
      </c>
      <c r="T121" s="329">
        <f t="shared" si="135"/>
        <v>0</v>
      </c>
      <c r="U121" s="338">
        <f t="shared" si="144"/>
        <v>0</v>
      </c>
      <c r="V121" s="329">
        <f t="shared" si="136"/>
        <v>0</v>
      </c>
      <c r="W121" s="338">
        <f t="shared" si="145"/>
        <v>0</v>
      </c>
      <c r="X121" s="35"/>
    </row>
    <row r="122" spans="1:24" x14ac:dyDescent="0.25">
      <c r="A122" s="335">
        <f>A121+1</f>
        <v>43616</v>
      </c>
      <c r="B122" s="329">
        <f t="shared" si="127"/>
        <v>0</v>
      </c>
      <c r="C122" s="338">
        <f t="shared" si="148"/>
        <v>15000000</v>
      </c>
      <c r="D122" s="329">
        <f t="shared" si="117"/>
        <v>0</v>
      </c>
      <c r="E122" s="338">
        <f t="shared" si="149"/>
        <v>8800000</v>
      </c>
      <c r="F122" s="329">
        <f t="shared" si="128"/>
        <v>0</v>
      </c>
      <c r="G122" s="338">
        <f t="shared" si="137"/>
        <v>0</v>
      </c>
      <c r="H122" s="329">
        <f t="shared" si="129"/>
        <v>0</v>
      </c>
      <c r="I122" s="338">
        <f t="shared" si="138"/>
        <v>0</v>
      </c>
      <c r="J122" s="329">
        <f t="shared" si="130"/>
        <v>0</v>
      </c>
      <c r="K122" s="338">
        <f t="shared" si="139"/>
        <v>0</v>
      </c>
      <c r="L122" s="329">
        <f t="shared" si="131"/>
        <v>0</v>
      </c>
      <c r="M122" s="338">
        <f t="shared" si="140"/>
        <v>0</v>
      </c>
      <c r="N122" s="329">
        <f t="shared" si="132"/>
        <v>0</v>
      </c>
      <c r="O122" s="338">
        <f t="shared" si="141"/>
        <v>0</v>
      </c>
      <c r="P122" s="329">
        <f t="shared" si="133"/>
        <v>0</v>
      </c>
      <c r="Q122" s="338">
        <f t="shared" si="142"/>
        <v>0</v>
      </c>
      <c r="R122" s="329">
        <f t="shared" si="134"/>
        <v>0</v>
      </c>
      <c r="S122" s="338">
        <f t="shared" si="143"/>
        <v>0</v>
      </c>
      <c r="T122" s="329">
        <f t="shared" si="135"/>
        <v>0</v>
      </c>
      <c r="U122" s="338">
        <f t="shared" si="144"/>
        <v>0</v>
      </c>
      <c r="V122" s="329">
        <f t="shared" si="136"/>
        <v>0</v>
      </c>
      <c r="W122" s="338">
        <f t="shared" si="145"/>
        <v>0</v>
      </c>
      <c r="X122" s="35"/>
    </row>
    <row r="123" spans="1:24" x14ac:dyDescent="0.25">
      <c r="A123" s="336">
        <f>A122+3</f>
        <v>43619</v>
      </c>
      <c r="B123" s="329">
        <f t="shared" si="127"/>
        <v>0</v>
      </c>
      <c r="C123" s="338">
        <f t="shared" si="148"/>
        <v>15000000</v>
      </c>
      <c r="D123" s="329">
        <f t="shared" si="117"/>
        <v>0</v>
      </c>
      <c r="E123" s="338">
        <f t="shared" si="149"/>
        <v>8800000</v>
      </c>
      <c r="F123" s="329">
        <f t="shared" si="128"/>
        <v>0</v>
      </c>
      <c r="G123" s="338">
        <f t="shared" si="137"/>
        <v>0</v>
      </c>
      <c r="H123" s="329">
        <f t="shared" si="129"/>
        <v>0</v>
      </c>
      <c r="I123" s="338">
        <f t="shared" si="138"/>
        <v>0</v>
      </c>
      <c r="J123" s="329">
        <f t="shared" si="130"/>
        <v>0</v>
      </c>
      <c r="K123" s="338">
        <f t="shared" si="139"/>
        <v>0</v>
      </c>
      <c r="L123" s="329">
        <f t="shared" si="131"/>
        <v>0</v>
      </c>
      <c r="M123" s="338">
        <f t="shared" si="140"/>
        <v>0</v>
      </c>
      <c r="N123" s="329">
        <f t="shared" si="132"/>
        <v>0</v>
      </c>
      <c r="O123" s="338">
        <f t="shared" si="141"/>
        <v>0</v>
      </c>
      <c r="P123" s="329">
        <f t="shared" si="133"/>
        <v>0</v>
      </c>
      <c r="Q123" s="338">
        <f t="shared" si="142"/>
        <v>0</v>
      </c>
      <c r="R123" s="329">
        <f t="shared" si="134"/>
        <v>0</v>
      </c>
      <c r="S123" s="338">
        <f t="shared" si="143"/>
        <v>0</v>
      </c>
      <c r="T123" s="329">
        <f t="shared" si="135"/>
        <v>0</v>
      </c>
      <c r="U123" s="338">
        <f t="shared" si="144"/>
        <v>0</v>
      </c>
      <c r="V123" s="329">
        <f t="shared" si="136"/>
        <v>0</v>
      </c>
      <c r="W123" s="338">
        <f t="shared" si="145"/>
        <v>0</v>
      </c>
      <c r="X123" s="35"/>
    </row>
    <row r="124" spans="1:24" x14ac:dyDescent="0.25">
      <c r="A124" s="335">
        <f>A123+1</f>
        <v>43620</v>
      </c>
      <c r="B124" s="329">
        <f t="shared" si="127"/>
        <v>0</v>
      </c>
      <c r="C124" s="338">
        <f t="shared" si="148"/>
        <v>15000000</v>
      </c>
      <c r="D124" s="329">
        <f t="shared" si="117"/>
        <v>0</v>
      </c>
      <c r="E124" s="338">
        <f t="shared" si="149"/>
        <v>8800000</v>
      </c>
      <c r="F124" s="329">
        <f t="shared" si="128"/>
        <v>7450000</v>
      </c>
      <c r="G124" s="338">
        <f t="shared" si="137"/>
        <v>7450000</v>
      </c>
      <c r="H124" s="329">
        <f t="shared" si="129"/>
        <v>0</v>
      </c>
      <c r="I124" s="338">
        <f t="shared" si="138"/>
        <v>0</v>
      </c>
      <c r="J124" s="329">
        <f t="shared" si="130"/>
        <v>0</v>
      </c>
      <c r="K124" s="338">
        <f t="shared" si="139"/>
        <v>0</v>
      </c>
      <c r="L124" s="329">
        <f t="shared" si="131"/>
        <v>0</v>
      </c>
      <c r="M124" s="338">
        <f t="shared" si="140"/>
        <v>0</v>
      </c>
      <c r="N124" s="329">
        <f t="shared" si="132"/>
        <v>0</v>
      </c>
      <c r="O124" s="338">
        <f t="shared" si="141"/>
        <v>0</v>
      </c>
      <c r="P124" s="329">
        <f t="shared" si="133"/>
        <v>0</v>
      </c>
      <c r="Q124" s="338">
        <f t="shared" si="142"/>
        <v>0</v>
      </c>
      <c r="R124" s="329">
        <f t="shared" si="134"/>
        <v>0</v>
      </c>
      <c r="S124" s="338">
        <f t="shared" si="143"/>
        <v>0</v>
      </c>
      <c r="T124" s="329">
        <f t="shared" si="135"/>
        <v>0</v>
      </c>
      <c r="U124" s="338">
        <f t="shared" si="144"/>
        <v>0</v>
      </c>
      <c r="V124" s="329">
        <f t="shared" si="136"/>
        <v>0</v>
      </c>
      <c r="W124" s="338">
        <f t="shared" si="145"/>
        <v>0</v>
      </c>
      <c r="X124" s="35"/>
    </row>
    <row r="125" spans="1:24" x14ac:dyDescent="0.25">
      <c r="A125" s="335">
        <f>A124+1</f>
        <v>43621</v>
      </c>
      <c r="B125" s="329">
        <f t="shared" si="127"/>
        <v>0</v>
      </c>
      <c r="C125" s="338">
        <f t="shared" si="148"/>
        <v>15000000</v>
      </c>
      <c r="D125" s="329">
        <f t="shared" si="117"/>
        <v>0</v>
      </c>
      <c r="E125" s="338">
        <f t="shared" si="149"/>
        <v>8800000</v>
      </c>
      <c r="F125" s="329">
        <f t="shared" si="128"/>
        <v>0</v>
      </c>
      <c r="G125" s="338">
        <f t="shared" si="137"/>
        <v>7450000</v>
      </c>
      <c r="H125" s="329">
        <f t="shared" si="129"/>
        <v>0</v>
      </c>
      <c r="I125" s="338">
        <f t="shared" si="138"/>
        <v>0</v>
      </c>
      <c r="J125" s="329">
        <f t="shared" si="130"/>
        <v>0</v>
      </c>
      <c r="K125" s="338">
        <f t="shared" si="139"/>
        <v>0</v>
      </c>
      <c r="L125" s="329">
        <f t="shared" si="131"/>
        <v>0</v>
      </c>
      <c r="M125" s="338">
        <f t="shared" si="140"/>
        <v>0</v>
      </c>
      <c r="N125" s="329">
        <f t="shared" si="132"/>
        <v>0</v>
      </c>
      <c r="O125" s="338">
        <f t="shared" si="141"/>
        <v>0</v>
      </c>
      <c r="P125" s="329">
        <f t="shared" si="133"/>
        <v>0</v>
      </c>
      <c r="Q125" s="338">
        <f t="shared" si="142"/>
        <v>0</v>
      </c>
      <c r="R125" s="329">
        <f t="shared" si="134"/>
        <v>0</v>
      </c>
      <c r="S125" s="338">
        <f t="shared" si="143"/>
        <v>0</v>
      </c>
      <c r="T125" s="329">
        <f t="shared" si="135"/>
        <v>0</v>
      </c>
      <c r="U125" s="338">
        <f t="shared" si="144"/>
        <v>0</v>
      </c>
      <c r="V125" s="329">
        <f t="shared" si="136"/>
        <v>0</v>
      </c>
      <c r="W125" s="338">
        <f t="shared" si="145"/>
        <v>0</v>
      </c>
      <c r="X125" s="35"/>
    </row>
    <row r="126" spans="1:24" x14ac:dyDescent="0.25">
      <c r="A126" s="335">
        <f>A125+1</f>
        <v>43622</v>
      </c>
      <c r="B126" s="329">
        <f t="shared" si="127"/>
        <v>0</v>
      </c>
      <c r="C126" s="338">
        <f t="shared" si="148"/>
        <v>15000000</v>
      </c>
      <c r="D126" s="329">
        <f t="shared" si="117"/>
        <v>0</v>
      </c>
      <c r="E126" s="338">
        <f t="shared" si="149"/>
        <v>8800000</v>
      </c>
      <c r="F126" s="329">
        <f t="shared" si="128"/>
        <v>0</v>
      </c>
      <c r="G126" s="338">
        <f t="shared" si="137"/>
        <v>7450000</v>
      </c>
      <c r="H126" s="329">
        <f t="shared" si="129"/>
        <v>0</v>
      </c>
      <c r="I126" s="338">
        <f t="shared" si="138"/>
        <v>0</v>
      </c>
      <c r="J126" s="329">
        <f t="shared" si="130"/>
        <v>0</v>
      </c>
      <c r="K126" s="338">
        <f t="shared" si="139"/>
        <v>0</v>
      </c>
      <c r="L126" s="329">
        <f t="shared" si="131"/>
        <v>0</v>
      </c>
      <c r="M126" s="338">
        <f t="shared" si="140"/>
        <v>0</v>
      </c>
      <c r="N126" s="329">
        <f t="shared" si="132"/>
        <v>0</v>
      </c>
      <c r="O126" s="338">
        <f t="shared" si="141"/>
        <v>0</v>
      </c>
      <c r="P126" s="329">
        <f t="shared" si="133"/>
        <v>0</v>
      </c>
      <c r="Q126" s="338">
        <f t="shared" si="142"/>
        <v>0</v>
      </c>
      <c r="R126" s="329">
        <f t="shared" si="134"/>
        <v>0</v>
      </c>
      <c r="S126" s="338">
        <f t="shared" si="143"/>
        <v>0</v>
      </c>
      <c r="T126" s="329">
        <f t="shared" si="135"/>
        <v>0</v>
      </c>
      <c r="U126" s="338">
        <f t="shared" si="144"/>
        <v>0</v>
      </c>
      <c r="V126" s="329">
        <f t="shared" si="136"/>
        <v>0</v>
      </c>
      <c r="W126" s="338">
        <f t="shared" si="145"/>
        <v>0</v>
      </c>
      <c r="X126" s="35"/>
    </row>
    <row r="127" spans="1:24" x14ac:dyDescent="0.25">
      <c r="A127" s="335">
        <f>A126+1</f>
        <v>43623</v>
      </c>
      <c r="B127" s="329">
        <f t="shared" si="127"/>
        <v>0</v>
      </c>
      <c r="C127" s="338">
        <f t="shared" si="148"/>
        <v>15000000</v>
      </c>
      <c r="D127" s="329">
        <f t="shared" si="117"/>
        <v>0</v>
      </c>
      <c r="E127" s="338">
        <f t="shared" si="149"/>
        <v>8800000</v>
      </c>
      <c r="F127" s="329">
        <f t="shared" si="128"/>
        <v>0</v>
      </c>
      <c r="G127" s="338">
        <f t="shared" si="137"/>
        <v>7450000</v>
      </c>
      <c r="H127" s="329">
        <f t="shared" si="129"/>
        <v>0</v>
      </c>
      <c r="I127" s="338">
        <f t="shared" si="138"/>
        <v>0</v>
      </c>
      <c r="J127" s="329">
        <f t="shared" si="130"/>
        <v>0</v>
      </c>
      <c r="K127" s="338">
        <f t="shared" si="139"/>
        <v>0</v>
      </c>
      <c r="L127" s="329">
        <f t="shared" si="131"/>
        <v>0</v>
      </c>
      <c r="M127" s="338">
        <f t="shared" si="140"/>
        <v>0</v>
      </c>
      <c r="N127" s="329">
        <f t="shared" si="132"/>
        <v>0</v>
      </c>
      <c r="O127" s="338">
        <f t="shared" si="141"/>
        <v>0</v>
      </c>
      <c r="P127" s="329">
        <f t="shared" si="133"/>
        <v>0</v>
      </c>
      <c r="Q127" s="338">
        <f t="shared" si="142"/>
        <v>0</v>
      </c>
      <c r="R127" s="329">
        <f t="shared" si="134"/>
        <v>0</v>
      </c>
      <c r="S127" s="338">
        <f t="shared" si="143"/>
        <v>0</v>
      </c>
      <c r="T127" s="329">
        <f t="shared" si="135"/>
        <v>0</v>
      </c>
      <c r="U127" s="338">
        <f t="shared" si="144"/>
        <v>0</v>
      </c>
      <c r="V127" s="329">
        <f t="shared" si="136"/>
        <v>0</v>
      </c>
      <c r="W127" s="338">
        <f t="shared" si="145"/>
        <v>0</v>
      </c>
      <c r="X127" s="35"/>
    </row>
    <row r="128" spans="1:24" x14ac:dyDescent="0.25">
      <c r="A128" s="336">
        <f>A127+3</f>
        <v>43626</v>
      </c>
      <c r="B128" s="329">
        <f t="shared" si="127"/>
        <v>0</v>
      </c>
      <c r="C128" s="338">
        <f t="shared" si="148"/>
        <v>15000000</v>
      </c>
      <c r="D128" s="329">
        <f t="shared" si="117"/>
        <v>0</v>
      </c>
      <c r="E128" s="338">
        <f t="shared" si="149"/>
        <v>8800000</v>
      </c>
      <c r="F128" s="329">
        <f t="shared" si="128"/>
        <v>0</v>
      </c>
      <c r="G128" s="338">
        <f t="shared" si="137"/>
        <v>7450000</v>
      </c>
      <c r="H128" s="329">
        <f t="shared" si="129"/>
        <v>0</v>
      </c>
      <c r="I128" s="338">
        <f t="shared" si="138"/>
        <v>0</v>
      </c>
      <c r="J128" s="329">
        <f t="shared" si="130"/>
        <v>0</v>
      </c>
      <c r="K128" s="338">
        <f t="shared" si="139"/>
        <v>0</v>
      </c>
      <c r="L128" s="329">
        <f t="shared" si="131"/>
        <v>0</v>
      </c>
      <c r="M128" s="338">
        <f t="shared" si="140"/>
        <v>0</v>
      </c>
      <c r="N128" s="329">
        <f t="shared" si="132"/>
        <v>0</v>
      </c>
      <c r="O128" s="338">
        <f t="shared" si="141"/>
        <v>0</v>
      </c>
      <c r="P128" s="329">
        <f t="shared" si="133"/>
        <v>0</v>
      </c>
      <c r="Q128" s="338">
        <f t="shared" si="142"/>
        <v>0</v>
      </c>
      <c r="R128" s="329">
        <f t="shared" si="134"/>
        <v>0</v>
      </c>
      <c r="S128" s="338">
        <f t="shared" si="143"/>
        <v>0</v>
      </c>
      <c r="T128" s="329">
        <f t="shared" si="135"/>
        <v>0</v>
      </c>
      <c r="U128" s="338">
        <f t="shared" si="144"/>
        <v>0</v>
      </c>
      <c r="V128" s="329">
        <f t="shared" si="136"/>
        <v>0</v>
      </c>
      <c r="W128" s="338">
        <f t="shared" si="145"/>
        <v>0</v>
      </c>
      <c r="X128" s="35"/>
    </row>
    <row r="129" spans="1:24" x14ac:dyDescent="0.25">
      <c r="A129" s="335">
        <f>A128+1</f>
        <v>43627</v>
      </c>
      <c r="B129" s="329">
        <f t="shared" si="127"/>
        <v>0</v>
      </c>
      <c r="C129" s="338">
        <f t="shared" si="148"/>
        <v>15000000</v>
      </c>
      <c r="D129" s="329">
        <f t="shared" si="117"/>
        <v>0</v>
      </c>
      <c r="E129" s="338">
        <f t="shared" si="149"/>
        <v>8800000</v>
      </c>
      <c r="F129" s="329">
        <f t="shared" si="128"/>
        <v>0</v>
      </c>
      <c r="G129" s="338">
        <f t="shared" si="137"/>
        <v>7450000</v>
      </c>
      <c r="H129" s="329">
        <f t="shared" si="129"/>
        <v>0</v>
      </c>
      <c r="I129" s="338">
        <f t="shared" si="138"/>
        <v>0</v>
      </c>
      <c r="J129" s="329">
        <f t="shared" si="130"/>
        <v>0</v>
      </c>
      <c r="K129" s="338">
        <f t="shared" si="139"/>
        <v>0</v>
      </c>
      <c r="L129" s="329">
        <f t="shared" si="131"/>
        <v>0</v>
      </c>
      <c r="M129" s="338">
        <f t="shared" si="140"/>
        <v>0</v>
      </c>
      <c r="N129" s="329">
        <f t="shared" si="132"/>
        <v>0</v>
      </c>
      <c r="O129" s="338">
        <f t="shared" si="141"/>
        <v>0</v>
      </c>
      <c r="P129" s="329">
        <f t="shared" si="133"/>
        <v>0</v>
      </c>
      <c r="Q129" s="338">
        <f t="shared" si="142"/>
        <v>0</v>
      </c>
      <c r="R129" s="329">
        <f t="shared" si="134"/>
        <v>0</v>
      </c>
      <c r="S129" s="338">
        <f t="shared" si="143"/>
        <v>0</v>
      </c>
      <c r="T129" s="329">
        <f t="shared" si="135"/>
        <v>0</v>
      </c>
      <c r="U129" s="338">
        <f t="shared" si="144"/>
        <v>0</v>
      </c>
      <c r="V129" s="329">
        <f t="shared" si="136"/>
        <v>0</v>
      </c>
      <c r="W129" s="338">
        <f t="shared" si="145"/>
        <v>0</v>
      </c>
      <c r="X129" s="35"/>
    </row>
    <row r="130" spans="1:24" x14ac:dyDescent="0.25">
      <c r="A130" s="335">
        <f>A129+1</f>
        <v>43628</v>
      </c>
      <c r="B130" s="329">
        <f t="shared" si="127"/>
        <v>0</v>
      </c>
      <c r="C130" s="338">
        <f t="shared" si="148"/>
        <v>15000000</v>
      </c>
      <c r="D130" s="329">
        <f t="shared" si="117"/>
        <v>0</v>
      </c>
      <c r="E130" s="338">
        <f t="shared" si="149"/>
        <v>8800000</v>
      </c>
      <c r="F130" s="329">
        <f t="shared" si="128"/>
        <v>0</v>
      </c>
      <c r="G130" s="338">
        <f t="shared" si="137"/>
        <v>7450000</v>
      </c>
      <c r="H130" s="329">
        <f t="shared" si="129"/>
        <v>0</v>
      </c>
      <c r="I130" s="338">
        <f t="shared" si="138"/>
        <v>0</v>
      </c>
      <c r="J130" s="329">
        <f t="shared" si="130"/>
        <v>0</v>
      </c>
      <c r="K130" s="338">
        <f t="shared" si="139"/>
        <v>0</v>
      </c>
      <c r="L130" s="329">
        <f t="shared" si="131"/>
        <v>0</v>
      </c>
      <c r="M130" s="338">
        <f t="shared" si="140"/>
        <v>0</v>
      </c>
      <c r="N130" s="329">
        <f t="shared" si="132"/>
        <v>0</v>
      </c>
      <c r="O130" s="338">
        <f t="shared" si="141"/>
        <v>0</v>
      </c>
      <c r="P130" s="329">
        <f t="shared" si="133"/>
        <v>0</v>
      </c>
      <c r="Q130" s="338">
        <f t="shared" si="142"/>
        <v>0</v>
      </c>
      <c r="R130" s="329">
        <f t="shared" si="134"/>
        <v>0</v>
      </c>
      <c r="S130" s="338">
        <f t="shared" si="143"/>
        <v>0</v>
      </c>
      <c r="T130" s="329">
        <f t="shared" si="135"/>
        <v>0</v>
      </c>
      <c r="U130" s="338">
        <f t="shared" si="144"/>
        <v>0</v>
      </c>
      <c r="V130" s="329">
        <f t="shared" si="136"/>
        <v>0</v>
      </c>
      <c r="W130" s="338">
        <f t="shared" si="145"/>
        <v>0</v>
      </c>
      <c r="X130" s="35"/>
    </row>
    <row r="131" spans="1:24" x14ac:dyDescent="0.25">
      <c r="A131" s="335">
        <f>A130+1</f>
        <v>43629</v>
      </c>
      <c r="B131" s="329">
        <f t="shared" si="127"/>
        <v>0</v>
      </c>
      <c r="C131" s="338">
        <f t="shared" si="148"/>
        <v>15000000</v>
      </c>
      <c r="D131" s="329">
        <f t="shared" si="117"/>
        <v>0</v>
      </c>
      <c r="E131" s="338">
        <f t="shared" si="149"/>
        <v>8800000</v>
      </c>
      <c r="F131" s="329">
        <f t="shared" si="128"/>
        <v>0</v>
      </c>
      <c r="G131" s="338">
        <f t="shared" si="137"/>
        <v>7450000</v>
      </c>
      <c r="H131" s="329">
        <f t="shared" si="129"/>
        <v>0</v>
      </c>
      <c r="I131" s="338">
        <f t="shared" si="138"/>
        <v>0</v>
      </c>
      <c r="J131" s="329">
        <f t="shared" si="130"/>
        <v>0</v>
      </c>
      <c r="K131" s="338">
        <f t="shared" si="139"/>
        <v>0</v>
      </c>
      <c r="L131" s="329">
        <f t="shared" si="131"/>
        <v>0</v>
      </c>
      <c r="M131" s="338">
        <f t="shared" si="140"/>
        <v>0</v>
      </c>
      <c r="N131" s="329">
        <f t="shared" si="132"/>
        <v>0</v>
      </c>
      <c r="O131" s="338">
        <f t="shared" si="141"/>
        <v>0</v>
      </c>
      <c r="P131" s="329">
        <f t="shared" si="133"/>
        <v>0</v>
      </c>
      <c r="Q131" s="338">
        <f t="shared" si="142"/>
        <v>0</v>
      </c>
      <c r="R131" s="329">
        <f t="shared" si="134"/>
        <v>0</v>
      </c>
      <c r="S131" s="338">
        <f t="shared" si="143"/>
        <v>0</v>
      </c>
      <c r="T131" s="329">
        <f t="shared" si="135"/>
        <v>0</v>
      </c>
      <c r="U131" s="338">
        <f t="shared" si="144"/>
        <v>0</v>
      </c>
      <c r="V131" s="329">
        <f t="shared" si="136"/>
        <v>0</v>
      </c>
      <c r="W131" s="338">
        <f t="shared" si="145"/>
        <v>0</v>
      </c>
      <c r="X131" s="35"/>
    </row>
    <row r="132" spans="1:24" x14ac:dyDescent="0.25">
      <c r="A132" s="335">
        <f>A131+1</f>
        <v>43630</v>
      </c>
      <c r="B132" s="329">
        <f t="shared" si="127"/>
        <v>0</v>
      </c>
      <c r="C132" s="338">
        <f t="shared" si="148"/>
        <v>15000000</v>
      </c>
      <c r="D132" s="329">
        <f t="shared" si="117"/>
        <v>0</v>
      </c>
      <c r="E132" s="338">
        <f t="shared" si="149"/>
        <v>8800000</v>
      </c>
      <c r="F132" s="329">
        <f t="shared" si="128"/>
        <v>0</v>
      </c>
      <c r="G132" s="338">
        <f t="shared" ref="G132:G137" si="150">F132+G131</f>
        <v>7450000</v>
      </c>
      <c r="H132" s="329">
        <f t="shared" si="129"/>
        <v>0</v>
      </c>
      <c r="I132" s="338">
        <f t="shared" si="138"/>
        <v>0</v>
      </c>
      <c r="J132" s="329">
        <f t="shared" si="130"/>
        <v>0</v>
      </c>
      <c r="K132" s="338">
        <f t="shared" si="139"/>
        <v>0</v>
      </c>
      <c r="L132" s="329">
        <f t="shared" si="131"/>
        <v>0</v>
      </c>
      <c r="M132" s="338">
        <f t="shared" si="140"/>
        <v>0</v>
      </c>
      <c r="N132" s="329">
        <f t="shared" si="132"/>
        <v>0</v>
      </c>
      <c r="O132" s="338">
        <f t="shared" si="141"/>
        <v>0</v>
      </c>
      <c r="P132" s="329">
        <f t="shared" si="133"/>
        <v>0</v>
      </c>
      <c r="Q132" s="338">
        <f t="shared" si="142"/>
        <v>0</v>
      </c>
      <c r="R132" s="329">
        <f t="shared" si="134"/>
        <v>0</v>
      </c>
      <c r="S132" s="338">
        <f t="shared" si="143"/>
        <v>0</v>
      </c>
      <c r="T132" s="329">
        <f t="shared" si="135"/>
        <v>0</v>
      </c>
      <c r="U132" s="338">
        <f t="shared" si="144"/>
        <v>0</v>
      </c>
      <c r="V132" s="329">
        <f t="shared" si="136"/>
        <v>0</v>
      </c>
      <c r="W132" s="338">
        <f t="shared" si="145"/>
        <v>0</v>
      </c>
      <c r="X132" s="35"/>
    </row>
    <row r="133" spans="1:24" x14ac:dyDescent="0.25">
      <c r="A133" s="336">
        <f>A132+3</f>
        <v>43633</v>
      </c>
      <c r="B133" s="329">
        <f t="shared" si="127"/>
        <v>0</v>
      </c>
      <c r="C133" s="338">
        <f>B133+C132</f>
        <v>15000000</v>
      </c>
      <c r="D133" s="329">
        <f t="shared" si="117"/>
        <v>0</v>
      </c>
      <c r="E133" s="338">
        <f>D133+E132</f>
        <v>8800000</v>
      </c>
      <c r="F133" s="329">
        <f t="shared" si="128"/>
        <v>0</v>
      </c>
      <c r="G133" s="338">
        <f t="shared" si="150"/>
        <v>7450000</v>
      </c>
      <c r="H133" s="329">
        <f t="shared" si="129"/>
        <v>0</v>
      </c>
      <c r="I133" s="338">
        <f t="shared" si="138"/>
        <v>0</v>
      </c>
      <c r="J133" s="329">
        <f t="shared" si="130"/>
        <v>0</v>
      </c>
      <c r="K133" s="338">
        <f t="shared" si="139"/>
        <v>0</v>
      </c>
      <c r="L133" s="329">
        <f t="shared" si="131"/>
        <v>0</v>
      </c>
      <c r="M133" s="338">
        <f t="shared" si="140"/>
        <v>0</v>
      </c>
      <c r="N133" s="329">
        <f t="shared" si="132"/>
        <v>0</v>
      </c>
      <c r="O133" s="338">
        <f t="shared" si="141"/>
        <v>0</v>
      </c>
      <c r="P133" s="329">
        <f t="shared" si="133"/>
        <v>0</v>
      </c>
      <c r="Q133" s="338">
        <f t="shared" si="142"/>
        <v>0</v>
      </c>
      <c r="R133" s="329">
        <f t="shared" si="134"/>
        <v>0</v>
      </c>
      <c r="S133" s="338">
        <f t="shared" si="143"/>
        <v>0</v>
      </c>
      <c r="T133" s="329">
        <f t="shared" si="135"/>
        <v>0</v>
      </c>
      <c r="U133" s="338">
        <f t="shared" si="144"/>
        <v>0</v>
      </c>
      <c r="V133" s="329">
        <f t="shared" si="136"/>
        <v>0</v>
      </c>
      <c r="W133" s="338">
        <f t="shared" si="145"/>
        <v>0</v>
      </c>
      <c r="X133" s="35"/>
    </row>
    <row r="134" spans="1:24" x14ac:dyDescent="0.25">
      <c r="A134" s="335">
        <f>A133+1</f>
        <v>43634</v>
      </c>
      <c r="B134" s="329">
        <f t="shared" si="127"/>
        <v>5000000</v>
      </c>
      <c r="C134" s="338">
        <f>B134+C133</f>
        <v>20000000</v>
      </c>
      <c r="D134" s="329">
        <f t="shared" si="117"/>
        <v>0</v>
      </c>
      <c r="E134" s="338">
        <f>D134+E133</f>
        <v>8800000</v>
      </c>
      <c r="F134" s="329">
        <f t="shared" si="128"/>
        <v>0</v>
      </c>
      <c r="G134" s="338">
        <f t="shared" si="150"/>
        <v>7450000</v>
      </c>
      <c r="H134" s="329">
        <f t="shared" si="129"/>
        <v>0</v>
      </c>
      <c r="I134" s="338">
        <f t="shared" si="138"/>
        <v>0</v>
      </c>
      <c r="J134" s="329">
        <f t="shared" si="130"/>
        <v>0</v>
      </c>
      <c r="K134" s="338">
        <f t="shared" si="139"/>
        <v>0</v>
      </c>
      <c r="L134" s="329">
        <f t="shared" si="131"/>
        <v>0</v>
      </c>
      <c r="M134" s="338">
        <f t="shared" si="140"/>
        <v>0</v>
      </c>
      <c r="N134" s="329">
        <f t="shared" si="132"/>
        <v>0</v>
      </c>
      <c r="O134" s="338">
        <f t="shared" si="141"/>
        <v>0</v>
      </c>
      <c r="P134" s="329">
        <f t="shared" si="133"/>
        <v>0</v>
      </c>
      <c r="Q134" s="338">
        <f t="shared" si="142"/>
        <v>0</v>
      </c>
      <c r="R134" s="329">
        <f t="shared" si="134"/>
        <v>0</v>
      </c>
      <c r="S134" s="338">
        <f t="shared" si="143"/>
        <v>0</v>
      </c>
      <c r="T134" s="329">
        <f t="shared" si="135"/>
        <v>0</v>
      </c>
      <c r="U134" s="338">
        <f t="shared" si="144"/>
        <v>0</v>
      </c>
      <c r="V134" s="329">
        <f t="shared" si="136"/>
        <v>0</v>
      </c>
      <c r="W134" s="338">
        <f t="shared" si="145"/>
        <v>0</v>
      </c>
      <c r="X134" s="35"/>
    </row>
    <row r="135" spans="1:24" x14ac:dyDescent="0.25">
      <c r="A135" s="335">
        <f>A134+1</f>
        <v>43635</v>
      </c>
      <c r="B135" s="329">
        <f t="shared" si="127"/>
        <v>0</v>
      </c>
      <c r="C135" s="338">
        <f>B135+C134</f>
        <v>20000000</v>
      </c>
      <c r="D135" s="329">
        <f t="shared" si="117"/>
        <v>0</v>
      </c>
      <c r="E135" s="338">
        <f>D135+E134</f>
        <v>8800000</v>
      </c>
      <c r="F135" s="329">
        <f t="shared" si="128"/>
        <v>0</v>
      </c>
      <c r="G135" s="338">
        <f t="shared" si="150"/>
        <v>7450000</v>
      </c>
      <c r="H135" s="329">
        <f t="shared" si="129"/>
        <v>0</v>
      </c>
      <c r="I135" s="338">
        <f t="shared" si="138"/>
        <v>0</v>
      </c>
      <c r="J135" s="329">
        <f t="shared" si="130"/>
        <v>0</v>
      </c>
      <c r="K135" s="338">
        <f t="shared" si="139"/>
        <v>0</v>
      </c>
      <c r="L135" s="329">
        <f t="shared" si="131"/>
        <v>0</v>
      </c>
      <c r="M135" s="338">
        <f t="shared" si="140"/>
        <v>0</v>
      </c>
      <c r="N135" s="329">
        <f t="shared" si="132"/>
        <v>0</v>
      </c>
      <c r="O135" s="338">
        <f t="shared" si="141"/>
        <v>0</v>
      </c>
      <c r="P135" s="329">
        <f t="shared" si="133"/>
        <v>0</v>
      </c>
      <c r="Q135" s="338">
        <f t="shared" si="142"/>
        <v>0</v>
      </c>
      <c r="R135" s="329">
        <f t="shared" si="134"/>
        <v>0</v>
      </c>
      <c r="S135" s="338">
        <f t="shared" si="143"/>
        <v>0</v>
      </c>
      <c r="T135" s="329">
        <f t="shared" si="135"/>
        <v>0</v>
      </c>
      <c r="U135" s="338">
        <f t="shared" si="144"/>
        <v>0</v>
      </c>
      <c r="V135" s="329">
        <f t="shared" si="136"/>
        <v>0</v>
      </c>
      <c r="W135" s="338">
        <f t="shared" si="145"/>
        <v>0</v>
      </c>
      <c r="X135" s="35"/>
    </row>
    <row r="136" spans="1:24" x14ac:dyDescent="0.25">
      <c r="A136" s="335">
        <f>A135+1</f>
        <v>43636</v>
      </c>
      <c r="B136" s="329">
        <f t="shared" si="127"/>
        <v>0</v>
      </c>
      <c r="C136" s="338">
        <f>B136+C135</f>
        <v>20000000</v>
      </c>
      <c r="D136" s="329">
        <f t="shared" si="117"/>
        <v>0</v>
      </c>
      <c r="E136" s="338">
        <f>D136+E135</f>
        <v>8800000</v>
      </c>
      <c r="F136" s="329">
        <f t="shared" si="128"/>
        <v>0</v>
      </c>
      <c r="G136" s="338">
        <f t="shared" si="150"/>
        <v>7450000</v>
      </c>
      <c r="H136" s="329">
        <f t="shared" si="129"/>
        <v>0</v>
      </c>
      <c r="I136" s="338">
        <f t="shared" si="138"/>
        <v>0</v>
      </c>
      <c r="J136" s="329">
        <f t="shared" si="130"/>
        <v>0</v>
      </c>
      <c r="K136" s="338">
        <f t="shared" si="139"/>
        <v>0</v>
      </c>
      <c r="L136" s="329">
        <f t="shared" si="131"/>
        <v>0</v>
      </c>
      <c r="M136" s="338">
        <f t="shared" si="140"/>
        <v>0</v>
      </c>
      <c r="N136" s="329">
        <f t="shared" si="132"/>
        <v>0</v>
      </c>
      <c r="O136" s="338">
        <f t="shared" si="141"/>
        <v>0</v>
      </c>
      <c r="P136" s="329">
        <f t="shared" si="133"/>
        <v>0</v>
      </c>
      <c r="Q136" s="338">
        <f t="shared" si="142"/>
        <v>0</v>
      </c>
      <c r="R136" s="329">
        <f t="shared" si="134"/>
        <v>0</v>
      </c>
      <c r="S136" s="338">
        <f t="shared" si="143"/>
        <v>0</v>
      </c>
      <c r="T136" s="329">
        <f t="shared" si="135"/>
        <v>0</v>
      </c>
      <c r="U136" s="338">
        <f t="shared" si="144"/>
        <v>0</v>
      </c>
      <c r="V136" s="329">
        <f t="shared" si="136"/>
        <v>0</v>
      </c>
      <c r="W136" s="338">
        <f t="shared" si="145"/>
        <v>0</v>
      </c>
      <c r="X136" s="35"/>
    </row>
    <row r="137" spans="1:24" x14ac:dyDescent="0.25">
      <c r="A137" s="335">
        <f>A136+1</f>
        <v>43637</v>
      </c>
      <c r="B137" s="329">
        <f t="shared" si="127"/>
        <v>0</v>
      </c>
      <c r="C137" s="338">
        <f>B137+C136</f>
        <v>20000000</v>
      </c>
      <c r="D137" s="329">
        <f t="shared" si="117"/>
        <v>0</v>
      </c>
      <c r="E137" s="338">
        <f>D137+E136</f>
        <v>8800000</v>
      </c>
      <c r="F137" s="329">
        <f t="shared" si="128"/>
        <v>0</v>
      </c>
      <c r="G137" s="338">
        <f t="shared" si="150"/>
        <v>7450000</v>
      </c>
      <c r="H137" s="329">
        <f t="shared" si="129"/>
        <v>0</v>
      </c>
      <c r="I137" s="338">
        <f t="shared" si="138"/>
        <v>0</v>
      </c>
      <c r="J137" s="329">
        <f t="shared" si="130"/>
        <v>0</v>
      </c>
      <c r="K137" s="338">
        <f t="shared" si="139"/>
        <v>0</v>
      </c>
      <c r="L137" s="329">
        <f t="shared" si="131"/>
        <v>0</v>
      </c>
      <c r="M137" s="338">
        <f t="shared" si="140"/>
        <v>0</v>
      </c>
      <c r="N137" s="329">
        <f t="shared" si="132"/>
        <v>0</v>
      </c>
      <c r="O137" s="338">
        <f t="shared" si="141"/>
        <v>0</v>
      </c>
      <c r="P137" s="329">
        <f t="shared" si="133"/>
        <v>0</v>
      </c>
      <c r="Q137" s="338">
        <f t="shared" si="142"/>
        <v>0</v>
      </c>
      <c r="R137" s="329">
        <f t="shared" si="134"/>
        <v>0</v>
      </c>
      <c r="S137" s="338">
        <f t="shared" si="143"/>
        <v>0</v>
      </c>
      <c r="T137" s="329">
        <f t="shared" si="135"/>
        <v>0</v>
      </c>
      <c r="U137" s="338">
        <f t="shared" si="144"/>
        <v>0</v>
      </c>
      <c r="V137" s="329">
        <f t="shared" si="136"/>
        <v>0</v>
      </c>
      <c r="W137" s="338">
        <f t="shared" si="145"/>
        <v>0</v>
      </c>
      <c r="X137" s="35"/>
    </row>
    <row r="138" spans="1:24" x14ac:dyDescent="0.25">
      <c r="A138" s="336">
        <f>A137+3</f>
        <v>43640</v>
      </c>
      <c r="B138" s="329">
        <f t="shared" si="127"/>
        <v>0</v>
      </c>
      <c r="C138" s="338">
        <f t="shared" ref="C138:C147" si="151">B138+C137</f>
        <v>20000000</v>
      </c>
      <c r="D138" s="329">
        <f t="shared" si="117"/>
        <v>0</v>
      </c>
      <c r="E138" s="338">
        <f t="shared" ref="E138:E147" si="152">D138+E137</f>
        <v>8800000</v>
      </c>
      <c r="F138" s="329">
        <f t="shared" si="128"/>
        <v>0</v>
      </c>
      <c r="G138" s="338">
        <f t="shared" ref="G138:G147" si="153">F138+G137</f>
        <v>7450000</v>
      </c>
      <c r="H138" s="329">
        <f t="shared" si="129"/>
        <v>0</v>
      </c>
      <c r="I138" s="338">
        <f t="shared" si="138"/>
        <v>0</v>
      </c>
      <c r="J138" s="329">
        <f t="shared" si="130"/>
        <v>0</v>
      </c>
      <c r="K138" s="338">
        <f t="shared" si="139"/>
        <v>0</v>
      </c>
      <c r="L138" s="329">
        <f t="shared" si="131"/>
        <v>0</v>
      </c>
      <c r="M138" s="338">
        <f t="shared" si="140"/>
        <v>0</v>
      </c>
      <c r="N138" s="329">
        <f t="shared" si="132"/>
        <v>0</v>
      </c>
      <c r="O138" s="338">
        <f t="shared" si="141"/>
        <v>0</v>
      </c>
      <c r="P138" s="329">
        <f t="shared" si="133"/>
        <v>0</v>
      </c>
      <c r="Q138" s="338">
        <f t="shared" si="142"/>
        <v>0</v>
      </c>
      <c r="R138" s="329">
        <f t="shared" si="134"/>
        <v>0</v>
      </c>
      <c r="S138" s="338">
        <f t="shared" si="143"/>
        <v>0</v>
      </c>
      <c r="T138" s="329">
        <f t="shared" si="135"/>
        <v>0</v>
      </c>
      <c r="U138" s="338">
        <f t="shared" si="144"/>
        <v>0</v>
      </c>
      <c r="V138" s="329">
        <f t="shared" si="136"/>
        <v>0</v>
      </c>
      <c r="W138" s="338">
        <f t="shared" si="145"/>
        <v>0</v>
      </c>
      <c r="X138" s="35"/>
    </row>
    <row r="139" spans="1:24" x14ac:dyDescent="0.25">
      <c r="A139" s="335">
        <f>A138+1</f>
        <v>43641</v>
      </c>
      <c r="B139" s="329">
        <f t="shared" si="127"/>
        <v>0</v>
      </c>
      <c r="C139" s="338">
        <f t="shared" si="151"/>
        <v>20000000</v>
      </c>
      <c r="D139" s="329">
        <f t="shared" ref="D139:D202" si="154">SUMIFS(Usage_Main,CF_Dates,$A139,CF_Descriptions,"SOSPRUCE1 Change")</f>
        <v>0</v>
      </c>
      <c r="E139" s="338">
        <f t="shared" si="152"/>
        <v>8800000</v>
      </c>
      <c r="F139" s="329">
        <f t="shared" si="128"/>
        <v>0</v>
      </c>
      <c r="G139" s="338">
        <f t="shared" si="153"/>
        <v>7450000</v>
      </c>
      <c r="H139" s="329">
        <f t="shared" si="129"/>
        <v>0</v>
      </c>
      <c r="I139" s="338">
        <f t="shared" si="138"/>
        <v>0</v>
      </c>
      <c r="J139" s="329">
        <f t="shared" si="130"/>
        <v>0</v>
      </c>
      <c r="K139" s="338">
        <f t="shared" si="139"/>
        <v>0</v>
      </c>
      <c r="L139" s="329">
        <f t="shared" si="131"/>
        <v>0</v>
      </c>
      <c r="M139" s="338">
        <f t="shared" si="140"/>
        <v>0</v>
      </c>
      <c r="N139" s="329">
        <f t="shared" si="132"/>
        <v>0</v>
      </c>
      <c r="O139" s="338">
        <f t="shared" si="141"/>
        <v>0</v>
      </c>
      <c r="P139" s="329">
        <f t="shared" si="133"/>
        <v>0</v>
      </c>
      <c r="Q139" s="338">
        <f t="shared" si="142"/>
        <v>0</v>
      </c>
      <c r="R139" s="329">
        <f t="shared" si="134"/>
        <v>0</v>
      </c>
      <c r="S139" s="338">
        <f t="shared" si="143"/>
        <v>0</v>
      </c>
      <c r="T139" s="329">
        <f t="shared" si="135"/>
        <v>0</v>
      </c>
      <c r="U139" s="338">
        <f t="shared" si="144"/>
        <v>0</v>
      </c>
      <c r="V139" s="329">
        <f t="shared" si="136"/>
        <v>0</v>
      </c>
      <c r="W139" s="338">
        <f t="shared" si="145"/>
        <v>0</v>
      </c>
      <c r="X139" s="35"/>
    </row>
    <row r="140" spans="1:24" x14ac:dyDescent="0.25">
      <c r="A140" s="335">
        <f>A139+1</f>
        <v>43642</v>
      </c>
      <c r="B140" s="329">
        <f t="shared" si="127"/>
        <v>0</v>
      </c>
      <c r="C140" s="338">
        <f t="shared" si="151"/>
        <v>20000000</v>
      </c>
      <c r="D140" s="329">
        <f t="shared" si="154"/>
        <v>0</v>
      </c>
      <c r="E140" s="338">
        <f t="shared" si="152"/>
        <v>8800000</v>
      </c>
      <c r="F140" s="329">
        <f t="shared" si="128"/>
        <v>0</v>
      </c>
      <c r="G140" s="338">
        <f t="shared" si="153"/>
        <v>7450000</v>
      </c>
      <c r="H140" s="329">
        <f t="shared" si="129"/>
        <v>0</v>
      </c>
      <c r="I140" s="338">
        <f t="shared" si="138"/>
        <v>0</v>
      </c>
      <c r="J140" s="329">
        <f t="shared" si="130"/>
        <v>0</v>
      </c>
      <c r="K140" s="338">
        <f t="shared" si="139"/>
        <v>0</v>
      </c>
      <c r="L140" s="329">
        <f t="shared" si="131"/>
        <v>0</v>
      </c>
      <c r="M140" s="338">
        <f t="shared" si="140"/>
        <v>0</v>
      </c>
      <c r="N140" s="329">
        <f t="shared" si="132"/>
        <v>0</v>
      </c>
      <c r="O140" s="338">
        <f t="shared" si="141"/>
        <v>0</v>
      </c>
      <c r="P140" s="329">
        <f t="shared" si="133"/>
        <v>0</v>
      </c>
      <c r="Q140" s="338">
        <f t="shared" si="142"/>
        <v>0</v>
      </c>
      <c r="R140" s="329">
        <f t="shared" si="134"/>
        <v>0</v>
      </c>
      <c r="S140" s="338">
        <f t="shared" si="143"/>
        <v>0</v>
      </c>
      <c r="T140" s="329">
        <f t="shared" si="135"/>
        <v>0</v>
      </c>
      <c r="U140" s="338">
        <f t="shared" si="144"/>
        <v>0</v>
      </c>
      <c r="V140" s="329">
        <f t="shared" si="136"/>
        <v>0</v>
      </c>
      <c r="W140" s="338">
        <f t="shared" si="145"/>
        <v>0</v>
      </c>
      <c r="X140" s="35"/>
    </row>
    <row r="141" spans="1:24" x14ac:dyDescent="0.25">
      <c r="A141" s="335">
        <f>A140+1</f>
        <v>43643</v>
      </c>
      <c r="B141" s="329">
        <f t="shared" si="127"/>
        <v>0</v>
      </c>
      <c r="C141" s="338">
        <f t="shared" si="151"/>
        <v>20000000</v>
      </c>
      <c r="D141" s="329">
        <f t="shared" si="154"/>
        <v>0</v>
      </c>
      <c r="E141" s="338">
        <f t="shared" si="152"/>
        <v>8800000</v>
      </c>
      <c r="F141" s="329">
        <f t="shared" si="128"/>
        <v>0</v>
      </c>
      <c r="G141" s="338">
        <f t="shared" si="153"/>
        <v>7450000</v>
      </c>
      <c r="H141" s="329">
        <f t="shared" si="129"/>
        <v>0</v>
      </c>
      <c r="I141" s="338">
        <f t="shared" si="138"/>
        <v>0</v>
      </c>
      <c r="J141" s="329">
        <f t="shared" si="130"/>
        <v>0</v>
      </c>
      <c r="K141" s="338">
        <f t="shared" si="139"/>
        <v>0</v>
      </c>
      <c r="L141" s="329">
        <f t="shared" si="131"/>
        <v>0</v>
      </c>
      <c r="M141" s="338">
        <f t="shared" si="140"/>
        <v>0</v>
      </c>
      <c r="N141" s="329">
        <f t="shared" si="132"/>
        <v>0</v>
      </c>
      <c r="O141" s="338">
        <f t="shared" si="141"/>
        <v>0</v>
      </c>
      <c r="P141" s="329">
        <f t="shared" si="133"/>
        <v>0</v>
      </c>
      <c r="Q141" s="338">
        <f t="shared" si="142"/>
        <v>0</v>
      </c>
      <c r="R141" s="329">
        <f t="shared" si="134"/>
        <v>0</v>
      </c>
      <c r="S141" s="338">
        <f t="shared" si="143"/>
        <v>0</v>
      </c>
      <c r="T141" s="329">
        <f t="shared" si="135"/>
        <v>0</v>
      </c>
      <c r="U141" s="338">
        <f t="shared" si="144"/>
        <v>0</v>
      </c>
      <c r="V141" s="329">
        <f t="shared" si="136"/>
        <v>0</v>
      </c>
      <c r="W141" s="338">
        <f t="shared" si="145"/>
        <v>0</v>
      </c>
      <c r="X141" s="35"/>
    </row>
    <row r="142" spans="1:24" x14ac:dyDescent="0.25">
      <c r="A142" s="335">
        <f>A141+1</f>
        <v>43644</v>
      </c>
      <c r="B142" s="329">
        <f t="shared" si="127"/>
        <v>0</v>
      </c>
      <c r="C142" s="338">
        <f t="shared" si="151"/>
        <v>20000000</v>
      </c>
      <c r="D142" s="329">
        <f t="shared" si="154"/>
        <v>0</v>
      </c>
      <c r="E142" s="338">
        <f t="shared" si="152"/>
        <v>8800000</v>
      </c>
      <c r="F142" s="329">
        <f t="shared" si="128"/>
        <v>0</v>
      </c>
      <c r="G142" s="338">
        <f t="shared" si="153"/>
        <v>7450000</v>
      </c>
      <c r="H142" s="329">
        <f t="shared" si="129"/>
        <v>0</v>
      </c>
      <c r="I142" s="338">
        <f t="shared" si="138"/>
        <v>0</v>
      </c>
      <c r="J142" s="329">
        <f t="shared" si="130"/>
        <v>0</v>
      </c>
      <c r="K142" s="338">
        <f t="shared" si="139"/>
        <v>0</v>
      </c>
      <c r="L142" s="329">
        <f t="shared" si="131"/>
        <v>0</v>
      </c>
      <c r="M142" s="338">
        <f t="shared" si="140"/>
        <v>0</v>
      </c>
      <c r="N142" s="329">
        <f t="shared" si="132"/>
        <v>0</v>
      </c>
      <c r="O142" s="338">
        <f t="shared" si="141"/>
        <v>0</v>
      </c>
      <c r="P142" s="329">
        <f t="shared" si="133"/>
        <v>0</v>
      </c>
      <c r="Q142" s="338">
        <f t="shared" si="142"/>
        <v>0</v>
      </c>
      <c r="R142" s="329">
        <f t="shared" si="134"/>
        <v>0</v>
      </c>
      <c r="S142" s="338">
        <f t="shared" si="143"/>
        <v>0</v>
      </c>
      <c r="T142" s="329">
        <f t="shared" si="135"/>
        <v>0</v>
      </c>
      <c r="U142" s="338">
        <f t="shared" si="144"/>
        <v>0</v>
      </c>
      <c r="V142" s="329">
        <f t="shared" si="136"/>
        <v>0</v>
      </c>
      <c r="W142" s="338">
        <f t="shared" si="145"/>
        <v>0</v>
      </c>
      <c r="X142" s="35"/>
    </row>
    <row r="143" spans="1:24" x14ac:dyDescent="0.25">
      <c r="A143" s="990">
        <f>A142+2</f>
        <v>43646</v>
      </c>
      <c r="B143" s="991">
        <f t="shared" si="127"/>
        <v>0</v>
      </c>
      <c r="C143" s="992">
        <f t="shared" si="151"/>
        <v>20000000</v>
      </c>
      <c r="D143" s="991">
        <f t="shared" si="154"/>
        <v>0</v>
      </c>
      <c r="E143" s="992">
        <f t="shared" si="152"/>
        <v>8800000</v>
      </c>
      <c r="F143" s="991">
        <f t="shared" si="128"/>
        <v>0</v>
      </c>
      <c r="G143" s="992">
        <f t="shared" si="153"/>
        <v>7450000</v>
      </c>
      <c r="H143" s="991">
        <f t="shared" si="129"/>
        <v>0</v>
      </c>
      <c r="I143" s="992">
        <f t="shared" si="138"/>
        <v>0</v>
      </c>
      <c r="J143" s="991">
        <f t="shared" si="130"/>
        <v>0</v>
      </c>
      <c r="K143" s="992">
        <f t="shared" si="139"/>
        <v>0</v>
      </c>
      <c r="L143" s="991">
        <f t="shared" si="131"/>
        <v>0</v>
      </c>
      <c r="M143" s="992">
        <f t="shared" si="140"/>
        <v>0</v>
      </c>
      <c r="N143" s="329">
        <f t="shared" si="132"/>
        <v>0</v>
      </c>
      <c r="O143" s="992">
        <f t="shared" si="141"/>
        <v>0</v>
      </c>
      <c r="P143" s="329">
        <f t="shared" si="133"/>
        <v>0</v>
      </c>
      <c r="Q143" s="992">
        <f t="shared" si="142"/>
        <v>0</v>
      </c>
      <c r="R143" s="329">
        <f t="shared" si="134"/>
        <v>0</v>
      </c>
      <c r="S143" s="992">
        <f t="shared" si="143"/>
        <v>0</v>
      </c>
      <c r="T143" s="329">
        <f t="shared" si="135"/>
        <v>0</v>
      </c>
      <c r="U143" s="992">
        <f t="shared" si="144"/>
        <v>0</v>
      </c>
      <c r="V143" s="329">
        <f t="shared" si="136"/>
        <v>0</v>
      </c>
      <c r="W143" s="992">
        <f t="shared" si="145"/>
        <v>0</v>
      </c>
      <c r="X143" s="35"/>
    </row>
    <row r="144" spans="1:24" x14ac:dyDescent="0.25">
      <c r="A144" s="335">
        <f>A143+1</f>
        <v>43647</v>
      </c>
      <c r="B144" s="329">
        <f t="shared" si="127"/>
        <v>0</v>
      </c>
      <c r="C144" s="338">
        <f t="shared" si="151"/>
        <v>20000000</v>
      </c>
      <c r="D144" s="329">
        <f t="shared" si="154"/>
        <v>0</v>
      </c>
      <c r="E144" s="338">
        <f t="shared" si="152"/>
        <v>8800000</v>
      </c>
      <c r="F144" s="329">
        <f t="shared" si="128"/>
        <v>0</v>
      </c>
      <c r="G144" s="338">
        <f t="shared" si="153"/>
        <v>7450000</v>
      </c>
      <c r="H144" s="329">
        <f t="shared" si="129"/>
        <v>0</v>
      </c>
      <c r="I144" s="338">
        <f t="shared" si="138"/>
        <v>0</v>
      </c>
      <c r="J144" s="329">
        <f t="shared" si="130"/>
        <v>0</v>
      </c>
      <c r="K144" s="338">
        <f t="shared" si="139"/>
        <v>0</v>
      </c>
      <c r="L144" s="329">
        <f t="shared" si="131"/>
        <v>0</v>
      </c>
      <c r="M144" s="338">
        <f t="shared" si="140"/>
        <v>0</v>
      </c>
      <c r="N144" s="329">
        <f t="shared" si="132"/>
        <v>0</v>
      </c>
      <c r="O144" s="338">
        <f t="shared" si="141"/>
        <v>0</v>
      </c>
      <c r="P144" s="329">
        <f t="shared" si="133"/>
        <v>0</v>
      </c>
      <c r="Q144" s="338">
        <f t="shared" si="142"/>
        <v>0</v>
      </c>
      <c r="R144" s="329">
        <f t="shared" si="134"/>
        <v>0</v>
      </c>
      <c r="S144" s="338">
        <f t="shared" si="143"/>
        <v>0</v>
      </c>
      <c r="T144" s="329">
        <f t="shared" si="135"/>
        <v>0</v>
      </c>
      <c r="U144" s="338">
        <f t="shared" si="144"/>
        <v>0</v>
      </c>
      <c r="V144" s="329">
        <f t="shared" si="136"/>
        <v>0</v>
      </c>
      <c r="W144" s="338">
        <f t="shared" si="145"/>
        <v>0</v>
      </c>
      <c r="X144" s="35"/>
    </row>
    <row r="145" spans="1:24" x14ac:dyDescent="0.25">
      <c r="A145" s="335">
        <f>A144+1</f>
        <v>43648</v>
      </c>
      <c r="B145" s="329">
        <f t="shared" si="127"/>
        <v>0</v>
      </c>
      <c r="C145" s="338">
        <f t="shared" si="151"/>
        <v>20000000</v>
      </c>
      <c r="D145" s="329">
        <f t="shared" si="154"/>
        <v>0</v>
      </c>
      <c r="E145" s="338">
        <f t="shared" si="152"/>
        <v>8800000</v>
      </c>
      <c r="F145" s="329">
        <f t="shared" si="128"/>
        <v>0</v>
      </c>
      <c r="G145" s="338">
        <f t="shared" si="153"/>
        <v>7450000</v>
      </c>
      <c r="H145" s="329">
        <f t="shared" si="129"/>
        <v>0</v>
      </c>
      <c r="I145" s="338">
        <f t="shared" si="138"/>
        <v>0</v>
      </c>
      <c r="J145" s="329">
        <f t="shared" si="130"/>
        <v>0</v>
      </c>
      <c r="K145" s="338">
        <f t="shared" si="139"/>
        <v>0</v>
      </c>
      <c r="L145" s="329">
        <f t="shared" si="131"/>
        <v>0</v>
      </c>
      <c r="M145" s="338">
        <f t="shared" si="140"/>
        <v>0</v>
      </c>
      <c r="N145" s="329">
        <f t="shared" si="132"/>
        <v>0</v>
      </c>
      <c r="O145" s="338">
        <f t="shared" si="141"/>
        <v>0</v>
      </c>
      <c r="P145" s="329">
        <f t="shared" si="133"/>
        <v>0</v>
      </c>
      <c r="Q145" s="338">
        <f t="shared" si="142"/>
        <v>0</v>
      </c>
      <c r="R145" s="329">
        <f t="shared" si="134"/>
        <v>0</v>
      </c>
      <c r="S145" s="338">
        <f t="shared" si="143"/>
        <v>0</v>
      </c>
      <c r="T145" s="329">
        <f t="shared" si="135"/>
        <v>0</v>
      </c>
      <c r="U145" s="338">
        <f t="shared" si="144"/>
        <v>0</v>
      </c>
      <c r="V145" s="329">
        <f t="shared" si="136"/>
        <v>0</v>
      </c>
      <c r="W145" s="338">
        <f t="shared" si="145"/>
        <v>0</v>
      </c>
      <c r="X145" s="35"/>
    </row>
    <row r="146" spans="1:24" x14ac:dyDescent="0.25">
      <c r="A146" s="335">
        <f>A145+1</f>
        <v>43649</v>
      </c>
      <c r="B146" s="329">
        <f t="shared" si="127"/>
        <v>0</v>
      </c>
      <c r="C146" s="338">
        <f t="shared" si="151"/>
        <v>20000000</v>
      </c>
      <c r="D146" s="329">
        <f t="shared" si="154"/>
        <v>0</v>
      </c>
      <c r="E146" s="338">
        <f t="shared" si="152"/>
        <v>8800000</v>
      </c>
      <c r="F146" s="329">
        <f t="shared" si="128"/>
        <v>0</v>
      </c>
      <c r="G146" s="338">
        <f t="shared" si="153"/>
        <v>7450000</v>
      </c>
      <c r="H146" s="329">
        <f t="shared" si="129"/>
        <v>0</v>
      </c>
      <c r="I146" s="338">
        <f t="shared" si="138"/>
        <v>0</v>
      </c>
      <c r="J146" s="329">
        <f t="shared" si="130"/>
        <v>0</v>
      </c>
      <c r="K146" s="338">
        <f t="shared" si="139"/>
        <v>0</v>
      </c>
      <c r="L146" s="329">
        <f t="shared" si="131"/>
        <v>0</v>
      </c>
      <c r="M146" s="338">
        <f t="shared" si="140"/>
        <v>0</v>
      </c>
      <c r="N146" s="329">
        <f t="shared" si="132"/>
        <v>0</v>
      </c>
      <c r="O146" s="338">
        <f t="shared" si="141"/>
        <v>0</v>
      </c>
      <c r="P146" s="329">
        <f t="shared" si="133"/>
        <v>0</v>
      </c>
      <c r="Q146" s="338">
        <f t="shared" si="142"/>
        <v>0</v>
      </c>
      <c r="R146" s="329">
        <f t="shared" si="134"/>
        <v>0</v>
      </c>
      <c r="S146" s="338">
        <f t="shared" si="143"/>
        <v>0</v>
      </c>
      <c r="T146" s="329">
        <f t="shared" si="135"/>
        <v>0</v>
      </c>
      <c r="U146" s="338">
        <f t="shared" si="144"/>
        <v>0</v>
      </c>
      <c r="V146" s="329">
        <f t="shared" si="136"/>
        <v>0</v>
      </c>
      <c r="W146" s="338">
        <f t="shared" si="145"/>
        <v>0</v>
      </c>
      <c r="X146" s="35"/>
    </row>
    <row r="147" spans="1:24" x14ac:dyDescent="0.25">
      <c r="A147" s="336">
        <f>A146+2</f>
        <v>43651</v>
      </c>
      <c r="B147" s="329">
        <f t="shared" si="127"/>
        <v>0</v>
      </c>
      <c r="C147" s="338">
        <f t="shared" si="151"/>
        <v>20000000</v>
      </c>
      <c r="D147" s="329">
        <f t="shared" si="154"/>
        <v>0</v>
      </c>
      <c r="E147" s="338">
        <f t="shared" si="152"/>
        <v>8800000</v>
      </c>
      <c r="F147" s="329">
        <f t="shared" si="128"/>
        <v>0</v>
      </c>
      <c r="G147" s="338">
        <f t="shared" si="153"/>
        <v>7450000</v>
      </c>
      <c r="H147" s="329">
        <f t="shared" si="129"/>
        <v>0</v>
      </c>
      <c r="I147" s="338">
        <f t="shared" si="138"/>
        <v>0</v>
      </c>
      <c r="J147" s="329">
        <f t="shared" si="130"/>
        <v>0</v>
      </c>
      <c r="K147" s="338">
        <f t="shared" si="139"/>
        <v>0</v>
      </c>
      <c r="L147" s="329">
        <f t="shared" si="131"/>
        <v>0</v>
      </c>
      <c r="M147" s="338">
        <f t="shared" si="140"/>
        <v>0</v>
      </c>
      <c r="N147" s="329">
        <f t="shared" si="132"/>
        <v>0</v>
      </c>
      <c r="O147" s="338">
        <f t="shared" si="141"/>
        <v>0</v>
      </c>
      <c r="P147" s="329">
        <f t="shared" si="133"/>
        <v>0</v>
      </c>
      <c r="Q147" s="338">
        <f t="shared" si="142"/>
        <v>0</v>
      </c>
      <c r="R147" s="329">
        <f t="shared" si="134"/>
        <v>0</v>
      </c>
      <c r="S147" s="338">
        <f t="shared" si="143"/>
        <v>0</v>
      </c>
      <c r="T147" s="329">
        <f t="shared" si="135"/>
        <v>0</v>
      </c>
      <c r="U147" s="338">
        <f t="shared" si="144"/>
        <v>0</v>
      </c>
      <c r="V147" s="329">
        <f t="shared" si="136"/>
        <v>0</v>
      </c>
      <c r="W147" s="338">
        <f t="shared" si="145"/>
        <v>0</v>
      </c>
      <c r="X147" s="35"/>
    </row>
    <row r="148" spans="1:24" x14ac:dyDescent="0.25">
      <c r="A148" s="336">
        <f>A147+3</f>
        <v>43654</v>
      </c>
      <c r="B148" s="329">
        <f t="shared" si="127"/>
        <v>0</v>
      </c>
      <c r="C148" s="338">
        <f t="shared" ref="C148:C195" si="155">B148+C147</f>
        <v>20000000</v>
      </c>
      <c r="D148" s="329">
        <f t="shared" si="154"/>
        <v>0</v>
      </c>
      <c r="E148" s="338">
        <f t="shared" ref="E148:E195" si="156">D148+E147</f>
        <v>8800000</v>
      </c>
      <c r="F148" s="329">
        <f t="shared" si="128"/>
        <v>0</v>
      </c>
      <c r="G148" s="338">
        <f t="shared" ref="G148:G195" si="157">F148+G147</f>
        <v>7450000</v>
      </c>
      <c r="H148" s="329">
        <f t="shared" si="129"/>
        <v>0</v>
      </c>
      <c r="I148" s="338">
        <f t="shared" si="138"/>
        <v>0</v>
      </c>
      <c r="J148" s="329">
        <f t="shared" si="130"/>
        <v>0</v>
      </c>
      <c r="K148" s="338">
        <f t="shared" si="139"/>
        <v>0</v>
      </c>
      <c r="L148" s="329">
        <f t="shared" si="131"/>
        <v>0</v>
      </c>
      <c r="M148" s="338">
        <f t="shared" si="140"/>
        <v>0</v>
      </c>
      <c r="N148" s="329">
        <f t="shared" si="132"/>
        <v>0</v>
      </c>
      <c r="O148" s="338">
        <f t="shared" si="141"/>
        <v>0</v>
      </c>
      <c r="P148" s="329">
        <f t="shared" si="133"/>
        <v>0</v>
      </c>
      <c r="Q148" s="338">
        <f t="shared" si="142"/>
        <v>0</v>
      </c>
      <c r="R148" s="329">
        <f t="shared" si="134"/>
        <v>0</v>
      </c>
      <c r="S148" s="338">
        <f t="shared" si="143"/>
        <v>0</v>
      </c>
      <c r="T148" s="329">
        <f t="shared" si="135"/>
        <v>0</v>
      </c>
      <c r="U148" s="338">
        <f t="shared" si="144"/>
        <v>0</v>
      </c>
      <c r="V148" s="329">
        <f t="shared" si="136"/>
        <v>0</v>
      </c>
      <c r="W148" s="338">
        <f t="shared" si="145"/>
        <v>0</v>
      </c>
      <c r="X148" s="35"/>
    </row>
    <row r="149" spans="1:24" x14ac:dyDescent="0.25">
      <c r="A149" s="335">
        <f>A148+1</f>
        <v>43655</v>
      </c>
      <c r="B149" s="329">
        <f t="shared" si="127"/>
        <v>0</v>
      </c>
      <c r="C149" s="338">
        <f t="shared" si="155"/>
        <v>20000000</v>
      </c>
      <c r="D149" s="329">
        <f t="shared" si="154"/>
        <v>0</v>
      </c>
      <c r="E149" s="338">
        <f t="shared" si="156"/>
        <v>8800000</v>
      </c>
      <c r="F149" s="329">
        <f t="shared" si="128"/>
        <v>0</v>
      </c>
      <c r="G149" s="338">
        <f t="shared" si="157"/>
        <v>7450000</v>
      </c>
      <c r="H149" s="329">
        <f t="shared" si="129"/>
        <v>0</v>
      </c>
      <c r="I149" s="338">
        <f t="shared" si="138"/>
        <v>0</v>
      </c>
      <c r="J149" s="329">
        <f t="shared" si="130"/>
        <v>0</v>
      </c>
      <c r="K149" s="338">
        <f t="shared" si="139"/>
        <v>0</v>
      </c>
      <c r="L149" s="329">
        <f t="shared" si="131"/>
        <v>0</v>
      </c>
      <c r="M149" s="338">
        <f t="shared" si="140"/>
        <v>0</v>
      </c>
      <c r="N149" s="329">
        <f t="shared" si="132"/>
        <v>0</v>
      </c>
      <c r="O149" s="338">
        <f t="shared" si="141"/>
        <v>0</v>
      </c>
      <c r="P149" s="329">
        <f t="shared" si="133"/>
        <v>0</v>
      </c>
      <c r="Q149" s="338">
        <f t="shared" si="142"/>
        <v>0</v>
      </c>
      <c r="R149" s="329">
        <f t="shared" si="134"/>
        <v>0</v>
      </c>
      <c r="S149" s="338">
        <f t="shared" si="143"/>
        <v>0</v>
      </c>
      <c r="T149" s="329">
        <f t="shared" si="135"/>
        <v>0</v>
      </c>
      <c r="U149" s="338">
        <f t="shared" si="144"/>
        <v>0</v>
      </c>
      <c r="V149" s="329">
        <f t="shared" si="136"/>
        <v>0</v>
      </c>
      <c r="W149" s="338">
        <f t="shared" si="145"/>
        <v>0</v>
      </c>
      <c r="X149" s="35"/>
    </row>
    <row r="150" spans="1:24" x14ac:dyDescent="0.25">
      <c r="A150" s="335">
        <f>A149+1</f>
        <v>43656</v>
      </c>
      <c r="B150" s="329">
        <f t="shared" si="127"/>
        <v>0</v>
      </c>
      <c r="C150" s="338">
        <f t="shared" si="155"/>
        <v>20000000</v>
      </c>
      <c r="D150" s="329">
        <f t="shared" si="154"/>
        <v>1500000</v>
      </c>
      <c r="E150" s="338">
        <f t="shared" si="156"/>
        <v>10300000</v>
      </c>
      <c r="F150" s="329">
        <f t="shared" si="128"/>
        <v>0</v>
      </c>
      <c r="G150" s="338">
        <f t="shared" si="157"/>
        <v>7450000</v>
      </c>
      <c r="H150" s="329">
        <f t="shared" si="129"/>
        <v>0</v>
      </c>
      <c r="I150" s="338">
        <f t="shared" si="138"/>
        <v>0</v>
      </c>
      <c r="J150" s="329">
        <f t="shared" si="130"/>
        <v>0</v>
      </c>
      <c r="K150" s="338">
        <f t="shared" si="139"/>
        <v>0</v>
      </c>
      <c r="L150" s="329">
        <f t="shared" si="131"/>
        <v>0</v>
      </c>
      <c r="M150" s="338">
        <f t="shared" si="140"/>
        <v>0</v>
      </c>
      <c r="N150" s="329">
        <f t="shared" si="132"/>
        <v>0</v>
      </c>
      <c r="O150" s="338">
        <f t="shared" si="141"/>
        <v>0</v>
      </c>
      <c r="P150" s="329">
        <f t="shared" si="133"/>
        <v>0</v>
      </c>
      <c r="Q150" s="338">
        <f t="shared" si="142"/>
        <v>0</v>
      </c>
      <c r="R150" s="329">
        <f t="shared" si="134"/>
        <v>0</v>
      </c>
      <c r="S150" s="338">
        <f t="shared" si="143"/>
        <v>0</v>
      </c>
      <c r="T150" s="329">
        <f t="shared" si="135"/>
        <v>0</v>
      </c>
      <c r="U150" s="338">
        <f t="shared" si="144"/>
        <v>0</v>
      </c>
      <c r="V150" s="329">
        <f t="shared" si="136"/>
        <v>0</v>
      </c>
      <c r="W150" s="338">
        <f t="shared" si="145"/>
        <v>0</v>
      </c>
      <c r="X150" s="35"/>
    </row>
    <row r="151" spans="1:24" x14ac:dyDescent="0.25">
      <c r="A151" s="335">
        <f>A150+1</f>
        <v>43657</v>
      </c>
      <c r="B151" s="329">
        <f t="shared" si="127"/>
        <v>0</v>
      </c>
      <c r="C151" s="338">
        <f t="shared" si="155"/>
        <v>20000000</v>
      </c>
      <c r="D151" s="329">
        <f t="shared" si="154"/>
        <v>0</v>
      </c>
      <c r="E151" s="338">
        <f t="shared" si="156"/>
        <v>10300000</v>
      </c>
      <c r="F151" s="329">
        <f t="shared" si="128"/>
        <v>0</v>
      </c>
      <c r="G151" s="338">
        <f t="shared" si="157"/>
        <v>7450000</v>
      </c>
      <c r="H151" s="329">
        <f t="shared" si="129"/>
        <v>0</v>
      </c>
      <c r="I151" s="338">
        <f t="shared" si="138"/>
        <v>0</v>
      </c>
      <c r="J151" s="329">
        <f t="shared" si="130"/>
        <v>0</v>
      </c>
      <c r="K151" s="338">
        <f t="shared" si="139"/>
        <v>0</v>
      </c>
      <c r="L151" s="329">
        <f t="shared" si="131"/>
        <v>0</v>
      </c>
      <c r="M151" s="338">
        <f t="shared" si="140"/>
        <v>0</v>
      </c>
      <c r="N151" s="329">
        <f t="shared" si="132"/>
        <v>0</v>
      </c>
      <c r="O151" s="338">
        <f t="shared" si="141"/>
        <v>0</v>
      </c>
      <c r="P151" s="329">
        <f t="shared" si="133"/>
        <v>0</v>
      </c>
      <c r="Q151" s="338">
        <f t="shared" si="142"/>
        <v>0</v>
      </c>
      <c r="R151" s="329">
        <f t="shared" si="134"/>
        <v>0</v>
      </c>
      <c r="S151" s="338">
        <f t="shared" si="143"/>
        <v>0</v>
      </c>
      <c r="T151" s="329">
        <f t="shared" si="135"/>
        <v>0</v>
      </c>
      <c r="U151" s="338">
        <f t="shared" si="144"/>
        <v>0</v>
      </c>
      <c r="V151" s="329">
        <f t="shared" si="136"/>
        <v>0</v>
      </c>
      <c r="W151" s="338">
        <f t="shared" si="145"/>
        <v>0</v>
      </c>
      <c r="X151" s="35"/>
    </row>
    <row r="152" spans="1:24" x14ac:dyDescent="0.25">
      <c r="A152" s="335">
        <f>A151+1</f>
        <v>43658</v>
      </c>
      <c r="B152" s="329">
        <f t="shared" si="127"/>
        <v>0</v>
      </c>
      <c r="C152" s="338">
        <f t="shared" si="155"/>
        <v>20000000</v>
      </c>
      <c r="D152" s="329">
        <f t="shared" si="154"/>
        <v>0</v>
      </c>
      <c r="E152" s="338">
        <f t="shared" si="156"/>
        <v>10300000</v>
      </c>
      <c r="F152" s="329">
        <f t="shared" si="128"/>
        <v>0</v>
      </c>
      <c r="G152" s="338">
        <f t="shared" si="157"/>
        <v>7450000</v>
      </c>
      <c r="H152" s="329">
        <f t="shared" si="129"/>
        <v>0</v>
      </c>
      <c r="I152" s="338">
        <f t="shared" si="138"/>
        <v>0</v>
      </c>
      <c r="J152" s="329">
        <f t="shared" si="130"/>
        <v>0</v>
      </c>
      <c r="K152" s="338">
        <f t="shared" si="139"/>
        <v>0</v>
      </c>
      <c r="L152" s="329">
        <f t="shared" si="131"/>
        <v>0</v>
      </c>
      <c r="M152" s="338">
        <f t="shared" si="140"/>
        <v>0</v>
      </c>
      <c r="N152" s="329">
        <f t="shared" si="132"/>
        <v>0</v>
      </c>
      <c r="O152" s="338">
        <f t="shared" si="141"/>
        <v>0</v>
      </c>
      <c r="P152" s="329">
        <f t="shared" si="133"/>
        <v>0</v>
      </c>
      <c r="Q152" s="338">
        <f t="shared" si="142"/>
        <v>0</v>
      </c>
      <c r="R152" s="329">
        <f t="shared" si="134"/>
        <v>0</v>
      </c>
      <c r="S152" s="338">
        <f t="shared" si="143"/>
        <v>0</v>
      </c>
      <c r="T152" s="329">
        <f t="shared" si="135"/>
        <v>0</v>
      </c>
      <c r="U152" s="338">
        <f t="shared" si="144"/>
        <v>0</v>
      </c>
      <c r="V152" s="329">
        <f t="shared" si="136"/>
        <v>0</v>
      </c>
      <c r="W152" s="338">
        <f t="shared" si="145"/>
        <v>0</v>
      </c>
      <c r="X152" s="35"/>
    </row>
    <row r="153" spans="1:24" x14ac:dyDescent="0.25">
      <c r="A153" s="336">
        <f>A152+3</f>
        <v>43661</v>
      </c>
      <c r="B153" s="329">
        <f t="shared" si="127"/>
        <v>0</v>
      </c>
      <c r="C153" s="338">
        <f t="shared" si="155"/>
        <v>20000000</v>
      </c>
      <c r="D153" s="329">
        <f t="shared" si="154"/>
        <v>0</v>
      </c>
      <c r="E153" s="338">
        <f t="shared" si="156"/>
        <v>10300000</v>
      </c>
      <c r="F153" s="329">
        <f t="shared" si="128"/>
        <v>0</v>
      </c>
      <c r="G153" s="338">
        <f t="shared" si="157"/>
        <v>7450000</v>
      </c>
      <c r="H153" s="329">
        <f t="shared" si="129"/>
        <v>0</v>
      </c>
      <c r="I153" s="338">
        <f t="shared" si="138"/>
        <v>0</v>
      </c>
      <c r="J153" s="329">
        <f t="shared" si="130"/>
        <v>0</v>
      </c>
      <c r="K153" s="338">
        <f t="shared" si="139"/>
        <v>0</v>
      </c>
      <c r="L153" s="329">
        <f t="shared" si="131"/>
        <v>0</v>
      </c>
      <c r="M153" s="338">
        <f t="shared" si="140"/>
        <v>0</v>
      </c>
      <c r="N153" s="329">
        <f t="shared" si="132"/>
        <v>0</v>
      </c>
      <c r="O153" s="338">
        <f t="shared" si="141"/>
        <v>0</v>
      </c>
      <c r="P153" s="329">
        <f t="shared" si="133"/>
        <v>0</v>
      </c>
      <c r="Q153" s="338">
        <f t="shared" si="142"/>
        <v>0</v>
      </c>
      <c r="R153" s="329">
        <f t="shared" si="134"/>
        <v>0</v>
      </c>
      <c r="S153" s="338">
        <f t="shared" si="143"/>
        <v>0</v>
      </c>
      <c r="T153" s="329">
        <f t="shared" si="135"/>
        <v>0</v>
      </c>
      <c r="U153" s="338">
        <f t="shared" si="144"/>
        <v>0</v>
      </c>
      <c r="V153" s="329">
        <f t="shared" si="136"/>
        <v>0</v>
      </c>
      <c r="W153" s="338">
        <f t="shared" si="145"/>
        <v>0</v>
      </c>
      <c r="X153" s="35"/>
    </row>
    <row r="154" spans="1:24" x14ac:dyDescent="0.25">
      <c r="A154" s="335">
        <f>A153+1</f>
        <v>43662</v>
      </c>
      <c r="B154" s="329">
        <f t="shared" si="127"/>
        <v>0</v>
      </c>
      <c r="C154" s="338">
        <f t="shared" si="155"/>
        <v>20000000</v>
      </c>
      <c r="D154" s="329">
        <f t="shared" si="154"/>
        <v>0</v>
      </c>
      <c r="E154" s="338">
        <f t="shared" si="156"/>
        <v>10300000</v>
      </c>
      <c r="F154" s="329">
        <f t="shared" si="128"/>
        <v>0</v>
      </c>
      <c r="G154" s="338">
        <f t="shared" si="157"/>
        <v>7450000</v>
      </c>
      <c r="H154" s="329">
        <f t="shared" si="129"/>
        <v>0</v>
      </c>
      <c r="I154" s="338">
        <f t="shared" si="138"/>
        <v>0</v>
      </c>
      <c r="J154" s="329">
        <f t="shared" si="130"/>
        <v>0</v>
      </c>
      <c r="K154" s="338">
        <f t="shared" si="139"/>
        <v>0</v>
      </c>
      <c r="L154" s="329">
        <f t="shared" si="131"/>
        <v>0</v>
      </c>
      <c r="M154" s="338">
        <f t="shared" si="140"/>
        <v>0</v>
      </c>
      <c r="N154" s="329">
        <f t="shared" si="132"/>
        <v>0</v>
      </c>
      <c r="O154" s="338">
        <f t="shared" si="141"/>
        <v>0</v>
      </c>
      <c r="P154" s="329">
        <f t="shared" si="133"/>
        <v>0</v>
      </c>
      <c r="Q154" s="338">
        <f t="shared" si="142"/>
        <v>0</v>
      </c>
      <c r="R154" s="329">
        <f t="shared" si="134"/>
        <v>0</v>
      </c>
      <c r="S154" s="338">
        <f t="shared" si="143"/>
        <v>0</v>
      </c>
      <c r="T154" s="329">
        <f t="shared" si="135"/>
        <v>0</v>
      </c>
      <c r="U154" s="338">
        <f t="shared" si="144"/>
        <v>0</v>
      </c>
      <c r="V154" s="329">
        <f t="shared" si="136"/>
        <v>0</v>
      </c>
      <c r="W154" s="338">
        <f t="shared" si="145"/>
        <v>0</v>
      </c>
      <c r="X154" s="35"/>
    </row>
    <row r="155" spans="1:24" x14ac:dyDescent="0.25">
      <c r="A155" s="335">
        <f>A154+1</f>
        <v>43663</v>
      </c>
      <c r="B155" s="329">
        <f t="shared" si="127"/>
        <v>0</v>
      </c>
      <c r="C155" s="338">
        <f t="shared" si="155"/>
        <v>20000000</v>
      </c>
      <c r="D155" s="329">
        <f t="shared" si="154"/>
        <v>0</v>
      </c>
      <c r="E155" s="338">
        <f t="shared" si="156"/>
        <v>10300000</v>
      </c>
      <c r="F155" s="329">
        <f t="shared" si="128"/>
        <v>0</v>
      </c>
      <c r="G155" s="338">
        <f t="shared" si="157"/>
        <v>7450000</v>
      </c>
      <c r="H155" s="329">
        <f t="shared" si="129"/>
        <v>0</v>
      </c>
      <c r="I155" s="338">
        <f t="shared" si="138"/>
        <v>0</v>
      </c>
      <c r="J155" s="329">
        <f t="shared" si="130"/>
        <v>0</v>
      </c>
      <c r="K155" s="338">
        <f t="shared" si="139"/>
        <v>0</v>
      </c>
      <c r="L155" s="329">
        <f t="shared" si="131"/>
        <v>0</v>
      </c>
      <c r="M155" s="338">
        <f t="shared" si="140"/>
        <v>0</v>
      </c>
      <c r="N155" s="329">
        <f t="shared" si="132"/>
        <v>0</v>
      </c>
      <c r="O155" s="338">
        <f t="shared" si="141"/>
        <v>0</v>
      </c>
      <c r="P155" s="329">
        <f t="shared" si="133"/>
        <v>0</v>
      </c>
      <c r="Q155" s="338">
        <f t="shared" si="142"/>
        <v>0</v>
      </c>
      <c r="R155" s="329">
        <f t="shared" si="134"/>
        <v>0</v>
      </c>
      <c r="S155" s="338">
        <f t="shared" si="143"/>
        <v>0</v>
      </c>
      <c r="T155" s="329">
        <f t="shared" si="135"/>
        <v>0</v>
      </c>
      <c r="U155" s="338">
        <f t="shared" si="144"/>
        <v>0</v>
      </c>
      <c r="V155" s="329">
        <f t="shared" si="136"/>
        <v>0</v>
      </c>
      <c r="W155" s="338">
        <f t="shared" si="145"/>
        <v>0</v>
      </c>
      <c r="X155" s="35"/>
    </row>
    <row r="156" spans="1:24" x14ac:dyDescent="0.25">
      <c r="A156" s="335">
        <f>A155+1</f>
        <v>43664</v>
      </c>
      <c r="B156" s="329">
        <f t="shared" si="127"/>
        <v>0</v>
      </c>
      <c r="C156" s="338">
        <f t="shared" si="155"/>
        <v>20000000</v>
      </c>
      <c r="D156" s="329">
        <f t="shared" si="154"/>
        <v>0</v>
      </c>
      <c r="E156" s="338">
        <f t="shared" si="156"/>
        <v>10300000</v>
      </c>
      <c r="F156" s="329">
        <f t="shared" si="128"/>
        <v>0</v>
      </c>
      <c r="G156" s="338">
        <f t="shared" si="157"/>
        <v>7450000</v>
      </c>
      <c r="H156" s="329">
        <f t="shared" si="129"/>
        <v>0</v>
      </c>
      <c r="I156" s="338">
        <f t="shared" si="138"/>
        <v>0</v>
      </c>
      <c r="J156" s="329">
        <f t="shared" si="130"/>
        <v>0</v>
      </c>
      <c r="K156" s="338">
        <f t="shared" si="139"/>
        <v>0</v>
      </c>
      <c r="L156" s="329">
        <f t="shared" si="131"/>
        <v>0</v>
      </c>
      <c r="M156" s="338">
        <f t="shared" si="140"/>
        <v>0</v>
      </c>
      <c r="N156" s="329">
        <f t="shared" si="132"/>
        <v>0</v>
      </c>
      <c r="O156" s="338">
        <f t="shared" si="141"/>
        <v>0</v>
      </c>
      <c r="P156" s="329">
        <f t="shared" si="133"/>
        <v>0</v>
      </c>
      <c r="Q156" s="338">
        <f t="shared" si="142"/>
        <v>0</v>
      </c>
      <c r="R156" s="329">
        <f t="shared" si="134"/>
        <v>0</v>
      </c>
      <c r="S156" s="338">
        <f t="shared" si="143"/>
        <v>0</v>
      </c>
      <c r="T156" s="329">
        <f t="shared" si="135"/>
        <v>0</v>
      </c>
      <c r="U156" s="338">
        <f t="shared" si="144"/>
        <v>0</v>
      </c>
      <c r="V156" s="329">
        <f t="shared" si="136"/>
        <v>0</v>
      </c>
      <c r="W156" s="338">
        <f t="shared" si="145"/>
        <v>0</v>
      </c>
      <c r="X156" s="35"/>
    </row>
    <row r="157" spans="1:24" x14ac:dyDescent="0.25">
      <c r="A157" s="335">
        <f>A156+1</f>
        <v>43665</v>
      </c>
      <c r="B157" s="329">
        <f t="shared" si="127"/>
        <v>0</v>
      </c>
      <c r="C157" s="338">
        <f t="shared" si="155"/>
        <v>20000000</v>
      </c>
      <c r="D157" s="329">
        <f t="shared" si="154"/>
        <v>0</v>
      </c>
      <c r="E157" s="338">
        <f t="shared" si="156"/>
        <v>10300000</v>
      </c>
      <c r="F157" s="329">
        <f t="shared" si="128"/>
        <v>0</v>
      </c>
      <c r="G157" s="338">
        <f t="shared" si="157"/>
        <v>7450000</v>
      </c>
      <c r="H157" s="329">
        <f t="shared" si="129"/>
        <v>0</v>
      </c>
      <c r="I157" s="338">
        <f t="shared" si="138"/>
        <v>0</v>
      </c>
      <c r="J157" s="329">
        <f t="shared" si="130"/>
        <v>0</v>
      </c>
      <c r="K157" s="338">
        <f t="shared" si="139"/>
        <v>0</v>
      </c>
      <c r="L157" s="329">
        <f t="shared" si="131"/>
        <v>0</v>
      </c>
      <c r="M157" s="338">
        <f t="shared" si="140"/>
        <v>0</v>
      </c>
      <c r="N157" s="329">
        <f t="shared" si="132"/>
        <v>0</v>
      </c>
      <c r="O157" s="338">
        <f t="shared" si="141"/>
        <v>0</v>
      </c>
      <c r="P157" s="329">
        <f t="shared" si="133"/>
        <v>0</v>
      </c>
      <c r="Q157" s="338">
        <f t="shared" si="142"/>
        <v>0</v>
      </c>
      <c r="R157" s="329">
        <f t="shared" si="134"/>
        <v>0</v>
      </c>
      <c r="S157" s="338">
        <f t="shared" si="143"/>
        <v>0</v>
      </c>
      <c r="T157" s="329">
        <f t="shared" si="135"/>
        <v>0</v>
      </c>
      <c r="U157" s="338">
        <f t="shared" si="144"/>
        <v>0</v>
      </c>
      <c r="V157" s="329">
        <f t="shared" si="136"/>
        <v>0</v>
      </c>
      <c r="W157" s="338">
        <f t="shared" si="145"/>
        <v>0</v>
      </c>
      <c r="X157" s="35"/>
    </row>
    <row r="158" spans="1:24" x14ac:dyDescent="0.25">
      <c r="A158" s="336">
        <f>A157+3</f>
        <v>43668</v>
      </c>
      <c r="B158" s="329">
        <f t="shared" si="127"/>
        <v>0</v>
      </c>
      <c r="C158" s="338">
        <f t="shared" si="155"/>
        <v>20000000</v>
      </c>
      <c r="D158" s="329">
        <f t="shared" si="154"/>
        <v>0</v>
      </c>
      <c r="E158" s="338">
        <f t="shared" si="156"/>
        <v>10300000</v>
      </c>
      <c r="F158" s="329">
        <f t="shared" si="128"/>
        <v>0</v>
      </c>
      <c r="G158" s="338">
        <f t="shared" si="157"/>
        <v>7450000</v>
      </c>
      <c r="H158" s="329">
        <f t="shared" si="129"/>
        <v>0</v>
      </c>
      <c r="I158" s="338">
        <f t="shared" si="138"/>
        <v>0</v>
      </c>
      <c r="J158" s="329">
        <f t="shared" si="130"/>
        <v>0</v>
      </c>
      <c r="K158" s="338">
        <f t="shared" si="139"/>
        <v>0</v>
      </c>
      <c r="L158" s="329">
        <f t="shared" si="131"/>
        <v>0</v>
      </c>
      <c r="M158" s="338">
        <f t="shared" si="140"/>
        <v>0</v>
      </c>
      <c r="N158" s="329">
        <f t="shared" si="132"/>
        <v>0</v>
      </c>
      <c r="O158" s="338">
        <f t="shared" si="141"/>
        <v>0</v>
      </c>
      <c r="P158" s="329">
        <f t="shared" si="133"/>
        <v>0</v>
      </c>
      <c r="Q158" s="338">
        <f t="shared" si="142"/>
        <v>0</v>
      </c>
      <c r="R158" s="329">
        <f t="shared" si="134"/>
        <v>0</v>
      </c>
      <c r="S158" s="338">
        <f t="shared" si="143"/>
        <v>0</v>
      </c>
      <c r="T158" s="329">
        <f t="shared" si="135"/>
        <v>0</v>
      </c>
      <c r="U158" s="338">
        <f t="shared" si="144"/>
        <v>0</v>
      </c>
      <c r="V158" s="329">
        <f t="shared" si="136"/>
        <v>0</v>
      </c>
      <c r="W158" s="338">
        <f t="shared" si="145"/>
        <v>0</v>
      </c>
      <c r="X158" s="35"/>
    </row>
    <row r="159" spans="1:24" x14ac:dyDescent="0.25">
      <c r="A159" s="335">
        <f>A158+1</f>
        <v>43669</v>
      </c>
      <c r="B159" s="329">
        <f t="shared" si="127"/>
        <v>0</v>
      </c>
      <c r="C159" s="338">
        <f t="shared" si="155"/>
        <v>20000000</v>
      </c>
      <c r="D159" s="329">
        <f t="shared" si="154"/>
        <v>0</v>
      </c>
      <c r="E159" s="338">
        <f t="shared" si="156"/>
        <v>10300000</v>
      </c>
      <c r="F159" s="329">
        <f t="shared" si="128"/>
        <v>0</v>
      </c>
      <c r="G159" s="338">
        <f t="shared" si="157"/>
        <v>7450000</v>
      </c>
      <c r="H159" s="329">
        <f t="shared" si="129"/>
        <v>0</v>
      </c>
      <c r="I159" s="338">
        <f t="shared" si="138"/>
        <v>0</v>
      </c>
      <c r="J159" s="329">
        <f t="shared" si="130"/>
        <v>0</v>
      </c>
      <c r="K159" s="338">
        <f t="shared" si="139"/>
        <v>0</v>
      </c>
      <c r="L159" s="329">
        <f t="shared" si="131"/>
        <v>0</v>
      </c>
      <c r="M159" s="338">
        <f t="shared" si="140"/>
        <v>0</v>
      </c>
      <c r="N159" s="329">
        <f t="shared" si="132"/>
        <v>0</v>
      </c>
      <c r="O159" s="338">
        <f t="shared" si="141"/>
        <v>0</v>
      </c>
      <c r="P159" s="329">
        <f t="shared" si="133"/>
        <v>0</v>
      </c>
      <c r="Q159" s="338">
        <f t="shared" si="142"/>
        <v>0</v>
      </c>
      <c r="R159" s="329">
        <f t="shared" si="134"/>
        <v>0</v>
      </c>
      <c r="S159" s="338">
        <f t="shared" si="143"/>
        <v>0</v>
      </c>
      <c r="T159" s="329">
        <f t="shared" si="135"/>
        <v>0</v>
      </c>
      <c r="U159" s="338">
        <f t="shared" si="144"/>
        <v>0</v>
      </c>
      <c r="V159" s="329">
        <f t="shared" si="136"/>
        <v>0</v>
      </c>
      <c r="W159" s="338">
        <f t="shared" si="145"/>
        <v>0</v>
      </c>
      <c r="X159" s="35"/>
    </row>
    <row r="160" spans="1:24" x14ac:dyDescent="0.25">
      <c r="A160" s="335">
        <f>A159+1</f>
        <v>43670</v>
      </c>
      <c r="B160" s="329">
        <f t="shared" si="127"/>
        <v>0</v>
      </c>
      <c r="C160" s="338">
        <f t="shared" si="155"/>
        <v>20000000</v>
      </c>
      <c r="D160" s="329">
        <f t="shared" si="154"/>
        <v>0</v>
      </c>
      <c r="E160" s="338">
        <f t="shared" si="156"/>
        <v>10300000</v>
      </c>
      <c r="F160" s="329">
        <f t="shared" si="128"/>
        <v>0</v>
      </c>
      <c r="G160" s="338">
        <f t="shared" si="157"/>
        <v>7450000</v>
      </c>
      <c r="H160" s="329">
        <f t="shared" si="129"/>
        <v>0</v>
      </c>
      <c r="I160" s="338">
        <f t="shared" si="138"/>
        <v>0</v>
      </c>
      <c r="J160" s="329">
        <f t="shared" si="130"/>
        <v>0</v>
      </c>
      <c r="K160" s="338">
        <f t="shared" si="139"/>
        <v>0</v>
      </c>
      <c r="L160" s="329">
        <f t="shared" si="131"/>
        <v>0</v>
      </c>
      <c r="M160" s="338">
        <f t="shared" si="140"/>
        <v>0</v>
      </c>
      <c r="N160" s="329">
        <f t="shared" si="132"/>
        <v>0</v>
      </c>
      <c r="O160" s="338">
        <f t="shared" si="141"/>
        <v>0</v>
      </c>
      <c r="P160" s="329">
        <f t="shared" si="133"/>
        <v>0</v>
      </c>
      <c r="Q160" s="338">
        <f t="shared" si="142"/>
        <v>0</v>
      </c>
      <c r="R160" s="329">
        <f t="shared" si="134"/>
        <v>0</v>
      </c>
      <c r="S160" s="338">
        <f t="shared" si="143"/>
        <v>0</v>
      </c>
      <c r="T160" s="329">
        <f t="shared" si="135"/>
        <v>0</v>
      </c>
      <c r="U160" s="338">
        <f t="shared" si="144"/>
        <v>0</v>
      </c>
      <c r="V160" s="329">
        <f t="shared" si="136"/>
        <v>0</v>
      </c>
      <c r="W160" s="338">
        <f t="shared" si="145"/>
        <v>0</v>
      </c>
      <c r="X160" s="35"/>
    </row>
    <row r="161" spans="1:24" x14ac:dyDescent="0.25">
      <c r="A161" s="335">
        <f>A160+1</f>
        <v>43671</v>
      </c>
      <c r="B161" s="329">
        <f t="shared" si="127"/>
        <v>0</v>
      </c>
      <c r="C161" s="338">
        <f t="shared" si="155"/>
        <v>20000000</v>
      </c>
      <c r="D161" s="329">
        <f t="shared" si="154"/>
        <v>0</v>
      </c>
      <c r="E161" s="338">
        <f t="shared" si="156"/>
        <v>10300000</v>
      </c>
      <c r="F161" s="329">
        <f t="shared" si="128"/>
        <v>0</v>
      </c>
      <c r="G161" s="338">
        <f t="shared" si="157"/>
        <v>7450000</v>
      </c>
      <c r="H161" s="329">
        <f t="shared" si="129"/>
        <v>0</v>
      </c>
      <c r="I161" s="338">
        <f t="shared" si="138"/>
        <v>0</v>
      </c>
      <c r="J161" s="329">
        <f t="shared" si="130"/>
        <v>0</v>
      </c>
      <c r="K161" s="338">
        <f t="shared" si="139"/>
        <v>0</v>
      </c>
      <c r="L161" s="329">
        <f t="shared" si="131"/>
        <v>0</v>
      </c>
      <c r="M161" s="338">
        <f t="shared" si="140"/>
        <v>0</v>
      </c>
      <c r="N161" s="329">
        <f t="shared" si="132"/>
        <v>0</v>
      </c>
      <c r="O161" s="338">
        <f t="shared" si="141"/>
        <v>0</v>
      </c>
      <c r="P161" s="329">
        <f t="shared" si="133"/>
        <v>0</v>
      </c>
      <c r="Q161" s="338">
        <f t="shared" si="142"/>
        <v>0</v>
      </c>
      <c r="R161" s="329">
        <f t="shared" si="134"/>
        <v>0</v>
      </c>
      <c r="S161" s="338">
        <f t="shared" si="143"/>
        <v>0</v>
      </c>
      <c r="T161" s="329">
        <f t="shared" si="135"/>
        <v>0</v>
      </c>
      <c r="U161" s="338">
        <f t="shared" si="144"/>
        <v>0</v>
      </c>
      <c r="V161" s="329">
        <f t="shared" si="136"/>
        <v>0</v>
      </c>
      <c r="W161" s="338">
        <f t="shared" si="145"/>
        <v>0</v>
      </c>
      <c r="X161" s="35"/>
    </row>
    <row r="162" spans="1:24" x14ac:dyDescent="0.25">
      <c r="A162" s="335">
        <f>A161+1</f>
        <v>43672</v>
      </c>
      <c r="B162" s="329">
        <f t="shared" si="127"/>
        <v>0</v>
      </c>
      <c r="C162" s="338">
        <f t="shared" si="155"/>
        <v>20000000</v>
      </c>
      <c r="D162" s="329">
        <f t="shared" si="154"/>
        <v>0</v>
      </c>
      <c r="E162" s="338">
        <f t="shared" si="156"/>
        <v>10300000</v>
      </c>
      <c r="F162" s="329">
        <f t="shared" si="128"/>
        <v>0</v>
      </c>
      <c r="G162" s="338">
        <f t="shared" si="157"/>
        <v>7450000</v>
      </c>
      <c r="H162" s="329">
        <f t="shared" si="129"/>
        <v>0</v>
      </c>
      <c r="I162" s="338">
        <f t="shared" si="138"/>
        <v>0</v>
      </c>
      <c r="J162" s="329">
        <f t="shared" si="130"/>
        <v>0</v>
      </c>
      <c r="K162" s="338">
        <f t="shared" si="139"/>
        <v>0</v>
      </c>
      <c r="L162" s="329">
        <f t="shared" si="131"/>
        <v>0</v>
      </c>
      <c r="M162" s="338">
        <f t="shared" si="140"/>
        <v>0</v>
      </c>
      <c r="N162" s="329">
        <f t="shared" si="132"/>
        <v>0</v>
      </c>
      <c r="O162" s="338">
        <f t="shared" si="141"/>
        <v>0</v>
      </c>
      <c r="P162" s="329">
        <f t="shared" si="133"/>
        <v>0</v>
      </c>
      <c r="Q162" s="338">
        <f t="shared" si="142"/>
        <v>0</v>
      </c>
      <c r="R162" s="329">
        <f t="shared" si="134"/>
        <v>0</v>
      </c>
      <c r="S162" s="338">
        <f t="shared" si="143"/>
        <v>0</v>
      </c>
      <c r="T162" s="329">
        <f t="shared" si="135"/>
        <v>0</v>
      </c>
      <c r="U162" s="338">
        <f t="shared" si="144"/>
        <v>0</v>
      </c>
      <c r="V162" s="329">
        <f t="shared" si="136"/>
        <v>0</v>
      </c>
      <c r="W162" s="338">
        <f t="shared" si="145"/>
        <v>0</v>
      </c>
      <c r="X162" s="35"/>
    </row>
    <row r="163" spans="1:24" x14ac:dyDescent="0.25">
      <c r="A163" s="336">
        <f>A162+3</f>
        <v>43675</v>
      </c>
      <c r="B163" s="329">
        <f t="shared" si="127"/>
        <v>0</v>
      </c>
      <c r="C163" s="338">
        <f t="shared" si="155"/>
        <v>20000000</v>
      </c>
      <c r="D163" s="329">
        <f t="shared" si="154"/>
        <v>0</v>
      </c>
      <c r="E163" s="338">
        <f t="shared" si="156"/>
        <v>10300000</v>
      </c>
      <c r="F163" s="329">
        <f t="shared" si="128"/>
        <v>0</v>
      </c>
      <c r="G163" s="338">
        <f t="shared" si="157"/>
        <v>7450000</v>
      </c>
      <c r="H163" s="329">
        <f t="shared" si="129"/>
        <v>0</v>
      </c>
      <c r="I163" s="338">
        <f t="shared" si="138"/>
        <v>0</v>
      </c>
      <c r="J163" s="329">
        <f t="shared" si="130"/>
        <v>0</v>
      </c>
      <c r="K163" s="338">
        <f t="shared" si="139"/>
        <v>0</v>
      </c>
      <c r="L163" s="329">
        <f t="shared" si="131"/>
        <v>0</v>
      </c>
      <c r="M163" s="338">
        <f t="shared" si="140"/>
        <v>0</v>
      </c>
      <c r="N163" s="329">
        <f t="shared" si="132"/>
        <v>0</v>
      </c>
      <c r="O163" s="338">
        <f t="shared" si="141"/>
        <v>0</v>
      </c>
      <c r="P163" s="329">
        <f t="shared" si="133"/>
        <v>0</v>
      </c>
      <c r="Q163" s="338">
        <f t="shared" si="142"/>
        <v>0</v>
      </c>
      <c r="R163" s="329">
        <f t="shared" si="134"/>
        <v>0</v>
      </c>
      <c r="S163" s="338">
        <f t="shared" si="143"/>
        <v>0</v>
      </c>
      <c r="T163" s="329">
        <f t="shared" si="135"/>
        <v>0</v>
      </c>
      <c r="U163" s="338">
        <f t="shared" si="144"/>
        <v>0</v>
      </c>
      <c r="V163" s="329">
        <f t="shared" si="136"/>
        <v>0</v>
      </c>
      <c r="W163" s="338">
        <f t="shared" si="145"/>
        <v>0</v>
      </c>
      <c r="X163" s="35"/>
    </row>
    <row r="164" spans="1:24" x14ac:dyDescent="0.25">
      <c r="A164" s="335">
        <f>A163+1</f>
        <v>43676</v>
      </c>
      <c r="B164" s="329">
        <f t="shared" si="127"/>
        <v>0</v>
      </c>
      <c r="C164" s="338">
        <f t="shared" si="155"/>
        <v>20000000</v>
      </c>
      <c r="D164" s="329">
        <f t="shared" si="154"/>
        <v>0</v>
      </c>
      <c r="E164" s="338">
        <f t="shared" si="156"/>
        <v>10300000</v>
      </c>
      <c r="F164" s="329">
        <f t="shared" si="128"/>
        <v>0</v>
      </c>
      <c r="G164" s="338">
        <f t="shared" si="157"/>
        <v>7450000</v>
      </c>
      <c r="H164" s="329">
        <f t="shared" si="129"/>
        <v>0</v>
      </c>
      <c r="I164" s="338">
        <f t="shared" si="138"/>
        <v>0</v>
      </c>
      <c r="J164" s="329">
        <f t="shared" si="130"/>
        <v>0</v>
      </c>
      <c r="K164" s="338">
        <f t="shared" si="139"/>
        <v>0</v>
      </c>
      <c r="L164" s="329">
        <f t="shared" si="131"/>
        <v>0</v>
      </c>
      <c r="M164" s="338">
        <f t="shared" si="140"/>
        <v>0</v>
      </c>
      <c r="N164" s="329">
        <f t="shared" si="132"/>
        <v>0</v>
      </c>
      <c r="O164" s="338">
        <f t="shared" si="141"/>
        <v>0</v>
      </c>
      <c r="P164" s="329">
        <f t="shared" si="133"/>
        <v>0</v>
      </c>
      <c r="Q164" s="338">
        <f t="shared" si="142"/>
        <v>0</v>
      </c>
      <c r="R164" s="329">
        <f t="shared" si="134"/>
        <v>0</v>
      </c>
      <c r="S164" s="338">
        <f t="shared" si="143"/>
        <v>0</v>
      </c>
      <c r="T164" s="329">
        <f t="shared" si="135"/>
        <v>0</v>
      </c>
      <c r="U164" s="338">
        <f t="shared" si="144"/>
        <v>0</v>
      </c>
      <c r="V164" s="329">
        <f t="shared" si="136"/>
        <v>0</v>
      </c>
      <c r="W164" s="338">
        <f t="shared" si="145"/>
        <v>0</v>
      </c>
      <c r="X164" s="35"/>
    </row>
    <row r="165" spans="1:24" x14ac:dyDescent="0.25">
      <c r="A165" s="335">
        <f>A164+1</f>
        <v>43677</v>
      </c>
      <c r="B165" s="329">
        <f t="shared" si="127"/>
        <v>0</v>
      </c>
      <c r="C165" s="338">
        <f t="shared" si="155"/>
        <v>20000000</v>
      </c>
      <c r="D165" s="329">
        <f t="shared" si="154"/>
        <v>0</v>
      </c>
      <c r="E165" s="338">
        <f t="shared" si="156"/>
        <v>10300000</v>
      </c>
      <c r="F165" s="329">
        <f t="shared" si="128"/>
        <v>0</v>
      </c>
      <c r="G165" s="338">
        <f t="shared" si="157"/>
        <v>7450000</v>
      </c>
      <c r="H165" s="329">
        <f t="shared" si="129"/>
        <v>0</v>
      </c>
      <c r="I165" s="338">
        <f t="shared" si="138"/>
        <v>0</v>
      </c>
      <c r="J165" s="329">
        <f t="shared" si="130"/>
        <v>0</v>
      </c>
      <c r="K165" s="338">
        <f t="shared" si="139"/>
        <v>0</v>
      </c>
      <c r="L165" s="329">
        <f t="shared" si="131"/>
        <v>0</v>
      </c>
      <c r="M165" s="338">
        <f t="shared" si="140"/>
        <v>0</v>
      </c>
      <c r="N165" s="329">
        <f t="shared" si="132"/>
        <v>0</v>
      </c>
      <c r="O165" s="338">
        <f t="shared" si="141"/>
        <v>0</v>
      </c>
      <c r="P165" s="329">
        <f t="shared" si="133"/>
        <v>0</v>
      </c>
      <c r="Q165" s="338">
        <f t="shared" si="142"/>
        <v>0</v>
      </c>
      <c r="R165" s="329">
        <f t="shared" si="134"/>
        <v>0</v>
      </c>
      <c r="S165" s="338">
        <f t="shared" si="143"/>
        <v>0</v>
      </c>
      <c r="T165" s="329">
        <f t="shared" si="135"/>
        <v>0</v>
      </c>
      <c r="U165" s="338">
        <f t="shared" si="144"/>
        <v>0</v>
      </c>
      <c r="V165" s="329">
        <f t="shared" si="136"/>
        <v>0</v>
      </c>
      <c r="W165" s="338">
        <f t="shared" si="145"/>
        <v>0</v>
      </c>
      <c r="X165" s="35"/>
    </row>
    <row r="166" spans="1:24" x14ac:dyDescent="0.25">
      <c r="A166" s="335">
        <f>A165+1</f>
        <v>43678</v>
      </c>
      <c r="B166" s="329">
        <f t="shared" si="127"/>
        <v>0</v>
      </c>
      <c r="C166" s="338">
        <f t="shared" si="155"/>
        <v>20000000</v>
      </c>
      <c r="D166" s="329">
        <f t="shared" si="154"/>
        <v>0</v>
      </c>
      <c r="E166" s="338">
        <f t="shared" si="156"/>
        <v>10300000</v>
      </c>
      <c r="F166" s="329">
        <f t="shared" si="128"/>
        <v>0</v>
      </c>
      <c r="G166" s="338">
        <f t="shared" si="157"/>
        <v>7450000</v>
      </c>
      <c r="H166" s="329">
        <f t="shared" si="129"/>
        <v>0</v>
      </c>
      <c r="I166" s="338">
        <f t="shared" si="138"/>
        <v>0</v>
      </c>
      <c r="J166" s="329">
        <f t="shared" si="130"/>
        <v>0</v>
      </c>
      <c r="K166" s="338">
        <f t="shared" si="139"/>
        <v>0</v>
      </c>
      <c r="L166" s="329">
        <f t="shared" si="131"/>
        <v>0</v>
      </c>
      <c r="M166" s="338">
        <f t="shared" si="140"/>
        <v>0</v>
      </c>
      <c r="N166" s="329">
        <f t="shared" si="132"/>
        <v>0</v>
      </c>
      <c r="O166" s="338">
        <f t="shared" si="141"/>
        <v>0</v>
      </c>
      <c r="P166" s="329">
        <f t="shared" si="133"/>
        <v>0</v>
      </c>
      <c r="Q166" s="338">
        <f t="shared" si="142"/>
        <v>0</v>
      </c>
      <c r="R166" s="329">
        <f t="shared" si="134"/>
        <v>0</v>
      </c>
      <c r="S166" s="338">
        <f t="shared" si="143"/>
        <v>0</v>
      </c>
      <c r="T166" s="329">
        <f t="shared" si="135"/>
        <v>0</v>
      </c>
      <c r="U166" s="338">
        <f t="shared" si="144"/>
        <v>0</v>
      </c>
      <c r="V166" s="329">
        <f t="shared" si="136"/>
        <v>0</v>
      </c>
      <c r="W166" s="338">
        <f t="shared" si="145"/>
        <v>0</v>
      </c>
      <c r="X166" s="35"/>
    </row>
    <row r="167" spans="1:24" x14ac:dyDescent="0.25">
      <c r="A167" s="335">
        <f>A166+1</f>
        <v>43679</v>
      </c>
      <c r="B167" s="329">
        <f t="shared" si="127"/>
        <v>0</v>
      </c>
      <c r="C167" s="338">
        <f t="shared" si="155"/>
        <v>20000000</v>
      </c>
      <c r="D167" s="329">
        <f t="shared" si="154"/>
        <v>0</v>
      </c>
      <c r="E167" s="338">
        <f t="shared" si="156"/>
        <v>10300000</v>
      </c>
      <c r="F167" s="329">
        <f t="shared" si="128"/>
        <v>0</v>
      </c>
      <c r="G167" s="338">
        <f t="shared" si="157"/>
        <v>7450000</v>
      </c>
      <c r="H167" s="329">
        <f t="shared" si="129"/>
        <v>0</v>
      </c>
      <c r="I167" s="338">
        <f t="shared" si="138"/>
        <v>0</v>
      </c>
      <c r="J167" s="329">
        <f t="shared" si="130"/>
        <v>0</v>
      </c>
      <c r="K167" s="338">
        <f t="shared" si="139"/>
        <v>0</v>
      </c>
      <c r="L167" s="329">
        <f t="shared" si="131"/>
        <v>0</v>
      </c>
      <c r="M167" s="338">
        <f t="shared" si="140"/>
        <v>0</v>
      </c>
      <c r="N167" s="329">
        <f t="shared" si="132"/>
        <v>0</v>
      </c>
      <c r="O167" s="338">
        <f t="shared" si="141"/>
        <v>0</v>
      </c>
      <c r="P167" s="329">
        <f t="shared" si="133"/>
        <v>0</v>
      </c>
      <c r="Q167" s="338">
        <f t="shared" si="142"/>
        <v>0</v>
      </c>
      <c r="R167" s="329">
        <f t="shared" si="134"/>
        <v>0</v>
      </c>
      <c r="S167" s="338">
        <f t="shared" si="143"/>
        <v>0</v>
      </c>
      <c r="T167" s="329">
        <f t="shared" si="135"/>
        <v>0</v>
      </c>
      <c r="U167" s="338">
        <f t="shared" si="144"/>
        <v>0</v>
      </c>
      <c r="V167" s="329">
        <f t="shared" si="136"/>
        <v>0</v>
      </c>
      <c r="W167" s="338">
        <f t="shared" si="145"/>
        <v>0</v>
      </c>
      <c r="X167" s="35"/>
    </row>
    <row r="168" spans="1:24" x14ac:dyDescent="0.25">
      <c r="A168" s="336">
        <f>A167+3</f>
        <v>43682</v>
      </c>
      <c r="B168" s="329">
        <f t="shared" si="127"/>
        <v>0</v>
      </c>
      <c r="C168" s="338">
        <f t="shared" si="155"/>
        <v>20000000</v>
      </c>
      <c r="D168" s="329">
        <f t="shared" si="154"/>
        <v>0</v>
      </c>
      <c r="E168" s="338">
        <f t="shared" si="156"/>
        <v>10300000</v>
      </c>
      <c r="F168" s="329">
        <f t="shared" si="128"/>
        <v>0</v>
      </c>
      <c r="G168" s="338">
        <f t="shared" si="157"/>
        <v>7450000</v>
      </c>
      <c r="H168" s="329">
        <f t="shared" si="129"/>
        <v>0</v>
      </c>
      <c r="I168" s="338">
        <f t="shared" si="138"/>
        <v>0</v>
      </c>
      <c r="J168" s="329">
        <f t="shared" si="130"/>
        <v>0</v>
      </c>
      <c r="K168" s="338">
        <f t="shared" si="139"/>
        <v>0</v>
      </c>
      <c r="L168" s="329">
        <f t="shared" si="131"/>
        <v>0</v>
      </c>
      <c r="M168" s="338">
        <f t="shared" si="140"/>
        <v>0</v>
      </c>
      <c r="N168" s="329">
        <f t="shared" si="132"/>
        <v>0</v>
      </c>
      <c r="O168" s="338">
        <f t="shared" si="141"/>
        <v>0</v>
      </c>
      <c r="P168" s="329">
        <f t="shared" si="133"/>
        <v>0</v>
      </c>
      <c r="Q168" s="338">
        <f t="shared" si="142"/>
        <v>0</v>
      </c>
      <c r="R168" s="329">
        <f t="shared" si="134"/>
        <v>0</v>
      </c>
      <c r="S168" s="338">
        <f t="shared" si="143"/>
        <v>0</v>
      </c>
      <c r="T168" s="329">
        <f t="shared" si="135"/>
        <v>0</v>
      </c>
      <c r="U168" s="338">
        <f t="shared" si="144"/>
        <v>0</v>
      </c>
      <c r="V168" s="329">
        <f t="shared" si="136"/>
        <v>0</v>
      </c>
      <c r="W168" s="338">
        <f t="shared" si="145"/>
        <v>0</v>
      </c>
      <c r="X168" s="35"/>
    </row>
    <row r="169" spans="1:24" x14ac:dyDescent="0.25">
      <c r="A169" s="335">
        <f>A168+1</f>
        <v>43683</v>
      </c>
      <c r="B169" s="329">
        <f t="shared" si="127"/>
        <v>0</v>
      </c>
      <c r="C169" s="338">
        <f t="shared" si="155"/>
        <v>20000000</v>
      </c>
      <c r="D169" s="329">
        <f t="shared" si="154"/>
        <v>0</v>
      </c>
      <c r="E169" s="338">
        <f t="shared" si="156"/>
        <v>10300000</v>
      </c>
      <c r="F169" s="329">
        <f t="shared" si="128"/>
        <v>0</v>
      </c>
      <c r="G169" s="338">
        <f t="shared" si="157"/>
        <v>7450000</v>
      </c>
      <c r="H169" s="329">
        <f t="shared" si="129"/>
        <v>0</v>
      </c>
      <c r="I169" s="338">
        <f t="shared" si="138"/>
        <v>0</v>
      </c>
      <c r="J169" s="329">
        <f t="shared" si="130"/>
        <v>0</v>
      </c>
      <c r="K169" s="338">
        <f t="shared" si="139"/>
        <v>0</v>
      </c>
      <c r="L169" s="329">
        <f t="shared" si="131"/>
        <v>0</v>
      </c>
      <c r="M169" s="338">
        <f t="shared" si="140"/>
        <v>0</v>
      </c>
      <c r="N169" s="329">
        <f t="shared" si="132"/>
        <v>0</v>
      </c>
      <c r="O169" s="338">
        <f t="shared" si="141"/>
        <v>0</v>
      </c>
      <c r="P169" s="329">
        <f t="shared" si="133"/>
        <v>0</v>
      </c>
      <c r="Q169" s="338">
        <f t="shared" si="142"/>
        <v>0</v>
      </c>
      <c r="R169" s="329">
        <f t="shared" si="134"/>
        <v>0</v>
      </c>
      <c r="S169" s="338">
        <f t="shared" si="143"/>
        <v>0</v>
      </c>
      <c r="T169" s="329">
        <f t="shared" si="135"/>
        <v>0</v>
      </c>
      <c r="U169" s="338">
        <f t="shared" si="144"/>
        <v>0</v>
      </c>
      <c r="V169" s="329">
        <f t="shared" si="136"/>
        <v>0</v>
      </c>
      <c r="W169" s="338">
        <f t="shared" si="145"/>
        <v>0</v>
      </c>
      <c r="X169" s="35"/>
    </row>
    <row r="170" spans="1:24" x14ac:dyDescent="0.25">
      <c r="A170" s="335">
        <f>A169+1</f>
        <v>43684</v>
      </c>
      <c r="B170" s="329">
        <f t="shared" si="127"/>
        <v>0</v>
      </c>
      <c r="C170" s="338">
        <f t="shared" si="155"/>
        <v>20000000</v>
      </c>
      <c r="D170" s="329">
        <f t="shared" si="154"/>
        <v>0</v>
      </c>
      <c r="E170" s="338">
        <f t="shared" si="156"/>
        <v>10300000</v>
      </c>
      <c r="F170" s="329">
        <f t="shared" si="128"/>
        <v>0</v>
      </c>
      <c r="G170" s="338">
        <f t="shared" si="157"/>
        <v>7450000</v>
      </c>
      <c r="H170" s="329">
        <f t="shared" si="129"/>
        <v>0</v>
      </c>
      <c r="I170" s="338">
        <f t="shared" si="138"/>
        <v>0</v>
      </c>
      <c r="J170" s="329">
        <f t="shared" si="130"/>
        <v>0</v>
      </c>
      <c r="K170" s="338">
        <f t="shared" si="139"/>
        <v>0</v>
      </c>
      <c r="L170" s="329">
        <f t="shared" si="131"/>
        <v>0</v>
      </c>
      <c r="M170" s="338">
        <f t="shared" si="140"/>
        <v>0</v>
      </c>
      <c r="N170" s="329">
        <f t="shared" si="132"/>
        <v>0</v>
      </c>
      <c r="O170" s="338">
        <f t="shared" si="141"/>
        <v>0</v>
      </c>
      <c r="P170" s="329">
        <f t="shared" si="133"/>
        <v>0</v>
      </c>
      <c r="Q170" s="338">
        <f t="shared" si="142"/>
        <v>0</v>
      </c>
      <c r="R170" s="329">
        <f t="shared" si="134"/>
        <v>0</v>
      </c>
      <c r="S170" s="338">
        <f t="shared" si="143"/>
        <v>0</v>
      </c>
      <c r="T170" s="329">
        <f t="shared" si="135"/>
        <v>0</v>
      </c>
      <c r="U170" s="338">
        <f t="shared" si="144"/>
        <v>0</v>
      </c>
      <c r="V170" s="329">
        <f t="shared" si="136"/>
        <v>0</v>
      </c>
      <c r="W170" s="338">
        <f t="shared" si="145"/>
        <v>0</v>
      </c>
      <c r="X170" s="35"/>
    </row>
    <row r="171" spans="1:24" x14ac:dyDescent="0.25">
      <c r="A171" s="335">
        <f>A170+1</f>
        <v>43685</v>
      </c>
      <c r="B171" s="329">
        <f t="shared" ref="B171:B234" si="158">SUMIFS(Usage_Main,CF_Dates,$A171,CF_Descriptions,"XS1951177309 Change")</f>
        <v>0</v>
      </c>
      <c r="C171" s="338">
        <f t="shared" si="155"/>
        <v>20000000</v>
      </c>
      <c r="D171" s="329">
        <f t="shared" si="154"/>
        <v>0</v>
      </c>
      <c r="E171" s="338">
        <f t="shared" si="156"/>
        <v>10300000</v>
      </c>
      <c r="F171" s="329">
        <f t="shared" ref="F171:F234" si="159">SUMIFS(Usage_Main,CF_Dates,$A171,CF_Descriptions,"EASTCYPRESS1 Change")</f>
        <v>0</v>
      </c>
      <c r="G171" s="338">
        <f t="shared" si="157"/>
        <v>7450000</v>
      </c>
      <c r="H171" s="329">
        <f t="shared" ref="H171:H234" si="160">SUMIFS(Usage_Main,CF_Dates,$A171,CF_Descriptions,"XS2091648928 Change")</f>
        <v>0</v>
      </c>
      <c r="I171" s="338">
        <f t="shared" si="138"/>
        <v>0</v>
      </c>
      <c r="J171" s="329">
        <f t="shared" ref="J171:J234" si="161">SUMIFS(Usage_Main,CF_Dates,$A171,CF_Descriptions,"Southern Apple Change")</f>
        <v>0</v>
      </c>
      <c r="K171" s="338">
        <f t="shared" si="139"/>
        <v>0</v>
      </c>
      <c r="L171" s="329">
        <f t="shared" ref="L171:L234" si="162">SUMIFS(Usage_Main,CF_Dates,$A171,CF_Descriptions,"ALMONDUSD Change")</f>
        <v>0</v>
      </c>
      <c r="M171" s="338">
        <f t="shared" si="140"/>
        <v>0</v>
      </c>
      <c r="N171" s="329">
        <f t="shared" ref="N171:N234" si="163">SUMIFS(Usage_Main,CF_Dates,$A171,CF_Descriptions,"ALMONDEUR Change")</f>
        <v>0</v>
      </c>
      <c r="O171" s="338">
        <f t="shared" si="141"/>
        <v>0</v>
      </c>
      <c r="P171" s="329">
        <f t="shared" ref="P171:P234" si="164">SUMIFS(Usage_Main,CF_Dates,$A171,CF_Descriptions,"HEXZETA Change")</f>
        <v>0</v>
      </c>
      <c r="Q171" s="338">
        <f t="shared" si="142"/>
        <v>0</v>
      </c>
      <c r="R171" s="329">
        <f t="shared" ref="R171:R234" si="165">SUMIFS(Usage_Main,CF_Dates,$A171,CF_Descriptions,"MNTNCHERRY Change")</f>
        <v>0</v>
      </c>
      <c r="S171" s="338">
        <f t="shared" si="143"/>
        <v>0</v>
      </c>
      <c r="T171" s="329">
        <f t="shared" ref="T171:T234" si="166">SUMIFS(Usage_Main,CF_Dates,$A171,CF_Descriptions,"OLIVEUSD Change")</f>
        <v>0</v>
      </c>
      <c r="U171" s="338">
        <f t="shared" si="144"/>
        <v>0</v>
      </c>
      <c r="V171" s="329">
        <f t="shared" ref="V171:V234" si="167">SUMIFS(Usage_Main,CF_Dates,$A171,CF_Descriptions,"OLIVEEUR Change")</f>
        <v>0</v>
      </c>
      <c r="W171" s="338">
        <f t="shared" si="145"/>
        <v>0</v>
      </c>
      <c r="X171" s="35"/>
    </row>
    <row r="172" spans="1:24" x14ac:dyDescent="0.25">
      <c r="A172" s="335">
        <f>A171+1</f>
        <v>43686</v>
      </c>
      <c r="B172" s="329">
        <f t="shared" si="158"/>
        <v>0</v>
      </c>
      <c r="C172" s="338">
        <f t="shared" si="155"/>
        <v>20000000</v>
      </c>
      <c r="D172" s="329">
        <f t="shared" si="154"/>
        <v>0</v>
      </c>
      <c r="E172" s="338">
        <f t="shared" si="156"/>
        <v>10300000</v>
      </c>
      <c r="F172" s="329">
        <f t="shared" si="159"/>
        <v>0</v>
      </c>
      <c r="G172" s="338">
        <f t="shared" si="157"/>
        <v>7450000</v>
      </c>
      <c r="H172" s="329">
        <f t="shared" si="160"/>
        <v>0</v>
      </c>
      <c r="I172" s="338">
        <f t="shared" ref="I172:I235" si="168">H172+I171</f>
        <v>0</v>
      </c>
      <c r="J172" s="329">
        <f t="shared" si="161"/>
        <v>0</v>
      </c>
      <c r="K172" s="338">
        <f t="shared" ref="K172:K235" si="169">J172+K171</f>
        <v>0</v>
      </c>
      <c r="L172" s="329">
        <f t="shared" si="162"/>
        <v>0</v>
      </c>
      <c r="M172" s="338">
        <f t="shared" ref="M172:M235" si="170">L172+M171</f>
        <v>0</v>
      </c>
      <c r="N172" s="329">
        <f t="shared" si="163"/>
        <v>0</v>
      </c>
      <c r="O172" s="338">
        <f t="shared" ref="O172:O235" si="171">N172+O171</f>
        <v>0</v>
      </c>
      <c r="P172" s="329">
        <f t="shared" si="164"/>
        <v>0</v>
      </c>
      <c r="Q172" s="338">
        <f t="shared" ref="Q172:Q235" si="172">P172+Q171</f>
        <v>0</v>
      </c>
      <c r="R172" s="329">
        <f t="shared" si="165"/>
        <v>0</v>
      </c>
      <c r="S172" s="338">
        <f t="shared" ref="S172:S235" si="173">R172+S171</f>
        <v>0</v>
      </c>
      <c r="T172" s="329">
        <f t="shared" si="166"/>
        <v>0</v>
      </c>
      <c r="U172" s="338">
        <f t="shared" ref="U172:U235" si="174">T172+U171</f>
        <v>0</v>
      </c>
      <c r="V172" s="329">
        <f t="shared" si="167"/>
        <v>0</v>
      </c>
      <c r="W172" s="338">
        <f t="shared" ref="W172:W235" si="175">V172+W171</f>
        <v>0</v>
      </c>
      <c r="X172" s="35"/>
    </row>
    <row r="173" spans="1:24" x14ac:dyDescent="0.25">
      <c r="A173" s="336">
        <f>A172+3</f>
        <v>43689</v>
      </c>
      <c r="B173" s="329">
        <f t="shared" si="158"/>
        <v>0</v>
      </c>
      <c r="C173" s="338">
        <f t="shared" si="155"/>
        <v>20000000</v>
      </c>
      <c r="D173" s="329">
        <f t="shared" si="154"/>
        <v>11000000</v>
      </c>
      <c r="E173" s="338">
        <f t="shared" si="156"/>
        <v>21300000</v>
      </c>
      <c r="F173" s="329">
        <f t="shared" si="159"/>
        <v>0</v>
      </c>
      <c r="G173" s="338">
        <f t="shared" si="157"/>
        <v>7450000</v>
      </c>
      <c r="H173" s="329">
        <f t="shared" si="160"/>
        <v>0</v>
      </c>
      <c r="I173" s="338">
        <f t="shared" si="168"/>
        <v>0</v>
      </c>
      <c r="J173" s="329">
        <f t="shared" si="161"/>
        <v>0</v>
      </c>
      <c r="K173" s="338">
        <f t="shared" si="169"/>
        <v>0</v>
      </c>
      <c r="L173" s="329">
        <f t="shared" si="162"/>
        <v>0</v>
      </c>
      <c r="M173" s="338">
        <f t="shared" si="170"/>
        <v>0</v>
      </c>
      <c r="N173" s="329">
        <f t="shared" si="163"/>
        <v>0</v>
      </c>
      <c r="O173" s="338">
        <f t="shared" si="171"/>
        <v>0</v>
      </c>
      <c r="P173" s="329">
        <f t="shared" si="164"/>
        <v>0</v>
      </c>
      <c r="Q173" s="338">
        <f t="shared" si="172"/>
        <v>0</v>
      </c>
      <c r="R173" s="329">
        <f t="shared" si="165"/>
        <v>0</v>
      </c>
      <c r="S173" s="338">
        <f t="shared" si="173"/>
        <v>0</v>
      </c>
      <c r="T173" s="329">
        <f t="shared" si="166"/>
        <v>0</v>
      </c>
      <c r="U173" s="338">
        <f t="shared" si="174"/>
        <v>0</v>
      </c>
      <c r="V173" s="329">
        <f t="shared" si="167"/>
        <v>0</v>
      </c>
      <c r="W173" s="338">
        <f t="shared" si="175"/>
        <v>0</v>
      </c>
      <c r="X173" s="35"/>
    </row>
    <row r="174" spans="1:24" x14ac:dyDescent="0.25">
      <c r="A174" s="335">
        <f>A173+1</f>
        <v>43690</v>
      </c>
      <c r="B174" s="329">
        <f t="shared" si="158"/>
        <v>0</v>
      </c>
      <c r="C174" s="338">
        <f t="shared" si="155"/>
        <v>20000000</v>
      </c>
      <c r="D174" s="329">
        <f t="shared" si="154"/>
        <v>0</v>
      </c>
      <c r="E174" s="338">
        <f t="shared" si="156"/>
        <v>21300000</v>
      </c>
      <c r="F174" s="329">
        <f t="shared" si="159"/>
        <v>0</v>
      </c>
      <c r="G174" s="338">
        <f t="shared" si="157"/>
        <v>7450000</v>
      </c>
      <c r="H174" s="329">
        <f t="shared" si="160"/>
        <v>0</v>
      </c>
      <c r="I174" s="338">
        <f t="shared" si="168"/>
        <v>0</v>
      </c>
      <c r="J174" s="329">
        <f t="shared" si="161"/>
        <v>0</v>
      </c>
      <c r="K174" s="338">
        <f t="shared" si="169"/>
        <v>0</v>
      </c>
      <c r="L174" s="329">
        <f t="shared" si="162"/>
        <v>0</v>
      </c>
      <c r="M174" s="338">
        <f t="shared" si="170"/>
        <v>0</v>
      </c>
      <c r="N174" s="329">
        <f t="shared" si="163"/>
        <v>0</v>
      </c>
      <c r="O174" s="338">
        <f t="shared" si="171"/>
        <v>0</v>
      </c>
      <c r="P174" s="329">
        <f t="shared" si="164"/>
        <v>0</v>
      </c>
      <c r="Q174" s="338">
        <f t="shared" si="172"/>
        <v>0</v>
      </c>
      <c r="R174" s="329">
        <f t="shared" si="165"/>
        <v>0</v>
      </c>
      <c r="S174" s="338">
        <f t="shared" si="173"/>
        <v>0</v>
      </c>
      <c r="T174" s="329">
        <f t="shared" si="166"/>
        <v>0</v>
      </c>
      <c r="U174" s="338">
        <f t="shared" si="174"/>
        <v>0</v>
      </c>
      <c r="V174" s="329">
        <f t="shared" si="167"/>
        <v>0</v>
      </c>
      <c r="W174" s="338">
        <f t="shared" si="175"/>
        <v>0</v>
      </c>
      <c r="X174" s="35"/>
    </row>
    <row r="175" spans="1:24" x14ac:dyDescent="0.25">
      <c r="A175" s="335">
        <f>A174+1</f>
        <v>43691</v>
      </c>
      <c r="B175" s="329">
        <f t="shared" si="158"/>
        <v>0</v>
      </c>
      <c r="C175" s="338">
        <f t="shared" si="155"/>
        <v>20000000</v>
      </c>
      <c r="D175" s="329">
        <f t="shared" si="154"/>
        <v>0</v>
      </c>
      <c r="E175" s="338">
        <f t="shared" si="156"/>
        <v>21300000</v>
      </c>
      <c r="F175" s="329">
        <f t="shared" si="159"/>
        <v>0</v>
      </c>
      <c r="G175" s="338">
        <f t="shared" si="157"/>
        <v>7450000</v>
      </c>
      <c r="H175" s="329">
        <f t="shared" si="160"/>
        <v>0</v>
      </c>
      <c r="I175" s="338">
        <f t="shared" si="168"/>
        <v>0</v>
      </c>
      <c r="J175" s="329">
        <f t="shared" si="161"/>
        <v>0</v>
      </c>
      <c r="K175" s="338">
        <f t="shared" si="169"/>
        <v>0</v>
      </c>
      <c r="L175" s="329">
        <f t="shared" si="162"/>
        <v>0</v>
      </c>
      <c r="M175" s="338">
        <f t="shared" si="170"/>
        <v>0</v>
      </c>
      <c r="N175" s="329">
        <f t="shared" si="163"/>
        <v>0</v>
      </c>
      <c r="O175" s="338">
        <f t="shared" si="171"/>
        <v>0</v>
      </c>
      <c r="P175" s="329">
        <f t="shared" si="164"/>
        <v>0</v>
      </c>
      <c r="Q175" s="338">
        <f t="shared" si="172"/>
        <v>0</v>
      </c>
      <c r="R175" s="329">
        <f t="shared" si="165"/>
        <v>0</v>
      </c>
      <c r="S175" s="338">
        <f t="shared" si="173"/>
        <v>0</v>
      </c>
      <c r="T175" s="329">
        <f t="shared" si="166"/>
        <v>0</v>
      </c>
      <c r="U175" s="338">
        <f t="shared" si="174"/>
        <v>0</v>
      </c>
      <c r="V175" s="329">
        <f t="shared" si="167"/>
        <v>0</v>
      </c>
      <c r="W175" s="338">
        <f t="shared" si="175"/>
        <v>0</v>
      </c>
      <c r="X175" s="35"/>
    </row>
    <row r="176" spans="1:24" x14ac:dyDescent="0.25">
      <c r="A176" s="335">
        <f>A175+1</f>
        <v>43692</v>
      </c>
      <c r="B176" s="329">
        <f t="shared" si="158"/>
        <v>0</v>
      </c>
      <c r="C176" s="338">
        <f t="shared" si="155"/>
        <v>20000000</v>
      </c>
      <c r="D176" s="329">
        <f t="shared" si="154"/>
        <v>0</v>
      </c>
      <c r="E176" s="338">
        <f t="shared" si="156"/>
        <v>21300000</v>
      </c>
      <c r="F176" s="329">
        <f t="shared" si="159"/>
        <v>0</v>
      </c>
      <c r="G176" s="338">
        <f t="shared" si="157"/>
        <v>7450000</v>
      </c>
      <c r="H176" s="329">
        <f t="shared" si="160"/>
        <v>0</v>
      </c>
      <c r="I176" s="338">
        <f t="shared" si="168"/>
        <v>0</v>
      </c>
      <c r="J176" s="329">
        <f t="shared" si="161"/>
        <v>0</v>
      </c>
      <c r="K176" s="338">
        <f t="shared" si="169"/>
        <v>0</v>
      </c>
      <c r="L176" s="329">
        <f t="shared" si="162"/>
        <v>0</v>
      </c>
      <c r="M176" s="338">
        <f t="shared" si="170"/>
        <v>0</v>
      </c>
      <c r="N176" s="329">
        <f t="shared" si="163"/>
        <v>0</v>
      </c>
      <c r="O176" s="338">
        <f t="shared" si="171"/>
        <v>0</v>
      </c>
      <c r="P176" s="329">
        <f t="shared" si="164"/>
        <v>0</v>
      </c>
      <c r="Q176" s="338">
        <f t="shared" si="172"/>
        <v>0</v>
      </c>
      <c r="R176" s="329">
        <f t="shared" si="165"/>
        <v>0</v>
      </c>
      <c r="S176" s="338">
        <f t="shared" si="173"/>
        <v>0</v>
      </c>
      <c r="T176" s="329">
        <f t="shared" si="166"/>
        <v>0</v>
      </c>
      <c r="U176" s="338">
        <f t="shared" si="174"/>
        <v>0</v>
      </c>
      <c r="V176" s="329">
        <f t="shared" si="167"/>
        <v>0</v>
      </c>
      <c r="W176" s="338">
        <f t="shared" si="175"/>
        <v>0</v>
      </c>
      <c r="X176" s="35"/>
    </row>
    <row r="177" spans="1:24" x14ac:dyDescent="0.25">
      <c r="A177" s="335">
        <f>A176+1</f>
        <v>43693</v>
      </c>
      <c r="B177" s="329">
        <f t="shared" si="158"/>
        <v>0</v>
      </c>
      <c r="C177" s="338">
        <f t="shared" si="155"/>
        <v>20000000</v>
      </c>
      <c r="D177" s="329">
        <f t="shared" si="154"/>
        <v>0</v>
      </c>
      <c r="E177" s="338">
        <f t="shared" si="156"/>
        <v>21300000</v>
      </c>
      <c r="F177" s="329">
        <f t="shared" si="159"/>
        <v>0</v>
      </c>
      <c r="G177" s="338">
        <f t="shared" si="157"/>
        <v>7450000</v>
      </c>
      <c r="H177" s="329">
        <f t="shared" si="160"/>
        <v>0</v>
      </c>
      <c r="I177" s="338">
        <f t="shared" si="168"/>
        <v>0</v>
      </c>
      <c r="J177" s="329">
        <f t="shared" si="161"/>
        <v>0</v>
      </c>
      <c r="K177" s="338">
        <f t="shared" si="169"/>
        <v>0</v>
      </c>
      <c r="L177" s="329">
        <f t="shared" si="162"/>
        <v>0</v>
      </c>
      <c r="M177" s="338">
        <f t="shared" si="170"/>
        <v>0</v>
      </c>
      <c r="N177" s="329">
        <f t="shared" si="163"/>
        <v>0</v>
      </c>
      <c r="O177" s="338">
        <f t="shared" si="171"/>
        <v>0</v>
      </c>
      <c r="P177" s="329">
        <f t="shared" si="164"/>
        <v>0</v>
      </c>
      <c r="Q177" s="338">
        <f t="shared" si="172"/>
        <v>0</v>
      </c>
      <c r="R177" s="329">
        <f t="shared" si="165"/>
        <v>0</v>
      </c>
      <c r="S177" s="338">
        <f t="shared" si="173"/>
        <v>0</v>
      </c>
      <c r="T177" s="329">
        <f t="shared" si="166"/>
        <v>0</v>
      </c>
      <c r="U177" s="338">
        <f t="shared" si="174"/>
        <v>0</v>
      </c>
      <c r="V177" s="329">
        <f t="shared" si="167"/>
        <v>0</v>
      </c>
      <c r="W177" s="338">
        <f t="shared" si="175"/>
        <v>0</v>
      </c>
      <c r="X177" s="35"/>
    </row>
    <row r="178" spans="1:24" x14ac:dyDescent="0.25">
      <c r="A178" s="336">
        <f>A177+3</f>
        <v>43696</v>
      </c>
      <c r="B178" s="329">
        <f t="shared" si="158"/>
        <v>0</v>
      </c>
      <c r="C178" s="338">
        <f t="shared" si="155"/>
        <v>20000000</v>
      </c>
      <c r="D178" s="329">
        <f t="shared" si="154"/>
        <v>0</v>
      </c>
      <c r="E178" s="338">
        <f t="shared" si="156"/>
        <v>21300000</v>
      </c>
      <c r="F178" s="329">
        <f t="shared" si="159"/>
        <v>0</v>
      </c>
      <c r="G178" s="338">
        <f t="shared" si="157"/>
        <v>7450000</v>
      </c>
      <c r="H178" s="329">
        <f t="shared" si="160"/>
        <v>0</v>
      </c>
      <c r="I178" s="338">
        <f t="shared" si="168"/>
        <v>0</v>
      </c>
      <c r="J178" s="329">
        <f t="shared" si="161"/>
        <v>0</v>
      </c>
      <c r="K178" s="338">
        <f t="shared" si="169"/>
        <v>0</v>
      </c>
      <c r="L178" s="329">
        <f t="shared" si="162"/>
        <v>0</v>
      </c>
      <c r="M178" s="338">
        <f t="shared" si="170"/>
        <v>0</v>
      </c>
      <c r="N178" s="329">
        <f t="shared" si="163"/>
        <v>0</v>
      </c>
      <c r="O178" s="338">
        <f t="shared" si="171"/>
        <v>0</v>
      </c>
      <c r="P178" s="329">
        <f t="shared" si="164"/>
        <v>0</v>
      </c>
      <c r="Q178" s="338">
        <f t="shared" si="172"/>
        <v>0</v>
      </c>
      <c r="R178" s="329">
        <f t="shared" si="165"/>
        <v>0</v>
      </c>
      <c r="S178" s="338">
        <f t="shared" si="173"/>
        <v>0</v>
      </c>
      <c r="T178" s="329">
        <f t="shared" si="166"/>
        <v>0</v>
      </c>
      <c r="U178" s="338">
        <f t="shared" si="174"/>
        <v>0</v>
      </c>
      <c r="V178" s="329">
        <f t="shared" si="167"/>
        <v>0</v>
      </c>
      <c r="W178" s="338">
        <f t="shared" si="175"/>
        <v>0</v>
      </c>
      <c r="X178" s="35"/>
    </row>
    <row r="179" spans="1:24" x14ac:dyDescent="0.25">
      <c r="A179" s="335">
        <f>A178+1</f>
        <v>43697</v>
      </c>
      <c r="B179" s="329">
        <f t="shared" si="158"/>
        <v>0</v>
      </c>
      <c r="C179" s="338">
        <f t="shared" si="155"/>
        <v>20000000</v>
      </c>
      <c r="D179" s="329">
        <f t="shared" si="154"/>
        <v>3500000</v>
      </c>
      <c r="E179" s="338">
        <f t="shared" si="156"/>
        <v>24800000</v>
      </c>
      <c r="F179" s="329">
        <f t="shared" si="159"/>
        <v>0</v>
      </c>
      <c r="G179" s="338">
        <f t="shared" si="157"/>
        <v>7450000</v>
      </c>
      <c r="H179" s="329">
        <f t="shared" si="160"/>
        <v>0</v>
      </c>
      <c r="I179" s="338">
        <f t="shared" si="168"/>
        <v>0</v>
      </c>
      <c r="J179" s="329">
        <f t="shared" si="161"/>
        <v>0</v>
      </c>
      <c r="K179" s="338">
        <f t="shared" si="169"/>
        <v>0</v>
      </c>
      <c r="L179" s="329">
        <f t="shared" si="162"/>
        <v>0</v>
      </c>
      <c r="M179" s="338">
        <f t="shared" si="170"/>
        <v>0</v>
      </c>
      <c r="N179" s="329">
        <f t="shared" si="163"/>
        <v>0</v>
      </c>
      <c r="O179" s="338">
        <f t="shared" si="171"/>
        <v>0</v>
      </c>
      <c r="P179" s="329">
        <f t="shared" si="164"/>
        <v>0</v>
      </c>
      <c r="Q179" s="338">
        <f t="shared" si="172"/>
        <v>0</v>
      </c>
      <c r="R179" s="329">
        <f t="shared" si="165"/>
        <v>0</v>
      </c>
      <c r="S179" s="338">
        <f t="shared" si="173"/>
        <v>0</v>
      </c>
      <c r="T179" s="329">
        <f t="shared" si="166"/>
        <v>0</v>
      </c>
      <c r="U179" s="338">
        <f t="shared" si="174"/>
        <v>0</v>
      </c>
      <c r="V179" s="329">
        <f t="shared" si="167"/>
        <v>0</v>
      </c>
      <c r="W179" s="338">
        <f t="shared" si="175"/>
        <v>0</v>
      </c>
      <c r="X179" s="35"/>
    </row>
    <row r="180" spans="1:24" x14ac:dyDescent="0.25">
      <c r="A180" s="335">
        <f>A179+1</f>
        <v>43698</v>
      </c>
      <c r="B180" s="329">
        <f t="shared" si="158"/>
        <v>0</v>
      </c>
      <c r="C180" s="338">
        <f t="shared" si="155"/>
        <v>20000000</v>
      </c>
      <c r="D180" s="329">
        <f t="shared" si="154"/>
        <v>0</v>
      </c>
      <c r="E180" s="338">
        <f t="shared" si="156"/>
        <v>24800000</v>
      </c>
      <c r="F180" s="329">
        <f t="shared" si="159"/>
        <v>0</v>
      </c>
      <c r="G180" s="338">
        <f t="shared" si="157"/>
        <v>7450000</v>
      </c>
      <c r="H180" s="329">
        <f t="shared" si="160"/>
        <v>0</v>
      </c>
      <c r="I180" s="338">
        <f t="shared" si="168"/>
        <v>0</v>
      </c>
      <c r="J180" s="329">
        <f t="shared" si="161"/>
        <v>0</v>
      </c>
      <c r="K180" s="338">
        <f t="shared" si="169"/>
        <v>0</v>
      </c>
      <c r="L180" s="329">
        <f t="shared" si="162"/>
        <v>0</v>
      </c>
      <c r="M180" s="338">
        <f t="shared" si="170"/>
        <v>0</v>
      </c>
      <c r="N180" s="329">
        <f t="shared" si="163"/>
        <v>0</v>
      </c>
      <c r="O180" s="338">
        <f t="shared" si="171"/>
        <v>0</v>
      </c>
      <c r="P180" s="329">
        <f t="shared" si="164"/>
        <v>0</v>
      </c>
      <c r="Q180" s="338">
        <f t="shared" si="172"/>
        <v>0</v>
      </c>
      <c r="R180" s="329">
        <f t="shared" si="165"/>
        <v>0</v>
      </c>
      <c r="S180" s="338">
        <f t="shared" si="173"/>
        <v>0</v>
      </c>
      <c r="T180" s="329">
        <f t="shared" si="166"/>
        <v>0</v>
      </c>
      <c r="U180" s="338">
        <f t="shared" si="174"/>
        <v>0</v>
      </c>
      <c r="V180" s="329">
        <f t="shared" si="167"/>
        <v>0</v>
      </c>
      <c r="W180" s="338">
        <f t="shared" si="175"/>
        <v>0</v>
      </c>
      <c r="X180" s="35"/>
    </row>
    <row r="181" spans="1:24" x14ac:dyDescent="0.25">
      <c r="A181" s="335">
        <f>A180+1</f>
        <v>43699</v>
      </c>
      <c r="B181" s="329">
        <f t="shared" si="158"/>
        <v>0</v>
      </c>
      <c r="C181" s="338">
        <f t="shared" si="155"/>
        <v>20000000</v>
      </c>
      <c r="D181" s="329">
        <f t="shared" si="154"/>
        <v>0</v>
      </c>
      <c r="E181" s="338">
        <f t="shared" si="156"/>
        <v>24800000</v>
      </c>
      <c r="F181" s="329">
        <f t="shared" si="159"/>
        <v>0</v>
      </c>
      <c r="G181" s="338">
        <f t="shared" si="157"/>
        <v>7450000</v>
      </c>
      <c r="H181" s="329">
        <f t="shared" si="160"/>
        <v>0</v>
      </c>
      <c r="I181" s="338">
        <f t="shared" si="168"/>
        <v>0</v>
      </c>
      <c r="J181" s="329">
        <f t="shared" si="161"/>
        <v>0</v>
      </c>
      <c r="K181" s="338">
        <f t="shared" si="169"/>
        <v>0</v>
      </c>
      <c r="L181" s="329">
        <f t="shared" si="162"/>
        <v>0</v>
      </c>
      <c r="M181" s="338">
        <f t="shared" si="170"/>
        <v>0</v>
      </c>
      <c r="N181" s="329">
        <f t="shared" si="163"/>
        <v>0</v>
      </c>
      <c r="O181" s="338">
        <f t="shared" si="171"/>
        <v>0</v>
      </c>
      <c r="P181" s="329">
        <f t="shared" si="164"/>
        <v>0</v>
      </c>
      <c r="Q181" s="338">
        <f t="shared" si="172"/>
        <v>0</v>
      </c>
      <c r="R181" s="329">
        <f t="shared" si="165"/>
        <v>0</v>
      </c>
      <c r="S181" s="338">
        <f t="shared" si="173"/>
        <v>0</v>
      </c>
      <c r="T181" s="329">
        <f t="shared" si="166"/>
        <v>0</v>
      </c>
      <c r="U181" s="338">
        <f t="shared" si="174"/>
        <v>0</v>
      </c>
      <c r="V181" s="329">
        <f t="shared" si="167"/>
        <v>0</v>
      </c>
      <c r="W181" s="338">
        <f t="shared" si="175"/>
        <v>0</v>
      </c>
      <c r="X181" s="35"/>
    </row>
    <row r="182" spans="1:24" x14ac:dyDescent="0.25">
      <c r="A182" s="335">
        <f>A181+1</f>
        <v>43700</v>
      </c>
      <c r="B182" s="329">
        <f t="shared" si="158"/>
        <v>0</v>
      </c>
      <c r="C182" s="338">
        <f t="shared" si="155"/>
        <v>20000000</v>
      </c>
      <c r="D182" s="329">
        <f t="shared" si="154"/>
        <v>0</v>
      </c>
      <c r="E182" s="338">
        <f t="shared" si="156"/>
        <v>24800000</v>
      </c>
      <c r="F182" s="329">
        <f t="shared" si="159"/>
        <v>0</v>
      </c>
      <c r="G182" s="338">
        <f t="shared" si="157"/>
        <v>7450000</v>
      </c>
      <c r="H182" s="329">
        <f t="shared" si="160"/>
        <v>0</v>
      </c>
      <c r="I182" s="338">
        <f t="shared" si="168"/>
        <v>0</v>
      </c>
      <c r="J182" s="329">
        <f t="shared" si="161"/>
        <v>0</v>
      </c>
      <c r="K182" s="338">
        <f t="shared" si="169"/>
        <v>0</v>
      </c>
      <c r="L182" s="329">
        <f t="shared" si="162"/>
        <v>0</v>
      </c>
      <c r="M182" s="338">
        <f t="shared" si="170"/>
        <v>0</v>
      </c>
      <c r="N182" s="329">
        <f t="shared" si="163"/>
        <v>0</v>
      </c>
      <c r="O182" s="338">
        <f t="shared" si="171"/>
        <v>0</v>
      </c>
      <c r="P182" s="329">
        <f t="shared" si="164"/>
        <v>0</v>
      </c>
      <c r="Q182" s="338">
        <f t="shared" si="172"/>
        <v>0</v>
      </c>
      <c r="R182" s="329">
        <f t="shared" si="165"/>
        <v>0</v>
      </c>
      <c r="S182" s="338">
        <f t="shared" si="173"/>
        <v>0</v>
      </c>
      <c r="T182" s="329">
        <f t="shared" si="166"/>
        <v>0</v>
      </c>
      <c r="U182" s="338">
        <f t="shared" si="174"/>
        <v>0</v>
      </c>
      <c r="V182" s="329">
        <f t="shared" si="167"/>
        <v>0</v>
      </c>
      <c r="W182" s="338">
        <f t="shared" si="175"/>
        <v>0</v>
      </c>
      <c r="X182" s="35"/>
    </row>
    <row r="183" spans="1:24" x14ac:dyDescent="0.25">
      <c r="A183" s="336">
        <f>A182+3</f>
        <v>43703</v>
      </c>
      <c r="B183" s="329">
        <f t="shared" si="158"/>
        <v>0</v>
      </c>
      <c r="C183" s="338">
        <f t="shared" si="155"/>
        <v>20000000</v>
      </c>
      <c r="D183" s="329">
        <f t="shared" si="154"/>
        <v>0</v>
      </c>
      <c r="E183" s="338">
        <f t="shared" si="156"/>
        <v>24800000</v>
      </c>
      <c r="F183" s="329">
        <f t="shared" si="159"/>
        <v>0</v>
      </c>
      <c r="G183" s="338">
        <f t="shared" si="157"/>
        <v>7450000</v>
      </c>
      <c r="H183" s="329">
        <f t="shared" si="160"/>
        <v>0</v>
      </c>
      <c r="I183" s="338">
        <f t="shared" si="168"/>
        <v>0</v>
      </c>
      <c r="J183" s="329">
        <f t="shared" si="161"/>
        <v>0</v>
      </c>
      <c r="K183" s="338">
        <f t="shared" si="169"/>
        <v>0</v>
      </c>
      <c r="L183" s="329">
        <f t="shared" si="162"/>
        <v>0</v>
      </c>
      <c r="M183" s="338">
        <f t="shared" si="170"/>
        <v>0</v>
      </c>
      <c r="N183" s="329">
        <f t="shared" si="163"/>
        <v>0</v>
      </c>
      <c r="O183" s="338">
        <f t="shared" si="171"/>
        <v>0</v>
      </c>
      <c r="P183" s="329">
        <f t="shared" si="164"/>
        <v>0</v>
      </c>
      <c r="Q183" s="338">
        <f t="shared" si="172"/>
        <v>0</v>
      </c>
      <c r="R183" s="329">
        <f t="shared" si="165"/>
        <v>0</v>
      </c>
      <c r="S183" s="338">
        <f t="shared" si="173"/>
        <v>0</v>
      </c>
      <c r="T183" s="329">
        <f t="shared" si="166"/>
        <v>0</v>
      </c>
      <c r="U183" s="338">
        <f t="shared" si="174"/>
        <v>0</v>
      </c>
      <c r="V183" s="329">
        <f t="shared" si="167"/>
        <v>0</v>
      </c>
      <c r="W183" s="338">
        <f t="shared" si="175"/>
        <v>0</v>
      </c>
      <c r="X183" s="35"/>
    </row>
    <row r="184" spans="1:24" x14ac:dyDescent="0.25">
      <c r="A184" s="335">
        <f>A183+1</f>
        <v>43704</v>
      </c>
      <c r="B184" s="329">
        <f t="shared" si="158"/>
        <v>0</v>
      </c>
      <c r="C184" s="338">
        <f t="shared" si="155"/>
        <v>20000000</v>
      </c>
      <c r="D184" s="329">
        <f t="shared" si="154"/>
        <v>0</v>
      </c>
      <c r="E184" s="338">
        <f t="shared" si="156"/>
        <v>24800000</v>
      </c>
      <c r="F184" s="329">
        <f t="shared" si="159"/>
        <v>0</v>
      </c>
      <c r="G184" s="338">
        <f t="shared" si="157"/>
        <v>7450000</v>
      </c>
      <c r="H184" s="329">
        <f t="shared" si="160"/>
        <v>0</v>
      </c>
      <c r="I184" s="338">
        <f t="shared" si="168"/>
        <v>0</v>
      </c>
      <c r="J184" s="329">
        <f t="shared" si="161"/>
        <v>0</v>
      </c>
      <c r="K184" s="338">
        <f t="shared" si="169"/>
        <v>0</v>
      </c>
      <c r="L184" s="329">
        <f t="shared" si="162"/>
        <v>0</v>
      </c>
      <c r="M184" s="338">
        <f t="shared" si="170"/>
        <v>0</v>
      </c>
      <c r="N184" s="329">
        <f t="shared" si="163"/>
        <v>0</v>
      </c>
      <c r="O184" s="338">
        <f t="shared" si="171"/>
        <v>0</v>
      </c>
      <c r="P184" s="329">
        <f t="shared" si="164"/>
        <v>0</v>
      </c>
      <c r="Q184" s="338">
        <f t="shared" si="172"/>
        <v>0</v>
      </c>
      <c r="R184" s="329">
        <f t="shared" si="165"/>
        <v>0</v>
      </c>
      <c r="S184" s="338">
        <f t="shared" si="173"/>
        <v>0</v>
      </c>
      <c r="T184" s="329">
        <f t="shared" si="166"/>
        <v>0</v>
      </c>
      <c r="U184" s="338">
        <f t="shared" si="174"/>
        <v>0</v>
      </c>
      <c r="V184" s="329">
        <f t="shared" si="167"/>
        <v>0</v>
      </c>
      <c r="W184" s="338">
        <f t="shared" si="175"/>
        <v>0</v>
      </c>
      <c r="X184" s="35"/>
    </row>
    <row r="185" spans="1:24" x14ac:dyDescent="0.25">
      <c r="A185" s="335">
        <f>A184+1</f>
        <v>43705</v>
      </c>
      <c r="B185" s="329">
        <f t="shared" si="158"/>
        <v>0</v>
      </c>
      <c r="C185" s="338">
        <f t="shared" si="155"/>
        <v>20000000</v>
      </c>
      <c r="D185" s="329">
        <f t="shared" si="154"/>
        <v>0</v>
      </c>
      <c r="E185" s="338">
        <f t="shared" si="156"/>
        <v>24800000</v>
      </c>
      <c r="F185" s="329">
        <f t="shared" si="159"/>
        <v>0</v>
      </c>
      <c r="G185" s="338">
        <f t="shared" si="157"/>
        <v>7450000</v>
      </c>
      <c r="H185" s="329">
        <f t="shared" si="160"/>
        <v>0</v>
      </c>
      <c r="I185" s="338">
        <f t="shared" si="168"/>
        <v>0</v>
      </c>
      <c r="J185" s="329">
        <f t="shared" si="161"/>
        <v>0</v>
      </c>
      <c r="K185" s="338">
        <f t="shared" si="169"/>
        <v>0</v>
      </c>
      <c r="L185" s="329">
        <f t="shared" si="162"/>
        <v>0</v>
      </c>
      <c r="M185" s="338">
        <f t="shared" si="170"/>
        <v>0</v>
      </c>
      <c r="N185" s="329">
        <f t="shared" si="163"/>
        <v>0</v>
      </c>
      <c r="O185" s="338">
        <f t="shared" si="171"/>
        <v>0</v>
      </c>
      <c r="P185" s="329">
        <f t="shared" si="164"/>
        <v>0</v>
      </c>
      <c r="Q185" s="338">
        <f t="shared" si="172"/>
        <v>0</v>
      </c>
      <c r="R185" s="329">
        <f t="shared" si="165"/>
        <v>0</v>
      </c>
      <c r="S185" s="338">
        <f t="shared" si="173"/>
        <v>0</v>
      </c>
      <c r="T185" s="329">
        <f t="shared" si="166"/>
        <v>0</v>
      </c>
      <c r="U185" s="338">
        <f t="shared" si="174"/>
        <v>0</v>
      </c>
      <c r="V185" s="329">
        <f t="shared" si="167"/>
        <v>0</v>
      </c>
      <c r="W185" s="338">
        <f t="shared" si="175"/>
        <v>0</v>
      </c>
      <c r="X185" s="35"/>
    </row>
    <row r="186" spans="1:24" x14ac:dyDescent="0.25">
      <c r="A186" s="335">
        <f>A185+1</f>
        <v>43706</v>
      </c>
      <c r="B186" s="329">
        <f t="shared" si="158"/>
        <v>0</v>
      </c>
      <c r="C186" s="338">
        <f t="shared" si="155"/>
        <v>20000000</v>
      </c>
      <c r="D186" s="329">
        <f t="shared" si="154"/>
        <v>0</v>
      </c>
      <c r="E186" s="338">
        <f t="shared" si="156"/>
        <v>24800000</v>
      </c>
      <c r="F186" s="329">
        <f t="shared" si="159"/>
        <v>0</v>
      </c>
      <c r="G186" s="338">
        <f t="shared" si="157"/>
        <v>7450000</v>
      </c>
      <c r="H186" s="329">
        <f t="shared" si="160"/>
        <v>0</v>
      </c>
      <c r="I186" s="338">
        <f t="shared" si="168"/>
        <v>0</v>
      </c>
      <c r="J186" s="329">
        <f t="shared" si="161"/>
        <v>0</v>
      </c>
      <c r="K186" s="338">
        <f t="shared" si="169"/>
        <v>0</v>
      </c>
      <c r="L186" s="329">
        <f t="shared" si="162"/>
        <v>0</v>
      </c>
      <c r="M186" s="338">
        <f t="shared" si="170"/>
        <v>0</v>
      </c>
      <c r="N186" s="329">
        <f t="shared" si="163"/>
        <v>0</v>
      </c>
      <c r="O186" s="338">
        <f t="shared" si="171"/>
        <v>0</v>
      </c>
      <c r="P186" s="329">
        <f t="shared" si="164"/>
        <v>0</v>
      </c>
      <c r="Q186" s="338">
        <f t="shared" si="172"/>
        <v>0</v>
      </c>
      <c r="R186" s="329">
        <f t="shared" si="165"/>
        <v>0</v>
      </c>
      <c r="S186" s="338">
        <f t="shared" si="173"/>
        <v>0</v>
      </c>
      <c r="T186" s="329">
        <f t="shared" si="166"/>
        <v>0</v>
      </c>
      <c r="U186" s="338">
        <f t="shared" si="174"/>
        <v>0</v>
      </c>
      <c r="V186" s="329">
        <f t="shared" si="167"/>
        <v>0</v>
      </c>
      <c r="W186" s="338">
        <f t="shared" si="175"/>
        <v>0</v>
      </c>
      <c r="X186" s="35"/>
    </row>
    <row r="187" spans="1:24" x14ac:dyDescent="0.25">
      <c r="A187" s="335">
        <f>A186+1</f>
        <v>43707</v>
      </c>
      <c r="B187" s="329">
        <f t="shared" si="158"/>
        <v>0</v>
      </c>
      <c r="C187" s="338">
        <f t="shared" si="155"/>
        <v>20000000</v>
      </c>
      <c r="D187" s="329">
        <f t="shared" si="154"/>
        <v>0</v>
      </c>
      <c r="E187" s="338">
        <f t="shared" si="156"/>
        <v>24800000</v>
      </c>
      <c r="F187" s="329">
        <f t="shared" si="159"/>
        <v>0</v>
      </c>
      <c r="G187" s="338">
        <f t="shared" si="157"/>
        <v>7450000</v>
      </c>
      <c r="H187" s="329">
        <f t="shared" si="160"/>
        <v>0</v>
      </c>
      <c r="I187" s="338">
        <f t="shared" si="168"/>
        <v>0</v>
      </c>
      <c r="J187" s="329">
        <f t="shared" si="161"/>
        <v>0</v>
      </c>
      <c r="K187" s="338">
        <f t="shared" si="169"/>
        <v>0</v>
      </c>
      <c r="L187" s="329">
        <f t="shared" si="162"/>
        <v>0</v>
      </c>
      <c r="M187" s="338">
        <f t="shared" si="170"/>
        <v>0</v>
      </c>
      <c r="N187" s="329">
        <f t="shared" si="163"/>
        <v>0</v>
      </c>
      <c r="O187" s="338">
        <f t="shared" si="171"/>
        <v>0</v>
      </c>
      <c r="P187" s="329">
        <f t="shared" si="164"/>
        <v>0</v>
      </c>
      <c r="Q187" s="338">
        <f t="shared" si="172"/>
        <v>0</v>
      </c>
      <c r="R187" s="329">
        <f t="shared" si="165"/>
        <v>0</v>
      </c>
      <c r="S187" s="338">
        <f t="shared" si="173"/>
        <v>0</v>
      </c>
      <c r="T187" s="329">
        <f t="shared" si="166"/>
        <v>0</v>
      </c>
      <c r="U187" s="338">
        <f t="shared" si="174"/>
        <v>0</v>
      </c>
      <c r="V187" s="329">
        <f t="shared" si="167"/>
        <v>0</v>
      </c>
      <c r="W187" s="338">
        <f t="shared" si="175"/>
        <v>0</v>
      </c>
      <c r="X187" s="35"/>
    </row>
    <row r="188" spans="1:24" x14ac:dyDescent="0.25">
      <c r="A188" s="995">
        <f>A187+1</f>
        <v>43708</v>
      </c>
      <c r="B188" s="329">
        <f t="shared" si="158"/>
        <v>0</v>
      </c>
      <c r="C188" s="338">
        <f t="shared" si="155"/>
        <v>20000000</v>
      </c>
      <c r="D188" s="329">
        <f t="shared" si="154"/>
        <v>0</v>
      </c>
      <c r="E188" s="338">
        <f t="shared" si="156"/>
        <v>24800000</v>
      </c>
      <c r="F188" s="329">
        <f t="shared" si="159"/>
        <v>0</v>
      </c>
      <c r="G188" s="338">
        <f t="shared" si="157"/>
        <v>7450000</v>
      </c>
      <c r="H188" s="329">
        <f t="shared" si="160"/>
        <v>0</v>
      </c>
      <c r="I188" s="338">
        <f t="shared" si="168"/>
        <v>0</v>
      </c>
      <c r="J188" s="329">
        <f t="shared" si="161"/>
        <v>0</v>
      </c>
      <c r="K188" s="338">
        <f t="shared" si="169"/>
        <v>0</v>
      </c>
      <c r="L188" s="329">
        <f t="shared" si="162"/>
        <v>0</v>
      </c>
      <c r="M188" s="338">
        <f t="shared" si="170"/>
        <v>0</v>
      </c>
      <c r="N188" s="329">
        <f t="shared" si="163"/>
        <v>0</v>
      </c>
      <c r="O188" s="338">
        <f t="shared" si="171"/>
        <v>0</v>
      </c>
      <c r="P188" s="329">
        <f t="shared" si="164"/>
        <v>0</v>
      </c>
      <c r="Q188" s="338">
        <f t="shared" si="172"/>
        <v>0</v>
      </c>
      <c r="R188" s="329">
        <f t="shared" si="165"/>
        <v>0</v>
      </c>
      <c r="S188" s="338">
        <f t="shared" si="173"/>
        <v>0</v>
      </c>
      <c r="T188" s="329">
        <f t="shared" si="166"/>
        <v>0</v>
      </c>
      <c r="U188" s="338">
        <f t="shared" si="174"/>
        <v>0</v>
      </c>
      <c r="V188" s="329">
        <f t="shared" si="167"/>
        <v>0</v>
      </c>
      <c r="W188" s="338">
        <f t="shared" si="175"/>
        <v>0</v>
      </c>
      <c r="X188" s="35"/>
    </row>
    <row r="189" spans="1:24" x14ac:dyDescent="0.25">
      <c r="A189" s="336">
        <v>43710</v>
      </c>
      <c r="B189" s="329">
        <f t="shared" si="158"/>
        <v>0</v>
      </c>
      <c r="C189" s="338">
        <f t="shared" si="155"/>
        <v>20000000</v>
      </c>
      <c r="D189" s="329">
        <f t="shared" si="154"/>
        <v>0</v>
      </c>
      <c r="E189" s="338">
        <f t="shared" si="156"/>
        <v>24800000</v>
      </c>
      <c r="F189" s="329">
        <f t="shared" si="159"/>
        <v>0</v>
      </c>
      <c r="G189" s="338">
        <f t="shared" si="157"/>
        <v>7450000</v>
      </c>
      <c r="H189" s="329">
        <f t="shared" si="160"/>
        <v>0</v>
      </c>
      <c r="I189" s="338">
        <f t="shared" si="168"/>
        <v>0</v>
      </c>
      <c r="J189" s="329">
        <f t="shared" si="161"/>
        <v>0</v>
      </c>
      <c r="K189" s="338">
        <f t="shared" si="169"/>
        <v>0</v>
      </c>
      <c r="L189" s="329">
        <f t="shared" si="162"/>
        <v>0</v>
      </c>
      <c r="M189" s="338">
        <f t="shared" si="170"/>
        <v>0</v>
      </c>
      <c r="N189" s="329">
        <f t="shared" si="163"/>
        <v>0</v>
      </c>
      <c r="O189" s="338">
        <f t="shared" si="171"/>
        <v>0</v>
      </c>
      <c r="P189" s="329">
        <f t="shared" si="164"/>
        <v>0</v>
      </c>
      <c r="Q189" s="338">
        <f t="shared" si="172"/>
        <v>0</v>
      </c>
      <c r="R189" s="329">
        <f t="shared" si="165"/>
        <v>0</v>
      </c>
      <c r="S189" s="338">
        <f t="shared" si="173"/>
        <v>0</v>
      </c>
      <c r="T189" s="329">
        <f t="shared" si="166"/>
        <v>0</v>
      </c>
      <c r="U189" s="338">
        <f t="shared" si="174"/>
        <v>0</v>
      </c>
      <c r="V189" s="329">
        <f t="shared" si="167"/>
        <v>0</v>
      </c>
      <c r="W189" s="338">
        <f t="shared" si="175"/>
        <v>0</v>
      </c>
      <c r="X189" s="35"/>
    </row>
    <row r="190" spans="1:24" x14ac:dyDescent="0.25">
      <c r="A190" s="996">
        <f>A189+1</f>
        <v>43711</v>
      </c>
      <c r="B190" s="329">
        <f t="shared" si="158"/>
        <v>0</v>
      </c>
      <c r="C190" s="338">
        <f t="shared" si="155"/>
        <v>20000000</v>
      </c>
      <c r="D190" s="329">
        <f t="shared" si="154"/>
        <v>0</v>
      </c>
      <c r="E190" s="338">
        <f t="shared" si="156"/>
        <v>24800000</v>
      </c>
      <c r="F190" s="329">
        <f t="shared" si="159"/>
        <v>0</v>
      </c>
      <c r="G190" s="338">
        <f t="shared" si="157"/>
        <v>7450000</v>
      </c>
      <c r="H190" s="329">
        <f t="shared" si="160"/>
        <v>0</v>
      </c>
      <c r="I190" s="338">
        <f t="shared" si="168"/>
        <v>0</v>
      </c>
      <c r="J190" s="329">
        <f t="shared" si="161"/>
        <v>0</v>
      </c>
      <c r="K190" s="338">
        <f t="shared" si="169"/>
        <v>0</v>
      </c>
      <c r="L190" s="329">
        <f t="shared" si="162"/>
        <v>0</v>
      </c>
      <c r="M190" s="338">
        <f t="shared" si="170"/>
        <v>0</v>
      </c>
      <c r="N190" s="329">
        <f t="shared" si="163"/>
        <v>0</v>
      </c>
      <c r="O190" s="338">
        <f t="shared" si="171"/>
        <v>0</v>
      </c>
      <c r="P190" s="329">
        <f t="shared" si="164"/>
        <v>0</v>
      </c>
      <c r="Q190" s="338">
        <f t="shared" si="172"/>
        <v>0</v>
      </c>
      <c r="R190" s="329">
        <f t="shared" si="165"/>
        <v>0</v>
      </c>
      <c r="S190" s="338">
        <f t="shared" si="173"/>
        <v>0</v>
      </c>
      <c r="T190" s="329">
        <f t="shared" si="166"/>
        <v>0</v>
      </c>
      <c r="U190" s="338">
        <f t="shared" si="174"/>
        <v>0</v>
      </c>
      <c r="V190" s="329">
        <f t="shared" si="167"/>
        <v>0</v>
      </c>
      <c r="W190" s="338">
        <f t="shared" si="175"/>
        <v>0</v>
      </c>
      <c r="X190" s="35"/>
    </row>
    <row r="191" spans="1:24" x14ac:dyDescent="0.25">
      <c r="A191" s="335">
        <f>A190+1</f>
        <v>43712</v>
      </c>
      <c r="B191" s="329">
        <f t="shared" si="158"/>
        <v>0</v>
      </c>
      <c r="C191" s="338">
        <f t="shared" si="155"/>
        <v>20000000</v>
      </c>
      <c r="D191" s="329">
        <f t="shared" si="154"/>
        <v>0</v>
      </c>
      <c r="E191" s="338">
        <f t="shared" si="156"/>
        <v>24800000</v>
      </c>
      <c r="F191" s="329">
        <f t="shared" si="159"/>
        <v>0</v>
      </c>
      <c r="G191" s="338">
        <f t="shared" si="157"/>
        <v>7450000</v>
      </c>
      <c r="H191" s="329">
        <f t="shared" si="160"/>
        <v>0</v>
      </c>
      <c r="I191" s="338">
        <f t="shared" si="168"/>
        <v>0</v>
      </c>
      <c r="J191" s="329">
        <f t="shared" si="161"/>
        <v>0</v>
      </c>
      <c r="K191" s="338">
        <f t="shared" si="169"/>
        <v>0</v>
      </c>
      <c r="L191" s="329">
        <f t="shared" si="162"/>
        <v>0</v>
      </c>
      <c r="M191" s="338">
        <f t="shared" si="170"/>
        <v>0</v>
      </c>
      <c r="N191" s="329">
        <f t="shared" si="163"/>
        <v>0</v>
      </c>
      <c r="O191" s="338">
        <f t="shared" si="171"/>
        <v>0</v>
      </c>
      <c r="P191" s="329">
        <f t="shared" si="164"/>
        <v>0</v>
      </c>
      <c r="Q191" s="338">
        <f t="shared" si="172"/>
        <v>0</v>
      </c>
      <c r="R191" s="329">
        <f t="shared" si="165"/>
        <v>0</v>
      </c>
      <c r="S191" s="338">
        <f t="shared" si="173"/>
        <v>0</v>
      </c>
      <c r="T191" s="329">
        <f t="shared" si="166"/>
        <v>0</v>
      </c>
      <c r="U191" s="338">
        <f t="shared" si="174"/>
        <v>0</v>
      </c>
      <c r="V191" s="329">
        <f t="shared" si="167"/>
        <v>0</v>
      </c>
      <c r="W191" s="338">
        <f t="shared" si="175"/>
        <v>0</v>
      </c>
      <c r="X191" s="35"/>
    </row>
    <row r="192" spans="1:24" x14ac:dyDescent="0.25">
      <c r="A192" s="335">
        <f>A191+1</f>
        <v>43713</v>
      </c>
      <c r="B192" s="329">
        <f t="shared" si="158"/>
        <v>0</v>
      </c>
      <c r="C192" s="338">
        <f t="shared" si="155"/>
        <v>20000000</v>
      </c>
      <c r="D192" s="329">
        <f t="shared" si="154"/>
        <v>0</v>
      </c>
      <c r="E192" s="338">
        <f t="shared" si="156"/>
        <v>24800000</v>
      </c>
      <c r="F192" s="329">
        <f t="shared" si="159"/>
        <v>0</v>
      </c>
      <c r="G192" s="338">
        <f t="shared" si="157"/>
        <v>7450000</v>
      </c>
      <c r="H192" s="329">
        <f t="shared" si="160"/>
        <v>0</v>
      </c>
      <c r="I192" s="338">
        <f t="shared" si="168"/>
        <v>0</v>
      </c>
      <c r="J192" s="329">
        <f t="shared" si="161"/>
        <v>0</v>
      </c>
      <c r="K192" s="338">
        <f t="shared" si="169"/>
        <v>0</v>
      </c>
      <c r="L192" s="329">
        <f t="shared" si="162"/>
        <v>0</v>
      </c>
      <c r="M192" s="338">
        <f t="shared" si="170"/>
        <v>0</v>
      </c>
      <c r="N192" s="329">
        <f t="shared" si="163"/>
        <v>0</v>
      </c>
      <c r="O192" s="338">
        <f t="shared" si="171"/>
        <v>0</v>
      </c>
      <c r="P192" s="329">
        <f t="shared" si="164"/>
        <v>0</v>
      </c>
      <c r="Q192" s="338">
        <f t="shared" si="172"/>
        <v>0</v>
      </c>
      <c r="R192" s="329">
        <f t="shared" si="165"/>
        <v>0</v>
      </c>
      <c r="S192" s="338">
        <f t="shared" si="173"/>
        <v>0</v>
      </c>
      <c r="T192" s="329">
        <f t="shared" si="166"/>
        <v>0</v>
      </c>
      <c r="U192" s="338">
        <f t="shared" si="174"/>
        <v>0</v>
      </c>
      <c r="V192" s="329">
        <f t="shared" si="167"/>
        <v>0</v>
      </c>
      <c r="W192" s="338">
        <f t="shared" si="175"/>
        <v>0</v>
      </c>
      <c r="X192" s="35"/>
    </row>
    <row r="193" spans="1:24" x14ac:dyDescent="0.25">
      <c r="A193" s="335">
        <f>A192+1</f>
        <v>43714</v>
      </c>
      <c r="B193" s="329">
        <f t="shared" si="158"/>
        <v>0</v>
      </c>
      <c r="C193" s="338">
        <f t="shared" si="155"/>
        <v>20000000</v>
      </c>
      <c r="D193" s="329">
        <f t="shared" si="154"/>
        <v>0</v>
      </c>
      <c r="E193" s="338">
        <f t="shared" si="156"/>
        <v>24800000</v>
      </c>
      <c r="F193" s="329">
        <f t="shared" si="159"/>
        <v>0</v>
      </c>
      <c r="G193" s="338">
        <f t="shared" si="157"/>
        <v>7450000</v>
      </c>
      <c r="H193" s="329">
        <f t="shared" si="160"/>
        <v>0</v>
      </c>
      <c r="I193" s="338">
        <f t="shared" si="168"/>
        <v>0</v>
      </c>
      <c r="J193" s="329">
        <f t="shared" si="161"/>
        <v>0</v>
      </c>
      <c r="K193" s="338">
        <f t="shared" si="169"/>
        <v>0</v>
      </c>
      <c r="L193" s="329">
        <f t="shared" si="162"/>
        <v>0</v>
      </c>
      <c r="M193" s="338">
        <f t="shared" si="170"/>
        <v>0</v>
      </c>
      <c r="N193" s="329">
        <f t="shared" si="163"/>
        <v>0</v>
      </c>
      <c r="O193" s="338">
        <f t="shared" si="171"/>
        <v>0</v>
      </c>
      <c r="P193" s="329">
        <f t="shared" si="164"/>
        <v>0</v>
      </c>
      <c r="Q193" s="338">
        <f t="shared" si="172"/>
        <v>0</v>
      </c>
      <c r="R193" s="329">
        <f t="shared" si="165"/>
        <v>0</v>
      </c>
      <c r="S193" s="338">
        <f t="shared" si="173"/>
        <v>0</v>
      </c>
      <c r="T193" s="329">
        <f t="shared" si="166"/>
        <v>0</v>
      </c>
      <c r="U193" s="338">
        <f t="shared" si="174"/>
        <v>0</v>
      </c>
      <c r="V193" s="329">
        <f t="shared" si="167"/>
        <v>0</v>
      </c>
      <c r="W193" s="338">
        <f t="shared" si="175"/>
        <v>0</v>
      </c>
      <c r="X193" s="35"/>
    </row>
    <row r="194" spans="1:24" x14ac:dyDescent="0.25">
      <c r="A194" s="335">
        <v>43717</v>
      </c>
      <c r="B194" s="329">
        <f t="shared" si="158"/>
        <v>0</v>
      </c>
      <c r="C194" s="338">
        <f t="shared" si="155"/>
        <v>20000000</v>
      </c>
      <c r="D194" s="329">
        <f t="shared" si="154"/>
        <v>0</v>
      </c>
      <c r="E194" s="338">
        <f t="shared" si="156"/>
        <v>24800000</v>
      </c>
      <c r="F194" s="329">
        <f t="shared" si="159"/>
        <v>0</v>
      </c>
      <c r="G194" s="338">
        <f t="shared" si="157"/>
        <v>7450000</v>
      </c>
      <c r="H194" s="329">
        <f t="shared" si="160"/>
        <v>0</v>
      </c>
      <c r="I194" s="338">
        <f t="shared" si="168"/>
        <v>0</v>
      </c>
      <c r="J194" s="329">
        <f t="shared" si="161"/>
        <v>0</v>
      </c>
      <c r="K194" s="338">
        <f t="shared" si="169"/>
        <v>0</v>
      </c>
      <c r="L194" s="329">
        <f t="shared" si="162"/>
        <v>0</v>
      </c>
      <c r="M194" s="338">
        <f t="shared" si="170"/>
        <v>0</v>
      </c>
      <c r="N194" s="329">
        <f t="shared" si="163"/>
        <v>0</v>
      </c>
      <c r="O194" s="338">
        <f t="shared" si="171"/>
        <v>0</v>
      </c>
      <c r="P194" s="329">
        <f t="shared" si="164"/>
        <v>0</v>
      </c>
      <c r="Q194" s="338">
        <f t="shared" si="172"/>
        <v>0</v>
      </c>
      <c r="R194" s="329">
        <f t="shared" si="165"/>
        <v>0</v>
      </c>
      <c r="S194" s="338">
        <f t="shared" si="173"/>
        <v>0</v>
      </c>
      <c r="T194" s="329">
        <f t="shared" si="166"/>
        <v>0</v>
      </c>
      <c r="U194" s="338">
        <f t="shared" si="174"/>
        <v>0</v>
      </c>
      <c r="V194" s="329">
        <f t="shared" si="167"/>
        <v>0</v>
      </c>
      <c r="W194" s="338">
        <f t="shared" si="175"/>
        <v>0</v>
      </c>
      <c r="X194" s="35"/>
    </row>
    <row r="195" spans="1:24" x14ac:dyDescent="0.25">
      <c r="A195" s="996">
        <f>A194+1</f>
        <v>43718</v>
      </c>
      <c r="B195" s="329">
        <f t="shared" si="158"/>
        <v>0</v>
      </c>
      <c r="C195" s="338">
        <f t="shared" si="155"/>
        <v>20000000</v>
      </c>
      <c r="D195" s="329">
        <f t="shared" si="154"/>
        <v>5400000</v>
      </c>
      <c r="E195" s="338">
        <f t="shared" si="156"/>
        <v>30200000</v>
      </c>
      <c r="F195" s="329">
        <f t="shared" si="159"/>
        <v>0</v>
      </c>
      <c r="G195" s="338">
        <f t="shared" si="157"/>
        <v>7450000</v>
      </c>
      <c r="H195" s="329">
        <f t="shared" si="160"/>
        <v>0</v>
      </c>
      <c r="I195" s="338">
        <f t="shared" si="168"/>
        <v>0</v>
      </c>
      <c r="J195" s="329">
        <f t="shared" si="161"/>
        <v>0</v>
      </c>
      <c r="K195" s="338">
        <f t="shared" si="169"/>
        <v>0</v>
      </c>
      <c r="L195" s="329">
        <f t="shared" si="162"/>
        <v>0</v>
      </c>
      <c r="M195" s="338">
        <f t="shared" si="170"/>
        <v>0</v>
      </c>
      <c r="N195" s="329">
        <f t="shared" si="163"/>
        <v>0</v>
      </c>
      <c r="O195" s="338">
        <f t="shared" si="171"/>
        <v>0</v>
      </c>
      <c r="P195" s="329">
        <f t="shared" si="164"/>
        <v>0</v>
      </c>
      <c r="Q195" s="338">
        <f t="shared" si="172"/>
        <v>0</v>
      </c>
      <c r="R195" s="329">
        <f t="shared" si="165"/>
        <v>0</v>
      </c>
      <c r="S195" s="338">
        <f t="shared" si="173"/>
        <v>0</v>
      </c>
      <c r="T195" s="329">
        <f t="shared" si="166"/>
        <v>0</v>
      </c>
      <c r="U195" s="338">
        <f t="shared" si="174"/>
        <v>0</v>
      </c>
      <c r="V195" s="329">
        <f t="shared" si="167"/>
        <v>0</v>
      </c>
      <c r="W195" s="338">
        <f t="shared" si="175"/>
        <v>0</v>
      </c>
      <c r="X195" s="35"/>
    </row>
    <row r="196" spans="1:24" x14ac:dyDescent="0.25">
      <c r="A196" s="996">
        <f>A195+1</f>
        <v>43719</v>
      </c>
      <c r="B196" s="329">
        <f t="shared" si="158"/>
        <v>0</v>
      </c>
      <c r="C196" s="338">
        <f t="shared" ref="C196:C205" si="176">B196+C195</f>
        <v>20000000</v>
      </c>
      <c r="D196" s="329">
        <f t="shared" si="154"/>
        <v>0</v>
      </c>
      <c r="E196" s="338">
        <f t="shared" ref="E196:E205" si="177">D196+E195</f>
        <v>30200000</v>
      </c>
      <c r="F196" s="329">
        <f t="shared" si="159"/>
        <v>0</v>
      </c>
      <c r="G196" s="338">
        <f t="shared" ref="G196:G205" si="178">F196+G195</f>
        <v>7450000</v>
      </c>
      <c r="H196" s="329">
        <f t="shared" si="160"/>
        <v>0</v>
      </c>
      <c r="I196" s="338">
        <f t="shared" si="168"/>
        <v>0</v>
      </c>
      <c r="J196" s="329">
        <f t="shared" si="161"/>
        <v>0</v>
      </c>
      <c r="K196" s="338">
        <f t="shared" si="169"/>
        <v>0</v>
      </c>
      <c r="L196" s="329">
        <f t="shared" si="162"/>
        <v>0</v>
      </c>
      <c r="M196" s="338">
        <f t="shared" si="170"/>
        <v>0</v>
      </c>
      <c r="N196" s="329">
        <f t="shared" si="163"/>
        <v>0</v>
      </c>
      <c r="O196" s="338">
        <f t="shared" si="171"/>
        <v>0</v>
      </c>
      <c r="P196" s="329">
        <f t="shared" si="164"/>
        <v>0</v>
      </c>
      <c r="Q196" s="338">
        <f t="shared" si="172"/>
        <v>0</v>
      </c>
      <c r="R196" s="329">
        <f t="shared" si="165"/>
        <v>0</v>
      </c>
      <c r="S196" s="338">
        <f t="shared" si="173"/>
        <v>0</v>
      </c>
      <c r="T196" s="329">
        <f t="shared" si="166"/>
        <v>0</v>
      </c>
      <c r="U196" s="338">
        <f t="shared" si="174"/>
        <v>0</v>
      </c>
      <c r="V196" s="329">
        <f t="shared" si="167"/>
        <v>0</v>
      </c>
      <c r="W196" s="338">
        <f t="shared" si="175"/>
        <v>0</v>
      </c>
      <c r="X196" s="35"/>
    </row>
    <row r="197" spans="1:24" x14ac:dyDescent="0.25">
      <c r="A197" s="996">
        <f>A196+1</f>
        <v>43720</v>
      </c>
      <c r="B197" s="329">
        <f t="shared" si="158"/>
        <v>0</v>
      </c>
      <c r="C197" s="338">
        <f t="shared" si="176"/>
        <v>20000000</v>
      </c>
      <c r="D197" s="329">
        <f t="shared" si="154"/>
        <v>0</v>
      </c>
      <c r="E197" s="338">
        <f t="shared" si="177"/>
        <v>30200000</v>
      </c>
      <c r="F197" s="329">
        <f t="shared" si="159"/>
        <v>0</v>
      </c>
      <c r="G197" s="338">
        <f t="shared" si="178"/>
        <v>7450000</v>
      </c>
      <c r="H197" s="329">
        <f t="shared" si="160"/>
        <v>0</v>
      </c>
      <c r="I197" s="338">
        <f t="shared" si="168"/>
        <v>0</v>
      </c>
      <c r="J197" s="329">
        <f t="shared" si="161"/>
        <v>0</v>
      </c>
      <c r="K197" s="338">
        <f t="shared" si="169"/>
        <v>0</v>
      </c>
      <c r="L197" s="329">
        <f t="shared" si="162"/>
        <v>0</v>
      </c>
      <c r="M197" s="338">
        <f t="shared" si="170"/>
        <v>0</v>
      </c>
      <c r="N197" s="329">
        <f t="shared" si="163"/>
        <v>0</v>
      </c>
      <c r="O197" s="338">
        <f t="shared" si="171"/>
        <v>0</v>
      </c>
      <c r="P197" s="329">
        <f t="shared" si="164"/>
        <v>0</v>
      </c>
      <c r="Q197" s="338">
        <f t="shared" si="172"/>
        <v>0</v>
      </c>
      <c r="R197" s="329">
        <f t="shared" si="165"/>
        <v>0</v>
      </c>
      <c r="S197" s="338">
        <f t="shared" si="173"/>
        <v>0</v>
      </c>
      <c r="T197" s="329">
        <f t="shared" si="166"/>
        <v>0</v>
      </c>
      <c r="U197" s="338">
        <f t="shared" si="174"/>
        <v>0</v>
      </c>
      <c r="V197" s="329">
        <f t="shared" si="167"/>
        <v>0</v>
      </c>
      <c r="W197" s="338">
        <f t="shared" si="175"/>
        <v>0</v>
      </c>
      <c r="X197" s="35"/>
    </row>
    <row r="198" spans="1:24" x14ac:dyDescent="0.25">
      <c r="A198" s="996">
        <f>A197+1</f>
        <v>43721</v>
      </c>
      <c r="B198" s="329">
        <f t="shared" si="158"/>
        <v>0</v>
      </c>
      <c r="C198" s="338">
        <f t="shared" si="176"/>
        <v>20000000</v>
      </c>
      <c r="D198" s="329">
        <f t="shared" si="154"/>
        <v>0</v>
      </c>
      <c r="E198" s="338">
        <f t="shared" si="177"/>
        <v>30200000</v>
      </c>
      <c r="F198" s="329">
        <f t="shared" si="159"/>
        <v>0</v>
      </c>
      <c r="G198" s="338">
        <f t="shared" si="178"/>
        <v>7450000</v>
      </c>
      <c r="H198" s="329">
        <f t="shared" si="160"/>
        <v>0</v>
      </c>
      <c r="I198" s="338">
        <f t="shared" si="168"/>
        <v>0</v>
      </c>
      <c r="J198" s="329">
        <f t="shared" si="161"/>
        <v>0</v>
      </c>
      <c r="K198" s="338">
        <f t="shared" si="169"/>
        <v>0</v>
      </c>
      <c r="L198" s="329">
        <f t="shared" si="162"/>
        <v>0</v>
      </c>
      <c r="M198" s="338">
        <f t="shared" si="170"/>
        <v>0</v>
      </c>
      <c r="N198" s="329">
        <f t="shared" si="163"/>
        <v>0</v>
      </c>
      <c r="O198" s="338">
        <f t="shared" si="171"/>
        <v>0</v>
      </c>
      <c r="P198" s="329">
        <f t="shared" si="164"/>
        <v>0</v>
      </c>
      <c r="Q198" s="338">
        <f t="shared" si="172"/>
        <v>0</v>
      </c>
      <c r="R198" s="329">
        <f t="shared" si="165"/>
        <v>0</v>
      </c>
      <c r="S198" s="338">
        <f t="shared" si="173"/>
        <v>0</v>
      </c>
      <c r="T198" s="329">
        <f t="shared" si="166"/>
        <v>0</v>
      </c>
      <c r="U198" s="338">
        <f t="shared" si="174"/>
        <v>0</v>
      </c>
      <c r="V198" s="329">
        <f t="shared" si="167"/>
        <v>0</v>
      </c>
      <c r="W198" s="338">
        <f t="shared" si="175"/>
        <v>0</v>
      </c>
      <c r="X198" s="35"/>
    </row>
    <row r="199" spans="1:24" x14ac:dyDescent="0.25">
      <c r="A199" s="336">
        <f>A198+3</f>
        <v>43724</v>
      </c>
      <c r="B199" s="329">
        <f t="shared" si="158"/>
        <v>2000000</v>
      </c>
      <c r="C199" s="338">
        <f t="shared" si="176"/>
        <v>22000000</v>
      </c>
      <c r="D199" s="329">
        <f t="shared" si="154"/>
        <v>0</v>
      </c>
      <c r="E199" s="338">
        <f t="shared" si="177"/>
        <v>30200000</v>
      </c>
      <c r="F199" s="329">
        <f t="shared" si="159"/>
        <v>3600000</v>
      </c>
      <c r="G199" s="338">
        <f t="shared" si="178"/>
        <v>11050000</v>
      </c>
      <c r="H199" s="329">
        <f t="shared" si="160"/>
        <v>0</v>
      </c>
      <c r="I199" s="338">
        <f t="shared" si="168"/>
        <v>0</v>
      </c>
      <c r="J199" s="329">
        <f t="shared" si="161"/>
        <v>0</v>
      </c>
      <c r="K199" s="338">
        <f t="shared" si="169"/>
        <v>0</v>
      </c>
      <c r="L199" s="329">
        <f t="shared" si="162"/>
        <v>0</v>
      </c>
      <c r="M199" s="338">
        <f t="shared" si="170"/>
        <v>0</v>
      </c>
      <c r="N199" s="329">
        <f t="shared" si="163"/>
        <v>0</v>
      </c>
      <c r="O199" s="338">
        <f t="shared" si="171"/>
        <v>0</v>
      </c>
      <c r="P199" s="329">
        <f t="shared" si="164"/>
        <v>0</v>
      </c>
      <c r="Q199" s="338">
        <f t="shared" si="172"/>
        <v>0</v>
      </c>
      <c r="R199" s="329">
        <f t="shared" si="165"/>
        <v>0</v>
      </c>
      <c r="S199" s="338">
        <f t="shared" si="173"/>
        <v>0</v>
      </c>
      <c r="T199" s="329">
        <f t="shared" si="166"/>
        <v>0</v>
      </c>
      <c r="U199" s="338">
        <f t="shared" si="174"/>
        <v>0</v>
      </c>
      <c r="V199" s="329">
        <f t="shared" si="167"/>
        <v>0</v>
      </c>
      <c r="W199" s="338">
        <f t="shared" si="175"/>
        <v>0</v>
      </c>
      <c r="X199" s="35"/>
    </row>
    <row r="200" spans="1:24" x14ac:dyDescent="0.25">
      <c r="A200" s="335">
        <f>A199+1</f>
        <v>43725</v>
      </c>
      <c r="B200" s="329">
        <f t="shared" si="158"/>
        <v>0</v>
      </c>
      <c r="C200" s="338">
        <f t="shared" si="176"/>
        <v>22000000</v>
      </c>
      <c r="D200" s="329">
        <f t="shared" si="154"/>
        <v>0</v>
      </c>
      <c r="E200" s="338">
        <f t="shared" si="177"/>
        <v>30200000</v>
      </c>
      <c r="F200" s="329">
        <f t="shared" si="159"/>
        <v>0</v>
      </c>
      <c r="G200" s="338">
        <f t="shared" si="178"/>
        <v>11050000</v>
      </c>
      <c r="H200" s="329">
        <f t="shared" si="160"/>
        <v>0</v>
      </c>
      <c r="I200" s="338">
        <f t="shared" si="168"/>
        <v>0</v>
      </c>
      <c r="J200" s="329">
        <f t="shared" si="161"/>
        <v>0</v>
      </c>
      <c r="K200" s="338">
        <f t="shared" si="169"/>
        <v>0</v>
      </c>
      <c r="L200" s="329">
        <f t="shared" si="162"/>
        <v>0</v>
      </c>
      <c r="M200" s="338">
        <f t="shared" si="170"/>
        <v>0</v>
      </c>
      <c r="N200" s="329">
        <f t="shared" si="163"/>
        <v>0</v>
      </c>
      <c r="O200" s="338">
        <f t="shared" si="171"/>
        <v>0</v>
      </c>
      <c r="P200" s="329">
        <f t="shared" si="164"/>
        <v>0</v>
      </c>
      <c r="Q200" s="338">
        <f t="shared" si="172"/>
        <v>0</v>
      </c>
      <c r="R200" s="329">
        <f t="shared" si="165"/>
        <v>0</v>
      </c>
      <c r="S200" s="338">
        <f t="shared" si="173"/>
        <v>0</v>
      </c>
      <c r="T200" s="329">
        <f t="shared" si="166"/>
        <v>0</v>
      </c>
      <c r="U200" s="338">
        <f t="shared" si="174"/>
        <v>0</v>
      </c>
      <c r="V200" s="329">
        <f t="shared" si="167"/>
        <v>0</v>
      </c>
      <c r="W200" s="338">
        <f t="shared" si="175"/>
        <v>0</v>
      </c>
      <c r="X200" s="35"/>
    </row>
    <row r="201" spans="1:24" x14ac:dyDescent="0.25">
      <c r="A201" s="335">
        <f>A200+1</f>
        <v>43726</v>
      </c>
      <c r="B201" s="329">
        <f t="shared" si="158"/>
        <v>0</v>
      </c>
      <c r="C201" s="338">
        <f t="shared" si="176"/>
        <v>22000000</v>
      </c>
      <c r="D201" s="329">
        <f t="shared" si="154"/>
        <v>0</v>
      </c>
      <c r="E201" s="338">
        <f t="shared" si="177"/>
        <v>30200000</v>
      </c>
      <c r="F201" s="329">
        <f t="shared" si="159"/>
        <v>0</v>
      </c>
      <c r="G201" s="338">
        <f t="shared" si="178"/>
        <v>11050000</v>
      </c>
      <c r="H201" s="329">
        <f t="shared" si="160"/>
        <v>0</v>
      </c>
      <c r="I201" s="338">
        <f t="shared" si="168"/>
        <v>0</v>
      </c>
      <c r="J201" s="329">
        <f t="shared" si="161"/>
        <v>0</v>
      </c>
      <c r="K201" s="338">
        <f t="shared" si="169"/>
        <v>0</v>
      </c>
      <c r="L201" s="329">
        <f t="shared" si="162"/>
        <v>0</v>
      </c>
      <c r="M201" s="338">
        <f t="shared" si="170"/>
        <v>0</v>
      </c>
      <c r="N201" s="329">
        <f t="shared" si="163"/>
        <v>0</v>
      </c>
      <c r="O201" s="338">
        <f t="shared" si="171"/>
        <v>0</v>
      </c>
      <c r="P201" s="329">
        <f t="shared" si="164"/>
        <v>0</v>
      </c>
      <c r="Q201" s="338">
        <f t="shared" si="172"/>
        <v>0</v>
      </c>
      <c r="R201" s="329">
        <f t="shared" si="165"/>
        <v>0</v>
      </c>
      <c r="S201" s="338">
        <f t="shared" si="173"/>
        <v>0</v>
      </c>
      <c r="T201" s="329">
        <f t="shared" si="166"/>
        <v>0</v>
      </c>
      <c r="U201" s="338">
        <f t="shared" si="174"/>
        <v>0</v>
      </c>
      <c r="V201" s="329">
        <f t="shared" si="167"/>
        <v>0</v>
      </c>
      <c r="W201" s="338">
        <f t="shared" si="175"/>
        <v>0</v>
      </c>
      <c r="X201" s="35"/>
    </row>
    <row r="202" spans="1:24" x14ac:dyDescent="0.25">
      <c r="A202" s="335">
        <f>A201+1</f>
        <v>43727</v>
      </c>
      <c r="B202" s="329">
        <f t="shared" si="158"/>
        <v>0</v>
      </c>
      <c r="C202" s="338">
        <f t="shared" si="176"/>
        <v>22000000</v>
      </c>
      <c r="D202" s="329">
        <f t="shared" si="154"/>
        <v>0</v>
      </c>
      <c r="E202" s="338">
        <f t="shared" si="177"/>
        <v>30200000</v>
      </c>
      <c r="F202" s="329">
        <f t="shared" si="159"/>
        <v>0</v>
      </c>
      <c r="G202" s="338">
        <f t="shared" si="178"/>
        <v>11050000</v>
      </c>
      <c r="H202" s="329">
        <f t="shared" si="160"/>
        <v>0</v>
      </c>
      <c r="I202" s="338">
        <f t="shared" si="168"/>
        <v>0</v>
      </c>
      <c r="J202" s="329">
        <f t="shared" si="161"/>
        <v>0</v>
      </c>
      <c r="K202" s="338">
        <f t="shared" si="169"/>
        <v>0</v>
      </c>
      <c r="L202" s="329">
        <f t="shared" si="162"/>
        <v>0</v>
      </c>
      <c r="M202" s="338">
        <f t="shared" si="170"/>
        <v>0</v>
      </c>
      <c r="N202" s="329">
        <f t="shared" si="163"/>
        <v>0</v>
      </c>
      <c r="O202" s="338">
        <f t="shared" si="171"/>
        <v>0</v>
      </c>
      <c r="P202" s="329">
        <f t="shared" si="164"/>
        <v>0</v>
      </c>
      <c r="Q202" s="338">
        <f t="shared" si="172"/>
        <v>0</v>
      </c>
      <c r="R202" s="329">
        <f t="shared" si="165"/>
        <v>0</v>
      </c>
      <c r="S202" s="338">
        <f t="shared" si="173"/>
        <v>0</v>
      </c>
      <c r="T202" s="329">
        <f t="shared" si="166"/>
        <v>0</v>
      </c>
      <c r="U202" s="338">
        <f t="shared" si="174"/>
        <v>0</v>
      </c>
      <c r="V202" s="329">
        <f t="shared" si="167"/>
        <v>0</v>
      </c>
      <c r="W202" s="338">
        <f t="shared" si="175"/>
        <v>0</v>
      </c>
      <c r="X202" s="35"/>
    </row>
    <row r="203" spans="1:24" x14ac:dyDescent="0.25">
      <c r="A203" s="335">
        <f>A202+1</f>
        <v>43728</v>
      </c>
      <c r="B203" s="329">
        <f t="shared" si="158"/>
        <v>0</v>
      </c>
      <c r="C203" s="338">
        <f t="shared" si="176"/>
        <v>22000000</v>
      </c>
      <c r="D203" s="329">
        <f t="shared" ref="D203:D242" si="179">SUMIFS(Usage_Main,CF_Dates,$A203,CF_Descriptions,"SOSPRUCE1 Change")</f>
        <v>0</v>
      </c>
      <c r="E203" s="338">
        <f t="shared" si="177"/>
        <v>30200000</v>
      </c>
      <c r="F203" s="329">
        <f t="shared" si="159"/>
        <v>0</v>
      </c>
      <c r="G203" s="338">
        <f t="shared" si="178"/>
        <v>11050000</v>
      </c>
      <c r="H203" s="329">
        <f t="shared" si="160"/>
        <v>0</v>
      </c>
      <c r="I203" s="338">
        <f t="shared" si="168"/>
        <v>0</v>
      </c>
      <c r="J203" s="329">
        <f t="shared" si="161"/>
        <v>0</v>
      </c>
      <c r="K203" s="338">
        <f t="shared" si="169"/>
        <v>0</v>
      </c>
      <c r="L203" s="329">
        <f t="shared" si="162"/>
        <v>0</v>
      </c>
      <c r="M203" s="338">
        <f t="shared" si="170"/>
        <v>0</v>
      </c>
      <c r="N203" s="329">
        <f t="shared" si="163"/>
        <v>0</v>
      </c>
      <c r="O203" s="338">
        <f t="shared" si="171"/>
        <v>0</v>
      </c>
      <c r="P203" s="329">
        <f t="shared" si="164"/>
        <v>0</v>
      </c>
      <c r="Q203" s="338">
        <f t="shared" si="172"/>
        <v>0</v>
      </c>
      <c r="R203" s="329">
        <f t="shared" si="165"/>
        <v>0</v>
      </c>
      <c r="S203" s="338">
        <f t="shared" si="173"/>
        <v>0</v>
      </c>
      <c r="T203" s="329">
        <f t="shared" si="166"/>
        <v>0</v>
      </c>
      <c r="U203" s="338">
        <f t="shared" si="174"/>
        <v>0</v>
      </c>
      <c r="V203" s="329">
        <f t="shared" si="167"/>
        <v>0</v>
      </c>
      <c r="W203" s="338">
        <f t="shared" si="175"/>
        <v>0</v>
      </c>
      <c r="X203" s="35"/>
    </row>
    <row r="204" spans="1:24" x14ac:dyDescent="0.25">
      <c r="A204" s="336">
        <f>A203+3</f>
        <v>43731</v>
      </c>
      <c r="B204" s="329">
        <f t="shared" si="158"/>
        <v>0</v>
      </c>
      <c r="C204" s="338">
        <f t="shared" si="176"/>
        <v>22000000</v>
      </c>
      <c r="D204" s="329">
        <f t="shared" si="179"/>
        <v>0</v>
      </c>
      <c r="E204" s="338">
        <f t="shared" si="177"/>
        <v>30200000</v>
      </c>
      <c r="F204" s="329">
        <f t="shared" si="159"/>
        <v>0</v>
      </c>
      <c r="G204" s="338">
        <f t="shared" si="178"/>
        <v>11050000</v>
      </c>
      <c r="H204" s="329">
        <f t="shared" si="160"/>
        <v>0</v>
      </c>
      <c r="I204" s="338">
        <f t="shared" si="168"/>
        <v>0</v>
      </c>
      <c r="J204" s="329">
        <f t="shared" si="161"/>
        <v>0</v>
      </c>
      <c r="K204" s="338">
        <f t="shared" si="169"/>
        <v>0</v>
      </c>
      <c r="L204" s="329">
        <f t="shared" si="162"/>
        <v>0</v>
      </c>
      <c r="M204" s="338">
        <f t="shared" si="170"/>
        <v>0</v>
      </c>
      <c r="N204" s="329">
        <f t="shared" si="163"/>
        <v>0</v>
      </c>
      <c r="O204" s="338">
        <f t="shared" si="171"/>
        <v>0</v>
      </c>
      <c r="P204" s="329">
        <f t="shared" si="164"/>
        <v>0</v>
      </c>
      <c r="Q204" s="338">
        <f t="shared" si="172"/>
        <v>0</v>
      </c>
      <c r="R204" s="329">
        <f t="shared" si="165"/>
        <v>0</v>
      </c>
      <c r="S204" s="338">
        <f t="shared" si="173"/>
        <v>0</v>
      </c>
      <c r="T204" s="329">
        <f t="shared" si="166"/>
        <v>0</v>
      </c>
      <c r="U204" s="338">
        <f t="shared" si="174"/>
        <v>0</v>
      </c>
      <c r="V204" s="329">
        <f t="shared" si="167"/>
        <v>0</v>
      </c>
      <c r="W204" s="338">
        <f t="shared" si="175"/>
        <v>0</v>
      </c>
      <c r="X204" s="35"/>
    </row>
    <row r="205" spans="1:24" x14ac:dyDescent="0.25">
      <c r="A205" s="335">
        <f>A204+1</f>
        <v>43732</v>
      </c>
      <c r="B205" s="329">
        <f t="shared" si="158"/>
        <v>0</v>
      </c>
      <c r="C205" s="338">
        <f t="shared" si="176"/>
        <v>22000000</v>
      </c>
      <c r="D205" s="329">
        <f t="shared" si="179"/>
        <v>0</v>
      </c>
      <c r="E205" s="338">
        <f t="shared" si="177"/>
        <v>30200000</v>
      </c>
      <c r="F205" s="329">
        <f t="shared" si="159"/>
        <v>2900000</v>
      </c>
      <c r="G205" s="338">
        <f t="shared" si="178"/>
        <v>13950000</v>
      </c>
      <c r="H205" s="329">
        <f t="shared" si="160"/>
        <v>0</v>
      </c>
      <c r="I205" s="338">
        <f t="shared" si="168"/>
        <v>0</v>
      </c>
      <c r="J205" s="329">
        <f t="shared" si="161"/>
        <v>0</v>
      </c>
      <c r="K205" s="338">
        <f t="shared" si="169"/>
        <v>0</v>
      </c>
      <c r="L205" s="329">
        <f t="shared" si="162"/>
        <v>0</v>
      </c>
      <c r="M205" s="338">
        <f t="shared" si="170"/>
        <v>0</v>
      </c>
      <c r="N205" s="329">
        <f t="shared" si="163"/>
        <v>0</v>
      </c>
      <c r="O205" s="338">
        <f t="shared" si="171"/>
        <v>0</v>
      </c>
      <c r="P205" s="329">
        <f t="shared" si="164"/>
        <v>0</v>
      </c>
      <c r="Q205" s="338">
        <f t="shared" si="172"/>
        <v>0</v>
      </c>
      <c r="R205" s="329">
        <f t="shared" si="165"/>
        <v>0</v>
      </c>
      <c r="S205" s="338">
        <f t="shared" si="173"/>
        <v>0</v>
      </c>
      <c r="T205" s="329">
        <f t="shared" si="166"/>
        <v>0</v>
      </c>
      <c r="U205" s="338">
        <f t="shared" si="174"/>
        <v>0</v>
      </c>
      <c r="V205" s="329">
        <f t="shared" si="167"/>
        <v>0</v>
      </c>
      <c r="W205" s="338">
        <f t="shared" si="175"/>
        <v>0</v>
      </c>
      <c r="X205" s="35"/>
    </row>
    <row r="206" spans="1:24" x14ac:dyDescent="0.25">
      <c r="A206" s="335">
        <f>A205+1</f>
        <v>43733</v>
      </c>
      <c r="B206" s="329">
        <f t="shared" si="158"/>
        <v>0</v>
      </c>
      <c r="C206" s="338">
        <f t="shared" ref="C206:C213" si="180">B206+C205</f>
        <v>22000000</v>
      </c>
      <c r="D206" s="329">
        <f t="shared" si="179"/>
        <v>200000</v>
      </c>
      <c r="E206" s="338">
        <f t="shared" ref="E206:E213" si="181">D206+E205</f>
        <v>30400000</v>
      </c>
      <c r="F206" s="329">
        <f t="shared" si="159"/>
        <v>0</v>
      </c>
      <c r="G206" s="338">
        <f t="shared" ref="G206:G213" si="182">F206+G205</f>
        <v>13950000</v>
      </c>
      <c r="H206" s="329">
        <f t="shared" si="160"/>
        <v>0</v>
      </c>
      <c r="I206" s="338">
        <f t="shared" si="168"/>
        <v>0</v>
      </c>
      <c r="J206" s="329">
        <f t="shared" si="161"/>
        <v>0</v>
      </c>
      <c r="K206" s="338">
        <f t="shared" si="169"/>
        <v>0</v>
      </c>
      <c r="L206" s="329">
        <f t="shared" si="162"/>
        <v>0</v>
      </c>
      <c r="M206" s="338">
        <f t="shared" si="170"/>
        <v>0</v>
      </c>
      <c r="N206" s="329">
        <f t="shared" si="163"/>
        <v>0</v>
      </c>
      <c r="O206" s="338">
        <f t="shared" si="171"/>
        <v>0</v>
      </c>
      <c r="P206" s="329">
        <f t="shared" si="164"/>
        <v>0</v>
      </c>
      <c r="Q206" s="338">
        <f t="shared" si="172"/>
        <v>0</v>
      </c>
      <c r="R206" s="329">
        <f t="shared" si="165"/>
        <v>0</v>
      </c>
      <c r="S206" s="338">
        <f t="shared" si="173"/>
        <v>0</v>
      </c>
      <c r="T206" s="329">
        <f t="shared" si="166"/>
        <v>0</v>
      </c>
      <c r="U206" s="338">
        <f t="shared" si="174"/>
        <v>0</v>
      </c>
      <c r="V206" s="329">
        <f t="shared" si="167"/>
        <v>0</v>
      </c>
      <c r="W206" s="338">
        <f t="shared" si="175"/>
        <v>0</v>
      </c>
      <c r="X206" s="35"/>
    </row>
    <row r="207" spans="1:24" x14ac:dyDescent="0.25">
      <c r="A207" s="335">
        <f>A206+1</f>
        <v>43734</v>
      </c>
      <c r="B207" s="329">
        <f t="shared" si="158"/>
        <v>0</v>
      </c>
      <c r="C207" s="338">
        <f t="shared" si="180"/>
        <v>22000000</v>
      </c>
      <c r="D207" s="329">
        <f t="shared" si="179"/>
        <v>0</v>
      </c>
      <c r="E207" s="338">
        <f t="shared" si="181"/>
        <v>30400000</v>
      </c>
      <c r="F207" s="329">
        <f t="shared" si="159"/>
        <v>0</v>
      </c>
      <c r="G207" s="338">
        <f t="shared" si="182"/>
        <v>13950000</v>
      </c>
      <c r="H207" s="329">
        <f t="shared" si="160"/>
        <v>0</v>
      </c>
      <c r="I207" s="338">
        <f t="shared" si="168"/>
        <v>0</v>
      </c>
      <c r="J207" s="329">
        <f t="shared" si="161"/>
        <v>0</v>
      </c>
      <c r="K207" s="338">
        <f t="shared" si="169"/>
        <v>0</v>
      </c>
      <c r="L207" s="329">
        <f t="shared" si="162"/>
        <v>0</v>
      </c>
      <c r="M207" s="338">
        <f t="shared" si="170"/>
        <v>0</v>
      </c>
      <c r="N207" s="329">
        <f t="shared" si="163"/>
        <v>0</v>
      </c>
      <c r="O207" s="338">
        <f t="shared" si="171"/>
        <v>0</v>
      </c>
      <c r="P207" s="329">
        <f t="shared" si="164"/>
        <v>0</v>
      </c>
      <c r="Q207" s="338">
        <f t="shared" si="172"/>
        <v>0</v>
      </c>
      <c r="R207" s="329">
        <f t="shared" si="165"/>
        <v>0</v>
      </c>
      <c r="S207" s="338">
        <f t="shared" si="173"/>
        <v>0</v>
      </c>
      <c r="T207" s="329">
        <f t="shared" si="166"/>
        <v>0</v>
      </c>
      <c r="U207" s="338">
        <f t="shared" si="174"/>
        <v>0</v>
      </c>
      <c r="V207" s="329">
        <f t="shared" si="167"/>
        <v>0</v>
      </c>
      <c r="W207" s="338">
        <f t="shared" si="175"/>
        <v>0</v>
      </c>
      <c r="X207" s="35"/>
    </row>
    <row r="208" spans="1:24" x14ac:dyDescent="0.25">
      <c r="A208" s="335">
        <f>A207+1</f>
        <v>43735</v>
      </c>
      <c r="B208" s="329">
        <f t="shared" si="158"/>
        <v>0</v>
      </c>
      <c r="C208" s="338">
        <f t="shared" si="180"/>
        <v>22000000</v>
      </c>
      <c r="D208" s="329">
        <f t="shared" si="179"/>
        <v>0</v>
      </c>
      <c r="E208" s="338">
        <f t="shared" si="181"/>
        <v>30400000</v>
      </c>
      <c r="F208" s="329">
        <f t="shared" si="159"/>
        <v>0</v>
      </c>
      <c r="G208" s="338">
        <f t="shared" si="182"/>
        <v>13950000</v>
      </c>
      <c r="H208" s="329">
        <f t="shared" si="160"/>
        <v>0</v>
      </c>
      <c r="I208" s="338">
        <f t="shared" si="168"/>
        <v>0</v>
      </c>
      <c r="J208" s="329">
        <f t="shared" si="161"/>
        <v>0</v>
      </c>
      <c r="K208" s="338">
        <f t="shared" si="169"/>
        <v>0</v>
      </c>
      <c r="L208" s="329">
        <f t="shared" si="162"/>
        <v>0</v>
      </c>
      <c r="M208" s="338">
        <f t="shared" si="170"/>
        <v>0</v>
      </c>
      <c r="N208" s="329">
        <f t="shared" si="163"/>
        <v>0</v>
      </c>
      <c r="O208" s="338">
        <f t="shared" si="171"/>
        <v>0</v>
      </c>
      <c r="P208" s="329">
        <f t="shared" si="164"/>
        <v>0</v>
      </c>
      <c r="Q208" s="338">
        <f t="shared" si="172"/>
        <v>0</v>
      </c>
      <c r="R208" s="329">
        <f t="shared" si="165"/>
        <v>0</v>
      </c>
      <c r="S208" s="338">
        <f t="shared" si="173"/>
        <v>0</v>
      </c>
      <c r="T208" s="329">
        <f t="shared" si="166"/>
        <v>0</v>
      </c>
      <c r="U208" s="338">
        <f t="shared" si="174"/>
        <v>0</v>
      </c>
      <c r="V208" s="329">
        <f t="shared" si="167"/>
        <v>0</v>
      </c>
      <c r="W208" s="338">
        <f t="shared" si="175"/>
        <v>0</v>
      </c>
      <c r="X208" s="35"/>
    </row>
    <row r="209" spans="1:24" x14ac:dyDescent="0.25">
      <c r="A209" s="336">
        <f>A208+3</f>
        <v>43738</v>
      </c>
      <c r="B209" s="329">
        <f t="shared" si="158"/>
        <v>0</v>
      </c>
      <c r="C209" s="338">
        <f t="shared" si="180"/>
        <v>22000000</v>
      </c>
      <c r="D209" s="329">
        <f t="shared" si="179"/>
        <v>0</v>
      </c>
      <c r="E209" s="338">
        <f t="shared" si="181"/>
        <v>30400000</v>
      </c>
      <c r="F209" s="329">
        <f t="shared" si="159"/>
        <v>0</v>
      </c>
      <c r="G209" s="338">
        <f t="shared" si="182"/>
        <v>13950000</v>
      </c>
      <c r="H209" s="329">
        <f t="shared" si="160"/>
        <v>0</v>
      </c>
      <c r="I209" s="338">
        <f t="shared" si="168"/>
        <v>0</v>
      </c>
      <c r="J209" s="329">
        <f t="shared" si="161"/>
        <v>0</v>
      </c>
      <c r="K209" s="338">
        <f t="shared" si="169"/>
        <v>0</v>
      </c>
      <c r="L209" s="329">
        <f t="shared" si="162"/>
        <v>0</v>
      </c>
      <c r="M209" s="338">
        <f t="shared" si="170"/>
        <v>0</v>
      </c>
      <c r="N209" s="329">
        <f t="shared" si="163"/>
        <v>0</v>
      </c>
      <c r="O209" s="338">
        <f t="shared" si="171"/>
        <v>0</v>
      </c>
      <c r="P209" s="329">
        <f t="shared" si="164"/>
        <v>0</v>
      </c>
      <c r="Q209" s="338">
        <f t="shared" si="172"/>
        <v>0</v>
      </c>
      <c r="R209" s="329">
        <f t="shared" si="165"/>
        <v>0</v>
      </c>
      <c r="S209" s="338">
        <f t="shared" si="173"/>
        <v>0</v>
      </c>
      <c r="T209" s="329">
        <f t="shared" si="166"/>
        <v>0</v>
      </c>
      <c r="U209" s="338">
        <f t="shared" si="174"/>
        <v>0</v>
      </c>
      <c r="V209" s="329">
        <f t="shared" si="167"/>
        <v>0</v>
      </c>
      <c r="W209" s="338">
        <f t="shared" si="175"/>
        <v>0</v>
      </c>
      <c r="X209" s="35"/>
    </row>
    <row r="210" spans="1:24" x14ac:dyDescent="0.25">
      <c r="A210" s="335">
        <f>A209+1</f>
        <v>43739</v>
      </c>
      <c r="B210" s="329">
        <f t="shared" si="158"/>
        <v>0</v>
      </c>
      <c r="C210" s="338">
        <f t="shared" si="180"/>
        <v>22000000</v>
      </c>
      <c r="D210" s="329">
        <f t="shared" si="179"/>
        <v>0</v>
      </c>
      <c r="E210" s="338">
        <f t="shared" si="181"/>
        <v>30400000</v>
      </c>
      <c r="F210" s="329">
        <f t="shared" si="159"/>
        <v>0</v>
      </c>
      <c r="G210" s="338">
        <f t="shared" si="182"/>
        <v>13950000</v>
      </c>
      <c r="H210" s="329">
        <f t="shared" si="160"/>
        <v>0</v>
      </c>
      <c r="I210" s="338">
        <f t="shared" si="168"/>
        <v>0</v>
      </c>
      <c r="J210" s="329">
        <f t="shared" si="161"/>
        <v>0</v>
      </c>
      <c r="K210" s="338">
        <f t="shared" si="169"/>
        <v>0</v>
      </c>
      <c r="L210" s="329">
        <f t="shared" si="162"/>
        <v>0</v>
      </c>
      <c r="M210" s="338">
        <f t="shared" si="170"/>
        <v>0</v>
      </c>
      <c r="N210" s="329">
        <f t="shared" si="163"/>
        <v>0</v>
      </c>
      <c r="O210" s="338">
        <f t="shared" si="171"/>
        <v>0</v>
      </c>
      <c r="P210" s="329">
        <f t="shared" si="164"/>
        <v>0</v>
      </c>
      <c r="Q210" s="338">
        <f t="shared" si="172"/>
        <v>0</v>
      </c>
      <c r="R210" s="329">
        <f t="shared" si="165"/>
        <v>0</v>
      </c>
      <c r="S210" s="338">
        <f t="shared" si="173"/>
        <v>0</v>
      </c>
      <c r="T210" s="329">
        <f t="shared" si="166"/>
        <v>0</v>
      </c>
      <c r="U210" s="338">
        <f t="shared" si="174"/>
        <v>0</v>
      </c>
      <c r="V210" s="329">
        <f t="shared" si="167"/>
        <v>0</v>
      </c>
      <c r="W210" s="338">
        <f t="shared" si="175"/>
        <v>0</v>
      </c>
      <c r="X210" s="35"/>
    </row>
    <row r="211" spans="1:24" x14ac:dyDescent="0.25">
      <c r="A211" s="335">
        <f>A210+1</f>
        <v>43740</v>
      </c>
      <c r="B211" s="329">
        <f t="shared" si="158"/>
        <v>0</v>
      </c>
      <c r="C211" s="338">
        <f t="shared" si="180"/>
        <v>22000000</v>
      </c>
      <c r="D211" s="329">
        <f t="shared" si="179"/>
        <v>0</v>
      </c>
      <c r="E211" s="338">
        <f t="shared" si="181"/>
        <v>30400000</v>
      </c>
      <c r="F211" s="329">
        <f t="shared" si="159"/>
        <v>0</v>
      </c>
      <c r="G211" s="338">
        <f t="shared" si="182"/>
        <v>13950000</v>
      </c>
      <c r="H211" s="329">
        <f t="shared" si="160"/>
        <v>0</v>
      </c>
      <c r="I211" s="338">
        <f t="shared" si="168"/>
        <v>0</v>
      </c>
      <c r="J211" s="329">
        <f t="shared" si="161"/>
        <v>0</v>
      </c>
      <c r="K211" s="338">
        <f t="shared" si="169"/>
        <v>0</v>
      </c>
      <c r="L211" s="329">
        <f t="shared" si="162"/>
        <v>0</v>
      </c>
      <c r="M211" s="338">
        <f t="shared" si="170"/>
        <v>0</v>
      </c>
      <c r="N211" s="329">
        <f t="shared" si="163"/>
        <v>0</v>
      </c>
      <c r="O211" s="338">
        <f t="shared" si="171"/>
        <v>0</v>
      </c>
      <c r="P211" s="329">
        <f t="shared" si="164"/>
        <v>0</v>
      </c>
      <c r="Q211" s="338">
        <f t="shared" si="172"/>
        <v>0</v>
      </c>
      <c r="R211" s="329">
        <f t="shared" si="165"/>
        <v>0</v>
      </c>
      <c r="S211" s="338">
        <f t="shared" si="173"/>
        <v>0</v>
      </c>
      <c r="T211" s="329">
        <f t="shared" si="166"/>
        <v>0</v>
      </c>
      <c r="U211" s="338">
        <f t="shared" si="174"/>
        <v>0</v>
      </c>
      <c r="V211" s="329">
        <f t="shared" si="167"/>
        <v>0</v>
      </c>
      <c r="W211" s="338">
        <f t="shared" si="175"/>
        <v>0</v>
      </c>
      <c r="X211" s="35"/>
    </row>
    <row r="212" spans="1:24" x14ac:dyDescent="0.25">
      <c r="A212" s="335">
        <f>A211+1</f>
        <v>43741</v>
      </c>
      <c r="B212" s="329">
        <f t="shared" si="158"/>
        <v>0</v>
      </c>
      <c r="C212" s="338">
        <f t="shared" si="180"/>
        <v>22000000</v>
      </c>
      <c r="D212" s="329">
        <f t="shared" si="179"/>
        <v>0</v>
      </c>
      <c r="E212" s="338">
        <f t="shared" si="181"/>
        <v>30400000</v>
      </c>
      <c r="F212" s="329">
        <f t="shared" si="159"/>
        <v>0</v>
      </c>
      <c r="G212" s="338">
        <f t="shared" si="182"/>
        <v>13950000</v>
      </c>
      <c r="H212" s="329">
        <f t="shared" si="160"/>
        <v>0</v>
      </c>
      <c r="I212" s="338">
        <f t="shared" si="168"/>
        <v>0</v>
      </c>
      <c r="J212" s="329">
        <f t="shared" si="161"/>
        <v>0</v>
      </c>
      <c r="K212" s="338">
        <f t="shared" si="169"/>
        <v>0</v>
      </c>
      <c r="L212" s="329">
        <f t="shared" si="162"/>
        <v>0</v>
      </c>
      <c r="M212" s="338">
        <f t="shared" si="170"/>
        <v>0</v>
      </c>
      <c r="N212" s="329">
        <f t="shared" si="163"/>
        <v>0</v>
      </c>
      <c r="O212" s="338">
        <f t="shared" si="171"/>
        <v>0</v>
      </c>
      <c r="P212" s="329">
        <f t="shared" si="164"/>
        <v>0</v>
      </c>
      <c r="Q212" s="338">
        <f t="shared" si="172"/>
        <v>0</v>
      </c>
      <c r="R212" s="329">
        <f t="shared" si="165"/>
        <v>0</v>
      </c>
      <c r="S212" s="338">
        <f t="shared" si="173"/>
        <v>0</v>
      </c>
      <c r="T212" s="329">
        <f t="shared" si="166"/>
        <v>0</v>
      </c>
      <c r="U212" s="338">
        <f t="shared" si="174"/>
        <v>0</v>
      </c>
      <c r="V212" s="329">
        <f t="shared" si="167"/>
        <v>0</v>
      </c>
      <c r="W212" s="338">
        <f t="shared" si="175"/>
        <v>0</v>
      </c>
      <c r="X212" s="35"/>
    </row>
    <row r="213" spans="1:24" x14ac:dyDescent="0.25">
      <c r="A213" s="335">
        <f>A212+1</f>
        <v>43742</v>
      </c>
      <c r="B213" s="329">
        <f t="shared" si="158"/>
        <v>0</v>
      </c>
      <c r="C213" s="338">
        <f t="shared" si="180"/>
        <v>22000000</v>
      </c>
      <c r="D213" s="329">
        <f t="shared" si="179"/>
        <v>0</v>
      </c>
      <c r="E213" s="338">
        <f t="shared" si="181"/>
        <v>30400000</v>
      </c>
      <c r="F213" s="329">
        <f t="shared" si="159"/>
        <v>0</v>
      </c>
      <c r="G213" s="338">
        <f t="shared" si="182"/>
        <v>13950000</v>
      </c>
      <c r="H213" s="329">
        <f t="shared" si="160"/>
        <v>0</v>
      </c>
      <c r="I213" s="338">
        <f t="shared" si="168"/>
        <v>0</v>
      </c>
      <c r="J213" s="329">
        <f t="shared" si="161"/>
        <v>0</v>
      </c>
      <c r="K213" s="338">
        <f t="shared" si="169"/>
        <v>0</v>
      </c>
      <c r="L213" s="329">
        <f t="shared" si="162"/>
        <v>0</v>
      </c>
      <c r="M213" s="338">
        <f t="shared" si="170"/>
        <v>0</v>
      </c>
      <c r="N213" s="329">
        <f t="shared" si="163"/>
        <v>0</v>
      </c>
      <c r="O213" s="338">
        <f t="shared" si="171"/>
        <v>0</v>
      </c>
      <c r="P213" s="329">
        <f t="shared" si="164"/>
        <v>0</v>
      </c>
      <c r="Q213" s="338">
        <f t="shared" si="172"/>
        <v>0</v>
      </c>
      <c r="R213" s="329">
        <f t="shared" si="165"/>
        <v>0</v>
      </c>
      <c r="S213" s="338">
        <f t="shared" si="173"/>
        <v>0</v>
      </c>
      <c r="T213" s="329">
        <f t="shared" si="166"/>
        <v>0</v>
      </c>
      <c r="U213" s="338">
        <f t="shared" si="174"/>
        <v>0</v>
      </c>
      <c r="V213" s="329">
        <f t="shared" si="167"/>
        <v>0</v>
      </c>
      <c r="W213" s="338">
        <f t="shared" si="175"/>
        <v>0</v>
      </c>
      <c r="X213" s="35"/>
    </row>
    <row r="214" spans="1:24" x14ac:dyDescent="0.25">
      <c r="A214" s="336">
        <f>A213+3</f>
        <v>43745</v>
      </c>
      <c r="B214" s="329">
        <f t="shared" si="158"/>
        <v>2000000</v>
      </c>
      <c r="C214" s="338">
        <f t="shared" ref="C214:C223" si="183">B214+C213</f>
        <v>24000000</v>
      </c>
      <c r="D214" s="329">
        <f t="shared" si="179"/>
        <v>0</v>
      </c>
      <c r="E214" s="338">
        <f t="shared" ref="E214:E223" si="184">D214+E213</f>
        <v>30400000</v>
      </c>
      <c r="F214" s="329">
        <f t="shared" si="159"/>
        <v>0</v>
      </c>
      <c r="G214" s="338">
        <f t="shared" ref="G214:G223" si="185">F214+G213</f>
        <v>13950000</v>
      </c>
      <c r="H214" s="329">
        <f t="shared" si="160"/>
        <v>0</v>
      </c>
      <c r="I214" s="338">
        <f t="shared" si="168"/>
        <v>0</v>
      </c>
      <c r="J214" s="329">
        <f t="shared" si="161"/>
        <v>0</v>
      </c>
      <c r="K214" s="338">
        <f t="shared" si="169"/>
        <v>0</v>
      </c>
      <c r="L214" s="329">
        <f t="shared" si="162"/>
        <v>0</v>
      </c>
      <c r="M214" s="338">
        <f t="shared" si="170"/>
        <v>0</v>
      </c>
      <c r="N214" s="329">
        <f t="shared" si="163"/>
        <v>0</v>
      </c>
      <c r="O214" s="338">
        <f t="shared" si="171"/>
        <v>0</v>
      </c>
      <c r="P214" s="329">
        <f t="shared" si="164"/>
        <v>0</v>
      </c>
      <c r="Q214" s="338">
        <f t="shared" si="172"/>
        <v>0</v>
      </c>
      <c r="R214" s="329">
        <f t="shared" si="165"/>
        <v>0</v>
      </c>
      <c r="S214" s="338">
        <f t="shared" si="173"/>
        <v>0</v>
      </c>
      <c r="T214" s="329">
        <f t="shared" si="166"/>
        <v>0</v>
      </c>
      <c r="U214" s="338">
        <f t="shared" si="174"/>
        <v>0</v>
      </c>
      <c r="V214" s="329">
        <f t="shared" si="167"/>
        <v>0</v>
      </c>
      <c r="W214" s="338">
        <f t="shared" si="175"/>
        <v>0</v>
      </c>
      <c r="X214" s="35"/>
    </row>
    <row r="215" spans="1:24" x14ac:dyDescent="0.25">
      <c r="A215" s="335">
        <f>A214+1</f>
        <v>43746</v>
      </c>
      <c r="B215" s="329">
        <f t="shared" si="158"/>
        <v>0</v>
      </c>
      <c r="C215" s="338">
        <f t="shared" si="183"/>
        <v>24000000</v>
      </c>
      <c r="D215" s="329">
        <f t="shared" si="179"/>
        <v>0</v>
      </c>
      <c r="E215" s="338">
        <f t="shared" si="184"/>
        <v>30400000</v>
      </c>
      <c r="F215" s="329">
        <f t="shared" si="159"/>
        <v>0</v>
      </c>
      <c r="G215" s="338">
        <f t="shared" si="185"/>
        <v>13950000</v>
      </c>
      <c r="H215" s="329">
        <f t="shared" si="160"/>
        <v>0</v>
      </c>
      <c r="I215" s="338">
        <f t="shared" si="168"/>
        <v>0</v>
      </c>
      <c r="J215" s="329">
        <f t="shared" si="161"/>
        <v>0</v>
      </c>
      <c r="K215" s="338">
        <f t="shared" si="169"/>
        <v>0</v>
      </c>
      <c r="L215" s="329">
        <f t="shared" si="162"/>
        <v>0</v>
      </c>
      <c r="M215" s="338">
        <f t="shared" si="170"/>
        <v>0</v>
      </c>
      <c r="N215" s="329">
        <f t="shared" si="163"/>
        <v>0</v>
      </c>
      <c r="O215" s="338">
        <f t="shared" si="171"/>
        <v>0</v>
      </c>
      <c r="P215" s="329">
        <f t="shared" si="164"/>
        <v>0</v>
      </c>
      <c r="Q215" s="338">
        <f t="shared" si="172"/>
        <v>0</v>
      </c>
      <c r="R215" s="329">
        <f t="shared" si="165"/>
        <v>0</v>
      </c>
      <c r="S215" s="338">
        <f t="shared" si="173"/>
        <v>0</v>
      </c>
      <c r="T215" s="329">
        <f t="shared" si="166"/>
        <v>0</v>
      </c>
      <c r="U215" s="338">
        <f t="shared" si="174"/>
        <v>0</v>
      </c>
      <c r="V215" s="329">
        <f t="shared" si="167"/>
        <v>0</v>
      </c>
      <c r="W215" s="338">
        <f t="shared" si="175"/>
        <v>0</v>
      </c>
      <c r="X215" s="35"/>
    </row>
    <row r="216" spans="1:24" x14ac:dyDescent="0.25">
      <c r="A216" s="335">
        <f>A215+1</f>
        <v>43747</v>
      </c>
      <c r="B216" s="329">
        <f t="shared" si="158"/>
        <v>0</v>
      </c>
      <c r="C216" s="338">
        <f t="shared" si="183"/>
        <v>24000000</v>
      </c>
      <c r="D216" s="329">
        <f t="shared" si="179"/>
        <v>0</v>
      </c>
      <c r="E216" s="338">
        <f t="shared" si="184"/>
        <v>30400000</v>
      </c>
      <c r="F216" s="329">
        <f t="shared" si="159"/>
        <v>0</v>
      </c>
      <c r="G216" s="338">
        <f t="shared" si="185"/>
        <v>13950000</v>
      </c>
      <c r="H216" s="329">
        <f t="shared" si="160"/>
        <v>0</v>
      </c>
      <c r="I216" s="338">
        <f t="shared" si="168"/>
        <v>0</v>
      </c>
      <c r="J216" s="329">
        <f t="shared" si="161"/>
        <v>0</v>
      </c>
      <c r="K216" s="338">
        <f t="shared" si="169"/>
        <v>0</v>
      </c>
      <c r="L216" s="329">
        <f t="shared" si="162"/>
        <v>0</v>
      </c>
      <c r="M216" s="338">
        <f t="shared" si="170"/>
        <v>0</v>
      </c>
      <c r="N216" s="329">
        <f t="shared" si="163"/>
        <v>0</v>
      </c>
      <c r="O216" s="338">
        <f t="shared" si="171"/>
        <v>0</v>
      </c>
      <c r="P216" s="329">
        <f t="shared" si="164"/>
        <v>0</v>
      </c>
      <c r="Q216" s="338">
        <f t="shared" si="172"/>
        <v>0</v>
      </c>
      <c r="R216" s="329">
        <f t="shared" si="165"/>
        <v>0</v>
      </c>
      <c r="S216" s="338">
        <f t="shared" si="173"/>
        <v>0</v>
      </c>
      <c r="T216" s="329">
        <f t="shared" si="166"/>
        <v>0</v>
      </c>
      <c r="U216" s="338">
        <f t="shared" si="174"/>
        <v>0</v>
      </c>
      <c r="V216" s="329">
        <f t="shared" si="167"/>
        <v>0</v>
      </c>
      <c r="W216" s="338">
        <f t="shared" si="175"/>
        <v>0</v>
      </c>
      <c r="X216" s="35"/>
    </row>
    <row r="217" spans="1:24" x14ac:dyDescent="0.25">
      <c r="A217" s="335">
        <f>A216+1</f>
        <v>43748</v>
      </c>
      <c r="B217" s="329">
        <f t="shared" si="158"/>
        <v>0</v>
      </c>
      <c r="C217" s="338">
        <f t="shared" si="183"/>
        <v>24000000</v>
      </c>
      <c r="D217" s="329">
        <f t="shared" si="179"/>
        <v>0</v>
      </c>
      <c r="E217" s="338">
        <f t="shared" si="184"/>
        <v>30400000</v>
      </c>
      <c r="F217" s="329">
        <f t="shared" si="159"/>
        <v>0</v>
      </c>
      <c r="G217" s="338">
        <f t="shared" si="185"/>
        <v>13950000</v>
      </c>
      <c r="H217" s="329">
        <f t="shared" si="160"/>
        <v>0</v>
      </c>
      <c r="I217" s="338">
        <f t="shared" si="168"/>
        <v>0</v>
      </c>
      <c r="J217" s="329">
        <f t="shared" si="161"/>
        <v>0</v>
      </c>
      <c r="K217" s="338">
        <f t="shared" si="169"/>
        <v>0</v>
      </c>
      <c r="L217" s="329">
        <f t="shared" si="162"/>
        <v>0</v>
      </c>
      <c r="M217" s="338">
        <f t="shared" si="170"/>
        <v>0</v>
      </c>
      <c r="N217" s="329">
        <f t="shared" si="163"/>
        <v>0</v>
      </c>
      <c r="O217" s="338">
        <f t="shared" si="171"/>
        <v>0</v>
      </c>
      <c r="P217" s="329">
        <f t="shared" si="164"/>
        <v>0</v>
      </c>
      <c r="Q217" s="338">
        <f t="shared" si="172"/>
        <v>0</v>
      </c>
      <c r="R217" s="329">
        <f t="shared" si="165"/>
        <v>0</v>
      </c>
      <c r="S217" s="338">
        <f t="shared" si="173"/>
        <v>0</v>
      </c>
      <c r="T217" s="329">
        <f t="shared" si="166"/>
        <v>0</v>
      </c>
      <c r="U217" s="338">
        <f t="shared" si="174"/>
        <v>0</v>
      </c>
      <c r="V217" s="329">
        <f t="shared" si="167"/>
        <v>0</v>
      </c>
      <c r="W217" s="338">
        <f t="shared" si="175"/>
        <v>0</v>
      </c>
      <c r="X217" s="35"/>
    </row>
    <row r="218" spans="1:24" x14ac:dyDescent="0.25">
      <c r="A218" s="335">
        <f>A217+1</f>
        <v>43749</v>
      </c>
      <c r="B218" s="329">
        <f t="shared" si="158"/>
        <v>0</v>
      </c>
      <c r="C218" s="338">
        <f t="shared" si="183"/>
        <v>24000000</v>
      </c>
      <c r="D218" s="329">
        <f t="shared" si="179"/>
        <v>0</v>
      </c>
      <c r="E218" s="338">
        <f t="shared" si="184"/>
        <v>30400000</v>
      </c>
      <c r="F218" s="329">
        <f t="shared" si="159"/>
        <v>0</v>
      </c>
      <c r="G218" s="338">
        <f t="shared" si="185"/>
        <v>13950000</v>
      </c>
      <c r="H218" s="329">
        <f t="shared" si="160"/>
        <v>0</v>
      </c>
      <c r="I218" s="338">
        <f t="shared" si="168"/>
        <v>0</v>
      </c>
      <c r="J218" s="329">
        <f t="shared" si="161"/>
        <v>0</v>
      </c>
      <c r="K218" s="338">
        <f t="shared" si="169"/>
        <v>0</v>
      </c>
      <c r="L218" s="329">
        <f t="shared" si="162"/>
        <v>0</v>
      </c>
      <c r="M218" s="338">
        <f t="shared" si="170"/>
        <v>0</v>
      </c>
      <c r="N218" s="329">
        <f t="shared" si="163"/>
        <v>0</v>
      </c>
      <c r="O218" s="338">
        <f t="shared" si="171"/>
        <v>0</v>
      </c>
      <c r="P218" s="329">
        <f t="shared" si="164"/>
        <v>0</v>
      </c>
      <c r="Q218" s="338">
        <f t="shared" si="172"/>
        <v>0</v>
      </c>
      <c r="R218" s="329">
        <f t="shared" si="165"/>
        <v>0</v>
      </c>
      <c r="S218" s="338">
        <f t="shared" si="173"/>
        <v>0</v>
      </c>
      <c r="T218" s="329">
        <f t="shared" si="166"/>
        <v>0</v>
      </c>
      <c r="U218" s="338">
        <f t="shared" si="174"/>
        <v>0</v>
      </c>
      <c r="V218" s="329">
        <f t="shared" si="167"/>
        <v>0</v>
      </c>
      <c r="W218" s="338">
        <f t="shared" si="175"/>
        <v>0</v>
      </c>
      <c r="X218" s="35"/>
    </row>
    <row r="219" spans="1:24" x14ac:dyDescent="0.25">
      <c r="A219" s="336">
        <f>A218+3</f>
        <v>43752</v>
      </c>
      <c r="B219" s="329">
        <f t="shared" si="158"/>
        <v>0</v>
      </c>
      <c r="C219" s="338">
        <f t="shared" si="183"/>
        <v>24000000</v>
      </c>
      <c r="D219" s="329">
        <f t="shared" si="179"/>
        <v>0</v>
      </c>
      <c r="E219" s="338">
        <f t="shared" si="184"/>
        <v>30400000</v>
      </c>
      <c r="F219" s="329">
        <f t="shared" si="159"/>
        <v>0</v>
      </c>
      <c r="G219" s="338">
        <f t="shared" si="185"/>
        <v>13950000</v>
      </c>
      <c r="H219" s="329">
        <f t="shared" si="160"/>
        <v>0</v>
      </c>
      <c r="I219" s="338">
        <f t="shared" si="168"/>
        <v>0</v>
      </c>
      <c r="J219" s="329">
        <f t="shared" si="161"/>
        <v>0</v>
      </c>
      <c r="K219" s="338">
        <f t="shared" si="169"/>
        <v>0</v>
      </c>
      <c r="L219" s="329">
        <f t="shared" si="162"/>
        <v>0</v>
      </c>
      <c r="M219" s="338">
        <f t="shared" si="170"/>
        <v>0</v>
      </c>
      <c r="N219" s="329">
        <f t="shared" si="163"/>
        <v>0</v>
      </c>
      <c r="O219" s="338">
        <f t="shared" si="171"/>
        <v>0</v>
      </c>
      <c r="P219" s="329">
        <f t="shared" si="164"/>
        <v>0</v>
      </c>
      <c r="Q219" s="338">
        <f t="shared" si="172"/>
        <v>0</v>
      </c>
      <c r="R219" s="329">
        <f t="shared" si="165"/>
        <v>0</v>
      </c>
      <c r="S219" s="338">
        <f t="shared" si="173"/>
        <v>0</v>
      </c>
      <c r="T219" s="329">
        <f t="shared" si="166"/>
        <v>0</v>
      </c>
      <c r="U219" s="338">
        <f t="shared" si="174"/>
        <v>0</v>
      </c>
      <c r="V219" s="329">
        <f t="shared" si="167"/>
        <v>0</v>
      </c>
      <c r="W219" s="338">
        <f t="shared" si="175"/>
        <v>0</v>
      </c>
      <c r="X219" s="35"/>
    </row>
    <row r="220" spans="1:24" x14ac:dyDescent="0.25">
      <c r="A220" s="335">
        <f>A219+1</f>
        <v>43753</v>
      </c>
      <c r="B220" s="329">
        <f t="shared" si="158"/>
        <v>0</v>
      </c>
      <c r="C220" s="338">
        <f t="shared" si="183"/>
        <v>24000000</v>
      </c>
      <c r="D220" s="329">
        <f t="shared" si="179"/>
        <v>0</v>
      </c>
      <c r="E220" s="338">
        <f t="shared" si="184"/>
        <v>30400000</v>
      </c>
      <c r="F220" s="329">
        <f t="shared" si="159"/>
        <v>0</v>
      </c>
      <c r="G220" s="338">
        <f t="shared" si="185"/>
        <v>13950000</v>
      </c>
      <c r="H220" s="329">
        <f t="shared" si="160"/>
        <v>0</v>
      </c>
      <c r="I220" s="338">
        <f t="shared" si="168"/>
        <v>0</v>
      </c>
      <c r="J220" s="329">
        <f t="shared" si="161"/>
        <v>0</v>
      </c>
      <c r="K220" s="338">
        <f t="shared" si="169"/>
        <v>0</v>
      </c>
      <c r="L220" s="329">
        <f t="shared" si="162"/>
        <v>0</v>
      </c>
      <c r="M220" s="338">
        <f t="shared" si="170"/>
        <v>0</v>
      </c>
      <c r="N220" s="329">
        <f t="shared" si="163"/>
        <v>0</v>
      </c>
      <c r="O220" s="338">
        <f t="shared" si="171"/>
        <v>0</v>
      </c>
      <c r="P220" s="329">
        <f t="shared" si="164"/>
        <v>0</v>
      </c>
      <c r="Q220" s="338">
        <f t="shared" si="172"/>
        <v>0</v>
      </c>
      <c r="R220" s="329">
        <f t="shared" si="165"/>
        <v>0</v>
      </c>
      <c r="S220" s="338">
        <f t="shared" si="173"/>
        <v>0</v>
      </c>
      <c r="T220" s="329">
        <f t="shared" si="166"/>
        <v>0</v>
      </c>
      <c r="U220" s="338">
        <f t="shared" si="174"/>
        <v>0</v>
      </c>
      <c r="V220" s="329">
        <f t="shared" si="167"/>
        <v>0</v>
      </c>
      <c r="W220" s="338">
        <f t="shared" si="175"/>
        <v>0</v>
      </c>
      <c r="X220" s="35"/>
    </row>
    <row r="221" spans="1:24" x14ac:dyDescent="0.25">
      <c r="A221" s="335">
        <f>A220+1</f>
        <v>43754</v>
      </c>
      <c r="B221" s="329">
        <f t="shared" si="158"/>
        <v>0</v>
      </c>
      <c r="C221" s="338">
        <f t="shared" si="183"/>
        <v>24000000</v>
      </c>
      <c r="D221" s="329">
        <f t="shared" si="179"/>
        <v>0</v>
      </c>
      <c r="E221" s="338">
        <f t="shared" si="184"/>
        <v>30400000</v>
      </c>
      <c r="F221" s="329">
        <f t="shared" si="159"/>
        <v>0</v>
      </c>
      <c r="G221" s="338">
        <f t="shared" si="185"/>
        <v>13950000</v>
      </c>
      <c r="H221" s="329">
        <f t="shared" si="160"/>
        <v>0</v>
      </c>
      <c r="I221" s="338">
        <f t="shared" si="168"/>
        <v>0</v>
      </c>
      <c r="J221" s="329">
        <f t="shared" si="161"/>
        <v>0</v>
      </c>
      <c r="K221" s="338">
        <f t="shared" si="169"/>
        <v>0</v>
      </c>
      <c r="L221" s="329">
        <f t="shared" si="162"/>
        <v>0</v>
      </c>
      <c r="M221" s="338">
        <f t="shared" si="170"/>
        <v>0</v>
      </c>
      <c r="N221" s="329">
        <f t="shared" si="163"/>
        <v>0</v>
      </c>
      <c r="O221" s="338">
        <f t="shared" si="171"/>
        <v>0</v>
      </c>
      <c r="P221" s="329">
        <f t="shared" si="164"/>
        <v>0</v>
      </c>
      <c r="Q221" s="338">
        <f t="shared" si="172"/>
        <v>0</v>
      </c>
      <c r="R221" s="329">
        <f t="shared" si="165"/>
        <v>0</v>
      </c>
      <c r="S221" s="338">
        <f t="shared" si="173"/>
        <v>0</v>
      </c>
      <c r="T221" s="329">
        <f t="shared" si="166"/>
        <v>0</v>
      </c>
      <c r="U221" s="338">
        <f t="shared" si="174"/>
        <v>0</v>
      </c>
      <c r="V221" s="329">
        <f t="shared" si="167"/>
        <v>0</v>
      </c>
      <c r="W221" s="338">
        <f t="shared" si="175"/>
        <v>0</v>
      </c>
      <c r="X221" s="35"/>
    </row>
    <row r="222" spans="1:24" x14ac:dyDescent="0.25">
      <c r="A222" s="335">
        <f>A221+1</f>
        <v>43755</v>
      </c>
      <c r="B222" s="329">
        <f t="shared" si="158"/>
        <v>0</v>
      </c>
      <c r="C222" s="338">
        <f t="shared" si="183"/>
        <v>24000000</v>
      </c>
      <c r="D222" s="329">
        <f t="shared" si="179"/>
        <v>0</v>
      </c>
      <c r="E222" s="338">
        <f t="shared" si="184"/>
        <v>30400000</v>
      </c>
      <c r="F222" s="329">
        <f t="shared" si="159"/>
        <v>0</v>
      </c>
      <c r="G222" s="338">
        <f t="shared" si="185"/>
        <v>13950000</v>
      </c>
      <c r="H222" s="329">
        <f t="shared" si="160"/>
        <v>0</v>
      </c>
      <c r="I222" s="338">
        <f t="shared" si="168"/>
        <v>0</v>
      </c>
      <c r="J222" s="329">
        <f t="shared" si="161"/>
        <v>0</v>
      </c>
      <c r="K222" s="338">
        <f t="shared" si="169"/>
        <v>0</v>
      </c>
      <c r="L222" s="329">
        <f t="shared" si="162"/>
        <v>0</v>
      </c>
      <c r="M222" s="338">
        <f t="shared" si="170"/>
        <v>0</v>
      </c>
      <c r="N222" s="329">
        <f t="shared" si="163"/>
        <v>0</v>
      </c>
      <c r="O222" s="338">
        <f t="shared" si="171"/>
        <v>0</v>
      </c>
      <c r="P222" s="329">
        <f t="shared" si="164"/>
        <v>0</v>
      </c>
      <c r="Q222" s="338">
        <f t="shared" si="172"/>
        <v>0</v>
      </c>
      <c r="R222" s="329">
        <f t="shared" si="165"/>
        <v>0</v>
      </c>
      <c r="S222" s="338">
        <f t="shared" si="173"/>
        <v>0</v>
      </c>
      <c r="T222" s="329">
        <f t="shared" si="166"/>
        <v>0</v>
      </c>
      <c r="U222" s="338">
        <f t="shared" si="174"/>
        <v>0</v>
      </c>
      <c r="V222" s="329">
        <f t="shared" si="167"/>
        <v>0</v>
      </c>
      <c r="W222" s="338">
        <f t="shared" si="175"/>
        <v>0</v>
      </c>
      <c r="X222" s="35"/>
    </row>
    <row r="223" spans="1:24" x14ac:dyDescent="0.25">
      <c r="A223" s="335">
        <f>A222+1</f>
        <v>43756</v>
      </c>
      <c r="B223" s="329">
        <f t="shared" si="158"/>
        <v>0</v>
      </c>
      <c r="C223" s="338">
        <f t="shared" si="183"/>
        <v>24000000</v>
      </c>
      <c r="D223" s="329">
        <f t="shared" si="179"/>
        <v>0</v>
      </c>
      <c r="E223" s="338">
        <f t="shared" si="184"/>
        <v>30400000</v>
      </c>
      <c r="F223" s="329">
        <f t="shared" si="159"/>
        <v>0</v>
      </c>
      <c r="G223" s="338">
        <f t="shared" si="185"/>
        <v>13950000</v>
      </c>
      <c r="H223" s="329">
        <f t="shared" si="160"/>
        <v>0</v>
      </c>
      <c r="I223" s="338">
        <f t="shared" si="168"/>
        <v>0</v>
      </c>
      <c r="J223" s="329">
        <f t="shared" si="161"/>
        <v>0</v>
      </c>
      <c r="K223" s="338">
        <f t="shared" si="169"/>
        <v>0</v>
      </c>
      <c r="L223" s="329">
        <f t="shared" si="162"/>
        <v>0</v>
      </c>
      <c r="M223" s="338">
        <f t="shared" si="170"/>
        <v>0</v>
      </c>
      <c r="N223" s="329">
        <f t="shared" si="163"/>
        <v>0</v>
      </c>
      <c r="O223" s="338">
        <f t="shared" si="171"/>
        <v>0</v>
      </c>
      <c r="P223" s="329">
        <f t="shared" si="164"/>
        <v>0</v>
      </c>
      <c r="Q223" s="338">
        <f t="shared" si="172"/>
        <v>0</v>
      </c>
      <c r="R223" s="329">
        <f t="shared" si="165"/>
        <v>0</v>
      </c>
      <c r="S223" s="338">
        <f t="shared" si="173"/>
        <v>0</v>
      </c>
      <c r="T223" s="329">
        <f t="shared" si="166"/>
        <v>0</v>
      </c>
      <c r="U223" s="338">
        <f t="shared" si="174"/>
        <v>0</v>
      </c>
      <c r="V223" s="329">
        <f t="shared" si="167"/>
        <v>0</v>
      </c>
      <c r="W223" s="338">
        <f t="shared" si="175"/>
        <v>0</v>
      </c>
      <c r="X223" s="35"/>
    </row>
    <row r="224" spans="1:24" x14ac:dyDescent="0.25">
      <c r="A224" s="336">
        <f>A223+3</f>
        <v>43759</v>
      </c>
      <c r="B224" s="329">
        <f t="shared" si="158"/>
        <v>0</v>
      </c>
      <c r="C224" s="338">
        <f t="shared" ref="C224:C228" si="186">B224+C223</f>
        <v>24000000</v>
      </c>
      <c r="D224" s="329">
        <f t="shared" si="179"/>
        <v>0</v>
      </c>
      <c r="E224" s="338">
        <f t="shared" ref="E224:E228" si="187">D224+E223</f>
        <v>30400000</v>
      </c>
      <c r="F224" s="329">
        <f t="shared" si="159"/>
        <v>0</v>
      </c>
      <c r="G224" s="338">
        <f t="shared" ref="G224:G228" si="188">F224+G223</f>
        <v>13950000</v>
      </c>
      <c r="H224" s="329">
        <f t="shared" si="160"/>
        <v>0</v>
      </c>
      <c r="I224" s="338">
        <f t="shared" si="168"/>
        <v>0</v>
      </c>
      <c r="J224" s="329">
        <f t="shared" si="161"/>
        <v>0</v>
      </c>
      <c r="K224" s="338">
        <f t="shared" si="169"/>
        <v>0</v>
      </c>
      <c r="L224" s="329">
        <f t="shared" si="162"/>
        <v>0</v>
      </c>
      <c r="M224" s="338">
        <f t="shared" si="170"/>
        <v>0</v>
      </c>
      <c r="N224" s="329">
        <f t="shared" si="163"/>
        <v>0</v>
      </c>
      <c r="O224" s="338">
        <f t="shared" si="171"/>
        <v>0</v>
      </c>
      <c r="P224" s="329">
        <f t="shared" si="164"/>
        <v>0</v>
      </c>
      <c r="Q224" s="338">
        <f t="shared" si="172"/>
        <v>0</v>
      </c>
      <c r="R224" s="329">
        <f t="shared" si="165"/>
        <v>0</v>
      </c>
      <c r="S224" s="338">
        <f t="shared" si="173"/>
        <v>0</v>
      </c>
      <c r="T224" s="329">
        <f t="shared" si="166"/>
        <v>0</v>
      </c>
      <c r="U224" s="338">
        <f t="shared" si="174"/>
        <v>0</v>
      </c>
      <c r="V224" s="329">
        <f t="shared" si="167"/>
        <v>0</v>
      </c>
      <c r="W224" s="338">
        <f t="shared" si="175"/>
        <v>0</v>
      </c>
      <c r="X224" s="35"/>
    </row>
    <row r="225" spans="1:24" x14ac:dyDescent="0.25">
      <c r="A225" s="335">
        <f>A224+1</f>
        <v>43760</v>
      </c>
      <c r="B225" s="329">
        <f t="shared" si="158"/>
        <v>0</v>
      </c>
      <c r="C225" s="338">
        <f t="shared" si="186"/>
        <v>24000000</v>
      </c>
      <c r="D225" s="329">
        <f t="shared" si="179"/>
        <v>0</v>
      </c>
      <c r="E225" s="338">
        <f t="shared" si="187"/>
        <v>30400000</v>
      </c>
      <c r="F225" s="329">
        <f t="shared" si="159"/>
        <v>0</v>
      </c>
      <c r="G225" s="338">
        <f t="shared" si="188"/>
        <v>13950000</v>
      </c>
      <c r="H225" s="329">
        <f t="shared" si="160"/>
        <v>0</v>
      </c>
      <c r="I225" s="338">
        <f t="shared" si="168"/>
        <v>0</v>
      </c>
      <c r="J225" s="329">
        <f t="shared" si="161"/>
        <v>0</v>
      </c>
      <c r="K225" s="338">
        <f t="shared" si="169"/>
        <v>0</v>
      </c>
      <c r="L225" s="329">
        <f t="shared" si="162"/>
        <v>0</v>
      </c>
      <c r="M225" s="338">
        <f t="shared" si="170"/>
        <v>0</v>
      </c>
      <c r="N225" s="329">
        <f t="shared" si="163"/>
        <v>0</v>
      </c>
      <c r="O225" s="338">
        <f t="shared" si="171"/>
        <v>0</v>
      </c>
      <c r="P225" s="329">
        <f t="shared" si="164"/>
        <v>0</v>
      </c>
      <c r="Q225" s="338">
        <f t="shared" si="172"/>
        <v>0</v>
      </c>
      <c r="R225" s="329">
        <f t="shared" si="165"/>
        <v>0</v>
      </c>
      <c r="S225" s="338">
        <f t="shared" si="173"/>
        <v>0</v>
      </c>
      <c r="T225" s="329">
        <f t="shared" si="166"/>
        <v>0</v>
      </c>
      <c r="U225" s="338">
        <f t="shared" si="174"/>
        <v>0</v>
      </c>
      <c r="V225" s="329">
        <f t="shared" si="167"/>
        <v>0</v>
      </c>
      <c r="W225" s="338">
        <f t="shared" si="175"/>
        <v>0</v>
      </c>
      <c r="X225" s="35"/>
    </row>
    <row r="226" spans="1:24" x14ac:dyDescent="0.25">
      <c r="A226" s="335">
        <f>A225+1</f>
        <v>43761</v>
      </c>
      <c r="B226" s="329">
        <f t="shared" si="158"/>
        <v>0</v>
      </c>
      <c r="C226" s="338">
        <f t="shared" si="186"/>
        <v>24000000</v>
      </c>
      <c r="D226" s="329">
        <f t="shared" si="179"/>
        <v>0</v>
      </c>
      <c r="E226" s="338">
        <f t="shared" si="187"/>
        <v>30400000</v>
      </c>
      <c r="F226" s="329">
        <f t="shared" si="159"/>
        <v>0</v>
      </c>
      <c r="G226" s="338">
        <f t="shared" si="188"/>
        <v>13950000</v>
      </c>
      <c r="H226" s="329">
        <f t="shared" si="160"/>
        <v>0</v>
      </c>
      <c r="I226" s="338">
        <f t="shared" si="168"/>
        <v>0</v>
      </c>
      <c r="J226" s="329">
        <f t="shared" si="161"/>
        <v>0</v>
      </c>
      <c r="K226" s="338">
        <f t="shared" si="169"/>
        <v>0</v>
      </c>
      <c r="L226" s="329">
        <f t="shared" si="162"/>
        <v>0</v>
      </c>
      <c r="M226" s="338">
        <f t="shared" si="170"/>
        <v>0</v>
      </c>
      <c r="N226" s="329">
        <f t="shared" si="163"/>
        <v>0</v>
      </c>
      <c r="O226" s="338">
        <f t="shared" si="171"/>
        <v>0</v>
      </c>
      <c r="P226" s="329">
        <f t="shared" si="164"/>
        <v>0</v>
      </c>
      <c r="Q226" s="338">
        <f t="shared" si="172"/>
        <v>0</v>
      </c>
      <c r="R226" s="329">
        <f t="shared" si="165"/>
        <v>0</v>
      </c>
      <c r="S226" s="338">
        <f t="shared" si="173"/>
        <v>0</v>
      </c>
      <c r="T226" s="329">
        <f t="shared" si="166"/>
        <v>0</v>
      </c>
      <c r="U226" s="338">
        <f t="shared" si="174"/>
        <v>0</v>
      </c>
      <c r="V226" s="329">
        <f t="shared" si="167"/>
        <v>0</v>
      </c>
      <c r="W226" s="338">
        <f t="shared" si="175"/>
        <v>0</v>
      </c>
      <c r="X226" s="35"/>
    </row>
    <row r="227" spans="1:24" x14ac:dyDescent="0.25">
      <c r="A227" s="335">
        <f>A226+1</f>
        <v>43762</v>
      </c>
      <c r="B227" s="329">
        <f t="shared" si="158"/>
        <v>0</v>
      </c>
      <c r="C227" s="338">
        <f t="shared" si="186"/>
        <v>24000000</v>
      </c>
      <c r="D227" s="329">
        <f t="shared" si="179"/>
        <v>0</v>
      </c>
      <c r="E227" s="338">
        <f t="shared" si="187"/>
        <v>30400000</v>
      </c>
      <c r="F227" s="329">
        <f t="shared" si="159"/>
        <v>0</v>
      </c>
      <c r="G227" s="338">
        <f t="shared" si="188"/>
        <v>13950000</v>
      </c>
      <c r="H227" s="329">
        <f t="shared" si="160"/>
        <v>0</v>
      </c>
      <c r="I227" s="338">
        <f t="shared" si="168"/>
        <v>0</v>
      </c>
      <c r="J227" s="329">
        <f t="shared" si="161"/>
        <v>0</v>
      </c>
      <c r="K227" s="338">
        <f t="shared" si="169"/>
        <v>0</v>
      </c>
      <c r="L227" s="329">
        <f t="shared" si="162"/>
        <v>0</v>
      </c>
      <c r="M227" s="338">
        <f t="shared" si="170"/>
        <v>0</v>
      </c>
      <c r="N227" s="329">
        <f t="shared" si="163"/>
        <v>0</v>
      </c>
      <c r="O227" s="338">
        <f t="shared" si="171"/>
        <v>0</v>
      </c>
      <c r="P227" s="329">
        <f t="shared" si="164"/>
        <v>0</v>
      </c>
      <c r="Q227" s="338">
        <f t="shared" si="172"/>
        <v>0</v>
      </c>
      <c r="R227" s="329">
        <f t="shared" si="165"/>
        <v>0</v>
      </c>
      <c r="S227" s="338">
        <f t="shared" si="173"/>
        <v>0</v>
      </c>
      <c r="T227" s="329">
        <f t="shared" si="166"/>
        <v>0</v>
      </c>
      <c r="U227" s="338">
        <f t="shared" si="174"/>
        <v>0</v>
      </c>
      <c r="V227" s="329">
        <f t="shared" si="167"/>
        <v>0</v>
      </c>
      <c r="W227" s="338">
        <f t="shared" si="175"/>
        <v>0</v>
      </c>
      <c r="X227" s="35"/>
    </row>
    <row r="228" spans="1:24" x14ac:dyDescent="0.25">
      <c r="A228" s="335">
        <f>A227+1</f>
        <v>43763</v>
      </c>
      <c r="B228" s="329">
        <f t="shared" si="158"/>
        <v>0</v>
      </c>
      <c r="C228" s="338">
        <f t="shared" si="186"/>
        <v>24000000</v>
      </c>
      <c r="D228" s="329">
        <f t="shared" si="179"/>
        <v>0</v>
      </c>
      <c r="E228" s="338">
        <f t="shared" si="187"/>
        <v>30400000</v>
      </c>
      <c r="F228" s="329">
        <f t="shared" si="159"/>
        <v>0</v>
      </c>
      <c r="G228" s="338">
        <f t="shared" si="188"/>
        <v>13950000</v>
      </c>
      <c r="H228" s="329">
        <f t="shared" si="160"/>
        <v>0</v>
      </c>
      <c r="I228" s="338">
        <f t="shared" si="168"/>
        <v>0</v>
      </c>
      <c r="J228" s="329">
        <f t="shared" si="161"/>
        <v>0</v>
      </c>
      <c r="K228" s="338">
        <f t="shared" si="169"/>
        <v>0</v>
      </c>
      <c r="L228" s="329">
        <f t="shared" si="162"/>
        <v>0</v>
      </c>
      <c r="M228" s="338">
        <f t="shared" si="170"/>
        <v>0</v>
      </c>
      <c r="N228" s="329">
        <f t="shared" si="163"/>
        <v>0</v>
      </c>
      <c r="O228" s="338">
        <f t="shared" si="171"/>
        <v>0</v>
      </c>
      <c r="P228" s="329">
        <f t="shared" si="164"/>
        <v>0</v>
      </c>
      <c r="Q228" s="338">
        <f t="shared" si="172"/>
        <v>0</v>
      </c>
      <c r="R228" s="329">
        <f t="shared" si="165"/>
        <v>0</v>
      </c>
      <c r="S228" s="338">
        <f t="shared" si="173"/>
        <v>0</v>
      </c>
      <c r="T228" s="329">
        <f t="shared" si="166"/>
        <v>0</v>
      </c>
      <c r="U228" s="338">
        <f t="shared" si="174"/>
        <v>0</v>
      </c>
      <c r="V228" s="329">
        <f t="shared" si="167"/>
        <v>0</v>
      </c>
      <c r="W228" s="338">
        <f t="shared" si="175"/>
        <v>0</v>
      </c>
      <c r="X228" s="35"/>
    </row>
    <row r="229" spans="1:24" x14ac:dyDescent="0.25">
      <c r="A229" s="336">
        <f>A228+3</f>
        <v>43766</v>
      </c>
      <c r="B229" s="329">
        <f t="shared" si="158"/>
        <v>0</v>
      </c>
      <c r="C229" s="338">
        <f t="shared" ref="C229:C238" si="189">B229+C228</f>
        <v>24000000</v>
      </c>
      <c r="D229" s="329">
        <f t="shared" si="179"/>
        <v>0</v>
      </c>
      <c r="E229" s="338">
        <f t="shared" ref="E229:E238" si="190">D229+E228</f>
        <v>30400000</v>
      </c>
      <c r="F229" s="329">
        <f t="shared" si="159"/>
        <v>0</v>
      </c>
      <c r="G229" s="338">
        <f t="shared" ref="G229:G238" si="191">F229+G228</f>
        <v>13950000</v>
      </c>
      <c r="H229" s="329">
        <f t="shared" si="160"/>
        <v>0</v>
      </c>
      <c r="I229" s="338">
        <f t="shared" si="168"/>
        <v>0</v>
      </c>
      <c r="J229" s="329">
        <f t="shared" si="161"/>
        <v>0</v>
      </c>
      <c r="K229" s="338">
        <f t="shared" si="169"/>
        <v>0</v>
      </c>
      <c r="L229" s="329">
        <f t="shared" si="162"/>
        <v>0</v>
      </c>
      <c r="M229" s="338">
        <f t="shared" si="170"/>
        <v>0</v>
      </c>
      <c r="N229" s="329">
        <f t="shared" si="163"/>
        <v>0</v>
      </c>
      <c r="O229" s="338">
        <f t="shared" si="171"/>
        <v>0</v>
      </c>
      <c r="P229" s="329">
        <f t="shared" si="164"/>
        <v>0</v>
      </c>
      <c r="Q229" s="338">
        <f t="shared" si="172"/>
        <v>0</v>
      </c>
      <c r="R229" s="329">
        <f t="shared" si="165"/>
        <v>0</v>
      </c>
      <c r="S229" s="338">
        <f t="shared" si="173"/>
        <v>0</v>
      </c>
      <c r="T229" s="329">
        <f t="shared" si="166"/>
        <v>0</v>
      </c>
      <c r="U229" s="338">
        <f t="shared" si="174"/>
        <v>0</v>
      </c>
      <c r="V229" s="329">
        <f t="shared" si="167"/>
        <v>0</v>
      </c>
      <c r="W229" s="338">
        <f t="shared" si="175"/>
        <v>0</v>
      </c>
      <c r="X229" s="35"/>
    </row>
    <row r="230" spans="1:24" x14ac:dyDescent="0.25">
      <c r="A230" s="335">
        <f>A229+1</f>
        <v>43767</v>
      </c>
      <c r="B230" s="329">
        <f t="shared" si="158"/>
        <v>0</v>
      </c>
      <c r="C230" s="338">
        <f t="shared" si="189"/>
        <v>24000000</v>
      </c>
      <c r="D230" s="329">
        <f t="shared" si="179"/>
        <v>0</v>
      </c>
      <c r="E230" s="338">
        <f t="shared" si="190"/>
        <v>30400000</v>
      </c>
      <c r="F230" s="329">
        <f t="shared" si="159"/>
        <v>0</v>
      </c>
      <c r="G230" s="338">
        <f t="shared" si="191"/>
        <v>13950000</v>
      </c>
      <c r="H230" s="329">
        <f t="shared" si="160"/>
        <v>0</v>
      </c>
      <c r="I230" s="338">
        <f t="shared" si="168"/>
        <v>0</v>
      </c>
      <c r="J230" s="329">
        <f t="shared" si="161"/>
        <v>0</v>
      </c>
      <c r="K230" s="338">
        <f t="shared" si="169"/>
        <v>0</v>
      </c>
      <c r="L230" s="329">
        <f t="shared" si="162"/>
        <v>0</v>
      </c>
      <c r="M230" s="338">
        <f t="shared" si="170"/>
        <v>0</v>
      </c>
      <c r="N230" s="329">
        <f t="shared" si="163"/>
        <v>0</v>
      </c>
      <c r="O230" s="338">
        <f t="shared" si="171"/>
        <v>0</v>
      </c>
      <c r="P230" s="329">
        <f t="shared" si="164"/>
        <v>0</v>
      </c>
      <c r="Q230" s="338">
        <f t="shared" si="172"/>
        <v>0</v>
      </c>
      <c r="R230" s="329">
        <f t="shared" si="165"/>
        <v>0</v>
      </c>
      <c r="S230" s="338">
        <f t="shared" si="173"/>
        <v>0</v>
      </c>
      <c r="T230" s="329">
        <f t="shared" si="166"/>
        <v>0</v>
      </c>
      <c r="U230" s="338">
        <f t="shared" si="174"/>
        <v>0</v>
      </c>
      <c r="V230" s="329">
        <f t="shared" si="167"/>
        <v>0</v>
      </c>
      <c r="W230" s="338">
        <f t="shared" si="175"/>
        <v>0</v>
      </c>
      <c r="X230" s="35"/>
    </row>
    <row r="231" spans="1:24" x14ac:dyDescent="0.25">
      <c r="A231" s="335">
        <f>A230+1</f>
        <v>43768</v>
      </c>
      <c r="B231" s="329">
        <f t="shared" si="158"/>
        <v>0</v>
      </c>
      <c r="C231" s="338">
        <f t="shared" si="189"/>
        <v>24000000</v>
      </c>
      <c r="D231" s="329">
        <f t="shared" si="179"/>
        <v>0</v>
      </c>
      <c r="E231" s="338">
        <f t="shared" si="190"/>
        <v>30400000</v>
      </c>
      <c r="F231" s="329">
        <f t="shared" si="159"/>
        <v>0</v>
      </c>
      <c r="G231" s="338">
        <f t="shared" si="191"/>
        <v>13950000</v>
      </c>
      <c r="H231" s="329">
        <f t="shared" si="160"/>
        <v>0</v>
      </c>
      <c r="I231" s="338">
        <f t="shared" si="168"/>
        <v>0</v>
      </c>
      <c r="J231" s="329">
        <f t="shared" si="161"/>
        <v>0</v>
      </c>
      <c r="K231" s="338">
        <f t="shared" si="169"/>
        <v>0</v>
      </c>
      <c r="L231" s="329">
        <f t="shared" si="162"/>
        <v>0</v>
      </c>
      <c r="M231" s="338">
        <f t="shared" si="170"/>
        <v>0</v>
      </c>
      <c r="N231" s="329">
        <f t="shared" si="163"/>
        <v>0</v>
      </c>
      <c r="O231" s="338">
        <f t="shared" si="171"/>
        <v>0</v>
      </c>
      <c r="P231" s="329">
        <f t="shared" si="164"/>
        <v>0</v>
      </c>
      <c r="Q231" s="338">
        <f t="shared" si="172"/>
        <v>0</v>
      </c>
      <c r="R231" s="329">
        <f t="shared" si="165"/>
        <v>0</v>
      </c>
      <c r="S231" s="338">
        <f t="shared" si="173"/>
        <v>0</v>
      </c>
      <c r="T231" s="329">
        <f t="shared" si="166"/>
        <v>0</v>
      </c>
      <c r="U231" s="338">
        <f t="shared" si="174"/>
        <v>0</v>
      </c>
      <c r="V231" s="329">
        <f t="shared" si="167"/>
        <v>0</v>
      </c>
      <c r="W231" s="338">
        <f t="shared" si="175"/>
        <v>0</v>
      </c>
      <c r="X231" s="35"/>
    </row>
    <row r="232" spans="1:24" x14ac:dyDescent="0.25">
      <c r="A232" s="335">
        <f>A231+1</f>
        <v>43769</v>
      </c>
      <c r="B232" s="329">
        <f t="shared" si="158"/>
        <v>0</v>
      </c>
      <c r="C232" s="338">
        <f t="shared" si="189"/>
        <v>24000000</v>
      </c>
      <c r="D232" s="329">
        <f t="shared" si="179"/>
        <v>0</v>
      </c>
      <c r="E232" s="338">
        <f t="shared" si="190"/>
        <v>30400000</v>
      </c>
      <c r="F232" s="329">
        <f t="shared" si="159"/>
        <v>0</v>
      </c>
      <c r="G232" s="338">
        <f t="shared" si="191"/>
        <v>13950000</v>
      </c>
      <c r="H232" s="329">
        <f t="shared" si="160"/>
        <v>0</v>
      </c>
      <c r="I232" s="338">
        <f t="shared" si="168"/>
        <v>0</v>
      </c>
      <c r="J232" s="329">
        <f t="shared" si="161"/>
        <v>0</v>
      </c>
      <c r="K232" s="338">
        <f t="shared" si="169"/>
        <v>0</v>
      </c>
      <c r="L232" s="329">
        <f t="shared" si="162"/>
        <v>0</v>
      </c>
      <c r="M232" s="338">
        <f t="shared" si="170"/>
        <v>0</v>
      </c>
      <c r="N232" s="329">
        <f t="shared" si="163"/>
        <v>0</v>
      </c>
      <c r="O232" s="338">
        <f t="shared" si="171"/>
        <v>0</v>
      </c>
      <c r="P232" s="329">
        <f t="shared" si="164"/>
        <v>0</v>
      </c>
      <c r="Q232" s="338">
        <f t="shared" si="172"/>
        <v>0</v>
      </c>
      <c r="R232" s="329">
        <f t="shared" si="165"/>
        <v>0</v>
      </c>
      <c r="S232" s="338">
        <f t="shared" si="173"/>
        <v>0</v>
      </c>
      <c r="T232" s="329">
        <f t="shared" si="166"/>
        <v>0</v>
      </c>
      <c r="U232" s="338">
        <f t="shared" si="174"/>
        <v>0</v>
      </c>
      <c r="V232" s="329">
        <f t="shared" si="167"/>
        <v>0</v>
      </c>
      <c r="W232" s="338">
        <f t="shared" si="175"/>
        <v>0</v>
      </c>
      <c r="X232" s="35"/>
    </row>
    <row r="233" spans="1:24" x14ac:dyDescent="0.25">
      <c r="A233" s="335">
        <f>A232+1</f>
        <v>43770</v>
      </c>
      <c r="B233" s="329">
        <f t="shared" si="158"/>
        <v>0</v>
      </c>
      <c r="C233" s="338">
        <f t="shared" si="189"/>
        <v>24000000</v>
      </c>
      <c r="D233" s="329">
        <f t="shared" si="179"/>
        <v>0</v>
      </c>
      <c r="E233" s="338">
        <f t="shared" si="190"/>
        <v>30400000</v>
      </c>
      <c r="F233" s="329">
        <f t="shared" si="159"/>
        <v>0</v>
      </c>
      <c r="G233" s="338">
        <f t="shared" si="191"/>
        <v>13950000</v>
      </c>
      <c r="H233" s="329">
        <f t="shared" si="160"/>
        <v>0</v>
      </c>
      <c r="I233" s="338">
        <f t="shared" si="168"/>
        <v>0</v>
      </c>
      <c r="J233" s="329">
        <f t="shared" si="161"/>
        <v>0</v>
      </c>
      <c r="K233" s="338">
        <f t="shared" si="169"/>
        <v>0</v>
      </c>
      <c r="L233" s="329">
        <f t="shared" si="162"/>
        <v>0</v>
      </c>
      <c r="M233" s="338">
        <f t="shared" si="170"/>
        <v>0</v>
      </c>
      <c r="N233" s="329">
        <f t="shared" si="163"/>
        <v>0</v>
      </c>
      <c r="O233" s="338">
        <f t="shared" si="171"/>
        <v>0</v>
      </c>
      <c r="P233" s="329">
        <f t="shared" si="164"/>
        <v>0</v>
      </c>
      <c r="Q233" s="338">
        <f t="shared" si="172"/>
        <v>0</v>
      </c>
      <c r="R233" s="329">
        <f t="shared" si="165"/>
        <v>0</v>
      </c>
      <c r="S233" s="338">
        <f t="shared" si="173"/>
        <v>0</v>
      </c>
      <c r="T233" s="329">
        <f t="shared" si="166"/>
        <v>0</v>
      </c>
      <c r="U233" s="338">
        <f t="shared" si="174"/>
        <v>0</v>
      </c>
      <c r="V233" s="329">
        <f t="shared" si="167"/>
        <v>0</v>
      </c>
      <c r="W233" s="338">
        <f t="shared" si="175"/>
        <v>0</v>
      </c>
      <c r="X233" s="35"/>
    </row>
    <row r="234" spans="1:24" x14ac:dyDescent="0.25">
      <c r="A234" s="336">
        <f>A233+3</f>
        <v>43773</v>
      </c>
      <c r="B234" s="329">
        <f t="shared" si="158"/>
        <v>0</v>
      </c>
      <c r="C234" s="338">
        <f t="shared" si="189"/>
        <v>24000000</v>
      </c>
      <c r="D234" s="329">
        <f t="shared" si="179"/>
        <v>0</v>
      </c>
      <c r="E234" s="338">
        <f t="shared" si="190"/>
        <v>30400000</v>
      </c>
      <c r="F234" s="329">
        <f t="shared" si="159"/>
        <v>0</v>
      </c>
      <c r="G234" s="338">
        <f t="shared" si="191"/>
        <v>13950000</v>
      </c>
      <c r="H234" s="329">
        <f t="shared" si="160"/>
        <v>0</v>
      </c>
      <c r="I234" s="338">
        <f t="shared" si="168"/>
        <v>0</v>
      </c>
      <c r="J234" s="329">
        <f t="shared" si="161"/>
        <v>0</v>
      </c>
      <c r="K234" s="338">
        <f t="shared" si="169"/>
        <v>0</v>
      </c>
      <c r="L234" s="329">
        <f t="shared" si="162"/>
        <v>0</v>
      </c>
      <c r="M234" s="338">
        <f t="shared" si="170"/>
        <v>0</v>
      </c>
      <c r="N234" s="329">
        <f t="shared" si="163"/>
        <v>0</v>
      </c>
      <c r="O234" s="338">
        <f t="shared" si="171"/>
        <v>0</v>
      </c>
      <c r="P234" s="329">
        <f t="shared" si="164"/>
        <v>0</v>
      </c>
      <c r="Q234" s="338">
        <f t="shared" si="172"/>
        <v>0</v>
      </c>
      <c r="R234" s="329">
        <f t="shared" si="165"/>
        <v>0</v>
      </c>
      <c r="S234" s="338">
        <f t="shared" si="173"/>
        <v>0</v>
      </c>
      <c r="T234" s="329">
        <f t="shared" si="166"/>
        <v>0</v>
      </c>
      <c r="U234" s="338">
        <f t="shared" si="174"/>
        <v>0</v>
      </c>
      <c r="V234" s="329">
        <f t="shared" si="167"/>
        <v>0</v>
      </c>
      <c r="W234" s="338">
        <f t="shared" si="175"/>
        <v>0</v>
      </c>
      <c r="X234" s="35"/>
    </row>
    <row r="235" spans="1:24" x14ac:dyDescent="0.25">
      <c r="A235" s="335">
        <f>A234+1</f>
        <v>43774</v>
      </c>
      <c r="B235" s="329">
        <f t="shared" ref="B235:B242" si="192">SUMIFS(Usage_Main,CF_Dates,$A235,CF_Descriptions,"XS1951177309 Change")</f>
        <v>0</v>
      </c>
      <c r="C235" s="338">
        <f t="shared" si="189"/>
        <v>24000000</v>
      </c>
      <c r="D235" s="329">
        <f t="shared" si="179"/>
        <v>0</v>
      </c>
      <c r="E235" s="338">
        <f t="shared" si="190"/>
        <v>30400000</v>
      </c>
      <c r="F235" s="329">
        <f t="shared" ref="F235:F242" si="193">SUMIFS(Usage_Main,CF_Dates,$A235,CF_Descriptions,"EASTCYPRESS1 Change")</f>
        <v>0</v>
      </c>
      <c r="G235" s="338">
        <f t="shared" si="191"/>
        <v>13950000</v>
      </c>
      <c r="H235" s="329">
        <f t="shared" ref="H235:H298" si="194">SUMIFS(Usage_Main,CF_Dates,$A235,CF_Descriptions,"XS2091648928 Change")</f>
        <v>0</v>
      </c>
      <c r="I235" s="338">
        <f t="shared" si="168"/>
        <v>0</v>
      </c>
      <c r="J235" s="329">
        <f t="shared" ref="J235:J298" si="195">SUMIFS(Usage_Main,CF_Dates,$A235,CF_Descriptions,"Southern Apple Change")</f>
        <v>0</v>
      </c>
      <c r="K235" s="338">
        <f t="shared" si="169"/>
        <v>0</v>
      </c>
      <c r="L235" s="329">
        <f t="shared" ref="L235:L298" si="196">SUMIFS(Usage_Main,CF_Dates,$A235,CF_Descriptions,"ALMONDUSD Change")</f>
        <v>0</v>
      </c>
      <c r="M235" s="338">
        <f t="shared" si="170"/>
        <v>0</v>
      </c>
      <c r="N235" s="329">
        <f t="shared" ref="N235:N298" si="197">SUMIFS(Usage_Main,CF_Dates,$A235,CF_Descriptions,"ALMONDEUR Change")</f>
        <v>0</v>
      </c>
      <c r="O235" s="338">
        <f t="shared" si="171"/>
        <v>0</v>
      </c>
      <c r="P235" s="329">
        <f t="shared" ref="P235:P298" si="198">SUMIFS(Usage_Main,CF_Dates,$A235,CF_Descriptions,"HEXZETA Change")</f>
        <v>0</v>
      </c>
      <c r="Q235" s="338">
        <f t="shared" si="172"/>
        <v>0</v>
      </c>
      <c r="R235" s="329">
        <f t="shared" ref="R235:R298" si="199">SUMIFS(Usage_Main,CF_Dates,$A235,CF_Descriptions,"MNTNCHERRY Change")</f>
        <v>0</v>
      </c>
      <c r="S235" s="338">
        <f t="shared" si="173"/>
        <v>0</v>
      </c>
      <c r="T235" s="329">
        <f t="shared" ref="T235:T298" si="200">SUMIFS(Usage_Main,CF_Dates,$A235,CF_Descriptions,"OLIVEUSD Change")</f>
        <v>0</v>
      </c>
      <c r="U235" s="338">
        <f t="shared" si="174"/>
        <v>0</v>
      </c>
      <c r="V235" s="329">
        <f t="shared" ref="V235:V298" si="201">SUMIFS(Usage_Main,CF_Dates,$A235,CF_Descriptions,"OLIVEEUR Change")</f>
        <v>0</v>
      </c>
      <c r="W235" s="338">
        <f t="shared" si="175"/>
        <v>0</v>
      </c>
      <c r="X235" s="35"/>
    </row>
    <row r="236" spans="1:24" x14ac:dyDescent="0.25">
      <c r="A236" s="335">
        <f>A235+1</f>
        <v>43775</v>
      </c>
      <c r="B236" s="329">
        <f t="shared" si="192"/>
        <v>0</v>
      </c>
      <c r="C236" s="338">
        <f t="shared" si="189"/>
        <v>24000000</v>
      </c>
      <c r="D236" s="329">
        <f t="shared" si="179"/>
        <v>0</v>
      </c>
      <c r="E236" s="338">
        <f t="shared" si="190"/>
        <v>30400000</v>
      </c>
      <c r="F236" s="329">
        <f t="shared" si="193"/>
        <v>0</v>
      </c>
      <c r="G236" s="338">
        <f t="shared" si="191"/>
        <v>13950000</v>
      </c>
      <c r="H236" s="329">
        <f t="shared" si="194"/>
        <v>0</v>
      </c>
      <c r="I236" s="338">
        <f t="shared" ref="I236:I257" si="202">H236+I235</f>
        <v>0</v>
      </c>
      <c r="J236" s="329">
        <f t="shared" si="195"/>
        <v>0</v>
      </c>
      <c r="K236" s="338">
        <f t="shared" ref="K236:K299" si="203">J236+K235</f>
        <v>0</v>
      </c>
      <c r="L236" s="329">
        <f t="shared" si="196"/>
        <v>0</v>
      </c>
      <c r="M236" s="338">
        <f t="shared" ref="M236:M299" si="204">L236+M235</f>
        <v>0</v>
      </c>
      <c r="N236" s="329">
        <f t="shared" si="197"/>
        <v>0</v>
      </c>
      <c r="O236" s="338">
        <f t="shared" ref="O236:O299" si="205">N236+O235</f>
        <v>0</v>
      </c>
      <c r="P236" s="329">
        <f t="shared" si="198"/>
        <v>0</v>
      </c>
      <c r="Q236" s="338">
        <f t="shared" ref="Q236:Q299" si="206">P236+Q235</f>
        <v>0</v>
      </c>
      <c r="R236" s="329">
        <f t="shared" si="199"/>
        <v>0</v>
      </c>
      <c r="S236" s="338">
        <f t="shared" ref="S236:S299" si="207">R236+S235</f>
        <v>0</v>
      </c>
      <c r="T236" s="329">
        <f t="shared" si="200"/>
        <v>0</v>
      </c>
      <c r="U236" s="338">
        <f t="shared" ref="U236:U299" si="208">T236+U235</f>
        <v>0</v>
      </c>
      <c r="V236" s="329">
        <f t="shared" si="201"/>
        <v>0</v>
      </c>
      <c r="W236" s="338">
        <f t="shared" ref="W236:W299" si="209">V236+W235</f>
        <v>0</v>
      </c>
      <c r="X236" s="35"/>
    </row>
    <row r="237" spans="1:24" x14ac:dyDescent="0.25">
      <c r="A237" s="335">
        <f>A236+1</f>
        <v>43776</v>
      </c>
      <c r="B237" s="329">
        <f t="shared" si="192"/>
        <v>0</v>
      </c>
      <c r="C237" s="338">
        <f t="shared" si="189"/>
        <v>24000000</v>
      </c>
      <c r="D237" s="329">
        <f t="shared" si="179"/>
        <v>0</v>
      </c>
      <c r="E237" s="338">
        <f t="shared" si="190"/>
        <v>30400000</v>
      </c>
      <c r="F237" s="329">
        <f t="shared" si="193"/>
        <v>0</v>
      </c>
      <c r="G237" s="338">
        <f t="shared" si="191"/>
        <v>13950000</v>
      </c>
      <c r="H237" s="329">
        <f t="shared" si="194"/>
        <v>0</v>
      </c>
      <c r="I237" s="338">
        <f t="shared" si="202"/>
        <v>0</v>
      </c>
      <c r="J237" s="329">
        <f t="shared" si="195"/>
        <v>0</v>
      </c>
      <c r="K237" s="338">
        <f t="shared" si="203"/>
        <v>0</v>
      </c>
      <c r="L237" s="329">
        <f t="shared" si="196"/>
        <v>0</v>
      </c>
      <c r="M237" s="338">
        <f t="shared" si="204"/>
        <v>0</v>
      </c>
      <c r="N237" s="329">
        <f t="shared" si="197"/>
        <v>0</v>
      </c>
      <c r="O237" s="338">
        <f t="shared" si="205"/>
        <v>0</v>
      </c>
      <c r="P237" s="329">
        <f t="shared" si="198"/>
        <v>0</v>
      </c>
      <c r="Q237" s="338">
        <f t="shared" si="206"/>
        <v>0</v>
      </c>
      <c r="R237" s="329">
        <f t="shared" si="199"/>
        <v>0</v>
      </c>
      <c r="S237" s="338">
        <f t="shared" si="207"/>
        <v>0</v>
      </c>
      <c r="T237" s="329">
        <f t="shared" si="200"/>
        <v>0</v>
      </c>
      <c r="U237" s="338">
        <f t="shared" si="208"/>
        <v>0</v>
      </c>
      <c r="V237" s="329">
        <f t="shared" si="201"/>
        <v>0</v>
      </c>
      <c r="W237" s="338">
        <f t="shared" si="209"/>
        <v>0</v>
      </c>
      <c r="X237" s="35"/>
    </row>
    <row r="238" spans="1:24" x14ac:dyDescent="0.25">
      <c r="A238" s="335">
        <f>A237+1</f>
        <v>43777</v>
      </c>
      <c r="B238" s="329">
        <f t="shared" si="192"/>
        <v>0</v>
      </c>
      <c r="C238" s="338">
        <f t="shared" si="189"/>
        <v>24000000</v>
      </c>
      <c r="D238" s="329">
        <f t="shared" si="179"/>
        <v>0</v>
      </c>
      <c r="E238" s="338">
        <f t="shared" si="190"/>
        <v>30400000</v>
      </c>
      <c r="F238" s="329">
        <f t="shared" si="193"/>
        <v>0</v>
      </c>
      <c r="G238" s="338">
        <f t="shared" si="191"/>
        <v>13950000</v>
      </c>
      <c r="H238" s="329">
        <f t="shared" si="194"/>
        <v>0</v>
      </c>
      <c r="I238" s="338">
        <f t="shared" si="202"/>
        <v>0</v>
      </c>
      <c r="J238" s="329">
        <f t="shared" si="195"/>
        <v>0</v>
      </c>
      <c r="K238" s="338">
        <f t="shared" si="203"/>
        <v>0</v>
      </c>
      <c r="L238" s="329">
        <f t="shared" si="196"/>
        <v>0</v>
      </c>
      <c r="M238" s="338">
        <f t="shared" si="204"/>
        <v>0</v>
      </c>
      <c r="N238" s="329">
        <f t="shared" si="197"/>
        <v>0</v>
      </c>
      <c r="O238" s="338">
        <f t="shared" si="205"/>
        <v>0</v>
      </c>
      <c r="P238" s="329">
        <f t="shared" si="198"/>
        <v>0</v>
      </c>
      <c r="Q238" s="338">
        <f t="shared" si="206"/>
        <v>0</v>
      </c>
      <c r="R238" s="329">
        <f t="shared" si="199"/>
        <v>0</v>
      </c>
      <c r="S238" s="338">
        <f t="shared" si="207"/>
        <v>0</v>
      </c>
      <c r="T238" s="329">
        <f t="shared" si="200"/>
        <v>0</v>
      </c>
      <c r="U238" s="338">
        <f t="shared" si="208"/>
        <v>0</v>
      </c>
      <c r="V238" s="329">
        <f t="shared" si="201"/>
        <v>0</v>
      </c>
      <c r="W238" s="338">
        <f t="shared" si="209"/>
        <v>0</v>
      </c>
      <c r="X238" s="35"/>
    </row>
    <row r="239" spans="1:24" x14ac:dyDescent="0.25">
      <c r="A239" s="336">
        <f>A238+3</f>
        <v>43780</v>
      </c>
      <c r="B239" s="329">
        <f t="shared" si="192"/>
        <v>0</v>
      </c>
      <c r="C239" s="338">
        <f t="shared" ref="C239:C242" si="210">B239+C238</f>
        <v>24000000</v>
      </c>
      <c r="D239" s="329">
        <f t="shared" si="179"/>
        <v>0</v>
      </c>
      <c r="E239" s="338">
        <f t="shared" ref="E239:E242" si="211">D239+E238</f>
        <v>30400000</v>
      </c>
      <c r="F239" s="329">
        <f t="shared" si="193"/>
        <v>0</v>
      </c>
      <c r="G239" s="338">
        <f t="shared" ref="G239:G242" si="212">F239+G238</f>
        <v>13950000</v>
      </c>
      <c r="H239" s="329">
        <f t="shared" si="194"/>
        <v>0</v>
      </c>
      <c r="I239" s="338">
        <f t="shared" si="202"/>
        <v>0</v>
      </c>
      <c r="J239" s="329">
        <f t="shared" si="195"/>
        <v>0</v>
      </c>
      <c r="K239" s="338">
        <f t="shared" si="203"/>
        <v>0</v>
      </c>
      <c r="L239" s="329">
        <f t="shared" si="196"/>
        <v>0</v>
      </c>
      <c r="M239" s="338">
        <f t="shared" si="204"/>
        <v>0</v>
      </c>
      <c r="N239" s="329">
        <f t="shared" si="197"/>
        <v>0</v>
      </c>
      <c r="O239" s="338">
        <f t="shared" si="205"/>
        <v>0</v>
      </c>
      <c r="P239" s="329">
        <f t="shared" si="198"/>
        <v>0</v>
      </c>
      <c r="Q239" s="338">
        <f t="shared" si="206"/>
        <v>0</v>
      </c>
      <c r="R239" s="329">
        <f t="shared" si="199"/>
        <v>0</v>
      </c>
      <c r="S239" s="338">
        <f t="shared" si="207"/>
        <v>0</v>
      </c>
      <c r="T239" s="329">
        <f t="shared" si="200"/>
        <v>0</v>
      </c>
      <c r="U239" s="338">
        <f t="shared" si="208"/>
        <v>0</v>
      </c>
      <c r="V239" s="329">
        <f t="shared" si="201"/>
        <v>0</v>
      </c>
      <c r="W239" s="338">
        <f t="shared" si="209"/>
        <v>0</v>
      </c>
      <c r="X239" s="35"/>
    </row>
    <row r="240" spans="1:24" x14ac:dyDescent="0.25">
      <c r="A240" s="335">
        <f>A239+1</f>
        <v>43781</v>
      </c>
      <c r="B240" s="329">
        <f t="shared" si="192"/>
        <v>0</v>
      </c>
      <c r="C240" s="338">
        <f t="shared" si="210"/>
        <v>24000000</v>
      </c>
      <c r="D240" s="329">
        <f t="shared" si="179"/>
        <v>0</v>
      </c>
      <c r="E240" s="338">
        <f t="shared" si="211"/>
        <v>30400000</v>
      </c>
      <c r="F240" s="329">
        <f t="shared" si="193"/>
        <v>0</v>
      </c>
      <c r="G240" s="338">
        <f t="shared" si="212"/>
        <v>13950000</v>
      </c>
      <c r="H240" s="329">
        <f t="shared" si="194"/>
        <v>0</v>
      </c>
      <c r="I240" s="338">
        <f t="shared" si="202"/>
        <v>0</v>
      </c>
      <c r="J240" s="329">
        <f t="shared" si="195"/>
        <v>0</v>
      </c>
      <c r="K240" s="338">
        <f t="shared" si="203"/>
        <v>0</v>
      </c>
      <c r="L240" s="329">
        <f t="shared" si="196"/>
        <v>0</v>
      </c>
      <c r="M240" s="338">
        <f t="shared" si="204"/>
        <v>0</v>
      </c>
      <c r="N240" s="329">
        <f t="shared" si="197"/>
        <v>0</v>
      </c>
      <c r="O240" s="338">
        <f t="shared" si="205"/>
        <v>0</v>
      </c>
      <c r="P240" s="329">
        <f t="shared" si="198"/>
        <v>0</v>
      </c>
      <c r="Q240" s="338">
        <f t="shared" si="206"/>
        <v>0</v>
      </c>
      <c r="R240" s="329">
        <f t="shared" si="199"/>
        <v>0</v>
      </c>
      <c r="S240" s="338">
        <f t="shared" si="207"/>
        <v>0</v>
      </c>
      <c r="T240" s="329">
        <f t="shared" si="200"/>
        <v>0</v>
      </c>
      <c r="U240" s="338">
        <f t="shared" si="208"/>
        <v>0</v>
      </c>
      <c r="V240" s="329">
        <f t="shared" si="201"/>
        <v>0</v>
      </c>
      <c r="W240" s="338">
        <f t="shared" si="209"/>
        <v>0</v>
      </c>
      <c r="X240" s="35"/>
    </row>
    <row r="241" spans="1:24" x14ac:dyDescent="0.25">
      <c r="A241" s="335">
        <f>A240+1</f>
        <v>43782</v>
      </c>
      <c r="B241" s="329">
        <f t="shared" si="192"/>
        <v>0</v>
      </c>
      <c r="C241" s="338">
        <f t="shared" si="210"/>
        <v>24000000</v>
      </c>
      <c r="D241" s="329">
        <f t="shared" si="179"/>
        <v>0</v>
      </c>
      <c r="E241" s="338">
        <f t="shared" si="211"/>
        <v>30400000</v>
      </c>
      <c r="F241" s="329">
        <f t="shared" si="193"/>
        <v>0</v>
      </c>
      <c r="G241" s="338">
        <f t="shared" si="212"/>
        <v>13950000</v>
      </c>
      <c r="H241" s="329">
        <f t="shared" si="194"/>
        <v>0</v>
      </c>
      <c r="I241" s="338">
        <f t="shared" si="202"/>
        <v>0</v>
      </c>
      <c r="J241" s="329">
        <f t="shared" si="195"/>
        <v>0</v>
      </c>
      <c r="K241" s="338">
        <f t="shared" si="203"/>
        <v>0</v>
      </c>
      <c r="L241" s="329">
        <f t="shared" si="196"/>
        <v>0</v>
      </c>
      <c r="M241" s="338">
        <f t="shared" si="204"/>
        <v>0</v>
      </c>
      <c r="N241" s="329">
        <f t="shared" si="197"/>
        <v>0</v>
      </c>
      <c r="O241" s="338">
        <f t="shared" si="205"/>
        <v>0</v>
      </c>
      <c r="P241" s="329">
        <f t="shared" si="198"/>
        <v>0</v>
      </c>
      <c r="Q241" s="338">
        <f t="shared" si="206"/>
        <v>0</v>
      </c>
      <c r="R241" s="329">
        <f t="shared" si="199"/>
        <v>0</v>
      </c>
      <c r="S241" s="338">
        <f t="shared" si="207"/>
        <v>0</v>
      </c>
      <c r="T241" s="329">
        <f t="shared" si="200"/>
        <v>0</v>
      </c>
      <c r="U241" s="338">
        <f t="shared" si="208"/>
        <v>0</v>
      </c>
      <c r="V241" s="329">
        <f t="shared" si="201"/>
        <v>0</v>
      </c>
      <c r="W241" s="338">
        <f t="shared" si="209"/>
        <v>0</v>
      </c>
      <c r="X241" s="35"/>
    </row>
    <row r="242" spans="1:24" x14ac:dyDescent="0.25">
      <c r="A242" s="335">
        <f>A241+1</f>
        <v>43783</v>
      </c>
      <c r="B242" s="329">
        <f t="shared" si="192"/>
        <v>0</v>
      </c>
      <c r="C242" s="338">
        <f t="shared" si="210"/>
        <v>24000000</v>
      </c>
      <c r="D242" s="329">
        <f t="shared" si="179"/>
        <v>0</v>
      </c>
      <c r="E242" s="338">
        <f t="shared" si="211"/>
        <v>30400000</v>
      </c>
      <c r="F242" s="329">
        <f t="shared" si="193"/>
        <v>0</v>
      </c>
      <c r="G242" s="338">
        <f t="shared" si="212"/>
        <v>13950000</v>
      </c>
      <c r="H242" s="329">
        <f t="shared" si="194"/>
        <v>0</v>
      </c>
      <c r="I242" s="338">
        <f t="shared" si="202"/>
        <v>0</v>
      </c>
      <c r="J242" s="329">
        <f t="shared" si="195"/>
        <v>0</v>
      </c>
      <c r="K242" s="338">
        <f t="shared" si="203"/>
        <v>0</v>
      </c>
      <c r="L242" s="329">
        <f t="shared" si="196"/>
        <v>0</v>
      </c>
      <c r="M242" s="338">
        <f t="shared" si="204"/>
        <v>0</v>
      </c>
      <c r="N242" s="329">
        <f t="shared" si="197"/>
        <v>0</v>
      </c>
      <c r="O242" s="338">
        <f t="shared" si="205"/>
        <v>0</v>
      </c>
      <c r="P242" s="329">
        <f t="shared" si="198"/>
        <v>0</v>
      </c>
      <c r="Q242" s="338">
        <f t="shared" si="206"/>
        <v>0</v>
      </c>
      <c r="R242" s="329">
        <f t="shared" si="199"/>
        <v>0</v>
      </c>
      <c r="S242" s="338">
        <f t="shared" si="207"/>
        <v>0</v>
      </c>
      <c r="T242" s="329">
        <f t="shared" si="200"/>
        <v>0</v>
      </c>
      <c r="U242" s="338">
        <f t="shared" si="208"/>
        <v>0</v>
      </c>
      <c r="V242" s="329">
        <f t="shared" si="201"/>
        <v>0</v>
      </c>
      <c r="W242" s="338">
        <f t="shared" si="209"/>
        <v>0</v>
      </c>
      <c r="X242" s="35"/>
    </row>
    <row r="243" spans="1:24" x14ac:dyDescent="0.25">
      <c r="A243" s="335">
        <f>A242+1</f>
        <v>43784</v>
      </c>
      <c r="B243" s="329">
        <f t="shared" ref="B243:B306" si="213">SUMIFS(Usage_Main,CF_Dates,$A243,CF_Descriptions,"XS1951177309 Change")</f>
        <v>0</v>
      </c>
      <c r="C243" s="338">
        <f t="shared" ref="C243:C248" si="214">B243+C242</f>
        <v>24000000</v>
      </c>
      <c r="D243" s="329">
        <f t="shared" ref="D243:D306" si="215">SUMIFS(Usage_Main,CF_Dates,$A243,CF_Descriptions,"SOSPRUCE1 Change")</f>
        <v>0</v>
      </c>
      <c r="E243" s="338">
        <f t="shared" ref="E243:E248" si="216">D243+E242</f>
        <v>30400000</v>
      </c>
      <c r="F243" s="329">
        <f t="shared" ref="F243:F258" si="217">SUMIFS(Usage_Main,CF_Dates,$A243,CF_Descriptions,"EASTCYPRESS1 Change")</f>
        <v>0</v>
      </c>
      <c r="G243" s="338">
        <f t="shared" ref="G243:G248" si="218">F243+G242</f>
        <v>13950000</v>
      </c>
      <c r="H243" s="329">
        <f t="shared" si="194"/>
        <v>0</v>
      </c>
      <c r="I243" s="338">
        <f t="shared" si="202"/>
        <v>0</v>
      </c>
      <c r="J243" s="329">
        <f t="shared" si="195"/>
        <v>0</v>
      </c>
      <c r="K243" s="338">
        <f t="shared" si="203"/>
        <v>0</v>
      </c>
      <c r="L243" s="329">
        <f t="shared" si="196"/>
        <v>0</v>
      </c>
      <c r="M243" s="338">
        <f t="shared" si="204"/>
        <v>0</v>
      </c>
      <c r="N243" s="329">
        <f t="shared" si="197"/>
        <v>0</v>
      </c>
      <c r="O243" s="338">
        <f t="shared" si="205"/>
        <v>0</v>
      </c>
      <c r="P243" s="329">
        <f t="shared" si="198"/>
        <v>0</v>
      </c>
      <c r="Q243" s="338">
        <f t="shared" si="206"/>
        <v>0</v>
      </c>
      <c r="R243" s="329">
        <f t="shared" si="199"/>
        <v>0</v>
      </c>
      <c r="S243" s="338">
        <f t="shared" si="207"/>
        <v>0</v>
      </c>
      <c r="T243" s="329">
        <f t="shared" si="200"/>
        <v>0</v>
      </c>
      <c r="U243" s="338">
        <f t="shared" si="208"/>
        <v>0</v>
      </c>
      <c r="V243" s="329">
        <f t="shared" si="201"/>
        <v>0</v>
      </c>
      <c r="W243" s="338">
        <f t="shared" si="209"/>
        <v>0</v>
      </c>
      <c r="X243" s="35"/>
    </row>
    <row r="244" spans="1:24" x14ac:dyDescent="0.25">
      <c r="A244" s="336">
        <f>A243+3</f>
        <v>43787</v>
      </c>
      <c r="B244" s="329">
        <f t="shared" si="213"/>
        <v>0</v>
      </c>
      <c r="C244" s="338">
        <f t="shared" si="214"/>
        <v>24000000</v>
      </c>
      <c r="D244" s="329">
        <f t="shared" si="215"/>
        <v>0</v>
      </c>
      <c r="E244" s="338">
        <f t="shared" si="216"/>
        <v>30400000</v>
      </c>
      <c r="F244" s="329">
        <f t="shared" si="217"/>
        <v>0</v>
      </c>
      <c r="G244" s="338">
        <f t="shared" si="218"/>
        <v>13950000</v>
      </c>
      <c r="H244" s="329">
        <f t="shared" si="194"/>
        <v>0</v>
      </c>
      <c r="I244" s="338">
        <f t="shared" si="202"/>
        <v>0</v>
      </c>
      <c r="J244" s="329">
        <f t="shared" si="195"/>
        <v>0</v>
      </c>
      <c r="K244" s="338">
        <f t="shared" si="203"/>
        <v>0</v>
      </c>
      <c r="L244" s="329">
        <f t="shared" si="196"/>
        <v>0</v>
      </c>
      <c r="M244" s="338">
        <f t="shared" si="204"/>
        <v>0</v>
      </c>
      <c r="N244" s="329">
        <f t="shared" si="197"/>
        <v>0</v>
      </c>
      <c r="O244" s="338">
        <f t="shared" si="205"/>
        <v>0</v>
      </c>
      <c r="P244" s="329">
        <f t="shared" si="198"/>
        <v>0</v>
      </c>
      <c r="Q244" s="338">
        <f t="shared" si="206"/>
        <v>0</v>
      </c>
      <c r="R244" s="329">
        <f t="shared" si="199"/>
        <v>0</v>
      </c>
      <c r="S244" s="338">
        <f t="shared" si="207"/>
        <v>0</v>
      </c>
      <c r="T244" s="329">
        <f t="shared" si="200"/>
        <v>0</v>
      </c>
      <c r="U244" s="338">
        <f t="shared" si="208"/>
        <v>0</v>
      </c>
      <c r="V244" s="329">
        <f t="shared" si="201"/>
        <v>0</v>
      </c>
      <c r="W244" s="338">
        <f t="shared" si="209"/>
        <v>0</v>
      </c>
      <c r="X244" s="35"/>
    </row>
    <row r="245" spans="1:24" x14ac:dyDescent="0.25">
      <c r="A245" s="335">
        <f>A244+1</f>
        <v>43788</v>
      </c>
      <c r="B245" s="329">
        <f t="shared" si="213"/>
        <v>0</v>
      </c>
      <c r="C245" s="338">
        <f t="shared" si="214"/>
        <v>24000000</v>
      </c>
      <c r="D245" s="329">
        <f t="shared" si="215"/>
        <v>-269041.33999999997</v>
      </c>
      <c r="E245" s="338">
        <f t="shared" si="216"/>
        <v>30130958.66</v>
      </c>
      <c r="F245" s="329">
        <f t="shared" si="217"/>
        <v>0</v>
      </c>
      <c r="G245" s="338">
        <f t="shared" si="218"/>
        <v>13950000</v>
      </c>
      <c r="H245" s="329">
        <f t="shared" si="194"/>
        <v>0</v>
      </c>
      <c r="I245" s="338">
        <f t="shared" si="202"/>
        <v>0</v>
      </c>
      <c r="J245" s="329">
        <f t="shared" si="195"/>
        <v>0</v>
      </c>
      <c r="K245" s="338">
        <f t="shared" si="203"/>
        <v>0</v>
      </c>
      <c r="L245" s="329">
        <f t="shared" si="196"/>
        <v>0</v>
      </c>
      <c r="M245" s="338">
        <f t="shared" si="204"/>
        <v>0</v>
      </c>
      <c r="N245" s="329">
        <f t="shared" si="197"/>
        <v>0</v>
      </c>
      <c r="O245" s="338">
        <f t="shared" si="205"/>
        <v>0</v>
      </c>
      <c r="P245" s="329">
        <f t="shared" si="198"/>
        <v>0</v>
      </c>
      <c r="Q245" s="338">
        <f t="shared" si="206"/>
        <v>0</v>
      </c>
      <c r="R245" s="329">
        <f t="shared" si="199"/>
        <v>0</v>
      </c>
      <c r="S245" s="338">
        <f t="shared" si="207"/>
        <v>0</v>
      </c>
      <c r="T245" s="329">
        <f t="shared" si="200"/>
        <v>0</v>
      </c>
      <c r="U245" s="338">
        <f t="shared" si="208"/>
        <v>0</v>
      </c>
      <c r="V245" s="329">
        <f t="shared" si="201"/>
        <v>0</v>
      </c>
      <c r="W245" s="338">
        <f t="shared" si="209"/>
        <v>0</v>
      </c>
      <c r="X245" s="35"/>
    </row>
    <row r="246" spans="1:24" x14ac:dyDescent="0.25">
      <c r="A246" s="335">
        <f>A245+1</f>
        <v>43789</v>
      </c>
      <c r="B246" s="329">
        <f t="shared" si="213"/>
        <v>0</v>
      </c>
      <c r="C246" s="338">
        <f t="shared" si="214"/>
        <v>24000000</v>
      </c>
      <c r="D246" s="329">
        <f t="shared" si="215"/>
        <v>0</v>
      </c>
      <c r="E246" s="338">
        <f t="shared" si="216"/>
        <v>30130958.66</v>
      </c>
      <c r="F246" s="329">
        <f t="shared" si="217"/>
        <v>0</v>
      </c>
      <c r="G246" s="338">
        <f t="shared" si="218"/>
        <v>13950000</v>
      </c>
      <c r="H246" s="329">
        <f t="shared" si="194"/>
        <v>0</v>
      </c>
      <c r="I246" s="338">
        <f t="shared" si="202"/>
        <v>0</v>
      </c>
      <c r="J246" s="329">
        <f t="shared" si="195"/>
        <v>0</v>
      </c>
      <c r="K246" s="338">
        <f t="shared" si="203"/>
        <v>0</v>
      </c>
      <c r="L246" s="329">
        <f t="shared" si="196"/>
        <v>0</v>
      </c>
      <c r="M246" s="338">
        <f t="shared" si="204"/>
        <v>0</v>
      </c>
      <c r="N246" s="329">
        <f t="shared" si="197"/>
        <v>0</v>
      </c>
      <c r="O246" s="338">
        <f t="shared" si="205"/>
        <v>0</v>
      </c>
      <c r="P246" s="329">
        <f t="shared" si="198"/>
        <v>0</v>
      </c>
      <c r="Q246" s="338">
        <f t="shared" si="206"/>
        <v>0</v>
      </c>
      <c r="R246" s="329">
        <f t="shared" si="199"/>
        <v>0</v>
      </c>
      <c r="S246" s="338">
        <f t="shared" si="207"/>
        <v>0</v>
      </c>
      <c r="T246" s="329">
        <f t="shared" si="200"/>
        <v>0</v>
      </c>
      <c r="U246" s="338">
        <f t="shared" si="208"/>
        <v>0</v>
      </c>
      <c r="V246" s="329">
        <f t="shared" si="201"/>
        <v>0</v>
      </c>
      <c r="W246" s="338">
        <f t="shared" si="209"/>
        <v>0</v>
      </c>
      <c r="X246" s="35"/>
    </row>
    <row r="247" spans="1:24" x14ac:dyDescent="0.25">
      <c r="A247" s="335">
        <f>A246+1</f>
        <v>43790</v>
      </c>
      <c r="B247" s="329">
        <f t="shared" si="213"/>
        <v>0</v>
      </c>
      <c r="C247" s="338">
        <f t="shared" si="214"/>
        <v>24000000</v>
      </c>
      <c r="D247" s="329">
        <f t="shared" si="215"/>
        <v>0</v>
      </c>
      <c r="E247" s="338">
        <f t="shared" si="216"/>
        <v>30130958.66</v>
      </c>
      <c r="F247" s="329">
        <f t="shared" si="217"/>
        <v>0</v>
      </c>
      <c r="G247" s="338">
        <f t="shared" si="218"/>
        <v>13950000</v>
      </c>
      <c r="H247" s="329">
        <f t="shared" si="194"/>
        <v>0</v>
      </c>
      <c r="I247" s="338">
        <f t="shared" si="202"/>
        <v>0</v>
      </c>
      <c r="J247" s="329">
        <f t="shared" si="195"/>
        <v>0</v>
      </c>
      <c r="K247" s="338">
        <f t="shared" si="203"/>
        <v>0</v>
      </c>
      <c r="L247" s="329">
        <f t="shared" si="196"/>
        <v>0</v>
      </c>
      <c r="M247" s="338">
        <f t="shared" si="204"/>
        <v>0</v>
      </c>
      <c r="N247" s="329">
        <f t="shared" si="197"/>
        <v>0</v>
      </c>
      <c r="O247" s="338">
        <f t="shared" si="205"/>
        <v>0</v>
      </c>
      <c r="P247" s="329">
        <f t="shared" si="198"/>
        <v>0</v>
      </c>
      <c r="Q247" s="338">
        <f t="shared" si="206"/>
        <v>0</v>
      </c>
      <c r="R247" s="329">
        <f t="shared" si="199"/>
        <v>0</v>
      </c>
      <c r="S247" s="338">
        <f t="shared" si="207"/>
        <v>0</v>
      </c>
      <c r="T247" s="329">
        <f t="shared" si="200"/>
        <v>0</v>
      </c>
      <c r="U247" s="338">
        <f t="shared" si="208"/>
        <v>0</v>
      </c>
      <c r="V247" s="329">
        <f t="shared" si="201"/>
        <v>0</v>
      </c>
      <c r="W247" s="338">
        <f t="shared" si="209"/>
        <v>0</v>
      </c>
      <c r="X247" s="35"/>
    </row>
    <row r="248" spans="1:24" x14ac:dyDescent="0.25">
      <c r="A248" s="335">
        <f>A247+1</f>
        <v>43791</v>
      </c>
      <c r="B248" s="329">
        <f t="shared" si="213"/>
        <v>0</v>
      </c>
      <c r="C248" s="338">
        <f t="shared" si="214"/>
        <v>24000000</v>
      </c>
      <c r="D248" s="329">
        <f t="shared" si="215"/>
        <v>0</v>
      </c>
      <c r="E248" s="338">
        <f t="shared" si="216"/>
        <v>30130958.66</v>
      </c>
      <c r="F248" s="329">
        <f t="shared" si="217"/>
        <v>0</v>
      </c>
      <c r="G248" s="338">
        <f t="shared" si="218"/>
        <v>13950000</v>
      </c>
      <c r="H248" s="329">
        <f t="shared" si="194"/>
        <v>0</v>
      </c>
      <c r="I248" s="338">
        <f t="shared" si="202"/>
        <v>0</v>
      </c>
      <c r="J248" s="329">
        <f t="shared" si="195"/>
        <v>0</v>
      </c>
      <c r="K248" s="338">
        <f t="shared" si="203"/>
        <v>0</v>
      </c>
      <c r="L248" s="329">
        <f t="shared" si="196"/>
        <v>0</v>
      </c>
      <c r="M248" s="338">
        <f t="shared" si="204"/>
        <v>0</v>
      </c>
      <c r="N248" s="329">
        <f t="shared" si="197"/>
        <v>0</v>
      </c>
      <c r="O248" s="338">
        <f t="shared" si="205"/>
        <v>0</v>
      </c>
      <c r="P248" s="329">
        <f t="shared" si="198"/>
        <v>0</v>
      </c>
      <c r="Q248" s="338">
        <f t="shared" si="206"/>
        <v>0</v>
      </c>
      <c r="R248" s="329">
        <f t="shared" si="199"/>
        <v>0</v>
      </c>
      <c r="S248" s="338">
        <f t="shared" si="207"/>
        <v>0</v>
      </c>
      <c r="T248" s="329">
        <f t="shared" si="200"/>
        <v>0</v>
      </c>
      <c r="U248" s="338">
        <f t="shared" si="208"/>
        <v>0</v>
      </c>
      <c r="V248" s="329">
        <f t="shared" si="201"/>
        <v>0</v>
      </c>
      <c r="W248" s="338">
        <f t="shared" si="209"/>
        <v>0</v>
      </c>
      <c r="X248" s="35"/>
    </row>
    <row r="249" spans="1:24" x14ac:dyDescent="0.25">
      <c r="A249" s="336">
        <f>A248+3</f>
        <v>43794</v>
      </c>
      <c r="B249" s="329">
        <f t="shared" si="213"/>
        <v>0</v>
      </c>
      <c r="C249" s="338">
        <f t="shared" ref="C249:C253" si="219">B249+C248</f>
        <v>24000000</v>
      </c>
      <c r="D249" s="329">
        <f t="shared" si="215"/>
        <v>0</v>
      </c>
      <c r="E249" s="338">
        <f t="shared" ref="E249:E253" si="220">D249+E248</f>
        <v>30130958.66</v>
      </c>
      <c r="F249" s="329">
        <f t="shared" si="217"/>
        <v>0</v>
      </c>
      <c r="G249" s="338">
        <f t="shared" ref="G249:G253" si="221">F249+G248</f>
        <v>13950000</v>
      </c>
      <c r="H249" s="329">
        <f t="shared" si="194"/>
        <v>0</v>
      </c>
      <c r="I249" s="338">
        <f t="shared" si="202"/>
        <v>0</v>
      </c>
      <c r="J249" s="329">
        <f t="shared" si="195"/>
        <v>0</v>
      </c>
      <c r="K249" s="338">
        <f t="shared" si="203"/>
        <v>0</v>
      </c>
      <c r="L249" s="329">
        <f t="shared" si="196"/>
        <v>0</v>
      </c>
      <c r="M249" s="338">
        <f t="shared" si="204"/>
        <v>0</v>
      </c>
      <c r="N249" s="329">
        <f t="shared" si="197"/>
        <v>0</v>
      </c>
      <c r="O249" s="338">
        <f t="shared" si="205"/>
        <v>0</v>
      </c>
      <c r="P249" s="329">
        <f t="shared" si="198"/>
        <v>0</v>
      </c>
      <c r="Q249" s="338">
        <f t="shared" si="206"/>
        <v>0</v>
      </c>
      <c r="R249" s="329">
        <f t="shared" si="199"/>
        <v>0</v>
      </c>
      <c r="S249" s="338">
        <f t="shared" si="207"/>
        <v>0</v>
      </c>
      <c r="T249" s="329">
        <f t="shared" si="200"/>
        <v>0</v>
      </c>
      <c r="U249" s="338">
        <f t="shared" si="208"/>
        <v>0</v>
      </c>
      <c r="V249" s="329">
        <f t="shared" si="201"/>
        <v>0</v>
      </c>
      <c r="W249" s="338">
        <f t="shared" si="209"/>
        <v>0</v>
      </c>
      <c r="X249" s="35"/>
    </row>
    <row r="250" spans="1:24" x14ac:dyDescent="0.25">
      <c r="A250" s="335">
        <f>A249+1</f>
        <v>43795</v>
      </c>
      <c r="B250" s="329">
        <f t="shared" si="213"/>
        <v>0</v>
      </c>
      <c r="C250" s="338">
        <f t="shared" si="219"/>
        <v>24000000</v>
      </c>
      <c r="D250" s="329">
        <f t="shared" si="215"/>
        <v>0</v>
      </c>
      <c r="E250" s="338">
        <f t="shared" si="220"/>
        <v>30130958.66</v>
      </c>
      <c r="F250" s="329">
        <f t="shared" si="217"/>
        <v>0</v>
      </c>
      <c r="G250" s="338">
        <f t="shared" si="221"/>
        <v>13950000</v>
      </c>
      <c r="H250" s="329">
        <f t="shared" si="194"/>
        <v>0</v>
      </c>
      <c r="I250" s="338">
        <f t="shared" si="202"/>
        <v>0</v>
      </c>
      <c r="J250" s="329">
        <f t="shared" si="195"/>
        <v>0</v>
      </c>
      <c r="K250" s="338">
        <f t="shared" si="203"/>
        <v>0</v>
      </c>
      <c r="L250" s="329">
        <f t="shared" si="196"/>
        <v>0</v>
      </c>
      <c r="M250" s="338">
        <f t="shared" si="204"/>
        <v>0</v>
      </c>
      <c r="N250" s="329">
        <f t="shared" si="197"/>
        <v>0</v>
      </c>
      <c r="O250" s="338">
        <f t="shared" si="205"/>
        <v>0</v>
      </c>
      <c r="P250" s="329">
        <f t="shared" si="198"/>
        <v>0</v>
      </c>
      <c r="Q250" s="338">
        <f t="shared" si="206"/>
        <v>0</v>
      </c>
      <c r="R250" s="329">
        <f t="shared" si="199"/>
        <v>0</v>
      </c>
      <c r="S250" s="338">
        <f t="shared" si="207"/>
        <v>0</v>
      </c>
      <c r="T250" s="329">
        <f t="shared" si="200"/>
        <v>0</v>
      </c>
      <c r="U250" s="338">
        <f t="shared" si="208"/>
        <v>0</v>
      </c>
      <c r="V250" s="329">
        <f t="shared" si="201"/>
        <v>0</v>
      </c>
      <c r="W250" s="338">
        <f t="shared" si="209"/>
        <v>0</v>
      </c>
      <c r="X250" s="35"/>
    </row>
    <row r="251" spans="1:24" x14ac:dyDescent="0.25">
      <c r="A251" s="335">
        <f>A250+1</f>
        <v>43796</v>
      </c>
      <c r="B251" s="329">
        <f t="shared" si="213"/>
        <v>0</v>
      </c>
      <c r="C251" s="338">
        <f t="shared" si="219"/>
        <v>24000000</v>
      </c>
      <c r="D251" s="329">
        <f t="shared" si="215"/>
        <v>0</v>
      </c>
      <c r="E251" s="338">
        <f t="shared" si="220"/>
        <v>30130958.66</v>
      </c>
      <c r="F251" s="329">
        <f t="shared" si="217"/>
        <v>0</v>
      </c>
      <c r="G251" s="338">
        <f t="shared" si="221"/>
        <v>13950000</v>
      </c>
      <c r="H251" s="329">
        <f t="shared" si="194"/>
        <v>0</v>
      </c>
      <c r="I251" s="338">
        <f t="shared" si="202"/>
        <v>0</v>
      </c>
      <c r="J251" s="329">
        <f t="shared" si="195"/>
        <v>0</v>
      </c>
      <c r="K251" s="338">
        <f t="shared" si="203"/>
        <v>0</v>
      </c>
      <c r="L251" s="329">
        <f t="shared" si="196"/>
        <v>0</v>
      </c>
      <c r="M251" s="338">
        <f t="shared" si="204"/>
        <v>0</v>
      </c>
      <c r="N251" s="329">
        <f t="shared" si="197"/>
        <v>0</v>
      </c>
      <c r="O251" s="338">
        <f t="shared" si="205"/>
        <v>0</v>
      </c>
      <c r="P251" s="329">
        <f t="shared" si="198"/>
        <v>0</v>
      </c>
      <c r="Q251" s="338">
        <f t="shared" si="206"/>
        <v>0</v>
      </c>
      <c r="R251" s="329">
        <f t="shared" si="199"/>
        <v>0</v>
      </c>
      <c r="S251" s="338">
        <f t="shared" si="207"/>
        <v>0</v>
      </c>
      <c r="T251" s="329">
        <f t="shared" si="200"/>
        <v>0</v>
      </c>
      <c r="U251" s="338">
        <f t="shared" si="208"/>
        <v>0</v>
      </c>
      <c r="V251" s="329">
        <f t="shared" si="201"/>
        <v>0</v>
      </c>
      <c r="W251" s="338">
        <f t="shared" si="209"/>
        <v>0</v>
      </c>
      <c r="X251" s="35"/>
    </row>
    <row r="252" spans="1:24" x14ac:dyDescent="0.25">
      <c r="A252" s="336">
        <f>A251+2</f>
        <v>43798</v>
      </c>
      <c r="B252" s="329">
        <f t="shared" si="213"/>
        <v>0</v>
      </c>
      <c r="C252" s="338">
        <f t="shared" si="219"/>
        <v>24000000</v>
      </c>
      <c r="D252" s="329">
        <f t="shared" si="215"/>
        <v>0</v>
      </c>
      <c r="E252" s="338">
        <f t="shared" si="220"/>
        <v>30130958.66</v>
      </c>
      <c r="F252" s="329">
        <f t="shared" si="217"/>
        <v>0</v>
      </c>
      <c r="G252" s="338">
        <f t="shared" si="221"/>
        <v>13950000</v>
      </c>
      <c r="H252" s="329">
        <f t="shared" si="194"/>
        <v>0</v>
      </c>
      <c r="I252" s="338">
        <f t="shared" si="202"/>
        <v>0</v>
      </c>
      <c r="J252" s="329">
        <f t="shared" si="195"/>
        <v>0</v>
      </c>
      <c r="K252" s="338">
        <f t="shared" si="203"/>
        <v>0</v>
      </c>
      <c r="L252" s="329">
        <f t="shared" si="196"/>
        <v>0</v>
      </c>
      <c r="M252" s="338">
        <f t="shared" si="204"/>
        <v>0</v>
      </c>
      <c r="N252" s="329">
        <f t="shared" si="197"/>
        <v>0</v>
      </c>
      <c r="O252" s="338">
        <f t="shared" si="205"/>
        <v>0</v>
      </c>
      <c r="P252" s="329">
        <f t="shared" si="198"/>
        <v>0</v>
      </c>
      <c r="Q252" s="338">
        <f t="shared" si="206"/>
        <v>0</v>
      </c>
      <c r="R252" s="329">
        <f t="shared" si="199"/>
        <v>0</v>
      </c>
      <c r="S252" s="338">
        <f t="shared" si="207"/>
        <v>0</v>
      </c>
      <c r="T252" s="329">
        <f t="shared" si="200"/>
        <v>0</v>
      </c>
      <c r="U252" s="338">
        <f t="shared" si="208"/>
        <v>0</v>
      </c>
      <c r="V252" s="329">
        <f t="shared" si="201"/>
        <v>0</v>
      </c>
      <c r="W252" s="338">
        <f t="shared" si="209"/>
        <v>0</v>
      </c>
      <c r="X252" s="35"/>
    </row>
    <row r="253" spans="1:24" x14ac:dyDescent="0.25">
      <c r="A253" s="336">
        <f>A252+1</f>
        <v>43799</v>
      </c>
      <c r="B253" s="329">
        <f t="shared" si="213"/>
        <v>0</v>
      </c>
      <c r="C253" s="338">
        <f t="shared" si="219"/>
        <v>24000000</v>
      </c>
      <c r="D253" s="329">
        <f t="shared" si="215"/>
        <v>0</v>
      </c>
      <c r="E253" s="338">
        <f t="shared" si="220"/>
        <v>30130958.66</v>
      </c>
      <c r="F253" s="329">
        <f t="shared" si="217"/>
        <v>0</v>
      </c>
      <c r="G253" s="338">
        <f t="shared" si="221"/>
        <v>13950000</v>
      </c>
      <c r="H253" s="329">
        <f t="shared" si="194"/>
        <v>0</v>
      </c>
      <c r="I253" s="338">
        <f t="shared" si="202"/>
        <v>0</v>
      </c>
      <c r="J253" s="329">
        <f t="shared" si="195"/>
        <v>0</v>
      </c>
      <c r="K253" s="338">
        <f t="shared" si="203"/>
        <v>0</v>
      </c>
      <c r="L253" s="329">
        <f t="shared" si="196"/>
        <v>0</v>
      </c>
      <c r="M253" s="338">
        <f t="shared" si="204"/>
        <v>0</v>
      </c>
      <c r="N253" s="329">
        <f t="shared" si="197"/>
        <v>0</v>
      </c>
      <c r="O253" s="338">
        <f t="shared" si="205"/>
        <v>0</v>
      </c>
      <c r="P253" s="329">
        <f t="shared" si="198"/>
        <v>0</v>
      </c>
      <c r="Q253" s="338">
        <f t="shared" si="206"/>
        <v>0</v>
      </c>
      <c r="R253" s="329">
        <f t="shared" si="199"/>
        <v>0</v>
      </c>
      <c r="S253" s="338">
        <f t="shared" si="207"/>
        <v>0</v>
      </c>
      <c r="T253" s="329">
        <f t="shared" si="200"/>
        <v>0</v>
      </c>
      <c r="U253" s="338">
        <f t="shared" si="208"/>
        <v>0</v>
      </c>
      <c r="V253" s="329">
        <f t="shared" si="201"/>
        <v>0</v>
      </c>
      <c r="W253" s="338">
        <f t="shared" si="209"/>
        <v>0</v>
      </c>
      <c r="X253" s="35"/>
    </row>
    <row r="254" spans="1:24" x14ac:dyDescent="0.25">
      <c r="A254" s="335">
        <f>A253+1</f>
        <v>43800</v>
      </c>
      <c r="B254" s="329">
        <f t="shared" si="213"/>
        <v>0</v>
      </c>
      <c r="C254" s="338">
        <f t="shared" ref="C254:C257" si="222">B254+C253</f>
        <v>24000000</v>
      </c>
      <c r="D254" s="329">
        <f t="shared" si="215"/>
        <v>0</v>
      </c>
      <c r="E254" s="338">
        <f t="shared" ref="E254:E257" si="223">D254+E253</f>
        <v>30130958.66</v>
      </c>
      <c r="F254" s="329">
        <f t="shared" si="217"/>
        <v>0</v>
      </c>
      <c r="G254" s="338">
        <f t="shared" ref="G254:G257" si="224">F254+G253</f>
        <v>13950000</v>
      </c>
      <c r="H254" s="329">
        <f t="shared" si="194"/>
        <v>0</v>
      </c>
      <c r="I254" s="338">
        <f t="shared" si="202"/>
        <v>0</v>
      </c>
      <c r="J254" s="329">
        <f t="shared" si="195"/>
        <v>0</v>
      </c>
      <c r="K254" s="338">
        <f t="shared" si="203"/>
        <v>0</v>
      </c>
      <c r="L254" s="329">
        <f t="shared" si="196"/>
        <v>0</v>
      </c>
      <c r="M254" s="338">
        <f t="shared" si="204"/>
        <v>0</v>
      </c>
      <c r="N254" s="329">
        <f t="shared" si="197"/>
        <v>0</v>
      </c>
      <c r="O254" s="338">
        <f t="shared" si="205"/>
        <v>0</v>
      </c>
      <c r="P254" s="329">
        <f t="shared" si="198"/>
        <v>0</v>
      </c>
      <c r="Q254" s="338">
        <f t="shared" si="206"/>
        <v>0</v>
      </c>
      <c r="R254" s="329">
        <f t="shared" si="199"/>
        <v>0</v>
      </c>
      <c r="S254" s="338">
        <f t="shared" si="207"/>
        <v>0</v>
      </c>
      <c r="T254" s="329">
        <f t="shared" si="200"/>
        <v>0</v>
      </c>
      <c r="U254" s="338">
        <f t="shared" si="208"/>
        <v>0</v>
      </c>
      <c r="V254" s="329">
        <f t="shared" si="201"/>
        <v>0</v>
      </c>
      <c r="W254" s="338">
        <f t="shared" si="209"/>
        <v>0</v>
      </c>
      <c r="X254" s="35"/>
    </row>
    <row r="255" spans="1:24" x14ac:dyDescent="0.25">
      <c r="A255" s="335">
        <f>A254+1</f>
        <v>43801</v>
      </c>
      <c r="B255" s="329">
        <f t="shared" si="213"/>
        <v>0</v>
      </c>
      <c r="C255" s="338">
        <f t="shared" si="222"/>
        <v>24000000</v>
      </c>
      <c r="D255" s="329">
        <f t="shared" si="215"/>
        <v>0</v>
      </c>
      <c r="E255" s="338">
        <f t="shared" si="223"/>
        <v>30130958.66</v>
      </c>
      <c r="F255" s="329">
        <f t="shared" si="217"/>
        <v>0</v>
      </c>
      <c r="G255" s="338">
        <f t="shared" si="224"/>
        <v>13950000</v>
      </c>
      <c r="H255" s="329">
        <f t="shared" si="194"/>
        <v>0</v>
      </c>
      <c r="I255" s="338">
        <f t="shared" si="202"/>
        <v>0</v>
      </c>
      <c r="J255" s="329">
        <f t="shared" si="195"/>
        <v>0</v>
      </c>
      <c r="K255" s="338">
        <f t="shared" si="203"/>
        <v>0</v>
      </c>
      <c r="L255" s="329">
        <f t="shared" si="196"/>
        <v>0</v>
      </c>
      <c r="M255" s="338">
        <f t="shared" si="204"/>
        <v>0</v>
      </c>
      <c r="N255" s="329">
        <f t="shared" si="197"/>
        <v>0</v>
      </c>
      <c r="O255" s="338">
        <f t="shared" si="205"/>
        <v>0</v>
      </c>
      <c r="P255" s="329">
        <f t="shared" si="198"/>
        <v>0</v>
      </c>
      <c r="Q255" s="338">
        <f t="shared" si="206"/>
        <v>0</v>
      </c>
      <c r="R255" s="329">
        <f t="shared" si="199"/>
        <v>0</v>
      </c>
      <c r="S255" s="338">
        <f t="shared" si="207"/>
        <v>0</v>
      </c>
      <c r="T255" s="329">
        <f t="shared" si="200"/>
        <v>0</v>
      </c>
      <c r="U255" s="338">
        <f t="shared" si="208"/>
        <v>0</v>
      </c>
      <c r="V255" s="329">
        <f t="shared" si="201"/>
        <v>0</v>
      </c>
      <c r="W255" s="338">
        <f t="shared" si="209"/>
        <v>0</v>
      </c>
      <c r="X255" s="35"/>
    </row>
    <row r="256" spans="1:24" x14ac:dyDescent="0.25">
      <c r="A256" s="335">
        <f>A255+1</f>
        <v>43802</v>
      </c>
      <c r="B256" s="329">
        <f t="shared" si="213"/>
        <v>0</v>
      </c>
      <c r="C256" s="338">
        <f t="shared" si="222"/>
        <v>24000000</v>
      </c>
      <c r="D256" s="329">
        <f t="shared" si="215"/>
        <v>0</v>
      </c>
      <c r="E256" s="338">
        <f t="shared" si="223"/>
        <v>30130958.66</v>
      </c>
      <c r="F256" s="329">
        <f t="shared" si="217"/>
        <v>0</v>
      </c>
      <c r="G256" s="338">
        <f t="shared" si="224"/>
        <v>13950000</v>
      </c>
      <c r="H256" s="329">
        <f t="shared" si="194"/>
        <v>0</v>
      </c>
      <c r="I256" s="338">
        <f t="shared" si="202"/>
        <v>0</v>
      </c>
      <c r="J256" s="329">
        <f t="shared" si="195"/>
        <v>0</v>
      </c>
      <c r="K256" s="338">
        <f t="shared" si="203"/>
        <v>0</v>
      </c>
      <c r="L256" s="329">
        <f t="shared" si="196"/>
        <v>0</v>
      </c>
      <c r="M256" s="338">
        <f t="shared" si="204"/>
        <v>0</v>
      </c>
      <c r="N256" s="329">
        <f t="shared" si="197"/>
        <v>0</v>
      </c>
      <c r="O256" s="338">
        <f t="shared" si="205"/>
        <v>0</v>
      </c>
      <c r="P256" s="329">
        <f t="shared" si="198"/>
        <v>0</v>
      </c>
      <c r="Q256" s="338">
        <f t="shared" si="206"/>
        <v>0</v>
      </c>
      <c r="R256" s="329">
        <f t="shared" si="199"/>
        <v>0</v>
      </c>
      <c r="S256" s="338">
        <f t="shared" si="207"/>
        <v>0</v>
      </c>
      <c r="T256" s="329">
        <f t="shared" si="200"/>
        <v>0</v>
      </c>
      <c r="U256" s="338">
        <f t="shared" si="208"/>
        <v>0</v>
      </c>
      <c r="V256" s="329">
        <f t="shared" si="201"/>
        <v>0</v>
      </c>
      <c r="W256" s="338">
        <f t="shared" si="209"/>
        <v>0</v>
      </c>
      <c r="X256" s="35"/>
    </row>
    <row r="257" spans="1:24" x14ac:dyDescent="0.25">
      <c r="A257" s="335">
        <f>A256+1</f>
        <v>43803</v>
      </c>
      <c r="B257" s="329">
        <f t="shared" si="213"/>
        <v>0</v>
      </c>
      <c r="C257" s="338">
        <f t="shared" si="222"/>
        <v>24000000</v>
      </c>
      <c r="D257" s="329">
        <f t="shared" si="215"/>
        <v>0</v>
      </c>
      <c r="E257" s="338">
        <f t="shared" si="223"/>
        <v>30130958.66</v>
      </c>
      <c r="F257" s="329">
        <f t="shared" si="217"/>
        <v>0</v>
      </c>
      <c r="G257" s="338">
        <f t="shared" si="224"/>
        <v>13950000</v>
      </c>
      <c r="H257" s="329">
        <f t="shared" si="194"/>
        <v>0</v>
      </c>
      <c r="I257" s="338">
        <f t="shared" si="202"/>
        <v>0</v>
      </c>
      <c r="J257" s="329">
        <f t="shared" si="195"/>
        <v>0</v>
      </c>
      <c r="K257" s="338">
        <f t="shared" si="203"/>
        <v>0</v>
      </c>
      <c r="L257" s="329">
        <f t="shared" si="196"/>
        <v>0</v>
      </c>
      <c r="M257" s="338">
        <f t="shared" si="204"/>
        <v>0</v>
      </c>
      <c r="N257" s="329">
        <f t="shared" si="197"/>
        <v>0</v>
      </c>
      <c r="O257" s="338">
        <f t="shared" si="205"/>
        <v>0</v>
      </c>
      <c r="P257" s="329">
        <f t="shared" si="198"/>
        <v>0</v>
      </c>
      <c r="Q257" s="338">
        <f t="shared" si="206"/>
        <v>0</v>
      </c>
      <c r="R257" s="329">
        <f t="shared" si="199"/>
        <v>0</v>
      </c>
      <c r="S257" s="338">
        <f t="shared" si="207"/>
        <v>0</v>
      </c>
      <c r="T257" s="329">
        <f t="shared" si="200"/>
        <v>0</v>
      </c>
      <c r="U257" s="338">
        <f t="shared" si="208"/>
        <v>0</v>
      </c>
      <c r="V257" s="329">
        <f t="shared" si="201"/>
        <v>0</v>
      </c>
      <c r="W257" s="338">
        <f t="shared" si="209"/>
        <v>0</v>
      </c>
      <c r="X257" s="35"/>
    </row>
    <row r="258" spans="1:24" x14ac:dyDescent="0.25">
      <c r="A258" s="335">
        <f t="shared" ref="A258:A283" si="225">A257+1</f>
        <v>43804</v>
      </c>
      <c r="B258" s="329">
        <f t="shared" si="213"/>
        <v>0</v>
      </c>
      <c r="C258" s="338">
        <f t="shared" ref="C258:C264" si="226">B258+C257</f>
        <v>24000000</v>
      </c>
      <c r="D258" s="329">
        <f t="shared" si="215"/>
        <v>0</v>
      </c>
      <c r="E258" s="338">
        <f t="shared" ref="E258:E264" si="227">D258+E257</f>
        <v>30130958.66</v>
      </c>
      <c r="F258" s="329">
        <f t="shared" si="217"/>
        <v>0</v>
      </c>
      <c r="G258" s="338">
        <f t="shared" ref="G258:G264" si="228">F258+G257</f>
        <v>13950000</v>
      </c>
      <c r="H258" s="329">
        <f t="shared" si="194"/>
        <v>0</v>
      </c>
      <c r="I258" s="338">
        <f t="shared" ref="I258:I264" si="229">H258+I257</f>
        <v>0</v>
      </c>
      <c r="J258" s="329">
        <f t="shared" si="195"/>
        <v>0</v>
      </c>
      <c r="K258" s="338">
        <f t="shared" si="203"/>
        <v>0</v>
      </c>
      <c r="L258" s="329">
        <f t="shared" si="196"/>
        <v>0</v>
      </c>
      <c r="M258" s="338">
        <f t="shared" si="204"/>
        <v>0</v>
      </c>
      <c r="N258" s="329">
        <f t="shared" si="197"/>
        <v>0</v>
      </c>
      <c r="O258" s="338">
        <f t="shared" si="205"/>
        <v>0</v>
      </c>
      <c r="P258" s="329">
        <f t="shared" si="198"/>
        <v>0</v>
      </c>
      <c r="Q258" s="338">
        <f t="shared" si="206"/>
        <v>0</v>
      </c>
      <c r="R258" s="329">
        <f t="shared" si="199"/>
        <v>0</v>
      </c>
      <c r="S258" s="338">
        <f t="shared" si="207"/>
        <v>0</v>
      </c>
      <c r="T258" s="329">
        <f t="shared" si="200"/>
        <v>0</v>
      </c>
      <c r="U258" s="338">
        <f t="shared" si="208"/>
        <v>0</v>
      </c>
      <c r="V258" s="329">
        <f t="shared" si="201"/>
        <v>0</v>
      </c>
      <c r="W258" s="338">
        <f t="shared" si="209"/>
        <v>0</v>
      </c>
      <c r="X258" s="35"/>
    </row>
    <row r="259" spans="1:24" x14ac:dyDescent="0.25">
      <c r="A259" s="335">
        <f t="shared" si="225"/>
        <v>43805</v>
      </c>
      <c r="B259" s="329">
        <f t="shared" si="213"/>
        <v>0</v>
      </c>
      <c r="C259" s="338">
        <f t="shared" si="226"/>
        <v>24000000</v>
      </c>
      <c r="D259" s="329">
        <f t="shared" si="215"/>
        <v>0</v>
      </c>
      <c r="E259" s="338">
        <f t="shared" si="227"/>
        <v>30130958.66</v>
      </c>
      <c r="F259" s="329">
        <f t="shared" ref="F259:F322" si="230">SUMIFS(Usage_Main,CF_Dates,$A259,CF_Descriptions,"EASTCYPRESS1 Change")</f>
        <v>0</v>
      </c>
      <c r="G259" s="338">
        <f t="shared" si="228"/>
        <v>13950000</v>
      </c>
      <c r="H259" s="329">
        <f t="shared" si="194"/>
        <v>0</v>
      </c>
      <c r="I259" s="338">
        <f t="shared" si="229"/>
        <v>0</v>
      </c>
      <c r="J259" s="329">
        <f t="shared" si="195"/>
        <v>0</v>
      </c>
      <c r="K259" s="338">
        <f t="shared" si="203"/>
        <v>0</v>
      </c>
      <c r="L259" s="329">
        <f t="shared" si="196"/>
        <v>0</v>
      </c>
      <c r="M259" s="338">
        <f t="shared" si="204"/>
        <v>0</v>
      </c>
      <c r="N259" s="329">
        <f t="shared" si="197"/>
        <v>0</v>
      </c>
      <c r="O259" s="338">
        <f t="shared" si="205"/>
        <v>0</v>
      </c>
      <c r="P259" s="329">
        <f t="shared" si="198"/>
        <v>0</v>
      </c>
      <c r="Q259" s="338">
        <f t="shared" si="206"/>
        <v>0</v>
      </c>
      <c r="R259" s="329">
        <f t="shared" si="199"/>
        <v>0</v>
      </c>
      <c r="S259" s="338">
        <f t="shared" si="207"/>
        <v>0</v>
      </c>
      <c r="T259" s="329">
        <f t="shared" si="200"/>
        <v>0</v>
      </c>
      <c r="U259" s="338">
        <f t="shared" si="208"/>
        <v>0</v>
      </c>
      <c r="V259" s="329">
        <f t="shared" si="201"/>
        <v>0</v>
      </c>
      <c r="W259" s="338">
        <f t="shared" si="209"/>
        <v>0</v>
      </c>
      <c r="X259" s="35"/>
    </row>
    <row r="260" spans="1:24" x14ac:dyDescent="0.25">
      <c r="A260" s="336">
        <f>A259+3</f>
        <v>43808</v>
      </c>
      <c r="B260" s="329">
        <f t="shared" si="213"/>
        <v>0</v>
      </c>
      <c r="C260" s="338">
        <f t="shared" si="226"/>
        <v>24000000</v>
      </c>
      <c r="D260" s="329">
        <f t="shared" si="215"/>
        <v>0</v>
      </c>
      <c r="E260" s="338">
        <f t="shared" si="227"/>
        <v>30130958.66</v>
      </c>
      <c r="F260" s="329">
        <f t="shared" si="230"/>
        <v>0</v>
      </c>
      <c r="G260" s="338">
        <f t="shared" si="228"/>
        <v>13950000</v>
      </c>
      <c r="H260" s="329">
        <f t="shared" si="194"/>
        <v>0</v>
      </c>
      <c r="I260" s="338">
        <f t="shared" si="229"/>
        <v>0</v>
      </c>
      <c r="J260" s="329">
        <f t="shared" si="195"/>
        <v>0</v>
      </c>
      <c r="K260" s="338">
        <f t="shared" si="203"/>
        <v>0</v>
      </c>
      <c r="L260" s="329">
        <f t="shared" si="196"/>
        <v>0</v>
      </c>
      <c r="M260" s="338">
        <f t="shared" si="204"/>
        <v>0</v>
      </c>
      <c r="N260" s="329">
        <f t="shared" si="197"/>
        <v>0</v>
      </c>
      <c r="O260" s="338">
        <f t="shared" si="205"/>
        <v>0</v>
      </c>
      <c r="P260" s="329">
        <f t="shared" si="198"/>
        <v>0</v>
      </c>
      <c r="Q260" s="338">
        <f t="shared" si="206"/>
        <v>0</v>
      </c>
      <c r="R260" s="329">
        <f t="shared" si="199"/>
        <v>0</v>
      </c>
      <c r="S260" s="338">
        <f t="shared" si="207"/>
        <v>0</v>
      </c>
      <c r="T260" s="329">
        <f t="shared" si="200"/>
        <v>0</v>
      </c>
      <c r="U260" s="338">
        <f t="shared" si="208"/>
        <v>0</v>
      </c>
      <c r="V260" s="329">
        <f t="shared" si="201"/>
        <v>0</v>
      </c>
      <c r="W260" s="338">
        <f t="shared" si="209"/>
        <v>0</v>
      </c>
      <c r="X260" s="35"/>
    </row>
    <row r="261" spans="1:24" x14ac:dyDescent="0.25">
      <c r="A261" s="335">
        <f t="shared" si="225"/>
        <v>43809</v>
      </c>
      <c r="B261" s="329">
        <f t="shared" si="213"/>
        <v>0</v>
      </c>
      <c r="C261" s="338">
        <f t="shared" si="226"/>
        <v>24000000</v>
      </c>
      <c r="D261" s="329">
        <f t="shared" si="215"/>
        <v>0</v>
      </c>
      <c r="E261" s="338">
        <f t="shared" si="227"/>
        <v>30130958.66</v>
      </c>
      <c r="F261" s="329">
        <f t="shared" si="230"/>
        <v>0</v>
      </c>
      <c r="G261" s="338">
        <f t="shared" si="228"/>
        <v>13950000</v>
      </c>
      <c r="H261" s="329">
        <f t="shared" si="194"/>
        <v>8500000</v>
      </c>
      <c r="I261" s="338">
        <f t="shared" si="229"/>
        <v>8500000</v>
      </c>
      <c r="J261" s="329">
        <f t="shared" si="195"/>
        <v>0</v>
      </c>
      <c r="K261" s="338">
        <f t="shared" si="203"/>
        <v>0</v>
      </c>
      <c r="L261" s="329">
        <f t="shared" si="196"/>
        <v>0</v>
      </c>
      <c r="M261" s="338">
        <f t="shared" si="204"/>
        <v>0</v>
      </c>
      <c r="N261" s="329">
        <f t="shared" si="197"/>
        <v>0</v>
      </c>
      <c r="O261" s="338">
        <f t="shared" si="205"/>
        <v>0</v>
      </c>
      <c r="P261" s="329">
        <f t="shared" si="198"/>
        <v>0</v>
      </c>
      <c r="Q261" s="338">
        <f t="shared" si="206"/>
        <v>0</v>
      </c>
      <c r="R261" s="329">
        <f t="shared" si="199"/>
        <v>0</v>
      </c>
      <c r="S261" s="338">
        <f t="shared" si="207"/>
        <v>0</v>
      </c>
      <c r="T261" s="329">
        <f t="shared" si="200"/>
        <v>0</v>
      </c>
      <c r="U261" s="338">
        <f t="shared" si="208"/>
        <v>0</v>
      </c>
      <c r="V261" s="329">
        <f t="shared" si="201"/>
        <v>0</v>
      </c>
      <c r="W261" s="338">
        <f t="shared" si="209"/>
        <v>0</v>
      </c>
      <c r="X261" s="35"/>
    </row>
    <row r="262" spans="1:24" x14ac:dyDescent="0.25">
      <c r="A262" s="335">
        <f t="shared" si="225"/>
        <v>43810</v>
      </c>
      <c r="B262" s="329">
        <f t="shared" si="213"/>
        <v>0</v>
      </c>
      <c r="C262" s="338">
        <f t="shared" si="226"/>
        <v>24000000</v>
      </c>
      <c r="D262" s="329">
        <f t="shared" si="215"/>
        <v>0</v>
      </c>
      <c r="E262" s="338">
        <f t="shared" si="227"/>
        <v>30130958.66</v>
      </c>
      <c r="F262" s="329">
        <f t="shared" si="230"/>
        <v>0</v>
      </c>
      <c r="G262" s="338">
        <f t="shared" si="228"/>
        <v>13950000</v>
      </c>
      <c r="H262" s="329">
        <f t="shared" si="194"/>
        <v>0</v>
      </c>
      <c r="I262" s="338">
        <f t="shared" si="229"/>
        <v>8500000</v>
      </c>
      <c r="J262" s="329">
        <f t="shared" si="195"/>
        <v>0</v>
      </c>
      <c r="K262" s="338">
        <f t="shared" si="203"/>
        <v>0</v>
      </c>
      <c r="L262" s="329">
        <f t="shared" si="196"/>
        <v>0</v>
      </c>
      <c r="M262" s="338">
        <f t="shared" si="204"/>
        <v>0</v>
      </c>
      <c r="N262" s="329">
        <f t="shared" si="197"/>
        <v>0</v>
      </c>
      <c r="O262" s="338">
        <f t="shared" si="205"/>
        <v>0</v>
      </c>
      <c r="P262" s="329">
        <f t="shared" si="198"/>
        <v>0</v>
      </c>
      <c r="Q262" s="338">
        <f t="shared" si="206"/>
        <v>0</v>
      </c>
      <c r="R262" s="329">
        <f t="shared" si="199"/>
        <v>0</v>
      </c>
      <c r="S262" s="338">
        <f t="shared" si="207"/>
        <v>0</v>
      </c>
      <c r="T262" s="329">
        <f t="shared" si="200"/>
        <v>0</v>
      </c>
      <c r="U262" s="338">
        <f t="shared" si="208"/>
        <v>0</v>
      </c>
      <c r="V262" s="329">
        <f t="shared" si="201"/>
        <v>0</v>
      </c>
      <c r="W262" s="338">
        <f t="shared" si="209"/>
        <v>0</v>
      </c>
      <c r="X262" s="35"/>
    </row>
    <row r="263" spans="1:24" x14ac:dyDescent="0.25">
      <c r="A263" s="335">
        <f t="shared" si="225"/>
        <v>43811</v>
      </c>
      <c r="B263" s="329">
        <f t="shared" si="213"/>
        <v>0</v>
      </c>
      <c r="C263" s="338">
        <f t="shared" si="226"/>
        <v>24000000</v>
      </c>
      <c r="D263" s="329">
        <f t="shared" si="215"/>
        <v>0</v>
      </c>
      <c r="E263" s="338">
        <f t="shared" si="227"/>
        <v>30130958.66</v>
      </c>
      <c r="F263" s="329">
        <f t="shared" si="230"/>
        <v>0</v>
      </c>
      <c r="G263" s="338">
        <f t="shared" si="228"/>
        <v>13950000</v>
      </c>
      <c r="H263" s="329">
        <f t="shared" si="194"/>
        <v>0</v>
      </c>
      <c r="I263" s="338">
        <f t="shared" si="229"/>
        <v>8500000</v>
      </c>
      <c r="J263" s="329">
        <f t="shared" si="195"/>
        <v>0</v>
      </c>
      <c r="K263" s="338">
        <f t="shared" si="203"/>
        <v>0</v>
      </c>
      <c r="L263" s="329">
        <f t="shared" si="196"/>
        <v>0</v>
      </c>
      <c r="M263" s="338">
        <f t="shared" si="204"/>
        <v>0</v>
      </c>
      <c r="N263" s="329">
        <f t="shared" si="197"/>
        <v>0</v>
      </c>
      <c r="O263" s="338">
        <f t="shared" si="205"/>
        <v>0</v>
      </c>
      <c r="P263" s="329">
        <f t="shared" si="198"/>
        <v>0</v>
      </c>
      <c r="Q263" s="338">
        <f t="shared" si="206"/>
        <v>0</v>
      </c>
      <c r="R263" s="329">
        <f t="shared" si="199"/>
        <v>0</v>
      </c>
      <c r="S263" s="338">
        <f t="shared" si="207"/>
        <v>0</v>
      </c>
      <c r="T263" s="329">
        <f t="shared" si="200"/>
        <v>0</v>
      </c>
      <c r="U263" s="338">
        <f t="shared" si="208"/>
        <v>0</v>
      </c>
      <c r="V263" s="329">
        <f t="shared" si="201"/>
        <v>0</v>
      </c>
      <c r="W263" s="338">
        <f t="shared" si="209"/>
        <v>0</v>
      </c>
      <c r="X263" s="35"/>
    </row>
    <row r="264" spans="1:24" x14ac:dyDescent="0.25">
      <c r="A264" s="335">
        <f t="shared" si="225"/>
        <v>43812</v>
      </c>
      <c r="B264" s="329">
        <f t="shared" si="213"/>
        <v>0</v>
      </c>
      <c r="C264" s="338">
        <f t="shared" si="226"/>
        <v>24000000</v>
      </c>
      <c r="D264" s="329">
        <f t="shared" si="215"/>
        <v>0</v>
      </c>
      <c r="E264" s="338">
        <f t="shared" si="227"/>
        <v>30130958.66</v>
      </c>
      <c r="F264" s="329">
        <f t="shared" si="230"/>
        <v>0</v>
      </c>
      <c r="G264" s="338">
        <f t="shared" si="228"/>
        <v>13950000</v>
      </c>
      <c r="H264" s="329">
        <f t="shared" si="194"/>
        <v>0</v>
      </c>
      <c r="I264" s="338">
        <f t="shared" si="229"/>
        <v>8500000</v>
      </c>
      <c r="J264" s="329">
        <f t="shared" si="195"/>
        <v>0</v>
      </c>
      <c r="K264" s="338">
        <f t="shared" si="203"/>
        <v>0</v>
      </c>
      <c r="L264" s="329">
        <f t="shared" si="196"/>
        <v>0</v>
      </c>
      <c r="M264" s="338">
        <f t="shared" si="204"/>
        <v>0</v>
      </c>
      <c r="N264" s="329">
        <f t="shared" si="197"/>
        <v>0</v>
      </c>
      <c r="O264" s="338">
        <f t="shared" si="205"/>
        <v>0</v>
      </c>
      <c r="P264" s="329">
        <f t="shared" si="198"/>
        <v>0</v>
      </c>
      <c r="Q264" s="338">
        <f t="shared" si="206"/>
        <v>0</v>
      </c>
      <c r="R264" s="329">
        <f t="shared" si="199"/>
        <v>0</v>
      </c>
      <c r="S264" s="338">
        <f t="shared" si="207"/>
        <v>0</v>
      </c>
      <c r="T264" s="329">
        <f t="shared" si="200"/>
        <v>0</v>
      </c>
      <c r="U264" s="338">
        <f t="shared" si="208"/>
        <v>0</v>
      </c>
      <c r="V264" s="329">
        <f t="shared" si="201"/>
        <v>0</v>
      </c>
      <c r="W264" s="338">
        <f t="shared" si="209"/>
        <v>0</v>
      </c>
      <c r="X264" s="35"/>
    </row>
    <row r="265" spans="1:24" x14ac:dyDescent="0.25">
      <c r="A265" s="336">
        <f>A264+3</f>
        <v>43815</v>
      </c>
      <c r="B265" s="329">
        <f t="shared" si="213"/>
        <v>5000000</v>
      </c>
      <c r="C265" s="338">
        <f t="shared" ref="C265:C269" si="231">B265+C264</f>
        <v>29000000</v>
      </c>
      <c r="D265" s="329">
        <f t="shared" si="215"/>
        <v>0</v>
      </c>
      <c r="E265" s="338">
        <f t="shared" ref="E265:E269" si="232">D265+E264</f>
        <v>30130958.66</v>
      </c>
      <c r="F265" s="329">
        <f t="shared" si="230"/>
        <v>0</v>
      </c>
      <c r="G265" s="338">
        <f t="shared" ref="G265:G269" si="233">F265+G264</f>
        <v>13950000</v>
      </c>
      <c r="H265" s="329">
        <f t="shared" si="194"/>
        <v>0</v>
      </c>
      <c r="I265" s="338">
        <f t="shared" ref="I265:I269" si="234">H265+I264</f>
        <v>8500000</v>
      </c>
      <c r="J265" s="329">
        <f t="shared" si="195"/>
        <v>0</v>
      </c>
      <c r="K265" s="338">
        <f t="shared" si="203"/>
        <v>0</v>
      </c>
      <c r="L265" s="329">
        <f t="shared" si="196"/>
        <v>0</v>
      </c>
      <c r="M265" s="338">
        <f t="shared" si="204"/>
        <v>0</v>
      </c>
      <c r="N265" s="329">
        <f t="shared" si="197"/>
        <v>0</v>
      </c>
      <c r="O265" s="338">
        <f t="shared" si="205"/>
        <v>0</v>
      </c>
      <c r="P265" s="329">
        <f t="shared" si="198"/>
        <v>0</v>
      </c>
      <c r="Q265" s="338">
        <f t="shared" si="206"/>
        <v>0</v>
      </c>
      <c r="R265" s="329">
        <f t="shared" si="199"/>
        <v>0</v>
      </c>
      <c r="S265" s="338">
        <f t="shared" si="207"/>
        <v>0</v>
      </c>
      <c r="T265" s="329">
        <f t="shared" si="200"/>
        <v>0</v>
      </c>
      <c r="U265" s="338">
        <f t="shared" si="208"/>
        <v>0</v>
      </c>
      <c r="V265" s="329">
        <f t="shared" si="201"/>
        <v>0</v>
      </c>
      <c r="W265" s="338">
        <f t="shared" si="209"/>
        <v>0</v>
      </c>
      <c r="X265" s="35"/>
    </row>
    <row r="266" spans="1:24" x14ac:dyDescent="0.25">
      <c r="A266" s="335">
        <f t="shared" si="225"/>
        <v>43816</v>
      </c>
      <c r="B266" s="329">
        <f t="shared" si="213"/>
        <v>0</v>
      </c>
      <c r="C266" s="338">
        <f t="shared" si="231"/>
        <v>29000000</v>
      </c>
      <c r="D266" s="329">
        <f t="shared" si="215"/>
        <v>0</v>
      </c>
      <c r="E266" s="338">
        <f t="shared" si="232"/>
        <v>30130958.66</v>
      </c>
      <c r="F266" s="329">
        <f t="shared" si="230"/>
        <v>0</v>
      </c>
      <c r="G266" s="338">
        <f t="shared" si="233"/>
        <v>13950000</v>
      </c>
      <c r="H266" s="329">
        <f t="shared" si="194"/>
        <v>0</v>
      </c>
      <c r="I266" s="338">
        <f t="shared" si="234"/>
        <v>8500000</v>
      </c>
      <c r="J266" s="329">
        <f t="shared" si="195"/>
        <v>0</v>
      </c>
      <c r="K266" s="338">
        <f t="shared" si="203"/>
        <v>0</v>
      </c>
      <c r="L266" s="329">
        <f t="shared" si="196"/>
        <v>0</v>
      </c>
      <c r="M266" s="338">
        <f t="shared" si="204"/>
        <v>0</v>
      </c>
      <c r="N266" s="329">
        <f t="shared" si="197"/>
        <v>0</v>
      </c>
      <c r="O266" s="338">
        <f t="shared" si="205"/>
        <v>0</v>
      </c>
      <c r="P266" s="329">
        <f t="shared" si="198"/>
        <v>0</v>
      </c>
      <c r="Q266" s="338">
        <f t="shared" si="206"/>
        <v>0</v>
      </c>
      <c r="R266" s="329">
        <f t="shared" si="199"/>
        <v>0</v>
      </c>
      <c r="S266" s="338">
        <f t="shared" si="207"/>
        <v>0</v>
      </c>
      <c r="T266" s="329">
        <f t="shared" si="200"/>
        <v>0</v>
      </c>
      <c r="U266" s="338">
        <f t="shared" si="208"/>
        <v>0</v>
      </c>
      <c r="V266" s="329">
        <f t="shared" si="201"/>
        <v>0</v>
      </c>
      <c r="W266" s="338">
        <f t="shared" si="209"/>
        <v>0</v>
      </c>
      <c r="X266" s="35"/>
    </row>
    <row r="267" spans="1:24" x14ac:dyDescent="0.25">
      <c r="A267" s="335">
        <f t="shared" si="225"/>
        <v>43817</v>
      </c>
      <c r="B267" s="329">
        <f t="shared" si="213"/>
        <v>0</v>
      </c>
      <c r="C267" s="338">
        <f t="shared" si="231"/>
        <v>29000000</v>
      </c>
      <c r="D267" s="329">
        <f t="shared" si="215"/>
        <v>0</v>
      </c>
      <c r="E267" s="338">
        <f t="shared" si="232"/>
        <v>30130958.66</v>
      </c>
      <c r="F267" s="329">
        <f t="shared" si="230"/>
        <v>0</v>
      </c>
      <c r="G267" s="338">
        <f t="shared" si="233"/>
        <v>13950000</v>
      </c>
      <c r="H267" s="329">
        <f t="shared" si="194"/>
        <v>0</v>
      </c>
      <c r="I267" s="338">
        <f t="shared" si="234"/>
        <v>8500000</v>
      </c>
      <c r="J267" s="329">
        <f t="shared" si="195"/>
        <v>0</v>
      </c>
      <c r="K267" s="338">
        <f t="shared" si="203"/>
        <v>0</v>
      </c>
      <c r="L267" s="329">
        <f t="shared" si="196"/>
        <v>0</v>
      </c>
      <c r="M267" s="338">
        <f t="shared" si="204"/>
        <v>0</v>
      </c>
      <c r="N267" s="329">
        <f t="shared" si="197"/>
        <v>0</v>
      </c>
      <c r="O267" s="338">
        <f t="shared" si="205"/>
        <v>0</v>
      </c>
      <c r="P267" s="329">
        <f t="shared" si="198"/>
        <v>0</v>
      </c>
      <c r="Q267" s="338">
        <f t="shared" si="206"/>
        <v>0</v>
      </c>
      <c r="R267" s="329">
        <f t="shared" si="199"/>
        <v>0</v>
      </c>
      <c r="S267" s="338">
        <f t="shared" si="207"/>
        <v>0</v>
      </c>
      <c r="T267" s="329">
        <f t="shared" si="200"/>
        <v>0</v>
      </c>
      <c r="U267" s="338">
        <f t="shared" si="208"/>
        <v>0</v>
      </c>
      <c r="V267" s="329">
        <f t="shared" si="201"/>
        <v>0</v>
      </c>
      <c r="W267" s="338">
        <f t="shared" si="209"/>
        <v>0</v>
      </c>
      <c r="X267" s="35"/>
    </row>
    <row r="268" spans="1:24" x14ac:dyDescent="0.25">
      <c r="A268" s="335">
        <f t="shared" si="225"/>
        <v>43818</v>
      </c>
      <c r="B268" s="329">
        <f t="shared" si="213"/>
        <v>0</v>
      </c>
      <c r="C268" s="338">
        <f t="shared" si="231"/>
        <v>29000000</v>
      </c>
      <c r="D268" s="329">
        <f t="shared" si="215"/>
        <v>0</v>
      </c>
      <c r="E268" s="338">
        <f t="shared" si="232"/>
        <v>30130958.66</v>
      </c>
      <c r="F268" s="329">
        <f t="shared" si="230"/>
        <v>0</v>
      </c>
      <c r="G268" s="338">
        <f t="shared" si="233"/>
        <v>13950000</v>
      </c>
      <c r="H268" s="329">
        <f t="shared" si="194"/>
        <v>0</v>
      </c>
      <c r="I268" s="338">
        <f t="shared" si="234"/>
        <v>8500000</v>
      </c>
      <c r="J268" s="329">
        <f t="shared" si="195"/>
        <v>0</v>
      </c>
      <c r="K268" s="338">
        <f t="shared" si="203"/>
        <v>0</v>
      </c>
      <c r="L268" s="329">
        <f t="shared" si="196"/>
        <v>0</v>
      </c>
      <c r="M268" s="338">
        <f t="shared" si="204"/>
        <v>0</v>
      </c>
      <c r="N268" s="329">
        <f t="shared" si="197"/>
        <v>0</v>
      </c>
      <c r="O268" s="338">
        <f t="shared" si="205"/>
        <v>0</v>
      </c>
      <c r="P268" s="329">
        <f t="shared" si="198"/>
        <v>0</v>
      </c>
      <c r="Q268" s="338">
        <f t="shared" si="206"/>
        <v>0</v>
      </c>
      <c r="R268" s="329">
        <f t="shared" si="199"/>
        <v>0</v>
      </c>
      <c r="S268" s="338">
        <f t="shared" si="207"/>
        <v>0</v>
      </c>
      <c r="T268" s="329">
        <f t="shared" si="200"/>
        <v>0</v>
      </c>
      <c r="U268" s="338">
        <f t="shared" si="208"/>
        <v>0</v>
      </c>
      <c r="V268" s="329">
        <f t="shared" si="201"/>
        <v>0</v>
      </c>
      <c r="W268" s="338">
        <f t="shared" si="209"/>
        <v>0</v>
      </c>
      <c r="X268" s="35"/>
    </row>
    <row r="269" spans="1:24" x14ac:dyDescent="0.25">
      <c r="A269" s="335">
        <f t="shared" si="225"/>
        <v>43819</v>
      </c>
      <c r="B269" s="329">
        <f t="shared" si="213"/>
        <v>0</v>
      </c>
      <c r="C269" s="338">
        <f t="shared" si="231"/>
        <v>29000000</v>
      </c>
      <c r="D269" s="329">
        <f t="shared" si="215"/>
        <v>0</v>
      </c>
      <c r="E269" s="338">
        <f t="shared" si="232"/>
        <v>30130958.66</v>
      </c>
      <c r="F269" s="329">
        <f t="shared" si="230"/>
        <v>0</v>
      </c>
      <c r="G269" s="338">
        <f t="shared" si="233"/>
        <v>13950000</v>
      </c>
      <c r="H269" s="329">
        <f t="shared" si="194"/>
        <v>0</v>
      </c>
      <c r="I269" s="338">
        <f t="shared" si="234"/>
        <v>8500000</v>
      </c>
      <c r="J269" s="329">
        <f t="shared" si="195"/>
        <v>0</v>
      </c>
      <c r="K269" s="338">
        <f t="shared" si="203"/>
        <v>0</v>
      </c>
      <c r="L269" s="329">
        <f t="shared" si="196"/>
        <v>0</v>
      </c>
      <c r="M269" s="338">
        <f t="shared" si="204"/>
        <v>0</v>
      </c>
      <c r="N269" s="329">
        <f t="shared" si="197"/>
        <v>0</v>
      </c>
      <c r="O269" s="338">
        <f t="shared" si="205"/>
        <v>0</v>
      </c>
      <c r="P269" s="329">
        <f t="shared" si="198"/>
        <v>0</v>
      </c>
      <c r="Q269" s="338">
        <f t="shared" si="206"/>
        <v>0</v>
      </c>
      <c r="R269" s="329">
        <f t="shared" si="199"/>
        <v>0</v>
      </c>
      <c r="S269" s="338">
        <f t="shared" si="207"/>
        <v>0</v>
      </c>
      <c r="T269" s="329">
        <f t="shared" si="200"/>
        <v>0</v>
      </c>
      <c r="U269" s="338">
        <f t="shared" si="208"/>
        <v>0</v>
      </c>
      <c r="V269" s="329">
        <f t="shared" si="201"/>
        <v>0</v>
      </c>
      <c r="W269" s="338">
        <f t="shared" si="209"/>
        <v>0</v>
      </c>
      <c r="X269" s="35"/>
    </row>
    <row r="270" spans="1:24" x14ac:dyDescent="0.25">
      <c r="A270" s="336">
        <f>A269+3</f>
        <v>43822</v>
      </c>
      <c r="B270" s="329">
        <f t="shared" si="213"/>
        <v>0</v>
      </c>
      <c r="C270" s="338">
        <f t="shared" ref="C270:C274" si="235">B270+C269</f>
        <v>29000000</v>
      </c>
      <c r="D270" s="329">
        <f t="shared" si="215"/>
        <v>0</v>
      </c>
      <c r="E270" s="338">
        <f t="shared" ref="E270:E274" si="236">D270+E269</f>
        <v>30130958.66</v>
      </c>
      <c r="F270" s="329">
        <f t="shared" si="230"/>
        <v>0</v>
      </c>
      <c r="G270" s="338">
        <f t="shared" ref="G270:G274" si="237">F270+G269</f>
        <v>13950000</v>
      </c>
      <c r="H270" s="329">
        <f t="shared" si="194"/>
        <v>0</v>
      </c>
      <c r="I270" s="338">
        <f t="shared" ref="I270:I274" si="238">H270+I269</f>
        <v>8500000</v>
      </c>
      <c r="J270" s="329">
        <f t="shared" si="195"/>
        <v>0</v>
      </c>
      <c r="K270" s="338">
        <f t="shared" si="203"/>
        <v>0</v>
      </c>
      <c r="L270" s="329">
        <f t="shared" si="196"/>
        <v>0</v>
      </c>
      <c r="M270" s="338">
        <f t="shared" si="204"/>
        <v>0</v>
      </c>
      <c r="N270" s="329">
        <f t="shared" si="197"/>
        <v>0</v>
      </c>
      <c r="O270" s="338">
        <f t="shared" si="205"/>
        <v>0</v>
      </c>
      <c r="P270" s="329">
        <f t="shared" si="198"/>
        <v>0</v>
      </c>
      <c r="Q270" s="338">
        <f t="shared" si="206"/>
        <v>0</v>
      </c>
      <c r="R270" s="329">
        <f t="shared" si="199"/>
        <v>0</v>
      </c>
      <c r="S270" s="338">
        <f t="shared" si="207"/>
        <v>0</v>
      </c>
      <c r="T270" s="329">
        <f t="shared" si="200"/>
        <v>0</v>
      </c>
      <c r="U270" s="338">
        <f t="shared" si="208"/>
        <v>0</v>
      </c>
      <c r="V270" s="329">
        <f t="shared" si="201"/>
        <v>0</v>
      </c>
      <c r="W270" s="338">
        <f t="shared" si="209"/>
        <v>0</v>
      </c>
      <c r="X270" s="35"/>
    </row>
    <row r="271" spans="1:24" x14ac:dyDescent="0.25">
      <c r="A271" s="335">
        <f t="shared" si="225"/>
        <v>43823</v>
      </c>
      <c r="B271" s="329">
        <f t="shared" si="213"/>
        <v>0</v>
      </c>
      <c r="C271" s="338">
        <f t="shared" si="235"/>
        <v>29000000</v>
      </c>
      <c r="D271" s="329">
        <f t="shared" si="215"/>
        <v>0</v>
      </c>
      <c r="E271" s="338">
        <f t="shared" si="236"/>
        <v>30130958.66</v>
      </c>
      <c r="F271" s="329">
        <f t="shared" si="230"/>
        <v>0</v>
      </c>
      <c r="G271" s="338">
        <f t="shared" si="237"/>
        <v>13950000</v>
      </c>
      <c r="H271" s="329">
        <f t="shared" si="194"/>
        <v>0</v>
      </c>
      <c r="I271" s="338">
        <f t="shared" si="238"/>
        <v>8500000</v>
      </c>
      <c r="J271" s="329">
        <f t="shared" si="195"/>
        <v>0</v>
      </c>
      <c r="K271" s="338">
        <f t="shared" si="203"/>
        <v>0</v>
      </c>
      <c r="L271" s="329">
        <f t="shared" si="196"/>
        <v>0</v>
      </c>
      <c r="M271" s="338">
        <f t="shared" si="204"/>
        <v>0</v>
      </c>
      <c r="N271" s="329">
        <f t="shared" si="197"/>
        <v>0</v>
      </c>
      <c r="O271" s="338">
        <f t="shared" si="205"/>
        <v>0</v>
      </c>
      <c r="P271" s="329">
        <f t="shared" si="198"/>
        <v>0</v>
      </c>
      <c r="Q271" s="338">
        <f t="shared" si="206"/>
        <v>0</v>
      </c>
      <c r="R271" s="329">
        <f t="shared" si="199"/>
        <v>0</v>
      </c>
      <c r="S271" s="338">
        <f t="shared" si="207"/>
        <v>0</v>
      </c>
      <c r="T271" s="329">
        <f t="shared" si="200"/>
        <v>0</v>
      </c>
      <c r="U271" s="338">
        <f t="shared" si="208"/>
        <v>0</v>
      </c>
      <c r="V271" s="329">
        <f t="shared" si="201"/>
        <v>0</v>
      </c>
      <c r="W271" s="338">
        <f t="shared" si="209"/>
        <v>0</v>
      </c>
      <c r="X271" s="35"/>
    </row>
    <row r="272" spans="1:24" x14ac:dyDescent="0.25">
      <c r="A272" s="336">
        <f>A271+2</f>
        <v>43825</v>
      </c>
      <c r="B272" s="329">
        <f t="shared" si="213"/>
        <v>0</v>
      </c>
      <c r="C272" s="338">
        <f t="shared" si="235"/>
        <v>29000000</v>
      </c>
      <c r="D272" s="329">
        <f t="shared" si="215"/>
        <v>0</v>
      </c>
      <c r="E272" s="338">
        <f t="shared" si="236"/>
        <v>30130958.66</v>
      </c>
      <c r="F272" s="329">
        <f t="shared" si="230"/>
        <v>0</v>
      </c>
      <c r="G272" s="338">
        <f t="shared" si="237"/>
        <v>13950000</v>
      </c>
      <c r="H272" s="329">
        <f t="shared" si="194"/>
        <v>0</v>
      </c>
      <c r="I272" s="338">
        <f t="shared" si="238"/>
        <v>8500000</v>
      </c>
      <c r="J272" s="329">
        <f t="shared" si="195"/>
        <v>0</v>
      </c>
      <c r="K272" s="338">
        <f t="shared" si="203"/>
        <v>0</v>
      </c>
      <c r="L272" s="329">
        <f t="shared" si="196"/>
        <v>0</v>
      </c>
      <c r="M272" s="338">
        <f t="shared" si="204"/>
        <v>0</v>
      </c>
      <c r="N272" s="329">
        <f t="shared" si="197"/>
        <v>0</v>
      </c>
      <c r="O272" s="338">
        <f t="shared" si="205"/>
        <v>0</v>
      </c>
      <c r="P272" s="329">
        <f t="shared" si="198"/>
        <v>0</v>
      </c>
      <c r="Q272" s="338">
        <f t="shared" si="206"/>
        <v>0</v>
      </c>
      <c r="R272" s="329">
        <f t="shared" si="199"/>
        <v>0</v>
      </c>
      <c r="S272" s="338">
        <f t="shared" si="207"/>
        <v>0</v>
      </c>
      <c r="T272" s="329">
        <f t="shared" si="200"/>
        <v>0</v>
      </c>
      <c r="U272" s="338">
        <f t="shared" si="208"/>
        <v>0</v>
      </c>
      <c r="V272" s="329">
        <f t="shared" si="201"/>
        <v>0</v>
      </c>
      <c r="W272" s="338">
        <f t="shared" si="209"/>
        <v>0</v>
      </c>
      <c r="X272" s="35"/>
    </row>
    <row r="273" spans="1:24" x14ac:dyDescent="0.25">
      <c r="A273" s="335">
        <f t="shared" si="225"/>
        <v>43826</v>
      </c>
      <c r="B273" s="329">
        <f t="shared" si="213"/>
        <v>0</v>
      </c>
      <c r="C273" s="338">
        <f t="shared" si="235"/>
        <v>29000000</v>
      </c>
      <c r="D273" s="329">
        <f t="shared" si="215"/>
        <v>0</v>
      </c>
      <c r="E273" s="338">
        <f t="shared" si="236"/>
        <v>30130958.66</v>
      </c>
      <c r="F273" s="329">
        <f t="shared" si="230"/>
        <v>0</v>
      </c>
      <c r="G273" s="338">
        <f t="shared" si="237"/>
        <v>13950000</v>
      </c>
      <c r="H273" s="329">
        <f t="shared" si="194"/>
        <v>0</v>
      </c>
      <c r="I273" s="338">
        <f t="shared" si="238"/>
        <v>8500000</v>
      </c>
      <c r="J273" s="329">
        <f t="shared" si="195"/>
        <v>0</v>
      </c>
      <c r="K273" s="338">
        <f t="shared" si="203"/>
        <v>0</v>
      </c>
      <c r="L273" s="329">
        <f t="shared" si="196"/>
        <v>0</v>
      </c>
      <c r="M273" s="338">
        <f t="shared" si="204"/>
        <v>0</v>
      </c>
      <c r="N273" s="329">
        <f t="shared" si="197"/>
        <v>0</v>
      </c>
      <c r="O273" s="338">
        <f t="shared" si="205"/>
        <v>0</v>
      </c>
      <c r="P273" s="329">
        <f t="shared" si="198"/>
        <v>0</v>
      </c>
      <c r="Q273" s="338">
        <f t="shared" si="206"/>
        <v>0</v>
      </c>
      <c r="R273" s="329">
        <f t="shared" si="199"/>
        <v>0</v>
      </c>
      <c r="S273" s="338">
        <f t="shared" si="207"/>
        <v>0</v>
      </c>
      <c r="T273" s="329">
        <f t="shared" si="200"/>
        <v>0</v>
      </c>
      <c r="U273" s="338">
        <f t="shared" si="208"/>
        <v>0</v>
      </c>
      <c r="V273" s="329">
        <f t="shared" si="201"/>
        <v>0</v>
      </c>
      <c r="W273" s="338">
        <f t="shared" si="209"/>
        <v>0</v>
      </c>
      <c r="X273" s="35"/>
    </row>
    <row r="274" spans="1:24" x14ac:dyDescent="0.25">
      <c r="A274" s="336">
        <f>A273+3</f>
        <v>43829</v>
      </c>
      <c r="B274" s="329">
        <f t="shared" si="213"/>
        <v>0</v>
      </c>
      <c r="C274" s="338">
        <f t="shared" si="235"/>
        <v>29000000</v>
      </c>
      <c r="D274" s="329">
        <f t="shared" si="215"/>
        <v>0</v>
      </c>
      <c r="E274" s="338">
        <f t="shared" si="236"/>
        <v>30130958.66</v>
      </c>
      <c r="F274" s="329">
        <f t="shared" si="230"/>
        <v>0</v>
      </c>
      <c r="G274" s="338">
        <f t="shared" si="237"/>
        <v>13950000</v>
      </c>
      <c r="H274" s="329">
        <f t="shared" si="194"/>
        <v>0</v>
      </c>
      <c r="I274" s="338">
        <f t="shared" si="238"/>
        <v>8500000</v>
      </c>
      <c r="J274" s="329">
        <f t="shared" si="195"/>
        <v>0</v>
      </c>
      <c r="K274" s="338">
        <f t="shared" si="203"/>
        <v>0</v>
      </c>
      <c r="L274" s="329">
        <f t="shared" si="196"/>
        <v>0</v>
      </c>
      <c r="M274" s="338">
        <f t="shared" si="204"/>
        <v>0</v>
      </c>
      <c r="N274" s="329">
        <f t="shared" si="197"/>
        <v>0</v>
      </c>
      <c r="O274" s="338">
        <f t="shared" si="205"/>
        <v>0</v>
      </c>
      <c r="P274" s="329">
        <f t="shared" si="198"/>
        <v>0</v>
      </c>
      <c r="Q274" s="338">
        <f t="shared" si="206"/>
        <v>0</v>
      </c>
      <c r="R274" s="329">
        <f t="shared" si="199"/>
        <v>0</v>
      </c>
      <c r="S274" s="338">
        <f t="shared" si="207"/>
        <v>0</v>
      </c>
      <c r="T274" s="329">
        <f t="shared" si="200"/>
        <v>0</v>
      </c>
      <c r="U274" s="338">
        <f t="shared" si="208"/>
        <v>0</v>
      </c>
      <c r="V274" s="329">
        <f t="shared" si="201"/>
        <v>0</v>
      </c>
      <c r="W274" s="338">
        <f t="shared" si="209"/>
        <v>0</v>
      </c>
      <c r="X274" s="35"/>
    </row>
    <row r="275" spans="1:24" x14ac:dyDescent="0.25">
      <c r="A275" s="335">
        <f t="shared" si="225"/>
        <v>43830</v>
      </c>
      <c r="B275" s="329">
        <f t="shared" si="213"/>
        <v>0</v>
      </c>
      <c r="C275" s="338">
        <f t="shared" ref="C275:C278" si="239">B275+C274</f>
        <v>29000000</v>
      </c>
      <c r="D275" s="329">
        <f t="shared" si="215"/>
        <v>0</v>
      </c>
      <c r="E275" s="338">
        <f t="shared" ref="E275:E278" si="240">D275+E274</f>
        <v>30130958.66</v>
      </c>
      <c r="F275" s="329">
        <f t="shared" si="230"/>
        <v>0</v>
      </c>
      <c r="G275" s="338">
        <f t="shared" ref="G275:G278" si="241">F275+G274</f>
        <v>13950000</v>
      </c>
      <c r="H275" s="329">
        <f t="shared" si="194"/>
        <v>0</v>
      </c>
      <c r="I275" s="338">
        <f t="shared" ref="I275:I278" si="242">H275+I274</f>
        <v>8500000</v>
      </c>
      <c r="J275" s="329">
        <f t="shared" si="195"/>
        <v>0</v>
      </c>
      <c r="K275" s="338">
        <f t="shared" si="203"/>
        <v>0</v>
      </c>
      <c r="L275" s="329">
        <f t="shared" si="196"/>
        <v>0</v>
      </c>
      <c r="M275" s="338">
        <f t="shared" si="204"/>
        <v>0</v>
      </c>
      <c r="N275" s="329">
        <f t="shared" si="197"/>
        <v>0</v>
      </c>
      <c r="O275" s="338">
        <f t="shared" si="205"/>
        <v>0</v>
      </c>
      <c r="P275" s="329">
        <f t="shared" si="198"/>
        <v>0</v>
      </c>
      <c r="Q275" s="338">
        <f t="shared" si="206"/>
        <v>0</v>
      </c>
      <c r="R275" s="329">
        <f t="shared" si="199"/>
        <v>0</v>
      </c>
      <c r="S275" s="338">
        <f t="shared" si="207"/>
        <v>0</v>
      </c>
      <c r="T275" s="329">
        <f t="shared" si="200"/>
        <v>0</v>
      </c>
      <c r="U275" s="338">
        <f t="shared" si="208"/>
        <v>0</v>
      </c>
      <c r="V275" s="329">
        <f t="shared" si="201"/>
        <v>0</v>
      </c>
      <c r="W275" s="338">
        <f t="shared" si="209"/>
        <v>0</v>
      </c>
      <c r="X275" s="35"/>
    </row>
    <row r="276" spans="1:24" x14ac:dyDescent="0.25">
      <c r="A276" s="336">
        <f>A275+1</f>
        <v>43831</v>
      </c>
      <c r="B276" s="329">
        <f t="shared" si="213"/>
        <v>0</v>
      </c>
      <c r="C276" s="338">
        <f t="shared" si="239"/>
        <v>29000000</v>
      </c>
      <c r="D276" s="329">
        <f t="shared" si="215"/>
        <v>0</v>
      </c>
      <c r="E276" s="338">
        <f t="shared" si="240"/>
        <v>30130958.66</v>
      </c>
      <c r="F276" s="329">
        <f t="shared" si="230"/>
        <v>0</v>
      </c>
      <c r="G276" s="338">
        <f t="shared" si="241"/>
        <v>13950000</v>
      </c>
      <c r="H276" s="329">
        <f t="shared" si="194"/>
        <v>0</v>
      </c>
      <c r="I276" s="338">
        <f t="shared" si="242"/>
        <v>8500000</v>
      </c>
      <c r="J276" s="329">
        <f t="shared" si="195"/>
        <v>0</v>
      </c>
      <c r="K276" s="338">
        <f t="shared" si="203"/>
        <v>0</v>
      </c>
      <c r="L276" s="329">
        <f t="shared" si="196"/>
        <v>0</v>
      </c>
      <c r="M276" s="338">
        <f t="shared" si="204"/>
        <v>0</v>
      </c>
      <c r="N276" s="329">
        <f t="shared" si="197"/>
        <v>0</v>
      </c>
      <c r="O276" s="338">
        <f t="shared" si="205"/>
        <v>0</v>
      </c>
      <c r="P276" s="329">
        <f t="shared" si="198"/>
        <v>0</v>
      </c>
      <c r="Q276" s="338">
        <f t="shared" si="206"/>
        <v>0</v>
      </c>
      <c r="R276" s="329">
        <f t="shared" si="199"/>
        <v>0</v>
      </c>
      <c r="S276" s="338">
        <f t="shared" si="207"/>
        <v>0</v>
      </c>
      <c r="T276" s="329">
        <f t="shared" si="200"/>
        <v>0</v>
      </c>
      <c r="U276" s="338">
        <f t="shared" si="208"/>
        <v>0</v>
      </c>
      <c r="V276" s="329">
        <f t="shared" si="201"/>
        <v>0</v>
      </c>
      <c r="W276" s="338">
        <f t="shared" si="209"/>
        <v>0</v>
      </c>
      <c r="X276" s="35"/>
    </row>
    <row r="277" spans="1:24" x14ac:dyDescent="0.25">
      <c r="A277" s="335">
        <f>A276+1</f>
        <v>43832</v>
      </c>
      <c r="B277" s="329">
        <f t="shared" si="213"/>
        <v>0</v>
      </c>
      <c r="C277" s="338">
        <f t="shared" si="239"/>
        <v>29000000</v>
      </c>
      <c r="D277" s="329">
        <f t="shared" si="215"/>
        <v>0</v>
      </c>
      <c r="E277" s="338">
        <f t="shared" si="240"/>
        <v>30130958.66</v>
      </c>
      <c r="F277" s="329">
        <f t="shared" si="230"/>
        <v>0</v>
      </c>
      <c r="G277" s="338">
        <f t="shared" si="241"/>
        <v>13950000</v>
      </c>
      <c r="H277" s="329">
        <f t="shared" si="194"/>
        <v>0</v>
      </c>
      <c r="I277" s="338">
        <f t="shared" si="242"/>
        <v>8500000</v>
      </c>
      <c r="J277" s="329">
        <f t="shared" si="195"/>
        <v>0</v>
      </c>
      <c r="K277" s="338">
        <f t="shared" si="203"/>
        <v>0</v>
      </c>
      <c r="L277" s="329">
        <f t="shared" si="196"/>
        <v>0</v>
      </c>
      <c r="M277" s="338">
        <f t="shared" si="204"/>
        <v>0</v>
      </c>
      <c r="N277" s="329">
        <f t="shared" si="197"/>
        <v>0</v>
      </c>
      <c r="O277" s="338">
        <f t="shared" si="205"/>
        <v>0</v>
      </c>
      <c r="P277" s="329">
        <f t="shared" si="198"/>
        <v>0</v>
      </c>
      <c r="Q277" s="338">
        <f t="shared" si="206"/>
        <v>0</v>
      </c>
      <c r="R277" s="329">
        <f t="shared" si="199"/>
        <v>0</v>
      </c>
      <c r="S277" s="338">
        <f t="shared" si="207"/>
        <v>0</v>
      </c>
      <c r="T277" s="329">
        <f t="shared" si="200"/>
        <v>0</v>
      </c>
      <c r="U277" s="338">
        <f t="shared" si="208"/>
        <v>0</v>
      </c>
      <c r="V277" s="329">
        <f t="shared" si="201"/>
        <v>0</v>
      </c>
      <c r="W277" s="338">
        <f t="shared" si="209"/>
        <v>0</v>
      </c>
      <c r="X277" s="35"/>
    </row>
    <row r="278" spans="1:24" x14ac:dyDescent="0.25">
      <c r="A278" s="335">
        <f>A277+1</f>
        <v>43833</v>
      </c>
      <c r="B278" s="329">
        <f t="shared" si="213"/>
        <v>0</v>
      </c>
      <c r="C278" s="338">
        <f t="shared" si="239"/>
        <v>29000000</v>
      </c>
      <c r="D278" s="329">
        <f t="shared" si="215"/>
        <v>0</v>
      </c>
      <c r="E278" s="338">
        <f t="shared" si="240"/>
        <v>30130958.66</v>
      </c>
      <c r="F278" s="329">
        <f t="shared" si="230"/>
        <v>1000000</v>
      </c>
      <c r="G278" s="338">
        <f t="shared" si="241"/>
        <v>14950000</v>
      </c>
      <c r="H278" s="329">
        <f t="shared" si="194"/>
        <v>0</v>
      </c>
      <c r="I278" s="338">
        <f t="shared" si="242"/>
        <v>8500000</v>
      </c>
      <c r="J278" s="329">
        <f t="shared" si="195"/>
        <v>0</v>
      </c>
      <c r="K278" s="338">
        <f t="shared" si="203"/>
        <v>0</v>
      </c>
      <c r="L278" s="329">
        <f t="shared" si="196"/>
        <v>0</v>
      </c>
      <c r="M278" s="338">
        <f t="shared" si="204"/>
        <v>0</v>
      </c>
      <c r="N278" s="329">
        <f t="shared" si="197"/>
        <v>0</v>
      </c>
      <c r="O278" s="338">
        <f t="shared" si="205"/>
        <v>0</v>
      </c>
      <c r="P278" s="329">
        <f t="shared" si="198"/>
        <v>0</v>
      </c>
      <c r="Q278" s="338">
        <f t="shared" si="206"/>
        <v>0</v>
      </c>
      <c r="R278" s="329">
        <f t="shared" si="199"/>
        <v>0</v>
      </c>
      <c r="S278" s="338">
        <f t="shared" si="207"/>
        <v>0</v>
      </c>
      <c r="T278" s="329">
        <f t="shared" si="200"/>
        <v>0</v>
      </c>
      <c r="U278" s="338">
        <f t="shared" si="208"/>
        <v>0</v>
      </c>
      <c r="V278" s="329">
        <f t="shared" si="201"/>
        <v>0</v>
      </c>
      <c r="W278" s="338">
        <f t="shared" si="209"/>
        <v>0</v>
      </c>
      <c r="X278" s="35"/>
    </row>
    <row r="279" spans="1:24" x14ac:dyDescent="0.25">
      <c r="A279" s="336">
        <f>A278+3</f>
        <v>43836</v>
      </c>
      <c r="B279" s="329">
        <f t="shared" si="213"/>
        <v>0</v>
      </c>
      <c r="C279" s="338">
        <f t="shared" ref="C279:C297" si="243">B279+C278</f>
        <v>29000000</v>
      </c>
      <c r="D279" s="329">
        <f t="shared" si="215"/>
        <v>0</v>
      </c>
      <c r="E279" s="338">
        <f t="shared" ref="E279:E297" si="244">D279+E278</f>
        <v>30130958.66</v>
      </c>
      <c r="F279" s="329">
        <f t="shared" si="230"/>
        <v>0</v>
      </c>
      <c r="G279" s="338">
        <f t="shared" ref="G279:G297" si="245">F279+G278</f>
        <v>14950000</v>
      </c>
      <c r="H279" s="329">
        <f t="shared" si="194"/>
        <v>0</v>
      </c>
      <c r="I279" s="338">
        <f t="shared" ref="I279:I297" si="246">H279+I278</f>
        <v>8500000</v>
      </c>
      <c r="J279" s="329">
        <f t="shared" si="195"/>
        <v>0</v>
      </c>
      <c r="K279" s="338">
        <f t="shared" si="203"/>
        <v>0</v>
      </c>
      <c r="L279" s="329">
        <f t="shared" si="196"/>
        <v>0</v>
      </c>
      <c r="M279" s="338">
        <f t="shared" si="204"/>
        <v>0</v>
      </c>
      <c r="N279" s="329">
        <f t="shared" si="197"/>
        <v>0</v>
      </c>
      <c r="O279" s="338">
        <f t="shared" si="205"/>
        <v>0</v>
      </c>
      <c r="P279" s="329">
        <f t="shared" si="198"/>
        <v>0</v>
      </c>
      <c r="Q279" s="338">
        <f t="shared" si="206"/>
        <v>0</v>
      </c>
      <c r="R279" s="329">
        <f t="shared" si="199"/>
        <v>0</v>
      </c>
      <c r="S279" s="338">
        <f t="shared" si="207"/>
        <v>0</v>
      </c>
      <c r="T279" s="329">
        <f t="shared" si="200"/>
        <v>0</v>
      </c>
      <c r="U279" s="338">
        <f t="shared" si="208"/>
        <v>0</v>
      </c>
      <c r="V279" s="329">
        <f t="shared" si="201"/>
        <v>0</v>
      </c>
      <c r="W279" s="338">
        <f t="shared" si="209"/>
        <v>0</v>
      </c>
      <c r="X279" s="35"/>
    </row>
    <row r="280" spans="1:24" x14ac:dyDescent="0.25">
      <c r="A280" s="335">
        <f t="shared" si="225"/>
        <v>43837</v>
      </c>
      <c r="B280" s="329">
        <f t="shared" si="213"/>
        <v>0</v>
      </c>
      <c r="C280" s="338">
        <f t="shared" si="243"/>
        <v>29000000</v>
      </c>
      <c r="D280" s="329">
        <f t="shared" si="215"/>
        <v>2900000</v>
      </c>
      <c r="E280" s="338">
        <f t="shared" si="244"/>
        <v>33030958.66</v>
      </c>
      <c r="F280" s="329">
        <f t="shared" si="230"/>
        <v>0</v>
      </c>
      <c r="G280" s="338">
        <f t="shared" si="245"/>
        <v>14950000</v>
      </c>
      <c r="H280" s="329">
        <f t="shared" si="194"/>
        <v>0</v>
      </c>
      <c r="I280" s="338">
        <f t="shared" si="246"/>
        <v>8500000</v>
      </c>
      <c r="J280" s="329">
        <f t="shared" si="195"/>
        <v>0</v>
      </c>
      <c r="K280" s="338">
        <f t="shared" si="203"/>
        <v>0</v>
      </c>
      <c r="L280" s="329">
        <f t="shared" si="196"/>
        <v>0</v>
      </c>
      <c r="M280" s="338">
        <f t="shared" si="204"/>
        <v>0</v>
      </c>
      <c r="N280" s="329">
        <f t="shared" si="197"/>
        <v>0</v>
      </c>
      <c r="O280" s="338">
        <f t="shared" si="205"/>
        <v>0</v>
      </c>
      <c r="P280" s="329">
        <f t="shared" si="198"/>
        <v>0</v>
      </c>
      <c r="Q280" s="338">
        <f t="shared" si="206"/>
        <v>0</v>
      </c>
      <c r="R280" s="329">
        <f t="shared" si="199"/>
        <v>0</v>
      </c>
      <c r="S280" s="338">
        <f t="shared" si="207"/>
        <v>0</v>
      </c>
      <c r="T280" s="329">
        <f t="shared" si="200"/>
        <v>0</v>
      </c>
      <c r="U280" s="338">
        <f t="shared" si="208"/>
        <v>0</v>
      </c>
      <c r="V280" s="329">
        <f t="shared" si="201"/>
        <v>0</v>
      </c>
      <c r="W280" s="338">
        <f t="shared" si="209"/>
        <v>0</v>
      </c>
      <c r="X280" s="35"/>
    </row>
    <row r="281" spans="1:24" x14ac:dyDescent="0.25">
      <c r="A281" s="335">
        <f t="shared" si="225"/>
        <v>43838</v>
      </c>
      <c r="B281" s="329">
        <f t="shared" si="213"/>
        <v>0</v>
      </c>
      <c r="C281" s="338">
        <f t="shared" si="243"/>
        <v>29000000</v>
      </c>
      <c r="D281" s="329">
        <f t="shared" si="215"/>
        <v>0</v>
      </c>
      <c r="E281" s="338">
        <f t="shared" si="244"/>
        <v>33030958.66</v>
      </c>
      <c r="F281" s="329">
        <f t="shared" si="230"/>
        <v>0</v>
      </c>
      <c r="G281" s="338">
        <f t="shared" si="245"/>
        <v>14950000</v>
      </c>
      <c r="H281" s="329">
        <f t="shared" si="194"/>
        <v>0</v>
      </c>
      <c r="I281" s="338">
        <f t="shared" si="246"/>
        <v>8500000</v>
      </c>
      <c r="J281" s="329">
        <f t="shared" si="195"/>
        <v>0</v>
      </c>
      <c r="K281" s="338">
        <f t="shared" si="203"/>
        <v>0</v>
      </c>
      <c r="L281" s="329">
        <f t="shared" si="196"/>
        <v>0</v>
      </c>
      <c r="M281" s="338">
        <f t="shared" si="204"/>
        <v>0</v>
      </c>
      <c r="N281" s="329">
        <f t="shared" si="197"/>
        <v>0</v>
      </c>
      <c r="O281" s="338">
        <f t="shared" si="205"/>
        <v>0</v>
      </c>
      <c r="P281" s="329">
        <f t="shared" si="198"/>
        <v>0</v>
      </c>
      <c r="Q281" s="338">
        <f t="shared" si="206"/>
        <v>0</v>
      </c>
      <c r="R281" s="329">
        <f t="shared" si="199"/>
        <v>0</v>
      </c>
      <c r="S281" s="338">
        <f t="shared" si="207"/>
        <v>0</v>
      </c>
      <c r="T281" s="329">
        <f t="shared" si="200"/>
        <v>0</v>
      </c>
      <c r="U281" s="338">
        <f t="shared" si="208"/>
        <v>0</v>
      </c>
      <c r="V281" s="329">
        <f t="shared" si="201"/>
        <v>0</v>
      </c>
      <c r="W281" s="338">
        <f t="shared" si="209"/>
        <v>0</v>
      </c>
      <c r="X281" s="35"/>
    </row>
    <row r="282" spans="1:24" x14ac:dyDescent="0.25">
      <c r="A282" s="335">
        <f t="shared" si="225"/>
        <v>43839</v>
      </c>
      <c r="B282" s="329">
        <f t="shared" si="213"/>
        <v>0</v>
      </c>
      <c r="C282" s="338">
        <f t="shared" si="243"/>
        <v>29000000</v>
      </c>
      <c r="D282" s="329">
        <f t="shared" si="215"/>
        <v>0</v>
      </c>
      <c r="E282" s="338">
        <f t="shared" si="244"/>
        <v>33030958.66</v>
      </c>
      <c r="F282" s="329">
        <f t="shared" si="230"/>
        <v>0</v>
      </c>
      <c r="G282" s="338">
        <f t="shared" si="245"/>
        <v>14950000</v>
      </c>
      <c r="H282" s="329">
        <f t="shared" si="194"/>
        <v>0</v>
      </c>
      <c r="I282" s="338">
        <f t="shared" si="246"/>
        <v>8500000</v>
      </c>
      <c r="J282" s="329">
        <f t="shared" si="195"/>
        <v>0</v>
      </c>
      <c r="K282" s="338">
        <f t="shared" si="203"/>
        <v>0</v>
      </c>
      <c r="L282" s="329">
        <f t="shared" si="196"/>
        <v>0</v>
      </c>
      <c r="M282" s="338">
        <f t="shared" si="204"/>
        <v>0</v>
      </c>
      <c r="N282" s="329">
        <f t="shared" si="197"/>
        <v>0</v>
      </c>
      <c r="O282" s="338">
        <f t="shared" si="205"/>
        <v>0</v>
      </c>
      <c r="P282" s="329">
        <f t="shared" si="198"/>
        <v>0</v>
      </c>
      <c r="Q282" s="338">
        <f t="shared" si="206"/>
        <v>0</v>
      </c>
      <c r="R282" s="329">
        <f t="shared" si="199"/>
        <v>0</v>
      </c>
      <c r="S282" s="338">
        <f t="shared" si="207"/>
        <v>0</v>
      </c>
      <c r="T282" s="329">
        <f t="shared" si="200"/>
        <v>0</v>
      </c>
      <c r="U282" s="338">
        <f t="shared" si="208"/>
        <v>0</v>
      </c>
      <c r="V282" s="329">
        <f t="shared" si="201"/>
        <v>0</v>
      </c>
      <c r="W282" s="338">
        <f t="shared" si="209"/>
        <v>0</v>
      </c>
      <c r="X282" s="35"/>
    </row>
    <row r="283" spans="1:24" x14ac:dyDescent="0.25">
      <c r="A283" s="335">
        <f t="shared" si="225"/>
        <v>43840</v>
      </c>
      <c r="B283" s="329">
        <f t="shared" si="213"/>
        <v>0</v>
      </c>
      <c r="C283" s="338">
        <f t="shared" si="243"/>
        <v>29000000</v>
      </c>
      <c r="D283" s="329">
        <f t="shared" si="215"/>
        <v>0</v>
      </c>
      <c r="E283" s="338">
        <f t="shared" si="244"/>
        <v>33030958.66</v>
      </c>
      <c r="F283" s="329">
        <f t="shared" si="230"/>
        <v>0</v>
      </c>
      <c r="G283" s="338">
        <f t="shared" si="245"/>
        <v>14950000</v>
      </c>
      <c r="H283" s="329">
        <f t="shared" si="194"/>
        <v>0</v>
      </c>
      <c r="I283" s="338">
        <f t="shared" si="246"/>
        <v>8500000</v>
      </c>
      <c r="J283" s="329">
        <f t="shared" si="195"/>
        <v>0</v>
      </c>
      <c r="K283" s="338">
        <f t="shared" si="203"/>
        <v>0</v>
      </c>
      <c r="L283" s="329">
        <f t="shared" si="196"/>
        <v>0</v>
      </c>
      <c r="M283" s="338">
        <f t="shared" si="204"/>
        <v>0</v>
      </c>
      <c r="N283" s="329">
        <f t="shared" si="197"/>
        <v>0</v>
      </c>
      <c r="O283" s="338">
        <f t="shared" si="205"/>
        <v>0</v>
      </c>
      <c r="P283" s="329">
        <f t="shared" si="198"/>
        <v>0</v>
      </c>
      <c r="Q283" s="338">
        <f t="shared" si="206"/>
        <v>0</v>
      </c>
      <c r="R283" s="329">
        <f t="shared" si="199"/>
        <v>0</v>
      </c>
      <c r="S283" s="338">
        <f t="shared" si="207"/>
        <v>0</v>
      </c>
      <c r="T283" s="329">
        <f t="shared" si="200"/>
        <v>0</v>
      </c>
      <c r="U283" s="338">
        <f t="shared" si="208"/>
        <v>0</v>
      </c>
      <c r="V283" s="329">
        <f t="shared" si="201"/>
        <v>0</v>
      </c>
      <c r="W283" s="338">
        <f t="shared" si="209"/>
        <v>0</v>
      </c>
      <c r="X283" s="35"/>
    </row>
    <row r="284" spans="1:24" x14ac:dyDescent="0.25">
      <c r="A284" s="336">
        <f>A283+3</f>
        <v>43843</v>
      </c>
      <c r="B284" s="329">
        <f t="shared" si="213"/>
        <v>0</v>
      </c>
      <c r="C284" s="338">
        <f t="shared" si="243"/>
        <v>29000000</v>
      </c>
      <c r="D284" s="329">
        <f t="shared" si="215"/>
        <v>0</v>
      </c>
      <c r="E284" s="338">
        <f t="shared" si="244"/>
        <v>33030958.66</v>
      </c>
      <c r="F284" s="329">
        <f t="shared" si="230"/>
        <v>0</v>
      </c>
      <c r="G284" s="338">
        <f t="shared" si="245"/>
        <v>14950000</v>
      </c>
      <c r="H284" s="329">
        <f t="shared" si="194"/>
        <v>0</v>
      </c>
      <c r="I284" s="338">
        <f t="shared" si="246"/>
        <v>8500000</v>
      </c>
      <c r="J284" s="329">
        <f t="shared" si="195"/>
        <v>0</v>
      </c>
      <c r="K284" s="338">
        <f t="shared" si="203"/>
        <v>0</v>
      </c>
      <c r="L284" s="329">
        <f t="shared" si="196"/>
        <v>0</v>
      </c>
      <c r="M284" s="338">
        <f t="shared" si="204"/>
        <v>0</v>
      </c>
      <c r="N284" s="329">
        <f t="shared" si="197"/>
        <v>0</v>
      </c>
      <c r="O284" s="338">
        <f t="shared" si="205"/>
        <v>0</v>
      </c>
      <c r="P284" s="329">
        <f t="shared" si="198"/>
        <v>0</v>
      </c>
      <c r="Q284" s="338">
        <f t="shared" si="206"/>
        <v>0</v>
      </c>
      <c r="R284" s="329">
        <f t="shared" si="199"/>
        <v>0</v>
      </c>
      <c r="S284" s="338">
        <f t="shared" si="207"/>
        <v>0</v>
      </c>
      <c r="T284" s="329">
        <f t="shared" si="200"/>
        <v>0</v>
      </c>
      <c r="U284" s="338">
        <f t="shared" si="208"/>
        <v>0</v>
      </c>
      <c r="V284" s="329">
        <f t="shared" si="201"/>
        <v>0</v>
      </c>
      <c r="W284" s="338">
        <f t="shared" si="209"/>
        <v>0</v>
      </c>
      <c r="X284" s="35"/>
    </row>
    <row r="285" spans="1:24" x14ac:dyDescent="0.25">
      <c r="A285" s="335">
        <f t="shared" ref="A285:A288" si="247">A284+1</f>
        <v>43844</v>
      </c>
      <c r="B285" s="329">
        <f t="shared" si="213"/>
        <v>0</v>
      </c>
      <c r="C285" s="338">
        <f t="shared" si="243"/>
        <v>29000000</v>
      </c>
      <c r="D285" s="329">
        <f t="shared" si="215"/>
        <v>0</v>
      </c>
      <c r="E285" s="338">
        <f t="shared" si="244"/>
        <v>33030958.66</v>
      </c>
      <c r="F285" s="329">
        <f t="shared" si="230"/>
        <v>0</v>
      </c>
      <c r="G285" s="338">
        <f t="shared" si="245"/>
        <v>14950000</v>
      </c>
      <c r="H285" s="329">
        <f t="shared" si="194"/>
        <v>0</v>
      </c>
      <c r="I285" s="338">
        <f t="shared" si="246"/>
        <v>8500000</v>
      </c>
      <c r="J285" s="329">
        <f t="shared" si="195"/>
        <v>0</v>
      </c>
      <c r="K285" s="338">
        <f t="shared" si="203"/>
        <v>0</v>
      </c>
      <c r="L285" s="329">
        <f t="shared" si="196"/>
        <v>0</v>
      </c>
      <c r="M285" s="338">
        <f t="shared" si="204"/>
        <v>0</v>
      </c>
      <c r="N285" s="329">
        <f t="shared" si="197"/>
        <v>0</v>
      </c>
      <c r="O285" s="338">
        <f t="shared" si="205"/>
        <v>0</v>
      </c>
      <c r="P285" s="329">
        <f t="shared" si="198"/>
        <v>0</v>
      </c>
      <c r="Q285" s="338">
        <f t="shared" si="206"/>
        <v>0</v>
      </c>
      <c r="R285" s="329">
        <f t="shared" si="199"/>
        <v>0</v>
      </c>
      <c r="S285" s="338">
        <f t="shared" si="207"/>
        <v>0</v>
      </c>
      <c r="T285" s="329">
        <f t="shared" si="200"/>
        <v>0</v>
      </c>
      <c r="U285" s="338">
        <f t="shared" si="208"/>
        <v>0</v>
      </c>
      <c r="V285" s="329">
        <f t="shared" si="201"/>
        <v>0</v>
      </c>
      <c r="W285" s="338">
        <f t="shared" si="209"/>
        <v>0</v>
      </c>
      <c r="X285" s="35"/>
    </row>
    <row r="286" spans="1:24" x14ac:dyDescent="0.25">
      <c r="A286" s="335">
        <f t="shared" si="247"/>
        <v>43845</v>
      </c>
      <c r="B286" s="329">
        <f t="shared" si="213"/>
        <v>0</v>
      </c>
      <c r="C286" s="338">
        <f t="shared" si="243"/>
        <v>29000000</v>
      </c>
      <c r="D286" s="329">
        <f t="shared" si="215"/>
        <v>0</v>
      </c>
      <c r="E286" s="338">
        <f t="shared" si="244"/>
        <v>33030958.66</v>
      </c>
      <c r="F286" s="329">
        <f t="shared" si="230"/>
        <v>0</v>
      </c>
      <c r="G286" s="338">
        <f t="shared" si="245"/>
        <v>14950000</v>
      </c>
      <c r="H286" s="329">
        <f t="shared" si="194"/>
        <v>0</v>
      </c>
      <c r="I286" s="338">
        <f t="shared" si="246"/>
        <v>8500000</v>
      </c>
      <c r="J286" s="329">
        <f t="shared" si="195"/>
        <v>0</v>
      </c>
      <c r="K286" s="338">
        <f t="shared" si="203"/>
        <v>0</v>
      </c>
      <c r="L286" s="329">
        <f t="shared" si="196"/>
        <v>0</v>
      </c>
      <c r="M286" s="338">
        <f t="shared" si="204"/>
        <v>0</v>
      </c>
      <c r="N286" s="329">
        <f t="shared" si="197"/>
        <v>0</v>
      </c>
      <c r="O286" s="338">
        <f t="shared" si="205"/>
        <v>0</v>
      </c>
      <c r="P286" s="329">
        <f t="shared" si="198"/>
        <v>0</v>
      </c>
      <c r="Q286" s="338">
        <f t="shared" si="206"/>
        <v>0</v>
      </c>
      <c r="R286" s="329">
        <f t="shared" si="199"/>
        <v>0</v>
      </c>
      <c r="S286" s="338">
        <f t="shared" si="207"/>
        <v>0</v>
      </c>
      <c r="T286" s="329">
        <f t="shared" si="200"/>
        <v>0</v>
      </c>
      <c r="U286" s="338">
        <f t="shared" si="208"/>
        <v>0</v>
      </c>
      <c r="V286" s="329">
        <f t="shared" si="201"/>
        <v>0</v>
      </c>
      <c r="W286" s="338">
        <f t="shared" si="209"/>
        <v>0</v>
      </c>
      <c r="X286" s="35"/>
    </row>
    <row r="287" spans="1:24" x14ac:dyDescent="0.25">
      <c r="A287" s="335">
        <f t="shared" si="247"/>
        <v>43846</v>
      </c>
      <c r="B287" s="329">
        <f t="shared" si="213"/>
        <v>0</v>
      </c>
      <c r="C287" s="338">
        <f t="shared" si="243"/>
        <v>29000000</v>
      </c>
      <c r="D287" s="329">
        <f t="shared" si="215"/>
        <v>0</v>
      </c>
      <c r="E287" s="338">
        <f t="shared" si="244"/>
        <v>33030958.66</v>
      </c>
      <c r="F287" s="329">
        <f t="shared" si="230"/>
        <v>0</v>
      </c>
      <c r="G287" s="338">
        <f t="shared" si="245"/>
        <v>14950000</v>
      </c>
      <c r="H287" s="329">
        <f t="shared" si="194"/>
        <v>0</v>
      </c>
      <c r="I287" s="338">
        <f t="shared" si="246"/>
        <v>8500000</v>
      </c>
      <c r="J287" s="329">
        <f t="shared" si="195"/>
        <v>0</v>
      </c>
      <c r="K287" s="338">
        <f t="shared" si="203"/>
        <v>0</v>
      </c>
      <c r="L287" s="329">
        <f t="shared" si="196"/>
        <v>0</v>
      </c>
      <c r="M287" s="338">
        <f t="shared" si="204"/>
        <v>0</v>
      </c>
      <c r="N287" s="329">
        <f t="shared" si="197"/>
        <v>0</v>
      </c>
      <c r="O287" s="338">
        <f t="shared" si="205"/>
        <v>0</v>
      </c>
      <c r="P287" s="329">
        <f t="shared" si="198"/>
        <v>0</v>
      </c>
      <c r="Q287" s="338">
        <f t="shared" si="206"/>
        <v>0</v>
      </c>
      <c r="R287" s="329">
        <f t="shared" si="199"/>
        <v>0</v>
      </c>
      <c r="S287" s="338">
        <f t="shared" si="207"/>
        <v>0</v>
      </c>
      <c r="T287" s="329">
        <f t="shared" si="200"/>
        <v>0</v>
      </c>
      <c r="U287" s="338">
        <f t="shared" si="208"/>
        <v>0</v>
      </c>
      <c r="V287" s="329">
        <f t="shared" si="201"/>
        <v>0</v>
      </c>
      <c r="W287" s="338">
        <f t="shared" si="209"/>
        <v>0</v>
      </c>
      <c r="X287" s="35"/>
    </row>
    <row r="288" spans="1:24" x14ac:dyDescent="0.25">
      <c r="A288" s="335">
        <f t="shared" si="247"/>
        <v>43847</v>
      </c>
      <c r="B288" s="329">
        <f t="shared" si="213"/>
        <v>0</v>
      </c>
      <c r="C288" s="338">
        <f t="shared" si="243"/>
        <v>29000000</v>
      </c>
      <c r="D288" s="329">
        <f t="shared" si="215"/>
        <v>0</v>
      </c>
      <c r="E288" s="338">
        <f t="shared" si="244"/>
        <v>33030958.66</v>
      </c>
      <c r="F288" s="329">
        <f t="shared" si="230"/>
        <v>0</v>
      </c>
      <c r="G288" s="338">
        <f t="shared" si="245"/>
        <v>14950000</v>
      </c>
      <c r="H288" s="329">
        <f t="shared" si="194"/>
        <v>0</v>
      </c>
      <c r="I288" s="338">
        <f t="shared" si="246"/>
        <v>8500000</v>
      </c>
      <c r="J288" s="329">
        <f t="shared" si="195"/>
        <v>0</v>
      </c>
      <c r="K288" s="338">
        <f t="shared" si="203"/>
        <v>0</v>
      </c>
      <c r="L288" s="329">
        <f t="shared" si="196"/>
        <v>0</v>
      </c>
      <c r="M288" s="338">
        <f t="shared" si="204"/>
        <v>0</v>
      </c>
      <c r="N288" s="329">
        <f t="shared" si="197"/>
        <v>0</v>
      </c>
      <c r="O288" s="338">
        <f t="shared" si="205"/>
        <v>0</v>
      </c>
      <c r="P288" s="329">
        <f t="shared" si="198"/>
        <v>0</v>
      </c>
      <c r="Q288" s="338">
        <f t="shared" si="206"/>
        <v>0</v>
      </c>
      <c r="R288" s="329">
        <f t="shared" si="199"/>
        <v>0</v>
      </c>
      <c r="S288" s="338">
        <f t="shared" si="207"/>
        <v>0</v>
      </c>
      <c r="T288" s="329">
        <f t="shared" si="200"/>
        <v>0</v>
      </c>
      <c r="U288" s="338">
        <f t="shared" si="208"/>
        <v>0</v>
      </c>
      <c r="V288" s="329">
        <f t="shared" si="201"/>
        <v>0</v>
      </c>
      <c r="W288" s="338">
        <f t="shared" si="209"/>
        <v>0</v>
      </c>
      <c r="X288" s="35"/>
    </row>
    <row r="289" spans="1:38" x14ac:dyDescent="0.25">
      <c r="A289" s="336">
        <f>A288+4</f>
        <v>43851</v>
      </c>
      <c r="B289" s="329">
        <f t="shared" si="213"/>
        <v>0</v>
      </c>
      <c r="C289" s="338">
        <f t="shared" si="243"/>
        <v>29000000</v>
      </c>
      <c r="D289" s="329">
        <f t="shared" si="215"/>
        <v>0</v>
      </c>
      <c r="E289" s="338">
        <f t="shared" si="244"/>
        <v>33030958.66</v>
      </c>
      <c r="F289" s="329">
        <f t="shared" si="230"/>
        <v>0</v>
      </c>
      <c r="G289" s="338">
        <f t="shared" si="245"/>
        <v>14950000</v>
      </c>
      <c r="H289" s="329">
        <f t="shared" si="194"/>
        <v>0</v>
      </c>
      <c r="I289" s="338">
        <f t="shared" si="246"/>
        <v>8500000</v>
      </c>
      <c r="J289" s="329">
        <f t="shared" si="195"/>
        <v>0</v>
      </c>
      <c r="K289" s="338">
        <f t="shared" si="203"/>
        <v>0</v>
      </c>
      <c r="L289" s="329">
        <f t="shared" si="196"/>
        <v>0</v>
      </c>
      <c r="M289" s="338">
        <f t="shared" si="204"/>
        <v>0</v>
      </c>
      <c r="N289" s="329">
        <f t="shared" si="197"/>
        <v>0</v>
      </c>
      <c r="O289" s="338">
        <f t="shared" si="205"/>
        <v>0</v>
      </c>
      <c r="P289" s="329">
        <f t="shared" si="198"/>
        <v>0</v>
      </c>
      <c r="Q289" s="338">
        <f t="shared" si="206"/>
        <v>0</v>
      </c>
      <c r="R289" s="329">
        <f t="shared" si="199"/>
        <v>0</v>
      </c>
      <c r="S289" s="338">
        <f t="shared" si="207"/>
        <v>0</v>
      </c>
      <c r="T289" s="329">
        <f t="shared" si="200"/>
        <v>0</v>
      </c>
      <c r="U289" s="338">
        <f t="shared" si="208"/>
        <v>0</v>
      </c>
      <c r="V289" s="329">
        <f t="shared" si="201"/>
        <v>0</v>
      </c>
      <c r="W289" s="338">
        <f t="shared" si="209"/>
        <v>0</v>
      </c>
      <c r="X289" s="35"/>
    </row>
    <row r="290" spans="1:38" x14ac:dyDescent="0.25">
      <c r="A290" s="335">
        <f t="shared" ref="A290:A292" si="248">A289+1</f>
        <v>43852</v>
      </c>
      <c r="B290" s="329">
        <f t="shared" si="213"/>
        <v>0</v>
      </c>
      <c r="C290" s="338">
        <f t="shared" si="243"/>
        <v>29000000</v>
      </c>
      <c r="D290" s="329">
        <f t="shared" si="215"/>
        <v>0</v>
      </c>
      <c r="E290" s="338">
        <f t="shared" si="244"/>
        <v>33030958.66</v>
      </c>
      <c r="F290" s="329">
        <f t="shared" si="230"/>
        <v>0</v>
      </c>
      <c r="G290" s="338">
        <f t="shared" si="245"/>
        <v>14950000</v>
      </c>
      <c r="H290" s="329">
        <f t="shared" si="194"/>
        <v>0</v>
      </c>
      <c r="I290" s="338">
        <f t="shared" si="246"/>
        <v>8500000</v>
      </c>
      <c r="J290" s="329">
        <f t="shared" si="195"/>
        <v>0</v>
      </c>
      <c r="K290" s="338">
        <f t="shared" si="203"/>
        <v>0</v>
      </c>
      <c r="L290" s="329">
        <f t="shared" si="196"/>
        <v>0</v>
      </c>
      <c r="M290" s="338">
        <f t="shared" si="204"/>
        <v>0</v>
      </c>
      <c r="N290" s="329">
        <f t="shared" si="197"/>
        <v>0</v>
      </c>
      <c r="O290" s="338">
        <f t="shared" si="205"/>
        <v>0</v>
      </c>
      <c r="P290" s="329">
        <f t="shared" si="198"/>
        <v>0</v>
      </c>
      <c r="Q290" s="338">
        <f t="shared" si="206"/>
        <v>0</v>
      </c>
      <c r="R290" s="329">
        <f t="shared" si="199"/>
        <v>0</v>
      </c>
      <c r="S290" s="338">
        <f t="shared" si="207"/>
        <v>0</v>
      </c>
      <c r="T290" s="329">
        <f t="shared" si="200"/>
        <v>0</v>
      </c>
      <c r="U290" s="338">
        <f t="shared" si="208"/>
        <v>0</v>
      </c>
      <c r="V290" s="329">
        <f t="shared" si="201"/>
        <v>0</v>
      </c>
      <c r="W290" s="338">
        <f t="shared" si="209"/>
        <v>0</v>
      </c>
      <c r="X290" s="35"/>
    </row>
    <row r="291" spans="1:38" x14ac:dyDescent="0.25">
      <c r="A291" s="335">
        <f t="shared" si="248"/>
        <v>43853</v>
      </c>
      <c r="B291" s="329">
        <f t="shared" si="213"/>
        <v>5000000</v>
      </c>
      <c r="C291" s="338">
        <f t="shared" si="243"/>
        <v>34000000</v>
      </c>
      <c r="D291" s="329">
        <f t="shared" si="215"/>
        <v>0</v>
      </c>
      <c r="E291" s="338">
        <f t="shared" si="244"/>
        <v>33030958.66</v>
      </c>
      <c r="F291" s="329">
        <f t="shared" si="230"/>
        <v>0</v>
      </c>
      <c r="G291" s="338">
        <f t="shared" si="245"/>
        <v>14950000</v>
      </c>
      <c r="H291" s="329">
        <f t="shared" si="194"/>
        <v>0</v>
      </c>
      <c r="I291" s="338">
        <f t="shared" si="246"/>
        <v>8500000</v>
      </c>
      <c r="J291" s="329">
        <f t="shared" si="195"/>
        <v>0</v>
      </c>
      <c r="K291" s="338">
        <f t="shared" si="203"/>
        <v>0</v>
      </c>
      <c r="L291" s="329">
        <f t="shared" si="196"/>
        <v>0</v>
      </c>
      <c r="M291" s="338">
        <f t="shared" si="204"/>
        <v>0</v>
      </c>
      <c r="N291" s="329">
        <f t="shared" si="197"/>
        <v>0</v>
      </c>
      <c r="O291" s="338">
        <f t="shared" si="205"/>
        <v>0</v>
      </c>
      <c r="P291" s="329">
        <f t="shared" si="198"/>
        <v>0</v>
      </c>
      <c r="Q291" s="338">
        <f t="shared" si="206"/>
        <v>0</v>
      </c>
      <c r="R291" s="329">
        <f t="shared" si="199"/>
        <v>0</v>
      </c>
      <c r="S291" s="338">
        <f t="shared" si="207"/>
        <v>0</v>
      </c>
      <c r="T291" s="329">
        <f t="shared" si="200"/>
        <v>0</v>
      </c>
      <c r="U291" s="338">
        <f t="shared" si="208"/>
        <v>0</v>
      </c>
      <c r="V291" s="329">
        <f t="shared" si="201"/>
        <v>0</v>
      </c>
      <c r="W291" s="338">
        <f t="shared" si="209"/>
        <v>0</v>
      </c>
      <c r="X291" s="35"/>
    </row>
    <row r="292" spans="1:38" x14ac:dyDescent="0.25">
      <c r="A292" s="335">
        <f t="shared" si="248"/>
        <v>43854</v>
      </c>
      <c r="B292" s="329">
        <f t="shared" si="213"/>
        <v>0</v>
      </c>
      <c r="C292" s="338">
        <f t="shared" si="243"/>
        <v>34000000</v>
      </c>
      <c r="D292" s="329">
        <f t="shared" si="215"/>
        <v>0</v>
      </c>
      <c r="E292" s="338">
        <f t="shared" si="244"/>
        <v>33030958.66</v>
      </c>
      <c r="F292" s="329">
        <f t="shared" si="230"/>
        <v>0</v>
      </c>
      <c r="G292" s="338">
        <f t="shared" si="245"/>
        <v>14950000</v>
      </c>
      <c r="H292" s="329">
        <f t="shared" si="194"/>
        <v>0</v>
      </c>
      <c r="I292" s="338">
        <f t="shared" si="246"/>
        <v>8500000</v>
      </c>
      <c r="J292" s="329">
        <f t="shared" si="195"/>
        <v>0</v>
      </c>
      <c r="K292" s="338">
        <f t="shared" si="203"/>
        <v>0</v>
      </c>
      <c r="L292" s="329">
        <f t="shared" si="196"/>
        <v>0</v>
      </c>
      <c r="M292" s="338">
        <f t="shared" si="204"/>
        <v>0</v>
      </c>
      <c r="N292" s="329">
        <f t="shared" si="197"/>
        <v>0</v>
      </c>
      <c r="O292" s="338">
        <f t="shared" si="205"/>
        <v>0</v>
      </c>
      <c r="P292" s="329">
        <f t="shared" si="198"/>
        <v>0</v>
      </c>
      <c r="Q292" s="338">
        <f t="shared" si="206"/>
        <v>0</v>
      </c>
      <c r="R292" s="329">
        <f t="shared" si="199"/>
        <v>0</v>
      </c>
      <c r="S292" s="338">
        <f t="shared" si="207"/>
        <v>0</v>
      </c>
      <c r="T292" s="329">
        <f t="shared" si="200"/>
        <v>0</v>
      </c>
      <c r="U292" s="338">
        <f t="shared" si="208"/>
        <v>0</v>
      </c>
      <c r="V292" s="329">
        <f t="shared" si="201"/>
        <v>0</v>
      </c>
      <c r="W292" s="338">
        <f t="shared" si="209"/>
        <v>0</v>
      </c>
      <c r="X292" s="35"/>
    </row>
    <row r="293" spans="1:38" x14ac:dyDescent="0.25">
      <c r="A293" s="336">
        <f>A292+3</f>
        <v>43857</v>
      </c>
      <c r="B293" s="329">
        <f t="shared" si="213"/>
        <v>0</v>
      </c>
      <c r="C293" s="338">
        <f t="shared" si="243"/>
        <v>34000000</v>
      </c>
      <c r="D293" s="329">
        <f t="shared" si="215"/>
        <v>0</v>
      </c>
      <c r="E293" s="338">
        <f t="shared" si="244"/>
        <v>33030958.66</v>
      </c>
      <c r="F293" s="329">
        <f t="shared" si="230"/>
        <v>0</v>
      </c>
      <c r="G293" s="338">
        <f t="shared" si="245"/>
        <v>14950000</v>
      </c>
      <c r="H293" s="329">
        <f t="shared" si="194"/>
        <v>0</v>
      </c>
      <c r="I293" s="338">
        <f t="shared" si="246"/>
        <v>8500000</v>
      </c>
      <c r="J293" s="329">
        <f t="shared" si="195"/>
        <v>0</v>
      </c>
      <c r="K293" s="338">
        <f t="shared" si="203"/>
        <v>0</v>
      </c>
      <c r="L293" s="329">
        <f t="shared" si="196"/>
        <v>0</v>
      </c>
      <c r="M293" s="338">
        <f t="shared" si="204"/>
        <v>0</v>
      </c>
      <c r="N293" s="329">
        <f t="shared" si="197"/>
        <v>0</v>
      </c>
      <c r="O293" s="338">
        <f t="shared" si="205"/>
        <v>0</v>
      </c>
      <c r="P293" s="329">
        <f t="shared" si="198"/>
        <v>0</v>
      </c>
      <c r="Q293" s="338">
        <f t="shared" si="206"/>
        <v>0</v>
      </c>
      <c r="R293" s="329">
        <f t="shared" si="199"/>
        <v>0</v>
      </c>
      <c r="S293" s="338">
        <f t="shared" si="207"/>
        <v>0</v>
      </c>
      <c r="T293" s="329">
        <f t="shared" si="200"/>
        <v>0</v>
      </c>
      <c r="U293" s="338">
        <f t="shared" si="208"/>
        <v>0</v>
      </c>
      <c r="V293" s="329">
        <f t="shared" si="201"/>
        <v>0</v>
      </c>
      <c r="W293" s="338">
        <f t="shared" si="209"/>
        <v>0</v>
      </c>
      <c r="X293" s="35"/>
    </row>
    <row r="294" spans="1:38" x14ac:dyDescent="0.25">
      <c r="A294" s="335">
        <f t="shared" ref="A294:A338" si="249">A293+1</f>
        <v>43858</v>
      </c>
      <c r="B294" s="329">
        <f t="shared" si="213"/>
        <v>0</v>
      </c>
      <c r="C294" s="338">
        <f t="shared" si="243"/>
        <v>34000000</v>
      </c>
      <c r="D294" s="329">
        <f t="shared" si="215"/>
        <v>0</v>
      </c>
      <c r="E294" s="338">
        <f t="shared" si="244"/>
        <v>33030958.66</v>
      </c>
      <c r="F294" s="329">
        <f t="shared" si="230"/>
        <v>0</v>
      </c>
      <c r="G294" s="338">
        <f t="shared" si="245"/>
        <v>14950000</v>
      </c>
      <c r="H294" s="329">
        <f t="shared" si="194"/>
        <v>0</v>
      </c>
      <c r="I294" s="338">
        <f t="shared" si="246"/>
        <v>8500000</v>
      </c>
      <c r="J294" s="329">
        <f t="shared" si="195"/>
        <v>0</v>
      </c>
      <c r="K294" s="338">
        <f t="shared" si="203"/>
        <v>0</v>
      </c>
      <c r="L294" s="329">
        <f t="shared" si="196"/>
        <v>0</v>
      </c>
      <c r="M294" s="338">
        <f t="shared" si="204"/>
        <v>0</v>
      </c>
      <c r="N294" s="329">
        <f t="shared" si="197"/>
        <v>0</v>
      </c>
      <c r="O294" s="338">
        <f t="shared" si="205"/>
        <v>0</v>
      </c>
      <c r="P294" s="329">
        <f t="shared" si="198"/>
        <v>0</v>
      </c>
      <c r="Q294" s="338">
        <f t="shared" si="206"/>
        <v>0</v>
      </c>
      <c r="R294" s="329">
        <f t="shared" si="199"/>
        <v>0</v>
      </c>
      <c r="S294" s="338">
        <f t="shared" si="207"/>
        <v>0</v>
      </c>
      <c r="T294" s="329">
        <f t="shared" si="200"/>
        <v>0</v>
      </c>
      <c r="U294" s="338">
        <f t="shared" si="208"/>
        <v>0</v>
      </c>
      <c r="V294" s="329">
        <f t="shared" si="201"/>
        <v>0</v>
      </c>
      <c r="W294" s="338">
        <f t="shared" si="209"/>
        <v>0</v>
      </c>
      <c r="X294" s="35"/>
    </row>
    <row r="295" spans="1:38" x14ac:dyDescent="0.25">
      <c r="A295" s="335">
        <f t="shared" si="249"/>
        <v>43859</v>
      </c>
      <c r="B295" s="329">
        <f t="shared" si="213"/>
        <v>0</v>
      </c>
      <c r="C295" s="338">
        <f t="shared" si="243"/>
        <v>34000000</v>
      </c>
      <c r="D295" s="329">
        <f t="shared" si="215"/>
        <v>0</v>
      </c>
      <c r="E295" s="338">
        <f t="shared" si="244"/>
        <v>33030958.66</v>
      </c>
      <c r="F295" s="329">
        <f t="shared" si="230"/>
        <v>0</v>
      </c>
      <c r="G295" s="338">
        <f t="shared" si="245"/>
        <v>14950000</v>
      </c>
      <c r="H295" s="329">
        <f t="shared" si="194"/>
        <v>0</v>
      </c>
      <c r="I295" s="338">
        <f t="shared" si="246"/>
        <v>8500000</v>
      </c>
      <c r="J295" s="329">
        <f t="shared" si="195"/>
        <v>0</v>
      </c>
      <c r="K295" s="338">
        <f t="shared" si="203"/>
        <v>0</v>
      </c>
      <c r="L295" s="329">
        <f t="shared" si="196"/>
        <v>0</v>
      </c>
      <c r="M295" s="338">
        <f t="shared" si="204"/>
        <v>0</v>
      </c>
      <c r="N295" s="329">
        <f t="shared" si="197"/>
        <v>0</v>
      </c>
      <c r="O295" s="338">
        <f t="shared" si="205"/>
        <v>0</v>
      </c>
      <c r="P295" s="329">
        <f t="shared" si="198"/>
        <v>0</v>
      </c>
      <c r="Q295" s="338">
        <f t="shared" si="206"/>
        <v>0</v>
      </c>
      <c r="R295" s="329">
        <f t="shared" si="199"/>
        <v>0</v>
      </c>
      <c r="S295" s="338">
        <f t="shared" si="207"/>
        <v>0</v>
      </c>
      <c r="T295" s="329">
        <f t="shared" si="200"/>
        <v>0</v>
      </c>
      <c r="U295" s="338">
        <f t="shared" si="208"/>
        <v>0</v>
      </c>
      <c r="V295" s="329">
        <f t="shared" si="201"/>
        <v>0</v>
      </c>
      <c r="W295" s="338">
        <f t="shared" si="209"/>
        <v>0</v>
      </c>
      <c r="X295" s="35"/>
    </row>
    <row r="296" spans="1:38" x14ac:dyDescent="0.25">
      <c r="A296" s="335">
        <f t="shared" si="249"/>
        <v>43860</v>
      </c>
      <c r="B296" s="329">
        <f t="shared" si="213"/>
        <v>0</v>
      </c>
      <c r="C296" s="338">
        <f t="shared" si="243"/>
        <v>34000000</v>
      </c>
      <c r="D296" s="329">
        <f t="shared" si="215"/>
        <v>0</v>
      </c>
      <c r="E296" s="338">
        <f t="shared" si="244"/>
        <v>33030958.66</v>
      </c>
      <c r="F296" s="329">
        <f t="shared" si="230"/>
        <v>0</v>
      </c>
      <c r="G296" s="338">
        <f t="shared" si="245"/>
        <v>14950000</v>
      </c>
      <c r="H296" s="329">
        <f t="shared" si="194"/>
        <v>0</v>
      </c>
      <c r="I296" s="338">
        <f t="shared" si="246"/>
        <v>8500000</v>
      </c>
      <c r="J296" s="329">
        <f t="shared" si="195"/>
        <v>0</v>
      </c>
      <c r="K296" s="338">
        <f t="shared" si="203"/>
        <v>0</v>
      </c>
      <c r="L296" s="329">
        <f t="shared" si="196"/>
        <v>0</v>
      </c>
      <c r="M296" s="338">
        <f t="shared" si="204"/>
        <v>0</v>
      </c>
      <c r="N296" s="329">
        <f t="shared" si="197"/>
        <v>0</v>
      </c>
      <c r="O296" s="338">
        <f t="shared" si="205"/>
        <v>0</v>
      </c>
      <c r="P296" s="329">
        <f t="shared" si="198"/>
        <v>0</v>
      </c>
      <c r="Q296" s="338">
        <f t="shared" si="206"/>
        <v>0</v>
      </c>
      <c r="R296" s="329">
        <f t="shared" si="199"/>
        <v>0</v>
      </c>
      <c r="S296" s="338">
        <f t="shared" si="207"/>
        <v>0</v>
      </c>
      <c r="T296" s="329">
        <f t="shared" si="200"/>
        <v>0</v>
      </c>
      <c r="U296" s="338">
        <f t="shared" si="208"/>
        <v>0</v>
      </c>
      <c r="V296" s="329">
        <f t="shared" si="201"/>
        <v>0</v>
      </c>
      <c r="W296" s="338">
        <f t="shared" si="209"/>
        <v>0</v>
      </c>
      <c r="X296" s="35"/>
    </row>
    <row r="297" spans="1:38" x14ac:dyDescent="0.25">
      <c r="A297" s="335">
        <f t="shared" si="249"/>
        <v>43861</v>
      </c>
      <c r="B297" s="329">
        <f t="shared" si="213"/>
        <v>0</v>
      </c>
      <c r="C297" s="338">
        <f t="shared" si="243"/>
        <v>34000000</v>
      </c>
      <c r="D297" s="329">
        <f t="shared" si="215"/>
        <v>0</v>
      </c>
      <c r="E297" s="338">
        <f t="shared" si="244"/>
        <v>33030958.66</v>
      </c>
      <c r="F297" s="329">
        <f t="shared" si="230"/>
        <v>0</v>
      </c>
      <c r="G297" s="338">
        <f t="shared" si="245"/>
        <v>14950000</v>
      </c>
      <c r="H297" s="329">
        <f t="shared" si="194"/>
        <v>0</v>
      </c>
      <c r="I297" s="338">
        <f t="shared" si="246"/>
        <v>8500000</v>
      </c>
      <c r="J297" s="329">
        <f t="shared" si="195"/>
        <v>0</v>
      </c>
      <c r="K297" s="338">
        <f t="shared" si="203"/>
        <v>0</v>
      </c>
      <c r="L297" s="329">
        <f t="shared" si="196"/>
        <v>0</v>
      </c>
      <c r="M297" s="338">
        <f t="shared" si="204"/>
        <v>0</v>
      </c>
      <c r="N297" s="329">
        <f t="shared" si="197"/>
        <v>0</v>
      </c>
      <c r="O297" s="338">
        <f t="shared" si="205"/>
        <v>0</v>
      </c>
      <c r="P297" s="329">
        <f t="shared" si="198"/>
        <v>0</v>
      </c>
      <c r="Q297" s="338">
        <f t="shared" si="206"/>
        <v>0</v>
      </c>
      <c r="R297" s="329">
        <f t="shared" si="199"/>
        <v>0</v>
      </c>
      <c r="S297" s="338">
        <f t="shared" si="207"/>
        <v>0</v>
      </c>
      <c r="T297" s="329">
        <f t="shared" si="200"/>
        <v>0</v>
      </c>
      <c r="U297" s="338">
        <f t="shared" si="208"/>
        <v>0</v>
      </c>
      <c r="V297" s="329">
        <f t="shared" si="201"/>
        <v>0</v>
      </c>
      <c r="W297" s="338">
        <f t="shared" si="209"/>
        <v>0</v>
      </c>
      <c r="X297" s="35"/>
    </row>
    <row r="298" spans="1:38" s="765" customFormat="1" x14ac:dyDescent="0.25">
      <c r="A298" s="336">
        <f>A297+3</f>
        <v>43864</v>
      </c>
      <c r="B298" s="329">
        <f t="shared" si="213"/>
        <v>0</v>
      </c>
      <c r="C298" s="338">
        <f t="shared" ref="C298:C329" si="250">B298+C297</f>
        <v>34000000</v>
      </c>
      <c r="D298" s="329">
        <f t="shared" si="215"/>
        <v>0</v>
      </c>
      <c r="E298" s="338">
        <f t="shared" ref="E298:E329" si="251">D298+E297</f>
        <v>33030958.66</v>
      </c>
      <c r="F298" s="329">
        <f t="shared" si="230"/>
        <v>3800000</v>
      </c>
      <c r="G298" s="338">
        <f t="shared" ref="G298:G329" si="252">F298+G297</f>
        <v>18750000</v>
      </c>
      <c r="H298" s="329">
        <f t="shared" si="194"/>
        <v>0</v>
      </c>
      <c r="I298" s="338">
        <f t="shared" ref="I298:I329" si="253">H298+I297</f>
        <v>8500000</v>
      </c>
      <c r="J298" s="329">
        <f t="shared" si="195"/>
        <v>0</v>
      </c>
      <c r="K298" s="338">
        <f t="shared" si="203"/>
        <v>0</v>
      </c>
      <c r="L298" s="329">
        <f t="shared" si="196"/>
        <v>0</v>
      </c>
      <c r="M298" s="338">
        <f t="shared" si="204"/>
        <v>0</v>
      </c>
      <c r="N298" s="329">
        <f t="shared" si="197"/>
        <v>0</v>
      </c>
      <c r="O298" s="338">
        <f t="shared" si="205"/>
        <v>0</v>
      </c>
      <c r="P298" s="329">
        <f t="shared" si="198"/>
        <v>0</v>
      </c>
      <c r="Q298" s="338">
        <f t="shared" si="206"/>
        <v>0</v>
      </c>
      <c r="R298" s="329">
        <f t="shared" si="199"/>
        <v>0</v>
      </c>
      <c r="S298" s="338">
        <f t="shared" si="207"/>
        <v>0</v>
      </c>
      <c r="T298" s="329">
        <f t="shared" si="200"/>
        <v>0</v>
      </c>
      <c r="U298" s="338">
        <f t="shared" si="208"/>
        <v>0</v>
      </c>
      <c r="V298" s="329">
        <f t="shared" si="201"/>
        <v>0</v>
      </c>
      <c r="W298" s="338">
        <f t="shared" si="209"/>
        <v>0</v>
      </c>
      <c r="X298" s="35"/>
      <c r="Y298" s="2"/>
      <c r="Z298" s="2"/>
      <c r="AA298" s="2"/>
      <c r="AB298" s="2"/>
      <c r="AG298" s="2"/>
      <c r="AJ298" s="2"/>
      <c r="AK298" s="2"/>
      <c r="AL298" s="2"/>
    </row>
    <row r="299" spans="1:38" s="765" customFormat="1" x14ac:dyDescent="0.25">
      <c r="A299" s="335">
        <f t="shared" si="249"/>
        <v>43865</v>
      </c>
      <c r="B299" s="329">
        <f t="shared" si="213"/>
        <v>0</v>
      </c>
      <c r="C299" s="338">
        <f t="shared" si="250"/>
        <v>34000000</v>
      </c>
      <c r="D299" s="329">
        <f t="shared" si="215"/>
        <v>0</v>
      </c>
      <c r="E299" s="338">
        <f t="shared" si="251"/>
        <v>33030958.66</v>
      </c>
      <c r="F299" s="329">
        <f t="shared" si="230"/>
        <v>0</v>
      </c>
      <c r="G299" s="338">
        <f t="shared" si="252"/>
        <v>18750000</v>
      </c>
      <c r="H299" s="329">
        <f t="shared" ref="H299:H362" si="254">SUMIFS(Usage_Main,CF_Dates,$A299,CF_Descriptions,"XS2091648928 Change")</f>
        <v>0</v>
      </c>
      <c r="I299" s="338">
        <f t="shared" si="253"/>
        <v>8500000</v>
      </c>
      <c r="J299" s="329">
        <f t="shared" ref="J299:J362" si="255">SUMIFS(Usage_Main,CF_Dates,$A299,CF_Descriptions,"Southern Apple Change")</f>
        <v>0</v>
      </c>
      <c r="K299" s="338">
        <f t="shared" si="203"/>
        <v>0</v>
      </c>
      <c r="L299" s="329">
        <f t="shared" ref="L299:L362" si="256">SUMIFS(Usage_Main,CF_Dates,$A299,CF_Descriptions,"ALMONDUSD Change")</f>
        <v>0</v>
      </c>
      <c r="M299" s="338">
        <f t="shared" si="204"/>
        <v>0</v>
      </c>
      <c r="N299" s="329">
        <f t="shared" ref="N299:N362" si="257">SUMIFS(Usage_Main,CF_Dates,$A299,CF_Descriptions,"ALMONDEUR Change")</f>
        <v>0</v>
      </c>
      <c r="O299" s="338">
        <f t="shared" si="205"/>
        <v>0</v>
      </c>
      <c r="P299" s="329">
        <f t="shared" ref="P299:P362" si="258">SUMIFS(Usage_Main,CF_Dates,$A299,CF_Descriptions,"HEXZETA Change")</f>
        <v>0</v>
      </c>
      <c r="Q299" s="338">
        <f t="shared" si="206"/>
        <v>0</v>
      </c>
      <c r="R299" s="329">
        <f t="shared" ref="R299:R362" si="259">SUMIFS(Usage_Main,CF_Dates,$A299,CF_Descriptions,"MNTNCHERRY Change")</f>
        <v>0</v>
      </c>
      <c r="S299" s="338">
        <f t="shared" si="207"/>
        <v>0</v>
      </c>
      <c r="T299" s="329">
        <f t="shared" ref="T299:T362" si="260">SUMIFS(Usage_Main,CF_Dates,$A299,CF_Descriptions,"OLIVEUSD Change")</f>
        <v>0</v>
      </c>
      <c r="U299" s="338">
        <f t="shared" si="208"/>
        <v>0</v>
      </c>
      <c r="V299" s="329">
        <f t="shared" ref="V299:V362" si="261">SUMIFS(Usage_Main,CF_Dates,$A299,CF_Descriptions,"OLIVEEUR Change")</f>
        <v>0</v>
      </c>
      <c r="W299" s="338">
        <f t="shared" si="209"/>
        <v>0</v>
      </c>
      <c r="X299" s="35"/>
    </row>
    <row r="300" spans="1:38" s="765" customFormat="1" x14ac:dyDescent="0.25">
      <c r="A300" s="335">
        <f t="shared" si="249"/>
        <v>43866</v>
      </c>
      <c r="B300" s="329">
        <f t="shared" si="213"/>
        <v>0</v>
      </c>
      <c r="C300" s="338">
        <f t="shared" si="250"/>
        <v>34000000</v>
      </c>
      <c r="D300" s="329">
        <f t="shared" si="215"/>
        <v>0</v>
      </c>
      <c r="E300" s="338">
        <f t="shared" si="251"/>
        <v>33030958.66</v>
      </c>
      <c r="F300" s="329">
        <f t="shared" si="230"/>
        <v>0</v>
      </c>
      <c r="G300" s="338">
        <f t="shared" si="252"/>
        <v>18750000</v>
      </c>
      <c r="H300" s="329">
        <f t="shared" si="254"/>
        <v>0</v>
      </c>
      <c r="I300" s="338">
        <f t="shared" si="253"/>
        <v>8500000</v>
      </c>
      <c r="J300" s="329">
        <f t="shared" si="255"/>
        <v>0</v>
      </c>
      <c r="K300" s="338">
        <f t="shared" ref="K300:K363" si="262">J300+K299</f>
        <v>0</v>
      </c>
      <c r="L300" s="329">
        <f t="shared" si="256"/>
        <v>0</v>
      </c>
      <c r="M300" s="338">
        <f t="shared" ref="M300:M363" si="263">L300+M299</f>
        <v>0</v>
      </c>
      <c r="N300" s="329">
        <f t="shared" si="257"/>
        <v>0</v>
      </c>
      <c r="O300" s="338">
        <f t="shared" ref="O300:O363" si="264">N300+O299</f>
        <v>0</v>
      </c>
      <c r="P300" s="329">
        <f t="shared" si="258"/>
        <v>0</v>
      </c>
      <c r="Q300" s="338">
        <f t="shared" ref="Q300:Q363" si="265">P300+Q299</f>
        <v>0</v>
      </c>
      <c r="R300" s="329">
        <f t="shared" si="259"/>
        <v>0</v>
      </c>
      <c r="S300" s="338">
        <f t="shared" ref="S300:S363" si="266">R300+S299</f>
        <v>0</v>
      </c>
      <c r="T300" s="329">
        <f t="shared" si="260"/>
        <v>0</v>
      </c>
      <c r="U300" s="338">
        <f t="shared" ref="U300:U363" si="267">T300+U299</f>
        <v>0</v>
      </c>
      <c r="V300" s="329">
        <f t="shared" si="261"/>
        <v>0</v>
      </c>
      <c r="W300" s="338">
        <f t="shared" ref="W300:W363" si="268">V300+W299</f>
        <v>0</v>
      </c>
      <c r="X300" s="35"/>
    </row>
    <row r="301" spans="1:38" s="765" customFormat="1" x14ac:dyDescent="0.25">
      <c r="A301" s="335">
        <f t="shared" si="249"/>
        <v>43867</v>
      </c>
      <c r="B301" s="329">
        <f t="shared" si="213"/>
        <v>0</v>
      </c>
      <c r="C301" s="338">
        <f t="shared" si="250"/>
        <v>34000000</v>
      </c>
      <c r="D301" s="329">
        <f t="shared" si="215"/>
        <v>0</v>
      </c>
      <c r="E301" s="338">
        <f t="shared" si="251"/>
        <v>33030958.66</v>
      </c>
      <c r="F301" s="329">
        <f t="shared" si="230"/>
        <v>0</v>
      </c>
      <c r="G301" s="338">
        <f t="shared" si="252"/>
        <v>18750000</v>
      </c>
      <c r="H301" s="329">
        <f t="shared" si="254"/>
        <v>0</v>
      </c>
      <c r="I301" s="338">
        <f t="shared" si="253"/>
        <v>8500000</v>
      </c>
      <c r="J301" s="329">
        <f t="shared" si="255"/>
        <v>0</v>
      </c>
      <c r="K301" s="338">
        <f t="shared" si="262"/>
        <v>0</v>
      </c>
      <c r="L301" s="329">
        <f t="shared" si="256"/>
        <v>0</v>
      </c>
      <c r="M301" s="338">
        <f t="shared" si="263"/>
        <v>0</v>
      </c>
      <c r="N301" s="329">
        <f t="shared" si="257"/>
        <v>0</v>
      </c>
      <c r="O301" s="338">
        <f t="shared" si="264"/>
        <v>0</v>
      </c>
      <c r="P301" s="329">
        <f t="shared" si="258"/>
        <v>0</v>
      </c>
      <c r="Q301" s="338">
        <f t="shared" si="265"/>
        <v>0</v>
      </c>
      <c r="R301" s="329">
        <f t="shared" si="259"/>
        <v>0</v>
      </c>
      <c r="S301" s="338">
        <f t="shared" si="266"/>
        <v>0</v>
      </c>
      <c r="T301" s="329">
        <f t="shared" si="260"/>
        <v>0</v>
      </c>
      <c r="U301" s="338">
        <f t="shared" si="267"/>
        <v>0</v>
      </c>
      <c r="V301" s="329">
        <f t="shared" si="261"/>
        <v>0</v>
      </c>
      <c r="W301" s="338">
        <f t="shared" si="268"/>
        <v>0</v>
      </c>
      <c r="X301" s="35"/>
    </row>
    <row r="302" spans="1:38" s="765" customFormat="1" x14ac:dyDescent="0.25">
      <c r="A302" s="335">
        <f t="shared" si="249"/>
        <v>43868</v>
      </c>
      <c r="B302" s="329">
        <f t="shared" si="213"/>
        <v>0</v>
      </c>
      <c r="C302" s="338">
        <f t="shared" si="250"/>
        <v>34000000</v>
      </c>
      <c r="D302" s="329">
        <f t="shared" si="215"/>
        <v>0</v>
      </c>
      <c r="E302" s="338">
        <f t="shared" si="251"/>
        <v>33030958.66</v>
      </c>
      <c r="F302" s="329">
        <f t="shared" si="230"/>
        <v>0</v>
      </c>
      <c r="G302" s="338">
        <f t="shared" si="252"/>
        <v>18750000</v>
      </c>
      <c r="H302" s="329">
        <f t="shared" si="254"/>
        <v>0</v>
      </c>
      <c r="I302" s="338">
        <f t="shared" si="253"/>
        <v>8500000</v>
      </c>
      <c r="J302" s="329">
        <f t="shared" si="255"/>
        <v>0</v>
      </c>
      <c r="K302" s="338">
        <f t="shared" si="262"/>
        <v>0</v>
      </c>
      <c r="L302" s="329">
        <f t="shared" si="256"/>
        <v>0</v>
      </c>
      <c r="M302" s="338">
        <f t="shared" si="263"/>
        <v>0</v>
      </c>
      <c r="N302" s="329">
        <f t="shared" si="257"/>
        <v>0</v>
      </c>
      <c r="O302" s="338">
        <f t="shared" si="264"/>
        <v>0</v>
      </c>
      <c r="P302" s="329">
        <f t="shared" si="258"/>
        <v>0</v>
      </c>
      <c r="Q302" s="338">
        <f t="shared" si="265"/>
        <v>0</v>
      </c>
      <c r="R302" s="329">
        <f t="shared" si="259"/>
        <v>0</v>
      </c>
      <c r="S302" s="338">
        <f t="shared" si="266"/>
        <v>0</v>
      </c>
      <c r="T302" s="329">
        <f t="shared" si="260"/>
        <v>0</v>
      </c>
      <c r="U302" s="338">
        <f t="shared" si="267"/>
        <v>0</v>
      </c>
      <c r="V302" s="329">
        <f t="shared" si="261"/>
        <v>0</v>
      </c>
      <c r="W302" s="338">
        <f t="shared" si="268"/>
        <v>0</v>
      </c>
      <c r="X302" s="35"/>
    </row>
    <row r="303" spans="1:38" s="765" customFormat="1" x14ac:dyDescent="0.25">
      <c r="A303" s="336">
        <f>A302+3</f>
        <v>43871</v>
      </c>
      <c r="B303" s="329">
        <f t="shared" si="213"/>
        <v>0</v>
      </c>
      <c r="C303" s="338">
        <f t="shared" si="250"/>
        <v>34000000</v>
      </c>
      <c r="D303" s="329">
        <f t="shared" si="215"/>
        <v>0</v>
      </c>
      <c r="E303" s="338">
        <f t="shared" si="251"/>
        <v>33030958.66</v>
      </c>
      <c r="F303" s="329">
        <f t="shared" si="230"/>
        <v>0</v>
      </c>
      <c r="G303" s="338">
        <f t="shared" si="252"/>
        <v>18750000</v>
      </c>
      <c r="H303" s="329">
        <f t="shared" si="254"/>
        <v>0</v>
      </c>
      <c r="I303" s="338">
        <f t="shared" si="253"/>
        <v>8500000</v>
      </c>
      <c r="J303" s="329">
        <f t="shared" si="255"/>
        <v>0</v>
      </c>
      <c r="K303" s="338">
        <f t="shared" si="262"/>
        <v>0</v>
      </c>
      <c r="L303" s="329">
        <f t="shared" si="256"/>
        <v>0</v>
      </c>
      <c r="M303" s="338">
        <f t="shared" si="263"/>
        <v>0</v>
      </c>
      <c r="N303" s="329">
        <f t="shared" si="257"/>
        <v>0</v>
      </c>
      <c r="O303" s="338">
        <f t="shared" si="264"/>
        <v>0</v>
      </c>
      <c r="P303" s="329">
        <f t="shared" si="258"/>
        <v>0</v>
      </c>
      <c r="Q303" s="338">
        <f t="shared" si="265"/>
        <v>0</v>
      </c>
      <c r="R303" s="329">
        <f t="shared" si="259"/>
        <v>0</v>
      </c>
      <c r="S303" s="338">
        <f t="shared" si="266"/>
        <v>0</v>
      </c>
      <c r="T303" s="329">
        <f t="shared" si="260"/>
        <v>0</v>
      </c>
      <c r="U303" s="338">
        <f t="shared" si="267"/>
        <v>0</v>
      </c>
      <c r="V303" s="329">
        <f t="shared" si="261"/>
        <v>0</v>
      </c>
      <c r="W303" s="338">
        <f t="shared" si="268"/>
        <v>0</v>
      </c>
      <c r="X303" s="35"/>
    </row>
    <row r="304" spans="1:38" s="765" customFormat="1" x14ac:dyDescent="0.25">
      <c r="A304" s="335">
        <f t="shared" si="249"/>
        <v>43872</v>
      </c>
      <c r="B304" s="329">
        <f t="shared" si="213"/>
        <v>0</v>
      </c>
      <c r="C304" s="338">
        <f t="shared" si="250"/>
        <v>34000000</v>
      </c>
      <c r="D304" s="329">
        <f t="shared" si="215"/>
        <v>0</v>
      </c>
      <c r="E304" s="338">
        <f t="shared" si="251"/>
        <v>33030958.66</v>
      </c>
      <c r="F304" s="329">
        <f t="shared" si="230"/>
        <v>0</v>
      </c>
      <c r="G304" s="338">
        <f t="shared" si="252"/>
        <v>18750000</v>
      </c>
      <c r="H304" s="329">
        <f t="shared" si="254"/>
        <v>0</v>
      </c>
      <c r="I304" s="338">
        <f t="shared" si="253"/>
        <v>8500000</v>
      </c>
      <c r="J304" s="329">
        <f t="shared" si="255"/>
        <v>0</v>
      </c>
      <c r="K304" s="338">
        <f t="shared" si="262"/>
        <v>0</v>
      </c>
      <c r="L304" s="329">
        <f t="shared" si="256"/>
        <v>0</v>
      </c>
      <c r="M304" s="338">
        <f t="shared" si="263"/>
        <v>0</v>
      </c>
      <c r="N304" s="329">
        <f t="shared" si="257"/>
        <v>0</v>
      </c>
      <c r="O304" s="338">
        <f t="shared" si="264"/>
        <v>0</v>
      </c>
      <c r="P304" s="329">
        <f t="shared" si="258"/>
        <v>0</v>
      </c>
      <c r="Q304" s="338">
        <f t="shared" si="265"/>
        <v>0</v>
      </c>
      <c r="R304" s="329">
        <f t="shared" si="259"/>
        <v>0</v>
      </c>
      <c r="S304" s="338">
        <f t="shared" si="266"/>
        <v>0</v>
      </c>
      <c r="T304" s="329">
        <f t="shared" si="260"/>
        <v>0</v>
      </c>
      <c r="U304" s="338">
        <f t="shared" si="267"/>
        <v>0</v>
      </c>
      <c r="V304" s="329">
        <f t="shared" si="261"/>
        <v>0</v>
      </c>
      <c r="W304" s="338">
        <f t="shared" si="268"/>
        <v>0</v>
      </c>
      <c r="X304" s="35"/>
    </row>
    <row r="305" spans="1:24" s="765" customFormat="1" x14ac:dyDescent="0.25">
      <c r="A305" s="335">
        <f t="shared" si="249"/>
        <v>43873</v>
      </c>
      <c r="B305" s="329">
        <f t="shared" si="213"/>
        <v>0</v>
      </c>
      <c r="C305" s="338">
        <f t="shared" si="250"/>
        <v>34000000</v>
      </c>
      <c r="D305" s="329">
        <f t="shared" si="215"/>
        <v>0</v>
      </c>
      <c r="E305" s="338">
        <f t="shared" si="251"/>
        <v>33030958.66</v>
      </c>
      <c r="F305" s="329">
        <f t="shared" si="230"/>
        <v>0</v>
      </c>
      <c r="G305" s="338">
        <f t="shared" si="252"/>
        <v>18750000</v>
      </c>
      <c r="H305" s="329">
        <f t="shared" si="254"/>
        <v>0</v>
      </c>
      <c r="I305" s="338">
        <f t="shared" si="253"/>
        <v>8500000</v>
      </c>
      <c r="J305" s="329">
        <f t="shared" si="255"/>
        <v>0</v>
      </c>
      <c r="K305" s="338">
        <f t="shared" si="262"/>
        <v>0</v>
      </c>
      <c r="L305" s="329">
        <f t="shared" si="256"/>
        <v>0</v>
      </c>
      <c r="M305" s="338">
        <f t="shared" si="263"/>
        <v>0</v>
      </c>
      <c r="N305" s="329">
        <f t="shared" si="257"/>
        <v>0</v>
      </c>
      <c r="O305" s="338">
        <f t="shared" si="264"/>
        <v>0</v>
      </c>
      <c r="P305" s="329">
        <f t="shared" si="258"/>
        <v>0</v>
      </c>
      <c r="Q305" s="338">
        <f t="shared" si="265"/>
        <v>0</v>
      </c>
      <c r="R305" s="329">
        <f t="shared" si="259"/>
        <v>0</v>
      </c>
      <c r="S305" s="338">
        <f t="shared" si="266"/>
        <v>0</v>
      </c>
      <c r="T305" s="329">
        <f t="shared" si="260"/>
        <v>0</v>
      </c>
      <c r="U305" s="338">
        <f t="shared" si="267"/>
        <v>0</v>
      </c>
      <c r="V305" s="329">
        <f t="shared" si="261"/>
        <v>0</v>
      </c>
      <c r="W305" s="338">
        <f t="shared" si="268"/>
        <v>0</v>
      </c>
      <c r="X305" s="35"/>
    </row>
    <row r="306" spans="1:24" s="765" customFormat="1" x14ac:dyDescent="0.25">
      <c r="A306" s="335">
        <f t="shared" si="249"/>
        <v>43874</v>
      </c>
      <c r="B306" s="329">
        <f t="shared" si="213"/>
        <v>0</v>
      </c>
      <c r="C306" s="338">
        <f t="shared" si="250"/>
        <v>34000000</v>
      </c>
      <c r="D306" s="329">
        <f t="shared" si="215"/>
        <v>0</v>
      </c>
      <c r="E306" s="338">
        <f t="shared" si="251"/>
        <v>33030958.66</v>
      </c>
      <c r="F306" s="329">
        <f t="shared" si="230"/>
        <v>0</v>
      </c>
      <c r="G306" s="338">
        <f t="shared" si="252"/>
        <v>18750000</v>
      </c>
      <c r="H306" s="329">
        <f t="shared" si="254"/>
        <v>0</v>
      </c>
      <c r="I306" s="338">
        <f t="shared" si="253"/>
        <v>8500000</v>
      </c>
      <c r="J306" s="329">
        <f t="shared" si="255"/>
        <v>0</v>
      </c>
      <c r="K306" s="338">
        <f t="shared" si="262"/>
        <v>0</v>
      </c>
      <c r="L306" s="329">
        <f t="shared" si="256"/>
        <v>0</v>
      </c>
      <c r="M306" s="338">
        <f t="shared" si="263"/>
        <v>0</v>
      </c>
      <c r="N306" s="329">
        <f t="shared" si="257"/>
        <v>0</v>
      </c>
      <c r="O306" s="338">
        <f t="shared" si="264"/>
        <v>0</v>
      </c>
      <c r="P306" s="329">
        <f t="shared" si="258"/>
        <v>0</v>
      </c>
      <c r="Q306" s="338">
        <f t="shared" si="265"/>
        <v>0</v>
      </c>
      <c r="R306" s="329">
        <f t="shared" si="259"/>
        <v>0</v>
      </c>
      <c r="S306" s="338">
        <f t="shared" si="266"/>
        <v>0</v>
      </c>
      <c r="T306" s="329">
        <f t="shared" si="260"/>
        <v>0</v>
      </c>
      <c r="U306" s="338">
        <f t="shared" si="267"/>
        <v>0</v>
      </c>
      <c r="V306" s="329">
        <f t="shared" si="261"/>
        <v>0</v>
      </c>
      <c r="W306" s="338">
        <f t="shared" si="268"/>
        <v>0</v>
      </c>
      <c r="X306" s="35"/>
    </row>
    <row r="307" spans="1:24" s="765" customFormat="1" x14ac:dyDescent="0.25">
      <c r="A307" s="335">
        <f t="shared" si="249"/>
        <v>43875</v>
      </c>
      <c r="B307" s="329">
        <f t="shared" ref="B307:B370" si="269">SUMIFS(Usage_Main,CF_Dates,$A307,CF_Descriptions,"XS1951177309 Change")</f>
        <v>0</v>
      </c>
      <c r="C307" s="338">
        <f t="shared" si="250"/>
        <v>34000000</v>
      </c>
      <c r="D307" s="329">
        <f t="shared" ref="D307:D370" si="270">SUMIFS(Usage_Main,CF_Dates,$A307,CF_Descriptions,"SOSPRUCE1 Change")</f>
        <v>0</v>
      </c>
      <c r="E307" s="338">
        <f t="shared" si="251"/>
        <v>33030958.66</v>
      </c>
      <c r="F307" s="329">
        <f t="shared" si="230"/>
        <v>0</v>
      </c>
      <c r="G307" s="338">
        <f t="shared" si="252"/>
        <v>18750000</v>
      </c>
      <c r="H307" s="329">
        <f t="shared" si="254"/>
        <v>0</v>
      </c>
      <c r="I307" s="338">
        <f t="shared" si="253"/>
        <v>8500000</v>
      </c>
      <c r="J307" s="329">
        <f t="shared" si="255"/>
        <v>0</v>
      </c>
      <c r="K307" s="338">
        <f t="shared" si="262"/>
        <v>0</v>
      </c>
      <c r="L307" s="329">
        <f t="shared" si="256"/>
        <v>0</v>
      </c>
      <c r="M307" s="338">
        <f t="shared" si="263"/>
        <v>0</v>
      </c>
      <c r="N307" s="329">
        <f t="shared" si="257"/>
        <v>0</v>
      </c>
      <c r="O307" s="338">
        <f t="shared" si="264"/>
        <v>0</v>
      </c>
      <c r="P307" s="329">
        <f t="shared" si="258"/>
        <v>0</v>
      </c>
      <c r="Q307" s="338">
        <f t="shared" si="265"/>
        <v>0</v>
      </c>
      <c r="R307" s="329">
        <f t="shared" si="259"/>
        <v>0</v>
      </c>
      <c r="S307" s="338">
        <f t="shared" si="266"/>
        <v>0</v>
      </c>
      <c r="T307" s="329">
        <f t="shared" si="260"/>
        <v>0</v>
      </c>
      <c r="U307" s="338">
        <f t="shared" si="267"/>
        <v>0</v>
      </c>
      <c r="V307" s="329">
        <f t="shared" si="261"/>
        <v>0</v>
      </c>
      <c r="W307" s="338">
        <f t="shared" si="268"/>
        <v>0</v>
      </c>
      <c r="X307" s="35"/>
    </row>
    <row r="308" spans="1:24" s="765" customFormat="1" x14ac:dyDescent="0.25">
      <c r="A308" s="336">
        <f>A307+3</f>
        <v>43878</v>
      </c>
      <c r="B308" s="329">
        <f t="shared" si="269"/>
        <v>0</v>
      </c>
      <c r="C308" s="338">
        <f t="shared" si="250"/>
        <v>34000000</v>
      </c>
      <c r="D308" s="329">
        <f t="shared" si="270"/>
        <v>0</v>
      </c>
      <c r="E308" s="338">
        <f t="shared" si="251"/>
        <v>33030958.66</v>
      </c>
      <c r="F308" s="329">
        <f t="shared" si="230"/>
        <v>0</v>
      </c>
      <c r="G308" s="338">
        <f t="shared" si="252"/>
        <v>18750000</v>
      </c>
      <c r="H308" s="329">
        <f t="shared" si="254"/>
        <v>0</v>
      </c>
      <c r="I308" s="338">
        <f t="shared" si="253"/>
        <v>8500000</v>
      </c>
      <c r="J308" s="329">
        <f t="shared" si="255"/>
        <v>0</v>
      </c>
      <c r="K308" s="338">
        <f t="shared" si="262"/>
        <v>0</v>
      </c>
      <c r="L308" s="329">
        <f t="shared" si="256"/>
        <v>0</v>
      </c>
      <c r="M308" s="338">
        <f t="shared" si="263"/>
        <v>0</v>
      </c>
      <c r="N308" s="329">
        <f t="shared" si="257"/>
        <v>0</v>
      </c>
      <c r="O308" s="338">
        <f t="shared" si="264"/>
        <v>0</v>
      </c>
      <c r="P308" s="329">
        <f t="shared" si="258"/>
        <v>0</v>
      </c>
      <c r="Q308" s="338">
        <f t="shared" si="265"/>
        <v>0</v>
      </c>
      <c r="R308" s="329">
        <f t="shared" si="259"/>
        <v>0</v>
      </c>
      <c r="S308" s="338">
        <f t="shared" si="266"/>
        <v>0</v>
      </c>
      <c r="T308" s="329">
        <f t="shared" si="260"/>
        <v>0</v>
      </c>
      <c r="U308" s="338">
        <f t="shared" si="267"/>
        <v>0</v>
      </c>
      <c r="V308" s="329">
        <f t="shared" si="261"/>
        <v>0</v>
      </c>
      <c r="W308" s="338">
        <f t="shared" si="268"/>
        <v>0</v>
      </c>
      <c r="X308" s="35"/>
    </row>
    <row r="309" spans="1:24" s="765" customFormat="1" x14ac:dyDescent="0.25">
      <c r="A309" s="335">
        <f t="shared" si="249"/>
        <v>43879</v>
      </c>
      <c r="B309" s="329">
        <f t="shared" si="269"/>
        <v>0</v>
      </c>
      <c r="C309" s="338">
        <f t="shared" si="250"/>
        <v>34000000</v>
      </c>
      <c r="D309" s="329">
        <f t="shared" si="270"/>
        <v>0</v>
      </c>
      <c r="E309" s="338">
        <f t="shared" si="251"/>
        <v>33030958.66</v>
      </c>
      <c r="F309" s="329">
        <f t="shared" si="230"/>
        <v>0</v>
      </c>
      <c r="G309" s="338">
        <f t="shared" si="252"/>
        <v>18750000</v>
      </c>
      <c r="H309" s="329">
        <f t="shared" si="254"/>
        <v>0</v>
      </c>
      <c r="I309" s="338">
        <f t="shared" si="253"/>
        <v>8500000</v>
      </c>
      <c r="J309" s="329">
        <f t="shared" si="255"/>
        <v>0</v>
      </c>
      <c r="K309" s="338">
        <f t="shared" si="262"/>
        <v>0</v>
      </c>
      <c r="L309" s="329">
        <f t="shared" si="256"/>
        <v>0</v>
      </c>
      <c r="M309" s="338">
        <f t="shared" si="263"/>
        <v>0</v>
      </c>
      <c r="N309" s="329">
        <f t="shared" si="257"/>
        <v>0</v>
      </c>
      <c r="O309" s="338">
        <f t="shared" si="264"/>
        <v>0</v>
      </c>
      <c r="P309" s="329">
        <f t="shared" si="258"/>
        <v>0</v>
      </c>
      <c r="Q309" s="338">
        <f t="shared" si="265"/>
        <v>0</v>
      </c>
      <c r="R309" s="329">
        <f t="shared" si="259"/>
        <v>0</v>
      </c>
      <c r="S309" s="338">
        <f t="shared" si="266"/>
        <v>0</v>
      </c>
      <c r="T309" s="329">
        <f t="shared" si="260"/>
        <v>0</v>
      </c>
      <c r="U309" s="338">
        <f t="shared" si="267"/>
        <v>0</v>
      </c>
      <c r="V309" s="329">
        <f t="shared" si="261"/>
        <v>0</v>
      </c>
      <c r="W309" s="338">
        <f t="shared" si="268"/>
        <v>0</v>
      </c>
      <c r="X309" s="35"/>
    </row>
    <row r="310" spans="1:24" s="765" customFormat="1" x14ac:dyDescent="0.25">
      <c r="A310" s="335">
        <f t="shared" si="249"/>
        <v>43880</v>
      </c>
      <c r="B310" s="329">
        <f t="shared" si="269"/>
        <v>0</v>
      </c>
      <c r="C310" s="338">
        <f t="shared" si="250"/>
        <v>34000000</v>
      </c>
      <c r="D310" s="329">
        <f t="shared" si="270"/>
        <v>0</v>
      </c>
      <c r="E310" s="338">
        <f t="shared" si="251"/>
        <v>33030958.66</v>
      </c>
      <c r="F310" s="329">
        <f t="shared" si="230"/>
        <v>0</v>
      </c>
      <c r="G310" s="338">
        <f t="shared" si="252"/>
        <v>18750000</v>
      </c>
      <c r="H310" s="329">
        <f t="shared" si="254"/>
        <v>0</v>
      </c>
      <c r="I310" s="338">
        <f t="shared" si="253"/>
        <v>8500000</v>
      </c>
      <c r="J310" s="329">
        <f t="shared" si="255"/>
        <v>0</v>
      </c>
      <c r="K310" s="338">
        <f t="shared" si="262"/>
        <v>0</v>
      </c>
      <c r="L310" s="329">
        <f t="shared" si="256"/>
        <v>0</v>
      </c>
      <c r="M310" s="338">
        <f t="shared" si="263"/>
        <v>0</v>
      </c>
      <c r="N310" s="329">
        <f t="shared" si="257"/>
        <v>0</v>
      </c>
      <c r="O310" s="338">
        <f t="shared" si="264"/>
        <v>0</v>
      </c>
      <c r="P310" s="329">
        <f t="shared" si="258"/>
        <v>0</v>
      </c>
      <c r="Q310" s="338">
        <f t="shared" si="265"/>
        <v>0</v>
      </c>
      <c r="R310" s="329">
        <f t="shared" si="259"/>
        <v>0</v>
      </c>
      <c r="S310" s="338">
        <f t="shared" si="266"/>
        <v>0</v>
      </c>
      <c r="T310" s="329">
        <f t="shared" si="260"/>
        <v>0</v>
      </c>
      <c r="U310" s="338">
        <f t="shared" si="267"/>
        <v>0</v>
      </c>
      <c r="V310" s="329">
        <f t="shared" si="261"/>
        <v>0</v>
      </c>
      <c r="W310" s="338">
        <f t="shared" si="268"/>
        <v>0</v>
      </c>
      <c r="X310" s="35"/>
    </row>
    <row r="311" spans="1:24" s="765" customFormat="1" x14ac:dyDescent="0.25">
      <c r="A311" s="335">
        <f t="shared" si="249"/>
        <v>43881</v>
      </c>
      <c r="B311" s="329">
        <f t="shared" si="269"/>
        <v>0</v>
      </c>
      <c r="C311" s="338">
        <f t="shared" si="250"/>
        <v>34000000</v>
      </c>
      <c r="D311" s="329">
        <f t="shared" si="270"/>
        <v>0</v>
      </c>
      <c r="E311" s="338">
        <f t="shared" si="251"/>
        <v>33030958.66</v>
      </c>
      <c r="F311" s="329">
        <f t="shared" si="230"/>
        <v>0</v>
      </c>
      <c r="G311" s="338">
        <f t="shared" si="252"/>
        <v>18750000</v>
      </c>
      <c r="H311" s="329">
        <f t="shared" si="254"/>
        <v>0</v>
      </c>
      <c r="I311" s="338">
        <f t="shared" si="253"/>
        <v>8500000</v>
      </c>
      <c r="J311" s="329">
        <f t="shared" si="255"/>
        <v>0</v>
      </c>
      <c r="K311" s="338">
        <f t="shared" si="262"/>
        <v>0</v>
      </c>
      <c r="L311" s="329">
        <f t="shared" si="256"/>
        <v>0</v>
      </c>
      <c r="M311" s="338">
        <f t="shared" si="263"/>
        <v>0</v>
      </c>
      <c r="N311" s="329">
        <f t="shared" si="257"/>
        <v>0</v>
      </c>
      <c r="O311" s="338">
        <f t="shared" si="264"/>
        <v>0</v>
      </c>
      <c r="P311" s="329">
        <f t="shared" si="258"/>
        <v>0</v>
      </c>
      <c r="Q311" s="338">
        <f t="shared" si="265"/>
        <v>0</v>
      </c>
      <c r="R311" s="329">
        <f t="shared" si="259"/>
        <v>0</v>
      </c>
      <c r="S311" s="338">
        <f t="shared" si="266"/>
        <v>0</v>
      </c>
      <c r="T311" s="329">
        <f t="shared" si="260"/>
        <v>0</v>
      </c>
      <c r="U311" s="338">
        <f t="shared" si="267"/>
        <v>0</v>
      </c>
      <c r="V311" s="329">
        <f t="shared" si="261"/>
        <v>0</v>
      </c>
      <c r="W311" s="338">
        <f t="shared" si="268"/>
        <v>0</v>
      </c>
      <c r="X311" s="35"/>
    </row>
    <row r="312" spans="1:24" s="765" customFormat="1" x14ac:dyDescent="0.25">
      <c r="A312" s="335">
        <f t="shared" si="249"/>
        <v>43882</v>
      </c>
      <c r="B312" s="329">
        <f t="shared" si="269"/>
        <v>0</v>
      </c>
      <c r="C312" s="338">
        <f t="shared" si="250"/>
        <v>34000000</v>
      </c>
      <c r="D312" s="329">
        <f t="shared" si="270"/>
        <v>0</v>
      </c>
      <c r="E312" s="338">
        <f t="shared" si="251"/>
        <v>33030958.66</v>
      </c>
      <c r="F312" s="329">
        <f t="shared" si="230"/>
        <v>0</v>
      </c>
      <c r="G312" s="338">
        <f t="shared" si="252"/>
        <v>18750000</v>
      </c>
      <c r="H312" s="329">
        <f t="shared" si="254"/>
        <v>0</v>
      </c>
      <c r="I312" s="338">
        <f t="shared" si="253"/>
        <v>8500000</v>
      </c>
      <c r="J312" s="329">
        <f t="shared" si="255"/>
        <v>0</v>
      </c>
      <c r="K312" s="338">
        <f t="shared" si="262"/>
        <v>0</v>
      </c>
      <c r="L312" s="329">
        <f t="shared" si="256"/>
        <v>0</v>
      </c>
      <c r="M312" s="338">
        <f t="shared" si="263"/>
        <v>0</v>
      </c>
      <c r="N312" s="329">
        <f t="shared" si="257"/>
        <v>0</v>
      </c>
      <c r="O312" s="338">
        <f t="shared" si="264"/>
        <v>0</v>
      </c>
      <c r="P312" s="329">
        <f t="shared" si="258"/>
        <v>0</v>
      </c>
      <c r="Q312" s="338">
        <f t="shared" si="265"/>
        <v>0</v>
      </c>
      <c r="R312" s="329">
        <f t="shared" si="259"/>
        <v>0</v>
      </c>
      <c r="S312" s="338">
        <f t="shared" si="266"/>
        <v>0</v>
      </c>
      <c r="T312" s="329">
        <f t="shared" si="260"/>
        <v>0</v>
      </c>
      <c r="U312" s="338">
        <f t="shared" si="267"/>
        <v>0</v>
      </c>
      <c r="V312" s="329">
        <f t="shared" si="261"/>
        <v>0</v>
      </c>
      <c r="W312" s="338">
        <f t="shared" si="268"/>
        <v>0</v>
      </c>
      <c r="X312" s="35"/>
    </row>
    <row r="313" spans="1:24" s="765" customFormat="1" x14ac:dyDescent="0.25">
      <c r="A313" s="336">
        <f>A312+3</f>
        <v>43885</v>
      </c>
      <c r="B313" s="329">
        <f t="shared" si="269"/>
        <v>0</v>
      </c>
      <c r="C313" s="338">
        <f t="shared" si="250"/>
        <v>34000000</v>
      </c>
      <c r="D313" s="329">
        <f t="shared" si="270"/>
        <v>0</v>
      </c>
      <c r="E313" s="338">
        <f t="shared" si="251"/>
        <v>33030958.66</v>
      </c>
      <c r="F313" s="329">
        <f t="shared" si="230"/>
        <v>0</v>
      </c>
      <c r="G313" s="338">
        <f t="shared" si="252"/>
        <v>18750000</v>
      </c>
      <c r="H313" s="329">
        <f t="shared" si="254"/>
        <v>0</v>
      </c>
      <c r="I313" s="338">
        <f t="shared" si="253"/>
        <v>8500000</v>
      </c>
      <c r="J313" s="329">
        <f t="shared" si="255"/>
        <v>0</v>
      </c>
      <c r="K313" s="338">
        <f t="shared" si="262"/>
        <v>0</v>
      </c>
      <c r="L313" s="329">
        <f t="shared" si="256"/>
        <v>0</v>
      </c>
      <c r="M313" s="338">
        <f t="shared" si="263"/>
        <v>0</v>
      </c>
      <c r="N313" s="329">
        <f t="shared" si="257"/>
        <v>0</v>
      </c>
      <c r="O313" s="338">
        <f t="shared" si="264"/>
        <v>0</v>
      </c>
      <c r="P313" s="329">
        <f t="shared" si="258"/>
        <v>0</v>
      </c>
      <c r="Q313" s="338">
        <f t="shared" si="265"/>
        <v>0</v>
      </c>
      <c r="R313" s="329">
        <f t="shared" si="259"/>
        <v>0</v>
      </c>
      <c r="S313" s="338">
        <f t="shared" si="266"/>
        <v>0</v>
      </c>
      <c r="T313" s="329">
        <f t="shared" si="260"/>
        <v>0</v>
      </c>
      <c r="U313" s="338">
        <f t="shared" si="267"/>
        <v>0</v>
      </c>
      <c r="V313" s="329">
        <f t="shared" si="261"/>
        <v>0</v>
      </c>
      <c r="W313" s="338">
        <f t="shared" si="268"/>
        <v>0</v>
      </c>
      <c r="X313" s="35"/>
    </row>
    <row r="314" spans="1:24" s="765" customFormat="1" x14ac:dyDescent="0.25">
      <c r="A314" s="335">
        <f t="shared" si="249"/>
        <v>43886</v>
      </c>
      <c r="B314" s="329">
        <f t="shared" si="269"/>
        <v>0</v>
      </c>
      <c r="C314" s="338">
        <f t="shared" si="250"/>
        <v>34000000</v>
      </c>
      <c r="D314" s="329">
        <f t="shared" si="270"/>
        <v>0</v>
      </c>
      <c r="E314" s="338">
        <f t="shared" si="251"/>
        <v>33030958.66</v>
      </c>
      <c r="F314" s="329">
        <f t="shared" si="230"/>
        <v>0</v>
      </c>
      <c r="G314" s="338">
        <f t="shared" si="252"/>
        <v>18750000</v>
      </c>
      <c r="H314" s="329">
        <f t="shared" si="254"/>
        <v>0</v>
      </c>
      <c r="I314" s="338">
        <f t="shared" si="253"/>
        <v>8500000</v>
      </c>
      <c r="J314" s="329">
        <f t="shared" si="255"/>
        <v>0</v>
      </c>
      <c r="K314" s="338">
        <f t="shared" si="262"/>
        <v>0</v>
      </c>
      <c r="L314" s="329">
        <f t="shared" si="256"/>
        <v>0</v>
      </c>
      <c r="M314" s="338">
        <f t="shared" si="263"/>
        <v>0</v>
      </c>
      <c r="N314" s="329">
        <f t="shared" si="257"/>
        <v>0</v>
      </c>
      <c r="O314" s="338">
        <f t="shared" si="264"/>
        <v>0</v>
      </c>
      <c r="P314" s="329">
        <f t="shared" si="258"/>
        <v>0</v>
      </c>
      <c r="Q314" s="338">
        <f t="shared" si="265"/>
        <v>0</v>
      </c>
      <c r="R314" s="329">
        <f t="shared" si="259"/>
        <v>0</v>
      </c>
      <c r="S314" s="338">
        <f t="shared" si="266"/>
        <v>0</v>
      </c>
      <c r="T314" s="329">
        <f t="shared" si="260"/>
        <v>0</v>
      </c>
      <c r="U314" s="338">
        <f t="shared" si="267"/>
        <v>0</v>
      </c>
      <c r="V314" s="329">
        <f t="shared" si="261"/>
        <v>0</v>
      </c>
      <c r="W314" s="338">
        <f t="shared" si="268"/>
        <v>0</v>
      </c>
      <c r="X314" s="35"/>
    </row>
    <row r="315" spans="1:24" s="765" customFormat="1" x14ac:dyDescent="0.25">
      <c r="A315" s="335">
        <f t="shared" si="249"/>
        <v>43887</v>
      </c>
      <c r="B315" s="329">
        <f t="shared" si="269"/>
        <v>0</v>
      </c>
      <c r="C315" s="338">
        <f t="shared" si="250"/>
        <v>34000000</v>
      </c>
      <c r="D315" s="329">
        <f t="shared" si="270"/>
        <v>0</v>
      </c>
      <c r="E315" s="338">
        <f t="shared" si="251"/>
        <v>33030958.66</v>
      </c>
      <c r="F315" s="329">
        <f t="shared" si="230"/>
        <v>0</v>
      </c>
      <c r="G315" s="338">
        <f t="shared" si="252"/>
        <v>18750000</v>
      </c>
      <c r="H315" s="329">
        <f t="shared" si="254"/>
        <v>0</v>
      </c>
      <c r="I315" s="338">
        <f t="shared" si="253"/>
        <v>8500000</v>
      </c>
      <c r="J315" s="329">
        <f t="shared" si="255"/>
        <v>0</v>
      </c>
      <c r="K315" s="338">
        <f t="shared" si="262"/>
        <v>0</v>
      </c>
      <c r="L315" s="329">
        <f t="shared" si="256"/>
        <v>0</v>
      </c>
      <c r="M315" s="338">
        <f t="shared" si="263"/>
        <v>0</v>
      </c>
      <c r="N315" s="329">
        <f t="shared" si="257"/>
        <v>0</v>
      </c>
      <c r="O315" s="338">
        <f t="shared" si="264"/>
        <v>0</v>
      </c>
      <c r="P315" s="329">
        <f t="shared" si="258"/>
        <v>0</v>
      </c>
      <c r="Q315" s="338">
        <f t="shared" si="265"/>
        <v>0</v>
      </c>
      <c r="R315" s="329">
        <f t="shared" si="259"/>
        <v>0</v>
      </c>
      <c r="S315" s="338">
        <f t="shared" si="266"/>
        <v>0</v>
      </c>
      <c r="T315" s="329">
        <f t="shared" si="260"/>
        <v>0</v>
      </c>
      <c r="U315" s="338">
        <f t="shared" si="267"/>
        <v>0</v>
      </c>
      <c r="V315" s="329">
        <f t="shared" si="261"/>
        <v>0</v>
      </c>
      <c r="W315" s="338">
        <f t="shared" si="268"/>
        <v>0</v>
      </c>
      <c r="X315" s="35"/>
    </row>
    <row r="316" spans="1:24" s="765" customFormat="1" x14ac:dyDescent="0.25">
      <c r="A316" s="335">
        <f t="shared" si="249"/>
        <v>43888</v>
      </c>
      <c r="B316" s="329">
        <f t="shared" si="269"/>
        <v>0</v>
      </c>
      <c r="C316" s="338">
        <f t="shared" si="250"/>
        <v>34000000</v>
      </c>
      <c r="D316" s="329">
        <f t="shared" si="270"/>
        <v>0</v>
      </c>
      <c r="E316" s="338">
        <f t="shared" si="251"/>
        <v>33030958.66</v>
      </c>
      <c r="F316" s="329">
        <f t="shared" si="230"/>
        <v>0</v>
      </c>
      <c r="G316" s="338">
        <f t="shared" si="252"/>
        <v>18750000</v>
      </c>
      <c r="H316" s="329">
        <f t="shared" si="254"/>
        <v>0</v>
      </c>
      <c r="I316" s="338">
        <f t="shared" si="253"/>
        <v>8500000</v>
      </c>
      <c r="J316" s="329">
        <f t="shared" si="255"/>
        <v>0</v>
      </c>
      <c r="K316" s="338">
        <f t="shared" si="262"/>
        <v>0</v>
      </c>
      <c r="L316" s="329">
        <f t="shared" si="256"/>
        <v>0</v>
      </c>
      <c r="M316" s="338">
        <f t="shared" si="263"/>
        <v>0</v>
      </c>
      <c r="N316" s="329">
        <f t="shared" si="257"/>
        <v>0</v>
      </c>
      <c r="O316" s="338">
        <f t="shared" si="264"/>
        <v>0</v>
      </c>
      <c r="P316" s="329">
        <f t="shared" si="258"/>
        <v>0</v>
      </c>
      <c r="Q316" s="338">
        <f t="shared" si="265"/>
        <v>0</v>
      </c>
      <c r="R316" s="329">
        <f t="shared" si="259"/>
        <v>0</v>
      </c>
      <c r="S316" s="338">
        <f t="shared" si="266"/>
        <v>0</v>
      </c>
      <c r="T316" s="329">
        <f t="shared" si="260"/>
        <v>0</v>
      </c>
      <c r="U316" s="338">
        <f t="shared" si="267"/>
        <v>0</v>
      </c>
      <c r="V316" s="329">
        <f t="shared" si="261"/>
        <v>0</v>
      </c>
      <c r="W316" s="338">
        <f t="shared" si="268"/>
        <v>0</v>
      </c>
      <c r="X316" s="35"/>
    </row>
    <row r="317" spans="1:24" s="765" customFormat="1" x14ac:dyDescent="0.25">
      <c r="A317" s="335">
        <f t="shared" si="249"/>
        <v>43889</v>
      </c>
      <c r="B317" s="329">
        <f t="shared" si="269"/>
        <v>0</v>
      </c>
      <c r="C317" s="338">
        <f t="shared" si="250"/>
        <v>34000000</v>
      </c>
      <c r="D317" s="329">
        <f t="shared" si="270"/>
        <v>0</v>
      </c>
      <c r="E317" s="338">
        <f t="shared" si="251"/>
        <v>33030958.66</v>
      </c>
      <c r="F317" s="329">
        <f t="shared" si="230"/>
        <v>0</v>
      </c>
      <c r="G317" s="338">
        <f t="shared" si="252"/>
        <v>18750000</v>
      </c>
      <c r="H317" s="329">
        <f t="shared" si="254"/>
        <v>0</v>
      </c>
      <c r="I317" s="338">
        <f t="shared" si="253"/>
        <v>8500000</v>
      </c>
      <c r="J317" s="329">
        <f t="shared" si="255"/>
        <v>0</v>
      </c>
      <c r="K317" s="338">
        <f t="shared" si="262"/>
        <v>0</v>
      </c>
      <c r="L317" s="329">
        <f t="shared" si="256"/>
        <v>0</v>
      </c>
      <c r="M317" s="338">
        <f t="shared" si="263"/>
        <v>0</v>
      </c>
      <c r="N317" s="329">
        <f t="shared" si="257"/>
        <v>0</v>
      </c>
      <c r="O317" s="338">
        <f t="shared" si="264"/>
        <v>0</v>
      </c>
      <c r="P317" s="329">
        <f t="shared" si="258"/>
        <v>0</v>
      </c>
      <c r="Q317" s="338">
        <f t="shared" si="265"/>
        <v>0</v>
      </c>
      <c r="R317" s="329">
        <f t="shared" si="259"/>
        <v>0</v>
      </c>
      <c r="S317" s="338">
        <f t="shared" si="266"/>
        <v>0</v>
      </c>
      <c r="T317" s="329">
        <f t="shared" si="260"/>
        <v>0</v>
      </c>
      <c r="U317" s="338">
        <f t="shared" si="267"/>
        <v>0</v>
      </c>
      <c r="V317" s="329">
        <f t="shared" si="261"/>
        <v>0</v>
      </c>
      <c r="W317" s="338">
        <f t="shared" si="268"/>
        <v>0</v>
      </c>
      <c r="X317" s="35"/>
    </row>
    <row r="318" spans="1:24" s="765" customFormat="1" x14ac:dyDescent="0.25">
      <c r="A318" s="335">
        <f t="shared" si="249"/>
        <v>43890</v>
      </c>
      <c r="B318" s="329">
        <f t="shared" si="269"/>
        <v>0</v>
      </c>
      <c r="C318" s="338">
        <f t="shared" si="250"/>
        <v>34000000</v>
      </c>
      <c r="D318" s="329">
        <f t="shared" si="270"/>
        <v>0</v>
      </c>
      <c r="E318" s="338">
        <f t="shared" si="251"/>
        <v>33030958.66</v>
      </c>
      <c r="F318" s="329">
        <f t="shared" si="230"/>
        <v>0</v>
      </c>
      <c r="G318" s="338">
        <f t="shared" si="252"/>
        <v>18750000</v>
      </c>
      <c r="H318" s="329">
        <f t="shared" si="254"/>
        <v>0</v>
      </c>
      <c r="I318" s="338">
        <f t="shared" si="253"/>
        <v>8500000</v>
      </c>
      <c r="J318" s="329">
        <f t="shared" si="255"/>
        <v>0</v>
      </c>
      <c r="K318" s="338">
        <f t="shared" si="262"/>
        <v>0</v>
      </c>
      <c r="L318" s="329">
        <f t="shared" si="256"/>
        <v>0</v>
      </c>
      <c r="M318" s="338">
        <f t="shared" si="263"/>
        <v>0</v>
      </c>
      <c r="N318" s="329">
        <f t="shared" si="257"/>
        <v>0</v>
      </c>
      <c r="O318" s="338">
        <f t="shared" si="264"/>
        <v>0</v>
      </c>
      <c r="P318" s="329">
        <f t="shared" si="258"/>
        <v>0</v>
      </c>
      <c r="Q318" s="338">
        <f t="shared" si="265"/>
        <v>0</v>
      </c>
      <c r="R318" s="329">
        <f t="shared" si="259"/>
        <v>0</v>
      </c>
      <c r="S318" s="338">
        <f t="shared" si="266"/>
        <v>0</v>
      </c>
      <c r="T318" s="329">
        <f t="shared" si="260"/>
        <v>0</v>
      </c>
      <c r="U318" s="338">
        <f t="shared" si="267"/>
        <v>0</v>
      </c>
      <c r="V318" s="329">
        <f t="shared" si="261"/>
        <v>0</v>
      </c>
      <c r="W318" s="338">
        <f t="shared" si="268"/>
        <v>0</v>
      </c>
      <c r="X318" s="35"/>
    </row>
    <row r="319" spans="1:24" s="765" customFormat="1" x14ac:dyDescent="0.25">
      <c r="A319" s="336">
        <f>A318+2</f>
        <v>43892</v>
      </c>
      <c r="B319" s="329">
        <f t="shared" si="269"/>
        <v>0</v>
      </c>
      <c r="C319" s="338">
        <f t="shared" si="250"/>
        <v>34000000</v>
      </c>
      <c r="D319" s="329">
        <f t="shared" si="270"/>
        <v>0</v>
      </c>
      <c r="E319" s="338">
        <f t="shared" si="251"/>
        <v>33030958.66</v>
      </c>
      <c r="F319" s="329">
        <f t="shared" si="230"/>
        <v>0</v>
      </c>
      <c r="G319" s="338">
        <f t="shared" si="252"/>
        <v>18750000</v>
      </c>
      <c r="H319" s="329">
        <f t="shared" si="254"/>
        <v>0</v>
      </c>
      <c r="I319" s="338">
        <f t="shared" si="253"/>
        <v>8500000</v>
      </c>
      <c r="J319" s="329">
        <f t="shared" si="255"/>
        <v>0</v>
      </c>
      <c r="K319" s="338">
        <f t="shared" si="262"/>
        <v>0</v>
      </c>
      <c r="L319" s="329">
        <f t="shared" si="256"/>
        <v>0</v>
      </c>
      <c r="M319" s="338">
        <f t="shared" si="263"/>
        <v>0</v>
      </c>
      <c r="N319" s="329">
        <f t="shared" si="257"/>
        <v>0</v>
      </c>
      <c r="O319" s="338">
        <f t="shared" si="264"/>
        <v>0</v>
      </c>
      <c r="P319" s="329">
        <f t="shared" si="258"/>
        <v>0</v>
      </c>
      <c r="Q319" s="338">
        <f t="shared" si="265"/>
        <v>0</v>
      </c>
      <c r="R319" s="329">
        <f t="shared" si="259"/>
        <v>0</v>
      </c>
      <c r="S319" s="338">
        <f t="shared" si="266"/>
        <v>0</v>
      </c>
      <c r="T319" s="329">
        <f t="shared" si="260"/>
        <v>0</v>
      </c>
      <c r="U319" s="338">
        <f t="shared" si="267"/>
        <v>0</v>
      </c>
      <c r="V319" s="329">
        <f t="shared" si="261"/>
        <v>0</v>
      </c>
      <c r="W319" s="338">
        <f t="shared" si="268"/>
        <v>0</v>
      </c>
      <c r="X319" s="35"/>
    </row>
    <row r="320" spans="1:24" s="765" customFormat="1" x14ac:dyDescent="0.25">
      <c r="A320" s="335">
        <f t="shared" si="249"/>
        <v>43893</v>
      </c>
      <c r="B320" s="329">
        <f t="shared" si="269"/>
        <v>0</v>
      </c>
      <c r="C320" s="338">
        <f t="shared" si="250"/>
        <v>34000000</v>
      </c>
      <c r="D320" s="329">
        <f t="shared" si="270"/>
        <v>0</v>
      </c>
      <c r="E320" s="338">
        <f t="shared" si="251"/>
        <v>33030958.66</v>
      </c>
      <c r="F320" s="329">
        <f t="shared" si="230"/>
        <v>0</v>
      </c>
      <c r="G320" s="338">
        <f t="shared" si="252"/>
        <v>18750000</v>
      </c>
      <c r="H320" s="329">
        <f t="shared" si="254"/>
        <v>0</v>
      </c>
      <c r="I320" s="338">
        <f t="shared" si="253"/>
        <v>8500000</v>
      </c>
      <c r="J320" s="329">
        <f t="shared" si="255"/>
        <v>0</v>
      </c>
      <c r="K320" s="338">
        <f t="shared" si="262"/>
        <v>0</v>
      </c>
      <c r="L320" s="329">
        <f t="shared" si="256"/>
        <v>0</v>
      </c>
      <c r="M320" s="338">
        <f t="shared" si="263"/>
        <v>0</v>
      </c>
      <c r="N320" s="329">
        <f t="shared" si="257"/>
        <v>0</v>
      </c>
      <c r="O320" s="338">
        <f t="shared" si="264"/>
        <v>0</v>
      </c>
      <c r="P320" s="329">
        <f t="shared" si="258"/>
        <v>0</v>
      </c>
      <c r="Q320" s="338">
        <f t="shared" si="265"/>
        <v>0</v>
      </c>
      <c r="R320" s="329">
        <f t="shared" si="259"/>
        <v>0</v>
      </c>
      <c r="S320" s="338">
        <f t="shared" si="266"/>
        <v>0</v>
      </c>
      <c r="T320" s="329">
        <f t="shared" si="260"/>
        <v>0</v>
      </c>
      <c r="U320" s="338">
        <f t="shared" si="267"/>
        <v>0</v>
      </c>
      <c r="V320" s="329">
        <f t="shared" si="261"/>
        <v>0</v>
      </c>
      <c r="W320" s="338">
        <f t="shared" si="268"/>
        <v>0</v>
      </c>
      <c r="X320" s="35"/>
    </row>
    <row r="321" spans="1:24" s="765" customFormat="1" x14ac:dyDescent="0.25">
      <c r="A321" s="335">
        <f t="shared" si="249"/>
        <v>43894</v>
      </c>
      <c r="B321" s="329">
        <f t="shared" si="269"/>
        <v>0</v>
      </c>
      <c r="C321" s="338">
        <f t="shared" si="250"/>
        <v>34000000</v>
      </c>
      <c r="D321" s="329">
        <f t="shared" si="270"/>
        <v>0</v>
      </c>
      <c r="E321" s="338">
        <f t="shared" si="251"/>
        <v>33030958.66</v>
      </c>
      <c r="F321" s="329">
        <f t="shared" si="230"/>
        <v>0</v>
      </c>
      <c r="G321" s="338">
        <f t="shared" si="252"/>
        <v>18750000</v>
      </c>
      <c r="H321" s="329">
        <f t="shared" si="254"/>
        <v>0</v>
      </c>
      <c r="I321" s="338">
        <f t="shared" si="253"/>
        <v>8500000</v>
      </c>
      <c r="J321" s="329">
        <f t="shared" si="255"/>
        <v>0</v>
      </c>
      <c r="K321" s="338">
        <f t="shared" si="262"/>
        <v>0</v>
      </c>
      <c r="L321" s="329">
        <f t="shared" si="256"/>
        <v>0</v>
      </c>
      <c r="M321" s="338">
        <f t="shared" si="263"/>
        <v>0</v>
      </c>
      <c r="N321" s="329">
        <f t="shared" si="257"/>
        <v>0</v>
      </c>
      <c r="O321" s="338">
        <f t="shared" si="264"/>
        <v>0</v>
      </c>
      <c r="P321" s="329">
        <f t="shared" si="258"/>
        <v>0</v>
      </c>
      <c r="Q321" s="338">
        <f t="shared" si="265"/>
        <v>0</v>
      </c>
      <c r="R321" s="329">
        <f t="shared" si="259"/>
        <v>0</v>
      </c>
      <c r="S321" s="338">
        <f t="shared" si="266"/>
        <v>0</v>
      </c>
      <c r="T321" s="329">
        <f t="shared" si="260"/>
        <v>0</v>
      </c>
      <c r="U321" s="338">
        <f t="shared" si="267"/>
        <v>0</v>
      </c>
      <c r="V321" s="329">
        <f t="shared" si="261"/>
        <v>0</v>
      </c>
      <c r="W321" s="338">
        <f t="shared" si="268"/>
        <v>0</v>
      </c>
      <c r="X321" s="35"/>
    </row>
    <row r="322" spans="1:24" s="765" customFormat="1" x14ac:dyDescent="0.25">
      <c r="A322" s="335">
        <f t="shared" si="249"/>
        <v>43895</v>
      </c>
      <c r="B322" s="329">
        <f t="shared" si="269"/>
        <v>0</v>
      </c>
      <c r="C322" s="338">
        <f t="shared" si="250"/>
        <v>34000000</v>
      </c>
      <c r="D322" s="329">
        <f t="shared" si="270"/>
        <v>0</v>
      </c>
      <c r="E322" s="338">
        <f t="shared" si="251"/>
        <v>33030958.66</v>
      </c>
      <c r="F322" s="329">
        <f t="shared" si="230"/>
        <v>0</v>
      </c>
      <c r="G322" s="338">
        <f t="shared" si="252"/>
        <v>18750000</v>
      </c>
      <c r="H322" s="329">
        <f t="shared" si="254"/>
        <v>0</v>
      </c>
      <c r="I322" s="338">
        <f t="shared" si="253"/>
        <v>8500000</v>
      </c>
      <c r="J322" s="329">
        <f t="shared" si="255"/>
        <v>0</v>
      </c>
      <c r="K322" s="338">
        <f t="shared" si="262"/>
        <v>0</v>
      </c>
      <c r="L322" s="329">
        <f t="shared" si="256"/>
        <v>0</v>
      </c>
      <c r="M322" s="338">
        <f t="shared" si="263"/>
        <v>0</v>
      </c>
      <c r="N322" s="329">
        <f t="shared" si="257"/>
        <v>0</v>
      </c>
      <c r="O322" s="338">
        <f t="shared" si="264"/>
        <v>0</v>
      </c>
      <c r="P322" s="329">
        <f t="shared" si="258"/>
        <v>0</v>
      </c>
      <c r="Q322" s="338">
        <f t="shared" si="265"/>
        <v>0</v>
      </c>
      <c r="R322" s="329">
        <f t="shared" si="259"/>
        <v>0</v>
      </c>
      <c r="S322" s="338">
        <f t="shared" si="266"/>
        <v>0</v>
      </c>
      <c r="T322" s="329">
        <f t="shared" si="260"/>
        <v>0</v>
      </c>
      <c r="U322" s="338">
        <f t="shared" si="267"/>
        <v>0</v>
      </c>
      <c r="V322" s="329">
        <f t="shared" si="261"/>
        <v>0</v>
      </c>
      <c r="W322" s="338">
        <f t="shared" si="268"/>
        <v>0</v>
      </c>
      <c r="X322" s="35"/>
    </row>
    <row r="323" spans="1:24" s="765" customFormat="1" x14ac:dyDescent="0.25">
      <c r="A323" s="335">
        <f t="shared" si="249"/>
        <v>43896</v>
      </c>
      <c r="B323" s="329">
        <f t="shared" si="269"/>
        <v>0</v>
      </c>
      <c r="C323" s="338">
        <f t="shared" si="250"/>
        <v>34000000</v>
      </c>
      <c r="D323" s="329">
        <f t="shared" si="270"/>
        <v>0</v>
      </c>
      <c r="E323" s="338">
        <f t="shared" si="251"/>
        <v>33030958.66</v>
      </c>
      <c r="F323" s="329">
        <f t="shared" ref="F323:F386" si="271">SUMIFS(Usage_Main,CF_Dates,$A323,CF_Descriptions,"EASTCYPRESS1 Change")</f>
        <v>0</v>
      </c>
      <c r="G323" s="338">
        <f t="shared" si="252"/>
        <v>18750000</v>
      </c>
      <c r="H323" s="329">
        <f t="shared" si="254"/>
        <v>0</v>
      </c>
      <c r="I323" s="338">
        <f t="shared" si="253"/>
        <v>8500000</v>
      </c>
      <c r="J323" s="329">
        <f t="shared" si="255"/>
        <v>0</v>
      </c>
      <c r="K323" s="338">
        <f t="shared" si="262"/>
        <v>0</v>
      </c>
      <c r="L323" s="329">
        <f t="shared" si="256"/>
        <v>0</v>
      </c>
      <c r="M323" s="338">
        <f t="shared" si="263"/>
        <v>0</v>
      </c>
      <c r="N323" s="329">
        <f t="shared" si="257"/>
        <v>0</v>
      </c>
      <c r="O323" s="338">
        <f t="shared" si="264"/>
        <v>0</v>
      </c>
      <c r="P323" s="329">
        <f t="shared" si="258"/>
        <v>0</v>
      </c>
      <c r="Q323" s="338">
        <f t="shared" si="265"/>
        <v>0</v>
      </c>
      <c r="R323" s="329">
        <f t="shared" si="259"/>
        <v>0</v>
      </c>
      <c r="S323" s="338">
        <f t="shared" si="266"/>
        <v>0</v>
      </c>
      <c r="T323" s="329">
        <f t="shared" si="260"/>
        <v>0</v>
      </c>
      <c r="U323" s="338">
        <f t="shared" si="267"/>
        <v>0</v>
      </c>
      <c r="V323" s="329">
        <f t="shared" si="261"/>
        <v>0</v>
      </c>
      <c r="W323" s="338">
        <f t="shared" si="268"/>
        <v>0</v>
      </c>
      <c r="X323" s="35"/>
    </row>
    <row r="324" spans="1:24" s="765" customFormat="1" x14ac:dyDescent="0.25">
      <c r="A324" s="336">
        <f>A323+3</f>
        <v>43899</v>
      </c>
      <c r="B324" s="329">
        <f t="shared" si="269"/>
        <v>0</v>
      </c>
      <c r="C324" s="338">
        <f t="shared" si="250"/>
        <v>34000000</v>
      </c>
      <c r="D324" s="329">
        <f t="shared" si="270"/>
        <v>0</v>
      </c>
      <c r="E324" s="338">
        <f t="shared" si="251"/>
        <v>33030958.66</v>
      </c>
      <c r="F324" s="329">
        <f t="shared" si="271"/>
        <v>0</v>
      </c>
      <c r="G324" s="338">
        <f t="shared" si="252"/>
        <v>18750000</v>
      </c>
      <c r="H324" s="329">
        <f t="shared" si="254"/>
        <v>1500000</v>
      </c>
      <c r="I324" s="338">
        <f t="shared" si="253"/>
        <v>10000000</v>
      </c>
      <c r="J324" s="329">
        <f t="shared" si="255"/>
        <v>0</v>
      </c>
      <c r="K324" s="338">
        <f t="shared" si="262"/>
        <v>0</v>
      </c>
      <c r="L324" s="329">
        <f t="shared" si="256"/>
        <v>0</v>
      </c>
      <c r="M324" s="338">
        <f t="shared" si="263"/>
        <v>0</v>
      </c>
      <c r="N324" s="329">
        <f t="shared" si="257"/>
        <v>0</v>
      </c>
      <c r="O324" s="338">
        <f t="shared" si="264"/>
        <v>0</v>
      </c>
      <c r="P324" s="329">
        <f t="shared" si="258"/>
        <v>0</v>
      </c>
      <c r="Q324" s="338">
        <f t="shared" si="265"/>
        <v>0</v>
      </c>
      <c r="R324" s="329">
        <f t="shared" si="259"/>
        <v>0</v>
      </c>
      <c r="S324" s="338">
        <f t="shared" si="266"/>
        <v>0</v>
      </c>
      <c r="T324" s="329">
        <f t="shared" si="260"/>
        <v>0</v>
      </c>
      <c r="U324" s="338">
        <f t="shared" si="267"/>
        <v>0</v>
      </c>
      <c r="V324" s="329">
        <f t="shared" si="261"/>
        <v>0</v>
      </c>
      <c r="W324" s="338">
        <f t="shared" si="268"/>
        <v>0</v>
      </c>
      <c r="X324" s="35"/>
    </row>
    <row r="325" spans="1:24" s="765" customFormat="1" x14ac:dyDescent="0.25">
      <c r="A325" s="335">
        <f t="shared" si="249"/>
        <v>43900</v>
      </c>
      <c r="B325" s="329">
        <f t="shared" si="269"/>
        <v>0</v>
      </c>
      <c r="C325" s="338">
        <f t="shared" si="250"/>
        <v>34000000</v>
      </c>
      <c r="D325" s="329">
        <f t="shared" si="270"/>
        <v>0</v>
      </c>
      <c r="E325" s="338">
        <f t="shared" si="251"/>
        <v>33030958.66</v>
      </c>
      <c r="F325" s="329">
        <f t="shared" si="271"/>
        <v>0</v>
      </c>
      <c r="G325" s="338">
        <f t="shared" si="252"/>
        <v>18750000</v>
      </c>
      <c r="H325" s="329">
        <f t="shared" si="254"/>
        <v>0</v>
      </c>
      <c r="I325" s="338">
        <f t="shared" si="253"/>
        <v>10000000</v>
      </c>
      <c r="J325" s="329">
        <f t="shared" si="255"/>
        <v>0</v>
      </c>
      <c r="K325" s="338">
        <f t="shared" si="262"/>
        <v>0</v>
      </c>
      <c r="L325" s="329">
        <f t="shared" si="256"/>
        <v>0</v>
      </c>
      <c r="M325" s="338">
        <f t="shared" si="263"/>
        <v>0</v>
      </c>
      <c r="N325" s="329">
        <f t="shared" si="257"/>
        <v>0</v>
      </c>
      <c r="O325" s="338">
        <f t="shared" si="264"/>
        <v>0</v>
      </c>
      <c r="P325" s="329">
        <f t="shared" si="258"/>
        <v>0</v>
      </c>
      <c r="Q325" s="338">
        <f t="shared" si="265"/>
        <v>0</v>
      </c>
      <c r="R325" s="329">
        <f t="shared" si="259"/>
        <v>0</v>
      </c>
      <c r="S325" s="338">
        <f t="shared" si="266"/>
        <v>0</v>
      </c>
      <c r="T325" s="329">
        <f t="shared" si="260"/>
        <v>0</v>
      </c>
      <c r="U325" s="338">
        <f t="shared" si="267"/>
        <v>0</v>
      </c>
      <c r="V325" s="329">
        <f t="shared" si="261"/>
        <v>0</v>
      </c>
      <c r="W325" s="338">
        <f t="shared" si="268"/>
        <v>0</v>
      </c>
      <c r="X325" s="35"/>
    </row>
    <row r="326" spans="1:24" s="765" customFormat="1" x14ac:dyDescent="0.25">
      <c r="A326" s="335">
        <f t="shared" si="249"/>
        <v>43901</v>
      </c>
      <c r="B326" s="329">
        <f t="shared" si="269"/>
        <v>0</v>
      </c>
      <c r="C326" s="338">
        <f t="shared" si="250"/>
        <v>34000000</v>
      </c>
      <c r="D326" s="329">
        <f t="shared" si="270"/>
        <v>0</v>
      </c>
      <c r="E326" s="338">
        <f t="shared" si="251"/>
        <v>33030958.66</v>
      </c>
      <c r="F326" s="329">
        <f t="shared" si="271"/>
        <v>0</v>
      </c>
      <c r="G326" s="338">
        <f t="shared" si="252"/>
        <v>18750000</v>
      </c>
      <c r="H326" s="329">
        <f t="shared" si="254"/>
        <v>0</v>
      </c>
      <c r="I326" s="338">
        <f t="shared" si="253"/>
        <v>10000000</v>
      </c>
      <c r="J326" s="329">
        <f t="shared" si="255"/>
        <v>0</v>
      </c>
      <c r="K326" s="338">
        <f t="shared" si="262"/>
        <v>0</v>
      </c>
      <c r="L326" s="329">
        <f t="shared" si="256"/>
        <v>0</v>
      </c>
      <c r="M326" s="338">
        <f t="shared" si="263"/>
        <v>0</v>
      </c>
      <c r="N326" s="329">
        <f t="shared" si="257"/>
        <v>0</v>
      </c>
      <c r="O326" s="338">
        <f t="shared" si="264"/>
        <v>0</v>
      </c>
      <c r="P326" s="329">
        <f t="shared" si="258"/>
        <v>0</v>
      </c>
      <c r="Q326" s="338">
        <f t="shared" si="265"/>
        <v>0</v>
      </c>
      <c r="R326" s="329">
        <f t="shared" si="259"/>
        <v>0</v>
      </c>
      <c r="S326" s="338">
        <f t="shared" si="266"/>
        <v>0</v>
      </c>
      <c r="T326" s="329">
        <f t="shared" si="260"/>
        <v>0</v>
      </c>
      <c r="U326" s="338">
        <f t="shared" si="267"/>
        <v>0</v>
      </c>
      <c r="V326" s="329">
        <f t="shared" si="261"/>
        <v>0</v>
      </c>
      <c r="W326" s="338">
        <f t="shared" si="268"/>
        <v>0</v>
      </c>
      <c r="X326" s="35"/>
    </row>
    <row r="327" spans="1:24" s="765" customFormat="1" x14ac:dyDescent="0.25">
      <c r="A327" s="335">
        <f t="shared" si="249"/>
        <v>43902</v>
      </c>
      <c r="B327" s="329">
        <f t="shared" si="269"/>
        <v>0</v>
      </c>
      <c r="C327" s="338">
        <f t="shared" si="250"/>
        <v>34000000</v>
      </c>
      <c r="D327" s="329">
        <f t="shared" si="270"/>
        <v>0</v>
      </c>
      <c r="E327" s="338">
        <f t="shared" si="251"/>
        <v>33030958.66</v>
      </c>
      <c r="F327" s="329">
        <f t="shared" si="271"/>
        <v>0</v>
      </c>
      <c r="G327" s="338">
        <f t="shared" si="252"/>
        <v>18750000</v>
      </c>
      <c r="H327" s="329">
        <f t="shared" si="254"/>
        <v>0</v>
      </c>
      <c r="I327" s="338">
        <f t="shared" si="253"/>
        <v>10000000</v>
      </c>
      <c r="J327" s="329">
        <f t="shared" si="255"/>
        <v>0</v>
      </c>
      <c r="K327" s="338">
        <f t="shared" si="262"/>
        <v>0</v>
      </c>
      <c r="L327" s="329">
        <f t="shared" si="256"/>
        <v>0</v>
      </c>
      <c r="M327" s="338">
        <f t="shared" si="263"/>
        <v>0</v>
      </c>
      <c r="N327" s="329">
        <f t="shared" si="257"/>
        <v>0</v>
      </c>
      <c r="O327" s="338">
        <f t="shared" si="264"/>
        <v>0</v>
      </c>
      <c r="P327" s="329">
        <f t="shared" si="258"/>
        <v>0</v>
      </c>
      <c r="Q327" s="338">
        <f t="shared" si="265"/>
        <v>0</v>
      </c>
      <c r="R327" s="329">
        <f t="shared" si="259"/>
        <v>0</v>
      </c>
      <c r="S327" s="338">
        <f t="shared" si="266"/>
        <v>0</v>
      </c>
      <c r="T327" s="329">
        <f t="shared" si="260"/>
        <v>0</v>
      </c>
      <c r="U327" s="338">
        <f t="shared" si="267"/>
        <v>0</v>
      </c>
      <c r="V327" s="329">
        <f t="shared" si="261"/>
        <v>0</v>
      </c>
      <c r="W327" s="338">
        <f t="shared" si="268"/>
        <v>0</v>
      </c>
      <c r="X327" s="35"/>
    </row>
    <row r="328" spans="1:24" s="765" customFormat="1" x14ac:dyDescent="0.25">
      <c r="A328" s="12">
        <f t="shared" si="249"/>
        <v>43903</v>
      </c>
      <c r="B328" s="49">
        <f t="shared" si="269"/>
        <v>0</v>
      </c>
      <c r="C328" s="338">
        <f t="shared" si="250"/>
        <v>34000000</v>
      </c>
      <c r="D328" s="329">
        <f t="shared" si="270"/>
        <v>0</v>
      </c>
      <c r="E328" s="338">
        <f t="shared" si="251"/>
        <v>33030958.66</v>
      </c>
      <c r="F328" s="329">
        <f t="shared" si="271"/>
        <v>0</v>
      </c>
      <c r="G328" s="338">
        <f t="shared" si="252"/>
        <v>18750000</v>
      </c>
      <c r="H328" s="329">
        <f t="shared" si="254"/>
        <v>0</v>
      </c>
      <c r="I328" s="338">
        <f t="shared" si="253"/>
        <v>10000000</v>
      </c>
      <c r="J328" s="329">
        <f t="shared" si="255"/>
        <v>0</v>
      </c>
      <c r="K328" s="338">
        <f t="shared" si="262"/>
        <v>0</v>
      </c>
      <c r="L328" s="329">
        <f t="shared" si="256"/>
        <v>0</v>
      </c>
      <c r="M328" s="338">
        <f t="shared" si="263"/>
        <v>0</v>
      </c>
      <c r="N328" s="329">
        <f t="shared" si="257"/>
        <v>0</v>
      </c>
      <c r="O328" s="338">
        <f t="shared" si="264"/>
        <v>0</v>
      </c>
      <c r="P328" s="329">
        <f t="shared" si="258"/>
        <v>0</v>
      </c>
      <c r="Q328" s="338">
        <f t="shared" si="265"/>
        <v>0</v>
      </c>
      <c r="R328" s="329">
        <f t="shared" si="259"/>
        <v>0</v>
      </c>
      <c r="S328" s="338">
        <f t="shared" si="266"/>
        <v>0</v>
      </c>
      <c r="T328" s="329">
        <f t="shared" si="260"/>
        <v>0</v>
      </c>
      <c r="U328" s="338">
        <f t="shared" si="267"/>
        <v>0</v>
      </c>
      <c r="V328" s="329">
        <f t="shared" si="261"/>
        <v>0</v>
      </c>
      <c r="W328" s="338">
        <f t="shared" si="268"/>
        <v>0</v>
      </c>
      <c r="X328" s="35"/>
    </row>
    <row r="329" spans="1:24" s="765" customFormat="1" x14ac:dyDescent="0.25">
      <c r="A329" s="336">
        <f>A328+3</f>
        <v>43906</v>
      </c>
      <c r="B329" s="49">
        <f t="shared" si="269"/>
        <v>5000000</v>
      </c>
      <c r="C329" s="338">
        <f t="shared" si="250"/>
        <v>39000000</v>
      </c>
      <c r="D329" s="329">
        <f t="shared" si="270"/>
        <v>607559.22636299999</v>
      </c>
      <c r="E329" s="338">
        <f t="shared" si="251"/>
        <v>33638517.886363</v>
      </c>
      <c r="F329" s="329">
        <f t="shared" si="271"/>
        <v>0</v>
      </c>
      <c r="G329" s="338">
        <f t="shared" si="252"/>
        <v>18750000</v>
      </c>
      <c r="H329" s="329">
        <f t="shared" si="254"/>
        <v>0</v>
      </c>
      <c r="I329" s="338">
        <f t="shared" si="253"/>
        <v>10000000</v>
      </c>
      <c r="J329" s="329">
        <f t="shared" si="255"/>
        <v>0</v>
      </c>
      <c r="K329" s="338">
        <f t="shared" si="262"/>
        <v>0</v>
      </c>
      <c r="L329" s="329">
        <f t="shared" si="256"/>
        <v>0</v>
      </c>
      <c r="M329" s="338">
        <f t="shared" si="263"/>
        <v>0</v>
      </c>
      <c r="N329" s="329">
        <f t="shared" si="257"/>
        <v>0</v>
      </c>
      <c r="O329" s="338">
        <f t="shared" si="264"/>
        <v>0</v>
      </c>
      <c r="P329" s="329">
        <f t="shared" si="258"/>
        <v>0</v>
      </c>
      <c r="Q329" s="338">
        <f t="shared" si="265"/>
        <v>0</v>
      </c>
      <c r="R329" s="329">
        <f t="shared" si="259"/>
        <v>0</v>
      </c>
      <c r="S329" s="338">
        <f t="shared" si="266"/>
        <v>0</v>
      </c>
      <c r="T329" s="329">
        <f t="shared" si="260"/>
        <v>0</v>
      </c>
      <c r="U329" s="338">
        <f t="shared" si="267"/>
        <v>0</v>
      </c>
      <c r="V329" s="329">
        <f t="shared" si="261"/>
        <v>0</v>
      </c>
      <c r="W329" s="338">
        <f t="shared" si="268"/>
        <v>0</v>
      </c>
      <c r="X329" s="35"/>
    </row>
    <row r="330" spans="1:24" s="765" customFormat="1" x14ac:dyDescent="0.25">
      <c r="A330" s="335">
        <f t="shared" si="249"/>
        <v>43907</v>
      </c>
      <c r="B330" s="49">
        <f t="shared" si="269"/>
        <v>0</v>
      </c>
      <c r="C330" s="338">
        <f t="shared" ref="C330:C358" si="272">B330+C329</f>
        <v>39000000</v>
      </c>
      <c r="D330" s="329">
        <f t="shared" si="270"/>
        <v>0</v>
      </c>
      <c r="E330" s="338">
        <f t="shared" ref="E330:E358" si="273">D330+E329</f>
        <v>33638517.886363</v>
      </c>
      <c r="F330" s="329">
        <f t="shared" si="271"/>
        <v>0</v>
      </c>
      <c r="G330" s="338">
        <f t="shared" ref="G330:G358" si="274">F330+G329</f>
        <v>18750000</v>
      </c>
      <c r="H330" s="329">
        <f t="shared" si="254"/>
        <v>0</v>
      </c>
      <c r="I330" s="338">
        <f t="shared" ref="I330:I358" si="275">H330+I329</f>
        <v>10000000</v>
      </c>
      <c r="J330" s="329">
        <f t="shared" si="255"/>
        <v>0</v>
      </c>
      <c r="K330" s="338">
        <f t="shared" si="262"/>
        <v>0</v>
      </c>
      <c r="L330" s="329">
        <f t="shared" si="256"/>
        <v>0</v>
      </c>
      <c r="M330" s="338">
        <f t="shared" si="263"/>
        <v>0</v>
      </c>
      <c r="N330" s="329">
        <f t="shared" si="257"/>
        <v>0</v>
      </c>
      <c r="O330" s="338">
        <f t="shared" si="264"/>
        <v>0</v>
      </c>
      <c r="P330" s="329">
        <f t="shared" si="258"/>
        <v>0</v>
      </c>
      <c r="Q330" s="338">
        <f t="shared" si="265"/>
        <v>0</v>
      </c>
      <c r="R330" s="329">
        <f t="shared" si="259"/>
        <v>0</v>
      </c>
      <c r="S330" s="338">
        <f t="shared" si="266"/>
        <v>0</v>
      </c>
      <c r="T330" s="329">
        <f t="shared" si="260"/>
        <v>0</v>
      </c>
      <c r="U330" s="338">
        <f t="shared" si="267"/>
        <v>0</v>
      </c>
      <c r="V330" s="329">
        <f t="shared" si="261"/>
        <v>0</v>
      </c>
      <c r="W330" s="338">
        <f t="shared" si="268"/>
        <v>0</v>
      </c>
      <c r="X330" s="35"/>
    </row>
    <row r="331" spans="1:24" s="765" customFormat="1" x14ac:dyDescent="0.25">
      <c r="A331" s="335">
        <f t="shared" si="249"/>
        <v>43908</v>
      </c>
      <c r="B331" s="49">
        <f t="shared" si="269"/>
        <v>0</v>
      </c>
      <c r="C331" s="338">
        <f t="shared" si="272"/>
        <v>39000000</v>
      </c>
      <c r="D331" s="329">
        <f t="shared" si="270"/>
        <v>0</v>
      </c>
      <c r="E331" s="338">
        <f t="shared" si="273"/>
        <v>33638517.886363</v>
      </c>
      <c r="F331" s="329">
        <f t="shared" si="271"/>
        <v>0</v>
      </c>
      <c r="G331" s="338">
        <f t="shared" si="274"/>
        <v>18750000</v>
      </c>
      <c r="H331" s="329">
        <f t="shared" si="254"/>
        <v>0</v>
      </c>
      <c r="I331" s="338">
        <f t="shared" si="275"/>
        <v>10000000</v>
      </c>
      <c r="J331" s="329">
        <f t="shared" si="255"/>
        <v>0</v>
      </c>
      <c r="K331" s="338">
        <f t="shared" si="262"/>
        <v>0</v>
      </c>
      <c r="L331" s="329">
        <f t="shared" si="256"/>
        <v>0</v>
      </c>
      <c r="M331" s="338">
        <f t="shared" si="263"/>
        <v>0</v>
      </c>
      <c r="N331" s="329">
        <f t="shared" si="257"/>
        <v>0</v>
      </c>
      <c r="O331" s="338">
        <f t="shared" si="264"/>
        <v>0</v>
      </c>
      <c r="P331" s="329">
        <f t="shared" si="258"/>
        <v>0</v>
      </c>
      <c r="Q331" s="338">
        <f t="shared" si="265"/>
        <v>0</v>
      </c>
      <c r="R331" s="329">
        <f t="shared" si="259"/>
        <v>0</v>
      </c>
      <c r="S331" s="338">
        <f t="shared" si="266"/>
        <v>0</v>
      </c>
      <c r="T331" s="329">
        <f t="shared" si="260"/>
        <v>0</v>
      </c>
      <c r="U331" s="338">
        <f t="shared" si="267"/>
        <v>0</v>
      </c>
      <c r="V331" s="329">
        <f t="shared" si="261"/>
        <v>0</v>
      </c>
      <c r="W331" s="338">
        <f t="shared" si="268"/>
        <v>0</v>
      </c>
      <c r="X331" s="35"/>
    </row>
    <row r="332" spans="1:24" s="765" customFormat="1" x14ac:dyDescent="0.25">
      <c r="A332" s="335">
        <f t="shared" si="249"/>
        <v>43909</v>
      </c>
      <c r="B332" s="49">
        <f t="shared" si="269"/>
        <v>0</v>
      </c>
      <c r="C332" s="338">
        <f t="shared" si="272"/>
        <v>39000000</v>
      </c>
      <c r="D332" s="329">
        <f t="shared" si="270"/>
        <v>0</v>
      </c>
      <c r="E332" s="338">
        <f t="shared" si="273"/>
        <v>33638517.886363</v>
      </c>
      <c r="F332" s="329">
        <f t="shared" si="271"/>
        <v>0</v>
      </c>
      <c r="G332" s="338">
        <f t="shared" si="274"/>
        <v>18750000</v>
      </c>
      <c r="H332" s="329">
        <f t="shared" si="254"/>
        <v>0</v>
      </c>
      <c r="I332" s="338">
        <f t="shared" si="275"/>
        <v>10000000</v>
      </c>
      <c r="J332" s="329">
        <f t="shared" si="255"/>
        <v>0</v>
      </c>
      <c r="K332" s="338">
        <f t="shared" si="262"/>
        <v>0</v>
      </c>
      <c r="L332" s="329">
        <f t="shared" si="256"/>
        <v>0</v>
      </c>
      <c r="M332" s="338">
        <f t="shared" si="263"/>
        <v>0</v>
      </c>
      <c r="N332" s="329">
        <f t="shared" si="257"/>
        <v>0</v>
      </c>
      <c r="O332" s="338">
        <f t="shared" si="264"/>
        <v>0</v>
      </c>
      <c r="P332" s="329">
        <f t="shared" si="258"/>
        <v>0</v>
      </c>
      <c r="Q332" s="338">
        <f t="shared" si="265"/>
        <v>0</v>
      </c>
      <c r="R332" s="329">
        <f t="shared" si="259"/>
        <v>0</v>
      </c>
      <c r="S332" s="338">
        <f t="shared" si="266"/>
        <v>0</v>
      </c>
      <c r="T332" s="329">
        <f t="shared" si="260"/>
        <v>0</v>
      </c>
      <c r="U332" s="338">
        <f t="shared" si="267"/>
        <v>0</v>
      </c>
      <c r="V332" s="329">
        <f t="shared" si="261"/>
        <v>0</v>
      </c>
      <c r="W332" s="338">
        <f t="shared" si="268"/>
        <v>0</v>
      </c>
      <c r="X332" s="35"/>
    </row>
    <row r="333" spans="1:24" s="765" customFormat="1" x14ac:dyDescent="0.25">
      <c r="A333" s="12">
        <f t="shared" si="249"/>
        <v>43910</v>
      </c>
      <c r="B333" s="49">
        <f t="shared" si="269"/>
        <v>0</v>
      </c>
      <c r="C333" s="338">
        <f t="shared" si="272"/>
        <v>39000000</v>
      </c>
      <c r="D333" s="329">
        <f t="shared" si="270"/>
        <v>0</v>
      </c>
      <c r="E333" s="338">
        <f t="shared" si="273"/>
        <v>33638517.886363</v>
      </c>
      <c r="F333" s="329">
        <f t="shared" si="271"/>
        <v>0</v>
      </c>
      <c r="G333" s="338">
        <f t="shared" si="274"/>
        <v>18750000</v>
      </c>
      <c r="H333" s="329">
        <f t="shared" si="254"/>
        <v>0</v>
      </c>
      <c r="I333" s="338">
        <f t="shared" si="275"/>
        <v>10000000</v>
      </c>
      <c r="J333" s="329">
        <f t="shared" si="255"/>
        <v>0</v>
      </c>
      <c r="K333" s="338">
        <f t="shared" si="262"/>
        <v>0</v>
      </c>
      <c r="L333" s="329">
        <f t="shared" si="256"/>
        <v>0</v>
      </c>
      <c r="M333" s="338">
        <f t="shared" si="263"/>
        <v>0</v>
      </c>
      <c r="N333" s="329">
        <f t="shared" si="257"/>
        <v>0</v>
      </c>
      <c r="O333" s="338">
        <f t="shared" si="264"/>
        <v>0</v>
      </c>
      <c r="P333" s="329">
        <f t="shared" si="258"/>
        <v>0</v>
      </c>
      <c r="Q333" s="338">
        <f t="shared" si="265"/>
        <v>0</v>
      </c>
      <c r="R333" s="329">
        <f t="shared" si="259"/>
        <v>0</v>
      </c>
      <c r="S333" s="338">
        <f t="shared" si="266"/>
        <v>0</v>
      </c>
      <c r="T333" s="329">
        <f t="shared" si="260"/>
        <v>0</v>
      </c>
      <c r="U333" s="338">
        <f t="shared" si="267"/>
        <v>0</v>
      </c>
      <c r="V333" s="329">
        <f t="shared" si="261"/>
        <v>0</v>
      </c>
      <c r="W333" s="338">
        <f t="shared" si="268"/>
        <v>0</v>
      </c>
      <c r="X333" s="35"/>
    </row>
    <row r="334" spans="1:24" s="765" customFormat="1" x14ac:dyDescent="0.25">
      <c r="A334" s="336">
        <f>A333+3</f>
        <v>43913</v>
      </c>
      <c r="B334" s="49">
        <f t="shared" si="269"/>
        <v>0</v>
      </c>
      <c r="C334" s="338">
        <f t="shared" si="272"/>
        <v>39000000</v>
      </c>
      <c r="D334" s="329">
        <f t="shared" si="270"/>
        <v>0</v>
      </c>
      <c r="E334" s="338">
        <f t="shared" si="273"/>
        <v>33638517.886363</v>
      </c>
      <c r="F334" s="329">
        <f t="shared" si="271"/>
        <v>0</v>
      </c>
      <c r="G334" s="338">
        <f t="shared" si="274"/>
        <v>18750000</v>
      </c>
      <c r="H334" s="329">
        <f t="shared" si="254"/>
        <v>0</v>
      </c>
      <c r="I334" s="338">
        <f t="shared" si="275"/>
        <v>10000000</v>
      </c>
      <c r="J334" s="329">
        <f t="shared" si="255"/>
        <v>0</v>
      </c>
      <c r="K334" s="338">
        <f t="shared" si="262"/>
        <v>0</v>
      </c>
      <c r="L334" s="329">
        <f t="shared" si="256"/>
        <v>0</v>
      </c>
      <c r="M334" s="338">
        <f t="shared" si="263"/>
        <v>0</v>
      </c>
      <c r="N334" s="329">
        <f t="shared" si="257"/>
        <v>0</v>
      </c>
      <c r="O334" s="338">
        <f t="shared" si="264"/>
        <v>0</v>
      </c>
      <c r="P334" s="329">
        <f t="shared" si="258"/>
        <v>0</v>
      </c>
      <c r="Q334" s="338">
        <f t="shared" si="265"/>
        <v>0</v>
      </c>
      <c r="R334" s="329">
        <f t="shared" si="259"/>
        <v>0</v>
      </c>
      <c r="S334" s="338">
        <f t="shared" si="266"/>
        <v>0</v>
      </c>
      <c r="T334" s="329">
        <f t="shared" si="260"/>
        <v>0</v>
      </c>
      <c r="U334" s="338">
        <f t="shared" si="267"/>
        <v>0</v>
      </c>
      <c r="V334" s="329">
        <f t="shared" si="261"/>
        <v>0</v>
      </c>
      <c r="W334" s="338">
        <f t="shared" si="268"/>
        <v>0</v>
      </c>
      <c r="X334" s="35"/>
    </row>
    <row r="335" spans="1:24" s="765" customFormat="1" x14ac:dyDescent="0.25">
      <c r="A335" s="335">
        <f t="shared" si="249"/>
        <v>43914</v>
      </c>
      <c r="B335" s="49">
        <f t="shared" si="269"/>
        <v>0</v>
      </c>
      <c r="C335" s="338">
        <f t="shared" si="272"/>
        <v>39000000</v>
      </c>
      <c r="D335" s="329">
        <f t="shared" si="270"/>
        <v>0</v>
      </c>
      <c r="E335" s="338">
        <f t="shared" si="273"/>
        <v>33638517.886363</v>
      </c>
      <c r="F335" s="329">
        <f t="shared" si="271"/>
        <v>0</v>
      </c>
      <c r="G335" s="338">
        <f t="shared" si="274"/>
        <v>18750000</v>
      </c>
      <c r="H335" s="329">
        <f t="shared" si="254"/>
        <v>0</v>
      </c>
      <c r="I335" s="338">
        <f t="shared" si="275"/>
        <v>10000000</v>
      </c>
      <c r="J335" s="329">
        <f t="shared" si="255"/>
        <v>0</v>
      </c>
      <c r="K335" s="338">
        <f t="shared" si="262"/>
        <v>0</v>
      </c>
      <c r="L335" s="329">
        <f t="shared" si="256"/>
        <v>0</v>
      </c>
      <c r="M335" s="338">
        <f t="shared" si="263"/>
        <v>0</v>
      </c>
      <c r="N335" s="329">
        <f t="shared" si="257"/>
        <v>0</v>
      </c>
      <c r="O335" s="338">
        <f t="shared" si="264"/>
        <v>0</v>
      </c>
      <c r="P335" s="329">
        <f t="shared" si="258"/>
        <v>0</v>
      </c>
      <c r="Q335" s="338">
        <f t="shared" si="265"/>
        <v>0</v>
      </c>
      <c r="R335" s="329">
        <f t="shared" si="259"/>
        <v>0</v>
      </c>
      <c r="S335" s="338">
        <f t="shared" si="266"/>
        <v>0</v>
      </c>
      <c r="T335" s="329">
        <f t="shared" si="260"/>
        <v>0</v>
      </c>
      <c r="U335" s="338">
        <f t="shared" si="267"/>
        <v>0</v>
      </c>
      <c r="V335" s="329">
        <f t="shared" si="261"/>
        <v>0</v>
      </c>
      <c r="W335" s="338">
        <f t="shared" si="268"/>
        <v>0</v>
      </c>
      <c r="X335" s="35"/>
    </row>
    <row r="336" spans="1:24" s="765" customFormat="1" x14ac:dyDescent="0.25">
      <c r="A336" s="335">
        <f t="shared" si="249"/>
        <v>43915</v>
      </c>
      <c r="B336" s="49">
        <f t="shared" si="269"/>
        <v>0</v>
      </c>
      <c r="C336" s="338">
        <f t="shared" si="272"/>
        <v>39000000</v>
      </c>
      <c r="D336" s="329">
        <f t="shared" si="270"/>
        <v>0</v>
      </c>
      <c r="E336" s="338">
        <f t="shared" si="273"/>
        <v>33638517.886363</v>
      </c>
      <c r="F336" s="329">
        <f t="shared" si="271"/>
        <v>0</v>
      </c>
      <c r="G336" s="338">
        <f t="shared" si="274"/>
        <v>18750000</v>
      </c>
      <c r="H336" s="329">
        <f t="shared" si="254"/>
        <v>0</v>
      </c>
      <c r="I336" s="338">
        <f t="shared" si="275"/>
        <v>10000000</v>
      </c>
      <c r="J336" s="329">
        <f t="shared" si="255"/>
        <v>0</v>
      </c>
      <c r="K336" s="338">
        <f t="shared" si="262"/>
        <v>0</v>
      </c>
      <c r="L336" s="329">
        <f t="shared" si="256"/>
        <v>0</v>
      </c>
      <c r="M336" s="338">
        <f t="shared" si="263"/>
        <v>0</v>
      </c>
      <c r="N336" s="329">
        <f t="shared" si="257"/>
        <v>0</v>
      </c>
      <c r="O336" s="338">
        <f t="shared" si="264"/>
        <v>0</v>
      </c>
      <c r="P336" s="329">
        <f t="shared" si="258"/>
        <v>0</v>
      </c>
      <c r="Q336" s="338">
        <f t="shared" si="265"/>
        <v>0</v>
      </c>
      <c r="R336" s="329">
        <f t="shared" si="259"/>
        <v>0</v>
      </c>
      <c r="S336" s="338">
        <f t="shared" si="266"/>
        <v>0</v>
      </c>
      <c r="T336" s="329">
        <f t="shared" si="260"/>
        <v>0</v>
      </c>
      <c r="U336" s="338">
        <f t="shared" si="267"/>
        <v>0</v>
      </c>
      <c r="V336" s="329">
        <f t="shared" si="261"/>
        <v>0</v>
      </c>
      <c r="W336" s="338">
        <f t="shared" si="268"/>
        <v>0</v>
      </c>
      <c r="X336" s="35"/>
    </row>
    <row r="337" spans="1:24" s="765" customFormat="1" x14ac:dyDescent="0.25">
      <c r="A337" s="335">
        <f t="shared" si="249"/>
        <v>43916</v>
      </c>
      <c r="B337" s="49">
        <f t="shared" si="269"/>
        <v>0</v>
      </c>
      <c r="C337" s="338">
        <f t="shared" si="272"/>
        <v>39000000</v>
      </c>
      <c r="D337" s="329">
        <f t="shared" si="270"/>
        <v>0</v>
      </c>
      <c r="E337" s="338">
        <f t="shared" si="273"/>
        <v>33638517.886363</v>
      </c>
      <c r="F337" s="329">
        <f t="shared" si="271"/>
        <v>0</v>
      </c>
      <c r="G337" s="338">
        <f t="shared" si="274"/>
        <v>18750000</v>
      </c>
      <c r="H337" s="329">
        <f t="shared" si="254"/>
        <v>7000000</v>
      </c>
      <c r="I337" s="338">
        <f t="shared" si="275"/>
        <v>17000000</v>
      </c>
      <c r="J337" s="329">
        <f t="shared" si="255"/>
        <v>0</v>
      </c>
      <c r="K337" s="338">
        <f t="shared" si="262"/>
        <v>0</v>
      </c>
      <c r="L337" s="329">
        <f t="shared" si="256"/>
        <v>0</v>
      </c>
      <c r="M337" s="338">
        <f t="shared" si="263"/>
        <v>0</v>
      </c>
      <c r="N337" s="329">
        <f t="shared" si="257"/>
        <v>0</v>
      </c>
      <c r="O337" s="338">
        <f t="shared" si="264"/>
        <v>0</v>
      </c>
      <c r="P337" s="329">
        <f t="shared" si="258"/>
        <v>0</v>
      </c>
      <c r="Q337" s="338">
        <f t="shared" si="265"/>
        <v>0</v>
      </c>
      <c r="R337" s="329">
        <f t="shared" si="259"/>
        <v>0</v>
      </c>
      <c r="S337" s="338">
        <f t="shared" si="266"/>
        <v>0</v>
      </c>
      <c r="T337" s="329">
        <f t="shared" si="260"/>
        <v>0</v>
      </c>
      <c r="U337" s="338">
        <f t="shared" si="267"/>
        <v>0</v>
      </c>
      <c r="V337" s="329">
        <f t="shared" si="261"/>
        <v>0</v>
      </c>
      <c r="W337" s="338">
        <f t="shared" si="268"/>
        <v>0</v>
      </c>
      <c r="X337" s="35"/>
    </row>
    <row r="338" spans="1:24" s="765" customFormat="1" x14ac:dyDescent="0.25">
      <c r="A338" s="12">
        <f t="shared" si="249"/>
        <v>43917</v>
      </c>
      <c r="B338" s="49">
        <f t="shared" si="269"/>
        <v>0</v>
      </c>
      <c r="C338" s="338">
        <f t="shared" si="272"/>
        <v>39000000</v>
      </c>
      <c r="D338" s="329">
        <f t="shared" si="270"/>
        <v>0</v>
      </c>
      <c r="E338" s="338">
        <f t="shared" si="273"/>
        <v>33638517.886363</v>
      </c>
      <c r="F338" s="329">
        <f t="shared" si="271"/>
        <v>0</v>
      </c>
      <c r="G338" s="338">
        <f t="shared" si="274"/>
        <v>18750000</v>
      </c>
      <c r="H338" s="329">
        <f t="shared" si="254"/>
        <v>0</v>
      </c>
      <c r="I338" s="338">
        <f t="shared" si="275"/>
        <v>17000000</v>
      </c>
      <c r="J338" s="329">
        <f t="shared" si="255"/>
        <v>0</v>
      </c>
      <c r="K338" s="338">
        <f t="shared" si="262"/>
        <v>0</v>
      </c>
      <c r="L338" s="329">
        <f t="shared" si="256"/>
        <v>0</v>
      </c>
      <c r="M338" s="338">
        <f t="shared" si="263"/>
        <v>0</v>
      </c>
      <c r="N338" s="329">
        <f t="shared" si="257"/>
        <v>0</v>
      </c>
      <c r="O338" s="338">
        <f t="shared" si="264"/>
        <v>0</v>
      </c>
      <c r="P338" s="329">
        <f t="shared" si="258"/>
        <v>0</v>
      </c>
      <c r="Q338" s="338">
        <f t="shared" si="265"/>
        <v>0</v>
      </c>
      <c r="R338" s="329">
        <f t="shared" si="259"/>
        <v>0</v>
      </c>
      <c r="S338" s="338">
        <f t="shared" si="266"/>
        <v>0</v>
      </c>
      <c r="T338" s="329">
        <f t="shared" si="260"/>
        <v>0</v>
      </c>
      <c r="U338" s="338">
        <f t="shared" si="267"/>
        <v>0</v>
      </c>
      <c r="V338" s="329">
        <f t="shared" si="261"/>
        <v>0</v>
      </c>
      <c r="W338" s="338">
        <f t="shared" si="268"/>
        <v>0</v>
      </c>
      <c r="X338" s="35"/>
    </row>
    <row r="339" spans="1:24" s="765" customFormat="1" x14ac:dyDescent="0.25">
      <c r="A339" s="336">
        <f>A338+3</f>
        <v>43920</v>
      </c>
      <c r="B339" s="49">
        <f t="shared" si="269"/>
        <v>0</v>
      </c>
      <c r="C339" s="338">
        <f t="shared" si="272"/>
        <v>39000000</v>
      </c>
      <c r="D339" s="329">
        <f t="shared" si="270"/>
        <v>0</v>
      </c>
      <c r="E339" s="338">
        <f t="shared" si="273"/>
        <v>33638517.886363</v>
      </c>
      <c r="F339" s="329">
        <f t="shared" si="271"/>
        <v>0</v>
      </c>
      <c r="G339" s="338">
        <f t="shared" si="274"/>
        <v>18750000</v>
      </c>
      <c r="H339" s="329">
        <f t="shared" si="254"/>
        <v>0</v>
      </c>
      <c r="I339" s="338">
        <f t="shared" si="275"/>
        <v>17000000</v>
      </c>
      <c r="J339" s="329">
        <f t="shared" si="255"/>
        <v>0</v>
      </c>
      <c r="K339" s="338">
        <f t="shared" si="262"/>
        <v>0</v>
      </c>
      <c r="L339" s="329">
        <f t="shared" si="256"/>
        <v>0</v>
      </c>
      <c r="M339" s="338">
        <f t="shared" si="263"/>
        <v>0</v>
      </c>
      <c r="N339" s="329">
        <f t="shared" si="257"/>
        <v>0</v>
      </c>
      <c r="O339" s="338">
        <f t="shared" si="264"/>
        <v>0</v>
      </c>
      <c r="P339" s="329">
        <f t="shared" si="258"/>
        <v>0</v>
      </c>
      <c r="Q339" s="338">
        <f t="shared" si="265"/>
        <v>0</v>
      </c>
      <c r="R339" s="329">
        <f t="shared" si="259"/>
        <v>0</v>
      </c>
      <c r="S339" s="338">
        <f t="shared" si="266"/>
        <v>0</v>
      </c>
      <c r="T339" s="329">
        <f t="shared" si="260"/>
        <v>0</v>
      </c>
      <c r="U339" s="338">
        <f t="shared" si="267"/>
        <v>0</v>
      </c>
      <c r="V339" s="329">
        <f t="shared" si="261"/>
        <v>0</v>
      </c>
      <c r="W339" s="338">
        <f t="shared" si="268"/>
        <v>0</v>
      </c>
      <c r="X339" s="35"/>
    </row>
    <row r="340" spans="1:24" s="765" customFormat="1" x14ac:dyDescent="0.25">
      <c r="A340" s="335">
        <f>A339+1</f>
        <v>43921</v>
      </c>
      <c r="B340" s="49">
        <f t="shared" si="269"/>
        <v>0</v>
      </c>
      <c r="C340" s="338">
        <f t="shared" si="272"/>
        <v>39000000</v>
      </c>
      <c r="D340" s="329">
        <f t="shared" si="270"/>
        <v>0</v>
      </c>
      <c r="E340" s="338">
        <f t="shared" si="273"/>
        <v>33638517.886363</v>
      </c>
      <c r="F340" s="329">
        <f t="shared" si="271"/>
        <v>0</v>
      </c>
      <c r="G340" s="338">
        <f t="shared" si="274"/>
        <v>18750000</v>
      </c>
      <c r="H340" s="329">
        <f t="shared" si="254"/>
        <v>0</v>
      </c>
      <c r="I340" s="338">
        <f t="shared" si="275"/>
        <v>17000000</v>
      </c>
      <c r="J340" s="329">
        <f t="shared" si="255"/>
        <v>0</v>
      </c>
      <c r="K340" s="338">
        <f t="shared" si="262"/>
        <v>0</v>
      </c>
      <c r="L340" s="329">
        <f t="shared" si="256"/>
        <v>0</v>
      </c>
      <c r="M340" s="338">
        <f t="shared" si="263"/>
        <v>0</v>
      </c>
      <c r="N340" s="329">
        <f t="shared" si="257"/>
        <v>0</v>
      </c>
      <c r="O340" s="338">
        <f t="shared" si="264"/>
        <v>0</v>
      </c>
      <c r="P340" s="329">
        <f t="shared" si="258"/>
        <v>0</v>
      </c>
      <c r="Q340" s="338">
        <f t="shared" si="265"/>
        <v>0</v>
      </c>
      <c r="R340" s="329">
        <f t="shared" si="259"/>
        <v>0</v>
      </c>
      <c r="S340" s="338">
        <f t="shared" si="266"/>
        <v>0</v>
      </c>
      <c r="T340" s="329">
        <f t="shared" si="260"/>
        <v>0</v>
      </c>
      <c r="U340" s="338">
        <f t="shared" si="267"/>
        <v>0</v>
      </c>
      <c r="V340" s="329">
        <f t="shared" si="261"/>
        <v>0</v>
      </c>
      <c r="W340" s="338">
        <f t="shared" si="268"/>
        <v>0</v>
      </c>
      <c r="X340" s="35"/>
    </row>
    <row r="341" spans="1:24" s="765" customFormat="1" x14ac:dyDescent="0.25">
      <c r="A341" s="335">
        <f>A340+1</f>
        <v>43922</v>
      </c>
      <c r="B341" s="49">
        <f t="shared" si="269"/>
        <v>0</v>
      </c>
      <c r="C341" s="338">
        <f t="shared" si="272"/>
        <v>39000000</v>
      </c>
      <c r="D341" s="329">
        <f t="shared" si="270"/>
        <v>0</v>
      </c>
      <c r="E341" s="338">
        <f t="shared" si="273"/>
        <v>33638517.886363</v>
      </c>
      <c r="F341" s="329">
        <f t="shared" si="271"/>
        <v>0</v>
      </c>
      <c r="G341" s="338">
        <f t="shared" si="274"/>
        <v>18750000</v>
      </c>
      <c r="H341" s="329">
        <f t="shared" si="254"/>
        <v>0</v>
      </c>
      <c r="I341" s="338">
        <f t="shared" si="275"/>
        <v>17000000</v>
      </c>
      <c r="J341" s="329">
        <f t="shared" si="255"/>
        <v>0</v>
      </c>
      <c r="K341" s="338">
        <f t="shared" si="262"/>
        <v>0</v>
      </c>
      <c r="L341" s="329">
        <f t="shared" si="256"/>
        <v>0</v>
      </c>
      <c r="M341" s="338">
        <f t="shared" si="263"/>
        <v>0</v>
      </c>
      <c r="N341" s="329">
        <f t="shared" si="257"/>
        <v>0</v>
      </c>
      <c r="O341" s="338">
        <f t="shared" si="264"/>
        <v>0</v>
      </c>
      <c r="P341" s="329">
        <f t="shared" si="258"/>
        <v>0</v>
      </c>
      <c r="Q341" s="338">
        <f t="shared" si="265"/>
        <v>0</v>
      </c>
      <c r="R341" s="329">
        <f t="shared" si="259"/>
        <v>0</v>
      </c>
      <c r="S341" s="338">
        <f t="shared" si="266"/>
        <v>0</v>
      </c>
      <c r="T341" s="329">
        <f t="shared" si="260"/>
        <v>0</v>
      </c>
      <c r="U341" s="338">
        <f t="shared" si="267"/>
        <v>0</v>
      </c>
      <c r="V341" s="329">
        <f t="shared" si="261"/>
        <v>0</v>
      </c>
      <c r="W341" s="338">
        <f t="shared" si="268"/>
        <v>0</v>
      </c>
      <c r="X341" s="35"/>
    </row>
    <row r="342" spans="1:24" s="765" customFormat="1" x14ac:dyDescent="0.25">
      <c r="A342" s="335">
        <f>A341+1</f>
        <v>43923</v>
      </c>
      <c r="B342" s="49">
        <f t="shared" si="269"/>
        <v>0</v>
      </c>
      <c r="C342" s="338">
        <f t="shared" si="272"/>
        <v>39000000</v>
      </c>
      <c r="D342" s="329">
        <f t="shared" si="270"/>
        <v>0</v>
      </c>
      <c r="E342" s="338">
        <f t="shared" si="273"/>
        <v>33638517.886363</v>
      </c>
      <c r="F342" s="329">
        <f t="shared" si="271"/>
        <v>0</v>
      </c>
      <c r="G342" s="338">
        <f t="shared" si="274"/>
        <v>18750000</v>
      </c>
      <c r="H342" s="329">
        <f t="shared" si="254"/>
        <v>0</v>
      </c>
      <c r="I342" s="338">
        <f t="shared" si="275"/>
        <v>17000000</v>
      </c>
      <c r="J342" s="329">
        <f t="shared" si="255"/>
        <v>0</v>
      </c>
      <c r="K342" s="338">
        <f t="shared" si="262"/>
        <v>0</v>
      </c>
      <c r="L342" s="329">
        <f t="shared" si="256"/>
        <v>0</v>
      </c>
      <c r="M342" s="338">
        <f t="shared" si="263"/>
        <v>0</v>
      </c>
      <c r="N342" s="329">
        <f t="shared" si="257"/>
        <v>0</v>
      </c>
      <c r="O342" s="338">
        <f t="shared" si="264"/>
        <v>0</v>
      </c>
      <c r="P342" s="329">
        <f t="shared" si="258"/>
        <v>0</v>
      </c>
      <c r="Q342" s="338">
        <f t="shared" si="265"/>
        <v>0</v>
      </c>
      <c r="R342" s="329">
        <f t="shared" si="259"/>
        <v>0</v>
      </c>
      <c r="S342" s="338">
        <f t="shared" si="266"/>
        <v>0</v>
      </c>
      <c r="T342" s="329">
        <f t="shared" si="260"/>
        <v>0</v>
      </c>
      <c r="U342" s="338">
        <f t="shared" si="267"/>
        <v>0</v>
      </c>
      <c r="V342" s="329">
        <f t="shared" si="261"/>
        <v>0</v>
      </c>
      <c r="W342" s="338">
        <f t="shared" si="268"/>
        <v>0</v>
      </c>
      <c r="X342" s="35"/>
    </row>
    <row r="343" spans="1:24" s="765" customFormat="1" x14ac:dyDescent="0.25">
      <c r="A343" s="335">
        <f>A342+1</f>
        <v>43924</v>
      </c>
      <c r="B343" s="49">
        <f t="shared" si="269"/>
        <v>0</v>
      </c>
      <c r="C343" s="338">
        <f t="shared" si="272"/>
        <v>39000000</v>
      </c>
      <c r="D343" s="329">
        <f t="shared" si="270"/>
        <v>0</v>
      </c>
      <c r="E343" s="338">
        <f t="shared" si="273"/>
        <v>33638517.886363</v>
      </c>
      <c r="F343" s="329">
        <f t="shared" si="271"/>
        <v>0</v>
      </c>
      <c r="G343" s="338">
        <f t="shared" si="274"/>
        <v>18750000</v>
      </c>
      <c r="H343" s="329">
        <f t="shared" si="254"/>
        <v>0</v>
      </c>
      <c r="I343" s="338">
        <f t="shared" si="275"/>
        <v>17000000</v>
      </c>
      <c r="J343" s="329">
        <f t="shared" si="255"/>
        <v>0</v>
      </c>
      <c r="K343" s="338">
        <f t="shared" si="262"/>
        <v>0</v>
      </c>
      <c r="L343" s="329">
        <f t="shared" si="256"/>
        <v>0</v>
      </c>
      <c r="M343" s="338">
        <f t="shared" si="263"/>
        <v>0</v>
      </c>
      <c r="N343" s="329">
        <f t="shared" si="257"/>
        <v>0</v>
      </c>
      <c r="O343" s="338">
        <f t="shared" si="264"/>
        <v>0</v>
      </c>
      <c r="P343" s="329">
        <f t="shared" si="258"/>
        <v>0</v>
      </c>
      <c r="Q343" s="338">
        <f t="shared" si="265"/>
        <v>0</v>
      </c>
      <c r="R343" s="329">
        <f t="shared" si="259"/>
        <v>0</v>
      </c>
      <c r="S343" s="338">
        <f t="shared" si="266"/>
        <v>0</v>
      </c>
      <c r="T343" s="329">
        <f t="shared" si="260"/>
        <v>0</v>
      </c>
      <c r="U343" s="338">
        <f t="shared" si="267"/>
        <v>0</v>
      </c>
      <c r="V343" s="329">
        <f t="shared" si="261"/>
        <v>0</v>
      </c>
      <c r="W343" s="338">
        <f t="shared" si="268"/>
        <v>0</v>
      </c>
      <c r="X343" s="35"/>
    </row>
    <row r="344" spans="1:24" s="765" customFormat="1" x14ac:dyDescent="0.25">
      <c r="A344" s="336">
        <f>A343+3</f>
        <v>43927</v>
      </c>
      <c r="B344" s="49">
        <f t="shared" si="269"/>
        <v>0</v>
      </c>
      <c r="C344" s="338">
        <f t="shared" si="272"/>
        <v>39000000</v>
      </c>
      <c r="D344" s="329">
        <f t="shared" si="270"/>
        <v>0</v>
      </c>
      <c r="E344" s="338">
        <f t="shared" si="273"/>
        <v>33638517.886363</v>
      </c>
      <c r="F344" s="329">
        <f t="shared" si="271"/>
        <v>0</v>
      </c>
      <c r="G344" s="338">
        <f t="shared" si="274"/>
        <v>18750000</v>
      </c>
      <c r="H344" s="329">
        <f t="shared" si="254"/>
        <v>0</v>
      </c>
      <c r="I344" s="338">
        <f t="shared" si="275"/>
        <v>17000000</v>
      </c>
      <c r="J344" s="329">
        <f t="shared" si="255"/>
        <v>0</v>
      </c>
      <c r="K344" s="338">
        <f t="shared" si="262"/>
        <v>0</v>
      </c>
      <c r="L344" s="329">
        <f t="shared" si="256"/>
        <v>0</v>
      </c>
      <c r="M344" s="338">
        <f t="shared" si="263"/>
        <v>0</v>
      </c>
      <c r="N344" s="329">
        <f t="shared" si="257"/>
        <v>0</v>
      </c>
      <c r="O344" s="338">
        <f t="shared" si="264"/>
        <v>0</v>
      </c>
      <c r="P344" s="329">
        <f t="shared" si="258"/>
        <v>0</v>
      </c>
      <c r="Q344" s="338">
        <f t="shared" si="265"/>
        <v>0</v>
      </c>
      <c r="R344" s="329">
        <f t="shared" si="259"/>
        <v>0</v>
      </c>
      <c r="S344" s="338">
        <f t="shared" si="266"/>
        <v>0</v>
      </c>
      <c r="T344" s="329">
        <f t="shared" si="260"/>
        <v>0</v>
      </c>
      <c r="U344" s="338">
        <f t="shared" si="267"/>
        <v>0</v>
      </c>
      <c r="V344" s="329">
        <f t="shared" si="261"/>
        <v>0</v>
      </c>
      <c r="W344" s="338">
        <f t="shared" si="268"/>
        <v>0</v>
      </c>
      <c r="X344" s="35"/>
    </row>
    <row r="345" spans="1:24" s="765" customFormat="1" x14ac:dyDescent="0.25">
      <c r="A345" s="335">
        <f>A344+1</f>
        <v>43928</v>
      </c>
      <c r="B345" s="49">
        <f t="shared" si="269"/>
        <v>0</v>
      </c>
      <c r="C345" s="338">
        <f t="shared" si="272"/>
        <v>39000000</v>
      </c>
      <c r="D345" s="329">
        <f t="shared" si="270"/>
        <v>0</v>
      </c>
      <c r="E345" s="338">
        <f t="shared" si="273"/>
        <v>33638517.886363</v>
      </c>
      <c r="F345" s="329">
        <f t="shared" si="271"/>
        <v>0</v>
      </c>
      <c r="G345" s="338">
        <f t="shared" si="274"/>
        <v>18750000</v>
      </c>
      <c r="H345" s="329">
        <f t="shared" si="254"/>
        <v>0</v>
      </c>
      <c r="I345" s="338">
        <f t="shared" si="275"/>
        <v>17000000</v>
      </c>
      <c r="J345" s="329">
        <f t="shared" si="255"/>
        <v>0</v>
      </c>
      <c r="K345" s="338">
        <f t="shared" si="262"/>
        <v>0</v>
      </c>
      <c r="L345" s="329">
        <f t="shared" si="256"/>
        <v>0</v>
      </c>
      <c r="M345" s="338">
        <f t="shared" si="263"/>
        <v>0</v>
      </c>
      <c r="N345" s="329">
        <f t="shared" si="257"/>
        <v>0</v>
      </c>
      <c r="O345" s="338">
        <f t="shared" si="264"/>
        <v>0</v>
      </c>
      <c r="P345" s="329">
        <f t="shared" si="258"/>
        <v>0</v>
      </c>
      <c r="Q345" s="338">
        <f t="shared" si="265"/>
        <v>0</v>
      </c>
      <c r="R345" s="329">
        <f t="shared" si="259"/>
        <v>0</v>
      </c>
      <c r="S345" s="338">
        <f t="shared" si="266"/>
        <v>0</v>
      </c>
      <c r="T345" s="329">
        <f t="shared" si="260"/>
        <v>0</v>
      </c>
      <c r="U345" s="338">
        <f t="shared" si="267"/>
        <v>0</v>
      </c>
      <c r="V345" s="329">
        <f t="shared" si="261"/>
        <v>0</v>
      </c>
      <c r="W345" s="338">
        <f t="shared" si="268"/>
        <v>0</v>
      </c>
      <c r="X345" s="35"/>
    </row>
    <row r="346" spans="1:24" s="765" customFormat="1" x14ac:dyDescent="0.25">
      <c r="A346" s="335">
        <f>A345+1</f>
        <v>43929</v>
      </c>
      <c r="B346" s="49">
        <f t="shared" si="269"/>
        <v>0</v>
      </c>
      <c r="C346" s="338">
        <f t="shared" si="272"/>
        <v>39000000</v>
      </c>
      <c r="D346" s="329">
        <f t="shared" si="270"/>
        <v>0</v>
      </c>
      <c r="E346" s="338">
        <f t="shared" si="273"/>
        <v>33638517.886363</v>
      </c>
      <c r="F346" s="329">
        <f t="shared" si="271"/>
        <v>0</v>
      </c>
      <c r="G346" s="338">
        <f t="shared" si="274"/>
        <v>18750000</v>
      </c>
      <c r="H346" s="329">
        <f t="shared" si="254"/>
        <v>0</v>
      </c>
      <c r="I346" s="338">
        <f t="shared" si="275"/>
        <v>17000000</v>
      </c>
      <c r="J346" s="329">
        <f t="shared" si="255"/>
        <v>0</v>
      </c>
      <c r="K346" s="338">
        <f t="shared" si="262"/>
        <v>0</v>
      </c>
      <c r="L346" s="329">
        <f t="shared" si="256"/>
        <v>0</v>
      </c>
      <c r="M346" s="338">
        <f t="shared" si="263"/>
        <v>0</v>
      </c>
      <c r="N346" s="329">
        <f t="shared" si="257"/>
        <v>0</v>
      </c>
      <c r="O346" s="338">
        <f t="shared" si="264"/>
        <v>0</v>
      </c>
      <c r="P346" s="329">
        <f t="shared" si="258"/>
        <v>0</v>
      </c>
      <c r="Q346" s="338">
        <f t="shared" si="265"/>
        <v>0</v>
      </c>
      <c r="R346" s="329">
        <f t="shared" si="259"/>
        <v>0</v>
      </c>
      <c r="S346" s="338">
        <f t="shared" si="266"/>
        <v>0</v>
      </c>
      <c r="T346" s="329">
        <f t="shared" si="260"/>
        <v>0</v>
      </c>
      <c r="U346" s="338">
        <f t="shared" si="267"/>
        <v>0</v>
      </c>
      <c r="V346" s="329">
        <f t="shared" si="261"/>
        <v>0</v>
      </c>
      <c r="W346" s="338">
        <f t="shared" si="268"/>
        <v>0</v>
      </c>
      <c r="X346" s="35"/>
    </row>
    <row r="347" spans="1:24" s="765" customFormat="1" x14ac:dyDescent="0.25">
      <c r="A347" s="335">
        <f>A346+1</f>
        <v>43930</v>
      </c>
      <c r="B347" s="49">
        <f t="shared" si="269"/>
        <v>0</v>
      </c>
      <c r="C347" s="338">
        <f t="shared" si="272"/>
        <v>39000000</v>
      </c>
      <c r="D347" s="329">
        <f t="shared" si="270"/>
        <v>0</v>
      </c>
      <c r="E347" s="338">
        <f t="shared" si="273"/>
        <v>33638517.886363</v>
      </c>
      <c r="F347" s="329">
        <f t="shared" si="271"/>
        <v>0</v>
      </c>
      <c r="G347" s="338">
        <f t="shared" si="274"/>
        <v>18750000</v>
      </c>
      <c r="H347" s="329">
        <f t="shared" si="254"/>
        <v>0</v>
      </c>
      <c r="I347" s="338">
        <f t="shared" si="275"/>
        <v>17000000</v>
      </c>
      <c r="J347" s="329">
        <f t="shared" si="255"/>
        <v>0</v>
      </c>
      <c r="K347" s="338">
        <f t="shared" si="262"/>
        <v>0</v>
      </c>
      <c r="L347" s="329">
        <f t="shared" si="256"/>
        <v>0</v>
      </c>
      <c r="M347" s="338">
        <f t="shared" si="263"/>
        <v>0</v>
      </c>
      <c r="N347" s="329">
        <f t="shared" si="257"/>
        <v>0</v>
      </c>
      <c r="O347" s="338">
        <f t="shared" si="264"/>
        <v>0</v>
      </c>
      <c r="P347" s="329">
        <f t="shared" si="258"/>
        <v>0</v>
      </c>
      <c r="Q347" s="338">
        <f t="shared" si="265"/>
        <v>0</v>
      </c>
      <c r="R347" s="329">
        <f t="shared" si="259"/>
        <v>0</v>
      </c>
      <c r="S347" s="338">
        <f t="shared" si="266"/>
        <v>0</v>
      </c>
      <c r="T347" s="329">
        <f t="shared" si="260"/>
        <v>0</v>
      </c>
      <c r="U347" s="338">
        <f t="shared" si="267"/>
        <v>0</v>
      </c>
      <c r="V347" s="329">
        <f t="shared" si="261"/>
        <v>0</v>
      </c>
      <c r="W347" s="338">
        <f t="shared" si="268"/>
        <v>0</v>
      </c>
      <c r="X347" s="35"/>
    </row>
    <row r="348" spans="1:24" s="765" customFormat="1" x14ac:dyDescent="0.25">
      <c r="A348" s="336">
        <f>A347+4</f>
        <v>43934</v>
      </c>
      <c r="B348" s="49">
        <f t="shared" si="269"/>
        <v>0</v>
      </c>
      <c r="C348" s="338">
        <f t="shared" si="272"/>
        <v>39000000</v>
      </c>
      <c r="D348" s="329">
        <f t="shared" si="270"/>
        <v>0</v>
      </c>
      <c r="E348" s="338">
        <f t="shared" si="273"/>
        <v>33638517.886363</v>
      </c>
      <c r="F348" s="329">
        <f t="shared" si="271"/>
        <v>0</v>
      </c>
      <c r="G348" s="338">
        <f t="shared" si="274"/>
        <v>18750000</v>
      </c>
      <c r="H348" s="329">
        <f t="shared" si="254"/>
        <v>0</v>
      </c>
      <c r="I348" s="338">
        <f t="shared" si="275"/>
        <v>17000000</v>
      </c>
      <c r="J348" s="329">
        <f t="shared" si="255"/>
        <v>0</v>
      </c>
      <c r="K348" s="338">
        <f t="shared" si="262"/>
        <v>0</v>
      </c>
      <c r="L348" s="329">
        <f t="shared" si="256"/>
        <v>0</v>
      </c>
      <c r="M348" s="338">
        <f t="shared" si="263"/>
        <v>0</v>
      </c>
      <c r="N348" s="329">
        <f t="shared" si="257"/>
        <v>0</v>
      </c>
      <c r="O348" s="338">
        <f t="shared" si="264"/>
        <v>0</v>
      </c>
      <c r="P348" s="329">
        <f t="shared" si="258"/>
        <v>0</v>
      </c>
      <c r="Q348" s="338">
        <f t="shared" si="265"/>
        <v>0</v>
      </c>
      <c r="R348" s="329">
        <f t="shared" si="259"/>
        <v>0</v>
      </c>
      <c r="S348" s="338">
        <f t="shared" si="266"/>
        <v>0</v>
      </c>
      <c r="T348" s="329">
        <f t="shared" si="260"/>
        <v>0</v>
      </c>
      <c r="U348" s="338">
        <f t="shared" si="267"/>
        <v>0</v>
      </c>
      <c r="V348" s="329">
        <f t="shared" si="261"/>
        <v>0</v>
      </c>
      <c r="W348" s="338">
        <f t="shared" si="268"/>
        <v>0</v>
      </c>
      <c r="X348" s="35"/>
    </row>
    <row r="349" spans="1:24" s="765" customFormat="1" x14ac:dyDescent="0.25">
      <c r="A349" s="335">
        <f>A348+1</f>
        <v>43935</v>
      </c>
      <c r="B349" s="49">
        <f t="shared" si="269"/>
        <v>0</v>
      </c>
      <c r="C349" s="338">
        <f t="shared" si="272"/>
        <v>39000000</v>
      </c>
      <c r="D349" s="329">
        <f t="shared" si="270"/>
        <v>0</v>
      </c>
      <c r="E349" s="338">
        <f t="shared" si="273"/>
        <v>33638517.886363</v>
      </c>
      <c r="F349" s="329">
        <f t="shared" si="271"/>
        <v>0</v>
      </c>
      <c r="G349" s="338">
        <f t="shared" si="274"/>
        <v>18750000</v>
      </c>
      <c r="H349" s="329">
        <f t="shared" si="254"/>
        <v>0</v>
      </c>
      <c r="I349" s="338">
        <f t="shared" si="275"/>
        <v>17000000</v>
      </c>
      <c r="J349" s="329">
        <f t="shared" si="255"/>
        <v>0</v>
      </c>
      <c r="K349" s="338">
        <f t="shared" si="262"/>
        <v>0</v>
      </c>
      <c r="L349" s="329">
        <f t="shared" si="256"/>
        <v>0</v>
      </c>
      <c r="M349" s="338">
        <f t="shared" si="263"/>
        <v>0</v>
      </c>
      <c r="N349" s="329">
        <f t="shared" si="257"/>
        <v>0</v>
      </c>
      <c r="O349" s="338">
        <f t="shared" si="264"/>
        <v>0</v>
      </c>
      <c r="P349" s="329">
        <f t="shared" si="258"/>
        <v>0</v>
      </c>
      <c r="Q349" s="338">
        <f t="shared" si="265"/>
        <v>0</v>
      </c>
      <c r="R349" s="329">
        <f t="shared" si="259"/>
        <v>0</v>
      </c>
      <c r="S349" s="338">
        <f t="shared" si="266"/>
        <v>0</v>
      </c>
      <c r="T349" s="329">
        <f t="shared" si="260"/>
        <v>0</v>
      </c>
      <c r="U349" s="338">
        <f t="shared" si="267"/>
        <v>0</v>
      </c>
      <c r="V349" s="329">
        <f t="shared" si="261"/>
        <v>0</v>
      </c>
      <c r="W349" s="338">
        <f t="shared" si="268"/>
        <v>0</v>
      </c>
      <c r="X349" s="35"/>
    </row>
    <row r="350" spans="1:24" s="765" customFormat="1" x14ac:dyDescent="0.25">
      <c r="A350" s="335">
        <f>A349+1</f>
        <v>43936</v>
      </c>
      <c r="B350" s="49">
        <f t="shared" si="269"/>
        <v>0</v>
      </c>
      <c r="C350" s="338">
        <f t="shared" si="272"/>
        <v>39000000</v>
      </c>
      <c r="D350" s="329">
        <f t="shared" si="270"/>
        <v>0</v>
      </c>
      <c r="E350" s="338">
        <f t="shared" si="273"/>
        <v>33638517.886363</v>
      </c>
      <c r="F350" s="329">
        <f t="shared" si="271"/>
        <v>0</v>
      </c>
      <c r="G350" s="338">
        <f t="shared" si="274"/>
        <v>18750000</v>
      </c>
      <c r="H350" s="329">
        <f t="shared" si="254"/>
        <v>0</v>
      </c>
      <c r="I350" s="338">
        <f t="shared" si="275"/>
        <v>17000000</v>
      </c>
      <c r="J350" s="329">
        <f t="shared" si="255"/>
        <v>0</v>
      </c>
      <c r="K350" s="338">
        <f t="shared" si="262"/>
        <v>0</v>
      </c>
      <c r="L350" s="329">
        <f t="shared" si="256"/>
        <v>0</v>
      </c>
      <c r="M350" s="338">
        <f t="shared" si="263"/>
        <v>0</v>
      </c>
      <c r="N350" s="329">
        <f t="shared" si="257"/>
        <v>0</v>
      </c>
      <c r="O350" s="338">
        <f t="shared" si="264"/>
        <v>0</v>
      </c>
      <c r="P350" s="329">
        <f t="shared" si="258"/>
        <v>0</v>
      </c>
      <c r="Q350" s="338">
        <f t="shared" si="265"/>
        <v>0</v>
      </c>
      <c r="R350" s="329">
        <f t="shared" si="259"/>
        <v>0</v>
      </c>
      <c r="S350" s="338">
        <f t="shared" si="266"/>
        <v>0</v>
      </c>
      <c r="T350" s="329">
        <f t="shared" si="260"/>
        <v>0</v>
      </c>
      <c r="U350" s="338">
        <f t="shared" si="267"/>
        <v>0</v>
      </c>
      <c r="V350" s="329">
        <f t="shared" si="261"/>
        <v>0</v>
      </c>
      <c r="W350" s="338">
        <f t="shared" si="268"/>
        <v>0</v>
      </c>
      <c r="X350" s="35"/>
    </row>
    <row r="351" spans="1:24" s="765" customFormat="1" x14ac:dyDescent="0.25">
      <c r="A351" s="335">
        <f>A350+1</f>
        <v>43937</v>
      </c>
      <c r="B351" s="49">
        <f t="shared" si="269"/>
        <v>0</v>
      </c>
      <c r="C351" s="338">
        <f t="shared" si="272"/>
        <v>39000000</v>
      </c>
      <c r="D351" s="329">
        <f t="shared" si="270"/>
        <v>0</v>
      </c>
      <c r="E351" s="338">
        <f t="shared" si="273"/>
        <v>33638517.886363</v>
      </c>
      <c r="F351" s="329">
        <f t="shared" si="271"/>
        <v>0</v>
      </c>
      <c r="G351" s="338">
        <f t="shared" si="274"/>
        <v>18750000</v>
      </c>
      <c r="H351" s="329">
        <f t="shared" si="254"/>
        <v>0</v>
      </c>
      <c r="I351" s="338">
        <f t="shared" si="275"/>
        <v>17000000</v>
      </c>
      <c r="J351" s="329">
        <f t="shared" si="255"/>
        <v>0</v>
      </c>
      <c r="K351" s="338">
        <f t="shared" si="262"/>
        <v>0</v>
      </c>
      <c r="L351" s="329">
        <f t="shared" si="256"/>
        <v>0</v>
      </c>
      <c r="M351" s="338">
        <f t="shared" si="263"/>
        <v>0</v>
      </c>
      <c r="N351" s="329">
        <f t="shared" si="257"/>
        <v>0</v>
      </c>
      <c r="O351" s="338">
        <f t="shared" si="264"/>
        <v>0</v>
      </c>
      <c r="P351" s="329">
        <f t="shared" si="258"/>
        <v>0</v>
      </c>
      <c r="Q351" s="338">
        <f t="shared" si="265"/>
        <v>0</v>
      </c>
      <c r="R351" s="329">
        <f t="shared" si="259"/>
        <v>0</v>
      </c>
      <c r="S351" s="338">
        <f t="shared" si="266"/>
        <v>0</v>
      </c>
      <c r="T351" s="329">
        <f t="shared" si="260"/>
        <v>0</v>
      </c>
      <c r="U351" s="338">
        <f t="shared" si="267"/>
        <v>0</v>
      </c>
      <c r="V351" s="329">
        <f t="shared" si="261"/>
        <v>0</v>
      </c>
      <c r="W351" s="338">
        <f t="shared" si="268"/>
        <v>0</v>
      </c>
      <c r="X351" s="35"/>
    </row>
    <row r="352" spans="1:24" s="765" customFormat="1" x14ac:dyDescent="0.25">
      <c r="A352" s="335">
        <f>A351+1</f>
        <v>43938</v>
      </c>
      <c r="B352" s="49">
        <f t="shared" si="269"/>
        <v>0</v>
      </c>
      <c r="C352" s="338">
        <f t="shared" si="272"/>
        <v>39000000</v>
      </c>
      <c r="D352" s="329">
        <f t="shared" si="270"/>
        <v>0</v>
      </c>
      <c r="E352" s="338">
        <f t="shared" si="273"/>
        <v>33638517.886363</v>
      </c>
      <c r="F352" s="329">
        <f t="shared" si="271"/>
        <v>3750000</v>
      </c>
      <c r="G352" s="338">
        <f t="shared" si="274"/>
        <v>22500000</v>
      </c>
      <c r="H352" s="329">
        <f t="shared" si="254"/>
        <v>0</v>
      </c>
      <c r="I352" s="338">
        <f t="shared" si="275"/>
        <v>17000000</v>
      </c>
      <c r="J352" s="329">
        <f t="shared" si="255"/>
        <v>0</v>
      </c>
      <c r="K352" s="338">
        <f t="shared" si="262"/>
        <v>0</v>
      </c>
      <c r="L352" s="329">
        <f t="shared" si="256"/>
        <v>0</v>
      </c>
      <c r="M352" s="338">
        <f t="shared" si="263"/>
        <v>0</v>
      </c>
      <c r="N352" s="329">
        <f t="shared" si="257"/>
        <v>0</v>
      </c>
      <c r="O352" s="338">
        <f t="shared" si="264"/>
        <v>0</v>
      </c>
      <c r="P352" s="329">
        <f t="shared" si="258"/>
        <v>0</v>
      </c>
      <c r="Q352" s="338">
        <f t="shared" si="265"/>
        <v>0</v>
      </c>
      <c r="R352" s="329">
        <f t="shared" si="259"/>
        <v>0</v>
      </c>
      <c r="S352" s="338">
        <f t="shared" si="266"/>
        <v>0</v>
      </c>
      <c r="T352" s="329">
        <f t="shared" si="260"/>
        <v>0</v>
      </c>
      <c r="U352" s="338">
        <f t="shared" si="267"/>
        <v>0</v>
      </c>
      <c r="V352" s="329">
        <f t="shared" si="261"/>
        <v>0</v>
      </c>
      <c r="W352" s="338">
        <f t="shared" si="268"/>
        <v>0</v>
      </c>
      <c r="X352" s="35"/>
    </row>
    <row r="353" spans="1:24" s="765" customFormat="1" x14ac:dyDescent="0.25">
      <c r="A353" s="336">
        <f>A352+3</f>
        <v>43941</v>
      </c>
      <c r="B353" s="49">
        <f t="shared" si="269"/>
        <v>0</v>
      </c>
      <c r="C353" s="338">
        <f t="shared" si="272"/>
        <v>39000000</v>
      </c>
      <c r="D353" s="329">
        <f t="shared" si="270"/>
        <v>0</v>
      </c>
      <c r="E353" s="338">
        <f t="shared" si="273"/>
        <v>33638517.886363</v>
      </c>
      <c r="F353" s="329">
        <f t="shared" si="271"/>
        <v>0</v>
      </c>
      <c r="G353" s="338">
        <f t="shared" si="274"/>
        <v>22500000</v>
      </c>
      <c r="H353" s="329">
        <f t="shared" si="254"/>
        <v>0</v>
      </c>
      <c r="I353" s="338">
        <f t="shared" si="275"/>
        <v>17000000</v>
      </c>
      <c r="J353" s="329">
        <f t="shared" si="255"/>
        <v>0</v>
      </c>
      <c r="K353" s="338">
        <f t="shared" si="262"/>
        <v>0</v>
      </c>
      <c r="L353" s="329">
        <f t="shared" si="256"/>
        <v>0</v>
      </c>
      <c r="M353" s="338">
        <f t="shared" si="263"/>
        <v>0</v>
      </c>
      <c r="N353" s="329">
        <f t="shared" si="257"/>
        <v>0</v>
      </c>
      <c r="O353" s="338">
        <f t="shared" si="264"/>
        <v>0</v>
      </c>
      <c r="P353" s="329">
        <f t="shared" si="258"/>
        <v>0</v>
      </c>
      <c r="Q353" s="338">
        <f t="shared" si="265"/>
        <v>0</v>
      </c>
      <c r="R353" s="329">
        <f t="shared" si="259"/>
        <v>0</v>
      </c>
      <c r="S353" s="338">
        <f t="shared" si="266"/>
        <v>0</v>
      </c>
      <c r="T353" s="329">
        <f t="shared" si="260"/>
        <v>0</v>
      </c>
      <c r="U353" s="338">
        <f t="shared" si="267"/>
        <v>0</v>
      </c>
      <c r="V353" s="329">
        <f t="shared" si="261"/>
        <v>0</v>
      </c>
      <c r="W353" s="338">
        <f t="shared" si="268"/>
        <v>0</v>
      </c>
      <c r="X353" s="35"/>
    </row>
    <row r="354" spans="1:24" s="765" customFormat="1" x14ac:dyDescent="0.25">
      <c r="A354" s="335">
        <f>A353+1</f>
        <v>43942</v>
      </c>
      <c r="B354" s="49">
        <f t="shared" si="269"/>
        <v>0</v>
      </c>
      <c r="C354" s="338">
        <f t="shared" si="272"/>
        <v>39000000</v>
      </c>
      <c r="D354" s="329">
        <f t="shared" si="270"/>
        <v>0</v>
      </c>
      <c r="E354" s="338">
        <f t="shared" si="273"/>
        <v>33638517.886363</v>
      </c>
      <c r="F354" s="329">
        <f t="shared" si="271"/>
        <v>0</v>
      </c>
      <c r="G354" s="338">
        <f t="shared" si="274"/>
        <v>22500000</v>
      </c>
      <c r="H354" s="329">
        <f t="shared" si="254"/>
        <v>0</v>
      </c>
      <c r="I354" s="338">
        <f t="shared" si="275"/>
        <v>17000000</v>
      </c>
      <c r="J354" s="329">
        <f t="shared" si="255"/>
        <v>0</v>
      </c>
      <c r="K354" s="338">
        <f t="shared" si="262"/>
        <v>0</v>
      </c>
      <c r="L354" s="329">
        <f t="shared" si="256"/>
        <v>0</v>
      </c>
      <c r="M354" s="338">
        <f t="shared" si="263"/>
        <v>0</v>
      </c>
      <c r="N354" s="329">
        <f t="shared" si="257"/>
        <v>0</v>
      </c>
      <c r="O354" s="338">
        <f t="shared" si="264"/>
        <v>0</v>
      </c>
      <c r="P354" s="329">
        <f t="shared" si="258"/>
        <v>0</v>
      </c>
      <c r="Q354" s="338">
        <f t="shared" si="265"/>
        <v>0</v>
      </c>
      <c r="R354" s="329">
        <f t="shared" si="259"/>
        <v>0</v>
      </c>
      <c r="S354" s="338">
        <f t="shared" si="266"/>
        <v>0</v>
      </c>
      <c r="T354" s="329">
        <f t="shared" si="260"/>
        <v>0</v>
      </c>
      <c r="U354" s="338">
        <f t="shared" si="267"/>
        <v>0</v>
      </c>
      <c r="V354" s="329">
        <f t="shared" si="261"/>
        <v>0</v>
      </c>
      <c r="W354" s="338">
        <f t="shared" si="268"/>
        <v>0</v>
      </c>
      <c r="X354" s="35"/>
    </row>
    <row r="355" spans="1:24" s="765" customFormat="1" x14ac:dyDescent="0.25">
      <c r="A355" s="335">
        <f>A354+1</f>
        <v>43943</v>
      </c>
      <c r="B355" s="49">
        <f t="shared" si="269"/>
        <v>0</v>
      </c>
      <c r="C355" s="338">
        <f t="shared" si="272"/>
        <v>39000000</v>
      </c>
      <c r="D355" s="329">
        <f t="shared" si="270"/>
        <v>0</v>
      </c>
      <c r="E355" s="338">
        <f t="shared" si="273"/>
        <v>33638517.886363</v>
      </c>
      <c r="F355" s="329">
        <f t="shared" si="271"/>
        <v>0</v>
      </c>
      <c r="G355" s="338">
        <f t="shared" si="274"/>
        <v>22500000</v>
      </c>
      <c r="H355" s="329">
        <f t="shared" si="254"/>
        <v>0</v>
      </c>
      <c r="I355" s="338">
        <f t="shared" si="275"/>
        <v>17000000</v>
      </c>
      <c r="J355" s="329">
        <f t="shared" si="255"/>
        <v>0</v>
      </c>
      <c r="K355" s="338">
        <f t="shared" si="262"/>
        <v>0</v>
      </c>
      <c r="L355" s="329">
        <f t="shared" si="256"/>
        <v>0</v>
      </c>
      <c r="M355" s="338">
        <f t="shared" si="263"/>
        <v>0</v>
      </c>
      <c r="N355" s="329">
        <f t="shared" si="257"/>
        <v>0</v>
      </c>
      <c r="O355" s="338">
        <f t="shared" si="264"/>
        <v>0</v>
      </c>
      <c r="P355" s="329">
        <f t="shared" si="258"/>
        <v>0</v>
      </c>
      <c r="Q355" s="338">
        <f t="shared" si="265"/>
        <v>0</v>
      </c>
      <c r="R355" s="329">
        <f t="shared" si="259"/>
        <v>0</v>
      </c>
      <c r="S355" s="338">
        <f t="shared" si="266"/>
        <v>0</v>
      </c>
      <c r="T355" s="329">
        <f t="shared" si="260"/>
        <v>0</v>
      </c>
      <c r="U355" s="338">
        <f t="shared" si="267"/>
        <v>0</v>
      </c>
      <c r="V355" s="329">
        <f t="shared" si="261"/>
        <v>0</v>
      </c>
      <c r="W355" s="338">
        <f t="shared" si="268"/>
        <v>0</v>
      </c>
      <c r="X355" s="35"/>
    </row>
    <row r="356" spans="1:24" s="765" customFormat="1" x14ac:dyDescent="0.25">
      <c r="A356" s="335">
        <f>A355+1</f>
        <v>43944</v>
      </c>
      <c r="B356" s="49">
        <f t="shared" si="269"/>
        <v>0</v>
      </c>
      <c r="C356" s="338">
        <f t="shared" si="272"/>
        <v>39000000</v>
      </c>
      <c r="D356" s="329">
        <f t="shared" si="270"/>
        <v>0</v>
      </c>
      <c r="E356" s="338">
        <f t="shared" si="273"/>
        <v>33638517.886363</v>
      </c>
      <c r="F356" s="329">
        <f t="shared" si="271"/>
        <v>0</v>
      </c>
      <c r="G356" s="338">
        <f t="shared" si="274"/>
        <v>22500000</v>
      </c>
      <c r="H356" s="329">
        <f t="shared" si="254"/>
        <v>0</v>
      </c>
      <c r="I356" s="338">
        <f t="shared" si="275"/>
        <v>17000000</v>
      </c>
      <c r="J356" s="329">
        <f t="shared" si="255"/>
        <v>0</v>
      </c>
      <c r="K356" s="338">
        <f t="shared" si="262"/>
        <v>0</v>
      </c>
      <c r="L356" s="329">
        <f t="shared" si="256"/>
        <v>0</v>
      </c>
      <c r="M356" s="338">
        <f t="shared" si="263"/>
        <v>0</v>
      </c>
      <c r="N356" s="329">
        <f t="shared" si="257"/>
        <v>0</v>
      </c>
      <c r="O356" s="338">
        <f t="shared" si="264"/>
        <v>0</v>
      </c>
      <c r="P356" s="329">
        <f t="shared" si="258"/>
        <v>0</v>
      </c>
      <c r="Q356" s="338">
        <f t="shared" si="265"/>
        <v>0</v>
      </c>
      <c r="R356" s="329">
        <f t="shared" si="259"/>
        <v>0</v>
      </c>
      <c r="S356" s="338">
        <f t="shared" si="266"/>
        <v>0</v>
      </c>
      <c r="T356" s="329">
        <f t="shared" si="260"/>
        <v>0</v>
      </c>
      <c r="U356" s="338">
        <f t="shared" si="267"/>
        <v>0</v>
      </c>
      <c r="V356" s="329">
        <f t="shared" si="261"/>
        <v>0</v>
      </c>
      <c r="W356" s="338">
        <f t="shared" si="268"/>
        <v>0</v>
      </c>
      <c r="X356" s="35"/>
    </row>
    <row r="357" spans="1:24" s="765" customFormat="1" x14ac:dyDescent="0.25">
      <c r="A357" s="335">
        <f>A356+1</f>
        <v>43945</v>
      </c>
      <c r="B357" s="49">
        <f t="shared" si="269"/>
        <v>0</v>
      </c>
      <c r="C357" s="338">
        <f t="shared" si="272"/>
        <v>39000000</v>
      </c>
      <c r="D357" s="329">
        <f t="shared" si="270"/>
        <v>0</v>
      </c>
      <c r="E357" s="338">
        <f t="shared" si="273"/>
        <v>33638517.886363</v>
      </c>
      <c r="F357" s="329">
        <f t="shared" si="271"/>
        <v>0</v>
      </c>
      <c r="G357" s="338">
        <f t="shared" si="274"/>
        <v>22500000</v>
      </c>
      <c r="H357" s="329">
        <f t="shared" si="254"/>
        <v>0</v>
      </c>
      <c r="I357" s="338">
        <f t="shared" si="275"/>
        <v>17000000</v>
      </c>
      <c r="J357" s="329">
        <f t="shared" si="255"/>
        <v>0</v>
      </c>
      <c r="K357" s="338">
        <f t="shared" si="262"/>
        <v>0</v>
      </c>
      <c r="L357" s="329">
        <f t="shared" si="256"/>
        <v>0</v>
      </c>
      <c r="M357" s="338">
        <f t="shared" si="263"/>
        <v>0</v>
      </c>
      <c r="N357" s="329">
        <f t="shared" si="257"/>
        <v>0</v>
      </c>
      <c r="O357" s="338">
        <f t="shared" si="264"/>
        <v>0</v>
      </c>
      <c r="P357" s="329">
        <f t="shared" si="258"/>
        <v>0</v>
      </c>
      <c r="Q357" s="338">
        <f t="shared" si="265"/>
        <v>0</v>
      </c>
      <c r="R357" s="329">
        <f t="shared" si="259"/>
        <v>0</v>
      </c>
      <c r="S357" s="338">
        <f t="shared" si="266"/>
        <v>0</v>
      </c>
      <c r="T357" s="329">
        <f t="shared" si="260"/>
        <v>0</v>
      </c>
      <c r="U357" s="338">
        <f t="shared" si="267"/>
        <v>0</v>
      </c>
      <c r="V357" s="329">
        <f t="shared" si="261"/>
        <v>0</v>
      </c>
      <c r="W357" s="338">
        <f t="shared" si="268"/>
        <v>0</v>
      </c>
      <c r="X357" s="35"/>
    </row>
    <row r="358" spans="1:24" s="765" customFormat="1" x14ac:dyDescent="0.25">
      <c r="A358" s="336">
        <f>A357+3</f>
        <v>43948</v>
      </c>
      <c r="B358" s="49">
        <f t="shared" si="269"/>
        <v>5000000</v>
      </c>
      <c r="C358" s="338">
        <f t="shared" si="272"/>
        <v>44000000</v>
      </c>
      <c r="D358" s="329">
        <f t="shared" si="270"/>
        <v>0</v>
      </c>
      <c r="E358" s="338">
        <f t="shared" si="273"/>
        <v>33638517.886363</v>
      </c>
      <c r="F358" s="329">
        <f t="shared" si="271"/>
        <v>0</v>
      </c>
      <c r="G358" s="338">
        <f t="shared" si="274"/>
        <v>22500000</v>
      </c>
      <c r="H358" s="329">
        <f t="shared" si="254"/>
        <v>5000000</v>
      </c>
      <c r="I358" s="338">
        <f t="shared" si="275"/>
        <v>22000000</v>
      </c>
      <c r="J358" s="329">
        <f t="shared" si="255"/>
        <v>0</v>
      </c>
      <c r="K358" s="338">
        <f t="shared" si="262"/>
        <v>0</v>
      </c>
      <c r="L358" s="329">
        <f t="shared" si="256"/>
        <v>0</v>
      </c>
      <c r="M358" s="338">
        <f t="shared" si="263"/>
        <v>0</v>
      </c>
      <c r="N358" s="329">
        <f t="shared" si="257"/>
        <v>0</v>
      </c>
      <c r="O358" s="338">
        <f t="shared" si="264"/>
        <v>0</v>
      </c>
      <c r="P358" s="329">
        <f t="shared" si="258"/>
        <v>0</v>
      </c>
      <c r="Q358" s="338">
        <f t="shared" si="265"/>
        <v>0</v>
      </c>
      <c r="R358" s="329">
        <f t="shared" si="259"/>
        <v>0</v>
      </c>
      <c r="S358" s="338">
        <f t="shared" si="266"/>
        <v>0</v>
      </c>
      <c r="T358" s="329">
        <f t="shared" si="260"/>
        <v>0</v>
      </c>
      <c r="U358" s="338">
        <f t="shared" si="267"/>
        <v>0</v>
      </c>
      <c r="V358" s="329">
        <f t="shared" si="261"/>
        <v>0</v>
      </c>
      <c r="W358" s="338">
        <f t="shared" si="268"/>
        <v>0</v>
      </c>
      <c r="X358" s="35"/>
    </row>
    <row r="359" spans="1:24" s="765" customFormat="1" x14ac:dyDescent="0.25">
      <c r="A359" s="335">
        <f>A358+1</f>
        <v>43949</v>
      </c>
      <c r="B359" s="49">
        <f t="shared" si="269"/>
        <v>0</v>
      </c>
      <c r="C359" s="338">
        <f t="shared" ref="C359:C375" si="276">B359+C358</f>
        <v>44000000</v>
      </c>
      <c r="D359" s="329">
        <f t="shared" si="270"/>
        <v>0</v>
      </c>
      <c r="E359" s="338">
        <f t="shared" ref="E359:E375" si="277">D359+E358</f>
        <v>33638517.886363</v>
      </c>
      <c r="F359" s="329">
        <f t="shared" si="271"/>
        <v>0</v>
      </c>
      <c r="G359" s="338">
        <f t="shared" ref="G359:G375" si="278">F359+G358</f>
        <v>22500000</v>
      </c>
      <c r="H359" s="329">
        <f t="shared" si="254"/>
        <v>0</v>
      </c>
      <c r="I359" s="338">
        <f t="shared" ref="I359:I375" si="279">H359+I358</f>
        <v>22000000</v>
      </c>
      <c r="J359" s="329">
        <f t="shared" si="255"/>
        <v>0</v>
      </c>
      <c r="K359" s="338">
        <f t="shared" si="262"/>
        <v>0</v>
      </c>
      <c r="L359" s="329">
        <f t="shared" si="256"/>
        <v>0</v>
      </c>
      <c r="M359" s="338">
        <f t="shared" si="263"/>
        <v>0</v>
      </c>
      <c r="N359" s="329">
        <f t="shared" si="257"/>
        <v>0</v>
      </c>
      <c r="O359" s="338">
        <f t="shared" si="264"/>
        <v>0</v>
      </c>
      <c r="P359" s="329">
        <f t="shared" si="258"/>
        <v>0</v>
      </c>
      <c r="Q359" s="338">
        <f t="shared" si="265"/>
        <v>0</v>
      </c>
      <c r="R359" s="329">
        <f t="shared" si="259"/>
        <v>0</v>
      </c>
      <c r="S359" s="338">
        <f t="shared" si="266"/>
        <v>0</v>
      </c>
      <c r="T359" s="329">
        <f t="shared" si="260"/>
        <v>0</v>
      </c>
      <c r="U359" s="338">
        <f t="shared" si="267"/>
        <v>0</v>
      </c>
      <c r="V359" s="329">
        <f t="shared" si="261"/>
        <v>0</v>
      </c>
      <c r="W359" s="338">
        <f t="shared" si="268"/>
        <v>0</v>
      </c>
      <c r="X359" s="35"/>
    </row>
    <row r="360" spans="1:24" s="765" customFormat="1" x14ac:dyDescent="0.25">
      <c r="A360" s="335">
        <f>A359+1</f>
        <v>43950</v>
      </c>
      <c r="B360" s="49">
        <f t="shared" si="269"/>
        <v>0</v>
      </c>
      <c r="C360" s="338">
        <f t="shared" si="276"/>
        <v>44000000</v>
      </c>
      <c r="D360" s="329">
        <f t="shared" si="270"/>
        <v>0</v>
      </c>
      <c r="E360" s="338">
        <f t="shared" si="277"/>
        <v>33638517.886363</v>
      </c>
      <c r="F360" s="329">
        <f t="shared" si="271"/>
        <v>0</v>
      </c>
      <c r="G360" s="338">
        <f t="shared" si="278"/>
        <v>22500000</v>
      </c>
      <c r="H360" s="329">
        <f t="shared" si="254"/>
        <v>0</v>
      </c>
      <c r="I360" s="338">
        <f t="shared" si="279"/>
        <v>22000000</v>
      </c>
      <c r="J360" s="329">
        <f t="shared" si="255"/>
        <v>0</v>
      </c>
      <c r="K360" s="338">
        <f t="shared" si="262"/>
        <v>0</v>
      </c>
      <c r="L360" s="329">
        <f t="shared" si="256"/>
        <v>0</v>
      </c>
      <c r="M360" s="338">
        <f t="shared" si="263"/>
        <v>0</v>
      </c>
      <c r="N360" s="329">
        <f t="shared" si="257"/>
        <v>0</v>
      </c>
      <c r="O360" s="338">
        <f t="shared" si="264"/>
        <v>0</v>
      </c>
      <c r="P360" s="329">
        <f t="shared" si="258"/>
        <v>0</v>
      </c>
      <c r="Q360" s="338">
        <f t="shared" si="265"/>
        <v>0</v>
      </c>
      <c r="R360" s="329">
        <f t="shared" si="259"/>
        <v>0</v>
      </c>
      <c r="S360" s="338">
        <f t="shared" si="266"/>
        <v>0</v>
      </c>
      <c r="T360" s="329">
        <f t="shared" si="260"/>
        <v>0</v>
      </c>
      <c r="U360" s="338">
        <f t="shared" si="267"/>
        <v>0</v>
      </c>
      <c r="V360" s="329">
        <f t="shared" si="261"/>
        <v>0</v>
      </c>
      <c r="W360" s="338">
        <f t="shared" si="268"/>
        <v>0</v>
      </c>
      <c r="X360" s="35"/>
    </row>
    <row r="361" spans="1:24" s="765" customFormat="1" x14ac:dyDescent="0.25">
      <c r="A361" s="335">
        <f>A360+1</f>
        <v>43951</v>
      </c>
      <c r="B361" s="49">
        <f t="shared" si="269"/>
        <v>0</v>
      </c>
      <c r="C361" s="338">
        <f t="shared" si="276"/>
        <v>44000000</v>
      </c>
      <c r="D361" s="329">
        <f t="shared" si="270"/>
        <v>0</v>
      </c>
      <c r="E361" s="338">
        <f t="shared" si="277"/>
        <v>33638517.886363</v>
      </c>
      <c r="F361" s="329">
        <f t="shared" si="271"/>
        <v>0</v>
      </c>
      <c r="G361" s="338">
        <f t="shared" si="278"/>
        <v>22500000</v>
      </c>
      <c r="H361" s="329">
        <f t="shared" si="254"/>
        <v>0</v>
      </c>
      <c r="I361" s="338">
        <f t="shared" si="279"/>
        <v>22000000</v>
      </c>
      <c r="J361" s="329">
        <f t="shared" si="255"/>
        <v>0</v>
      </c>
      <c r="K361" s="338">
        <f t="shared" si="262"/>
        <v>0</v>
      </c>
      <c r="L361" s="329">
        <f t="shared" si="256"/>
        <v>0</v>
      </c>
      <c r="M361" s="338">
        <f t="shared" si="263"/>
        <v>0</v>
      </c>
      <c r="N361" s="329">
        <f t="shared" si="257"/>
        <v>0</v>
      </c>
      <c r="O361" s="338">
        <f t="shared" si="264"/>
        <v>0</v>
      </c>
      <c r="P361" s="329">
        <f t="shared" si="258"/>
        <v>0</v>
      </c>
      <c r="Q361" s="338">
        <f t="shared" si="265"/>
        <v>0</v>
      </c>
      <c r="R361" s="329">
        <f t="shared" si="259"/>
        <v>0</v>
      </c>
      <c r="S361" s="338">
        <f t="shared" si="266"/>
        <v>0</v>
      </c>
      <c r="T361" s="329">
        <f t="shared" si="260"/>
        <v>0</v>
      </c>
      <c r="U361" s="338">
        <f t="shared" si="267"/>
        <v>0</v>
      </c>
      <c r="V361" s="329">
        <f t="shared" si="261"/>
        <v>0</v>
      </c>
      <c r="W361" s="338">
        <f t="shared" si="268"/>
        <v>0</v>
      </c>
      <c r="X361" s="35"/>
    </row>
    <row r="362" spans="1:24" s="765" customFormat="1" x14ac:dyDescent="0.25">
      <c r="A362" s="335">
        <f>A361+1</f>
        <v>43952</v>
      </c>
      <c r="B362" s="49">
        <f t="shared" si="269"/>
        <v>0</v>
      </c>
      <c r="C362" s="338">
        <f t="shared" si="276"/>
        <v>44000000</v>
      </c>
      <c r="D362" s="329">
        <f t="shared" si="270"/>
        <v>0</v>
      </c>
      <c r="E362" s="338">
        <f t="shared" si="277"/>
        <v>33638517.886363</v>
      </c>
      <c r="F362" s="329">
        <f t="shared" si="271"/>
        <v>0</v>
      </c>
      <c r="G362" s="338">
        <f t="shared" si="278"/>
        <v>22500000</v>
      </c>
      <c r="H362" s="329">
        <f t="shared" si="254"/>
        <v>0</v>
      </c>
      <c r="I362" s="338">
        <f t="shared" si="279"/>
        <v>22000000</v>
      </c>
      <c r="J362" s="329">
        <f t="shared" si="255"/>
        <v>0</v>
      </c>
      <c r="K362" s="338">
        <f t="shared" si="262"/>
        <v>0</v>
      </c>
      <c r="L362" s="329">
        <f t="shared" si="256"/>
        <v>0</v>
      </c>
      <c r="M362" s="338">
        <f t="shared" si="263"/>
        <v>0</v>
      </c>
      <c r="N362" s="329">
        <f t="shared" si="257"/>
        <v>0</v>
      </c>
      <c r="O362" s="338">
        <f t="shared" si="264"/>
        <v>0</v>
      </c>
      <c r="P362" s="329">
        <f t="shared" si="258"/>
        <v>0</v>
      </c>
      <c r="Q362" s="338">
        <f t="shared" si="265"/>
        <v>0</v>
      </c>
      <c r="R362" s="329">
        <f t="shared" si="259"/>
        <v>0</v>
      </c>
      <c r="S362" s="338">
        <f t="shared" si="266"/>
        <v>0</v>
      </c>
      <c r="T362" s="329">
        <f t="shared" si="260"/>
        <v>0</v>
      </c>
      <c r="U362" s="338">
        <f t="shared" si="267"/>
        <v>0</v>
      </c>
      <c r="V362" s="329">
        <f t="shared" si="261"/>
        <v>0</v>
      </c>
      <c r="W362" s="338">
        <f t="shared" si="268"/>
        <v>0</v>
      </c>
      <c r="X362" s="35"/>
    </row>
    <row r="363" spans="1:24" s="765" customFormat="1" x14ac:dyDescent="0.25">
      <c r="A363" s="336">
        <f>A362+3</f>
        <v>43955</v>
      </c>
      <c r="B363" s="49">
        <f t="shared" si="269"/>
        <v>0</v>
      </c>
      <c r="C363" s="338">
        <f t="shared" si="276"/>
        <v>44000000</v>
      </c>
      <c r="D363" s="329">
        <f t="shared" si="270"/>
        <v>0</v>
      </c>
      <c r="E363" s="338">
        <f t="shared" si="277"/>
        <v>33638517.886363</v>
      </c>
      <c r="F363" s="329">
        <f t="shared" si="271"/>
        <v>0</v>
      </c>
      <c r="G363" s="338">
        <f t="shared" si="278"/>
        <v>22500000</v>
      </c>
      <c r="H363" s="329">
        <f t="shared" ref="H363:H426" si="280">SUMIFS(Usage_Main,CF_Dates,$A363,CF_Descriptions,"XS2091648928 Change")</f>
        <v>0</v>
      </c>
      <c r="I363" s="338">
        <f t="shared" si="279"/>
        <v>22000000</v>
      </c>
      <c r="J363" s="329">
        <f t="shared" ref="J363:J426" si="281">SUMIFS(Usage_Main,CF_Dates,$A363,CF_Descriptions,"Southern Apple Change")</f>
        <v>0</v>
      </c>
      <c r="K363" s="338">
        <f t="shared" si="262"/>
        <v>0</v>
      </c>
      <c r="L363" s="329">
        <f t="shared" ref="L363:L426" si="282">SUMIFS(Usage_Main,CF_Dates,$A363,CF_Descriptions,"ALMONDUSD Change")</f>
        <v>0</v>
      </c>
      <c r="M363" s="338">
        <f t="shared" si="263"/>
        <v>0</v>
      </c>
      <c r="N363" s="329">
        <f t="shared" ref="N363:N426" si="283">SUMIFS(Usage_Main,CF_Dates,$A363,CF_Descriptions,"ALMONDEUR Change")</f>
        <v>0</v>
      </c>
      <c r="O363" s="338">
        <f t="shared" si="264"/>
        <v>0</v>
      </c>
      <c r="P363" s="329">
        <f t="shared" ref="P363:P426" si="284">SUMIFS(Usage_Main,CF_Dates,$A363,CF_Descriptions,"HEXZETA Change")</f>
        <v>0</v>
      </c>
      <c r="Q363" s="338">
        <f t="shared" si="265"/>
        <v>0</v>
      </c>
      <c r="R363" s="329">
        <f t="shared" ref="R363:R426" si="285">SUMIFS(Usage_Main,CF_Dates,$A363,CF_Descriptions,"MNTNCHERRY Change")</f>
        <v>0</v>
      </c>
      <c r="S363" s="338">
        <f t="shared" si="266"/>
        <v>0</v>
      </c>
      <c r="T363" s="329">
        <f t="shared" ref="T363:T426" si="286">SUMIFS(Usage_Main,CF_Dates,$A363,CF_Descriptions,"OLIVEUSD Change")</f>
        <v>0</v>
      </c>
      <c r="U363" s="338">
        <f t="shared" si="267"/>
        <v>0</v>
      </c>
      <c r="V363" s="329">
        <f t="shared" ref="V363:V426" si="287">SUMIFS(Usage_Main,CF_Dates,$A363,CF_Descriptions,"OLIVEEUR Change")</f>
        <v>0</v>
      </c>
      <c r="W363" s="338">
        <f t="shared" si="268"/>
        <v>0</v>
      </c>
      <c r="X363" s="35"/>
    </row>
    <row r="364" spans="1:24" s="765" customFormat="1" x14ac:dyDescent="0.25">
      <c r="A364" s="335">
        <f>A363+1</f>
        <v>43956</v>
      </c>
      <c r="B364" s="49">
        <f t="shared" si="269"/>
        <v>0</v>
      </c>
      <c r="C364" s="338">
        <f t="shared" si="276"/>
        <v>44000000</v>
      </c>
      <c r="D364" s="329">
        <f t="shared" si="270"/>
        <v>0</v>
      </c>
      <c r="E364" s="338">
        <f t="shared" si="277"/>
        <v>33638517.886363</v>
      </c>
      <c r="F364" s="329">
        <f t="shared" si="271"/>
        <v>0</v>
      </c>
      <c r="G364" s="338">
        <f t="shared" si="278"/>
        <v>22500000</v>
      </c>
      <c r="H364" s="329">
        <f t="shared" si="280"/>
        <v>0</v>
      </c>
      <c r="I364" s="338">
        <f t="shared" si="279"/>
        <v>22000000</v>
      </c>
      <c r="J364" s="329">
        <f t="shared" si="281"/>
        <v>0</v>
      </c>
      <c r="K364" s="338">
        <f t="shared" ref="K364:K427" si="288">J364+K363</f>
        <v>0</v>
      </c>
      <c r="L364" s="329">
        <f t="shared" si="282"/>
        <v>0</v>
      </c>
      <c r="M364" s="338">
        <f t="shared" ref="M364:M427" si="289">L364+M363</f>
        <v>0</v>
      </c>
      <c r="N364" s="329">
        <f t="shared" si="283"/>
        <v>0</v>
      </c>
      <c r="O364" s="338">
        <f t="shared" ref="O364:O427" si="290">N364+O363</f>
        <v>0</v>
      </c>
      <c r="P364" s="329">
        <f t="shared" si="284"/>
        <v>0</v>
      </c>
      <c r="Q364" s="338">
        <f t="shared" ref="Q364:Q427" si="291">P364+Q363</f>
        <v>0</v>
      </c>
      <c r="R364" s="329">
        <f t="shared" si="285"/>
        <v>0</v>
      </c>
      <c r="S364" s="338">
        <f t="shared" ref="S364:S427" si="292">R364+S363</f>
        <v>0</v>
      </c>
      <c r="T364" s="329">
        <f t="shared" si="286"/>
        <v>0</v>
      </c>
      <c r="U364" s="338">
        <f t="shared" ref="U364:U427" si="293">T364+U363</f>
        <v>0</v>
      </c>
      <c r="V364" s="329">
        <f t="shared" si="287"/>
        <v>0</v>
      </c>
      <c r="W364" s="338">
        <f t="shared" ref="W364:W427" si="294">V364+W363</f>
        <v>0</v>
      </c>
      <c r="X364" s="35"/>
    </row>
    <row r="365" spans="1:24" s="765" customFormat="1" x14ac:dyDescent="0.25">
      <c r="A365" s="335">
        <f>A364+1</f>
        <v>43957</v>
      </c>
      <c r="B365" s="49">
        <f t="shared" si="269"/>
        <v>0</v>
      </c>
      <c r="C365" s="338">
        <f t="shared" si="276"/>
        <v>44000000</v>
      </c>
      <c r="D365" s="329">
        <f t="shared" si="270"/>
        <v>0</v>
      </c>
      <c r="E365" s="338">
        <f t="shared" si="277"/>
        <v>33638517.886363</v>
      </c>
      <c r="F365" s="329">
        <f t="shared" si="271"/>
        <v>0</v>
      </c>
      <c r="G365" s="338">
        <f t="shared" si="278"/>
        <v>22500000</v>
      </c>
      <c r="H365" s="329">
        <f t="shared" si="280"/>
        <v>0</v>
      </c>
      <c r="I365" s="338">
        <f t="shared" si="279"/>
        <v>22000000</v>
      </c>
      <c r="J365" s="329">
        <f t="shared" si="281"/>
        <v>0</v>
      </c>
      <c r="K365" s="338">
        <f t="shared" si="288"/>
        <v>0</v>
      </c>
      <c r="L365" s="329">
        <f t="shared" si="282"/>
        <v>0</v>
      </c>
      <c r="M365" s="338">
        <f t="shared" si="289"/>
        <v>0</v>
      </c>
      <c r="N365" s="329">
        <f t="shared" si="283"/>
        <v>0</v>
      </c>
      <c r="O365" s="338">
        <f t="shared" si="290"/>
        <v>0</v>
      </c>
      <c r="P365" s="329">
        <f t="shared" si="284"/>
        <v>0</v>
      </c>
      <c r="Q365" s="338">
        <f t="shared" si="291"/>
        <v>0</v>
      </c>
      <c r="R365" s="329">
        <f t="shared" si="285"/>
        <v>0</v>
      </c>
      <c r="S365" s="338">
        <f t="shared" si="292"/>
        <v>0</v>
      </c>
      <c r="T365" s="329">
        <f t="shared" si="286"/>
        <v>0</v>
      </c>
      <c r="U365" s="338">
        <f t="shared" si="293"/>
        <v>0</v>
      </c>
      <c r="V365" s="329">
        <f t="shared" si="287"/>
        <v>0</v>
      </c>
      <c r="W365" s="338">
        <f t="shared" si="294"/>
        <v>0</v>
      </c>
      <c r="X365" s="35"/>
    </row>
    <row r="366" spans="1:24" s="765" customFormat="1" x14ac:dyDescent="0.25">
      <c r="A366" s="335">
        <f>A365+1</f>
        <v>43958</v>
      </c>
      <c r="B366" s="49">
        <f t="shared" si="269"/>
        <v>0</v>
      </c>
      <c r="C366" s="338">
        <f t="shared" si="276"/>
        <v>44000000</v>
      </c>
      <c r="D366" s="329">
        <f t="shared" si="270"/>
        <v>0</v>
      </c>
      <c r="E366" s="338">
        <f t="shared" si="277"/>
        <v>33638517.886363</v>
      </c>
      <c r="F366" s="329">
        <f t="shared" si="271"/>
        <v>0</v>
      </c>
      <c r="G366" s="338">
        <f t="shared" si="278"/>
        <v>22500000</v>
      </c>
      <c r="H366" s="329">
        <f t="shared" si="280"/>
        <v>0</v>
      </c>
      <c r="I366" s="338">
        <f t="shared" si="279"/>
        <v>22000000</v>
      </c>
      <c r="J366" s="329">
        <f t="shared" si="281"/>
        <v>0</v>
      </c>
      <c r="K366" s="338">
        <f t="shared" si="288"/>
        <v>0</v>
      </c>
      <c r="L366" s="329">
        <f t="shared" si="282"/>
        <v>0</v>
      </c>
      <c r="M366" s="338">
        <f t="shared" si="289"/>
        <v>0</v>
      </c>
      <c r="N366" s="329">
        <f t="shared" si="283"/>
        <v>0</v>
      </c>
      <c r="O366" s="338">
        <f t="shared" si="290"/>
        <v>0</v>
      </c>
      <c r="P366" s="329">
        <f t="shared" si="284"/>
        <v>0</v>
      </c>
      <c r="Q366" s="338">
        <f t="shared" si="291"/>
        <v>0</v>
      </c>
      <c r="R366" s="329">
        <f t="shared" si="285"/>
        <v>0</v>
      </c>
      <c r="S366" s="338">
        <f t="shared" si="292"/>
        <v>0</v>
      </c>
      <c r="T366" s="329">
        <f t="shared" si="286"/>
        <v>0</v>
      </c>
      <c r="U366" s="338">
        <f t="shared" si="293"/>
        <v>0</v>
      </c>
      <c r="V366" s="329">
        <f t="shared" si="287"/>
        <v>0</v>
      </c>
      <c r="W366" s="338">
        <f t="shared" si="294"/>
        <v>0</v>
      </c>
      <c r="X366" s="35"/>
    </row>
    <row r="367" spans="1:24" s="765" customFormat="1" x14ac:dyDescent="0.25">
      <c r="A367" s="335">
        <f>A366+1</f>
        <v>43959</v>
      </c>
      <c r="B367" s="49">
        <f t="shared" si="269"/>
        <v>0</v>
      </c>
      <c r="C367" s="338">
        <f t="shared" si="276"/>
        <v>44000000</v>
      </c>
      <c r="D367" s="329">
        <f t="shared" si="270"/>
        <v>0</v>
      </c>
      <c r="E367" s="338">
        <f t="shared" si="277"/>
        <v>33638517.886363</v>
      </c>
      <c r="F367" s="329">
        <f t="shared" si="271"/>
        <v>0</v>
      </c>
      <c r="G367" s="338">
        <f t="shared" si="278"/>
        <v>22500000</v>
      </c>
      <c r="H367" s="329">
        <f t="shared" si="280"/>
        <v>0</v>
      </c>
      <c r="I367" s="338">
        <f t="shared" si="279"/>
        <v>22000000</v>
      </c>
      <c r="J367" s="329">
        <f t="shared" si="281"/>
        <v>0</v>
      </c>
      <c r="K367" s="338">
        <f t="shared" si="288"/>
        <v>0</v>
      </c>
      <c r="L367" s="329">
        <f t="shared" si="282"/>
        <v>0</v>
      </c>
      <c r="M367" s="338">
        <f t="shared" si="289"/>
        <v>0</v>
      </c>
      <c r="N367" s="329">
        <f t="shared" si="283"/>
        <v>0</v>
      </c>
      <c r="O367" s="338">
        <f t="shared" si="290"/>
        <v>0</v>
      </c>
      <c r="P367" s="329">
        <f t="shared" si="284"/>
        <v>0</v>
      </c>
      <c r="Q367" s="338">
        <f t="shared" si="291"/>
        <v>0</v>
      </c>
      <c r="R367" s="329">
        <f t="shared" si="285"/>
        <v>0</v>
      </c>
      <c r="S367" s="338">
        <f t="shared" si="292"/>
        <v>0</v>
      </c>
      <c r="T367" s="329">
        <f t="shared" si="286"/>
        <v>0</v>
      </c>
      <c r="U367" s="338">
        <f t="shared" si="293"/>
        <v>0</v>
      </c>
      <c r="V367" s="329">
        <f t="shared" si="287"/>
        <v>0</v>
      </c>
      <c r="W367" s="338">
        <f t="shared" si="294"/>
        <v>0</v>
      </c>
      <c r="X367" s="35"/>
    </row>
    <row r="368" spans="1:24" s="765" customFormat="1" x14ac:dyDescent="0.25">
      <c r="A368" s="336">
        <f>A367+3</f>
        <v>43962</v>
      </c>
      <c r="B368" s="49">
        <f t="shared" si="269"/>
        <v>0</v>
      </c>
      <c r="C368" s="338">
        <f t="shared" si="276"/>
        <v>44000000</v>
      </c>
      <c r="D368" s="329">
        <f t="shared" si="270"/>
        <v>0</v>
      </c>
      <c r="E368" s="338">
        <f t="shared" si="277"/>
        <v>33638517.886363</v>
      </c>
      <c r="F368" s="329">
        <f t="shared" si="271"/>
        <v>0</v>
      </c>
      <c r="G368" s="338">
        <f t="shared" si="278"/>
        <v>22500000</v>
      </c>
      <c r="H368" s="329">
        <f t="shared" si="280"/>
        <v>0</v>
      </c>
      <c r="I368" s="338">
        <f t="shared" si="279"/>
        <v>22000000</v>
      </c>
      <c r="J368" s="329">
        <f t="shared" si="281"/>
        <v>0</v>
      </c>
      <c r="K368" s="338">
        <f t="shared" si="288"/>
        <v>0</v>
      </c>
      <c r="L368" s="329">
        <f t="shared" si="282"/>
        <v>0</v>
      </c>
      <c r="M368" s="338">
        <f t="shared" si="289"/>
        <v>0</v>
      </c>
      <c r="N368" s="329">
        <f t="shared" si="283"/>
        <v>0</v>
      </c>
      <c r="O368" s="338">
        <f t="shared" si="290"/>
        <v>0</v>
      </c>
      <c r="P368" s="329">
        <f t="shared" si="284"/>
        <v>0</v>
      </c>
      <c r="Q368" s="338">
        <f t="shared" si="291"/>
        <v>0</v>
      </c>
      <c r="R368" s="329">
        <f t="shared" si="285"/>
        <v>0</v>
      </c>
      <c r="S368" s="338">
        <f t="shared" si="292"/>
        <v>0</v>
      </c>
      <c r="T368" s="329">
        <f t="shared" si="286"/>
        <v>0</v>
      </c>
      <c r="U368" s="338">
        <f t="shared" si="293"/>
        <v>0</v>
      </c>
      <c r="V368" s="329">
        <f t="shared" si="287"/>
        <v>0</v>
      </c>
      <c r="W368" s="338">
        <f t="shared" si="294"/>
        <v>0</v>
      </c>
      <c r="X368" s="35"/>
    </row>
    <row r="369" spans="1:38" s="765" customFormat="1" x14ac:dyDescent="0.25">
      <c r="A369" s="335">
        <f>A368+1</f>
        <v>43963</v>
      </c>
      <c r="B369" s="49">
        <f t="shared" si="269"/>
        <v>0</v>
      </c>
      <c r="C369" s="338">
        <f t="shared" si="276"/>
        <v>44000000</v>
      </c>
      <c r="D369" s="329">
        <f t="shared" si="270"/>
        <v>0</v>
      </c>
      <c r="E369" s="338">
        <f t="shared" si="277"/>
        <v>33638517.886363</v>
      </c>
      <c r="F369" s="329">
        <f t="shared" si="271"/>
        <v>0</v>
      </c>
      <c r="G369" s="338">
        <f t="shared" si="278"/>
        <v>22500000</v>
      </c>
      <c r="H369" s="329">
        <f t="shared" si="280"/>
        <v>0</v>
      </c>
      <c r="I369" s="338">
        <f t="shared" si="279"/>
        <v>22000000</v>
      </c>
      <c r="J369" s="329">
        <f t="shared" si="281"/>
        <v>0</v>
      </c>
      <c r="K369" s="338">
        <f t="shared" si="288"/>
        <v>0</v>
      </c>
      <c r="L369" s="329">
        <f t="shared" si="282"/>
        <v>0</v>
      </c>
      <c r="M369" s="338">
        <f t="shared" si="289"/>
        <v>0</v>
      </c>
      <c r="N369" s="329">
        <f t="shared" si="283"/>
        <v>0</v>
      </c>
      <c r="O369" s="338">
        <f t="shared" si="290"/>
        <v>0</v>
      </c>
      <c r="P369" s="329">
        <f t="shared" si="284"/>
        <v>0</v>
      </c>
      <c r="Q369" s="338">
        <f t="shared" si="291"/>
        <v>0</v>
      </c>
      <c r="R369" s="329">
        <f t="shared" si="285"/>
        <v>0</v>
      </c>
      <c r="S369" s="338">
        <f t="shared" si="292"/>
        <v>0</v>
      </c>
      <c r="T369" s="329">
        <f t="shared" si="286"/>
        <v>0</v>
      </c>
      <c r="U369" s="338">
        <f t="shared" si="293"/>
        <v>0</v>
      </c>
      <c r="V369" s="329">
        <f t="shared" si="287"/>
        <v>0</v>
      </c>
      <c r="W369" s="338">
        <f t="shared" si="294"/>
        <v>0</v>
      </c>
      <c r="X369" s="35"/>
    </row>
    <row r="370" spans="1:38" s="765" customFormat="1" x14ac:dyDescent="0.25">
      <c r="A370" s="335">
        <f>A369+1</f>
        <v>43964</v>
      </c>
      <c r="B370" s="49">
        <f t="shared" si="269"/>
        <v>0</v>
      </c>
      <c r="C370" s="338">
        <f t="shared" si="276"/>
        <v>44000000</v>
      </c>
      <c r="D370" s="329">
        <f t="shared" si="270"/>
        <v>0</v>
      </c>
      <c r="E370" s="338">
        <f t="shared" si="277"/>
        <v>33638517.886363</v>
      </c>
      <c r="F370" s="329">
        <f t="shared" si="271"/>
        <v>0</v>
      </c>
      <c r="G370" s="338">
        <f t="shared" si="278"/>
        <v>22500000</v>
      </c>
      <c r="H370" s="329">
        <f t="shared" si="280"/>
        <v>0</v>
      </c>
      <c r="I370" s="338">
        <f t="shared" si="279"/>
        <v>22000000</v>
      </c>
      <c r="J370" s="329">
        <f t="shared" si="281"/>
        <v>0</v>
      </c>
      <c r="K370" s="338">
        <f t="shared" si="288"/>
        <v>0</v>
      </c>
      <c r="L370" s="329">
        <f t="shared" si="282"/>
        <v>0</v>
      </c>
      <c r="M370" s="338">
        <f t="shared" si="289"/>
        <v>0</v>
      </c>
      <c r="N370" s="329">
        <f t="shared" si="283"/>
        <v>0</v>
      </c>
      <c r="O370" s="338">
        <f t="shared" si="290"/>
        <v>0</v>
      </c>
      <c r="P370" s="329">
        <f t="shared" si="284"/>
        <v>0</v>
      </c>
      <c r="Q370" s="338">
        <f t="shared" si="291"/>
        <v>0</v>
      </c>
      <c r="R370" s="329">
        <f t="shared" si="285"/>
        <v>0</v>
      </c>
      <c r="S370" s="338">
        <f t="shared" si="292"/>
        <v>0</v>
      </c>
      <c r="T370" s="329">
        <f t="shared" si="286"/>
        <v>0</v>
      </c>
      <c r="U370" s="338">
        <f t="shared" si="293"/>
        <v>0</v>
      </c>
      <c r="V370" s="329">
        <f t="shared" si="287"/>
        <v>0</v>
      </c>
      <c r="W370" s="338">
        <f t="shared" si="294"/>
        <v>0</v>
      </c>
      <c r="X370" s="35"/>
    </row>
    <row r="371" spans="1:38" s="765" customFormat="1" x14ac:dyDescent="0.25">
      <c r="A371" s="335">
        <f>A370+1</f>
        <v>43965</v>
      </c>
      <c r="B371" s="49">
        <f t="shared" ref="B371:B434" si="295">SUMIFS(Usage_Main,CF_Dates,$A371,CF_Descriptions,"XS1951177309 Change")</f>
        <v>0</v>
      </c>
      <c r="C371" s="338">
        <f t="shared" si="276"/>
        <v>44000000</v>
      </c>
      <c r="D371" s="329">
        <f t="shared" ref="D371:D434" si="296">SUMIFS(Usage_Main,CF_Dates,$A371,CF_Descriptions,"SOSPRUCE1 Change")</f>
        <v>0</v>
      </c>
      <c r="E371" s="338">
        <f t="shared" si="277"/>
        <v>33638517.886363</v>
      </c>
      <c r="F371" s="329">
        <f t="shared" si="271"/>
        <v>0</v>
      </c>
      <c r="G371" s="338">
        <f t="shared" si="278"/>
        <v>22500000</v>
      </c>
      <c r="H371" s="329">
        <f t="shared" si="280"/>
        <v>0</v>
      </c>
      <c r="I371" s="338">
        <f t="shared" si="279"/>
        <v>22000000</v>
      </c>
      <c r="J371" s="329">
        <f t="shared" si="281"/>
        <v>0</v>
      </c>
      <c r="K371" s="338">
        <f t="shared" si="288"/>
        <v>0</v>
      </c>
      <c r="L371" s="329">
        <f t="shared" si="282"/>
        <v>0</v>
      </c>
      <c r="M371" s="338">
        <f t="shared" si="289"/>
        <v>0</v>
      </c>
      <c r="N371" s="329">
        <f t="shared" si="283"/>
        <v>0</v>
      </c>
      <c r="O371" s="338">
        <f t="shared" si="290"/>
        <v>0</v>
      </c>
      <c r="P371" s="329">
        <f t="shared" si="284"/>
        <v>0</v>
      </c>
      <c r="Q371" s="338">
        <f t="shared" si="291"/>
        <v>0</v>
      </c>
      <c r="R371" s="329">
        <f t="shared" si="285"/>
        <v>0</v>
      </c>
      <c r="S371" s="338">
        <f t="shared" si="292"/>
        <v>0</v>
      </c>
      <c r="T371" s="329">
        <f t="shared" si="286"/>
        <v>0</v>
      </c>
      <c r="U371" s="338">
        <f t="shared" si="293"/>
        <v>0</v>
      </c>
      <c r="V371" s="329">
        <f t="shared" si="287"/>
        <v>0</v>
      </c>
      <c r="W371" s="338">
        <f t="shared" si="294"/>
        <v>0</v>
      </c>
      <c r="X371" s="35"/>
    </row>
    <row r="372" spans="1:38" s="765" customFormat="1" x14ac:dyDescent="0.25">
      <c r="A372" s="335">
        <f>A371+1</f>
        <v>43966</v>
      </c>
      <c r="B372" s="49">
        <f t="shared" si="295"/>
        <v>0</v>
      </c>
      <c r="C372" s="338">
        <f t="shared" si="276"/>
        <v>44000000</v>
      </c>
      <c r="D372" s="329">
        <f t="shared" si="296"/>
        <v>0</v>
      </c>
      <c r="E372" s="338">
        <f t="shared" si="277"/>
        <v>33638517.886363</v>
      </c>
      <c r="F372" s="329">
        <f t="shared" si="271"/>
        <v>0</v>
      </c>
      <c r="G372" s="338">
        <f t="shared" si="278"/>
        <v>22500000</v>
      </c>
      <c r="H372" s="329">
        <f t="shared" si="280"/>
        <v>0</v>
      </c>
      <c r="I372" s="338">
        <f t="shared" si="279"/>
        <v>22000000</v>
      </c>
      <c r="J372" s="329">
        <f t="shared" si="281"/>
        <v>0</v>
      </c>
      <c r="K372" s="338">
        <f t="shared" si="288"/>
        <v>0</v>
      </c>
      <c r="L372" s="329">
        <f t="shared" si="282"/>
        <v>0</v>
      </c>
      <c r="M372" s="338">
        <f t="shared" si="289"/>
        <v>0</v>
      </c>
      <c r="N372" s="329">
        <f t="shared" si="283"/>
        <v>0</v>
      </c>
      <c r="O372" s="338">
        <f t="shared" si="290"/>
        <v>0</v>
      </c>
      <c r="P372" s="329">
        <f t="shared" si="284"/>
        <v>0</v>
      </c>
      <c r="Q372" s="338">
        <f t="shared" si="291"/>
        <v>0</v>
      </c>
      <c r="R372" s="329">
        <f t="shared" si="285"/>
        <v>0</v>
      </c>
      <c r="S372" s="338">
        <f t="shared" si="292"/>
        <v>0</v>
      </c>
      <c r="T372" s="329">
        <f t="shared" si="286"/>
        <v>0</v>
      </c>
      <c r="U372" s="338">
        <f t="shared" si="293"/>
        <v>0</v>
      </c>
      <c r="V372" s="329">
        <f t="shared" si="287"/>
        <v>0</v>
      </c>
      <c r="W372" s="338">
        <f t="shared" si="294"/>
        <v>0</v>
      </c>
      <c r="X372" s="35"/>
    </row>
    <row r="373" spans="1:38" s="765" customFormat="1" x14ac:dyDescent="0.25">
      <c r="A373" s="336">
        <f>A372+3</f>
        <v>43969</v>
      </c>
      <c r="B373" s="49">
        <f t="shared" si="295"/>
        <v>0</v>
      </c>
      <c r="C373" s="338">
        <f t="shared" si="276"/>
        <v>44000000</v>
      </c>
      <c r="D373" s="329">
        <f t="shared" si="296"/>
        <v>0</v>
      </c>
      <c r="E373" s="338">
        <f t="shared" si="277"/>
        <v>33638517.886363</v>
      </c>
      <c r="F373" s="329">
        <f t="shared" si="271"/>
        <v>0</v>
      </c>
      <c r="G373" s="338">
        <f t="shared" si="278"/>
        <v>22500000</v>
      </c>
      <c r="H373" s="329">
        <f t="shared" si="280"/>
        <v>0</v>
      </c>
      <c r="I373" s="338">
        <f t="shared" si="279"/>
        <v>22000000</v>
      </c>
      <c r="J373" s="329">
        <f t="shared" si="281"/>
        <v>0</v>
      </c>
      <c r="K373" s="338">
        <f t="shared" si="288"/>
        <v>0</v>
      </c>
      <c r="L373" s="329">
        <f t="shared" si="282"/>
        <v>0</v>
      </c>
      <c r="M373" s="338">
        <f t="shared" si="289"/>
        <v>0</v>
      </c>
      <c r="N373" s="329">
        <f t="shared" si="283"/>
        <v>0</v>
      </c>
      <c r="O373" s="338">
        <f t="shared" si="290"/>
        <v>0</v>
      </c>
      <c r="P373" s="329">
        <f t="shared" si="284"/>
        <v>0</v>
      </c>
      <c r="Q373" s="338">
        <f t="shared" si="291"/>
        <v>0</v>
      </c>
      <c r="R373" s="329">
        <f t="shared" si="285"/>
        <v>0</v>
      </c>
      <c r="S373" s="338">
        <f t="shared" si="292"/>
        <v>0</v>
      </c>
      <c r="T373" s="329">
        <f t="shared" si="286"/>
        <v>0</v>
      </c>
      <c r="U373" s="338">
        <f t="shared" si="293"/>
        <v>0</v>
      </c>
      <c r="V373" s="329">
        <f t="shared" si="287"/>
        <v>0</v>
      </c>
      <c r="W373" s="338">
        <f t="shared" si="294"/>
        <v>0</v>
      </c>
      <c r="X373" s="35"/>
    </row>
    <row r="374" spans="1:38" s="765" customFormat="1" x14ac:dyDescent="0.25">
      <c r="A374" s="335">
        <f>A373+1</f>
        <v>43970</v>
      </c>
      <c r="B374" s="49">
        <f t="shared" si="295"/>
        <v>0</v>
      </c>
      <c r="C374" s="338">
        <f t="shared" si="276"/>
        <v>44000000</v>
      </c>
      <c r="D374" s="329">
        <f t="shared" si="296"/>
        <v>0</v>
      </c>
      <c r="E374" s="338">
        <f t="shared" si="277"/>
        <v>33638517.886363</v>
      </c>
      <c r="F374" s="329">
        <f t="shared" si="271"/>
        <v>0</v>
      </c>
      <c r="G374" s="338">
        <f t="shared" si="278"/>
        <v>22500000</v>
      </c>
      <c r="H374" s="329">
        <f t="shared" si="280"/>
        <v>0</v>
      </c>
      <c r="I374" s="338">
        <f t="shared" si="279"/>
        <v>22000000</v>
      </c>
      <c r="J374" s="329">
        <f t="shared" si="281"/>
        <v>0</v>
      </c>
      <c r="K374" s="338">
        <f t="shared" si="288"/>
        <v>0</v>
      </c>
      <c r="L374" s="329">
        <f t="shared" si="282"/>
        <v>0</v>
      </c>
      <c r="M374" s="338">
        <f t="shared" si="289"/>
        <v>0</v>
      </c>
      <c r="N374" s="329">
        <f t="shared" si="283"/>
        <v>0</v>
      </c>
      <c r="O374" s="338">
        <f t="shared" si="290"/>
        <v>0</v>
      </c>
      <c r="P374" s="329">
        <f t="shared" si="284"/>
        <v>0</v>
      </c>
      <c r="Q374" s="338">
        <f t="shared" si="291"/>
        <v>0</v>
      </c>
      <c r="R374" s="329">
        <f t="shared" si="285"/>
        <v>0</v>
      </c>
      <c r="S374" s="338">
        <f t="shared" si="292"/>
        <v>0</v>
      </c>
      <c r="T374" s="329">
        <f t="shared" si="286"/>
        <v>0</v>
      </c>
      <c r="U374" s="338">
        <f t="shared" si="293"/>
        <v>0</v>
      </c>
      <c r="V374" s="329">
        <f t="shared" si="287"/>
        <v>0</v>
      </c>
      <c r="W374" s="338">
        <f t="shared" si="294"/>
        <v>0</v>
      </c>
      <c r="X374" s="35"/>
    </row>
    <row r="375" spans="1:38" s="765" customFormat="1" x14ac:dyDescent="0.25">
      <c r="A375" s="335">
        <f>A374+1</f>
        <v>43971</v>
      </c>
      <c r="B375" s="49">
        <f t="shared" si="295"/>
        <v>0</v>
      </c>
      <c r="C375" s="338">
        <f t="shared" si="276"/>
        <v>44000000</v>
      </c>
      <c r="D375" s="329">
        <f t="shared" si="296"/>
        <v>-796695.54999998957</v>
      </c>
      <c r="E375" s="338">
        <f t="shared" si="277"/>
        <v>32841822.33636301</v>
      </c>
      <c r="F375" s="329">
        <f t="shared" si="271"/>
        <v>0</v>
      </c>
      <c r="G375" s="338">
        <f t="shared" si="278"/>
        <v>22500000</v>
      </c>
      <c r="H375" s="329">
        <f t="shared" si="280"/>
        <v>0</v>
      </c>
      <c r="I375" s="338">
        <f t="shared" si="279"/>
        <v>22000000</v>
      </c>
      <c r="J375" s="329">
        <f t="shared" si="281"/>
        <v>0</v>
      </c>
      <c r="K375" s="338">
        <f t="shared" si="288"/>
        <v>0</v>
      </c>
      <c r="L375" s="329">
        <f t="shared" si="282"/>
        <v>0</v>
      </c>
      <c r="M375" s="338">
        <f t="shared" si="289"/>
        <v>0</v>
      </c>
      <c r="N375" s="329">
        <f t="shared" si="283"/>
        <v>0</v>
      </c>
      <c r="O375" s="338">
        <f t="shared" si="290"/>
        <v>0</v>
      </c>
      <c r="P375" s="329">
        <f t="shared" si="284"/>
        <v>0</v>
      </c>
      <c r="Q375" s="338">
        <f t="shared" si="291"/>
        <v>0</v>
      </c>
      <c r="R375" s="329">
        <f t="shared" si="285"/>
        <v>0</v>
      </c>
      <c r="S375" s="338">
        <f t="shared" si="292"/>
        <v>0</v>
      </c>
      <c r="T375" s="329">
        <f t="shared" si="286"/>
        <v>0</v>
      </c>
      <c r="U375" s="338">
        <f t="shared" si="293"/>
        <v>0</v>
      </c>
      <c r="V375" s="329">
        <f t="shared" si="287"/>
        <v>0</v>
      </c>
      <c r="W375" s="338">
        <f t="shared" si="294"/>
        <v>0</v>
      </c>
      <c r="X375" s="35"/>
    </row>
    <row r="376" spans="1:38" s="765" customFormat="1" x14ac:dyDescent="0.25">
      <c r="A376" s="335">
        <f>A375+1</f>
        <v>43972</v>
      </c>
      <c r="B376" s="49">
        <f t="shared" si="295"/>
        <v>0</v>
      </c>
      <c r="C376" s="338">
        <f t="shared" ref="C376:C389" si="297">B376+C375</f>
        <v>44000000</v>
      </c>
      <c r="D376" s="329">
        <f t="shared" si="296"/>
        <v>0</v>
      </c>
      <c r="E376" s="338">
        <f t="shared" ref="E376:E389" si="298">D376+E375</f>
        <v>32841822.33636301</v>
      </c>
      <c r="F376" s="329">
        <f t="shared" si="271"/>
        <v>0</v>
      </c>
      <c r="G376" s="338">
        <f t="shared" ref="G376:G389" si="299">F376+G375</f>
        <v>22500000</v>
      </c>
      <c r="H376" s="329">
        <f t="shared" si="280"/>
        <v>0</v>
      </c>
      <c r="I376" s="338">
        <f t="shared" ref="I376:I389" si="300">H376+I375</f>
        <v>22000000</v>
      </c>
      <c r="J376" s="329">
        <f t="shared" si="281"/>
        <v>0</v>
      </c>
      <c r="K376" s="338">
        <f t="shared" si="288"/>
        <v>0</v>
      </c>
      <c r="L376" s="329">
        <f t="shared" si="282"/>
        <v>0</v>
      </c>
      <c r="M376" s="338">
        <f t="shared" si="289"/>
        <v>0</v>
      </c>
      <c r="N376" s="329">
        <f t="shared" si="283"/>
        <v>0</v>
      </c>
      <c r="O376" s="338">
        <f t="shared" si="290"/>
        <v>0</v>
      </c>
      <c r="P376" s="329">
        <f t="shared" si="284"/>
        <v>0</v>
      </c>
      <c r="Q376" s="338">
        <f t="shared" si="291"/>
        <v>0</v>
      </c>
      <c r="R376" s="329">
        <f t="shared" si="285"/>
        <v>0</v>
      </c>
      <c r="S376" s="338">
        <f t="shared" si="292"/>
        <v>0</v>
      </c>
      <c r="T376" s="329">
        <f t="shared" si="286"/>
        <v>0</v>
      </c>
      <c r="U376" s="338">
        <f t="shared" si="293"/>
        <v>0</v>
      </c>
      <c r="V376" s="329">
        <f t="shared" si="287"/>
        <v>0</v>
      </c>
      <c r="W376" s="338">
        <f t="shared" si="294"/>
        <v>0</v>
      </c>
      <c r="X376" s="35"/>
    </row>
    <row r="377" spans="1:38" x14ac:dyDescent="0.25">
      <c r="A377" s="335">
        <f>A376+1</f>
        <v>43973</v>
      </c>
      <c r="B377" s="49">
        <f t="shared" si="295"/>
        <v>0</v>
      </c>
      <c r="C377" s="338">
        <f t="shared" si="297"/>
        <v>44000000</v>
      </c>
      <c r="D377" s="329">
        <f t="shared" si="296"/>
        <v>0</v>
      </c>
      <c r="E377" s="338">
        <f t="shared" si="298"/>
        <v>32841822.33636301</v>
      </c>
      <c r="F377" s="329">
        <f t="shared" si="271"/>
        <v>0</v>
      </c>
      <c r="G377" s="338">
        <f t="shared" si="299"/>
        <v>22500000</v>
      </c>
      <c r="H377" s="329">
        <f t="shared" si="280"/>
        <v>0</v>
      </c>
      <c r="I377" s="338">
        <f t="shared" si="300"/>
        <v>22000000</v>
      </c>
      <c r="J377" s="329">
        <f t="shared" si="281"/>
        <v>0</v>
      </c>
      <c r="K377" s="338">
        <f t="shared" si="288"/>
        <v>0</v>
      </c>
      <c r="L377" s="329">
        <f t="shared" si="282"/>
        <v>0</v>
      </c>
      <c r="M377" s="338">
        <f t="shared" si="289"/>
        <v>0</v>
      </c>
      <c r="N377" s="329">
        <f t="shared" si="283"/>
        <v>0</v>
      </c>
      <c r="O377" s="338">
        <f t="shared" si="290"/>
        <v>0</v>
      </c>
      <c r="P377" s="329">
        <f t="shared" si="284"/>
        <v>0</v>
      </c>
      <c r="Q377" s="338">
        <f t="shared" si="291"/>
        <v>0</v>
      </c>
      <c r="R377" s="329">
        <f t="shared" si="285"/>
        <v>0</v>
      </c>
      <c r="S377" s="338">
        <f t="shared" si="292"/>
        <v>0</v>
      </c>
      <c r="T377" s="329">
        <f t="shared" si="286"/>
        <v>0</v>
      </c>
      <c r="U377" s="338">
        <f t="shared" si="293"/>
        <v>0</v>
      </c>
      <c r="V377" s="329">
        <f t="shared" si="287"/>
        <v>0</v>
      </c>
      <c r="W377" s="338">
        <f t="shared" si="294"/>
        <v>0</v>
      </c>
      <c r="X377" s="35"/>
      <c r="Y377" s="765"/>
      <c r="Z377" s="765"/>
      <c r="AA377" s="765"/>
      <c r="AB377" s="765"/>
      <c r="AG377" s="765"/>
      <c r="AJ377" s="765"/>
      <c r="AK377" s="765"/>
      <c r="AL377" s="765"/>
    </row>
    <row r="378" spans="1:38" x14ac:dyDescent="0.25">
      <c r="A378" s="336">
        <f>A377+4</f>
        <v>43977</v>
      </c>
      <c r="B378" s="49">
        <f t="shared" si="295"/>
        <v>0</v>
      </c>
      <c r="C378" s="338">
        <f t="shared" si="297"/>
        <v>44000000</v>
      </c>
      <c r="D378" s="329">
        <f t="shared" si="296"/>
        <v>0</v>
      </c>
      <c r="E378" s="338">
        <f t="shared" si="298"/>
        <v>32841822.33636301</v>
      </c>
      <c r="F378" s="329">
        <f t="shared" si="271"/>
        <v>0</v>
      </c>
      <c r="G378" s="338">
        <f t="shared" si="299"/>
        <v>22500000</v>
      </c>
      <c r="H378" s="329">
        <f t="shared" si="280"/>
        <v>0</v>
      </c>
      <c r="I378" s="338">
        <f t="shared" si="300"/>
        <v>22000000</v>
      </c>
      <c r="J378" s="329">
        <f t="shared" si="281"/>
        <v>0</v>
      </c>
      <c r="K378" s="338">
        <f t="shared" si="288"/>
        <v>0</v>
      </c>
      <c r="L378" s="329">
        <f t="shared" si="282"/>
        <v>0</v>
      </c>
      <c r="M378" s="338">
        <f t="shared" si="289"/>
        <v>0</v>
      </c>
      <c r="N378" s="329">
        <f t="shared" si="283"/>
        <v>0</v>
      </c>
      <c r="O378" s="338">
        <f t="shared" si="290"/>
        <v>0</v>
      </c>
      <c r="P378" s="329">
        <f t="shared" si="284"/>
        <v>0</v>
      </c>
      <c r="Q378" s="338">
        <f t="shared" si="291"/>
        <v>0</v>
      </c>
      <c r="R378" s="329">
        <f t="shared" si="285"/>
        <v>0</v>
      </c>
      <c r="S378" s="338">
        <f t="shared" si="292"/>
        <v>0</v>
      </c>
      <c r="T378" s="329">
        <f t="shared" si="286"/>
        <v>0</v>
      </c>
      <c r="U378" s="338">
        <f t="shared" si="293"/>
        <v>0</v>
      </c>
      <c r="V378" s="329">
        <f t="shared" si="287"/>
        <v>0</v>
      </c>
      <c r="W378" s="338">
        <f t="shared" si="294"/>
        <v>0</v>
      </c>
      <c r="X378" s="35"/>
      <c r="Y378" s="765"/>
      <c r="Z378" s="765"/>
    </row>
    <row r="379" spans="1:38" x14ac:dyDescent="0.25">
      <c r="A379" s="335">
        <f>A378+1</f>
        <v>43978</v>
      </c>
      <c r="B379" s="49">
        <f t="shared" si="295"/>
        <v>0</v>
      </c>
      <c r="C379" s="338">
        <f t="shared" si="297"/>
        <v>44000000</v>
      </c>
      <c r="D379" s="329">
        <f t="shared" si="296"/>
        <v>0</v>
      </c>
      <c r="E379" s="338">
        <f t="shared" si="298"/>
        <v>32841822.33636301</v>
      </c>
      <c r="F379" s="329">
        <f t="shared" si="271"/>
        <v>0</v>
      </c>
      <c r="G379" s="338">
        <f t="shared" si="299"/>
        <v>22500000</v>
      </c>
      <c r="H379" s="329">
        <f t="shared" si="280"/>
        <v>0</v>
      </c>
      <c r="I379" s="338">
        <f t="shared" si="300"/>
        <v>22000000</v>
      </c>
      <c r="J379" s="329">
        <f t="shared" si="281"/>
        <v>0</v>
      </c>
      <c r="K379" s="338">
        <f t="shared" si="288"/>
        <v>0</v>
      </c>
      <c r="L379" s="329">
        <f t="shared" si="282"/>
        <v>0</v>
      </c>
      <c r="M379" s="338">
        <f t="shared" si="289"/>
        <v>0</v>
      </c>
      <c r="N379" s="329">
        <f t="shared" si="283"/>
        <v>0</v>
      </c>
      <c r="O379" s="338">
        <f t="shared" si="290"/>
        <v>0</v>
      </c>
      <c r="P379" s="329">
        <f t="shared" si="284"/>
        <v>0</v>
      </c>
      <c r="Q379" s="338">
        <f t="shared" si="291"/>
        <v>0</v>
      </c>
      <c r="R379" s="329">
        <f t="shared" si="285"/>
        <v>0</v>
      </c>
      <c r="S379" s="338">
        <f t="shared" si="292"/>
        <v>0</v>
      </c>
      <c r="T379" s="329">
        <f t="shared" si="286"/>
        <v>0</v>
      </c>
      <c r="U379" s="338">
        <f t="shared" si="293"/>
        <v>0</v>
      </c>
      <c r="V379" s="329">
        <f t="shared" si="287"/>
        <v>0</v>
      </c>
      <c r="W379" s="338">
        <f t="shared" si="294"/>
        <v>0</v>
      </c>
      <c r="X379" s="35"/>
      <c r="Y379" s="765"/>
      <c r="Z379" s="765"/>
    </row>
    <row r="380" spans="1:38" x14ac:dyDescent="0.25">
      <c r="A380" s="335">
        <f t="shared" ref="A380:A381" si="301">A379+1</f>
        <v>43979</v>
      </c>
      <c r="B380" s="49">
        <f t="shared" si="295"/>
        <v>0</v>
      </c>
      <c r="C380" s="338">
        <f t="shared" si="297"/>
        <v>44000000</v>
      </c>
      <c r="D380" s="329">
        <f t="shared" si="296"/>
        <v>0</v>
      </c>
      <c r="E380" s="338">
        <f t="shared" si="298"/>
        <v>32841822.33636301</v>
      </c>
      <c r="F380" s="329">
        <f t="shared" si="271"/>
        <v>0</v>
      </c>
      <c r="G380" s="338">
        <f t="shared" si="299"/>
        <v>22500000</v>
      </c>
      <c r="H380" s="329">
        <f t="shared" si="280"/>
        <v>0</v>
      </c>
      <c r="I380" s="338">
        <f t="shared" si="300"/>
        <v>22000000</v>
      </c>
      <c r="J380" s="329">
        <f t="shared" si="281"/>
        <v>0</v>
      </c>
      <c r="K380" s="338">
        <f t="shared" si="288"/>
        <v>0</v>
      </c>
      <c r="L380" s="329">
        <f t="shared" si="282"/>
        <v>0</v>
      </c>
      <c r="M380" s="338">
        <f t="shared" si="289"/>
        <v>0</v>
      </c>
      <c r="N380" s="329">
        <f t="shared" si="283"/>
        <v>0</v>
      </c>
      <c r="O380" s="338">
        <f t="shared" si="290"/>
        <v>0</v>
      </c>
      <c r="P380" s="329">
        <f t="shared" si="284"/>
        <v>0</v>
      </c>
      <c r="Q380" s="338">
        <f t="shared" si="291"/>
        <v>0</v>
      </c>
      <c r="R380" s="329">
        <f t="shared" si="285"/>
        <v>0</v>
      </c>
      <c r="S380" s="338">
        <f t="shared" si="292"/>
        <v>0</v>
      </c>
      <c r="T380" s="329">
        <f t="shared" si="286"/>
        <v>0</v>
      </c>
      <c r="U380" s="338">
        <f t="shared" si="293"/>
        <v>0</v>
      </c>
      <c r="V380" s="329">
        <f t="shared" si="287"/>
        <v>0</v>
      </c>
      <c r="W380" s="338">
        <f t="shared" si="294"/>
        <v>0</v>
      </c>
      <c r="X380" s="35"/>
      <c r="Y380" s="765"/>
      <c r="Z380" s="765"/>
    </row>
    <row r="381" spans="1:38" x14ac:dyDescent="0.25">
      <c r="A381" s="335">
        <f t="shared" si="301"/>
        <v>43980</v>
      </c>
      <c r="B381" s="49">
        <f t="shared" si="295"/>
        <v>0</v>
      </c>
      <c r="C381" s="338">
        <f t="shared" si="297"/>
        <v>44000000</v>
      </c>
      <c r="D381" s="329">
        <f t="shared" si="296"/>
        <v>0</v>
      </c>
      <c r="E381" s="338">
        <f t="shared" si="298"/>
        <v>32841822.33636301</v>
      </c>
      <c r="F381" s="329">
        <f t="shared" si="271"/>
        <v>0</v>
      </c>
      <c r="G381" s="338">
        <f t="shared" si="299"/>
        <v>22500000</v>
      </c>
      <c r="H381" s="329">
        <f t="shared" si="280"/>
        <v>0</v>
      </c>
      <c r="I381" s="338">
        <f t="shared" si="300"/>
        <v>22000000</v>
      </c>
      <c r="J381" s="329">
        <f t="shared" si="281"/>
        <v>0</v>
      </c>
      <c r="K381" s="338">
        <f t="shared" si="288"/>
        <v>0</v>
      </c>
      <c r="L381" s="329">
        <f t="shared" si="282"/>
        <v>0</v>
      </c>
      <c r="M381" s="338">
        <f t="shared" si="289"/>
        <v>0</v>
      </c>
      <c r="N381" s="329">
        <f t="shared" si="283"/>
        <v>0</v>
      </c>
      <c r="O381" s="338">
        <f t="shared" si="290"/>
        <v>0</v>
      </c>
      <c r="P381" s="329">
        <f t="shared" si="284"/>
        <v>0</v>
      </c>
      <c r="Q381" s="338">
        <f t="shared" si="291"/>
        <v>0</v>
      </c>
      <c r="R381" s="329">
        <f t="shared" si="285"/>
        <v>0</v>
      </c>
      <c r="S381" s="338">
        <f t="shared" si="292"/>
        <v>0</v>
      </c>
      <c r="T381" s="329">
        <f t="shared" si="286"/>
        <v>0</v>
      </c>
      <c r="U381" s="338">
        <f t="shared" si="293"/>
        <v>0</v>
      </c>
      <c r="V381" s="329">
        <f t="shared" si="287"/>
        <v>0</v>
      </c>
      <c r="W381" s="338">
        <f t="shared" si="294"/>
        <v>0</v>
      </c>
      <c r="X381" s="35"/>
      <c r="Y381" s="765"/>
      <c r="Z381" s="765"/>
    </row>
    <row r="382" spans="1:38" x14ac:dyDescent="0.25">
      <c r="A382" s="336">
        <f>A381+2</f>
        <v>43982</v>
      </c>
      <c r="B382" s="49">
        <f t="shared" si="295"/>
        <v>0</v>
      </c>
      <c r="C382" s="338">
        <f t="shared" si="297"/>
        <v>44000000</v>
      </c>
      <c r="D382" s="329">
        <f t="shared" si="296"/>
        <v>0</v>
      </c>
      <c r="E382" s="338">
        <f t="shared" si="298"/>
        <v>32841822.33636301</v>
      </c>
      <c r="F382" s="329">
        <f t="shared" si="271"/>
        <v>0</v>
      </c>
      <c r="G382" s="338">
        <f t="shared" si="299"/>
        <v>22500000</v>
      </c>
      <c r="H382" s="329">
        <f t="shared" si="280"/>
        <v>0</v>
      </c>
      <c r="I382" s="338">
        <f t="shared" si="300"/>
        <v>22000000</v>
      </c>
      <c r="J382" s="329">
        <f t="shared" si="281"/>
        <v>0</v>
      </c>
      <c r="K382" s="338">
        <f t="shared" si="288"/>
        <v>0</v>
      </c>
      <c r="L382" s="329">
        <f t="shared" si="282"/>
        <v>0</v>
      </c>
      <c r="M382" s="338">
        <f t="shared" si="289"/>
        <v>0</v>
      </c>
      <c r="N382" s="329">
        <f t="shared" si="283"/>
        <v>0</v>
      </c>
      <c r="O382" s="338">
        <f t="shared" si="290"/>
        <v>0</v>
      </c>
      <c r="P382" s="329">
        <f t="shared" si="284"/>
        <v>0</v>
      </c>
      <c r="Q382" s="338">
        <f t="shared" si="291"/>
        <v>0</v>
      </c>
      <c r="R382" s="329">
        <f t="shared" si="285"/>
        <v>0</v>
      </c>
      <c r="S382" s="338">
        <f t="shared" si="292"/>
        <v>0</v>
      </c>
      <c r="T382" s="329">
        <f t="shared" si="286"/>
        <v>0</v>
      </c>
      <c r="U382" s="338">
        <f t="shared" si="293"/>
        <v>0</v>
      </c>
      <c r="V382" s="329">
        <f t="shared" si="287"/>
        <v>0</v>
      </c>
      <c r="W382" s="338">
        <f t="shared" si="294"/>
        <v>0</v>
      </c>
      <c r="X382" s="35"/>
      <c r="Y382" s="765"/>
      <c r="Z382" s="765"/>
    </row>
    <row r="383" spans="1:38" x14ac:dyDescent="0.25">
      <c r="A383" s="335">
        <f>A382+1</f>
        <v>43983</v>
      </c>
      <c r="B383" s="49">
        <f t="shared" si="295"/>
        <v>0</v>
      </c>
      <c r="C383" s="338">
        <f t="shared" si="297"/>
        <v>44000000</v>
      </c>
      <c r="D383" s="329">
        <f t="shared" si="296"/>
        <v>0</v>
      </c>
      <c r="E383" s="338">
        <f t="shared" si="298"/>
        <v>32841822.33636301</v>
      </c>
      <c r="F383" s="329">
        <f t="shared" si="271"/>
        <v>0</v>
      </c>
      <c r="G383" s="338">
        <f t="shared" si="299"/>
        <v>22500000</v>
      </c>
      <c r="H383" s="329">
        <f t="shared" si="280"/>
        <v>0</v>
      </c>
      <c r="I383" s="338">
        <f t="shared" si="300"/>
        <v>22000000</v>
      </c>
      <c r="J383" s="329">
        <f t="shared" si="281"/>
        <v>0</v>
      </c>
      <c r="K383" s="338">
        <f t="shared" si="288"/>
        <v>0</v>
      </c>
      <c r="L383" s="329">
        <f t="shared" si="282"/>
        <v>0</v>
      </c>
      <c r="M383" s="338">
        <f t="shared" si="289"/>
        <v>0</v>
      </c>
      <c r="N383" s="329">
        <f t="shared" si="283"/>
        <v>0</v>
      </c>
      <c r="O383" s="338">
        <f t="shared" si="290"/>
        <v>0</v>
      </c>
      <c r="P383" s="329">
        <f t="shared" si="284"/>
        <v>0</v>
      </c>
      <c r="Q383" s="338">
        <f t="shared" si="291"/>
        <v>0</v>
      </c>
      <c r="R383" s="329">
        <f t="shared" si="285"/>
        <v>0</v>
      </c>
      <c r="S383" s="338">
        <f t="shared" si="292"/>
        <v>0</v>
      </c>
      <c r="T383" s="329">
        <f t="shared" si="286"/>
        <v>0</v>
      </c>
      <c r="U383" s="338">
        <f t="shared" si="293"/>
        <v>0</v>
      </c>
      <c r="V383" s="329">
        <f t="shared" si="287"/>
        <v>0</v>
      </c>
      <c r="W383" s="338">
        <f t="shared" si="294"/>
        <v>0</v>
      </c>
      <c r="X383" s="35"/>
      <c r="Y383" s="765"/>
      <c r="Z383" s="765"/>
    </row>
    <row r="384" spans="1:38" x14ac:dyDescent="0.25">
      <c r="A384" s="335">
        <f>A383+1</f>
        <v>43984</v>
      </c>
      <c r="B384" s="49">
        <f t="shared" si="295"/>
        <v>0</v>
      </c>
      <c r="C384" s="338">
        <f t="shared" si="297"/>
        <v>44000000</v>
      </c>
      <c r="D384" s="329">
        <f t="shared" si="296"/>
        <v>0</v>
      </c>
      <c r="E384" s="338">
        <f t="shared" si="298"/>
        <v>32841822.33636301</v>
      </c>
      <c r="F384" s="329">
        <f t="shared" si="271"/>
        <v>0</v>
      </c>
      <c r="G384" s="338">
        <f t="shared" si="299"/>
        <v>22500000</v>
      </c>
      <c r="H384" s="329">
        <f t="shared" si="280"/>
        <v>0</v>
      </c>
      <c r="I384" s="338">
        <f t="shared" si="300"/>
        <v>22000000</v>
      </c>
      <c r="J384" s="329">
        <f t="shared" si="281"/>
        <v>0</v>
      </c>
      <c r="K384" s="338">
        <f t="shared" si="288"/>
        <v>0</v>
      </c>
      <c r="L384" s="329">
        <f t="shared" si="282"/>
        <v>0</v>
      </c>
      <c r="M384" s="338">
        <f t="shared" si="289"/>
        <v>0</v>
      </c>
      <c r="N384" s="329">
        <f t="shared" si="283"/>
        <v>0</v>
      </c>
      <c r="O384" s="338">
        <f t="shared" si="290"/>
        <v>0</v>
      </c>
      <c r="P384" s="329">
        <f t="shared" si="284"/>
        <v>0</v>
      </c>
      <c r="Q384" s="338">
        <f t="shared" si="291"/>
        <v>0</v>
      </c>
      <c r="R384" s="329">
        <f t="shared" si="285"/>
        <v>0</v>
      </c>
      <c r="S384" s="338">
        <f t="shared" si="292"/>
        <v>0</v>
      </c>
      <c r="T384" s="329">
        <f t="shared" si="286"/>
        <v>0</v>
      </c>
      <c r="U384" s="338">
        <f t="shared" si="293"/>
        <v>0</v>
      </c>
      <c r="V384" s="329">
        <f t="shared" si="287"/>
        <v>0</v>
      </c>
      <c r="W384" s="338">
        <f t="shared" si="294"/>
        <v>0</v>
      </c>
      <c r="X384" s="35"/>
      <c r="Y384" s="765"/>
      <c r="Z384" s="765"/>
    </row>
    <row r="385" spans="1:26" x14ac:dyDescent="0.25">
      <c r="A385" s="335">
        <f>A384+1</f>
        <v>43985</v>
      </c>
      <c r="B385" s="49">
        <f t="shared" si="295"/>
        <v>0</v>
      </c>
      <c r="C385" s="338">
        <f t="shared" si="297"/>
        <v>44000000</v>
      </c>
      <c r="D385" s="329">
        <f t="shared" si="296"/>
        <v>0</v>
      </c>
      <c r="E385" s="338">
        <f t="shared" si="298"/>
        <v>32841822.33636301</v>
      </c>
      <c r="F385" s="329">
        <f t="shared" si="271"/>
        <v>0</v>
      </c>
      <c r="G385" s="338">
        <f t="shared" si="299"/>
        <v>22500000</v>
      </c>
      <c r="H385" s="329">
        <f t="shared" si="280"/>
        <v>0</v>
      </c>
      <c r="I385" s="338">
        <f t="shared" si="300"/>
        <v>22000000</v>
      </c>
      <c r="J385" s="329">
        <f t="shared" si="281"/>
        <v>0</v>
      </c>
      <c r="K385" s="338">
        <f t="shared" si="288"/>
        <v>0</v>
      </c>
      <c r="L385" s="329">
        <f t="shared" si="282"/>
        <v>0</v>
      </c>
      <c r="M385" s="338">
        <f t="shared" si="289"/>
        <v>0</v>
      </c>
      <c r="N385" s="329">
        <f t="shared" si="283"/>
        <v>0</v>
      </c>
      <c r="O385" s="338">
        <f t="shared" si="290"/>
        <v>0</v>
      </c>
      <c r="P385" s="329">
        <f t="shared" si="284"/>
        <v>0</v>
      </c>
      <c r="Q385" s="338">
        <f t="shared" si="291"/>
        <v>0</v>
      </c>
      <c r="R385" s="329">
        <f t="shared" si="285"/>
        <v>0</v>
      </c>
      <c r="S385" s="338">
        <f t="shared" si="292"/>
        <v>0</v>
      </c>
      <c r="T385" s="329">
        <f t="shared" si="286"/>
        <v>0</v>
      </c>
      <c r="U385" s="338">
        <f t="shared" si="293"/>
        <v>0</v>
      </c>
      <c r="V385" s="329">
        <f t="shared" si="287"/>
        <v>0</v>
      </c>
      <c r="W385" s="338">
        <f t="shared" si="294"/>
        <v>0</v>
      </c>
      <c r="X385" s="35"/>
      <c r="Y385" s="765"/>
      <c r="Z385" s="765"/>
    </row>
    <row r="386" spans="1:26" x14ac:dyDescent="0.25">
      <c r="A386" s="335">
        <f>A385+1</f>
        <v>43986</v>
      </c>
      <c r="B386" s="49">
        <f t="shared" si="295"/>
        <v>0</v>
      </c>
      <c r="C386" s="338">
        <f t="shared" si="297"/>
        <v>44000000</v>
      </c>
      <c r="D386" s="329">
        <f t="shared" si="296"/>
        <v>0</v>
      </c>
      <c r="E386" s="338">
        <f t="shared" si="298"/>
        <v>32841822.33636301</v>
      </c>
      <c r="F386" s="329">
        <f t="shared" si="271"/>
        <v>0</v>
      </c>
      <c r="G386" s="338">
        <f t="shared" si="299"/>
        <v>22500000</v>
      </c>
      <c r="H386" s="329">
        <f t="shared" si="280"/>
        <v>0</v>
      </c>
      <c r="I386" s="338">
        <f t="shared" si="300"/>
        <v>22000000</v>
      </c>
      <c r="J386" s="329">
        <f t="shared" si="281"/>
        <v>0</v>
      </c>
      <c r="K386" s="338">
        <f t="shared" si="288"/>
        <v>0</v>
      </c>
      <c r="L386" s="329">
        <f t="shared" si="282"/>
        <v>0</v>
      </c>
      <c r="M386" s="338">
        <f t="shared" si="289"/>
        <v>0</v>
      </c>
      <c r="N386" s="329">
        <f t="shared" si="283"/>
        <v>0</v>
      </c>
      <c r="O386" s="338">
        <f t="shared" si="290"/>
        <v>0</v>
      </c>
      <c r="P386" s="329">
        <f t="shared" si="284"/>
        <v>0</v>
      </c>
      <c r="Q386" s="338">
        <f t="shared" si="291"/>
        <v>0</v>
      </c>
      <c r="R386" s="329">
        <f t="shared" si="285"/>
        <v>0</v>
      </c>
      <c r="S386" s="338">
        <f t="shared" si="292"/>
        <v>0</v>
      </c>
      <c r="T386" s="329">
        <f t="shared" si="286"/>
        <v>0</v>
      </c>
      <c r="U386" s="338">
        <f t="shared" si="293"/>
        <v>0</v>
      </c>
      <c r="V386" s="329">
        <f t="shared" si="287"/>
        <v>0</v>
      </c>
      <c r="W386" s="338">
        <f t="shared" si="294"/>
        <v>0</v>
      </c>
      <c r="X386" s="35"/>
      <c r="Y386" s="765"/>
      <c r="Z386" s="765"/>
    </row>
    <row r="387" spans="1:26" x14ac:dyDescent="0.25">
      <c r="A387" s="335">
        <f>A386+1</f>
        <v>43987</v>
      </c>
      <c r="B387" s="49">
        <f t="shared" si="295"/>
        <v>0</v>
      </c>
      <c r="C387" s="338">
        <f t="shared" si="297"/>
        <v>44000000</v>
      </c>
      <c r="D387" s="329">
        <f t="shared" si="296"/>
        <v>0</v>
      </c>
      <c r="E387" s="338">
        <f t="shared" si="298"/>
        <v>32841822.33636301</v>
      </c>
      <c r="F387" s="329">
        <f t="shared" ref="F387:F450" si="302">SUMIFS(Usage_Main,CF_Dates,$A387,CF_Descriptions,"EASTCYPRESS1 Change")</f>
        <v>0</v>
      </c>
      <c r="G387" s="338">
        <f t="shared" si="299"/>
        <v>22500000</v>
      </c>
      <c r="H387" s="329">
        <f t="shared" si="280"/>
        <v>0</v>
      </c>
      <c r="I387" s="338">
        <f t="shared" si="300"/>
        <v>22000000</v>
      </c>
      <c r="J387" s="329">
        <f t="shared" si="281"/>
        <v>0</v>
      </c>
      <c r="K387" s="338">
        <f t="shared" si="288"/>
        <v>0</v>
      </c>
      <c r="L387" s="329">
        <f t="shared" si="282"/>
        <v>0</v>
      </c>
      <c r="M387" s="338">
        <f t="shared" si="289"/>
        <v>0</v>
      </c>
      <c r="N387" s="329">
        <f t="shared" si="283"/>
        <v>0</v>
      </c>
      <c r="O387" s="338">
        <f t="shared" si="290"/>
        <v>0</v>
      </c>
      <c r="P387" s="329">
        <f t="shared" si="284"/>
        <v>0</v>
      </c>
      <c r="Q387" s="338">
        <f t="shared" si="291"/>
        <v>0</v>
      </c>
      <c r="R387" s="329">
        <f t="shared" si="285"/>
        <v>0</v>
      </c>
      <c r="S387" s="338">
        <f t="shared" si="292"/>
        <v>0</v>
      </c>
      <c r="T387" s="329">
        <f t="shared" si="286"/>
        <v>0</v>
      </c>
      <c r="U387" s="338">
        <f t="shared" si="293"/>
        <v>0</v>
      </c>
      <c r="V387" s="329">
        <f t="shared" si="287"/>
        <v>0</v>
      </c>
      <c r="W387" s="338">
        <f t="shared" si="294"/>
        <v>0</v>
      </c>
      <c r="X387" s="35"/>
      <c r="Y387" s="765"/>
      <c r="Z387" s="765"/>
    </row>
    <row r="388" spans="1:26" x14ac:dyDescent="0.25">
      <c r="A388" s="336">
        <f>A387+3</f>
        <v>43990</v>
      </c>
      <c r="B388" s="49">
        <f t="shared" si="295"/>
        <v>0</v>
      </c>
      <c r="C388" s="338">
        <f t="shared" si="297"/>
        <v>44000000</v>
      </c>
      <c r="D388" s="329">
        <f t="shared" si="296"/>
        <v>0</v>
      </c>
      <c r="E388" s="338">
        <f t="shared" si="298"/>
        <v>32841822.33636301</v>
      </c>
      <c r="F388" s="329">
        <f t="shared" si="302"/>
        <v>0</v>
      </c>
      <c r="G388" s="338">
        <f t="shared" si="299"/>
        <v>22500000</v>
      </c>
      <c r="H388" s="329">
        <f t="shared" si="280"/>
        <v>0</v>
      </c>
      <c r="I388" s="338">
        <f t="shared" si="300"/>
        <v>22000000</v>
      </c>
      <c r="J388" s="329">
        <f t="shared" si="281"/>
        <v>0</v>
      </c>
      <c r="K388" s="338">
        <f t="shared" si="288"/>
        <v>0</v>
      </c>
      <c r="L388" s="329">
        <f t="shared" si="282"/>
        <v>0</v>
      </c>
      <c r="M388" s="338">
        <f t="shared" si="289"/>
        <v>0</v>
      </c>
      <c r="N388" s="329">
        <f t="shared" si="283"/>
        <v>0</v>
      </c>
      <c r="O388" s="338">
        <f t="shared" si="290"/>
        <v>0</v>
      </c>
      <c r="P388" s="329">
        <f t="shared" si="284"/>
        <v>0</v>
      </c>
      <c r="Q388" s="338">
        <f t="shared" si="291"/>
        <v>0</v>
      </c>
      <c r="R388" s="329">
        <f t="shared" si="285"/>
        <v>0</v>
      </c>
      <c r="S388" s="338">
        <f t="shared" si="292"/>
        <v>0</v>
      </c>
      <c r="T388" s="329">
        <f t="shared" si="286"/>
        <v>0</v>
      </c>
      <c r="U388" s="338">
        <f t="shared" si="293"/>
        <v>0</v>
      </c>
      <c r="V388" s="329">
        <f t="shared" si="287"/>
        <v>0</v>
      </c>
      <c r="W388" s="338">
        <f t="shared" si="294"/>
        <v>0</v>
      </c>
      <c r="X388" s="35"/>
      <c r="Y388" s="765"/>
      <c r="Z388" s="765"/>
    </row>
    <row r="389" spans="1:26" x14ac:dyDescent="0.25">
      <c r="A389" s="335">
        <f>A388+1</f>
        <v>43991</v>
      </c>
      <c r="B389" s="49">
        <f t="shared" si="295"/>
        <v>0</v>
      </c>
      <c r="C389" s="338">
        <f t="shared" si="297"/>
        <v>44000000</v>
      </c>
      <c r="D389" s="329">
        <f t="shared" si="296"/>
        <v>0</v>
      </c>
      <c r="E389" s="338">
        <f t="shared" si="298"/>
        <v>32841822.33636301</v>
      </c>
      <c r="F389" s="329">
        <f t="shared" si="302"/>
        <v>0</v>
      </c>
      <c r="G389" s="338">
        <f t="shared" si="299"/>
        <v>22500000</v>
      </c>
      <c r="H389" s="329">
        <f t="shared" si="280"/>
        <v>0</v>
      </c>
      <c r="I389" s="338">
        <f t="shared" si="300"/>
        <v>22000000</v>
      </c>
      <c r="J389" s="329">
        <f t="shared" si="281"/>
        <v>0</v>
      </c>
      <c r="K389" s="338">
        <f t="shared" si="288"/>
        <v>0</v>
      </c>
      <c r="L389" s="329">
        <f t="shared" si="282"/>
        <v>0</v>
      </c>
      <c r="M389" s="338">
        <f t="shared" si="289"/>
        <v>0</v>
      </c>
      <c r="N389" s="329">
        <f t="shared" si="283"/>
        <v>0</v>
      </c>
      <c r="O389" s="338">
        <f t="shared" si="290"/>
        <v>0</v>
      </c>
      <c r="P389" s="329">
        <f t="shared" si="284"/>
        <v>0</v>
      </c>
      <c r="Q389" s="338">
        <f t="shared" si="291"/>
        <v>0</v>
      </c>
      <c r="R389" s="329">
        <f t="shared" si="285"/>
        <v>0</v>
      </c>
      <c r="S389" s="338">
        <f t="shared" si="292"/>
        <v>0</v>
      </c>
      <c r="T389" s="329">
        <f t="shared" si="286"/>
        <v>0</v>
      </c>
      <c r="U389" s="338">
        <f t="shared" si="293"/>
        <v>0</v>
      </c>
      <c r="V389" s="329">
        <f t="shared" si="287"/>
        <v>0</v>
      </c>
      <c r="W389" s="338">
        <f t="shared" si="294"/>
        <v>0</v>
      </c>
      <c r="X389" s="35"/>
      <c r="Y389" s="765"/>
      <c r="Z389" s="765"/>
    </row>
    <row r="390" spans="1:26" x14ac:dyDescent="0.25">
      <c r="A390" s="335">
        <f>A389+1</f>
        <v>43992</v>
      </c>
      <c r="B390" s="49">
        <f t="shared" si="295"/>
        <v>0</v>
      </c>
      <c r="C390" s="338">
        <f t="shared" ref="C390:C409" si="303">B390+C389</f>
        <v>44000000</v>
      </c>
      <c r="D390" s="329">
        <f t="shared" si="296"/>
        <v>0</v>
      </c>
      <c r="E390" s="338">
        <f t="shared" ref="E390:E409" si="304">D390+E389</f>
        <v>32841822.33636301</v>
      </c>
      <c r="F390" s="329">
        <f t="shared" si="302"/>
        <v>0</v>
      </c>
      <c r="G390" s="338">
        <f t="shared" ref="G390:G409" si="305">F390+G389</f>
        <v>22500000</v>
      </c>
      <c r="H390" s="329">
        <f t="shared" si="280"/>
        <v>0</v>
      </c>
      <c r="I390" s="338">
        <f t="shared" ref="I390:I409" si="306">H390+I389</f>
        <v>22000000</v>
      </c>
      <c r="J390" s="329">
        <f t="shared" si="281"/>
        <v>0</v>
      </c>
      <c r="K390" s="338">
        <f t="shared" si="288"/>
        <v>0</v>
      </c>
      <c r="L390" s="329">
        <f t="shared" si="282"/>
        <v>0</v>
      </c>
      <c r="M390" s="338">
        <f t="shared" si="289"/>
        <v>0</v>
      </c>
      <c r="N390" s="329">
        <f t="shared" si="283"/>
        <v>0</v>
      </c>
      <c r="O390" s="338">
        <f t="shared" si="290"/>
        <v>0</v>
      </c>
      <c r="P390" s="329">
        <f t="shared" si="284"/>
        <v>0</v>
      </c>
      <c r="Q390" s="338">
        <f t="shared" si="291"/>
        <v>0</v>
      </c>
      <c r="R390" s="329">
        <f t="shared" si="285"/>
        <v>0</v>
      </c>
      <c r="S390" s="338">
        <f t="shared" si="292"/>
        <v>0</v>
      </c>
      <c r="T390" s="329">
        <f t="shared" si="286"/>
        <v>0</v>
      </c>
      <c r="U390" s="338">
        <f t="shared" si="293"/>
        <v>0</v>
      </c>
      <c r="V390" s="329">
        <f t="shared" si="287"/>
        <v>0</v>
      </c>
      <c r="W390" s="338">
        <f t="shared" si="294"/>
        <v>0</v>
      </c>
      <c r="X390" s="35"/>
      <c r="Y390" s="765"/>
      <c r="Z390" s="765"/>
    </row>
    <row r="391" spans="1:26" x14ac:dyDescent="0.25">
      <c r="A391" s="335">
        <f>A390+1</f>
        <v>43993</v>
      </c>
      <c r="B391" s="49">
        <f t="shared" si="295"/>
        <v>0</v>
      </c>
      <c r="C391" s="338">
        <f t="shared" si="303"/>
        <v>44000000</v>
      </c>
      <c r="D391" s="329">
        <f t="shared" si="296"/>
        <v>0</v>
      </c>
      <c r="E391" s="338">
        <f t="shared" si="304"/>
        <v>32841822.33636301</v>
      </c>
      <c r="F391" s="329">
        <f t="shared" si="302"/>
        <v>0</v>
      </c>
      <c r="G391" s="338">
        <f t="shared" si="305"/>
        <v>22500000</v>
      </c>
      <c r="H391" s="329">
        <f t="shared" si="280"/>
        <v>0</v>
      </c>
      <c r="I391" s="338">
        <f t="shared" si="306"/>
        <v>22000000</v>
      </c>
      <c r="J391" s="329">
        <f t="shared" si="281"/>
        <v>0</v>
      </c>
      <c r="K391" s="338">
        <f t="shared" si="288"/>
        <v>0</v>
      </c>
      <c r="L391" s="329">
        <f t="shared" si="282"/>
        <v>0</v>
      </c>
      <c r="M391" s="338">
        <f t="shared" si="289"/>
        <v>0</v>
      </c>
      <c r="N391" s="329">
        <f t="shared" si="283"/>
        <v>0</v>
      </c>
      <c r="O391" s="338">
        <f t="shared" si="290"/>
        <v>0</v>
      </c>
      <c r="P391" s="329">
        <f t="shared" si="284"/>
        <v>0</v>
      </c>
      <c r="Q391" s="338">
        <f t="shared" si="291"/>
        <v>0</v>
      </c>
      <c r="R391" s="329">
        <f t="shared" si="285"/>
        <v>0</v>
      </c>
      <c r="S391" s="338">
        <f t="shared" si="292"/>
        <v>0</v>
      </c>
      <c r="T391" s="329">
        <f t="shared" si="286"/>
        <v>0</v>
      </c>
      <c r="U391" s="338">
        <f t="shared" si="293"/>
        <v>0</v>
      </c>
      <c r="V391" s="329">
        <f t="shared" si="287"/>
        <v>0</v>
      </c>
      <c r="W391" s="338">
        <f t="shared" si="294"/>
        <v>0</v>
      </c>
      <c r="X391" s="35"/>
    </row>
    <row r="392" spans="1:26" x14ac:dyDescent="0.25">
      <c r="A392" s="335">
        <f>A391+1</f>
        <v>43994</v>
      </c>
      <c r="B392" s="49">
        <f t="shared" si="295"/>
        <v>0</v>
      </c>
      <c r="C392" s="338">
        <f t="shared" si="303"/>
        <v>44000000</v>
      </c>
      <c r="D392" s="329">
        <f t="shared" si="296"/>
        <v>0</v>
      </c>
      <c r="E392" s="338">
        <f t="shared" si="304"/>
        <v>32841822.33636301</v>
      </c>
      <c r="F392" s="329">
        <f t="shared" si="302"/>
        <v>0</v>
      </c>
      <c r="G392" s="338">
        <f t="shared" si="305"/>
        <v>22500000</v>
      </c>
      <c r="H392" s="329">
        <f t="shared" si="280"/>
        <v>0</v>
      </c>
      <c r="I392" s="338">
        <f t="shared" si="306"/>
        <v>22000000</v>
      </c>
      <c r="J392" s="329">
        <f t="shared" si="281"/>
        <v>0</v>
      </c>
      <c r="K392" s="338">
        <f t="shared" si="288"/>
        <v>0</v>
      </c>
      <c r="L392" s="329">
        <f t="shared" si="282"/>
        <v>0</v>
      </c>
      <c r="M392" s="338">
        <f t="shared" si="289"/>
        <v>0</v>
      </c>
      <c r="N392" s="329">
        <f t="shared" si="283"/>
        <v>0</v>
      </c>
      <c r="O392" s="338">
        <f t="shared" si="290"/>
        <v>0</v>
      </c>
      <c r="P392" s="329">
        <f t="shared" si="284"/>
        <v>0</v>
      </c>
      <c r="Q392" s="338">
        <f t="shared" si="291"/>
        <v>0</v>
      </c>
      <c r="R392" s="329">
        <f t="shared" si="285"/>
        <v>0</v>
      </c>
      <c r="S392" s="338">
        <f t="shared" si="292"/>
        <v>0</v>
      </c>
      <c r="T392" s="329">
        <f t="shared" si="286"/>
        <v>0</v>
      </c>
      <c r="U392" s="338">
        <f t="shared" si="293"/>
        <v>0</v>
      </c>
      <c r="V392" s="329">
        <f t="shared" si="287"/>
        <v>0</v>
      </c>
      <c r="W392" s="338">
        <f t="shared" si="294"/>
        <v>0</v>
      </c>
      <c r="X392" s="35"/>
    </row>
    <row r="393" spans="1:26" x14ac:dyDescent="0.25">
      <c r="A393" s="336">
        <f>A392+3</f>
        <v>43997</v>
      </c>
      <c r="B393" s="49">
        <f t="shared" si="295"/>
        <v>0</v>
      </c>
      <c r="C393" s="338">
        <f t="shared" si="303"/>
        <v>44000000</v>
      </c>
      <c r="D393" s="329">
        <f t="shared" si="296"/>
        <v>0</v>
      </c>
      <c r="E393" s="338">
        <f t="shared" si="304"/>
        <v>32841822.33636301</v>
      </c>
      <c r="F393" s="329">
        <f t="shared" si="302"/>
        <v>0</v>
      </c>
      <c r="G393" s="338">
        <f t="shared" si="305"/>
        <v>22500000</v>
      </c>
      <c r="H393" s="329">
        <f t="shared" si="280"/>
        <v>0</v>
      </c>
      <c r="I393" s="338">
        <f t="shared" si="306"/>
        <v>22000000</v>
      </c>
      <c r="J393" s="329">
        <f t="shared" si="281"/>
        <v>0</v>
      </c>
      <c r="K393" s="338">
        <f t="shared" si="288"/>
        <v>0</v>
      </c>
      <c r="L393" s="329">
        <f t="shared" si="282"/>
        <v>0</v>
      </c>
      <c r="M393" s="338">
        <f t="shared" si="289"/>
        <v>0</v>
      </c>
      <c r="N393" s="329">
        <f t="shared" si="283"/>
        <v>0</v>
      </c>
      <c r="O393" s="338">
        <f t="shared" si="290"/>
        <v>0</v>
      </c>
      <c r="P393" s="329">
        <f t="shared" si="284"/>
        <v>0</v>
      </c>
      <c r="Q393" s="338">
        <f t="shared" si="291"/>
        <v>0</v>
      </c>
      <c r="R393" s="329">
        <f t="shared" si="285"/>
        <v>0</v>
      </c>
      <c r="S393" s="338">
        <f t="shared" si="292"/>
        <v>0</v>
      </c>
      <c r="T393" s="329">
        <f t="shared" si="286"/>
        <v>0</v>
      </c>
      <c r="U393" s="338">
        <f t="shared" si="293"/>
        <v>0</v>
      </c>
      <c r="V393" s="329">
        <f t="shared" si="287"/>
        <v>0</v>
      </c>
      <c r="W393" s="338">
        <f t="shared" si="294"/>
        <v>0</v>
      </c>
      <c r="X393" s="35"/>
    </row>
    <row r="394" spans="1:26" x14ac:dyDescent="0.25">
      <c r="A394" s="335">
        <f>A393+1</f>
        <v>43998</v>
      </c>
      <c r="B394" s="49">
        <f t="shared" si="295"/>
        <v>0</v>
      </c>
      <c r="C394" s="338">
        <f t="shared" si="303"/>
        <v>44000000</v>
      </c>
      <c r="D394" s="329">
        <f t="shared" si="296"/>
        <v>0</v>
      </c>
      <c r="E394" s="338">
        <f t="shared" si="304"/>
        <v>32841822.33636301</v>
      </c>
      <c r="F394" s="329">
        <f t="shared" si="302"/>
        <v>2500000</v>
      </c>
      <c r="G394" s="338">
        <f t="shared" si="305"/>
        <v>25000000</v>
      </c>
      <c r="H394" s="329">
        <f t="shared" si="280"/>
        <v>0</v>
      </c>
      <c r="I394" s="338">
        <f t="shared" si="306"/>
        <v>22000000</v>
      </c>
      <c r="J394" s="329">
        <f t="shared" si="281"/>
        <v>0</v>
      </c>
      <c r="K394" s="338">
        <f t="shared" si="288"/>
        <v>0</v>
      </c>
      <c r="L394" s="329">
        <f t="shared" si="282"/>
        <v>0</v>
      </c>
      <c r="M394" s="338">
        <f t="shared" si="289"/>
        <v>0</v>
      </c>
      <c r="N394" s="329">
        <f t="shared" si="283"/>
        <v>0</v>
      </c>
      <c r="O394" s="338">
        <f t="shared" si="290"/>
        <v>0</v>
      </c>
      <c r="P394" s="329">
        <f t="shared" si="284"/>
        <v>0</v>
      </c>
      <c r="Q394" s="338">
        <f t="shared" si="291"/>
        <v>0</v>
      </c>
      <c r="R394" s="329">
        <f t="shared" si="285"/>
        <v>0</v>
      </c>
      <c r="S394" s="338">
        <f t="shared" si="292"/>
        <v>0</v>
      </c>
      <c r="T394" s="329">
        <f t="shared" si="286"/>
        <v>0</v>
      </c>
      <c r="U394" s="338">
        <f t="shared" si="293"/>
        <v>0</v>
      </c>
      <c r="V394" s="329">
        <f t="shared" si="287"/>
        <v>0</v>
      </c>
      <c r="W394" s="338">
        <f t="shared" si="294"/>
        <v>0</v>
      </c>
      <c r="X394" s="35"/>
    </row>
    <row r="395" spans="1:26" x14ac:dyDescent="0.25">
      <c r="A395" s="335">
        <f>A394+1</f>
        <v>43999</v>
      </c>
      <c r="B395" s="49">
        <f t="shared" si="295"/>
        <v>0</v>
      </c>
      <c r="C395" s="338">
        <f t="shared" si="303"/>
        <v>44000000</v>
      </c>
      <c r="D395" s="329">
        <f t="shared" si="296"/>
        <v>0</v>
      </c>
      <c r="E395" s="338">
        <f t="shared" si="304"/>
        <v>32841822.33636301</v>
      </c>
      <c r="F395" s="329">
        <f t="shared" si="302"/>
        <v>0</v>
      </c>
      <c r="G395" s="338">
        <f t="shared" si="305"/>
        <v>25000000</v>
      </c>
      <c r="H395" s="329">
        <f t="shared" si="280"/>
        <v>0</v>
      </c>
      <c r="I395" s="338">
        <f t="shared" si="306"/>
        <v>22000000</v>
      </c>
      <c r="J395" s="329">
        <f t="shared" si="281"/>
        <v>0</v>
      </c>
      <c r="K395" s="338">
        <f t="shared" si="288"/>
        <v>0</v>
      </c>
      <c r="L395" s="329">
        <f t="shared" si="282"/>
        <v>0</v>
      </c>
      <c r="M395" s="338">
        <f t="shared" si="289"/>
        <v>0</v>
      </c>
      <c r="N395" s="329">
        <f t="shared" si="283"/>
        <v>0</v>
      </c>
      <c r="O395" s="338">
        <f t="shared" si="290"/>
        <v>0</v>
      </c>
      <c r="P395" s="329">
        <f t="shared" si="284"/>
        <v>0</v>
      </c>
      <c r="Q395" s="338">
        <f t="shared" si="291"/>
        <v>0</v>
      </c>
      <c r="R395" s="329">
        <f t="shared" si="285"/>
        <v>0</v>
      </c>
      <c r="S395" s="338">
        <f t="shared" si="292"/>
        <v>0</v>
      </c>
      <c r="T395" s="329">
        <f t="shared" si="286"/>
        <v>0</v>
      </c>
      <c r="U395" s="338">
        <f t="shared" si="293"/>
        <v>0</v>
      </c>
      <c r="V395" s="329">
        <f t="shared" si="287"/>
        <v>0</v>
      </c>
      <c r="W395" s="338">
        <f t="shared" si="294"/>
        <v>0</v>
      </c>
      <c r="X395" s="35"/>
    </row>
    <row r="396" spans="1:26" x14ac:dyDescent="0.25">
      <c r="A396" s="335">
        <f>A395+1</f>
        <v>44000</v>
      </c>
      <c r="B396" s="49">
        <f t="shared" si="295"/>
        <v>0</v>
      </c>
      <c r="C396" s="338">
        <f t="shared" si="303"/>
        <v>44000000</v>
      </c>
      <c r="D396" s="329">
        <f t="shared" si="296"/>
        <v>0</v>
      </c>
      <c r="E396" s="338">
        <f t="shared" si="304"/>
        <v>32841822.33636301</v>
      </c>
      <c r="F396" s="329">
        <f t="shared" si="302"/>
        <v>0</v>
      </c>
      <c r="G396" s="338">
        <f t="shared" si="305"/>
        <v>25000000</v>
      </c>
      <c r="H396" s="329">
        <f t="shared" si="280"/>
        <v>0</v>
      </c>
      <c r="I396" s="338">
        <f t="shared" si="306"/>
        <v>22000000</v>
      </c>
      <c r="J396" s="329">
        <f t="shared" si="281"/>
        <v>0</v>
      </c>
      <c r="K396" s="338">
        <f t="shared" si="288"/>
        <v>0</v>
      </c>
      <c r="L396" s="329">
        <f t="shared" si="282"/>
        <v>0</v>
      </c>
      <c r="M396" s="338">
        <f t="shared" si="289"/>
        <v>0</v>
      </c>
      <c r="N396" s="329">
        <f t="shared" si="283"/>
        <v>0</v>
      </c>
      <c r="O396" s="338">
        <f t="shared" si="290"/>
        <v>0</v>
      </c>
      <c r="P396" s="329">
        <f t="shared" si="284"/>
        <v>0</v>
      </c>
      <c r="Q396" s="338">
        <f t="shared" si="291"/>
        <v>0</v>
      </c>
      <c r="R396" s="329">
        <f t="shared" si="285"/>
        <v>0</v>
      </c>
      <c r="S396" s="338">
        <f t="shared" si="292"/>
        <v>0</v>
      </c>
      <c r="T396" s="329">
        <f t="shared" si="286"/>
        <v>0</v>
      </c>
      <c r="U396" s="338">
        <f t="shared" si="293"/>
        <v>0</v>
      </c>
      <c r="V396" s="329">
        <f t="shared" si="287"/>
        <v>0</v>
      </c>
      <c r="W396" s="338">
        <f t="shared" si="294"/>
        <v>0</v>
      </c>
      <c r="X396" s="35"/>
    </row>
    <row r="397" spans="1:26" x14ac:dyDescent="0.25">
      <c r="A397" s="335">
        <f>A396+1</f>
        <v>44001</v>
      </c>
      <c r="B397" s="49">
        <f t="shared" si="295"/>
        <v>0</v>
      </c>
      <c r="C397" s="338">
        <f t="shared" si="303"/>
        <v>44000000</v>
      </c>
      <c r="D397" s="329">
        <f t="shared" si="296"/>
        <v>0</v>
      </c>
      <c r="E397" s="338">
        <f t="shared" si="304"/>
        <v>32841822.33636301</v>
      </c>
      <c r="F397" s="329">
        <f t="shared" si="302"/>
        <v>0</v>
      </c>
      <c r="G397" s="338">
        <f t="shared" si="305"/>
        <v>25000000</v>
      </c>
      <c r="H397" s="329">
        <f t="shared" si="280"/>
        <v>0</v>
      </c>
      <c r="I397" s="338">
        <f t="shared" si="306"/>
        <v>22000000</v>
      </c>
      <c r="J397" s="329">
        <f t="shared" si="281"/>
        <v>0</v>
      </c>
      <c r="K397" s="338">
        <f t="shared" si="288"/>
        <v>0</v>
      </c>
      <c r="L397" s="329">
        <f t="shared" si="282"/>
        <v>0</v>
      </c>
      <c r="M397" s="338">
        <f t="shared" si="289"/>
        <v>0</v>
      </c>
      <c r="N397" s="329">
        <f t="shared" si="283"/>
        <v>0</v>
      </c>
      <c r="O397" s="338">
        <f t="shared" si="290"/>
        <v>0</v>
      </c>
      <c r="P397" s="329">
        <f t="shared" si="284"/>
        <v>0</v>
      </c>
      <c r="Q397" s="338">
        <f t="shared" si="291"/>
        <v>0</v>
      </c>
      <c r="R397" s="329">
        <f t="shared" si="285"/>
        <v>0</v>
      </c>
      <c r="S397" s="338">
        <f t="shared" si="292"/>
        <v>0</v>
      </c>
      <c r="T397" s="329">
        <f t="shared" si="286"/>
        <v>0</v>
      </c>
      <c r="U397" s="338">
        <f t="shared" si="293"/>
        <v>0</v>
      </c>
      <c r="V397" s="329">
        <f t="shared" si="287"/>
        <v>0</v>
      </c>
      <c r="W397" s="338">
        <f t="shared" si="294"/>
        <v>0</v>
      </c>
      <c r="X397" s="35"/>
    </row>
    <row r="398" spans="1:26" x14ac:dyDescent="0.25">
      <c r="A398" s="336">
        <f>A397+3</f>
        <v>44004</v>
      </c>
      <c r="B398" s="49">
        <f t="shared" si="295"/>
        <v>0</v>
      </c>
      <c r="C398" s="338">
        <f t="shared" si="303"/>
        <v>44000000</v>
      </c>
      <c r="D398" s="329">
        <f t="shared" si="296"/>
        <v>0</v>
      </c>
      <c r="E398" s="338">
        <f t="shared" si="304"/>
        <v>32841822.33636301</v>
      </c>
      <c r="F398" s="329">
        <f t="shared" si="302"/>
        <v>0</v>
      </c>
      <c r="G398" s="338">
        <f t="shared" si="305"/>
        <v>25000000</v>
      </c>
      <c r="H398" s="329">
        <f t="shared" si="280"/>
        <v>0</v>
      </c>
      <c r="I398" s="338">
        <f t="shared" si="306"/>
        <v>22000000</v>
      </c>
      <c r="J398" s="329">
        <f t="shared" si="281"/>
        <v>0</v>
      </c>
      <c r="K398" s="338">
        <f t="shared" si="288"/>
        <v>0</v>
      </c>
      <c r="L398" s="329">
        <f t="shared" si="282"/>
        <v>0</v>
      </c>
      <c r="M398" s="338">
        <f t="shared" si="289"/>
        <v>0</v>
      </c>
      <c r="N398" s="329">
        <f t="shared" si="283"/>
        <v>0</v>
      </c>
      <c r="O398" s="338">
        <f t="shared" si="290"/>
        <v>0</v>
      </c>
      <c r="P398" s="329">
        <f t="shared" si="284"/>
        <v>0</v>
      </c>
      <c r="Q398" s="338">
        <f t="shared" si="291"/>
        <v>0</v>
      </c>
      <c r="R398" s="329">
        <f t="shared" si="285"/>
        <v>0</v>
      </c>
      <c r="S398" s="338">
        <f t="shared" si="292"/>
        <v>0</v>
      </c>
      <c r="T398" s="329">
        <f t="shared" si="286"/>
        <v>0</v>
      </c>
      <c r="U398" s="338">
        <f t="shared" si="293"/>
        <v>0</v>
      </c>
      <c r="V398" s="329">
        <f t="shared" si="287"/>
        <v>0</v>
      </c>
      <c r="W398" s="338">
        <f t="shared" si="294"/>
        <v>0</v>
      </c>
      <c r="X398" s="35"/>
    </row>
    <row r="399" spans="1:26" x14ac:dyDescent="0.25">
      <c r="A399" s="335">
        <f>A398+1</f>
        <v>44005</v>
      </c>
      <c r="B399" s="49">
        <f t="shared" si="295"/>
        <v>0</v>
      </c>
      <c r="C399" s="338">
        <f t="shared" si="303"/>
        <v>44000000</v>
      </c>
      <c r="D399" s="329">
        <f t="shared" si="296"/>
        <v>0</v>
      </c>
      <c r="E399" s="338">
        <f t="shared" si="304"/>
        <v>32841822.33636301</v>
      </c>
      <c r="F399" s="329">
        <f t="shared" si="302"/>
        <v>0</v>
      </c>
      <c r="G399" s="338">
        <f t="shared" si="305"/>
        <v>25000000</v>
      </c>
      <c r="H399" s="329">
        <f t="shared" si="280"/>
        <v>0</v>
      </c>
      <c r="I399" s="338">
        <f t="shared" si="306"/>
        <v>22000000</v>
      </c>
      <c r="J399" s="329">
        <f t="shared" si="281"/>
        <v>0</v>
      </c>
      <c r="K399" s="338">
        <f t="shared" si="288"/>
        <v>0</v>
      </c>
      <c r="L399" s="329">
        <f t="shared" si="282"/>
        <v>0</v>
      </c>
      <c r="M399" s="338">
        <f t="shared" si="289"/>
        <v>0</v>
      </c>
      <c r="N399" s="329">
        <f t="shared" si="283"/>
        <v>0</v>
      </c>
      <c r="O399" s="338">
        <f t="shared" si="290"/>
        <v>0</v>
      </c>
      <c r="P399" s="329">
        <f t="shared" si="284"/>
        <v>0</v>
      </c>
      <c r="Q399" s="338">
        <f t="shared" si="291"/>
        <v>0</v>
      </c>
      <c r="R399" s="329">
        <f t="shared" si="285"/>
        <v>0</v>
      </c>
      <c r="S399" s="338">
        <f t="shared" si="292"/>
        <v>0</v>
      </c>
      <c r="T399" s="329">
        <f t="shared" si="286"/>
        <v>0</v>
      </c>
      <c r="U399" s="338">
        <f t="shared" si="293"/>
        <v>0</v>
      </c>
      <c r="V399" s="329">
        <f t="shared" si="287"/>
        <v>0</v>
      </c>
      <c r="W399" s="338">
        <f t="shared" si="294"/>
        <v>0</v>
      </c>
      <c r="X399" s="35"/>
    </row>
    <row r="400" spans="1:26" x14ac:dyDescent="0.25">
      <c r="A400" s="335">
        <f>A399+1</f>
        <v>44006</v>
      </c>
      <c r="B400" s="49">
        <f t="shared" si="295"/>
        <v>0</v>
      </c>
      <c r="C400" s="338">
        <f t="shared" si="303"/>
        <v>44000000</v>
      </c>
      <c r="D400" s="329">
        <f t="shared" si="296"/>
        <v>0</v>
      </c>
      <c r="E400" s="338">
        <f t="shared" si="304"/>
        <v>32841822.33636301</v>
      </c>
      <c r="F400" s="329">
        <f t="shared" si="302"/>
        <v>0</v>
      </c>
      <c r="G400" s="338">
        <f t="shared" si="305"/>
        <v>25000000</v>
      </c>
      <c r="H400" s="329">
        <f t="shared" si="280"/>
        <v>0</v>
      </c>
      <c r="I400" s="338">
        <f t="shared" si="306"/>
        <v>22000000</v>
      </c>
      <c r="J400" s="329">
        <f t="shared" si="281"/>
        <v>0</v>
      </c>
      <c r="K400" s="338">
        <f t="shared" si="288"/>
        <v>0</v>
      </c>
      <c r="L400" s="329">
        <f t="shared" si="282"/>
        <v>0</v>
      </c>
      <c r="M400" s="338">
        <f t="shared" si="289"/>
        <v>0</v>
      </c>
      <c r="N400" s="329">
        <f t="shared" si="283"/>
        <v>0</v>
      </c>
      <c r="O400" s="338">
        <f t="shared" si="290"/>
        <v>0</v>
      </c>
      <c r="P400" s="329">
        <f t="shared" si="284"/>
        <v>0</v>
      </c>
      <c r="Q400" s="338">
        <f t="shared" si="291"/>
        <v>0</v>
      </c>
      <c r="R400" s="329">
        <f t="shared" si="285"/>
        <v>0</v>
      </c>
      <c r="S400" s="338">
        <f t="shared" si="292"/>
        <v>0</v>
      </c>
      <c r="T400" s="329">
        <f t="shared" si="286"/>
        <v>0</v>
      </c>
      <c r="U400" s="338">
        <f t="shared" si="293"/>
        <v>0</v>
      </c>
      <c r="V400" s="329">
        <f t="shared" si="287"/>
        <v>0</v>
      </c>
      <c r="W400" s="338">
        <f t="shared" si="294"/>
        <v>0</v>
      </c>
      <c r="X400" s="35"/>
    </row>
    <row r="401" spans="1:24" x14ac:dyDescent="0.25">
      <c r="A401" s="335">
        <f>A400+1</f>
        <v>44007</v>
      </c>
      <c r="B401" s="49">
        <f t="shared" si="295"/>
        <v>0</v>
      </c>
      <c r="C401" s="338">
        <f t="shared" si="303"/>
        <v>44000000</v>
      </c>
      <c r="D401" s="329">
        <f t="shared" si="296"/>
        <v>0</v>
      </c>
      <c r="E401" s="338">
        <f t="shared" si="304"/>
        <v>32841822.33636301</v>
      </c>
      <c r="F401" s="329">
        <f t="shared" si="302"/>
        <v>0</v>
      </c>
      <c r="G401" s="338">
        <f t="shared" si="305"/>
        <v>25000000</v>
      </c>
      <c r="H401" s="329">
        <f t="shared" si="280"/>
        <v>0</v>
      </c>
      <c r="I401" s="338">
        <f t="shared" si="306"/>
        <v>22000000</v>
      </c>
      <c r="J401" s="329">
        <f t="shared" si="281"/>
        <v>0</v>
      </c>
      <c r="K401" s="338">
        <f t="shared" si="288"/>
        <v>0</v>
      </c>
      <c r="L401" s="329">
        <f t="shared" si="282"/>
        <v>0</v>
      </c>
      <c r="M401" s="338">
        <f t="shared" si="289"/>
        <v>0</v>
      </c>
      <c r="N401" s="329">
        <f t="shared" si="283"/>
        <v>0</v>
      </c>
      <c r="O401" s="338">
        <f t="shared" si="290"/>
        <v>0</v>
      </c>
      <c r="P401" s="329">
        <f t="shared" si="284"/>
        <v>0</v>
      </c>
      <c r="Q401" s="338">
        <f t="shared" si="291"/>
        <v>0</v>
      </c>
      <c r="R401" s="329">
        <f t="shared" si="285"/>
        <v>0</v>
      </c>
      <c r="S401" s="338">
        <f t="shared" si="292"/>
        <v>0</v>
      </c>
      <c r="T401" s="329">
        <f t="shared" si="286"/>
        <v>0</v>
      </c>
      <c r="U401" s="338">
        <f t="shared" si="293"/>
        <v>0</v>
      </c>
      <c r="V401" s="329">
        <f t="shared" si="287"/>
        <v>0</v>
      </c>
      <c r="W401" s="338">
        <f t="shared" si="294"/>
        <v>0</v>
      </c>
      <c r="X401" s="35"/>
    </row>
    <row r="402" spans="1:24" x14ac:dyDescent="0.25">
      <c r="A402" s="335">
        <f>A401+1</f>
        <v>44008</v>
      </c>
      <c r="B402" s="49">
        <f t="shared" si="295"/>
        <v>0</v>
      </c>
      <c r="C402" s="338">
        <f t="shared" si="303"/>
        <v>44000000</v>
      </c>
      <c r="D402" s="329">
        <f t="shared" si="296"/>
        <v>0</v>
      </c>
      <c r="E402" s="338">
        <f t="shared" si="304"/>
        <v>32841822.33636301</v>
      </c>
      <c r="F402" s="329">
        <f t="shared" si="302"/>
        <v>0</v>
      </c>
      <c r="G402" s="338">
        <f t="shared" si="305"/>
        <v>25000000</v>
      </c>
      <c r="H402" s="329">
        <f t="shared" si="280"/>
        <v>0</v>
      </c>
      <c r="I402" s="338">
        <f t="shared" si="306"/>
        <v>22000000</v>
      </c>
      <c r="J402" s="329">
        <f t="shared" si="281"/>
        <v>0</v>
      </c>
      <c r="K402" s="338">
        <f t="shared" si="288"/>
        <v>0</v>
      </c>
      <c r="L402" s="329">
        <f t="shared" si="282"/>
        <v>0</v>
      </c>
      <c r="M402" s="338">
        <f t="shared" si="289"/>
        <v>0</v>
      </c>
      <c r="N402" s="329">
        <f t="shared" si="283"/>
        <v>0</v>
      </c>
      <c r="O402" s="338">
        <f t="shared" si="290"/>
        <v>0</v>
      </c>
      <c r="P402" s="329">
        <f t="shared" si="284"/>
        <v>0</v>
      </c>
      <c r="Q402" s="338">
        <f t="shared" si="291"/>
        <v>0</v>
      </c>
      <c r="R402" s="329">
        <f t="shared" si="285"/>
        <v>0</v>
      </c>
      <c r="S402" s="338">
        <f t="shared" si="292"/>
        <v>0</v>
      </c>
      <c r="T402" s="329">
        <f t="shared" si="286"/>
        <v>0</v>
      </c>
      <c r="U402" s="338">
        <f t="shared" si="293"/>
        <v>0</v>
      </c>
      <c r="V402" s="329">
        <f t="shared" si="287"/>
        <v>0</v>
      </c>
      <c r="W402" s="338">
        <f t="shared" si="294"/>
        <v>0</v>
      </c>
      <c r="X402" s="35"/>
    </row>
    <row r="403" spans="1:24" x14ac:dyDescent="0.25">
      <c r="A403" s="336">
        <f>A402+3</f>
        <v>44011</v>
      </c>
      <c r="B403" s="49">
        <f t="shared" si="295"/>
        <v>0</v>
      </c>
      <c r="C403" s="338">
        <f t="shared" si="303"/>
        <v>44000000</v>
      </c>
      <c r="D403" s="329">
        <f t="shared" si="296"/>
        <v>0</v>
      </c>
      <c r="E403" s="338">
        <f t="shared" si="304"/>
        <v>32841822.33636301</v>
      </c>
      <c r="F403" s="329">
        <f t="shared" si="302"/>
        <v>0</v>
      </c>
      <c r="G403" s="338">
        <f t="shared" si="305"/>
        <v>25000000</v>
      </c>
      <c r="H403" s="329">
        <f t="shared" si="280"/>
        <v>0</v>
      </c>
      <c r="I403" s="338">
        <f t="shared" si="306"/>
        <v>22000000</v>
      </c>
      <c r="J403" s="329">
        <f t="shared" si="281"/>
        <v>0</v>
      </c>
      <c r="K403" s="338">
        <f t="shared" si="288"/>
        <v>0</v>
      </c>
      <c r="L403" s="329">
        <f t="shared" si="282"/>
        <v>0</v>
      </c>
      <c r="M403" s="338">
        <f t="shared" si="289"/>
        <v>0</v>
      </c>
      <c r="N403" s="329">
        <f t="shared" si="283"/>
        <v>0</v>
      </c>
      <c r="O403" s="338">
        <f t="shared" si="290"/>
        <v>0</v>
      </c>
      <c r="P403" s="329">
        <f t="shared" si="284"/>
        <v>0</v>
      </c>
      <c r="Q403" s="338">
        <f t="shared" si="291"/>
        <v>0</v>
      </c>
      <c r="R403" s="329">
        <f t="shared" si="285"/>
        <v>0</v>
      </c>
      <c r="S403" s="338">
        <f t="shared" si="292"/>
        <v>0</v>
      </c>
      <c r="T403" s="329">
        <f t="shared" si="286"/>
        <v>0</v>
      </c>
      <c r="U403" s="338">
        <f t="shared" si="293"/>
        <v>0</v>
      </c>
      <c r="V403" s="329">
        <f t="shared" si="287"/>
        <v>0</v>
      </c>
      <c r="W403" s="338">
        <f t="shared" si="294"/>
        <v>0</v>
      </c>
      <c r="X403" s="35"/>
    </row>
    <row r="404" spans="1:24" x14ac:dyDescent="0.25">
      <c r="A404" s="335">
        <f>A403+1</f>
        <v>44012</v>
      </c>
      <c r="B404" s="49">
        <f t="shared" si="295"/>
        <v>0</v>
      </c>
      <c r="C404" s="338">
        <f t="shared" si="303"/>
        <v>44000000</v>
      </c>
      <c r="D404" s="329">
        <f t="shared" si="296"/>
        <v>0</v>
      </c>
      <c r="E404" s="338">
        <f t="shared" si="304"/>
        <v>32841822.33636301</v>
      </c>
      <c r="F404" s="329">
        <f t="shared" si="302"/>
        <v>0</v>
      </c>
      <c r="G404" s="338">
        <f t="shared" si="305"/>
        <v>25000000</v>
      </c>
      <c r="H404" s="329">
        <f t="shared" si="280"/>
        <v>0</v>
      </c>
      <c r="I404" s="338">
        <f t="shared" si="306"/>
        <v>22000000</v>
      </c>
      <c r="J404" s="329">
        <f t="shared" si="281"/>
        <v>0</v>
      </c>
      <c r="K404" s="338">
        <f t="shared" si="288"/>
        <v>0</v>
      </c>
      <c r="L404" s="329">
        <f t="shared" si="282"/>
        <v>0</v>
      </c>
      <c r="M404" s="338">
        <f t="shared" si="289"/>
        <v>0</v>
      </c>
      <c r="N404" s="329">
        <f t="shared" si="283"/>
        <v>0</v>
      </c>
      <c r="O404" s="338">
        <f t="shared" si="290"/>
        <v>0</v>
      </c>
      <c r="P404" s="329">
        <f t="shared" si="284"/>
        <v>0</v>
      </c>
      <c r="Q404" s="338">
        <f t="shared" si="291"/>
        <v>0</v>
      </c>
      <c r="R404" s="329">
        <f t="shared" si="285"/>
        <v>0</v>
      </c>
      <c r="S404" s="338">
        <f t="shared" si="292"/>
        <v>0</v>
      </c>
      <c r="T404" s="329">
        <f t="shared" si="286"/>
        <v>0</v>
      </c>
      <c r="U404" s="338">
        <f t="shared" si="293"/>
        <v>0</v>
      </c>
      <c r="V404" s="329">
        <f t="shared" si="287"/>
        <v>0</v>
      </c>
      <c r="W404" s="338">
        <f t="shared" si="294"/>
        <v>0</v>
      </c>
      <c r="X404" s="35"/>
    </row>
    <row r="405" spans="1:24" x14ac:dyDescent="0.25">
      <c r="A405" s="335">
        <f>A404+1</f>
        <v>44013</v>
      </c>
      <c r="B405" s="49">
        <f t="shared" si="295"/>
        <v>0</v>
      </c>
      <c r="C405" s="338">
        <f t="shared" si="303"/>
        <v>44000000</v>
      </c>
      <c r="D405" s="329">
        <f t="shared" si="296"/>
        <v>0</v>
      </c>
      <c r="E405" s="338">
        <f t="shared" si="304"/>
        <v>32841822.33636301</v>
      </c>
      <c r="F405" s="329">
        <f t="shared" si="302"/>
        <v>0</v>
      </c>
      <c r="G405" s="338">
        <f t="shared" si="305"/>
        <v>25000000</v>
      </c>
      <c r="H405" s="329">
        <f t="shared" si="280"/>
        <v>0</v>
      </c>
      <c r="I405" s="338">
        <f t="shared" si="306"/>
        <v>22000000</v>
      </c>
      <c r="J405" s="329">
        <f t="shared" si="281"/>
        <v>0</v>
      </c>
      <c r="K405" s="338">
        <f t="shared" si="288"/>
        <v>0</v>
      </c>
      <c r="L405" s="329">
        <f t="shared" si="282"/>
        <v>0</v>
      </c>
      <c r="M405" s="338">
        <f t="shared" si="289"/>
        <v>0</v>
      </c>
      <c r="N405" s="329">
        <f t="shared" si="283"/>
        <v>0</v>
      </c>
      <c r="O405" s="338">
        <f t="shared" si="290"/>
        <v>0</v>
      </c>
      <c r="P405" s="329">
        <f t="shared" si="284"/>
        <v>0</v>
      </c>
      <c r="Q405" s="338">
        <f t="shared" si="291"/>
        <v>0</v>
      </c>
      <c r="R405" s="329">
        <f t="shared" si="285"/>
        <v>0</v>
      </c>
      <c r="S405" s="338">
        <f t="shared" si="292"/>
        <v>0</v>
      </c>
      <c r="T405" s="329">
        <f t="shared" si="286"/>
        <v>0</v>
      </c>
      <c r="U405" s="338">
        <f t="shared" si="293"/>
        <v>0</v>
      </c>
      <c r="V405" s="329">
        <f t="shared" si="287"/>
        <v>0</v>
      </c>
      <c r="W405" s="338">
        <f t="shared" si="294"/>
        <v>0</v>
      </c>
      <c r="X405" s="35"/>
    </row>
    <row r="406" spans="1:24" x14ac:dyDescent="0.25">
      <c r="A406" s="335">
        <f>A405+1</f>
        <v>44014</v>
      </c>
      <c r="B406" s="49">
        <f t="shared" si="295"/>
        <v>0</v>
      </c>
      <c r="C406" s="338">
        <f t="shared" si="303"/>
        <v>44000000</v>
      </c>
      <c r="D406" s="329">
        <f t="shared" si="296"/>
        <v>0</v>
      </c>
      <c r="E406" s="338">
        <f t="shared" si="304"/>
        <v>32841822.33636301</v>
      </c>
      <c r="F406" s="329">
        <f t="shared" si="302"/>
        <v>0</v>
      </c>
      <c r="G406" s="338">
        <f t="shared" si="305"/>
        <v>25000000</v>
      </c>
      <c r="H406" s="329">
        <f t="shared" si="280"/>
        <v>0</v>
      </c>
      <c r="I406" s="338">
        <f t="shared" si="306"/>
        <v>22000000</v>
      </c>
      <c r="J406" s="329">
        <f t="shared" si="281"/>
        <v>0</v>
      </c>
      <c r="K406" s="338">
        <f t="shared" si="288"/>
        <v>0</v>
      </c>
      <c r="L406" s="329">
        <f t="shared" si="282"/>
        <v>0</v>
      </c>
      <c r="M406" s="338">
        <f t="shared" si="289"/>
        <v>0</v>
      </c>
      <c r="N406" s="329">
        <f t="shared" si="283"/>
        <v>0</v>
      </c>
      <c r="O406" s="338">
        <f t="shared" si="290"/>
        <v>0</v>
      </c>
      <c r="P406" s="329">
        <f t="shared" si="284"/>
        <v>0</v>
      </c>
      <c r="Q406" s="338">
        <f t="shared" si="291"/>
        <v>0</v>
      </c>
      <c r="R406" s="329">
        <f t="shared" si="285"/>
        <v>0</v>
      </c>
      <c r="S406" s="338">
        <f t="shared" si="292"/>
        <v>0</v>
      </c>
      <c r="T406" s="329">
        <f t="shared" si="286"/>
        <v>0</v>
      </c>
      <c r="U406" s="338">
        <f t="shared" si="293"/>
        <v>0</v>
      </c>
      <c r="V406" s="329">
        <f t="shared" si="287"/>
        <v>0</v>
      </c>
      <c r="W406" s="338">
        <f t="shared" si="294"/>
        <v>0</v>
      </c>
      <c r="X406" s="35"/>
    </row>
    <row r="407" spans="1:24" x14ac:dyDescent="0.25">
      <c r="A407" s="336">
        <f>A406+4</f>
        <v>44018</v>
      </c>
      <c r="B407" s="49">
        <f t="shared" si="295"/>
        <v>0</v>
      </c>
      <c r="C407" s="338">
        <f t="shared" si="303"/>
        <v>44000000</v>
      </c>
      <c r="D407" s="329">
        <f t="shared" si="296"/>
        <v>0</v>
      </c>
      <c r="E407" s="338">
        <f t="shared" si="304"/>
        <v>32841822.33636301</v>
      </c>
      <c r="F407" s="329">
        <f t="shared" si="302"/>
        <v>0</v>
      </c>
      <c r="G407" s="338">
        <f t="shared" si="305"/>
        <v>25000000</v>
      </c>
      <c r="H407" s="329">
        <f t="shared" si="280"/>
        <v>0</v>
      </c>
      <c r="I407" s="338">
        <f t="shared" si="306"/>
        <v>22000000</v>
      </c>
      <c r="J407" s="329">
        <f t="shared" si="281"/>
        <v>0</v>
      </c>
      <c r="K407" s="338">
        <f t="shared" si="288"/>
        <v>0</v>
      </c>
      <c r="L407" s="329">
        <f t="shared" si="282"/>
        <v>0</v>
      </c>
      <c r="M407" s="338">
        <f t="shared" si="289"/>
        <v>0</v>
      </c>
      <c r="N407" s="329">
        <f t="shared" si="283"/>
        <v>0</v>
      </c>
      <c r="O407" s="338">
        <f t="shared" si="290"/>
        <v>0</v>
      </c>
      <c r="P407" s="329">
        <f t="shared" si="284"/>
        <v>0</v>
      </c>
      <c r="Q407" s="338">
        <f t="shared" si="291"/>
        <v>0</v>
      </c>
      <c r="R407" s="329">
        <f t="shared" si="285"/>
        <v>0</v>
      </c>
      <c r="S407" s="338">
        <f t="shared" si="292"/>
        <v>0</v>
      </c>
      <c r="T407" s="329">
        <f t="shared" si="286"/>
        <v>0</v>
      </c>
      <c r="U407" s="338">
        <f t="shared" si="293"/>
        <v>0</v>
      </c>
      <c r="V407" s="329">
        <f t="shared" si="287"/>
        <v>0</v>
      </c>
      <c r="W407" s="338">
        <f t="shared" si="294"/>
        <v>0</v>
      </c>
      <c r="X407" s="35"/>
    </row>
    <row r="408" spans="1:24" x14ac:dyDescent="0.25">
      <c r="A408" s="335">
        <f>A407+1</f>
        <v>44019</v>
      </c>
      <c r="B408" s="49">
        <f t="shared" si="295"/>
        <v>0</v>
      </c>
      <c r="C408" s="338">
        <f t="shared" si="303"/>
        <v>44000000</v>
      </c>
      <c r="D408" s="329">
        <f t="shared" si="296"/>
        <v>0</v>
      </c>
      <c r="E408" s="338">
        <f t="shared" si="304"/>
        <v>32841822.33636301</v>
      </c>
      <c r="F408" s="329">
        <f t="shared" si="302"/>
        <v>0</v>
      </c>
      <c r="G408" s="338">
        <f t="shared" si="305"/>
        <v>25000000</v>
      </c>
      <c r="H408" s="329">
        <f t="shared" si="280"/>
        <v>0</v>
      </c>
      <c r="I408" s="338">
        <f t="shared" si="306"/>
        <v>22000000</v>
      </c>
      <c r="J408" s="329">
        <f t="shared" si="281"/>
        <v>0</v>
      </c>
      <c r="K408" s="338">
        <f t="shared" si="288"/>
        <v>0</v>
      </c>
      <c r="L408" s="329">
        <f t="shared" si="282"/>
        <v>0</v>
      </c>
      <c r="M408" s="338">
        <f t="shared" si="289"/>
        <v>0</v>
      </c>
      <c r="N408" s="329">
        <f t="shared" si="283"/>
        <v>0</v>
      </c>
      <c r="O408" s="338">
        <f t="shared" si="290"/>
        <v>0</v>
      </c>
      <c r="P408" s="329">
        <f t="shared" si="284"/>
        <v>0</v>
      </c>
      <c r="Q408" s="338">
        <f t="shared" si="291"/>
        <v>0</v>
      </c>
      <c r="R408" s="329">
        <f t="shared" si="285"/>
        <v>0</v>
      </c>
      <c r="S408" s="338">
        <f t="shared" si="292"/>
        <v>0</v>
      </c>
      <c r="T408" s="329">
        <f t="shared" si="286"/>
        <v>0</v>
      </c>
      <c r="U408" s="338">
        <f t="shared" si="293"/>
        <v>0</v>
      </c>
      <c r="V408" s="329">
        <f t="shared" si="287"/>
        <v>0</v>
      </c>
      <c r="W408" s="338">
        <f t="shared" si="294"/>
        <v>0</v>
      </c>
      <c r="X408" s="35"/>
    </row>
    <row r="409" spans="1:24" x14ac:dyDescent="0.25">
      <c r="A409" s="335">
        <f>A408+1</f>
        <v>44020</v>
      </c>
      <c r="B409" s="49">
        <f t="shared" si="295"/>
        <v>0</v>
      </c>
      <c r="C409" s="338">
        <f t="shared" si="303"/>
        <v>44000000</v>
      </c>
      <c r="D409" s="329">
        <f t="shared" si="296"/>
        <v>0</v>
      </c>
      <c r="E409" s="338">
        <f t="shared" si="304"/>
        <v>32841822.33636301</v>
      </c>
      <c r="F409" s="329">
        <f t="shared" si="302"/>
        <v>0</v>
      </c>
      <c r="G409" s="338">
        <f t="shared" si="305"/>
        <v>25000000</v>
      </c>
      <c r="H409" s="329">
        <f t="shared" si="280"/>
        <v>0</v>
      </c>
      <c r="I409" s="338">
        <f t="shared" si="306"/>
        <v>22000000</v>
      </c>
      <c r="J409" s="329">
        <f t="shared" si="281"/>
        <v>0</v>
      </c>
      <c r="K409" s="338">
        <f t="shared" si="288"/>
        <v>0</v>
      </c>
      <c r="L409" s="329">
        <f t="shared" si="282"/>
        <v>0</v>
      </c>
      <c r="M409" s="338">
        <f t="shared" si="289"/>
        <v>0</v>
      </c>
      <c r="N409" s="329">
        <f t="shared" si="283"/>
        <v>0</v>
      </c>
      <c r="O409" s="338">
        <f t="shared" si="290"/>
        <v>0</v>
      </c>
      <c r="P409" s="329">
        <f t="shared" si="284"/>
        <v>0</v>
      </c>
      <c r="Q409" s="338">
        <f t="shared" si="291"/>
        <v>0</v>
      </c>
      <c r="R409" s="329">
        <f t="shared" si="285"/>
        <v>0</v>
      </c>
      <c r="S409" s="338">
        <f t="shared" si="292"/>
        <v>0</v>
      </c>
      <c r="T409" s="329">
        <f t="shared" si="286"/>
        <v>0</v>
      </c>
      <c r="U409" s="338">
        <f t="shared" si="293"/>
        <v>0</v>
      </c>
      <c r="V409" s="329">
        <f t="shared" si="287"/>
        <v>0</v>
      </c>
      <c r="W409" s="338">
        <f t="shared" si="294"/>
        <v>0</v>
      </c>
      <c r="X409" s="35"/>
    </row>
    <row r="410" spans="1:24" x14ac:dyDescent="0.25">
      <c r="A410" s="335">
        <f>A409+1</f>
        <v>44021</v>
      </c>
      <c r="B410" s="49">
        <f t="shared" si="295"/>
        <v>0</v>
      </c>
      <c r="C410" s="338">
        <f t="shared" ref="C410:C472" si="307">B410+C409</f>
        <v>44000000</v>
      </c>
      <c r="D410" s="329">
        <f t="shared" si="296"/>
        <v>0</v>
      </c>
      <c r="E410" s="338">
        <f t="shared" ref="E410:E472" si="308">D410+E409</f>
        <v>32841822.33636301</v>
      </c>
      <c r="F410" s="329">
        <f t="shared" si="302"/>
        <v>0</v>
      </c>
      <c r="G410" s="338">
        <f t="shared" ref="G410:G472" si="309">F410+G409</f>
        <v>25000000</v>
      </c>
      <c r="H410" s="329">
        <f t="shared" si="280"/>
        <v>0</v>
      </c>
      <c r="I410" s="338">
        <f t="shared" ref="I410:I472" si="310">H410+I409</f>
        <v>22000000</v>
      </c>
      <c r="J410" s="329">
        <f t="shared" si="281"/>
        <v>0</v>
      </c>
      <c r="K410" s="338">
        <f t="shared" si="288"/>
        <v>0</v>
      </c>
      <c r="L410" s="329">
        <f t="shared" si="282"/>
        <v>0</v>
      </c>
      <c r="M410" s="338">
        <f t="shared" si="289"/>
        <v>0</v>
      </c>
      <c r="N410" s="329">
        <f t="shared" si="283"/>
        <v>0</v>
      </c>
      <c r="O410" s="338">
        <f t="shared" si="290"/>
        <v>0</v>
      </c>
      <c r="P410" s="329">
        <f t="shared" si="284"/>
        <v>0</v>
      </c>
      <c r="Q410" s="338">
        <f t="shared" si="291"/>
        <v>0</v>
      </c>
      <c r="R410" s="329">
        <f t="shared" si="285"/>
        <v>0</v>
      </c>
      <c r="S410" s="338">
        <f t="shared" si="292"/>
        <v>0</v>
      </c>
      <c r="T410" s="329">
        <f t="shared" si="286"/>
        <v>0</v>
      </c>
      <c r="U410" s="338">
        <f t="shared" si="293"/>
        <v>0</v>
      </c>
      <c r="V410" s="329">
        <f t="shared" si="287"/>
        <v>0</v>
      </c>
      <c r="W410" s="338">
        <f t="shared" si="294"/>
        <v>0</v>
      </c>
      <c r="X410" s="35"/>
    </row>
    <row r="411" spans="1:24" x14ac:dyDescent="0.25">
      <c r="A411" s="335">
        <f>A410+1</f>
        <v>44022</v>
      </c>
      <c r="B411" s="49">
        <f t="shared" si="295"/>
        <v>0</v>
      </c>
      <c r="C411" s="338">
        <f t="shared" si="307"/>
        <v>44000000</v>
      </c>
      <c r="D411" s="329">
        <f t="shared" si="296"/>
        <v>0</v>
      </c>
      <c r="E411" s="338">
        <f t="shared" si="308"/>
        <v>32841822.33636301</v>
      </c>
      <c r="F411" s="329">
        <f t="shared" si="302"/>
        <v>0</v>
      </c>
      <c r="G411" s="338">
        <f t="shared" si="309"/>
        <v>25000000</v>
      </c>
      <c r="H411" s="329">
        <f t="shared" si="280"/>
        <v>0</v>
      </c>
      <c r="I411" s="338">
        <f t="shared" si="310"/>
        <v>22000000</v>
      </c>
      <c r="J411" s="329">
        <f t="shared" si="281"/>
        <v>0</v>
      </c>
      <c r="K411" s="338">
        <f t="shared" si="288"/>
        <v>0</v>
      </c>
      <c r="L411" s="329">
        <f t="shared" si="282"/>
        <v>0</v>
      </c>
      <c r="M411" s="338">
        <f t="shared" si="289"/>
        <v>0</v>
      </c>
      <c r="N411" s="329">
        <f t="shared" si="283"/>
        <v>0</v>
      </c>
      <c r="O411" s="338">
        <f t="shared" si="290"/>
        <v>0</v>
      </c>
      <c r="P411" s="329">
        <f t="shared" si="284"/>
        <v>0</v>
      </c>
      <c r="Q411" s="338">
        <f t="shared" si="291"/>
        <v>0</v>
      </c>
      <c r="R411" s="329">
        <f t="shared" si="285"/>
        <v>0</v>
      </c>
      <c r="S411" s="338">
        <f t="shared" si="292"/>
        <v>0</v>
      </c>
      <c r="T411" s="329">
        <f t="shared" si="286"/>
        <v>0</v>
      </c>
      <c r="U411" s="338">
        <f t="shared" si="293"/>
        <v>0</v>
      </c>
      <c r="V411" s="329">
        <f t="shared" si="287"/>
        <v>0</v>
      </c>
      <c r="W411" s="338">
        <f t="shared" si="294"/>
        <v>0</v>
      </c>
      <c r="X411" s="35"/>
    </row>
    <row r="412" spans="1:24" x14ac:dyDescent="0.25">
      <c r="A412" s="336">
        <f>A411+3</f>
        <v>44025</v>
      </c>
      <c r="B412" s="49">
        <f t="shared" si="295"/>
        <v>0</v>
      </c>
      <c r="C412" s="338">
        <f t="shared" si="307"/>
        <v>44000000</v>
      </c>
      <c r="D412" s="329">
        <f t="shared" si="296"/>
        <v>0</v>
      </c>
      <c r="E412" s="338">
        <f t="shared" si="308"/>
        <v>32841822.33636301</v>
      </c>
      <c r="F412" s="329">
        <f t="shared" si="302"/>
        <v>0</v>
      </c>
      <c r="G412" s="338">
        <f t="shared" si="309"/>
        <v>25000000</v>
      </c>
      <c r="H412" s="329">
        <f t="shared" si="280"/>
        <v>0</v>
      </c>
      <c r="I412" s="338">
        <f t="shared" si="310"/>
        <v>22000000</v>
      </c>
      <c r="J412" s="329">
        <f t="shared" si="281"/>
        <v>0</v>
      </c>
      <c r="K412" s="338">
        <f t="shared" si="288"/>
        <v>0</v>
      </c>
      <c r="L412" s="329">
        <f t="shared" si="282"/>
        <v>0</v>
      </c>
      <c r="M412" s="338">
        <f t="shared" si="289"/>
        <v>0</v>
      </c>
      <c r="N412" s="329">
        <f t="shared" si="283"/>
        <v>0</v>
      </c>
      <c r="O412" s="338">
        <f t="shared" si="290"/>
        <v>0</v>
      </c>
      <c r="P412" s="329">
        <f t="shared" si="284"/>
        <v>0</v>
      </c>
      <c r="Q412" s="338">
        <f t="shared" si="291"/>
        <v>0</v>
      </c>
      <c r="R412" s="329">
        <f t="shared" si="285"/>
        <v>0</v>
      </c>
      <c r="S412" s="338">
        <f t="shared" si="292"/>
        <v>0</v>
      </c>
      <c r="T412" s="329">
        <f t="shared" si="286"/>
        <v>0</v>
      </c>
      <c r="U412" s="338">
        <f t="shared" si="293"/>
        <v>0</v>
      </c>
      <c r="V412" s="329">
        <f t="shared" si="287"/>
        <v>0</v>
      </c>
      <c r="W412" s="338">
        <f t="shared" si="294"/>
        <v>0</v>
      </c>
      <c r="X412" s="35"/>
    </row>
    <row r="413" spans="1:24" x14ac:dyDescent="0.25">
      <c r="A413" s="335">
        <f>A412+1</f>
        <v>44026</v>
      </c>
      <c r="B413" s="49">
        <f t="shared" si="295"/>
        <v>0</v>
      </c>
      <c r="C413" s="338">
        <f t="shared" si="307"/>
        <v>44000000</v>
      </c>
      <c r="D413" s="329">
        <f t="shared" si="296"/>
        <v>0</v>
      </c>
      <c r="E413" s="338">
        <f t="shared" si="308"/>
        <v>32841822.33636301</v>
      </c>
      <c r="F413" s="329">
        <f t="shared" si="302"/>
        <v>0</v>
      </c>
      <c r="G413" s="338">
        <f t="shared" si="309"/>
        <v>25000000</v>
      </c>
      <c r="H413" s="329">
        <f t="shared" si="280"/>
        <v>0</v>
      </c>
      <c r="I413" s="338">
        <f t="shared" si="310"/>
        <v>22000000</v>
      </c>
      <c r="J413" s="329">
        <f t="shared" si="281"/>
        <v>0</v>
      </c>
      <c r="K413" s="338">
        <f t="shared" si="288"/>
        <v>0</v>
      </c>
      <c r="L413" s="329">
        <f t="shared" si="282"/>
        <v>0</v>
      </c>
      <c r="M413" s="338">
        <f t="shared" si="289"/>
        <v>0</v>
      </c>
      <c r="N413" s="329">
        <f t="shared" si="283"/>
        <v>0</v>
      </c>
      <c r="O413" s="338">
        <f t="shared" si="290"/>
        <v>0</v>
      </c>
      <c r="P413" s="329">
        <f t="shared" si="284"/>
        <v>0</v>
      </c>
      <c r="Q413" s="338">
        <f t="shared" si="291"/>
        <v>0</v>
      </c>
      <c r="R413" s="329">
        <f t="shared" si="285"/>
        <v>0</v>
      </c>
      <c r="S413" s="338">
        <f t="shared" si="292"/>
        <v>0</v>
      </c>
      <c r="T413" s="329">
        <f t="shared" si="286"/>
        <v>0</v>
      </c>
      <c r="U413" s="338">
        <f t="shared" si="293"/>
        <v>0</v>
      </c>
      <c r="V413" s="329">
        <f t="shared" si="287"/>
        <v>0</v>
      </c>
      <c r="W413" s="338">
        <f t="shared" si="294"/>
        <v>0</v>
      </c>
      <c r="X413" s="35"/>
    </row>
    <row r="414" spans="1:24" x14ac:dyDescent="0.25">
      <c r="A414" s="335">
        <f>A413+1</f>
        <v>44027</v>
      </c>
      <c r="B414" s="49">
        <f t="shared" si="295"/>
        <v>0</v>
      </c>
      <c r="C414" s="338">
        <f t="shared" si="307"/>
        <v>44000000</v>
      </c>
      <c r="D414" s="329">
        <f t="shared" si="296"/>
        <v>0</v>
      </c>
      <c r="E414" s="338">
        <f t="shared" si="308"/>
        <v>32841822.33636301</v>
      </c>
      <c r="F414" s="329">
        <f t="shared" si="302"/>
        <v>0</v>
      </c>
      <c r="G414" s="338">
        <f t="shared" si="309"/>
        <v>25000000</v>
      </c>
      <c r="H414" s="329">
        <f t="shared" si="280"/>
        <v>0</v>
      </c>
      <c r="I414" s="338">
        <f t="shared" si="310"/>
        <v>22000000</v>
      </c>
      <c r="J414" s="329">
        <f t="shared" si="281"/>
        <v>0</v>
      </c>
      <c r="K414" s="338">
        <f t="shared" si="288"/>
        <v>0</v>
      </c>
      <c r="L414" s="329">
        <f t="shared" si="282"/>
        <v>0</v>
      </c>
      <c r="M414" s="338">
        <f t="shared" si="289"/>
        <v>0</v>
      </c>
      <c r="N414" s="329">
        <f t="shared" si="283"/>
        <v>0</v>
      </c>
      <c r="O414" s="338">
        <f t="shared" si="290"/>
        <v>0</v>
      </c>
      <c r="P414" s="329">
        <f t="shared" si="284"/>
        <v>0</v>
      </c>
      <c r="Q414" s="338">
        <f t="shared" si="291"/>
        <v>0</v>
      </c>
      <c r="R414" s="329">
        <f t="shared" si="285"/>
        <v>0</v>
      </c>
      <c r="S414" s="338">
        <f t="shared" si="292"/>
        <v>0</v>
      </c>
      <c r="T414" s="329">
        <f t="shared" si="286"/>
        <v>0</v>
      </c>
      <c r="U414" s="338">
        <f t="shared" si="293"/>
        <v>0</v>
      </c>
      <c r="V414" s="329">
        <f t="shared" si="287"/>
        <v>0</v>
      </c>
      <c r="W414" s="338">
        <f t="shared" si="294"/>
        <v>0</v>
      </c>
      <c r="X414" s="35"/>
    </row>
    <row r="415" spans="1:24" x14ac:dyDescent="0.25">
      <c r="A415" s="335">
        <f>A414+1</f>
        <v>44028</v>
      </c>
      <c r="B415" s="49">
        <f t="shared" si="295"/>
        <v>0</v>
      </c>
      <c r="C415" s="338">
        <f t="shared" si="307"/>
        <v>44000000</v>
      </c>
      <c r="D415" s="329">
        <f t="shared" si="296"/>
        <v>0</v>
      </c>
      <c r="E415" s="338">
        <f t="shared" si="308"/>
        <v>32841822.33636301</v>
      </c>
      <c r="F415" s="329">
        <f t="shared" si="302"/>
        <v>0</v>
      </c>
      <c r="G415" s="338">
        <f t="shared" si="309"/>
        <v>25000000</v>
      </c>
      <c r="H415" s="329">
        <f t="shared" si="280"/>
        <v>0</v>
      </c>
      <c r="I415" s="338">
        <f t="shared" si="310"/>
        <v>22000000</v>
      </c>
      <c r="J415" s="329">
        <f t="shared" si="281"/>
        <v>0</v>
      </c>
      <c r="K415" s="338">
        <f t="shared" si="288"/>
        <v>0</v>
      </c>
      <c r="L415" s="329">
        <f t="shared" si="282"/>
        <v>0</v>
      </c>
      <c r="M415" s="338">
        <f t="shared" si="289"/>
        <v>0</v>
      </c>
      <c r="N415" s="329">
        <f t="shared" si="283"/>
        <v>0</v>
      </c>
      <c r="O415" s="338">
        <f t="shared" si="290"/>
        <v>0</v>
      </c>
      <c r="P415" s="329">
        <f t="shared" si="284"/>
        <v>0</v>
      </c>
      <c r="Q415" s="338">
        <f t="shared" si="291"/>
        <v>0</v>
      </c>
      <c r="R415" s="329">
        <f t="shared" si="285"/>
        <v>0</v>
      </c>
      <c r="S415" s="338">
        <f t="shared" si="292"/>
        <v>0</v>
      </c>
      <c r="T415" s="329">
        <f t="shared" si="286"/>
        <v>0</v>
      </c>
      <c r="U415" s="338">
        <f t="shared" si="293"/>
        <v>0</v>
      </c>
      <c r="V415" s="329">
        <f t="shared" si="287"/>
        <v>0</v>
      </c>
      <c r="W415" s="338">
        <f t="shared" si="294"/>
        <v>0</v>
      </c>
      <c r="X415" s="35"/>
    </row>
    <row r="416" spans="1:24" x14ac:dyDescent="0.25">
      <c r="A416" s="335">
        <f>A415+1</f>
        <v>44029</v>
      </c>
      <c r="B416" s="49">
        <f t="shared" si="295"/>
        <v>0</v>
      </c>
      <c r="C416" s="338">
        <f t="shared" si="307"/>
        <v>44000000</v>
      </c>
      <c r="D416" s="329">
        <f t="shared" si="296"/>
        <v>0</v>
      </c>
      <c r="E416" s="338">
        <f t="shared" si="308"/>
        <v>32841822.33636301</v>
      </c>
      <c r="F416" s="329">
        <f t="shared" si="302"/>
        <v>0</v>
      </c>
      <c r="G416" s="338">
        <f t="shared" si="309"/>
        <v>25000000</v>
      </c>
      <c r="H416" s="329">
        <f t="shared" si="280"/>
        <v>0</v>
      </c>
      <c r="I416" s="338">
        <f t="shared" si="310"/>
        <v>22000000</v>
      </c>
      <c r="J416" s="329">
        <f t="shared" si="281"/>
        <v>0</v>
      </c>
      <c r="K416" s="338">
        <f t="shared" si="288"/>
        <v>0</v>
      </c>
      <c r="L416" s="329">
        <f t="shared" si="282"/>
        <v>0</v>
      </c>
      <c r="M416" s="338">
        <f t="shared" si="289"/>
        <v>0</v>
      </c>
      <c r="N416" s="329">
        <f t="shared" si="283"/>
        <v>0</v>
      </c>
      <c r="O416" s="338">
        <f t="shared" si="290"/>
        <v>0</v>
      </c>
      <c r="P416" s="329">
        <f t="shared" si="284"/>
        <v>0</v>
      </c>
      <c r="Q416" s="338">
        <f t="shared" si="291"/>
        <v>0</v>
      </c>
      <c r="R416" s="329">
        <f t="shared" si="285"/>
        <v>0</v>
      </c>
      <c r="S416" s="338">
        <f t="shared" si="292"/>
        <v>0</v>
      </c>
      <c r="T416" s="329">
        <f t="shared" si="286"/>
        <v>0</v>
      </c>
      <c r="U416" s="338">
        <f t="shared" si="293"/>
        <v>0</v>
      </c>
      <c r="V416" s="329">
        <f t="shared" si="287"/>
        <v>0</v>
      </c>
      <c r="W416" s="338">
        <f t="shared" si="294"/>
        <v>0</v>
      </c>
      <c r="X416" s="35"/>
    </row>
    <row r="417" spans="1:24" x14ac:dyDescent="0.25">
      <c r="A417" s="336">
        <f>A416+3</f>
        <v>44032</v>
      </c>
      <c r="B417" s="49">
        <f t="shared" si="295"/>
        <v>0</v>
      </c>
      <c r="C417" s="338">
        <f t="shared" si="307"/>
        <v>44000000</v>
      </c>
      <c r="D417" s="329">
        <f t="shared" si="296"/>
        <v>0</v>
      </c>
      <c r="E417" s="338">
        <f t="shared" si="308"/>
        <v>32841822.33636301</v>
      </c>
      <c r="F417" s="329">
        <f t="shared" si="302"/>
        <v>0</v>
      </c>
      <c r="G417" s="338">
        <f t="shared" si="309"/>
        <v>25000000</v>
      </c>
      <c r="H417" s="329">
        <f t="shared" si="280"/>
        <v>0</v>
      </c>
      <c r="I417" s="338">
        <f t="shared" si="310"/>
        <v>22000000</v>
      </c>
      <c r="J417" s="329">
        <f t="shared" si="281"/>
        <v>0</v>
      </c>
      <c r="K417" s="338">
        <f t="shared" si="288"/>
        <v>0</v>
      </c>
      <c r="L417" s="329">
        <f t="shared" si="282"/>
        <v>0</v>
      </c>
      <c r="M417" s="338">
        <f t="shared" si="289"/>
        <v>0</v>
      </c>
      <c r="N417" s="329">
        <f t="shared" si="283"/>
        <v>0</v>
      </c>
      <c r="O417" s="338">
        <f t="shared" si="290"/>
        <v>0</v>
      </c>
      <c r="P417" s="329">
        <f t="shared" si="284"/>
        <v>0</v>
      </c>
      <c r="Q417" s="338">
        <f t="shared" si="291"/>
        <v>0</v>
      </c>
      <c r="R417" s="329">
        <f t="shared" si="285"/>
        <v>0</v>
      </c>
      <c r="S417" s="338">
        <f t="shared" si="292"/>
        <v>0</v>
      </c>
      <c r="T417" s="329">
        <f t="shared" si="286"/>
        <v>0</v>
      </c>
      <c r="U417" s="338">
        <f t="shared" si="293"/>
        <v>0</v>
      </c>
      <c r="V417" s="329">
        <f t="shared" si="287"/>
        <v>0</v>
      </c>
      <c r="W417" s="338">
        <f t="shared" si="294"/>
        <v>0</v>
      </c>
      <c r="X417" s="35"/>
    </row>
    <row r="418" spans="1:24" x14ac:dyDescent="0.25">
      <c r="A418" s="335">
        <f>A417+1</f>
        <v>44033</v>
      </c>
      <c r="B418" s="49">
        <f t="shared" si="295"/>
        <v>0</v>
      </c>
      <c r="C418" s="338">
        <f t="shared" si="307"/>
        <v>44000000</v>
      </c>
      <c r="D418" s="329">
        <f t="shared" si="296"/>
        <v>0</v>
      </c>
      <c r="E418" s="338">
        <f t="shared" si="308"/>
        <v>32841822.33636301</v>
      </c>
      <c r="F418" s="329">
        <f t="shared" si="302"/>
        <v>0</v>
      </c>
      <c r="G418" s="338">
        <f t="shared" si="309"/>
        <v>25000000</v>
      </c>
      <c r="H418" s="329">
        <f t="shared" si="280"/>
        <v>0</v>
      </c>
      <c r="I418" s="338">
        <f t="shared" si="310"/>
        <v>22000000</v>
      </c>
      <c r="J418" s="329">
        <f t="shared" si="281"/>
        <v>0</v>
      </c>
      <c r="K418" s="338">
        <f t="shared" si="288"/>
        <v>0</v>
      </c>
      <c r="L418" s="329">
        <f t="shared" si="282"/>
        <v>0</v>
      </c>
      <c r="M418" s="338">
        <f t="shared" si="289"/>
        <v>0</v>
      </c>
      <c r="N418" s="329">
        <f t="shared" si="283"/>
        <v>0</v>
      </c>
      <c r="O418" s="338">
        <f t="shared" si="290"/>
        <v>0</v>
      </c>
      <c r="P418" s="329">
        <f t="shared" si="284"/>
        <v>0</v>
      </c>
      <c r="Q418" s="338">
        <f t="shared" si="291"/>
        <v>0</v>
      </c>
      <c r="R418" s="329">
        <f t="shared" si="285"/>
        <v>0</v>
      </c>
      <c r="S418" s="338">
        <f t="shared" si="292"/>
        <v>0</v>
      </c>
      <c r="T418" s="329">
        <f t="shared" si="286"/>
        <v>0</v>
      </c>
      <c r="U418" s="338">
        <f t="shared" si="293"/>
        <v>0</v>
      </c>
      <c r="V418" s="329">
        <f t="shared" si="287"/>
        <v>0</v>
      </c>
      <c r="W418" s="338">
        <f t="shared" si="294"/>
        <v>0</v>
      </c>
      <c r="X418" s="35"/>
    </row>
    <row r="419" spans="1:24" x14ac:dyDescent="0.25">
      <c r="A419" s="335">
        <f>A418+1</f>
        <v>44034</v>
      </c>
      <c r="B419" s="49">
        <f t="shared" si="295"/>
        <v>0</v>
      </c>
      <c r="C419" s="338">
        <f t="shared" si="307"/>
        <v>44000000</v>
      </c>
      <c r="D419" s="329">
        <f t="shared" si="296"/>
        <v>0</v>
      </c>
      <c r="E419" s="338">
        <f t="shared" si="308"/>
        <v>32841822.33636301</v>
      </c>
      <c r="F419" s="329">
        <f t="shared" si="302"/>
        <v>0</v>
      </c>
      <c r="G419" s="338">
        <f t="shared" si="309"/>
        <v>25000000</v>
      </c>
      <c r="H419" s="329">
        <f t="shared" si="280"/>
        <v>0</v>
      </c>
      <c r="I419" s="338">
        <f t="shared" si="310"/>
        <v>22000000</v>
      </c>
      <c r="J419" s="329">
        <f t="shared" si="281"/>
        <v>0</v>
      </c>
      <c r="K419" s="338">
        <f t="shared" si="288"/>
        <v>0</v>
      </c>
      <c r="L419" s="329">
        <f t="shared" si="282"/>
        <v>0</v>
      </c>
      <c r="M419" s="338">
        <f t="shared" si="289"/>
        <v>0</v>
      </c>
      <c r="N419" s="329">
        <f t="shared" si="283"/>
        <v>0</v>
      </c>
      <c r="O419" s="338">
        <f t="shared" si="290"/>
        <v>0</v>
      </c>
      <c r="P419" s="329">
        <f t="shared" si="284"/>
        <v>0</v>
      </c>
      <c r="Q419" s="338">
        <f t="shared" si="291"/>
        <v>0</v>
      </c>
      <c r="R419" s="329">
        <f t="shared" si="285"/>
        <v>0</v>
      </c>
      <c r="S419" s="338">
        <f t="shared" si="292"/>
        <v>0</v>
      </c>
      <c r="T419" s="329">
        <f t="shared" si="286"/>
        <v>0</v>
      </c>
      <c r="U419" s="338">
        <f t="shared" si="293"/>
        <v>0</v>
      </c>
      <c r="V419" s="329">
        <f t="shared" si="287"/>
        <v>0</v>
      </c>
      <c r="W419" s="338">
        <f t="shared" si="294"/>
        <v>0</v>
      </c>
      <c r="X419" s="35"/>
    </row>
    <row r="420" spans="1:24" x14ac:dyDescent="0.25">
      <c r="A420" s="335">
        <f>A419+1</f>
        <v>44035</v>
      </c>
      <c r="B420" s="49">
        <f t="shared" si="295"/>
        <v>0</v>
      </c>
      <c r="C420" s="338">
        <f t="shared" si="307"/>
        <v>44000000</v>
      </c>
      <c r="D420" s="329">
        <f t="shared" si="296"/>
        <v>0</v>
      </c>
      <c r="E420" s="338">
        <f t="shared" si="308"/>
        <v>32841822.33636301</v>
      </c>
      <c r="F420" s="329">
        <f t="shared" si="302"/>
        <v>0</v>
      </c>
      <c r="G420" s="338">
        <f t="shared" si="309"/>
        <v>25000000</v>
      </c>
      <c r="H420" s="329">
        <f t="shared" si="280"/>
        <v>0</v>
      </c>
      <c r="I420" s="338">
        <f t="shared" si="310"/>
        <v>22000000</v>
      </c>
      <c r="J420" s="329">
        <f t="shared" si="281"/>
        <v>0</v>
      </c>
      <c r="K420" s="338">
        <f t="shared" si="288"/>
        <v>0</v>
      </c>
      <c r="L420" s="329">
        <f t="shared" si="282"/>
        <v>0</v>
      </c>
      <c r="M420" s="338">
        <f t="shared" si="289"/>
        <v>0</v>
      </c>
      <c r="N420" s="329">
        <f t="shared" si="283"/>
        <v>0</v>
      </c>
      <c r="O420" s="338">
        <f t="shared" si="290"/>
        <v>0</v>
      </c>
      <c r="P420" s="329">
        <f t="shared" si="284"/>
        <v>0</v>
      </c>
      <c r="Q420" s="338">
        <f t="shared" si="291"/>
        <v>0</v>
      </c>
      <c r="R420" s="329">
        <f t="shared" si="285"/>
        <v>0</v>
      </c>
      <c r="S420" s="338">
        <f t="shared" si="292"/>
        <v>0</v>
      </c>
      <c r="T420" s="329">
        <f t="shared" si="286"/>
        <v>0</v>
      </c>
      <c r="U420" s="338">
        <f t="shared" si="293"/>
        <v>0</v>
      </c>
      <c r="V420" s="329">
        <f t="shared" si="287"/>
        <v>0</v>
      </c>
      <c r="W420" s="338">
        <f t="shared" si="294"/>
        <v>0</v>
      </c>
      <c r="X420" s="35"/>
    </row>
    <row r="421" spans="1:24" x14ac:dyDescent="0.25">
      <c r="A421" s="335">
        <f>A420+1</f>
        <v>44036</v>
      </c>
      <c r="B421" s="49">
        <f t="shared" si="295"/>
        <v>0</v>
      </c>
      <c r="C421" s="338">
        <f t="shared" si="307"/>
        <v>44000000</v>
      </c>
      <c r="D421" s="329">
        <f t="shared" si="296"/>
        <v>0</v>
      </c>
      <c r="E421" s="338">
        <f t="shared" si="308"/>
        <v>32841822.33636301</v>
      </c>
      <c r="F421" s="329">
        <f t="shared" si="302"/>
        <v>0</v>
      </c>
      <c r="G421" s="338">
        <f t="shared" si="309"/>
        <v>25000000</v>
      </c>
      <c r="H421" s="329">
        <f t="shared" si="280"/>
        <v>0</v>
      </c>
      <c r="I421" s="338">
        <f t="shared" si="310"/>
        <v>22000000</v>
      </c>
      <c r="J421" s="329">
        <f t="shared" si="281"/>
        <v>0</v>
      </c>
      <c r="K421" s="338">
        <f t="shared" si="288"/>
        <v>0</v>
      </c>
      <c r="L421" s="329">
        <f t="shared" si="282"/>
        <v>0</v>
      </c>
      <c r="M421" s="338">
        <f t="shared" si="289"/>
        <v>0</v>
      </c>
      <c r="N421" s="329">
        <f t="shared" si="283"/>
        <v>0</v>
      </c>
      <c r="O421" s="338">
        <f t="shared" si="290"/>
        <v>0</v>
      </c>
      <c r="P421" s="329">
        <f t="shared" si="284"/>
        <v>0</v>
      </c>
      <c r="Q421" s="338">
        <f t="shared" si="291"/>
        <v>0</v>
      </c>
      <c r="R421" s="329">
        <f t="shared" si="285"/>
        <v>0</v>
      </c>
      <c r="S421" s="338">
        <f t="shared" si="292"/>
        <v>0</v>
      </c>
      <c r="T421" s="329">
        <f t="shared" si="286"/>
        <v>0</v>
      </c>
      <c r="U421" s="338">
        <f t="shared" si="293"/>
        <v>0</v>
      </c>
      <c r="V421" s="329">
        <f t="shared" si="287"/>
        <v>0</v>
      </c>
      <c r="W421" s="338">
        <f t="shared" si="294"/>
        <v>0</v>
      </c>
      <c r="X421" s="35"/>
    </row>
    <row r="422" spans="1:24" x14ac:dyDescent="0.25">
      <c r="A422" s="336">
        <f>A421+3</f>
        <v>44039</v>
      </c>
      <c r="B422" s="49">
        <f t="shared" si="295"/>
        <v>0</v>
      </c>
      <c r="C422" s="338">
        <f t="shared" si="307"/>
        <v>44000000</v>
      </c>
      <c r="D422" s="329">
        <f t="shared" si="296"/>
        <v>0</v>
      </c>
      <c r="E422" s="338">
        <f t="shared" si="308"/>
        <v>32841822.33636301</v>
      </c>
      <c r="F422" s="329">
        <f t="shared" si="302"/>
        <v>0</v>
      </c>
      <c r="G422" s="338">
        <f t="shared" si="309"/>
        <v>25000000</v>
      </c>
      <c r="H422" s="329">
        <f t="shared" si="280"/>
        <v>0</v>
      </c>
      <c r="I422" s="338">
        <f t="shared" si="310"/>
        <v>22000000</v>
      </c>
      <c r="J422" s="329">
        <f t="shared" si="281"/>
        <v>0</v>
      </c>
      <c r="K422" s="338">
        <f t="shared" si="288"/>
        <v>0</v>
      </c>
      <c r="L422" s="329">
        <f t="shared" si="282"/>
        <v>0</v>
      </c>
      <c r="M422" s="338">
        <f t="shared" si="289"/>
        <v>0</v>
      </c>
      <c r="N422" s="329">
        <f t="shared" si="283"/>
        <v>0</v>
      </c>
      <c r="O422" s="338">
        <f t="shared" si="290"/>
        <v>0</v>
      </c>
      <c r="P422" s="329">
        <f t="shared" si="284"/>
        <v>0</v>
      </c>
      <c r="Q422" s="338">
        <f t="shared" si="291"/>
        <v>0</v>
      </c>
      <c r="R422" s="329">
        <f t="shared" si="285"/>
        <v>0</v>
      </c>
      <c r="S422" s="338">
        <f t="shared" si="292"/>
        <v>0</v>
      </c>
      <c r="T422" s="329">
        <f t="shared" si="286"/>
        <v>0</v>
      </c>
      <c r="U422" s="338">
        <f t="shared" si="293"/>
        <v>0</v>
      </c>
      <c r="V422" s="329">
        <f t="shared" si="287"/>
        <v>0</v>
      </c>
      <c r="W422" s="338">
        <f t="shared" si="294"/>
        <v>0</v>
      </c>
      <c r="X422" s="35"/>
    </row>
    <row r="423" spans="1:24" x14ac:dyDescent="0.25">
      <c r="A423" s="335">
        <f>A422+1</f>
        <v>44040</v>
      </c>
      <c r="B423" s="49">
        <f t="shared" si="295"/>
        <v>0</v>
      </c>
      <c r="C423" s="338">
        <f t="shared" si="307"/>
        <v>44000000</v>
      </c>
      <c r="D423" s="329">
        <f t="shared" si="296"/>
        <v>0</v>
      </c>
      <c r="E423" s="338">
        <f t="shared" si="308"/>
        <v>32841822.33636301</v>
      </c>
      <c r="F423" s="329">
        <f t="shared" si="302"/>
        <v>0</v>
      </c>
      <c r="G423" s="338">
        <f t="shared" si="309"/>
        <v>25000000</v>
      </c>
      <c r="H423" s="329">
        <f t="shared" si="280"/>
        <v>0</v>
      </c>
      <c r="I423" s="338">
        <f t="shared" si="310"/>
        <v>22000000</v>
      </c>
      <c r="J423" s="329">
        <f t="shared" si="281"/>
        <v>0</v>
      </c>
      <c r="K423" s="338">
        <f t="shared" si="288"/>
        <v>0</v>
      </c>
      <c r="L423" s="329">
        <f t="shared" si="282"/>
        <v>0</v>
      </c>
      <c r="M423" s="338">
        <f t="shared" si="289"/>
        <v>0</v>
      </c>
      <c r="N423" s="329">
        <f t="shared" si="283"/>
        <v>0</v>
      </c>
      <c r="O423" s="338">
        <f t="shared" si="290"/>
        <v>0</v>
      </c>
      <c r="P423" s="329">
        <f t="shared" si="284"/>
        <v>0</v>
      </c>
      <c r="Q423" s="338">
        <f t="shared" si="291"/>
        <v>0</v>
      </c>
      <c r="R423" s="329">
        <f t="shared" si="285"/>
        <v>0</v>
      </c>
      <c r="S423" s="338">
        <f t="shared" si="292"/>
        <v>0</v>
      </c>
      <c r="T423" s="329">
        <f t="shared" si="286"/>
        <v>0</v>
      </c>
      <c r="U423" s="338">
        <f t="shared" si="293"/>
        <v>0</v>
      </c>
      <c r="V423" s="329">
        <f t="shared" si="287"/>
        <v>0</v>
      </c>
      <c r="W423" s="338">
        <f t="shared" si="294"/>
        <v>0</v>
      </c>
      <c r="X423" s="35"/>
    </row>
    <row r="424" spans="1:24" x14ac:dyDescent="0.25">
      <c r="A424" s="335">
        <f>A423+1</f>
        <v>44041</v>
      </c>
      <c r="B424" s="49">
        <f t="shared" si="295"/>
        <v>0</v>
      </c>
      <c r="C424" s="338">
        <f t="shared" si="307"/>
        <v>44000000</v>
      </c>
      <c r="D424" s="329">
        <f t="shared" si="296"/>
        <v>0</v>
      </c>
      <c r="E424" s="338">
        <f t="shared" si="308"/>
        <v>32841822.33636301</v>
      </c>
      <c r="F424" s="329">
        <f t="shared" si="302"/>
        <v>0</v>
      </c>
      <c r="G424" s="338">
        <f t="shared" si="309"/>
        <v>25000000</v>
      </c>
      <c r="H424" s="329">
        <f t="shared" si="280"/>
        <v>0</v>
      </c>
      <c r="I424" s="338">
        <f t="shared" si="310"/>
        <v>22000000</v>
      </c>
      <c r="J424" s="329">
        <f t="shared" si="281"/>
        <v>0</v>
      </c>
      <c r="K424" s="338">
        <f t="shared" si="288"/>
        <v>0</v>
      </c>
      <c r="L424" s="329">
        <f t="shared" si="282"/>
        <v>0</v>
      </c>
      <c r="M424" s="338">
        <f t="shared" si="289"/>
        <v>0</v>
      </c>
      <c r="N424" s="329">
        <f t="shared" si="283"/>
        <v>0</v>
      </c>
      <c r="O424" s="338">
        <f t="shared" si="290"/>
        <v>0</v>
      </c>
      <c r="P424" s="329">
        <f t="shared" si="284"/>
        <v>0</v>
      </c>
      <c r="Q424" s="338">
        <f t="shared" si="291"/>
        <v>0</v>
      </c>
      <c r="R424" s="329">
        <f t="shared" si="285"/>
        <v>0</v>
      </c>
      <c r="S424" s="338">
        <f t="shared" si="292"/>
        <v>0</v>
      </c>
      <c r="T424" s="329">
        <f t="shared" si="286"/>
        <v>0</v>
      </c>
      <c r="U424" s="338">
        <f t="shared" si="293"/>
        <v>0</v>
      </c>
      <c r="V424" s="329">
        <f t="shared" si="287"/>
        <v>0</v>
      </c>
      <c r="W424" s="338">
        <f t="shared" si="294"/>
        <v>0</v>
      </c>
      <c r="X424" s="35"/>
    </row>
    <row r="425" spans="1:24" x14ac:dyDescent="0.25">
      <c r="A425" s="335">
        <f>A424+1</f>
        <v>44042</v>
      </c>
      <c r="B425" s="49">
        <f t="shared" si="295"/>
        <v>0</v>
      </c>
      <c r="C425" s="338">
        <f t="shared" si="307"/>
        <v>44000000</v>
      </c>
      <c r="D425" s="329">
        <f t="shared" si="296"/>
        <v>0</v>
      </c>
      <c r="E425" s="338">
        <f t="shared" si="308"/>
        <v>32841822.33636301</v>
      </c>
      <c r="F425" s="329">
        <f t="shared" si="302"/>
        <v>0</v>
      </c>
      <c r="G425" s="338">
        <f t="shared" si="309"/>
        <v>25000000</v>
      </c>
      <c r="H425" s="329">
        <f t="shared" si="280"/>
        <v>0</v>
      </c>
      <c r="I425" s="338">
        <f t="shared" si="310"/>
        <v>22000000</v>
      </c>
      <c r="J425" s="329">
        <f t="shared" si="281"/>
        <v>0</v>
      </c>
      <c r="K425" s="338">
        <f t="shared" si="288"/>
        <v>0</v>
      </c>
      <c r="L425" s="329">
        <f t="shared" si="282"/>
        <v>0</v>
      </c>
      <c r="M425" s="338">
        <f t="shared" si="289"/>
        <v>0</v>
      </c>
      <c r="N425" s="329">
        <f t="shared" si="283"/>
        <v>0</v>
      </c>
      <c r="O425" s="338">
        <f t="shared" si="290"/>
        <v>0</v>
      </c>
      <c r="P425" s="329">
        <f t="shared" si="284"/>
        <v>0</v>
      </c>
      <c r="Q425" s="338">
        <f t="shared" si="291"/>
        <v>0</v>
      </c>
      <c r="R425" s="329">
        <f t="shared" si="285"/>
        <v>0</v>
      </c>
      <c r="S425" s="338">
        <f t="shared" si="292"/>
        <v>0</v>
      </c>
      <c r="T425" s="329">
        <f t="shared" si="286"/>
        <v>0</v>
      </c>
      <c r="U425" s="338">
        <f t="shared" si="293"/>
        <v>0</v>
      </c>
      <c r="V425" s="329">
        <f t="shared" si="287"/>
        <v>0</v>
      </c>
      <c r="W425" s="338">
        <f t="shared" si="294"/>
        <v>0</v>
      </c>
      <c r="X425" s="35"/>
    </row>
    <row r="426" spans="1:24" x14ac:dyDescent="0.25">
      <c r="A426" s="335">
        <f>A425+1</f>
        <v>44043</v>
      </c>
      <c r="B426" s="49">
        <f t="shared" si="295"/>
        <v>0</v>
      </c>
      <c r="C426" s="338">
        <f t="shared" si="307"/>
        <v>44000000</v>
      </c>
      <c r="D426" s="329">
        <f t="shared" si="296"/>
        <v>0</v>
      </c>
      <c r="E426" s="338">
        <f t="shared" si="308"/>
        <v>32841822.33636301</v>
      </c>
      <c r="F426" s="329">
        <f t="shared" si="302"/>
        <v>0</v>
      </c>
      <c r="G426" s="338">
        <f t="shared" si="309"/>
        <v>25000000</v>
      </c>
      <c r="H426" s="329">
        <f t="shared" si="280"/>
        <v>0</v>
      </c>
      <c r="I426" s="338">
        <f t="shared" si="310"/>
        <v>22000000</v>
      </c>
      <c r="J426" s="329">
        <f t="shared" si="281"/>
        <v>0</v>
      </c>
      <c r="K426" s="338">
        <f t="shared" si="288"/>
        <v>0</v>
      </c>
      <c r="L426" s="329">
        <f t="shared" si="282"/>
        <v>0</v>
      </c>
      <c r="M426" s="338">
        <f t="shared" si="289"/>
        <v>0</v>
      </c>
      <c r="N426" s="329">
        <f t="shared" si="283"/>
        <v>0</v>
      </c>
      <c r="O426" s="338">
        <f t="shared" si="290"/>
        <v>0</v>
      </c>
      <c r="P426" s="329">
        <f t="shared" si="284"/>
        <v>0</v>
      </c>
      <c r="Q426" s="338">
        <f t="shared" si="291"/>
        <v>0</v>
      </c>
      <c r="R426" s="329">
        <f t="shared" si="285"/>
        <v>0</v>
      </c>
      <c r="S426" s="338">
        <f t="shared" si="292"/>
        <v>0</v>
      </c>
      <c r="T426" s="329">
        <f t="shared" si="286"/>
        <v>0</v>
      </c>
      <c r="U426" s="338">
        <f t="shared" si="293"/>
        <v>0</v>
      </c>
      <c r="V426" s="329">
        <f t="shared" si="287"/>
        <v>0</v>
      </c>
      <c r="W426" s="338">
        <f t="shared" si="294"/>
        <v>0</v>
      </c>
      <c r="X426" s="35"/>
    </row>
    <row r="427" spans="1:24" x14ac:dyDescent="0.25">
      <c r="A427" s="336">
        <f>A426+1</f>
        <v>44044</v>
      </c>
      <c r="B427" s="49">
        <f t="shared" si="295"/>
        <v>0</v>
      </c>
      <c r="C427" s="338">
        <f t="shared" si="307"/>
        <v>44000000</v>
      </c>
      <c r="D427" s="329">
        <f t="shared" si="296"/>
        <v>0</v>
      </c>
      <c r="E427" s="338">
        <f t="shared" si="308"/>
        <v>32841822.33636301</v>
      </c>
      <c r="F427" s="329">
        <f t="shared" si="302"/>
        <v>0</v>
      </c>
      <c r="G427" s="338">
        <f t="shared" si="309"/>
        <v>25000000</v>
      </c>
      <c r="H427" s="329">
        <f t="shared" ref="H427:H490" si="311">SUMIFS(Usage_Main,CF_Dates,$A427,CF_Descriptions,"XS2091648928 Change")</f>
        <v>0</v>
      </c>
      <c r="I427" s="338">
        <f t="shared" si="310"/>
        <v>22000000</v>
      </c>
      <c r="J427" s="329">
        <f t="shared" ref="J427:J490" si="312">SUMIFS(Usage_Main,CF_Dates,$A427,CF_Descriptions,"Southern Apple Change")</f>
        <v>0</v>
      </c>
      <c r="K427" s="338">
        <f t="shared" si="288"/>
        <v>0</v>
      </c>
      <c r="L427" s="329">
        <f t="shared" ref="L427:L490" si="313">SUMIFS(Usage_Main,CF_Dates,$A427,CF_Descriptions,"ALMONDUSD Change")</f>
        <v>0</v>
      </c>
      <c r="M427" s="338">
        <f t="shared" si="289"/>
        <v>0</v>
      </c>
      <c r="N427" s="329">
        <f t="shared" ref="N427:N490" si="314">SUMIFS(Usage_Main,CF_Dates,$A427,CF_Descriptions,"ALMONDEUR Change")</f>
        <v>0</v>
      </c>
      <c r="O427" s="338">
        <f t="shared" si="290"/>
        <v>0</v>
      </c>
      <c r="P427" s="329">
        <f t="shared" ref="P427:P490" si="315">SUMIFS(Usage_Main,CF_Dates,$A427,CF_Descriptions,"HEXZETA Change")</f>
        <v>0</v>
      </c>
      <c r="Q427" s="338">
        <f t="shared" si="291"/>
        <v>0</v>
      </c>
      <c r="R427" s="329">
        <f t="shared" ref="R427:R490" si="316">SUMIFS(Usage_Main,CF_Dates,$A427,CF_Descriptions,"MNTNCHERRY Change")</f>
        <v>0</v>
      </c>
      <c r="S427" s="338">
        <f t="shared" si="292"/>
        <v>0</v>
      </c>
      <c r="T427" s="329">
        <f t="shared" ref="T427:T490" si="317">SUMIFS(Usage_Main,CF_Dates,$A427,CF_Descriptions,"OLIVEUSD Change")</f>
        <v>0</v>
      </c>
      <c r="U427" s="338">
        <f t="shared" si="293"/>
        <v>0</v>
      </c>
      <c r="V427" s="329">
        <f t="shared" ref="V427:V490" si="318">SUMIFS(Usage_Main,CF_Dates,$A427,CF_Descriptions,"OLIVEEUR Change")</f>
        <v>0</v>
      </c>
      <c r="W427" s="338">
        <f t="shared" si="294"/>
        <v>0</v>
      </c>
      <c r="X427" s="35"/>
    </row>
    <row r="428" spans="1:24" x14ac:dyDescent="0.25">
      <c r="A428" s="336">
        <f>A427+2</f>
        <v>44046</v>
      </c>
      <c r="B428" s="49">
        <f t="shared" si="295"/>
        <v>0</v>
      </c>
      <c r="C428" s="338">
        <f t="shared" si="307"/>
        <v>44000000</v>
      </c>
      <c r="D428" s="329">
        <f t="shared" si="296"/>
        <v>0</v>
      </c>
      <c r="E428" s="338">
        <f t="shared" si="308"/>
        <v>32841822.33636301</v>
      </c>
      <c r="F428" s="329">
        <f t="shared" si="302"/>
        <v>0</v>
      </c>
      <c r="G428" s="338">
        <f t="shared" si="309"/>
        <v>25000000</v>
      </c>
      <c r="H428" s="329">
        <f t="shared" si="311"/>
        <v>0</v>
      </c>
      <c r="I428" s="338">
        <f t="shared" si="310"/>
        <v>22000000</v>
      </c>
      <c r="J428" s="329">
        <f t="shared" si="312"/>
        <v>0</v>
      </c>
      <c r="K428" s="338">
        <f t="shared" ref="K428:K491" si="319">J428+K427</f>
        <v>0</v>
      </c>
      <c r="L428" s="329">
        <f t="shared" si="313"/>
        <v>0</v>
      </c>
      <c r="M428" s="338">
        <f t="shared" ref="M428:M491" si="320">L428+M427</f>
        <v>0</v>
      </c>
      <c r="N428" s="329">
        <f t="shared" si="314"/>
        <v>0</v>
      </c>
      <c r="O428" s="338">
        <f t="shared" ref="O428:O491" si="321">N428+O427</f>
        <v>0</v>
      </c>
      <c r="P428" s="329">
        <f t="shared" si="315"/>
        <v>0</v>
      </c>
      <c r="Q428" s="338">
        <f t="shared" ref="Q428:Q491" si="322">P428+Q427</f>
        <v>0</v>
      </c>
      <c r="R428" s="329">
        <f t="shared" si="316"/>
        <v>0</v>
      </c>
      <c r="S428" s="338">
        <f t="shared" ref="S428:S491" si="323">R428+S427</f>
        <v>0</v>
      </c>
      <c r="T428" s="329">
        <f t="shared" si="317"/>
        <v>0</v>
      </c>
      <c r="U428" s="338">
        <f t="shared" ref="U428:U491" si="324">T428+U427</f>
        <v>0</v>
      </c>
      <c r="V428" s="329">
        <f t="shared" si="318"/>
        <v>0</v>
      </c>
      <c r="W428" s="338">
        <f t="shared" ref="W428:W491" si="325">V428+W427</f>
        <v>0</v>
      </c>
      <c r="X428" s="35"/>
    </row>
    <row r="429" spans="1:24" x14ac:dyDescent="0.25">
      <c r="A429" s="335">
        <f>A428+1</f>
        <v>44047</v>
      </c>
      <c r="B429" s="49">
        <f t="shared" si="295"/>
        <v>0</v>
      </c>
      <c r="C429" s="338">
        <f t="shared" si="307"/>
        <v>44000000</v>
      </c>
      <c r="D429" s="329">
        <f t="shared" si="296"/>
        <v>0</v>
      </c>
      <c r="E429" s="338">
        <f t="shared" si="308"/>
        <v>32841822.33636301</v>
      </c>
      <c r="F429" s="329">
        <f t="shared" si="302"/>
        <v>0</v>
      </c>
      <c r="G429" s="338">
        <f t="shared" si="309"/>
        <v>25000000</v>
      </c>
      <c r="H429" s="329">
        <f t="shared" si="311"/>
        <v>0</v>
      </c>
      <c r="I429" s="338">
        <f t="shared" si="310"/>
        <v>22000000</v>
      </c>
      <c r="J429" s="329">
        <f t="shared" si="312"/>
        <v>0</v>
      </c>
      <c r="K429" s="338">
        <f t="shared" si="319"/>
        <v>0</v>
      </c>
      <c r="L429" s="329">
        <f t="shared" si="313"/>
        <v>0</v>
      </c>
      <c r="M429" s="338">
        <f t="shared" si="320"/>
        <v>0</v>
      </c>
      <c r="N429" s="329">
        <f t="shared" si="314"/>
        <v>0</v>
      </c>
      <c r="O429" s="338">
        <f t="shared" si="321"/>
        <v>0</v>
      </c>
      <c r="P429" s="329">
        <f t="shared" si="315"/>
        <v>0</v>
      </c>
      <c r="Q429" s="338">
        <f t="shared" si="322"/>
        <v>0</v>
      </c>
      <c r="R429" s="329">
        <f t="shared" si="316"/>
        <v>0</v>
      </c>
      <c r="S429" s="338">
        <f t="shared" si="323"/>
        <v>0</v>
      </c>
      <c r="T429" s="329">
        <f t="shared" si="317"/>
        <v>0</v>
      </c>
      <c r="U429" s="338">
        <f t="shared" si="324"/>
        <v>0</v>
      </c>
      <c r="V429" s="329">
        <f t="shared" si="318"/>
        <v>0</v>
      </c>
      <c r="W429" s="338">
        <f t="shared" si="325"/>
        <v>0</v>
      </c>
      <c r="X429" s="35"/>
    </row>
    <row r="430" spans="1:24" x14ac:dyDescent="0.25">
      <c r="A430" s="335">
        <f>A429+1</f>
        <v>44048</v>
      </c>
      <c r="B430" s="49">
        <f t="shared" si="295"/>
        <v>0</v>
      </c>
      <c r="C430" s="338">
        <f t="shared" si="307"/>
        <v>44000000</v>
      </c>
      <c r="D430" s="329">
        <f t="shared" si="296"/>
        <v>0</v>
      </c>
      <c r="E430" s="338">
        <f t="shared" si="308"/>
        <v>32841822.33636301</v>
      </c>
      <c r="F430" s="329">
        <f t="shared" si="302"/>
        <v>0</v>
      </c>
      <c r="G430" s="338">
        <f t="shared" si="309"/>
        <v>25000000</v>
      </c>
      <c r="H430" s="329">
        <f t="shared" si="311"/>
        <v>0</v>
      </c>
      <c r="I430" s="338">
        <f t="shared" si="310"/>
        <v>22000000</v>
      </c>
      <c r="J430" s="329">
        <f t="shared" si="312"/>
        <v>0</v>
      </c>
      <c r="K430" s="338">
        <f t="shared" si="319"/>
        <v>0</v>
      </c>
      <c r="L430" s="329">
        <f t="shared" si="313"/>
        <v>0</v>
      </c>
      <c r="M430" s="338">
        <f t="shared" si="320"/>
        <v>0</v>
      </c>
      <c r="N430" s="329">
        <f t="shared" si="314"/>
        <v>0</v>
      </c>
      <c r="O430" s="338">
        <f t="shared" si="321"/>
        <v>0</v>
      </c>
      <c r="P430" s="329">
        <f t="shared" si="315"/>
        <v>0</v>
      </c>
      <c r="Q430" s="338">
        <f t="shared" si="322"/>
        <v>0</v>
      </c>
      <c r="R430" s="329">
        <f t="shared" si="316"/>
        <v>0</v>
      </c>
      <c r="S430" s="338">
        <f t="shared" si="323"/>
        <v>0</v>
      </c>
      <c r="T430" s="329">
        <f t="shared" si="317"/>
        <v>0</v>
      </c>
      <c r="U430" s="338">
        <f t="shared" si="324"/>
        <v>0</v>
      </c>
      <c r="V430" s="329">
        <f t="shared" si="318"/>
        <v>0</v>
      </c>
      <c r="W430" s="338">
        <f t="shared" si="325"/>
        <v>0</v>
      </c>
      <c r="X430" s="35"/>
    </row>
    <row r="431" spans="1:24" x14ac:dyDescent="0.25">
      <c r="A431" s="335">
        <f>A430+1</f>
        <v>44049</v>
      </c>
      <c r="B431" s="49">
        <f t="shared" si="295"/>
        <v>0</v>
      </c>
      <c r="C431" s="338">
        <f t="shared" si="307"/>
        <v>44000000</v>
      </c>
      <c r="D431" s="329">
        <f t="shared" si="296"/>
        <v>0</v>
      </c>
      <c r="E431" s="338">
        <f t="shared" si="308"/>
        <v>32841822.33636301</v>
      </c>
      <c r="F431" s="329">
        <f t="shared" si="302"/>
        <v>0</v>
      </c>
      <c r="G431" s="338">
        <f t="shared" si="309"/>
        <v>25000000</v>
      </c>
      <c r="H431" s="329">
        <f t="shared" si="311"/>
        <v>0</v>
      </c>
      <c r="I431" s="338">
        <f t="shared" si="310"/>
        <v>22000000</v>
      </c>
      <c r="J431" s="329">
        <f t="shared" si="312"/>
        <v>0</v>
      </c>
      <c r="K431" s="338">
        <f t="shared" si="319"/>
        <v>0</v>
      </c>
      <c r="L431" s="329">
        <f t="shared" si="313"/>
        <v>0</v>
      </c>
      <c r="M431" s="338">
        <f t="shared" si="320"/>
        <v>0</v>
      </c>
      <c r="N431" s="329">
        <f t="shared" si="314"/>
        <v>0</v>
      </c>
      <c r="O431" s="338">
        <f t="shared" si="321"/>
        <v>0</v>
      </c>
      <c r="P431" s="329">
        <f t="shared" si="315"/>
        <v>0</v>
      </c>
      <c r="Q431" s="338">
        <f t="shared" si="322"/>
        <v>0</v>
      </c>
      <c r="R431" s="329">
        <f t="shared" si="316"/>
        <v>0</v>
      </c>
      <c r="S431" s="338">
        <f t="shared" si="323"/>
        <v>0</v>
      </c>
      <c r="T431" s="329">
        <f t="shared" si="317"/>
        <v>0</v>
      </c>
      <c r="U431" s="338">
        <f t="shared" si="324"/>
        <v>0</v>
      </c>
      <c r="V431" s="329">
        <f t="shared" si="318"/>
        <v>0</v>
      </c>
      <c r="W431" s="338">
        <f t="shared" si="325"/>
        <v>0</v>
      </c>
      <c r="X431" s="35"/>
    </row>
    <row r="432" spans="1:24" x14ac:dyDescent="0.25">
      <c r="A432" s="335">
        <f>A431+1</f>
        <v>44050</v>
      </c>
      <c r="B432" s="49">
        <f t="shared" si="295"/>
        <v>0</v>
      </c>
      <c r="C432" s="338">
        <f t="shared" si="307"/>
        <v>44000000</v>
      </c>
      <c r="D432" s="329">
        <f t="shared" si="296"/>
        <v>0</v>
      </c>
      <c r="E432" s="338">
        <f t="shared" si="308"/>
        <v>32841822.33636301</v>
      </c>
      <c r="F432" s="329">
        <f t="shared" si="302"/>
        <v>0</v>
      </c>
      <c r="G432" s="338">
        <f t="shared" si="309"/>
        <v>25000000</v>
      </c>
      <c r="H432" s="329">
        <f t="shared" si="311"/>
        <v>0</v>
      </c>
      <c r="I432" s="338">
        <f t="shared" si="310"/>
        <v>22000000</v>
      </c>
      <c r="J432" s="329">
        <f t="shared" si="312"/>
        <v>0</v>
      </c>
      <c r="K432" s="338">
        <f t="shared" si="319"/>
        <v>0</v>
      </c>
      <c r="L432" s="329">
        <f t="shared" si="313"/>
        <v>0</v>
      </c>
      <c r="M432" s="338">
        <f t="shared" si="320"/>
        <v>0</v>
      </c>
      <c r="N432" s="329">
        <f t="shared" si="314"/>
        <v>0</v>
      </c>
      <c r="O432" s="338">
        <f t="shared" si="321"/>
        <v>0</v>
      </c>
      <c r="P432" s="329">
        <f t="shared" si="315"/>
        <v>0</v>
      </c>
      <c r="Q432" s="338">
        <f t="shared" si="322"/>
        <v>0</v>
      </c>
      <c r="R432" s="329">
        <f t="shared" si="316"/>
        <v>0</v>
      </c>
      <c r="S432" s="338">
        <f t="shared" si="323"/>
        <v>0</v>
      </c>
      <c r="T432" s="329">
        <f t="shared" si="317"/>
        <v>0</v>
      </c>
      <c r="U432" s="338">
        <f t="shared" si="324"/>
        <v>0</v>
      </c>
      <c r="V432" s="329">
        <f t="shared" si="318"/>
        <v>0</v>
      </c>
      <c r="W432" s="338">
        <f t="shared" si="325"/>
        <v>0</v>
      </c>
      <c r="X432" s="35"/>
    </row>
    <row r="433" spans="1:24" x14ac:dyDescent="0.25">
      <c r="A433" s="336">
        <f>A432+3</f>
        <v>44053</v>
      </c>
      <c r="B433" s="49">
        <f t="shared" si="295"/>
        <v>0</v>
      </c>
      <c r="C433" s="338">
        <f t="shared" si="307"/>
        <v>44000000</v>
      </c>
      <c r="D433" s="329">
        <f t="shared" si="296"/>
        <v>0</v>
      </c>
      <c r="E433" s="338">
        <f t="shared" si="308"/>
        <v>32841822.33636301</v>
      </c>
      <c r="F433" s="329">
        <f t="shared" si="302"/>
        <v>0</v>
      </c>
      <c r="G433" s="338">
        <f t="shared" si="309"/>
        <v>25000000</v>
      </c>
      <c r="H433" s="329">
        <f t="shared" si="311"/>
        <v>0</v>
      </c>
      <c r="I433" s="338">
        <f t="shared" si="310"/>
        <v>22000000</v>
      </c>
      <c r="J433" s="329">
        <f t="shared" si="312"/>
        <v>0</v>
      </c>
      <c r="K433" s="338">
        <f t="shared" si="319"/>
        <v>0</v>
      </c>
      <c r="L433" s="329">
        <f t="shared" si="313"/>
        <v>0</v>
      </c>
      <c r="M433" s="338">
        <f t="shared" si="320"/>
        <v>0</v>
      </c>
      <c r="N433" s="329">
        <f t="shared" si="314"/>
        <v>0</v>
      </c>
      <c r="O433" s="338">
        <f t="shared" si="321"/>
        <v>0</v>
      </c>
      <c r="P433" s="329">
        <f t="shared" si="315"/>
        <v>0</v>
      </c>
      <c r="Q433" s="338">
        <f t="shared" si="322"/>
        <v>0</v>
      </c>
      <c r="R433" s="329">
        <f t="shared" si="316"/>
        <v>0</v>
      </c>
      <c r="S433" s="338">
        <f t="shared" si="323"/>
        <v>0</v>
      </c>
      <c r="T433" s="329">
        <f t="shared" si="317"/>
        <v>0</v>
      </c>
      <c r="U433" s="338">
        <f t="shared" si="324"/>
        <v>0</v>
      </c>
      <c r="V433" s="329">
        <f t="shared" si="318"/>
        <v>0</v>
      </c>
      <c r="W433" s="338">
        <f t="shared" si="325"/>
        <v>0</v>
      </c>
      <c r="X433" s="35"/>
    </row>
    <row r="434" spans="1:24" x14ac:dyDescent="0.25">
      <c r="A434" s="335">
        <f>A433+1</f>
        <v>44054</v>
      </c>
      <c r="B434" s="49">
        <f t="shared" si="295"/>
        <v>0</v>
      </c>
      <c r="C434" s="338">
        <f t="shared" si="307"/>
        <v>44000000</v>
      </c>
      <c r="D434" s="329">
        <f t="shared" si="296"/>
        <v>0</v>
      </c>
      <c r="E434" s="338">
        <f t="shared" si="308"/>
        <v>32841822.33636301</v>
      </c>
      <c r="F434" s="329">
        <f t="shared" si="302"/>
        <v>0</v>
      </c>
      <c r="G434" s="338">
        <f t="shared" si="309"/>
        <v>25000000</v>
      </c>
      <c r="H434" s="329">
        <f t="shared" si="311"/>
        <v>0</v>
      </c>
      <c r="I434" s="338">
        <f t="shared" si="310"/>
        <v>22000000</v>
      </c>
      <c r="J434" s="329">
        <f t="shared" si="312"/>
        <v>0</v>
      </c>
      <c r="K434" s="338">
        <f t="shared" si="319"/>
        <v>0</v>
      </c>
      <c r="L434" s="329">
        <f t="shared" si="313"/>
        <v>0</v>
      </c>
      <c r="M434" s="338">
        <f t="shared" si="320"/>
        <v>0</v>
      </c>
      <c r="N434" s="329">
        <f t="shared" si="314"/>
        <v>0</v>
      </c>
      <c r="O434" s="338">
        <f t="shared" si="321"/>
        <v>0</v>
      </c>
      <c r="P434" s="329">
        <f t="shared" si="315"/>
        <v>0</v>
      </c>
      <c r="Q434" s="338">
        <f t="shared" si="322"/>
        <v>0</v>
      </c>
      <c r="R434" s="329">
        <f t="shared" si="316"/>
        <v>0</v>
      </c>
      <c r="S434" s="338">
        <f t="shared" si="323"/>
        <v>0</v>
      </c>
      <c r="T434" s="329">
        <f t="shared" si="317"/>
        <v>0</v>
      </c>
      <c r="U434" s="338">
        <f t="shared" si="324"/>
        <v>0</v>
      </c>
      <c r="V434" s="329">
        <f t="shared" si="318"/>
        <v>0</v>
      </c>
      <c r="W434" s="338">
        <f t="shared" si="325"/>
        <v>0</v>
      </c>
      <c r="X434" s="35"/>
    </row>
    <row r="435" spans="1:24" x14ac:dyDescent="0.25">
      <c r="A435" s="335">
        <f>A434+1</f>
        <v>44055</v>
      </c>
      <c r="B435" s="49">
        <f t="shared" ref="B435:B498" si="326">SUMIFS(Usage_Main,CF_Dates,$A435,CF_Descriptions,"XS1951177309 Change")</f>
        <v>0</v>
      </c>
      <c r="C435" s="338">
        <f t="shared" si="307"/>
        <v>44000000</v>
      </c>
      <c r="D435" s="329">
        <f t="shared" ref="D435:D498" si="327">SUMIFS(Usage_Main,CF_Dates,$A435,CF_Descriptions,"SOSPRUCE1 Change")</f>
        <v>0</v>
      </c>
      <c r="E435" s="338">
        <f t="shared" si="308"/>
        <v>32841822.33636301</v>
      </c>
      <c r="F435" s="329">
        <f t="shared" si="302"/>
        <v>0</v>
      </c>
      <c r="G435" s="338">
        <f t="shared" si="309"/>
        <v>25000000</v>
      </c>
      <c r="H435" s="329">
        <f t="shared" si="311"/>
        <v>0</v>
      </c>
      <c r="I435" s="338">
        <f t="shared" si="310"/>
        <v>22000000</v>
      </c>
      <c r="J435" s="329">
        <f t="shared" si="312"/>
        <v>0</v>
      </c>
      <c r="K435" s="338">
        <f t="shared" si="319"/>
        <v>0</v>
      </c>
      <c r="L435" s="329">
        <f t="shared" si="313"/>
        <v>0</v>
      </c>
      <c r="M435" s="338">
        <f t="shared" si="320"/>
        <v>0</v>
      </c>
      <c r="N435" s="329">
        <f t="shared" si="314"/>
        <v>0</v>
      </c>
      <c r="O435" s="338">
        <f t="shared" si="321"/>
        <v>0</v>
      </c>
      <c r="P435" s="329">
        <f t="shared" si="315"/>
        <v>0</v>
      </c>
      <c r="Q435" s="338">
        <f t="shared" si="322"/>
        <v>0</v>
      </c>
      <c r="R435" s="329">
        <f t="shared" si="316"/>
        <v>0</v>
      </c>
      <c r="S435" s="338">
        <f t="shared" si="323"/>
        <v>0</v>
      </c>
      <c r="T435" s="329">
        <f t="shared" si="317"/>
        <v>0</v>
      </c>
      <c r="U435" s="338">
        <f t="shared" si="324"/>
        <v>0</v>
      </c>
      <c r="V435" s="329">
        <f t="shared" si="318"/>
        <v>0</v>
      </c>
      <c r="W435" s="338">
        <f t="shared" si="325"/>
        <v>0</v>
      </c>
      <c r="X435" s="35"/>
    </row>
    <row r="436" spans="1:24" x14ac:dyDescent="0.25">
      <c r="A436" s="335">
        <f>A435+1</f>
        <v>44056</v>
      </c>
      <c r="B436" s="49">
        <f t="shared" si="326"/>
        <v>0</v>
      </c>
      <c r="C436" s="338">
        <f t="shared" si="307"/>
        <v>44000000</v>
      </c>
      <c r="D436" s="329">
        <f t="shared" si="327"/>
        <v>0</v>
      </c>
      <c r="E436" s="338">
        <f t="shared" si="308"/>
        <v>32841822.33636301</v>
      </c>
      <c r="F436" s="329">
        <f t="shared" si="302"/>
        <v>0</v>
      </c>
      <c r="G436" s="338">
        <f t="shared" si="309"/>
        <v>25000000</v>
      </c>
      <c r="H436" s="329">
        <f t="shared" si="311"/>
        <v>0</v>
      </c>
      <c r="I436" s="338">
        <f t="shared" si="310"/>
        <v>22000000</v>
      </c>
      <c r="J436" s="329">
        <f t="shared" si="312"/>
        <v>0</v>
      </c>
      <c r="K436" s="338">
        <f t="shared" si="319"/>
        <v>0</v>
      </c>
      <c r="L436" s="329">
        <f t="shared" si="313"/>
        <v>0</v>
      </c>
      <c r="M436" s="338">
        <f t="shared" si="320"/>
        <v>0</v>
      </c>
      <c r="N436" s="329">
        <f t="shared" si="314"/>
        <v>0</v>
      </c>
      <c r="O436" s="338">
        <f t="shared" si="321"/>
        <v>0</v>
      </c>
      <c r="P436" s="329">
        <f t="shared" si="315"/>
        <v>0</v>
      </c>
      <c r="Q436" s="338">
        <f t="shared" si="322"/>
        <v>0</v>
      </c>
      <c r="R436" s="329">
        <f t="shared" si="316"/>
        <v>0</v>
      </c>
      <c r="S436" s="338">
        <f t="shared" si="323"/>
        <v>0</v>
      </c>
      <c r="T436" s="329">
        <f t="shared" si="317"/>
        <v>0</v>
      </c>
      <c r="U436" s="338">
        <f t="shared" si="324"/>
        <v>0</v>
      </c>
      <c r="V436" s="329">
        <f t="shared" si="318"/>
        <v>0</v>
      </c>
      <c r="W436" s="338">
        <f t="shared" si="325"/>
        <v>0</v>
      </c>
      <c r="X436" s="35"/>
    </row>
    <row r="437" spans="1:24" x14ac:dyDescent="0.25">
      <c r="A437" s="335">
        <f>A436+1</f>
        <v>44057</v>
      </c>
      <c r="B437" s="49">
        <f t="shared" si="326"/>
        <v>0</v>
      </c>
      <c r="C437" s="338">
        <f t="shared" si="307"/>
        <v>44000000</v>
      </c>
      <c r="D437" s="329">
        <f t="shared" si="327"/>
        <v>0</v>
      </c>
      <c r="E437" s="338">
        <f t="shared" si="308"/>
        <v>32841822.33636301</v>
      </c>
      <c r="F437" s="329">
        <f t="shared" si="302"/>
        <v>0</v>
      </c>
      <c r="G437" s="338">
        <f t="shared" si="309"/>
        <v>25000000</v>
      </c>
      <c r="H437" s="329">
        <f t="shared" si="311"/>
        <v>0</v>
      </c>
      <c r="I437" s="338">
        <f t="shared" si="310"/>
        <v>22000000</v>
      </c>
      <c r="J437" s="329">
        <f t="shared" si="312"/>
        <v>0</v>
      </c>
      <c r="K437" s="338">
        <f t="shared" si="319"/>
        <v>0</v>
      </c>
      <c r="L437" s="329">
        <f t="shared" si="313"/>
        <v>0</v>
      </c>
      <c r="M437" s="338">
        <f t="shared" si="320"/>
        <v>0</v>
      </c>
      <c r="N437" s="329">
        <f t="shared" si="314"/>
        <v>0</v>
      </c>
      <c r="O437" s="338">
        <f t="shared" si="321"/>
        <v>0</v>
      </c>
      <c r="P437" s="329">
        <f t="shared" si="315"/>
        <v>0</v>
      </c>
      <c r="Q437" s="338">
        <f t="shared" si="322"/>
        <v>0</v>
      </c>
      <c r="R437" s="329">
        <f t="shared" si="316"/>
        <v>0</v>
      </c>
      <c r="S437" s="338">
        <f t="shared" si="323"/>
        <v>0</v>
      </c>
      <c r="T437" s="329">
        <f t="shared" si="317"/>
        <v>0</v>
      </c>
      <c r="U437" s="338">
        <f t="shared" si="324"/>
        <v>0</v>
      </c>
      <c r="V437" s="329">
        <f t="shared" si="318"/>
        <v>0</v>
      </c>
      <c r="W437" s="338">
        <f t="shared" si="325"/>
        <v>0</v>
      </c>
      <c r="X437" s="35"/>
    </row>
    <row r="438" spans="1:24" x14ac:dyDescent="0.25">
      <c r="A438" s="336">
        <f>A437+3</f>
        <v>44060</v>
      </c>
      <c r="B438" s="49">
        <f t="shared" si="326"/>
        <v>0</v>
      </c>
      <c r="C438" s="338">
        <f t="shared" si="307"/>
        <v>44000000</v>
      </c>
      <c r="D438" s="329">
        <f t="shared" si="327"/>
        <v>0</v>
      </c>
      <c r="E438" s="338">
        <f t="shared" si="308"/>
        <v>32841822.33636301</v>
      </c>
      <c r="F438" s="329">
        <f t="shared" si="302"/>
        <v>0</v>
      </c>
      <c r="G438" s="338">
        <f t="shared" si="309"/>
        <v>25000000</v>
      </c>
      <c r="H438" s="329">
        <f t="shared" si="311"/>
        <v>0</v>
      </c>
      <c r="I438" s="338">
        <f t="shared" si="310"/>
        <v>22000000</v>
      </c>
      <c r="J438" s="329">
        <f t="shared" si="312"/>
        <v>0</v>
      </c>
      <c r="K438" s="338">
        <f t="shared" si="319"/>
        <v>0</v>
      </c>
      <c r="L438" s="329">
        <f t="shared" si="313"/>
        <v>0</v>
      </c>
      <c r="M438" s="338">
        <f t="shared" si="320"/>
        <v>0</v>
      </c>
      <c r="N438" s="329">
        <f t="shared" si="314"/>
        <v>0</v>
      </c>
      <c r="O438" s="338">
        <f t="shared" si="321"/>
        <v>0</v>
      </c>
      <c r="P438" s="329">
        <f t="shared" si="315"/>
        <v>0</v>
      </c>
      <c r="Q438" s="338">
        <f t="shared" si="322"/>
        <v>0</v>
      </c>
      <c r="R438" s="329">
        <f t="shared" si="316"/>
        <v>0</v>
      </c>
      <c r="S438" s="338">
        <f t="shared" si="323"/>
        <v>0</v>
      </c>
      <c r="T438" s="329">
        <f t="shared" si="317"/>
        <v>0</v>
      </c>
      <c r="U438" s="338">
        <f t="shared" si="324"/>
        <v>0</v>
      </c>
      <c r="V438" s="329">
        <f t="shared" si="318"/>
        <v>0</v>
      </c>
      <c r="W438" s="338">
        <f t="shared" si="325"/>
        <v>0</v>
      </c>
      <c r="X438" s="35"/>
    </row>
    <row r="439" spans="1:24" x14ac:dyDescent="0.25">
      <c r="A439" s="335">
        <f>A438+1</f>
        <v>44061</v>
      </c>
      <c r="B439" s="49">
        <f t="shared" si="326"/>
        <v>0</v>
      </c>
      <c r="C439" s="338">
        <f t="shared" si="307"/>
        <v>44000000</v>
      </c>
      <c r="D439" s="329">
        <f t="shared" si="327"/>
        <v>0</v>
      </c>
      <c r="E439" s="338">
        <f t="shared" si="308"/>
        <v>32841822.33636301</v>
      </c>
      <c r="F439" s="329">
        <f t="shared" si="302"/>
        <v>0</v>
      </c>
      <c r="G439" s="338">
        <f t="shared" si="309"/>
        <v>25000000</v>
      </c>
      <c r="H439" s="329">
        <f t="shared" si="311"/>
        <v>0</v>
      </c>
      <c r="I439" s="338">
        <f t="shared" si="310"/>
        <v>22000000</v>
      </c>
      <c r="J439" s="329">
        <f t="shared" si="312"/>
        <v>0</v>
      </c>
      <c r="K439" s="338">
        <f t="shared" si="319"/>
        <v>0</v>
      </c>
      <c r="L439" s="329">
        <f t="shared" si="313"/>
        <v>0</v>
      </c>
      <c r="M439" s="338">
        <f t="shared" si="320"/>
        <v>0</v>
      </c>
      <c r="N439" s="329">
        <f t="shared" si="314"/>
        <v>0</v>
      </c>
      <c r="O439" s="338">
        <f t="shared" si="321"/>
        <v>0</v>
      </c>
      <c r="P439" s="329">
        <f t="shared" si="315"/>
        <v>0</v>
      </c>
      <c r="Q439" s="338">
        <f t="shared" si="322"/>
        <v>0</v>
      </c>
      <c r="R439" s="329">
        <f t="shared" si="316"/>
        <v>0</v>
      </c>
      <c r="S439" s="338">
        <f t="shared" si="323"/>
        <v>0</v>
      </c>
      <c r="T439" s="329">
        <f t="shared" si="317"/>
        <v>0</v>
      </c>
      <c r="U439" s="338">
        <f t="shared" si="324"/>
        <v>0</v>
      </c>
      <c r="V439" s="329">
        <f t="shared" si="318"/>
        <v>0</v>
      </c>
      <c r="W439" s="338">
        <f t="shared" si="325"/>
        <v>0</v>
      </c>
      <c r="X439" s="35"/>
    </row>
    <row r="440" spans="1:24" x14ac:dyDescent="0.25">
      <c r="A440" s="335">
        <f>A439+1</f>
        <v>44062</v>
      </c>
      <c r="B440" s="49">
        <f t="shared" si="326"/>
        <v>0</v>
      </c>
      <c r="C440" s="338">
        <f t="shared" si="307"/>
        <v>44000000</v>
      </c>
      <c r="D440" s="329">
        <f t="shared" si="327"/>
        <v>0</v>
      </c>
      <c r="E440" s="338">
        <f t="shared" si="308"/>
        <v>32841822.33636301</v>
      </c>
      <c r="F440" s="329">
        <f t="shared" si="302"/>
        <v>0</v>
      </c>
      <c r="G440" s="338">
        <f t="shared" si="309"/>
        <v>25000000</v>
      </c>
      <c r="H440" s="329">
        <f t="shared" si="311"/>
        <v>0</v>
      </c>
      <c r="I440" s="338">
        <f t="shared" si="310"/>
        <v>22000000</v>
      </c>
      <c r="J440" s="329">
        <f t="shared" si="312"/>
        <v>0</v>
      </c>
      <c r="K440" s="338">
        <f t="shared" si="319"/>
        <v>0</v>
      </c>
      <c r="L440" s="329">
        <f t="shared" si="313"/>
        <v>0</v>
      </c>
      <c r="M440" s="338">
        <f t="shared" si="320"/>
        <v>0</v>
      </c>
      <c r="N440" s="329">
        <f t="shared" si="314"/>
        <v>0</v>
      </c>
      <c r="O440" s="338">
        <f t="shared" si="321"/>
        <v>0</v>
      </c>
      <c r="P440" s="329">
        <f t="shared" si="315"/>
        <v>0</v>
      </c>
      <c r="Q440" s="338">
        <f t="shared" si="322"/>
        <v>0</v>
      </c>
      <c r="R440" s="329">
        <f t="shared" si="316"/>
        <v>0</v>
      </c>
      <c r="S440" s="338">
        <f t="shared" si="323"/>
        <v>0</v>
      </c>
      <c r="T440" s="329">
        <f t="shared" si="317"/>
        <v>0</v>
      </c>
      <c r="U440" s="338">
        <f t="shared" si="324"/>
        <v>0</v>
      </c>
      <c r="V440" s="329">
        <f t="shared" si="318"/>
        <v>0</v>
      </c>
      <c r="W440" s="338">
        <f t="shared" si="325"/>
        <v>0</v>
      </c>
      <c r="X440" s="35"/>
    </row>
    <row r="441" spans="1:24" x14ac:dyDescent="0.25">
      <c r="A441" s="335">
        <f>A440+1</f>
        <v>44063</v>
      </c>
      <c r="B441" s="49">
        <f t="shared" si="326"/>
        <v>0</v>
      </c>
      <c r="C441" s="338">
        <f t="shared" si="307"/>
        <v>44000000</v>
      </c>
      <c r="D441" s="329">
        <f t="shared" si="327"/>
        <v>0</v>
      </c>
      <c r="E441" s="338">
        <f t="shared" si="308"/>
        <v>32841822.33636301</v>
      </c>
      <c r="F441" s="329">
        <f t="shared" si="302"/>
        <v>0</v>
      </c>
      <c r="G441" s="338">
        <f t="shared" si="309"/>
        <v>25000000</v>
      </c>
      <c r="H441" s="329">
        <f t="shared" si="311"/>
        <v>0</v>
      </c>
      <c r="I441" s="338">
        <f t="shared" si="310"/>
        <v>22000000</v>
      </c>
      <c r="J441" s="329">
        <f t="shared" si="312"/>
        <v>0</v>
      </c>
      <c r="K441" s="338">
        <f t="shared" si="319"/>
        <v>0</v>
      </c>
      <c r="L441" s="329">
        <f t="shared" si="313"/>
        <v>0</v>
      </c>
      <c r="M441" s="338">
        <f t="shared" si="320"/>
        <v>0</v>
      </c>
      <c r="N441" s="329">
        <f t="shared" si="314"/>
        <v>0</v>
      </c>
      <c r="O441" s="338">
        <f t="shared" si="321"/>
        <v>0</v>
      </c>
      <c r="P441" s="329">
        <f t="shared" si="315"/>
        <v>0</v>
      </c>
      <c r="Q441" s="338">
        <f t="shared" si="322"/>
        <v>0</v>
      </c>
      <c r="R441" s="329">
        <f t="shared" si="316"/>
        <v>0</v>
      </c>
      <c r="S441" s="338">
        <f t="shared" si="323"/>
        <v>0</v>
      </c>
      <c r="T441" s="329">
        <f t="shared" si="317"/>
        <v>0</v>
      </c>
      <c r="U441" s="338">
        <f t="shared" si="324"/>
        <v>0</v>
      </c>
      <c r="V441" s="329">
        <f t="shared" si="318"/>
        <v>0</v>
      </c>
      <c r="W441" s="338">
        <f t="shared" si="325"/>
        <v>0</v>
      </c>
      <c r="X441" s="35"/>
    </row>
    <row r="442" spans="1:24" x14ac:dyDescent="0.25">
      <c r="A442" s="335">
        <f>A441+1</f>
        <v>44064</v>
      </c>
      <c r="B442" s="49">
        <f t="shared" si="326"/>
        <v>0</v>
      </c>
      <c r="C442" s="338">
        <f t="shared" si="307"/>
        <v>44000000</v>
      </c>
      <c r="D442" s="329">
        <f t="shared" si="327"/>
        <v>0</v>
      </c>
      <c r="E442" s="338">
        <f t="shared" si="308"/>
        <v>32841822.33636301</v>
      </c>
      <c r="F442" s="329">
        <f t="shared" si="302"/>
        <v>0</v>
      </c>
      <c r="G442" s="338">
        <f t="shared" si="309"/>
        <v>25000000</v>
      </c>
      <c r="H442" s="329">
        <f t="shared" si="311"/>
        <v>0</v>
      </c>
      <c r="I442" s="338">
        <f t="shared" si="310"/>
        <v>22000000</v>
      </c>
      <c r="J442" s="329">
        <f t="shared" si="312"/>
        <v>0</v>
      </c>
      <c r="K442" s="338">
        <f t="shared" si="319"/>
        <v>0</v>
      </c>
      <c r="L442" s="329">
        <f t="shared" si="313"/>
        <v>0</v>
      </c>
      <c r="M442" s="338">
        <f t="shared" si="320"/>
        <v>0</v>
      </c>
      <c r="N442" s="329">
        <f t="shared" si="314"/>
        <v>0</v>
      </c>
      <c r="O442" s="338">
        <f t="shared" si="321"/>
        <v>0</v>
      </c>
      <c r="P442" s="329">
        <f t="shared" si="315"/>
        <v>0</v>
      </c>
      <c r="Q442" s="338">
        <f t="shared" si="322"/>
        <v>0</v>
      </c>
      <c r="R442" s="329">
        <f t="shared" si="316"/>
        <v>0</v>
      </c>
      <c r="S442" s="338">
        <f t="shared" si="323"/>
        <v>0</v>
      </c>
      <c r="T442" s="329">
        <f t="shared" si="317"/>
        <v>0</v>
      </c>
      <c r="U442" s="338">
        <f t="shared" si="324"/>
        <v>0</v>
      </c>
      <c r="V442" s="329">
        <f t="shared" si="318"/>
        <v>0</v>
      </c>
      <c r="W442" s="338">
        <f t="shared" si="325"/>
        <v>0</v>
      </c>
      <c r="X442" s="35"/>
    </row>
    <row r="443" spans="1:24" x14ac:dyDescent="0.25">
      <c r="A443" s="336">
        <f>A442+3</f>
        <v>44067</v>
      </c>
      <c r="B443" s="49">
        <f t="shared" si="326"/>
        <v>0</v>
      </c>
      <c r="C443" s="338">
        <f t="shared" si="307"/>
        <v>44000000</v>
      </c>
      <c r="D443" s="329">
        <f t="shared" si="327"/>
        <v>0</v>
      </c>
      <c r="E443" s="338">
        <f t="shared" si="308"/>
        <v>32841822.33636301</v>
      </c>
      <c r="F443" s="329">
        <f t="shared" si="302"/>
        <v>0</v>
      </c>
      <c r="G443" s="338">
        <f t="shared" si="309"/>
        <v>25000000</v>
      </c>
      <c r="H443" s="329">
        <f t="shared" si="311"/>
        <v>0</v>
      </c>
      <c r="I443" s="338">
        <f t="shared" si="310"/>
        <v>22000000</v>
      </c>
      <c r="J443" s="329">
        <f t="shared" si="312"/>
        <v>0</v>
      </c>
      <c r="K443" s="338">
        <f t="shared" si="319"/>
        <v>0</v>
      </c>
      <c r="L443" s="329">
        <f t="shared" si="313"/>
        <v>0</v>
      </c>
      <c r="M443" s="338">
        <f t="shared" si="320"/>
        <v>0</v>
      </c>
      <c r="N443" s="329">
        <f t="shared" si="314"/>
        <v>0</v>
      </c>
      <c r="O443" s="338">
        <f t="shared" si="321"/>
        <v>0</v>
      </c>
      <c r="P443" s="329">
        <f t="shared" si="315"/>
        <v>0</v>
      </c>
      <c r="Q443" s="338">
        <f t="shared" si="322"/>
        <v>0</v>
      </c>
      <c r="R443" s="329">
        <f t="shared" si="316"/>
        <v>0</v>
      </c>
      <c r="S443" s="338">
        <f t="shared" si="323"/>
        <v>0</v>
      </c>
      <c r="T443" s="329">
        <f t="shared" si="317"/>
        <v>0</v>
      </c>
      <c r="U443" s="338">
        <f t="shared" si="324"/>
        <v>0</v>
      </c>
      <c r="V443" s="329">
        <f t="shared" si="318"/>
        <v>0</v>
      </c>
      <c r="W443" s="338">
        <f t="shared" si="325"/>
        <v>0</v>
      </c>
      <c r="X443" s="35"/>
    </row>
    <row r="444" spans="1:24" x14ac:dyDescent="0.25">
      <c r="A444" s="335">
        <f>A443+1</f>
        <v>44068</v>
      </c>
      <c r="B444" s="49">
        <f t="shared" si="326"/>
        <v>0</v>
      </c>
      <c r="C444" s="338">
        <f t="shared" si="307"/>
        <v>44000000</v>
      </c>
      <c r="D444" s="329">
        <f t="shared" si="327"/>
        <v>0</v>
      </c>
      <c r="E444" s="338">
        <f t="shared" si="308"/>
        <v>32841822.33636301</v>
      </c>
      <c r="F444" s="329">
        <f t="shared" si="302"/>
        <v>0</v>
      </c>
      <c r="G444" s="338">
        <f t="shared" si="309"/>
        <v>25000000</v>
      </c>
      <c r="H444" s="329">
        <f t="shared" si="311"/>
        <v>0</v>
      </c>
      <c r="I444" s="338">
        <f t="shared" si="310"/>
        <v>22000000</v>
      </c>
      <c r="J444" s="329">
        <f t="shared" si="312"/>
        <v>0</v>
      </c>
      <c r="K444" s="338">
        <f t="shared" si="319"/>
        <v>0</v>
      </c>
      <c r="L444" s="329">
        <f t="shared" si="313"/>
        <v>0</v>
      </c>
      <c r="M444" s="338">
        <f t="shared" si="320"/>
        <v>0</v>
      </c>
      <c r="N444" s="329">
        <f t="shared" si="314"/>
        <v>0</v>
      </c>
      <c r="O444" s="338">
        <f t="shared" si="321"/>
        <v>0</v>
      </c>
      <c r="P444" s="329">
        <f t="shared" si="315"/>
        <v>0</v>
      </c>
      <c r="Q444" s="338">
        <f t="shared" si="322"/>
        <v>0</v>
      </c>
      <c r="R444" s="329">
        <f t="shared" si="316"/>
        <v>0</v>
      </c>
      <c r="S444" s="338">
        <f t="shared" si="323"/>
        <v>0</v>
      </c>
      <c r="T444" s="329">
        <f t="shared" si="317"/>
        <v>0</v>
      </c>
      <c r="U444" s="338">
        <f t="shared" si="324"/>
        <v>0</v>
      </c>
      <c r="V444" s="329">
        <f t="shared" si="318"/>
        <v>0</v>
      </c>
      <c r="W444" s="338">
        <f t="shared" si="325"/>
        <v>0</v>
      </c>
      <c r="X444" s="35"/>
    </row>
    <row r="445" spans="1:24" x14ac:dyDescent="0.25">
      <c r="A445" s="335">
        <f>A444+1</f>
        <v>44069</v>
      </c>
      <c r="B445" s="49">
        <f t="shared" si="326"/>
        <v>0</v>
      </c>
      <c r="C445" s="338">
        <f t="shared" si="307"/>
        <v>44000000</v>
      </c>
      <c r="D445" s="329">
        <f t="shared" si="327"/>
        <v>0</v>
      </c>
      <c r="E445" s="338">
        <f t="shared" si="308"/>
        <v>32841822.33636301</v>
      </c>
      <c r="F445" s="329">
        <f t="shared" si="302"/>
        <v>0</v>
      </c>
      <c r="G445" s="338">
        <f t="shared" si="309"/>
        <v>25000000</v>
      </c>
      <c r="H445" s="329">
        <f t="shared" si="311"/>
        <v>0</v>
      </c>
      <c r="I445" s="338">
        <f t="shared" si="310"/>
        <v>22000000</v>
      </c>
      <c r="J445" s="329">
        <f t="shared" si="312"/>
        <v>0</v>
      </c>
      <c r="K445" s="338">
        <f t="shared" si="319"/>
        <v>0</v>
      </c>
      <c r="L445" s="329">
        <f t="shared" si="313"/>
        <v>0</v>
      </c>
      <c r="M445" s="338">
        <f t="shared" si="320"/>
        <v>0</v>
      </c>
      <c r="N445" s="329">
        <f t="shared" si="314"/>
        <v>0</v>
      </c>
      <c r="O445" s="338">
        <f t="shared" si="321"/>
        <v>0</v>
      </c>
      <c r="P445" s="329">
        <f t="shared" si="315"/>
        <v>0</v>
      </c>
      <c r="Q445" s="338">
        <f t="shared" si="322"/>
        <v>0</v>
      </c>
      <c r="R445" s="329">
        <f t="shared" si="316"/>
        <v>0</v>
      </c>
      <c r="S445" s="338">
        <f t="shared" si="323"/>
        <v>0</v>
      </c>
      <c r="T445" s="329">
        <f t="shared" si="317"/>
        <v>0</v>
      </c>
      <c r="U445" s="338">
        <f t="shared" si="324"/>
        <v>0</v>
      </c>
      <c r="V445" s="329">
        <f t="shared" si="318"/>
        <v>0</v>
      </c>
      <c r="W445" s="338">
        <f t="shared" si="325"/>
        <v>0</v>
      </c>
      <c r="X445" s="35"/>
    </row>
    <row r="446" spans="1:24" x14ac:dyDescent="0.25">
      <c r="A446" s="335">
        <f>A445+1</f>
        <v>44070</v>
      </c>
      <c r="B446" s="49">
        <f t="shared" si="326"/>
        <v>0</v>
      </c>
      <c r="C446" s="338">
        <f t="shared" si="307"/>
        <v>44000000</v>
      </c>
      <c r="D446" s="329">
        <f t="shared" si="327"/>
        <v>0</v>
      </c>
      <c r="E446" s="338">
        <f t="shared" si="308"/>
        <v>32841822.33636301</v>
      </c>
      <c r="F446" s="329">
        <f t="shared" si="302"/>
        <v>0</v>
      </c>
      <c r="G446" s="338">
        <f t="shared" si="309"/>
        <v>25000000</v>
      </c>
      <c r="H446" s="329">
        <f t="shared" si="311"/>
        <v>0</v>
      </c>
      <c r="I446" s="338">
        <f t="shared" si="310"/>
        <v>22000000</v>
      </c>
      <c r="J446" s="329">
        <f t="shared" si="312"/>
        <v>0</v>
      </c>
      <c r="K446" s="338">
        <f t="shared" si="319"/>
        <v>0</v>
      </c>
      <c r="L446" s="329">
        <f t="shared" si="313"/>
        <v>0</v>
      </c>
      <c r="M446" s="338">
        <f t="shared" si="320"/>
        <v>0</v>
      </c>
      <c r="N446" s="329">
        <f t="shared" si="314"/>
        <v>0</v>
      </c>
      <c r="O446" s="338">
        <f t="shared" si="321"/>
        <v>0</v>
      </c>
      <c r="P446" s="329">
        <f t="shared" si="315"/>
        <v>0</v>
      </c>
      <c r="Q446" s="338">
        <f t="shared" si="322"/>
        <v>0</v>
      </c>
      <c r="R446" s="329">
        <f t="shared" si="316"/>
        <v>0</v>
      </c>
      <c r="S446" s="338">
        <f t="shared" si="323"/>
        <v>0</v>
      </c>
      <c r="T446" s="329">
        <f t="shared" si="317"/>
        <v>0</v>
      </c>
      <c r="U446" s="338">
        <f t="shared" si="324"/>
        <v>0</v>
      </c>
      <c r="V446" s="329">
        <f t="shared" si="318"/>
        <v>0</v>
      </c>
      <c r="W446" s="338">
        <f t="shared" si="325"/>
        <v>0</v>
      </c>
      <c r="X446" s="35"/>
    </row>
    <row r="447" spans="1:24" x14ac:dyDescent="0.25">
      <c r="A447" s="335">
        <f>A446+1</f>
        <v>44071</v>
      </c>
      <c r="B447" s="49">
        <f t="shared" si="326"/>
        <v>0</v>
      </c>
      <c r="C447" s="338">
        <f t="shared" si="307"/>
        <v>44000000</v>
      </c>
      <c r="D447" s="329">
        <f t="shared" si="327"/>
        <v>0</v>
      </c>
      <c r="E447" s="338">
        <f t="shared" si="308"/>
        <v>32841822.33636301</v>
      </c>
      <c r="F447" s="329">
        <f t="shared" si="302"/>
        <v>0</v>
      </c>
      <c r="G447" s="338">
        <f t="shared" si="309"/>
        <v>25000000</v>
      </c>
      <c r="H447" s="329">
        <f t="shared" si="311"/>
        <v>0</v>
      </c>
      <c r="I447" s="338">
        <f t="shared" si="310"/>
        <v>22000000</v>
      </c>
      <c r="J447" s="329">
        <f t="shared" si="312"/>
        <v>0</v>
      </c>
      <c r="K447" s="338">
        <f t="shared" si="319"/>
        <v>0</v>
      </c>
      <c r="L447" s="329">
        <f t="shared" si="313"/>
        <v>0</v>
      </c>
      <c r="M447" s="338">
        <f t="shared" si="320"/>
        <v>0</v>
      </c>
      <c r="N447" s="329">
        <f t="shared" si="314"/>
        <v>0</v>
      </c>
      <c r="O447" s="338">
        <f t="shared" si="321"/>
        <v>0</v>
      </c>
      <c r="P447" s="329">
        <f t="shared" si="315"/>
        <v>0</v>
      </c>
      <c r="Q447" s="338">
        <f t="shared" si="322"/>
        <v>0</v>
      </c>
      <c r="R447" s="329">
        <f t="shared" si="316"/>
        <v>0</v>
      </c>
      <c r="S447" s="338">
        <f t="shared" si="323"/>
        <v>0</v>
      </c>
      <c r="T447" s="329">
        <f t="shared" si="317"/>
        <v>0</v>
      </c>
      <c r="U447" s="338">
        <f t="shared" si="324"/>
        <v>0</v>
      </c>
      <c r="V447" s="329">
        <f t="shared" si="318"/>
        <v>0</v>
      </c>
      <c r="W447" s="338">
        <f t="shared" si="325"/>
        <v>0</v>
      </c>
      <c r="X447" s="35"/>
    </row>
    <row r="448" spans="1:24" x14ac:dyDescent="0.25">
      <c r="A448" s="336">
        <f>A447+3</f>
        <v>44074</v>
      </c>
      <c r="B448" s="49">
        <f t="shared" si="326"/>
        <v>0</v>
      </c>
      <c r="C448" s="338">
        <f t="shared" si="307"/>
        <v>44000000</v>
      </c>
      <c r="D448" s="329">
        <f t="shared" si="327"/>
        <v>0</v>
      </c>
      <c r="E448" s="338">
        <f t="shared" si="308"/>
        <v>32841822.33636301</v>
      </c>
      <c r="F448" s="329">
        <f t="shared" si="302"/>
        <v>0</v>
      </c>
      <c r="G448" s="338">
        <f t="shared" si="309"/>
        <v>25000000</v>
      </c>
      <c r="H448" s="329">
        <f t="shared" si="311"/>
        <v>0</v>
      </c>
      <c r="I448" s="338">
        <f t="shared" si="310"/>
        <v>22000000</v>
      </c>
      <c r="J448" s="329">
        <f t="shared" si="312"/>
        <v>0</v>
      </c>
      <c r="K448" s="338">
        <f t="shared" si="319"/>
        <v>0</v>
      </c>
      <c r="L448" s="329">
        <f t="shared" si="313"/>
        <v>0</v>
      </c>
      <c r="M448" s="338">
        <f t="shared" si="320"/>
        <v>0</v>
      </c>
      <c r="N448" s="329">
        <f t="shared" si="314"/>
        <v>0</v>
      </c>
      <c r="O448" s="338">
        <f t="shared" si="321"/>
        <v>0</v>
      </c>
      <c r="P448" s="329">
        <f t="shared" si="315"/>
        <v>0</v>
      </c>
      <c r="Q448" s="338">
        <f t="shared" si="322"/>
        <v>0</v>
      </c>
      <c r="R448" s="329">
        <f t="shared" si="316"/>
        <v>0</v>
      </c>
      <c r="S448" s="338">
        <f t="shared" si="323"/>
        <v>0</v>
      </c>
      <c r="T448" s="329">
        <f t="shared" si="317"/>
        <v>0</v>
      </c>
      <c r="U448" s="338">
        <f t="shared" si="324"/>
        <v>0</v>
      </c>
      <c r="V448" s="329">
        <f t="shared" si="318"/>
        <v>0</v>
      </c>
      <c r="W448" s="338">
        <f t="shared" si="325"/>
        <v>0</v>
      </c>
      <c r="X448" s="35"/>
    </row>
    <row r="449" spans="1:24" x14ac:dyDescent="0.25">
      <c r="A449" s="335">
        <f>A448+1</f>
        <v>44075</v>
      </c>
      <c r="B449" s="49">
        <f t="shared" si="326"/>
        <v>0</v>
      </c>
      <c r="C449" s="338">
        <f t="shared" si="307"/>
        <v>44000000</v>
      </c>
      <c r="D449" s="329">
        <f t="shared" si="327"/>
        <v>0</v>
      </c>
      <c r="E449" s="338">
        <f t="shared" si="308"/>
        <v>32841822.33636301</v>
      </c>
      <c r="F449" s="329">
        <f t="shared" si="302"/>
        <v>0</v>
      </c>
      <c r="G449" s="338">
        <f t="shared" si="309"/>
        <v>25000000</v>
      </c>
      <c r="H449" s="329">
        <f t="shared" si="311"/>
        <v>0</v>
      </c>
      <c r="I449" s="338">
        <f t="shared" si="310"/>
        <v>22000000</v>
      </c>
      <c r="J449" s="329">
        <f t="shared" si="312"/>
        <v>0</v>
      </c>
      <c r="K449" s="338">
        <f t="shared" si="319"/>
        <v>0</v>
      </c>
      <c r="L449" s="329">
        <f t="shared" si="313"/>
        <v>0</v>
      </c>
      <c r="M449" s="338">
        <f t="shared" si="320"/>
        <v>0</v>
      </c>
      <c r="N449" s="329">
        <f t="shared" si="314"/>
        <v>0</v>
      </c>
      <c r="O449" s="338">
        <f t="shared" si="321"/>
        <v>0</v>
      </c>
      <c r="P449" s="329">
        <f t="shared" si="315"/>
        <v>0</v>
      </c>
      <c r="Q449" s="338">
        <f t="shared" si="322"/>
        <v>0</v>
      </c>
      <c r="R449" s="329">
        <f t="shared" si="316"/>
        <v>0</v>
      </c>
      <c r="S449" s="338">
        <f t="shared" si="323"/>
        <v>0</v>
      </c>
      <c r="T449" s="329">
        <f t="shared" si="317"/>
        <v>0</v>
      </c>
      <c r="U449" s="338">
        <f t="shared" si="324"/>
        <v>0</v>
      </c>
      <c r="V449" s="329">
        <f t="shared" si="318"/>
        <v>0</v>
      </c>
      <c r="W449" s="338">
        <f t="shared" si="325"/>
        <v>0</v>
      </c>
      <c r="X449" s="35"/>
    </row>
    <row r="450" spans="1:24" x14ac:dyDescent="0.25">
      <c r="A450" s="335">
        <f>A449+1</f>
        <v>44076</v>
      </c>
      <c r="B450" s="49">
        <f t="shared" si="326"/>
        <v>0</v>
      </c>
      <c r="C450" s="338">
        <f t="shared" si="307"/>
        <v>44000000</v>
      </c>
      <c r="D450" s="329">
        <f t="shared" si="327"/>
        <v>0</v>
      </c>
      <c r="E450" s="338">
        <f t="shared" si="308"/>
        <v>32841822.33636301</v>
      </c>
      <c r="F450" s="329">
        <f t="shared" si="302"/>
        <v>0</v>
      </c>
      <c r="G450" s="338">
        <f t="shared" si="309"/>
        <v>25000000</v>
      </c>
      <c r="H450" s="329">
        <f t="shared" si="311"/>
        <v>0</v>
      </c>
      <c r="I450" s="338">
        <f t="shared" si="310"/>
        <v>22000000</v>
      </c>
      <c r="J450" s="329">
        <f t="shared" si="312"/>
        <v>0</v>
      </c>
      <c r="K450" s="338">
        <f t="shared" si="319"/>
        <v>0</v>
      </c>
      <c r="L450" s="329">
        <f t="shared" si="313"/>
        <v>0</v>
      </c>
      <c r="M450" s="338">
        <f t="shared" si="320"/>
        <v>0</v>
      </c>
      <c r="N450" s="329">
        <f t="shared" si="314"/>
        <v>0</v>
      </c>
      <c r="O450" s="338">
        <f t="shared" si="321"/>
        <v>0</v>
      </c>
      <c r="P450" s="329">
        <f t="shared" si="315"/>
        <v>0</v>
      </c>
      <c r="Q450" s="338">
        <f t="shared" si="322"/>
        <v>0</v>
      </c>
      <c r="R450" s="329">
        <f t="shared" si="316"/>
        <v>0</v>
      </c>
      <c r="S450" s="338">
        <f t="shared" si="323"/>
        <v>0</v>
      </c>
      <c r="T450" s="329">
        <f t="shared" si="317"/>
        <v>0</v>
      </c>
      <c r="U450" s="338">
        <f t="shared" si="324"/>
        <v>0</v>
      </c>
      <c r="V450" s="329">
        <f t="shared" si="318"/>
        <v>0</v>
      </c>
      <c r="W450" s="338">
        <f t="shared" si="325"/>
        <v>0</v>
      </c>
      <c r="X450" s="35"/>
    </row>
    <row r="451" spans="1:24" x14ac:dyDescent="0.25">
      <c r="A451" s="335">
        <f>A450+1</f>
        <v>44077</v>
      </c>
      <c r="B451" s="49">
        <f t="shared" si="326"/>
        <v>0</v>
      </c>
      <c r="C451" s="338">
        <f t="shared" si="307"/>
        <v>44000000</v>
      </c>
      <c r="D451" s="329">
        <f t="shared" si="327"/>
        <v>0</v>
      </c>
      <c r="E451" s="338">
        <f t="shared" si="308"/>
        <v>32841822.33636301</v>
      </c>
      <c r="F451" s="329">
        <f t="shared" ref="F451:F514" si="328">SUMIFS(Usage_Main,CF_Dates,$A451,CF_Descriptions,"EASTCYPRESS1 Change")</f>
        <v>0</v>
      </c>
      <c r="G451" s="338">
        <f t="shared" si="309"/>
        <v>25000000</v>
      </c>
      <c r="H451" s="329">
        <f t="shared" si="311"/>
        <v>0</v>
      </c>
      <c r="I451" s="338">
        <f t="shared" si="310"/>
        <v>22000000</v>
      </c>
      <c r="J451" s="329">
        <f t="shared" si="312"/>
        <v>0</v>
      </c>
      <c r="K451" s="338">
        <f t="shared" si="319"/>
        <v>0</v>
      </c>
      <c r="L451" s="329">
        <f t="shared" si="313"/>
        <v>0</v>
      </c>
      <c r="M451" s="338">
        <f t="shared" si="320"/>
        <v>0</v>
      </c>
      <c r="N451" s="329">
        <f t="shared" si="314"/>
        <v>0</v>
      </c>
      <c r="O451" s="338">
        <f t="shared" si="321"/>
        <v>0</v>
      </c>
      <c r="P451" s="329">
        <f t="shared" si="315"/>
        <v>0</v>
      </c>
      <c r="Q451" s="338">
        <f t="shared" si="322"/>
        <v>0</v>
      </c>
      <c r="R451" s="329">
        <f t="shared" si="316"/>
        <v>0</v>
      </c>
      <c r="S451" s="338">
        <f t="shared" si="323"/>
        <v>0</v>
      </c>
      <c r="T451" s="329">
        <f t="shared" si="317"/>
        <v>0</v>
      </c>
      <c r="U451" s="338">
        <f t="shared" si="324"/>
        <v>0</v>
      </c>
      <c r="V451" s="329">
        <f t="shared" si="318"/>
        <v>0</v>
      </c>
      <c r="W451" s="338">
        <f t="shared" si="325"/>
        <v>0</v>
      </c>
      <c r="X451" s="35"/>
    </row>
    <row r="452" spans="1:24" x14ac:dyDescent="0.25">
      <c r="A452" s="335">
        <f>A451+1</f>
        <v>44078</v>
      </c>
      <c r="B452" s="49">
        <f t="shared" si="326"/>
        <v>0</v>
      </c>
      <c r="C452" s="338">
        <f t="shared" si="307"/>
        <v>44000000</v>
      </c>
      <c r="D452" s="329">
        <f t="shared" si="327"/>
        <v>0</v>
      </c>
      <c r="E452" s="338">
        <f t="shared" si="308"/>
        <v>32841822.33636301</v>
      </c>
      <c r="F452" s="329">
        <f t="shared" si="328"/>
        <v>0</v>
      </c>
      <c r="G452" s="338">
        <f t="shared" si="309"/>
        <v>25000000</v>
      </c>
      <c r="H452" s="329">
        <f t="shared" si="311"/>
        <v>0</v>
      </c>
      <c r="I452" s="338">
        <f t="shared" si="310"/>
        <v>22000000</v>
      </c>
      <c r="J452" s="329">
        <f t="shared" si="312"/>
        <v>0</v>
      </c>
      <c r="K452" s="338">
        <f t="shared" si="319"/>
        <v>0</v>
      </c>
      <c r="L452" s="329">
        <f t="shared" si="313"/>
        <v>0</v>
      </c>
      <c r="M452" s="338">
        <f t="shared" si="320"/>
        <v>0</v>
      </c>
      <c r="N452" s="329">
        <f t="shared" si="314"/>
        <v>0</v>
      </c>
      <c r="O452" s="338">
        <f t="shared" si="321"/>
        <v>0</v>
      </c>
      <c r="P452" s="329">
        <f t="shared" si="315"/>
        <v>0</v>
      </c>
      <c r="Q452" s="338">
        <f t="shared" si="322"/>
        <v>0</v>
      </c>
      <c r="R452" s="329">
        <f t="shared" si="316"/>
        <v>0</v>
      </c>
      <c r="S452" s="338">
        <f t="shared" si="323"/>
        <v>0</v>
      </c>
      <c r="T452" s="329">
        <f t="shared" si="317"/>
        <v>0</v>
      </c>
      <c r="U452" s="338">
        <f t="shared" si="324"/>
        <v>0</v>
      </c>
      <c r="V452" s="329">
        <f t="shared" si="318"/>
        <v>0</v>
      </c>
      <c r="W452" s="338">
        <f t="shared" si="325"/>
        <v>0</v>
      </c>
      <c r="X452" s="35"/>
    </row>
    <row r="453" spans="1:24" x14ac:dyDescent="0.25">
      <c r="A453" s="336">
        <f>A452+4</f>
        <v>44082</v>
      </c>
      <c r="B453" s="49">
        <f t="shared" si="326"/>
        <v>2000000</v>
      </c>
      <c r="C453" s="338">
        <f t="shared" si="307"/>
        <v>46000000</v>
      </c>
      <c r="D453" s="329">
        <f t="shared" si="327"/>
        <v>0</v>
      </c>
      <c r="E453" s="338">
        <f t="shared" si="308"/>
        <v>32841822.33636301</v>
      </c>
      <c r="F453" s="329">
        <f t="shared" si="328"/>
        <v>0</v>
      </c>
      <c r="G453" s="338">
        <f t="shared" si="309"/>
        <v>25000000</v>
      </c>
      <c r="H453" s="329">
        <f t="shared" si="311"/>
        <v>0</v>
      </c>
      <c r="I453" s="338">
        <f t="shared" si="310"/>
        <v>22000000</v>
      </c>
      <c r="J453" s="329">
        <f t="shared" si="312"/>
        <v>0</v>
      </c>
      <c r="K453" s="338">
        <f t="shared" si="319"/>
        <v>0</v>
      </c>
      <c r="L453" s="329">
        <f t="shared" si="313"/>
        <v>0</v>
      </c>
      <c r="M453" s="338">
        <f t="shared" si="320"/>
        <v>0</v>
      </c>
      <c r="N453" s="329">
        <f t="shared" si="314"/>
        <v>0</v>
      </c>
      <c r="O453" s="338">
        <f t="shared" si="321"/>
        <v>0</v>
      </c>
      <c r="P453" s="329">
        <f t="shared" si="315"/>
        <v>0</v>
      </c>
      <c r="Q453" s="338">
        <f t="shared" si="322"/>
        <v>0</v>
      </c>
      <c r="R453" s="329">
        <f t="shared" si="316"/>
        <v>0</v>
      </c>
      <c r="S453" s="338">
        <f t="shared" si="323"/>
        <v>0</v>
      </c>
      <c r="T453" s="329">
        <f t="shared" si="317"/>
        <v>0</v>
      </c>
      <c r="U453" s="338">
        <f t="shared" si="324"/>
        <v>0</v>
      </c>
      <c r="V453" s="329">
        <f t="shared" si="318"/>
        <v>0</v>
      </c>
      <c r="W453" s="338">
        <f t="shared" si="325"/>
        <v>0</v>
      </c>
      <c r="X453" s="35"/>
    </row>
    <row r="454" spans="1:24" x14ac:dyDescent="0.25">
      <c r="A454" s="335">
        <f>A453+1</f>
        <v>44083</v>
      </c>
      <c r="B454" s="49">
        <f t="shared" si="326"/>
        <v>0</v>
      </c>
      <c r="C454" s="338">
        <f t="shared" si="307"/>
        <v>46000000</v>
      </c>
      <c r="D454" s="329">
        <f t="shared" si="327"/>
        <v>0</v>
      </c>
      <c r="E454" s="338">
        <f t="shared" si="308"/>
        <v>32841822.33636301</v>
      </c>
      <c r="F454" s="329">
        <f t="shared" si="328"/>
        <v>0</v>
      </c>
      <c r="G454" s="338">
        <f t="shared" si="309"/>
        <v>25000000</v>
      </c>
      <c r="H454" s="329">
        <f t="shared" si="311"/>
        <v>0</v>
      </c>
      <c r="I454" s="338">
        <f t="shared" si="310"/>
        <v>22000000</v>
      </c>
      <c r="J454" s="329">
        <f t="shared" si="312"/>
        <v>0</v>
      </c>
      <c r="K454" s="338">
        <f t="shared" si="319"/>
        <v>0</v>
      </c>
      <c r="L454" s="329">
        <f t="shared" si="313"/>
        <v>0</v>
      </c>
      <c r="M454" s="338">
        <f t="shared" si="320"/>
        <v>0</v>
      </c>
      <c r="N454" s="329">
        <f t="shared" si="314"/>
        <v>0</v>
      </c>
      <c r="O454" s="338">
        <f t="shared" si="321"/>
        <v>0</v>
      </c>
      <c r="P454" s="329">
        <f t="shared" si="315"/>
        <v>0</v>
      </c>
      <c r="Q454" s="338">
        <f t="shared" si="322"/>
        <v>0</v>
      </c>
      <c r="R454" s="329">
        <f t="shared" si="316"/>
        <v>0</v>
      </c>
      <c r="S454" s="338">
        <f t="shared" si="323"/>
        <v>0</v>
      </c>
      <c r="T454" s="329">
        <f t="shared" si="317"/>
        <v>0</v>
      </c>
      <c r="U454" s="338">
        <f t="shared" si="324"/>
        <v>0</v>
      </c>
      <c r="V454" s="329">
        <f t="shared" si="318"/>
        <v>0</v>
      </c>
      <c r="W454" s="338">
        <f t="shared" si="325"/>
        <v>0</v>
      </c>
      <c r="X454" s="35"/>
    </row>
    <row r="455" spans="1:24" x14ac:dyDescent="0.25">
      <c r="A455" s="335">
        <f>A454+1</f>
        <v>44084</v>
      </c>
      <c r="B455" s="49">
        <f t="shared" si="326"/>
        <v>0</v>
      </c>
      <c r="C455" s="338">
        <f t="shared" si="307"/>
        <v>46000000</v>
      </c>
      <c r="D455" s="329">
        <f t="shared" si="327"/>
        <v>0</v>
      </c>
      <c r="E455" s="338">
        <f t="shared" si="308"/>
        <v>32841822.33636301</v>
      </c>
      <c r="F455" s="329">
        <f t="shared" si="328"/>
        <v>0</v>
      </c>
      <c r="G455" s="338">
        <f t="shared" si="309"/>
        <v>25000000</v>
      </c>
      <c r="H455" s="329">
        <f t="shared" si="311"/>
        <v>0</v>
      </c>
      <c r="I455" s="338">
        <f t="shared" si="310"/>
        <v>22000000</v>
      </c>
      <c r="J455" s="329">
        <f t="shared" si="312"/>
        <v>0</v>
      </c>
      <c r="K455" s="338">
        <f t="shared" si="319"/>
        <v>0</v>
      </c>
      <c r="L455" s="329">
        <f t="shared" si="313"/>
        <v>0</v>
      </c>
      <c r="M455" s="338">
        <f t="shared" si="320"/>
        <v>0</v>
      </c>
      <c r="N455" s="329">
        <f t="shared" si="314"/>
        <v>0</v>
      </c>
      <c r="O455" s="338">
        <f t="shared" si="321"/>
        <v>0</v>
      </c>
      <c r="P455" s="329">
        <f t="shared" si="315"/>
        <v>0</v>
      </c>
      <c r="Q455" s="338">
        <f t="shared" si="322"/>
        <v>0</v>
      </c>
      <c r="R455" s="329">
        <f t="shared" si="316"/>
        <v>0</v>
      </c>
      <c r="S455" s="338">
        <f t="shared" si="323"/>
        <v>0</v>
      </c>
      <c r="T455" s="329">
        <f t="shared" si="317"/>
        <v>0</v>
      </c>
      <c r="U455" s="338">
        <f t="shared" si="324"/>
        <v>0</v>
      </c>
      <c r="V455" s="329">
        <f t="shared" si="318"/>
        <v>0</v>
      </c>
      <c r="W455" s="338">
        <f t="shared" si="325"/>
        <v>0</v>
      </c>
      <c r="X455" s="35"/>
    </row>
    <row r="456" spans="1:24" x14ac:dyDescent="0.25">
      <c r="A456" s="335">
        <f>A455+1</f>
        <v>44085</v>
      </c>
      <c r="B456" s="49">
        <f t="shared" si="326"/>
        <v>0</v>
      </c>
      <c r="C456" s="338">
        <f t="shared" si="307"/>
        <v>46000000</v>
      </c>
      <c r="D456" s="329">
        <f t="shared" si="327"/>
        <v>0</v>
      </c>
      <c r="E456" s="338">
        <f t="shared" si="308"/>
        <v>32841822.33636301</v>
      </c>
      <c r="F456" s="329">
        <f t="shared" si="328"/>
        <v>0</v>
      </c>
      <c r="G456" s="338">
        <f t="shared" si="309"/>
        <v>25000000</v>
      </c>
      <c r="H456" s="329">
        <f t="shared" si="311"/>
        <v>0</v>
      </c>
      <c r="I456" s="338">
        <f t="shared" si="310"/>
        <v>22000000</v>
      </c>
      <c r="J456" s="329">
        <f t="shared" si="312"/>
        <v>0</v>
      </c>
      <c r="K456" s="338">
        <f t="shared" si="319"/>
        <v>0</v>
      </c>
      <c r="L456" s="329">
        <f t="shared" si="313"/>
        <v>0</v>
      </c>
      <c r="M456" s="338">
        <f t="shared" si="320"/>
        <v>0</v>
      </c>
      <c r="N456" s="329">
        <f t="shared" si="314"/>
        <v>0</v>
      </c>
      <c r="O456" s="338">
        <f t="shared" si="321"/>
        <v>0</v>
      </c>
      <c r="P456" s="329">
        <f t="shared" si="315"/>
        <v>0</v>
      </c>
      <c r="Q456" s="338">
        <f t="shared" si="322"/>
        <v>0</v>
      </c>
      <c r="R456" s="329">
        <f t="shared" si="316"/>
        <v>0</v>
      </c>
      <c r="S456" s="338">
        <f t="shared" si="323"/>
        <v>0</v>
      </c>
      <c r="T456" s="329">
        <f t="shared" si="317"/>
        <v>0</v>
      </c>
      <c r="U456" s="338">
        <f t="shared" si="324"/>
        <v>0</v>
      </c>
      <c r="V456" s="329">
        <f t="shared" si="318"/>
        <v>0</v>
      </c>
      <c r="W456" s="338">
        <f t="shared" si="325"/>
        <v>0</v>
      </c>
      <c r="X456" s="35"/>
    </row>
    <row r="457" spans="1:24" x14ac:dyDescent="0.25">
      <c r="A457" s="336">
        <f>A456+3</f>
        <v>44088</v>
      </c>
      <c r="B457" s="49">
        <f t="shared" si="326"/>
        <v>0</v>
      </c>
      <c r="C457" s="338">
        <f t="shared" si="307"/>
        <v>46000000</v>
      </c>
      <c r="D457" s="329">
        <f t="shared" si="327"/>
        <v>0</v>
      </c>
      <c r="E457" s="338">
        <f t="shared" si="308"/>
        <v>32841822.33636301</v>
      </c>
      <c r="F457" s="329">
        <f t="shared" si="328"/>
        <v>0</v>
      </c>
      <c r="G457" s="338">
        <f t="shared" si="309"/>
        <v>25000000</v>
      </c>
      <c r="H457" s="329">
        <f t="shared" si="311"/>
        <v>0</v>
      </c>
      <c r="I457" s="338">
        <f t="shared" si="310"/>
        <v>22000000</v>
      </c>
      <c r="J457" s="329">
        <f t="shared" si="312"/>
        <v>0</v>
      </c>
      <c r="K457" s="338">
        <f t="shared" si="319"/>
        <v>0</v>
      </c>
      <c r="L457" s="329">
        <f t="shared" si="313"/>
        <v>0</v>
      </c>
      <c r="M457" s="338">
        <f t="shared" si="320"/>
        <v>0</v>
      </c>
      <c r="N457" s="329">
        <f t="shared" si="314"/>
        <v>0</v>
      </c>
      <c r="O457" s="338">
        <f t="shared" si="321"/>
        <v>0</v>
      </c>
      <c r="P457" s="329">
        <f t="shared" si="315"/>
        <v>0</v>
      </c>
      <c r="Q457" s="338">
        <f t="shared" si="322"/>
        <v>0</v>
      </c>
      <c r="R457" s="329">
        <f t="shared" si="316"/>
        <v>0</v>
      </c>
      <c r="S457" s="338">
        <f t="shared" si="323"/>
        <v>0</v>
      </c>
      <c r="T457" s="329">
        <f t="shared" si="317"/>
        <v>0</v>
      </c>
      <c r="U457" s="338">
        <f t="shared" si="324"/>
        <v>0</v>
      </c>
      <c r="V457" s="329">
        <f t="shared" si="318"/>
        <v>0</v>
      </c>
      <c r="W457" s="338">
        <f t="shared" si="325"/>
        <v>0</v>
      </c>
      <c r="X457" s="35"/>
    </row>
    <row r="458" spans="1:24" x14ac:dyDescent="0.25">
      <c r="A458" s="335">
        <f>A457+1</f>
        <v>44089</v>
      </c>
      <c r="B458" s="49">
        <f t="shared" si="326"/>
        <v>0</v>
      </c>
      <c r="C458" s="338">
        <f t="shared" si="307"/>
        <v>46000000</v>
      </c>
      <c r="D458" s="329">
        <f t="shared" si="327"/>
        <v>0</v>
      </c>
      <c r="E458" s="338">
        <f t="shared" si="308"/>
        <v>32841822.33636301</v>
      </c>
      <c r="F458" s="329">
        <f t="shared" si="328"/>
        <v>0</v>
      </c>
      <c r="G458" s="338">
        <f t="shared" si="309"/>
        <v>25000000</v>
      </c>
      <c r="H458" s="329">
        <f t="shared" si="311"/>
        <v>0</v>
      </c>
      <c r="I458" s="338">
        <f t="shared" si="310"/>
        <v>22000000</v>
      </c>
      <c r="J458" s="329">
        <f t="shared" si="312"/>
        <v>0</v>
      </c>
      <c r="K458" s="338">
        <f t="shared" si="319"/>
        <v>0</v>
      </c>
      <c r="L458" s="329">
        <f t="shared" si="313"/>
        <v>0</v>
      </c>
      <c r="M458" s="338">
        <f t="shared" si="320"/>
        <v>0</v>
      </c>
      <c r="N458" s="329">
        <f t="shared" si="314"/>
        <v>0</v>
      </c>
      <c r="O458" s="338">
        <f t="shared" si="321"/>
        <v>0</v>
      </c>
      <c r="P458" s="329">
        <f t="shared" si="315"/>
        <v>0</v>
      </c>
      <c r="Q458" s="338">
        <f t="shared" si="322"/>
        <v>0</v>
      </c>
      <c r="R458" s="329">
        <f t="shared" si="316"/>
        <v>0</v>
      </c>
      <c r="S458" s="338">
        <f t="shared" si="323"/>
        <v>0</v>
      </c>
      <c r="T458" s="329">
        <f t="shared" si="317"/>
        <v>0</v>
      </c>
      <c r="U458" s="338">
        <f t="shared" si="324"/>
        <v>0</v>
      </c>
      <c r="V458" s="329">
        <f t="shared" si="318"/>
        <v>0</v>
      </c>
      <c r="W458" s="338">
        <f t="shared" si="325"/>
        <v>0</v>
      </c>
      <c r="X458" s="35"/>
    </row>
    <row r="459" spans="1:24" x14ac:dyDescent="0.25">
      <c r="A459" s="335">
        <f>A458+1</f>
        <v>44090</v>
      </c>
      <c r="B459" s="49">
        <f t="shared" si="326"/>
        <v>5000000</v>
      </c>
      <c r="C459" s="338">
        <f t="shared" si="307"/>
        <v>51000000</v>
      </c>
      <c r="D459" s="329">
        <f t="shared" si="327"/>
        <v>60875.684308700264</v>
      </c>
      <c r="E459" s="338">
        <f t="shared" si="308"/>
        <v>32902698.02067171</v>
      </c>
      <c r="F459" s="329">
        <f t="shared" si="328"/>
        <v>0</v>
      </c>
      <c r="G459" s="338">
        <f t="shared" si="309"/>
        <v>25000000</v>
      </c>
      <c r="H459" s="329">
        <f t="shared" si="311"/>
        <v>-2278094</v>
      </c>
      <c r="I459" s="338">
        <f t="shared" si="310"/>
        <v>19721906</v>
      </c>
      <c r="J459" s="329">
        <f t="shared" si="312"/>
        <v>0</v>
      </c>
      <c r="K459" s="338">
        <f t="shared" si="319"/>
        <v>0</v>
      </c>
      <c r="L459" s="329">
        <f t="shared" si="313"/>
        <v>0</v>
      </c>
      <c r="M459" s="338">
        <f t="shared" si="320"/>
        <v>0</v>
      </c>
      <c r="N459" s="329">
        <f t="shared" si="314"/>
        <v>0</v>
      </c>
      <c r="O459" s="338">
        <f t="shared" si="321"/>
        <v>0</v>
      </c>
      <c r="P459" s="329">
        <f t="shared" si="315"/>
        <v>0</v>
      </c>
      <c r="Q459" s="338">
        <f t="shared" si="322"/>
        <v>0</v>
      </c>
      <c r="R459" s="329">
        <f t="shared" si="316"/>
        <v>0</v>
      </c>
      <c r="S459" s="338">
        <f t="shared" si="323"/>
        <v>0</v>
      </c>
      <c r="T459" s="329">
        <f t="shared" si="317"/>
        <v>0</v>
      </c>
      <c r="U459" s="338">
        <f t="shared" si="324"/>
        <v>0</v>
      </c>
      <c r="V459" s="329">
        <f t="shared" si="318"/>
        <v>0</v>
      </c>
      <c r="W459" s="338">
        <f t="shared" si="325"/>
        <v>0</v>
      </c>
      <c r="X459" s="35"/>
    </row>
    <row r="460" spans="1:24" x14ac:dyDescent="0.25">
      <c r="A460" s="335">
        <f>A459+1</f>
        <v>44091</v>
      </c>
      <c r="B460" s="49">
        <f t="shared" si="326"/>
        <v>0</v>
      </c>
      <c r="C460" s="338">
        <f t="shared" si="307"/>
        <v>51000000</v>
      </c>
      <c r="D460" s="329">
        <f t="shared" si="327"/>
        <v>0</v>
      </c>
      <c r="E460" s="338">
        <f t="shared" si="308"/>
        <v>32902698.02067171</v>
      </c>
      <c r="F460" s="329">
        <f t="shared" si="328"/>
        <v>0</v>
      </c>
      <c r="G460" s="338">
        <f t="shared" si="309"/>
        <v>25000000</v>
      </c>
      <c r="H460" s="329">
        <f t="shared" si="311"/>
        <v>0</v>
      </c>
      <c r="I460" s="338">
        <f t="shared" si="310"/>
        <v>19721906</v>
      </c>
      <c r="J460" s="329">
        <f t="shared" si="312"/>
        <v>0</v>
      </c>
      <c r="K460" s="338">
        <f t="shared" si="319"/>
        <v>0</v>
      </c>
      <c r="L460" s="329">
        <f t="shared" si="313"/>
        <v>0</v>
      </c>
      <c r="M460" s="338">
        <f t="shared" si="320"/>
        <v>0</v>
      </c>
      <c r="N460" s="329">
        <f t="shared" si="314"/>
        <v>0</v>
      </c>
      <c r="O460" s="338">
        <f t="shared" si="321"/>
        <v>0</v>
      </c>
      <c r="P460" s="329">
        <f t="shared" si="315"/>
        <v>0</v>
      </c>
      <c r="Q460" s="338">
        <f t="shared" si="322"/>
        <v>0</v>
      </c>
      <c r="R460" s="329">
        <f t="shared" si="316"/>
        <v>0</v>
      </c>
      <c r="S460" s="338">
        <f t="shared" si="323"/>
        <v>0</v>
      </c>
      <c r="T460" s="329">
        <f t="shared" si="317"/>
        <v>0</v>
      </c>
      <c r="U460" s="338">
        <f t="shared" si="324"/>
        <v>0</v>
      </c>
      <c r="V460" s="329">
        <f t="shared" si="318"/>
        <v>0</v>
      </c>
      <c r="W460" s="338">
        <f t="shared" si="325"/>
        <v>0</v>
      </c>
      <c r="X460" s="35"/>
    </row>
    <row r="461" spans="1:24" x14ac:dyDescent="0.25">
      <c r="A461" s="335">
        <f>A460+1</f>
        <v>44092</v>
      </c>
      <c r="B461" s="49">
        <f t="shared" si="326"/>
        <v>0</v>
      </c>
      <c r="C461" s="338">
        <f t="shared" si="307"/>
        <v>51000000</v>
      </c>
      <c r="D461" s="329">
        <f t="shared" si="327"/>
        <v>0</v>
      </c>
      <c r="E461" s="338">
        <f t="shared" si="308"/>
        <v>32902698.02067171</v>
      </c>
      <c r="F461" s="329">
        <f t="shared" si="328"/>
        <v>0</v>
      </c>
      <c r="G461" s="338">
        <f t="shared" si="309"/>
        <v>25000000</v>
      </c>
      <c r="H461" s="329">
        <f t="shared" si="311"/>
        <v>0</v>
      </c>
      <c r="I461" s="338">
        <f t="shared" si="310"/>
        <v>19721906</v>
      </c>
      <c r="J461" s="329">
        <f t="shared" si="312"/>
        <v>0</v>
      </c>
      <c r="K461" s="338">
        <f t="shared" si="319"/>
        <v>0</v>
      </c>
      <c r="L461" s="329">
        <f t="shared" si="313"/>
        <v>0</v>
      </c>
      <c r="M461" s="338">
        <f t="shared" si="320"/>
        <v>0</v>
      </c>
      <c r="N461" s="329">
        <f t="shared" si="314"/>
        <v>0</v>
      </c>
      <c r="O461" s="338">
        <f t="shared" si="321"/>
        <v>0</v>
      </c>
      <c r="P461" s="329">
        <f t="shared" si="315"/>
        <v>0</v>
      </c>
      <c r="Q461" s="338">
        <f t="shared" si="322"/>
        <v>0</v>
      </c>
      <c r="R461" s="329">
        <f t="shared" si="316"/>
        <v>0</v>
      </c>
      <c r="S461" s="338">
        <f t="shared" si="323"/>
        <v>0</v>
      </c>
      <c r="T461" s="329">
        <f t="shared" si="317"/>
        <v>0</v>
      </c>
      <c r="U461" s="338">
        <f t="shared" si="324"/>
        <v>0</v>
      </c>
      <c r="V461" s="329">
        <f t="shared" si="318"/>
        <v>0</v>
      </c>
      <c r="W461" s="338">
        <f t="shared" si="325"/>
        <v>0</v>
      </c>
      <c r="X461" s="35"/>
    </row>
    <row r="462" spans="1:24" x14ac:dyDescent="0.25">
      <c r="A462" s="336">
        <f>A461+3</f>
        <v>44095</v>
      </c>
      <c r="B462" s="49">
        <f t="shared" si="326"/>
        <v>0</v>
      </c>
      <c r="C462" s="338">
        <f t="shared" si="307"/>
        <v>51000000</v>
      </c>
      <c r="D462" s="329">
        <f t="shared" si="327"/>
        <v>0</v>
      </c>
      <c r="E462" s="338">
        <f t="shared" si="308"/>
        <v>32902698.02067171</v>
      </c>
      <c r="F462" s="329">
        <f t="shared" si="328"/>
        <v>0</v>
      </c>
      <c r="G462" s="338">
        <f t="shared" si="309"/>
        <v>25000000</v>
      </c>
      <c r="H462" s="329">
        <f t="shared" si="311"/>
        <v>0</v>
      </c>
      <c r="I462" s="338">
        <f t="shared" si="310"/>
        <v>19721906</v>
      </c>
      <c r="J462" s="329">
        <f t="shared" si="312"/>
        <v>0</v>
      </c>
      <c r="K462" s="338">
        <f t="shared" si="319"/>
        <v>0</v>
      </c>
      <c r="L462" s="329">
        <f t="shared" si="313"/>
        <v>0</v>
      </c>
      <c r="M462" s="338">
        <f t="shared" si="320"/>
        <v>0</v>
      </c>
      <c r="N462" s="329">
        <f t="shared" si="314"/>
        <v>0</v>
      </c>
      <c r="O462" s="338">
        <f t="shared" si="321"/>
        <v>0</v>
      </c>
      <c r="P462" s="329">
        <f t="shared" si="315"/>
        <v>0</v>
      </c>
      <c r="Q462" s="338">
        <f t="shared" si="322"/>
        <v>0</v>
      </c>
      <c r="R462" s="329">
        <f t="shared" si="316"/>
        <v>0</v>
      </c>
      <c r="S462" s="338">
        <f t="shared" si="323"/>
        <v>0</v>
      </c>
      <c r="T462" s="329">
        <f t="shared" si="317"/>
        <v>0</v>
      </c>
      <c r="U462" s="338">
        <f t="shared" si="324"/>
        <v>0</v>
      </c>
      <c r="V462" s="329">
        <f t="shared" si="318"/>
        <v>0</v>
      </c>
      <c r="W462" s="338">
        <f t="shared" si="325"/>
        <v>0</v>
      </c>
      <c r="X462" s="35"/>
    </row>
    <row r="463" spans="1:24" x14ac:dyDescent="0.25">
      <c r="A463" s="335">
        <f>A462+1</f>
        <v>44096</v>
      </c>
      <c r="B463" s="49">
        <f t="shared" si="326"/>
        <v>0</v>
      </c>
      <c r="C463" s="338">
        <f t="shared" si="307"/>
        <v>51000000</v>
      </c>
      <c r="D463" s="329">
        <f t="shared" si="327"/>
        <v>0</v>
      </c>
      <c r="E463" s="338">
        <f t="shared" si="308"/>
        <v>32902698.02067171</v>
      </c>
      <c r="F463" s="329">
        <f t="shared" si="328"/>
        <v>0</v>
      </c>
      <c r="G463" s="338">
        <f t="shared" si="309"/>
        <v>25000000</v>
      </c>
      <c r="H463" s="329">
        <f t="shared" si="311"/>
        <v>0</v>
      </c>
      <c r="I463" s="338">
        <f t="shared" si="310"/>
        <v>19721906</v>
      </c>
      <c r="J463" s="329">
        <f t="shared" si="312"/>
        <v>0</v>
      </c>
      <c r="K463" s="338">
        <f t="shared" si="319"/>
        <v>0</v>
      </c>
      <c r="L463" s="329">
        <f t="shared" si="313"/>
        <v>0</v>
      </c>
      <c r="M463" s="338">
        <f t="shared" si="320"/>
        <v>0</v>
      </c>
      <c r="N463" s="329">
        <f t="shared" si="314"/>
        <v>0</v>
      </c>
      <c r="O463" s="338">
        <f t="shared" si="321"/>
        <v>0</v>
      </c>
      <c r="P463" s="329">
        <f t="shared" si="315"/>
        <v>0</v>
      </c>
      <c r="Q463" s="338">
        <f t="shared" si="322"/>
        <v>0</v>
      </c>
      <c r="R463" s="329">
        <f t="shared" si="316"/>
        <v>0</v>
      </c>
      <c r="S463" s="338">
        <f t="shared" si="323"/>
        <v>0</v>
      </c>
      <c r="T463" s="329">
        <f t="shared" si="317"/>
        <v>0</v>
      </c>
      <c r="U463" s="338">
        <f t="shared" si="324"/>
        <v>0</v>
      </c>
      <c r="V463" s="329">
        <f t="shared" si="318"/>
        <v>0</v>
      </c>
      <c r="W463" s="338">
        <f t="shared" si="325"/>
        <v>0</v>
      </c>
      <c r="X463" s="35"/>
    </row>
    <row r="464" spans="1:24" x14ac:dyDescent="0.25">
      <c r="A464" s="335">
        <f>A463+1</f>
        <v>44097</v>
      </c>
      <c r="B464" s="49">
        <f t="shared" si="326"/>
        <v>0</v>
      </c>
      <c r="C464" s="338">
        <f t="shared" si="307"/>
        <v>51000000</v>
      </c>
      <c r="D464" s="329">
        <f t="shared" si="327"/>
        <v>0</v>
      </c>
      <c r="E464" s="338">
        <f t="shared" si="308"/>
        <v>32902698.02067171</v>
      </c>
      <c r="F464" s="329">
        <f t="shared" si="328"/>
        <v>0</v>
      </c>
      <c r="G464" s="338">
        <f t="shared" si="309"/>
        <v>25000000</v>
      </c>
      <c r="H464" s="329">
        <f t="shared" si="311"/>
        <v>0</v>
      </c>
      <c r="I464" s="338">
        <f t="shared" si="310"/>
        <v>19721906</v>
      </c>
      <c r="J464" s="329">
        <f t="shared" si="312"/>
        <v>0</v>
      </c>
      <c r="K464" s="338">
        <f t="shared" si="319"/>
        <v>0</v>
      </c>
      <c r="L464" s="329">
        <f t="shared" si="313"/>
        <v>0</v>
      </c>
      <c r="M464" s="338">
        <f t="shared" si="320"/>
        <v>0</v>
      </c>
      <c r="N464" s="329">
        <f t="shared" si="314"/>
        <v>0</v>
      </c>
      <c r="O464" s="338">
        <f t="shared" si="321"/>
        <v>0</v>
      </c>
      <c r="P464" s="329">
        <f t="shared" si="315"/>
        <v>0</v>
      </c>
      <c r="Q464" s="338">
        <f t="shared" si="322"/>
        <v>0</v>
      </c>
      <c r="R464" s="329">
        <f t="shared" si="316"/>
        <v>0</v>
      </c>
      <c r="S464" s="338">
        <f t="shared" si="323"/>
        <v>0</v>
      </c>
      <c r="T464" s="329">
        <f t="shared" si="317"/>
        <v>0</v>
      </c>
      <c r="U464" s="338">
        <f t="shared" si="324"/>
        <v>0</v>
      </c>
      <c r="V464" s="329">
        <f t="shared" si="318"/>
        <v>0</v>
      </c>
      <c r="W464" s="338">
        <f t="shared" si="325"/>
        <v>0</v>
      </c>
      <c r="X464" s="35"/>
    </row>
    <row r="465" spans="1:28" x14ac:dyDescent="0.25">
      <c r="A465" s="335">
        <f>A464+1</f>
        <v>44098</v>
      </c>
      <c r="B465" s="49">
        <f t="shared" si="326"/>
        <v>0</v>
      </c>
      <c r="C465" s="338">
        <f t="shared" si="307"/>
        <v>51000000</v>
      </c>
      <c r="D465" s="329">
        <f t="shared" si="327"/>
        <v>0</v>
      </c>
      <c r="E465" s="338">
        <f t="shared" si="308"/>
        <v>32902698.02067171</v>
      </c>
      <c r="F465" s="329">
        <f t="shared" si="328"/>
        <v>300000</v>
      </c>
      <c r="G465" s="338">
        <f t="shared" si="309"/>
        <v>25300000</v>
      </c>
      <c r="H465" s="329">
        <f t="shared" si="311"/>
        <v>0</v>
      </c>
      <c r="I465" s="338">
        <f t="shared" si="310"/>
        <v>19721906</v>
      </c>
      <c r="J465" s="329">
        <f t="shared" si="312"/>
        <v>0</v>
      </c>
      <c r="K465" s="338">
        <f t="shared" si="319"/>
        <v>0</v>
      </c>
      <c r="L465" s="329">
        <f t="shared" si="313"/>
        <v>0</v>
      </c>
      <c r="M465" s="338">
        <f t="shared" si="320"/>
        <v>0</v>
      </c>
      <c r="N465" s="329">
        <f t="shared" si="314"/>
        <v>0</v>
      </c>
      <c r="O465" s="338">
        <f t="shared" si="321"/>
        <v>0</v>
      </c>
      <c r="P465" s="329">
        <f t="shared" si="315"/>
        <v>0</v>
      </c>
      <c r="Q465" s="338">
        <f t="shared" si="322"/>
        <v>0</v>
      </c>
      <c r="R465" s="329">
        <f t="shared" si="316"/>
        <v>0</v>
      </c>
      <c r="S465" s="338">
        <f t="shared" si="323"/>
        <v>0</v>
      </c>
      <c r="T465" s="329">
        <f t="shared" si="317"/>
        <v>0</v>
      </c>
      <c r="U465" s="338">
        <f t="shared" si="324"/>
        <v>0</v>
      </c>
      <c r="V465" s="329">
        <f t="shared" si="318"/>
        <v>0</v>
      </c>
      <c r="W465" s="338">
        <f t="shared" si="325"/>
        <v>0</v>
      </c>
      <c r="X465" s="35"/>
    </row>
    <row r="466" spans="1:28" x14ac:dyDescent="0.25">
      <c r="A466" s="335">
        <f>A465+1</f>
        <v>44099</v>
      </c>
      <c r="B466" s="49">
        <f t="shared" si="326"/>
        <v>0</v>
      </c>
      <c r="C466" s="338">
        <f t="shared" si="307"/>
        <v>51000000</v>
      </c>
      <c r="D466" s="329">
        <f t="shared" si="327"/>
        <v>0</v>
      </c>
      <c r="E466" s="338">
        <f t="shared" si="308"/>
        <v>32902698.02067171</v>
      </c>
      <c r="F466" s="329">
        <f t="shared" si="328"/>
        <v>0</v>
      </c>
      <c r="G466" s="338">
        <f t="shared" si="309"/>
        <v>25300000</v>
      </c>
      <c r="H466" s="329">
        <f t="shared" si="311"/>
        <v>0</v>
      </c>
      <c r="I466" s="338">
        <f t="shared" si="310"/>
        <v>19721906</v>
      </c>
      <c r="J466" s="329">
        <f t="shared" si="312"/>
        <v>0</v>
      </c>
      <c r="K466" s="338">
        <f t="shared" si="319"/>
        <v>0</v>
      </c>
      <c r="L466" s="329">
        <f t="shared" si="313"/>
        <v>0</v>
      </c>
      <c r="M466" s="338">
        <f t="shared" si="320"/>
        <v>0</v>
      </c>
      <c r="N466" s="329">
        <f t="shared" si="314"/>
        <v>0</v>
      </c>
      <c r="O466" s="338">
        <f t="shared" si="321"/>
        <v>0</v>
      </c>
      <c r="P466" s="329">
        <f t="shared" si="315"/>
        <v>0</v>
      </c>
      <c r="Q466" s="338">
        <f t="shared" si="322"/>
        <v>0</v>
      </c>
      <c r="R466" s="329">
        <f t="shared" si="316"/>
        <v>0</v>
      </c>
      <c r="S466" s="338">
        <f t="shared" si="323"/>
        <v>0</v>
      </c>
      <c r="T466" s="329">
        <f t="shared" si="317"/>
        <v>0</v>
      </c>
      <c r="U466" s="338">
        <f t="shared" si="324"/>
        <v>0</v>
      </c>
      <c r="V466" s="329">
        <f t="shared" si="318"/>
        <v>0</v>
      </c>
      <c r="W466" s="338">
        <f t="shared" si="325"/>
        <v>0</v>
      </c>
      <c r="X466" s="35"/>
    </row>
    <row r="467" spans="1:28" x14ac:dyDescent="0.25">
      <c r="A467" s="336">
        <f>A466+3</f>
        <v>44102</v>
      </c>
      <c r="B467" s="49">
        <f t="shared" si="326"/>
        <v>0</v>
      </c>
      <c r="C467" s="338">
        <f t="shared" si="307"/>
        <v>51000000</v>
      </c>
      <c r="D467" s="329">
        <f t="shared" si="327"/>
        <v>0</v>
      </c>
      <c r="E467" s="338">
        <f t="shared" si="308"/>
        <v>32902698.02067171</v>
      </c>
      <c r="F467" s="329">
        <f t="shared" si="328"/>
        <v>0</v>
      </c>
      <c r="G467" s="338">
        <f t="shared" si="309"/>
        <v>25300000</v>
      </c>
      <c r="H467" s="329">
        <f t="shared" si="311"/>
        <v>0</v>
      </c>
      <c r="I467" s="338">
        <f t="shared" si="310"/>
        <v>19721906</v>
      </c>
      <c r="J467" s="329">
        <f t="shared" si="312"/>
        <v>0</v>
      </c>
      <c r="K467" s="338">
        <f t="shared" si="319"/>
        <v>0</v>
      </c>
      <c r="L467" s="329">
        <f t="shared" si="313"/>
        <v>0</v>
      </c>
      <c r="M467" s="338">
        <f t="shared" si="320"/>
        <v>0</v>
      </c>
      <c r="N467" s="329">
        <f t="shared" si="314"/>
        <v>0</v>
      </c>
      <c r="O467" s="338">
        <f t="shared" si="321"/>
        <v>0</v>
      </c>
      <c r="P467" s="329">
        <f t="shared" si="315"/>
        <v>0</v>
      </c>
      <c r="Q467" s="338">
        <f t="shared" si="322"/>
        <v>0</v>
      </c>
      <c r="R467" s="329">
        <f t="shared" si="316"/>
        <v>0</v>
      </c>
      <c r="S467" s="338">
        <f t="shared" si="323"/>
        <v>0</v>
      </c>
      <c r="T467" s="329">
        <f t="shared" si="317"/>
        <v>0</v>
      </c>
      <c r="U467" s="338">
        <f t="shared" si="324"/>
        <v>0</v>
      </c>
      <c r="V467" s="329">
        <f t="shared" si="318"/>
        <v>0</v>
      </c>
      <c r="W467" s="338">
        <f t="shared" si="325"/>
        <v>0</v>
      </c>
      <c r="X467" s="35"/>
    </row>
    <row r="468" spans="1:28" x14ac:dyDescent="0.25">
      <c r="A468" s="335">
        <f>A467+1</f>
        <v>44103</v>
      </c>
      <c r="B468" s="49">
        <f t="shared" si="326"/>
        <v>0</v>
      </c>
      <c r="C468" s="338">
        <f t="shared" si="307"/>
        <v>51000000</v>
      </c>
      <c r="D468" s="329">
        <f t="shared" si="327"/>
        <v>0</v>
      </c>
      <c r="E468" s="338">
        <f t="shared" si="308"/>
        <v>32902698.02067171</v>
      </c>
      <c r="F468" s="329">
        <f t="shared" si="328"/>
        <v>0</v>
      </c>
      <c r="G468" s="338">
        <f t="shared" si="309"/>
        <v>25300000</v>
      </c>
      <c r="H468" s="329">
        <f t="shared" si="311"/>
        <v>0</v>
      </c>
      <c r="I468" s="338">
        <f t="shared" si="310"/>
        <v>19721906</v>
      </c>
      <c r="J468" s="329">
        <f t="shared" si="312"/>
        <v>0</v>
      </c>
      <c r="K468" s="338">
        <f t="shared" si="319"/>
        <v>0</v>
      </c>
      <c r="L468" s="329">
        <f t="shared" si="313"/>
        <v>0</v>
      </c>
      <c r="M468" s="338">
        <f t="shared" si="320"/>
        <v>0</v>
      </c>
      <c r="N468" s="329">
        <f t="shared" si="314"/>
        <v>0</v>
      </c>
      <c r="O468" s="338">
        <f t="shared" si="321"/>
        <v>0</v>
      </c>
      <c r="P468" s="329">
        <f t="shared" si="315"/>
        <v>0</v>
      </c>
      <c r="Q468" s="338">
        <f t="shared" si="322"/>
        <v>0</v>
      </c>
      <c r="R468" s="329">
        <f t="shared" si="316"/>
        <v>0</v>
      </c>
      <c r="S468" s="338">
        <f t="shared" si="323"/>
        <v>0</v>
      </c>
      <c r="T468" s="329">
        <f t="shared" si="317"/>
        <v>0</v>
      </c>
      <c r="U468" s="338">
        <f t="shared" si="324"/>
        <v>0</v>
      </c>
      <c r="V468" s="329">
        <f t="shared" si="318"/>
        <v>0</v>
      </c>
      <c r="W468" s="338">
        <f t="shared" si="325"/>
        <v>0</v>
      </c>
      <c r="X468" s="35"/>
    </row>
    <row r="469" spans="1:28" x14ac:dyDescent="0.25">
      <c r="A469" s="335">
        <f>A468+1</f>
        <v>44104</v>
      </c>
      <c r="B469" s="49">
        <f t="shared" si="326"/>
        <v>0</v>
      </c>
      <c r="C469" s="338">
        <f t="shared" si="307"/>
        <v>51000000</v>
      </c>
      <c r="D469" s="329">
        <f t="shared" si="327"/>
        <v>0</v>
      </c>
      <c r="E469" s="338">
        <f t="shared" si="308"/>
        <v>32902698.02067171</v>
      </c>
      <c r="F469" s="329">
        <f t="shared" si="328"/>
        <v>0</v>
      </c>
      <c r="G469" s="338">
        <f t="shared" si="309"/>
        <v>25300000</v>
      </c>
      <c r="H469" s="329">
        <f t="shared" si="311"/>
        <v>0</v>
      </c>
      <c r="I469" s="338">
        <f t="shared" si="310"/>
        <v>19721906</v>
      </c>
      <c r="J469" s="329">
        <f t="shared" si="312"/>
        <v>0</v>
      </c>
      <c r="K469" s="338">
        <f t="shared" si="319"/>
        <v>0</v>
      </c>
      <c r="L469" s="329">
        <f t="shared" si="313"/>
        <v>0</v>
      </c>
      <c r="M469" s="338">
        <f t="shared" si="320"/>
        <v>0</v>
      </c>
      <c r="N469" s="329">
        <f t="shared" si="314"/>
        <v>0</v>
      </c>
      <c r="O469" s="338">
        <f t="shared" si="321"/>
        <v>0</v>
      </c>
      <c r="P469" s="329">
        <f t="shared" si="315"/>
        <v>0</v>
      </c>
      <c r="Q469" s="338">
        <f t="shared" si="322"/>
        <v>0</v>
      </c>
      <c r="R469" s="329">
        <f t="shared" si="316"/>
        <v>0</v>
      </c>
      <c r="S469" s="338">
        <f t="shared" si="323"/>
        <v>0</v>
      </c>
      <c r="T469" s="329">
        <f t="shared" si="317"/>
        <v>0</v>
      </c>
      <c r="U469" s="338">
        <f t="shared" si="324"/>
        <v>0</v>
      </c>
      <c r="V469" s="329">
        <f t="shared" si="318"/>
        <v>0</v>
      </c>
      <c r="W469" s="338">
        <f t="shared" si="325"/>
        <v>0</v>
      </c>
      <c r="X469" s="35"/>
    </row>
    <row r="470" spans="1:28" x14ac:dyDescent="0.25">
      <c r="A470" s="335">
        <f>A469+1</f>
        <v>44105</v>
      </c>
      <c r="B470" s="49">
        <f t="shared" si="326"/>
        <v>0</v>
      </c>
      <c r="C470" s="338">
        <f t="shared" si="307"/>
        <v>51000000</v>
      </c>
      <c r="D470" s="329">
        <f t="shared" si="327"/>
        <v>0</v>
      </c>
      <c r="E470" s="338">
        <f t="shared" si="308"/>
        <v>32902698.02067171</v>
      </c>
      <c r="F470" s="329">
        <f t="shared" si="328"/>
        <v>0</v>
      </c>
      <c r="G470" s="338">
        <f t="shared" si="309"/>
        <v>25300000</v>
      </c>
      <c r="H470" s="329">
        <f t="shared" si="311"/>
        <v>0</v>
      </c>
      <c r="I470" s="338">
        <f t="shared" si="310"/>
        <v>19721906</v>
      </c>
      <c r="J470" s="329">
        <f t="shared" si="312"/>
        <v>0</v>
      </c>
      <c r="K470" s="338">
        <f t="shared" si="319"/>
        <v>0</v>
      </c>
      <c r="L470" s="329">
        <f t="shared" si="313"/>
        <v>0</v>
      </c>
      <c r="M470" s="338">
        <f t="shared" si="320"/>
        <v>0</v>
      </c>
      <c r="N470" s="329">
        <f t="shared" si="314"/>
        <v>0</v>
      </c>
      <c r="O470" s="338">
        <f t="shared" si="321"/>
        <v>0</v>
      </c>
      <c r="P470" s="329">
        <f t="shared" si="315"/>
        <v>0</v>
      </c>
      <c r="Q470" s="338">
        <f t="shared" si="322"/>
        <v>0</v>
      </c>
      <c r="R470" s="329">
        <f t="shared" si="316"/>
        <v>0</v>
      </c>
      <c r="S470" s="338">
        <f t="shared" si="323"/>
        <v>0</v>
      </c>
      <c r="T470" s="329">
        <f t="shared" si="317"/>
        <v>0</v>
      </c>
      <c r="U470" s="338">
        <f t="shared" si="324"/>
        <v>0</v>
      </c>
      <c r="V470" s="329">
        <f t="shared" si="318"/>
        <v>0</v>
      </c>
      <c r="W470" s="338">
        <f t="shared" si="325"/>
        <v>0</v>
      </c>
      <c r="X470" s="35"/>
    </row>
    <row r="471" spans="1:28" x14ac:dyDescent="0.25">
      <c r="A471" s="335">
        <f>A470+1</f>
        <v>44106</v>
      </c>
      <c r="B471" s="49">
        <f t="shared" si="326"/>
        <v>0</v>
      </c>
      <c r="C471" s="338">
        <f t="shared" si="307"/>
        <v>51000000</v>
      </c>
      <c r="D471" s="329">
        <f t="shared" si="327"/>
        <v>0</v>
      </c>
      <c r="E471" s="338">
        <f t="shared" si="308"/>
        <v>32902698.02067171</v>
      </c>
      <c r="F471" s="329">
        <f t="shared" si="328"/>
        <v>0</v>
      </c>
      <c r="G471" s="338">
        <f t="shared" si="309"/>
        <v>25300000</v>
      </c>
      <c r="H471" s="329">
        <f t="shared" si="311"/>
        <v>0</v>
      </c>
      <c r="I471" s="338">
        <f t="shared" si="310"/>
        <v>19721906</v>
      </c>
      <c r="J471" s="329">
        <f t="shared" si="312"/>
        <v>0</v>
      </c>
      <c r="K471" s="338">
        <f t="shared" si="319"/>
        <v>0</v>
      </c>
      <c r="L471" s="329">
        <f t="shared" si="313"/>
        <v>0</v>
      </c>
      <c r="M471" s="338">
        <f t="shared" si="320"/>
        <v>0</v>
      </c>
      <c r="N471" s="329">
        <f t="shared" si="314"/>
        <v>0</v>
      </c>
      <c r="O471" s="338">
        <f t="shared" si="321"/>
        <v>0</v>
      </c>
      <c r="P471" s="329">
        <f t="shared" si="315"/>
        <v>0</v>
      </c>
      <c r="Q471" s="338">
        <f t="shared" si="322"/>
        <v>0</v>
      </c>
      <c r="R471" s="329">
        <f t="shared" si="316"/>
        <v>0</v>
      </c>
      <c r="S471" s="338">
        <f t="shared" si="323"/>
        <v>0</v>
      </c>
      <c r="T471" s="329">
        <f t="shared" si="317"/>
        <v>0</v>
      </c>
      <c r="U471" s="338">
        <f t="shared" si="324"/>
        <v>0</v>
      </c>
      <c r="V471" s="329">
        <f t="shared" si="318"/>
        <v>0</v>
      </c>
      <c r="W471" s="338">
        <f t="shared" si="325"/>
        <v>0</v>
      </c>
      <c r="X471" s="35"/>
    </row>
    <row r="472" spans="1:28" x14ac:dyDescent="0.25">
      <c r="A472" s="336">
        <f>A471+3</f>
        <v>44109</v>
      </c>
      <c r="B472" s="49">
        <f t="shared" si="326"/>
        <v>0</v>
      </c>
      <c r="C472" s="338">
        <f t="shared" si="307"/>
        <v>51000000</v>
      </c>
      <c r="D472" s="329">
        <f t="shared" si="327"/>
        <v>0</v>
      </c>
      <c r="E472" s="338">
        <f t="shared" si="308"/>
        <v>32902698.02067171</v>
      </c>
      <c r="F472" s="329">
        <f t="shared" si="328"/>
        <v>0</v>
      </c>
      <c r="G472" s="338">
        <f t="shared" si="309"/>
        <v>25300000</v>
      </c>
      <c r="H472" s="329">
        <f t="shared" si="311"/>
        <v>0</v>
      </c>
      <c r="I472" s="338">
        <f t="shared" si="310"/>
        <v>19721906</v>
      </c>
      <c r="J472" s="329">
        <f t="shared" si="312"/>
        <v>0</v>
      </c>
      <c r="K472" s="338">
        <f t="shared" si="319"/>
        <v>0</v>
      </c>
      <c r="L472" s="329">
        <f t="shared" si="313"/>
        <v>0</v>
      </c>
      <c r="M472" s="338">
        <f t="shared" si="320"/>
        <v>0</v>
      </c>
      <c r="N472" s="329">
        <f t="shared" si="314"/>
        <v>0</v>
      </c>
      <c r="O472" s="338">
        <f t="shared" si="321"/>
        <v>0</v>
      </c>
      <c r="P472" s="329">
        <f t="shared" si="315"/>
        <v>0</v>
      </c>
      <c r="Q472" s="338">
        <f t="shared" si="322"/>
        <v>0</v>
      </c>
      <c r="R472" s="329">
        <f t="shared" si="316"/>
        <v>0</v>
      </c>
      <c r="S472" s="338">
        <f t="shared" si="323"/>
        <v>0</v>
      </c>
      <c r="T472" s="329">
        <f t="shared" si="317"/>
        <v>0</v>
      </c>
      <c r="U472" s="338">
        <f t="shared" si="324"/>
        <v>0</v>
      </c>
      <c r="V472" s="329">
        <f t="shared" si="318"/>
        <v>0</v>
      </c>
      <c r="W472" s="338">
        <f t="shared" si="325"/>
        <v>0</v>
      </c>
      <c r="X472" s="35"/>
    </row>
    <row r="473" spans="1:28" x14ac:dyDescent="0.25">
      <c r="A473" s="335">
        <f>A472+1</f>
        <v>44110</v>
      </c>
      <c r="B473" s="49">
        <f t="shared" si="326"/>
        <v>0</v>
      </c>
      <c r="C473" s="338">
        <f t="shared" ref="C473:C478" si="329">B473+C472</f>
        <v>51000000</v>
      </c>
      <c r="D473" s="329">
        <f t="shared" si="327"/>
        <v>0</v>
      </c>
      <c r="E473" s="338">
        <f t="shared" ref="E473:E478" si="330">D473+E472</f>
        <v>32902698.02067171</v>
      </c>
      <c r="F473" s="329">
        <f t="shared" si="328"/>
        <v>0</v>
      </c>
      <c r="G473" s="338">
        <f t="shared" ref="G473:G478" si="331">F473+G472</f>
        <v>25300000</v>
      </c>
      <c r="H473" s="329">
        <f t="shared" si="311"/>
        <v>0</v>
      </c>
      <c r="I473" s="338">
        <f t="shared" ref="I473:I478" si="332">H473+I472</f>
        <v>19721906</v>
      </c>
      <c r="J473" s="329">
        <f t="shared" si="312"/>
        <v>0</v>
      </c>
      <c r="K473" s="338">
        <f t="shared" si="319"/>
        <v>0</v>
      </c>
      <c r="L473" s="329">
        <f t="shared" si="313"/>
        <v>0</v>
      </c>
      <c r="M473" s="338">
        <f t="shared" si="320"/>
        <v>0</v>
      </c>
      <c r="N473" s="329">
        <f t="shared" si="314"/>
        <v>0</v>
      </c>
      <c r="O473" s="338">
        <f t="shared" si="321"/>
        <v>0</v>
      </c>
      <c r="P473" s="329">
        <f t="shared" si="315"/>
        <v>0</v>
      </c>
      <c r="Q473" s="338">
        <f t="shared" si="322"/>
        <v>0</v>
      </c>
      <c r="R473" s="329">
        <f t="shared" si="316"/>
        <v>0</v>
      </c>
      <c r="S473" s="338">
        <f t="shared" si="323"/>
        <v>0</v>
      </c>
      <c r="T473" s="329">
        <f t="shared" si="317"/>
        <v>0</v>
      </c>
      <c r="U473" s="338">
        <f t="shared" si="324"/>
        <v>0</v>
      </c>
      <c r="V473" s="329">
        <f t="shared" si="318"/>
        <v>0</v>
      </c>
      <c r="W473" s="338">
        <f t="shared" si="325"/>
        <v>0</v>
      </c>
      <c r="X473" s="35"/>
    </row>
    <row r="474" spans="1:28" x14ac:dyDescent="0.25">
      <c r="A474" s="335">
        <f>A473+1</f>
        <v>44111</v>
      </c>
      <c r="B474" s="49">
        <f t="shared" si="326"/>
        <v>0</v>
      </c>
      <c r="C474" s="338">
        <f t="shared" si="329"/>
        <v>51000000</v>
      </c>
      <c r="D474" s="329">
        <f t="shared" si="327"/>
        <v>0</v>
      </c>
      <c r="E474" s="338">
        <f t="shared" si="330"/>
        <v>32902698.02067171</v>
      </c>
      <c r="F474" s="329">
        <f t="shared" si="328"/>
        <v>0</v>
      </c>
      <c r="G474" s="338">
        <f t="shared" si="331"/>
        <v>25300000</v>
      </c>
      <c r="H474" s="329">
        <f t="shared" si="311"/>
        <v>0</v>
      </c>
      <c r="I474" s="338">
        <f t="shared" si="332"/>
        <v>19721906</v>
      </c>
      <c r="J474" s="329">
        <f t="shared" si="312"/>
        <v>0</v>
      </c>
      <c r="K474" s="338">
        <f t="shared" si="319"/>
        <v>0</v>
      </c>
      <c r="L474" s="329">
        <f t="shared" si="313"/>
        <v>0</v>
      </c>
      <c r="M474" s="338">
        <f t="shared" si="320"/>
        <v>0</v>
      </c>
      <c r="N474" s="329">
        <f t="shared" si="314"/>
        <v>0</v>
      </c>
      <c r="O474" s="338">
        <f t="shared" si="321"/>
        <v>0</v>
      </c>
      <c r="P474" s="329">
        <f t="shared" si="315"/>
        <v>0</v>
      </c>
      <c r="Q474" s="338">
        <f t="shared" si="322"/>
        <v>0</v>
      </c>
      <c r="R474" s="329">
        <f t="shared" si="316"/>
        <v>0</v>
      </c>
      <c r="S474" s="338">
        <f t="shared" si="323"/>
        <v>0</v>
      </c>
      <c r="T474" s="329">
        <f t="shared" si="317"/>
        <v>0</v>
      </c>
      <c r="U474" s="338">
        <f t="shared" si="324"/>
        <v>0</v>
      </c>
      <c r="V474" s="329">
        <f t="shared" si="318"/>
        <v>0</v>
      </c>
      <c r="W474" s="338">
        <f t="shared" si="325"/>
        <v>0</v>
      </c>
      <c r="X474" s="35"/>
      <c r="Y474" s="765"/>
      <c r="Z474" s="765"/>
      <c r="AA474" s="765"/>
      <c r="AB474" s="765"/>
    </row>
    <row r="475" spans="1:28" x14ac:dyDescent="0.25">
      <c r="A475" s="335">
        <f>A474+1</f>
        <v>44112</v>
      </c>
      <c r="B475" s="49">
        <f t="shared" si="326"/>
        <v>0</v>
      </c>
      <c r="C475" s="338">
        <f t="shared" si="329"/>
        <v>51000000</v>
      </c>
      <c r="D475" s="329">
        <f t="shared" si="327"/>
        <v>0</v>
      </c>
      <c r="E475" s="338">
        <f t="shared" si="330"/>
        <v>32902698.02067171</v>
      </c>
      <c r="F475" s="329">
        <f t="shared" si="328"/>
        <v>0</v>
      </c>
      <c r="G475" s="338">
        <f t="shared" si="331"/>
        <v>25300000</v>
      </c>
      <c r="H475" s="329">
        <f t="shared" si="311"/>
        <v>0</v>
      </c>
      <c r="I475" s="338">
        <f t="shared" si="332"/>
        <v>19721906</v>
      </c>
      <c r="J475" s="329">
        <f t="shared" si="312"/>
        <v>0</v>
      </c>
      <c r="K475" s="338">
        <f t="shared" si="319"/>
        <v>0</v>
      </c>
      <c r="L475" s="329">
        <f t="shared" si="313"/>
        <v>0</v>
      </c>
      <c r="M475" s="338">
        <f t="shared" si="320"/>
        <v>0</v>
      </c>
      <c r="N475" s="329">
        <f t="shared" si="314"/>
        <v>0</v>
      </c>
      <c r="O475" s="338">
        <f t="shared" si="321"/>
        <v>0</v>
      </c>
      <c r="P475" s="329">
        <f t="shared" si="315"/>
        <v>0</v>
      </c>
      <c r="Q475" s="338">
        <f t="shared" si="322"/>
        <v>0</v>
      </c>
      <c r="R475" s="329">
        <f t="shared" si="316"/>
        <v>0</v>
      </c>
      <c r="S475" s="338">
        <f t="shared" si="323"/>
        <v>0</v>
      </c>
      <c r="T475" s="329">
        <f t="shared" si="317"/>
        <v>0</v>
      </c>
      <c r="U475" s="338">
        <f t="shared" si="324"/>
        <v>0</v>
      </c>
      <c r="V475" s="329">
        <f t="shared" si="318"/>
        <v>0</v>
      </c>
      <c r="W475" s="338">
        <f t="shared" si="325"/>
        <v>0</v>
      </c>
      <c r="X475" s="35"/>
      <c r="Y475" s="765"/>
      <c r="Z475" s="765"/>
      <c r="AA475" s="765"/>
      <c r="AB475" s="765"/>
    </row>
    <row r="476" spans="1:28" x14ac:dyDescent="0.25">
      <c r="A476" s="335">
        <f>A475+1</f>
        <v>44113</v>
      </c>
      <c r="B476" s="49">
        <f t="shared" si="326"/>
        <v>0</v>
      </c>
      <c r="C476" s="338">
        <f t="shared" si="329"/>
        <v>51000000</v>
      </c>
      <c r="D476" s="329">
        <f t="shared" si="327"/>
        <v>0</v>
      </c>
      <c r="E476" s="338">
        <f t="shared" si="330"/>
        <v>32902698.02067171</v>
      </c>
      <c r="F476" s="329">
        <f t="shared" si="328"/>
        <v>5400000</v>
      </c>
      <c r="G476" s="338">
        <f t="shared" si="331"/>
        <v>30700000</v>
      </c>
      <c r="H476" s="329">
        <f t="shared" si="311"/>
        <v>0</v>
      </c>
      <c r="I476" s="338">
        <f t="shared" si="332"/>
        <v>19721906</v>
      </c>
      <c r="J476" s="329">
        <f t="shared" si="312"/>
        <v>0</v>
      </c>
      <c r="K476" s="338">
        <f t="shared" si="319"/>
        <v>0</v>
      </c>
      <c r="L476" s="329">
        <f t="shared" si="313"/>
        <v>0</v>
      </c>
      <c r="M476" s="338">
        <f t="shared" si="320"/>
        <v>0</v>
      </c>
      <c r="N476" s="329">
        <f t="shared" si="314"/>
        <v>0</v>
      </c>
      <c r="O476" s="338">
        <f t="shared" si="321"/>
        <v>0</v>
      </c>
      <c r="P476" s="329">
        <f t="shared" si="315"/>
        <v>0</v>
      </c>
      <c r="Q476" s="338">
        <f t="shared" si="322"/>
        <v>0</v>
      </c>
      <c r="R476" s="329">
        <f t="shared" si="316"/>
        <v>0</v>
      </c>
      <c r="S476" s="338">
        <f t="shared" si="323"/>
        <v>0</v>
      </c>
      <c r="T476" s="329">
        <f t="shared" si="317"/>
        <v>0</v>
      </c>
      <c r="U476" s="338">
        <f t="shared" si="324"/>
        <v>0</v>
      </c>
      <c r="V476" s="329">
        <f t="shared" si="318"/>
        <v>0</v>
      </c>
      <c r="W476" s="338">
        <f t="shared" si="325"/>
        <v>0</v>
      </c>
      <c r="X476" s="35"/>
      <c r="Y476" s="765"/>
      <c r="Z476" s="765"/>
      <c r="AA476" s="765"/>
      <c r="AB476" s="765"/>
    </row>
    <row r="477" spans="1:28" x14ac:dyDescent="0.25">
      <c r="A477" s="336">
        <f>A476+3</f>
        <v>44116</v>
      </c>
      <c r="B477" s="49">
        <f t="shared" si="326"/>
        <v>0</v>
      </c>
      <c r="C477" s="338">
        <f t="shared" si="329"/>
        <v>51000000</v>
      </c>
      <c r="D477" s="329">
        <f t="shared" si="327"/>
        <v>0</v>
      </c>
      <c r="E477" s="338">
        <f t="shared" si="330"/>
        <v>32902698.02067171</v>
      </c>
      <c r="F477" s="329">
        <f t="shared" si="328"/>
        <v>0</v>
      </c>
      <c r="G477" s="338">
        <f t="shared" si="331"/>
        <v>30700000</v>
      </c>
      <c r="H477" s="329">
        <f t="shared" si="311"/>
        <v>0</v>
      </c>
      <c r="I477" s="338">
        <f t="shared" si="332"/>
        <v>19721906</v>
      </c>
      <c r="J477" s="329">
        <f t="shared" si="312"/>
        <v>0</v>
      </c>
      <c r="K477" s="338">
        <f t="shared" si="319"/>
        <v>0</v>
      </c>
      <c r="L477" s="329">
        <f t="shared" si="313"/>
        <v>0</v>
      </c>
      <c r="M477" s="338">
        <f t="shared" si="320"/>
        <v>0</v>
      </c>
      <c r="N477" s="329">
        <f t="shared" si="314"/>
        <v>0</v>
      </c>
      <c r="O477" s="338">
        <f t="shared" si="321"/>
        <v>0</v>
      </c>
      <c r="P477" s="329">
        <f t="shared" si="315"/>
        <v>0</v>
      </c>
      <c r="Q477" s="338">
        <f t="shared" si="322"/>
        <v>0</v>
      </c>
      <c r="R477" s="329">
        <f t="shared" si="316"/>
        <v>0</v>
      </c>
      <c r="S477" s="338">
        <f t="shared" si="323"/>
        <v>0</v>
      </c>
      <c r="T477" s="329">
        <f t="shared" si="317"/>
        <v>0</v>
      </c>
      <c r="U477" s="338">
        <f t="shared" si="324"/>
        <v>0</v>
      </c>
      <c r="V477" s="329">
        <f t="shared" si="318"/>
        <v>0</v>
      </c>
      <c r="W477" s="338">
        <f t="shared" si="325"/>
        <v>0</v>
      </c>
      <c r="X477" s="35"/>
      <c r="Y477" s="765"/>
      <c r="Z477" s="765"/>
      <c r="AA477" s="765"/>
      <c r="AB477" s="765"/>
    </row>
    <row r="478" spans="1:28" x14ac:dyDescent="0.25">
      <c r="A478" s="335">
        <f>A477+1</f>
        <v>44117</v>
      </c>
      <c r="B478" s="49">
        <f t="shared" si="326"/>
        <v>0</v>
      </c>
      <c r="C478" s="338">
        <f t="shared" si="329"/>
        <v>51000000</v>
      </c>
      <c r="D478" s="329">
        <f t="shared" si="327"/>
        <v>0</v>
      </c>
      <c r="E478" s="338">
        <f t="shared" si="330"/>
        <v>32902698.02067171</v>
      </c>
      <c r="F478" s="329">
        <f t="shared" si="328"/>
        <v>0</v>
      </c>
      <c r="G478" s="338">
        <f t="shared" si="331"/>
        <v>30700000</v>
      </c>
      <c r="H478" s="329">
        <f t="shared" si="311"/>
        <v>0</v>
      </c>
      <c r="I478" s="338">
        <f t="shared" si="332"/>
        <v>19721906</v>
      </c>
      <c r="J478" s="329">
        <f t="shared" si="312"/>
        <v>0</v>
      </c>
      <c r="K478" s="338">
        <f t="shared" si="319"/>
        <v>0</v>
      </c>
      <c r="L478" s="329">
        <f t="shared" si="313"/>
        <v>0</v>
      </c>
      <c r="M478" s="338">
        <f t="shared" si="320"/>
        <v>0</v>
      </c>
      <c r="N478" s="329">
        <f t="shared" si="314"/>
        <v>0</v>
      </c>
      <c r="O478" s="338">
        <f t="shared" si="321"/>
        <v>0</v>
      </c>
      <c r="P478" s="329">
        <f t="shared" si="315"/>
        <v>0</v>
      </c>
      <c r="Q478" s="338">
        <f t="shared" si="322"/>
        <v>0</v>
      </c>
      <c r="R478" s="329">
        <f t="shared" si="316"/>
        <v>0</v>
      </c>
      <c r="S478" s="338">
        <f t="shared" si="323"/>
        <v>0</v>
      </c>
      <c r="T478" s="329">
        <f t="shared" si="317"/>
        <v>0</v>
      </c>
      <c r="U478" s="338">
        <f t="shared" si="324"/>
        <v>0</v>
      </c>
      <c r="V478" s="329">
        <f t="shared" si="318"/>
        <v>0</v>
      </c>
      <c r="W478" s="338">
        <f t="shared" si="325"/>
        <v>0</v>
      </c>
      <c r="X478" s="35"/>
      <c r="Y478" s="765"/>
      <c r="Z478" s="765"/>
      <c r="AA478" s="765"/>
      <c r="AB478" s="765"/>
    </row>
    <row r="479" spans="1:28" x14ac:dyDescent="0.25">
      <c r="A479" s="335">
        <f>A478+1</f>
        <v>44118</v>
      </c>
      <c r="B479" s="49">
        <f t="shared" si="326"/>
        <v>0</v>
      </c>
      <c r="C479" s="338">
        <f t="shared" ref="C479:C526" si="333">B479+C478</f>
        <v>51000000</v>
      </c>
      <c r="D479" s="329">
        <f t="shared" si="327"/>
        <v>0</v>
      </c>
      <c r="E479" s="338">
        <f t="shared" ref="E479:E526" si="334">D479+E478</f>
        <v>32902698.02067171</v>
      </c>
      <c r="F479" s="329">
        <f t="shared" si="328"/>
        <v>0</v>
      </c>
      <c r="G479" s="338">
        <f t="shared" ref="G479:G526" si="335">F479+G478</f>
        <v>30700000</v>
      </c>
      <c r="H479" s="329">
        <f t="shared" si="311"/>
        <v>0</v>
      </c>
      <c r="I479" s="338">
        <f t="shared" ref="I479:I526" si="336">H479+I478</f>
        <v>19721906</v>
      </c>
      <c r="J479" s="329">
        <f t="shared" si="312"/>
        <v>0</v>
      </c>
      <c r="K479" s="338">
        <f t="shared" si="319"/>
        <v>0</v>
      </c>
      <c r="L479" s="329">
        <f t="shared" si="313"/>
        <v>0</v>
      </c>
      <c r="M479" s="338">
        <f t="shared" si="320"/>
        <v>0</v>
      </c>
      <c r="N479" s="329">
        <f t="shared" si="314"/>
        <v>0</v>
      </c>
      <c r="O479" s="338">
        <f t="shared" si="321"/>
        <v>0</v>
      </c>
      <c r="P479" s="329">
        <f t="shared" si="315"/>
        <v>0</v>
      </c>
      <c r="Q479" s="338">
        <f t="shared" si="322"/>
        <v>0</v>
      </c>
      <c r="R479" s="329">
        <f t="shared" si="316"/>
        <v>0</v>
      </c>
      <c r="S479" s="338">
        <f t="shared" si="323"/>
        <v>0</v>
      </c>
      <c r="T479" s="329">
        <f t="shared" si="317"/>
        <v>0</v>
      </c>
      <c r="U479" s="338">
        <f t="shared" si="324"/>
        <v>0</v>
      </c>
      <c r="V479" s="329">
        <f t="shared" si="318"/>
        <v>0</v>
      </c>
      <c r="W479" s="338">
        <f t="shared" si="325"/>
        <v>0</v>
      </c>
      <c r="X479" s="35"/>
      <c r="Y479" s="765"/>
      <c r="Z479" s="765"/>
      <c r="AA479" s="765"/>
      <c r="AB479" s="765"/>
    </row>
    <row r="480" spans="1:28" x14ac:dyDescent="0.25">
      <c r="A480" s="335">
        <f>A479+1</f>
        <v>44119</v>
      </c>
      <c r="B480" s="49">
        <f t="shared" si="326"/>
        <v>0</v>
      </c>
      <c r="C480" s="338">
        <f t="shared" si="333"/>
        <v>51000000</v>
      </c>
      <c r="D480" s="329">
        <f t="shared" si="327"/>
        <v>0</v>
      </c>
      <c r="E480" s="338">
        <f t="shared" si="334"/>
        <v>32902698.02067171</v>
      </c>
      <c r="F480" s="329">
        <f t="shared" si="328"/>
        <v>0</v>
      </c>
      <c r="G480" s="338">
        <f t="shared" si="335"/>
        <v>30700000</v>
      </c>
      <c r="H480" s="329">
        <f t="shared" si="311"/>
        <v>0</v>
      </c>
      <c r="I480" s="338">
        <f t="shared" si="336"/>
        <v>19721906</v>
      </c>
      <c r="J480" s="329">
        <f t="shared" si="312"/>
        <v>0</v>
      </c>
      <c r="K480" s="338">
        <f t="shared" si="319"/>
        <v>0</v>
      </c>
      <c r="L480" s="329">
        <f t="shared" si="313"/>
        <v>0</v>
      </c>
      <c r="M480" s="338">
        <f t="shared" si="320"/>
        <v>0</v>
      </c>
      <c r="N480" s="329">
        <f t="shared" si="314"/>
        <v>0</v>
      </c>
      <c r="O480" s="338">
        <f t="shared" si="321"/>
        <v>0</v>
      </c>
      <c r="P480" s="329">
        <f t="shared" si="315"/>
        <v>0</v>
      </c>
      <c r="Q480" s="338">
        <f t="shared" si="322"/>
        <v>0</v>
      </c>
      <c r="R480" s="329">
        <f t="shared" si="316"/>
        <v>0</v>
      </c>
      <c r="S480" s="338">
        <f t="shared" si="323"/>
        <v>0</v>
      </c>
      <c r="T480" s="329">
        <f t="shared" si="317"/>
        <v>0</v>
      </c>
      <c r="U480" s="338">
        <f t="shared" si="324"/>
        <v>0</v>
      </c>
      <c r="V480" s="329">
        <f t="shared" si="318"/>
        <v>0</v>
      </c>
      <c r="W480" s="338">
        <f t="shared" si="325"/>
        <v>0</v>
      </c>
      <c r="X480" s="35"/>
      <c r="Y480" s="765"/>
      <c r="Z480" s="765"/>
      <c r="AA480" s="765"/>
      <c r="AB480" s="765"/>
    </row>
    <row r="481" spans="1:28" x14ac:dyDescent="0.25">
      <c r="A481" s="335">
        <f>A480+1</f>
        <v>44120</v>
      </c>
      <c r="B481" s="49">
        <f t="shared" si="326"/>
        <v>0</v>
      </c>
      <c r="C481" s="338">
        <f t="shared" si="333"/>
        <v>51000000</v>
      </c>
      <c r="D481" s="329">
        <f t="shared" si="327"/>
        <v>0</v>
      </c>
      <c r="E481" s="338">
        <f t="shared" si="334"/>
        <v>32902698.02067171</v>
      </c>
      <c r="F481" s="329">
        <f t="shared" si="328"/>
        <v>0</v>
      </c>
      <c r="G481" s="338">
        <f t="shared" si="335"/>
        <v>30700000</v>
      </c>
      <c r="H481" s="329">
        <f t="shared" si="311"/>
        <v>0</v>
      </c>
      <c r="I481" s="338">
        <f t="shared" si="336"/>
        <v>19721906</v>
      </c>
      <c r="J481" s="329">
        <f t="shared" si="312"/>
        <v>0</v>
      </c>
      <c r="K481" s="338">
        <f t="shared" si="319"/>
        <v>0</v>
      </c>
      <c r="L481" s="329">
        <f t="shared" si="313"/>
        <v>0</v>
      </c>
      <c r="M481" s="338">
        <f t="shared" si="320"/>
        <v>0</v>
      </c>
      <c r="N481" s="329">
        <f t="shared" si="314"/>
        <v>0</v>
      </c>
      <c r="O481" s="338">
        <f t="shared" si="321"/>
        <v>0</v>
      </c>
      <c r="P481" s="329">
        <f t="shared" si="315"/>
        <v>0</v>
      </c>
      <c r="Q481" s="338">
        <f t="shared" si="322"/>
        <v>0</v>
      </c>
      <c r="R481" s="329">
        <f t="shared" si="316"/>
        <v>0</v>
      </c>
      <c r="S481" s="338">
        <f t="shared" si="323"/>
        <v>0</v>
      </c>
      <c r="T481" s="329">
        <f t="shared" si="317"/>
        <v>0</v>
      </c>
      <c r="U481" s="338">
        <f t="shared" si="324"/>
        <v>0</v>
      </c>
      <c r="V481" s="329">
        <f t="shared" si="318"/>
        <v>0</v>
      </c>
      <c r="W481" s="338">
        <f t="shared" si="325"/>
        <v>0</v>
      </c>
      <c r="X481" s="35"/>
      <c r="Y481" s="765"/>
      <c r="Z481" s="765"/>
      <c r="AA481" s="765"/>
      <c r="AB481" s="765"/>
    </row>
    <row r="482" spans="1:28" x14ac:dyDescent="0.25">
      <c r="A482" s="336">
        <f>A481+3</f>
        <v>44123</v>
      </c>
      <c r="B482" s="49">
        <f t="shared" si="326"/>
        <v>0</v>
      </c>
      <c r="C482" s="338">
        <f t="shared" si="333"/>
        <v>51000000</v>
      </c>
      <c r="D482" s="329">
        <f t="shared" si="327"/>
        <v>0</v>
      </c>
      <c r="E482" s="338">
        <f t="shared" si="334"/>
        <v>32902698.02067171</v>
      </c>
      <c r="F482" s="329">
        <f t="shared" si="328"/>
        <v>0</v>
      </c>
      <c r="G482" s="338">
        <f t="shared" si="335"/>
        <v>30700000</v>
      </c>
      <c r="H482" s="329">
        <f t="shared" si="311"/>
        <v>0</v>
      </c>
      <c r="I482" s="338">
        <f t="shared" si="336"/>
        <v>19721906</v>
      </c>
      <c r="J482" s="329">
        <f t="shared" si="312"/>
        <v>0</v>
      </c>
      <c r="K482" s="338">
        <f t="shared" si="319"/>
        <v>0</v>
      </c>
      <c r="L482" s="329">
        <f t="shared" si="313"/>
        <v>0</v>
      </c>
      <c r="M482" s="338">
        <f t="shared" si="320"/>
        <v>0</v>
      </c>
      <c r="N482" s="329">
        <f t="shared" si="314"/>
        <v>0</v>
      </c>
      <c r="O482" s="338">
        <f t="shared" si="321"/>
        <v>0</v>
      </c>
      <c r="P482" s="329">
        <f t="shared" si="315"/>
        <v>0</v>
      </c>
      <c r="Q482" s="338">
        <f t="shared" si="322"/>
        <v>0</v>
      </c>
      <c r="R482" s="329">
        <f t="shared" si="316"/>
        <v>0</v>
      </c>
      <c r="S482" s="338">
        <f t="shared" si="323"/>
        <v>0</v>
      </c>
      <c r="T482" s="329">
        <f t="shared" si="317"/>
        <v>0</v>
      </c>
      <c r="U482" s="338">
        <f t="shared" si="324"/>
        <v>0</v>
      </c>
      <c r="V482" s="329">
        <f t="shared" si="318"/>
        <v>0</v>
      </c>
      <c r="W482" s="338">
        <f t="shared" si="325"/>
        <v>0</v>
      </c>
      <c r="X482" s="35"/>
      <c r="Y482" s="765"/>
      <c r="Z482" s="765"/>
      <c r="AA482" s="765"/>
      <c r="AB482" s="765"/>
    </row>
    <row r="483" spans="1:28" x14ac:dyDescent="0.25">
      <c r="A483" s="335">
        <f>A482+1</f>
        <v>44124</v>
      </c>
      <c r="B483" s="49">
        <f t="shared" si="326"/>
        <v>0</v>
      </c>
      <c r="C483" s="338">
        <f t="shared" si="333"/>
        <v>51000000</v>
      </c>
      <c r="D483" s="329">
        <f t="shared" si="327"/>
        <v>0</v>
      </c>
      <c r="E483" s="338">
        <f t="shared" si="334"/>
        <v>32902698.02067171</v>
      </c>
      <c r="F483" s="329">
        <f t="shared" si="328"/>
        <v>0</v>
      </c>
      <c r="G483" s="338">
        <f t="shared" si="335"/>
        <v>30700000</v>
      </c>
      <c r="H483" s="329">
        <f t="shared" si="311"/>
        <v>0</v>
      </c>
      <c r="I483" s="338">
        <f t="shared" si="336"/>
        <v>19721906</v>
      </c>
      <c r="J483" s="329">
        <f t="shared" si="312"/>
        <v>0</v>
      </c>
      <c r="K483" s="338">
        <f t="shared" si="319"/>
        <v>0</v>
      </c>
      <c r="L483" s="329">
        <f t="shared" si="313"/>
        <v>0</v>
      </c>
      <c r="M483" s="338">
        <f t="shared" si="320"/>
        <v>0</v>
      </c>
      <c r="N483" s="329">
        <f t="shared" si="314"/>
        <v>0</v>
      </c>
      <c r="O483" s="338">
        <f t="shared" si="321"/>
        <v>0</v>
      </c>
      <c r="P483" s="329">
        <f t="shared" si="315"/>
        <v>0</v>
      </c>
      <c r="Q483" s="338">
        <f t="shared" si="322"/>
        <v>0</v>
      </c>
      <c r="R483" s="329">
        <f t="shared" si="316"/>
        <v>0</v>
      </c>
      <c r="S483" s="338">
        <f t="shared" si="323"/>
        <v>0</v>
      </c>
      <c r="T483" s="329">
        <f t="shared" si="317"/>
        <v>0</v>
      </c>
      <c r="U483" s="338">
        <f t="shared" si="324"/>
        <v>0</v>
      </c>
      <c r="V483" s="329">
        <f t="shared" si="318"/>
        <v>0</v>
      </c>
      <c r="W483" s="338">
        <f t="shared" si="325"/>
        <v>0</v>
      </c>
      <c r="X483" s="35"/>
      <c r="Y483" s="765"/>
      <c r="Z483" s="765"/>
      <c r="AA483" s="765"/>
      <c r="AB483" s="765"/>
    </row>
    <row r="484" spans="1:28" x14ac:dyDescent="0.25">
      <c r="A484" s="335">
        <f>A483+1</f>
        <v>44125</v>
      </c>
      <c r="B484" s="49">
        <f t="shared" si="326"/>
        <v>0</v>
      </c>
      <c r="C484" s="338">
        <f t="shared" si="333"/>
        <v>51000000</v>
      </c>
      <c r="D484" s="329">
        <f t="shared" si="327"/>
        <v>0</v>
      </c>
      <c r="E484" s="338">
        <f t="shared" si="334"/>
        <v>32902698.02067171</v>
      </c>
      <c r="F484" s="329">
        <f t="shared" si="328"/>
        <v>0</v>
      </c>
      <c r="G484" s="338">
        <f t="shared" si="335"/>
        <v>30700000</v>
      </c>
      <c r="H484" s="329">
        <f t="shared" si="311"/>
        <v>0</v>
      </c>
      <c r="I484" s="338">
        <f t="shared" si="336"/>
        <v>19721906</v>
      </c>
      <c r="J484" s="329">
        <f t="shared" si="312"/>
        <v>0</v>
      </c>
      <c r="K484" s="338">
        <f t="shared" si="319"/>
        <v>0</v>
      </c>
      <c r="L484" s="329">
        <f t="shared" si="313"/>
        <v>0</v>
      </c>
      <c r="M484" s="338">
        <f t="shared" si="320"/>
        <v>0</v>
      </c>
      <c r="N484" s="329">
        <f t="shared" si="314"/>
        <v>0</v>
      </c>
      <c r="O484" s="338">
        <f t="shared" si="321"/>
        <v>0</v>
      </c>
      <c r="P484" s="329">
        <f t="shared" si="315"/>
        <v>0</v>
      </c>
      <c r="Q484" s="338">
        <f t="shared" si="322"/>
        <v>0</v>
      </c>
      <c r="R484" s="329">
        <f t="shared" si="316"/>
        <v>0</v>
      </c>
      <c r="S484" s="338">
        <f t="shared" si="323"/>
        <v>0</v>
      </c>
      <c r="T484" s="329">
        <f t="shared" si="317"/>
        <v>0</v>
      </c>
      <c r="U484" s="338">
        <f t="shared" si="324"/>
        <v>0</v>
      </c>
      <c r="V484" s="329">
        <f t="shared" si="318"/>
        <v>0</v>
      </c>
      <c r="W484" s="338">
        <f t="shared" si="325"/>
        <v>0</v>
      </c>
      <c r="X484" s="35"/>
      <c r="Y484" s="765"/>
      <c r="Z484" s="765"/>
      <c r="AA484" s="765"/>
      <c r="AB484" s="765"/>
    </row>
    <row r="485" spans="1:28" x14ac:dyDescent="0.25">
      <c r="A485" s="335">
        <f>A484+1</f>
        <v>44126</v>
      </c>
      <c r="B485" s="49">
        <f t="shared" si="326"/>
        <v>0</v>
      </c>
      <c r="C485" s="338">
        <f t="shared" si="333"/>
        <v>51000000</v>
      </c>
      <c r="D485" s="329">
        <f t="shared" si="327"/>
        <v>0</v>
      </c>
      <c r="E485" s="338">
        <f t="shared" si="334"/>
        <v>32902698.02067171</v>
      </c>
      <c r="F485" s="329">
        <f t="shared" si="328"/>
        <v>0</v>
      </c>
      <c r="G485" s="338">
        <f t="shared" si="335"/>
        <v>30700000</v>
      </c>
      <c r="H485" s="329">
        <f t="shared" si="311"/>
        <v>0</v>
      </c>
      <c r="I485" s="338">
        <f t="shared" si="336"/>
        <v>19721906</v>
      </c>
      <c r="J485" s="329">
        <f t="shared" si="312"/>
        <v>0</v>
      </c>
      <c r="K485" s="338">
        <f t="shared" si="319"/>
        <v>0</v>
      </c>
      <c r="L485" s="329">
        <f t="shared" si="313"/>
        <v>0</v>
      </c>
      <c r="M485" s="338">
        <f t="shared" si="320"/>
        <v>0</v>
      </c>
      <c r="N485" s="329">
        <f t="shared" si="314"/>
        <v>0</v>
      </c>
      <c r="O485" s="338">
        <f t="shared" si="321"/>
        <v>0</v>
      </c>
      <c r="P485" s="329">
        <f t="shared" si="315"/>
        <v>0</v>
      </c>
      <c r="Q485" s="338">
        <f t="shared" si="322"/>
        <v>0</v>
      </c>
      <c r="R485" s="329">
        <f t="shared" si="316"/>
        <v>0</v>
      </c>
      <c r="S485" s="338">
        <f t="shared" si="323"/>
        <v>0</v>
      </c>
      <c r="T485" s="329">
        <f t="shared" si="317"/>
        <v>0</v>
      </c>
      <c r="U485" s="338">
        <f t="shared" si="324"/>
        <v>0</v>
      </c>
      <c r="V485" s="329">
        <f t="shared" si="318"/>
        <v>0</v>
      </c>
      <c r="W485" s="338">
        <f t="shared" si="325"/>
        <v>0</v>
      </c>
      <c r="X485" s="35"/>
      <c r="Y485" s="765"/>
      <c r="Z485" s="765"/>
      <c r="AA485" s="765"/>
      <c r="AB485" s="765"/>
    </row>
    <row r="486" spans="1:28" x14ac:dyDescent="0.25">
      <c r="A486" s="335">
        <f>A485+1</f>
        <v>44127</v>
      </c>
      <c r="B486" s="49">
        <f t="shared" si="326"/>
        <v>0</v>
      </c>
      <c r="C486" s="338">
        <f t="shared" si="333"/>
        <v>51000000</v>
      </c>
      <c r="D486" s="329">
        <f t="shared" si="327"/>
        <v>0</v>
      </c>
      <c r="E486" s="338">
        <f t="shared" si="334"/>
        <v>32902698.02067171</v>
      </c>
      <c r="F486" s="329">
        <f t="shared" si="328"/>
        <v>0</v>
      </c>
      <c r="G486" s="338">
        <f t="shared" si="335"/>
        <v>30700000</v>
      </c>
      <c r="H486" s="329">
        <f t="shared" si="311"/>
        <v>0</v>
      </c>
      <c r="I486" s="338">
        <f t="shared" si="336"/>
        <v>19721906</v>
      </c>
      <c r="J486" s="329">
        <f t="shared" si="312"/>
        <v>0</v>
      </c>
      <c r="K486" s="338">
        <f t="shared" si="319"/>
        <v>0</v>
      </c>
      <c r="L486" s="329">
        <f t="shared" si="313"/>
        <v>0</v>
      </c>
      <c r="M486" s="338">
        <f t="shared" si="320"/>
        <v>0</v>
      </c>
      <c r="N486" s="329">
        <f t="shared" si="314"/>
        <v>0</v>
      </c>
      <c r="O486" s="338">
        <f t="shared" si="321"/>
        <v>0</v>
      </c>
      <c r="P486" s="329">
        <f t="shared" si="315"/>
        <v>0</v>
      </c>
      <c r="Q486" s="338">
        <f t="shared" si="322"/>
        <v>0</v>
      </c>
      <c r="R486" s="329">
        <f t="shared" si="316"/>
        <v>0</v>
      </c>
      <c r="S486" s="338">
        <f t="shared" si="323"/>
        <v>0</v>
      </c>
      <c r="T486" s="329">
        <f t="shared" si="317"/>
        <v>0</v>
      </c>
      <c r="U486" s="338">
        <f t="shared" si="324"/>
        <v>0</v>
      </c>
      <c r="V486" s="329">
        <f t="shared" si="318"/>
        <v>0</v>
      </c>
      <c r="W486" s="338">
        <f t="shared" si="325"/>
        <v>0</v>
      </c>
      <c r="X486" s="35"/>
      <c r="Y486" s="765"/>
      <c r="Z486" s="765"/>
      <c r="AA486" s="765"/>
      <c r="AB486" s="765"/>
    </row>
    <row r="487" spans="1:28" x14ac:dyDescent="0.25">
      <c r="A487" s="336">
        <f>A486+3</f>
        <v>44130</v>
      </c>
      <c r="B487" s="49">
        <f t="shared" si="326"/>
        <v>0</v>
      </c>
      <c r="C487" s="338">
        <f t="shared" si="333"/>
        <v>51000000</v>
      </c>
      <c r="D487" s="329">
        <f t="shared" si="327"/>
        <v>0</v>
      </c>
      <c r="E487" s="338">
        <f t="shared" si="334"/>
        <v>32902698.02067171</v>
      </c>
      <c r="F487" s="329">
        <f t="shared" si="328"/>
        <v>0</v>
      </c>
      <c r="G487" s="338">
        <f t="shared" si="335"/>
        <v>30700000</v>
      </c>
      <c r="H487" s="329">
        <f t="shared" si="311"/>
        <v>0</v>
      </c>
      <c r="I487" s="338">
        <f t="shared" si="336"/>
        <v>19721906</v>
      </c>
      <c r="J487" s="329">
        <f t="shared" si="312"/>
        <v>0</v>
      </c>
      <c r="K487" s="338">
        <f t="shared" si="319"/>
        <v>0</v>
      </c>
      <c r="L487" s="329">
        <f t="shared" si="313"/>
        <v>0</v>
      </c>
      <c r="M487" s="338">
        <f t="shared" si="320"/>
        <v>0</v>
      </c>
      <c r="N487" s="329">
        <f t="shared" si="314"/>
        <v>0</v>
      </c>
      <c r="O487" s="338">
        <f t="shared" si="321"/>
        <v>0</v>
      </c>
      <c r="P487" s="329">
        <f t="shared" si="315"/>
        <v>0</v>
      </c>
      <c r="Q487" s="338">
        <f t="shared" si="322"/>
        <v>0</v>
      </c>
      <c r="R487" s="329">
        <f t="shared" si="316"/>
        <v>0</v>
      </c>
      <c r="S487" s="338">
        <f t="shared" si="323"/>
        <v>0</v>
      </c>
      <c r="T487" s="329">
        <f t="shared" si="317"/>
        <v>0</v>
      </c>
      <c r="U487" s="338">
        <f t="shared" si="324"/>
        <v>0</v>
      </c>
      <c r="V487" s="329">
        <f t="shared" si="318"/>
        <v>0</v>
      </c>
      <c r="W487" s="338">
        <f t="shared" si="325"/>
        <v>0</v>
      </c>
      <c r="X487" s="35"/>
      <c r="Y487" s="765"/>
      <c r="Z487" s="765"/>
      <c r="AA487" s="765"/>
      <c r="AB487" s="765"/>
    </row>
    <row r="488" spans="1:28" x14ac:dyDescent="0.25">
      <c r="A488" s="335">
        <f>A487+1</f>
        <v>44131</v>
      </c>
      <c r="B488" s="49">
        <f t="shared" si="326"/>
        <v>0</v>
      </c>
      <c r="C488" s="338">
        <f t="shared" si="333"/>
        <v>51000000</v>
      </c>
      <c r="D488" s="329">
        <f t="shared" si="327"/>
        <v>0</v>
      </c>
      <c r="E488" s="338">
        <f t="shared" si="334"/>
        <v>32902698.02067171</v>
      </c>
      <c r="F488" s="329">
        <f t="shared" si="328"/>
        <v>0</v>
      </c>
      <c r="G488" s="338">
        <f t="shared" si="335"/>
        <v>30700000</v>
      </c>
      <c r="H488" s="329">
        <f t="shared" si="311"/>
        <v>0</v>
      </c>
      <c r="I488" s="338">
        <f t="shared" si="336"/>
        <v>19721906</v>
      </c>
      <c r="J488" s="329">
        <f t="shared" si="312"/>
        <v>0</v>
      </c>
      <c r="K488" s="338">
        <f t="shared" si="319"/>
        <v>0</v>
      </c>
      <c r="L488" s="329">
        <f t="shared" si="313"/>
        <v>0</v>
      </c>
      <c r="M488" s="338">
        <f t="shared" si="320"/>
        <v>0</v>
      </c>
      <c r="N488" s="329">
        <f t="shared" si="314"/>
        <v>0</v>
      </c>
      <c r="O488" s="338">
        <f t="shared" si="321"/>
        <v>0</v>
      </c>
      <c r="P488" s="329">
        <f t="shared" si="315"/>
        <v>0</v>
      </c>
      <c r="Q488" s="338">
        <f t="shared" si="322"/>
        <v>0</v>
      </c>
      <c r="R488" s="329">
        <f t="shared" si="316"/>
        <v>0</v>
      </c>
      <c r="S488" s="338">
        <f t="shared" si="323"/>
        <v>0</v>
      </c>
      <c r="T488" s="329">
        <f t="shared" si="317"/>
        <v>0</v>
      </c>
      <c r="U488" s="338">
        <f t="shared" si="324"/>
        <v>0</v>
      </c>
      <c r="V488" s="329">
        <f t="shared" si="318"/>
        <v>0</v>
      </c>
      <c r="W488" s="338">
        <f t="shared" si="325"/>
        <v>0</v>
      </c>
      <c r="X488" s="35"/>
      <c r="Y488" s="765"/>
      <c r="Z488" s="765"/>
      <c r="AA488" s="765"/>
      <c r="AB488" s="765"/>
    </row>
    <row r="489" spans="1:28" x14ac:dyDescent="0.25">
      <c r="A489" s="335">
        <f>A488+1</f>
        <v>44132</v>
      </c>
      <c r="B489" s="49">
        <f t="shared" si="326"/>
        <v>0</v>
      </c>
      <c r="C489" s="338">
        <f t="shared" si="333"/>
        <v>51000000</v>
      </c>
      <c r="D489" s="329">
        <f t="shared" si="327"/>
        <v>0</v>
      </c>
      <c r="E489" s="338">
        <f t="shared" si="334"/>
        <v>32902698.02067171</v>
      </c>
      <c r="F489" s="329">
        <f t="shared" si="328"/>
        <v>0</v>
      </c>
      <c r="G489" s="338">
        <f t="shared" si="335"/>
        <v>30700000</v>
      </c>
      <c r="H489" s="329">
        <f t="shared" si="311"/>
        <v>0</v>
      </c>
      <c r="I489" s="338">
        <f t="shared" si="336"/>
        <v>19721906</v>
      </c>
      <c r="J489" s="329">
        <f t="shared" si="312"/>
        <v>0</v>
      </c>
      <c r="K489" s="338">
        <f t="shared" si="319"/>
        <v>0</v>
      </c>
      <c r="L489" s="329">
        <f t="shared" si="313"/>
        <v>0</v>
      </c>
      <c r="M489" s="338">
        <f t="shared" si="320"/>
        <v>0</v>
      </c>
      <c r="N489" s="329">
        <f t="shared" si="314"/>
        <v>0</v>
      </c>
      <c r="O489" s="338">
        <f t="shared" si="321"/>
        <v>0</v>
      </c>
      <c r="P489" s="329">
        <f t="shared" si="315"/>
        <v>0</v>
      </c>
      <c r="Q489" s="338">
        <f t="shared" si="322"/>
        <v>0</v>
      </c>
      <c r="R489" s="329">
        <f t="shared" si="316"/>
        <v>0</v>
      </c>
      <c r="S489" s="338">
        <f t="shared" si="323"/>
        <v>0</v>
      </c>
      <c r="T489" s="329">
        <f t="shared" si="317"/>
        <v>0</v>
      </c>
      <c r="U489" s="338">
        <f t="shared" si="324"/>
        <v>0</v>
      </c>
      <c r="V489" s="329">
        <f t="shared" si="318"/>
        <v>0</v>
      </c>
      <c r="W489" s="338">
        <f t="shared" si="325"/>
        <v>0</v>
      </c>
      <c r="X489" s="35"/>
      <c r="Y489" s="765"/>
      <c r="Z489" s="765"/>
      <c r="AA489" s="765"/>
      <c r="AB489" s="765"/>
    </row>
    <row r="490" spans="1:28" x14ac:dyDescent="0.25">
      <c r="A490" s="335">
        <f>A489+1</f>
        <v>44133</v>
      </c>
      <c r="B490" s="49">
        <f t="shared" si="326"/>
        <v>0</v>
      </c>
      <c r="C490" s="338">
        <f t="shared" si="333"/>
        <v>51000000</v>
      </c>
      <c r="D490" s="329">
        <f t="shared" si="327"/>
        <v>0</v>
      </c>
      <c r="E490" s="338">
        <f t="shared" si="334"/>
        <v>32902698.02067171</v>
      </c>
      <c r="F490" s="329">
        <f t="shared" si="328"/>
        <v>0</v>
      </c>
      <c r="G490" s="338">
        <f t="shared" si="335"/>
        <v>30700000</v>
      </c>
      <c r="H490" s="329">
        <f t="shared" si="311"/>
        <v>0</v>
      </c>
      <c r="I490" s="338">
        <f t="shared" si="336"/>
        <v>19721906</v>
      </c>
      <c r="J490" s="329">
        <f t="shared" si="312"/>
        <v>0</v>
      </c>
      <c r="K490" s="338">
        <f t="shared" si="319"/>
        <v>0</v>
      </c>
      <c r="L490" s="329">
        <f t="shared" si="313"/>
        <v>0</v>
      </c>
      <c r="M490" s="338">
        <f t="shared" si="320"/>
        <v>0</v>
      </c>
      <c r="N490" s="329">
        <f t="shared" si="314"/>
        <v>0</v>
      </c>
      <c r="O490" s="338">
        <f t="shared" si="321"/>
        <v>0</v>
      </c>
      <c r="P490" s="329">
        <f t="shared" si="315"/>
        <v>0</v>
      </c>
      <c r="Q490" s="338">
        <f t="shared" si="322"/>
        <v>0</v>
      </c>
      <c r="R490" s="329">
        <f t="shared" si="316"/>
        <v>0</v>
      </c>
      <c r="S490" s="338">
        <f t="shared" si="323"/>
        <v>0</v>
      </c>
      <c r="T490" s="329">
        <f t="shared" si="317"/>
        <v>0</v>
      </c>
      <c r="U490" s="338">
        <f t="shared" si="324"/>
        <v>0</v>
      </c>
      <c r="V490" s="329">
        <f t="shared" si="318"/>
        <v>0</v>
      </c>
      <c r="W490" s="338">
        <f t="shared" si="325"/>
        <v>0</v>
      </c>
      <c r="X490" s="35"/>
      <c r="Y490" s="765"/>
      <c r="Z490" s="765"/>
      <c r="AA490" s="765"/>
      <c r="AB490" s="765"/>
    </row>
    <row r="491" spans="1:28" x14ac:dyDescent="0.25">
      <c r="A491" s="335">
        <f>A490+1</f>
        <v>44134</v>
      </c>
      <c r="B491" s="49">
        <f t="shared" si="326"/>
        <v>0</v>
      </c>
      <c r="C491" s="338">
        <f t="shared" si="333"/>
        <v>51000000</v>
      </c>
      <c r="D491" s="329">
        <f t="shared" si="327"/>
        <v>0</v>
      </c>
      <c r="E491" s="338">
        <f t="shared" si="334"/>
        <v>32902698.02067171</v>
      </c>
      <c r="F491" s="329">
        <f t="shared" si="328"/>
        <v>0</v>
      </c>
      <c r="G491" s="338">
        <f t="shared" si="335"/>
        <v>30700000</v>
      </c>
      <c r="H491" s="329">
        <f t="shared" ref="H491:H554" si="337">SUMIFS(Usage_Main,CF_Dates,$A491,CF_Descriptions,"XS2091648928 Change")</f>
        <v>0</v>
      </c>
      <c r="I491" s="338">
        <f t="shared" si="336"/>
        <v>19721906</v>
      </c>
      <c r="J491" s="329">
        <f t="shared" ref="J491:J554" si="338">SUMIFS(Usage_Main,CF_Dates,$A491,CF_Descriptions,"Southern Apple Change")</f>
        <v>0</v>
      </c>
      <c r="K491" s="338">
        <f t="shared" si="319"/>
        <v>0</v>
      </c>
      <c r="L491" s="329">
        <f t="shared" ref="L491:L554" si="339">SUMIFS(Usage_Main,CF_Dates,$A491,CF_Descriptions,"ALMONDUSD Change")</f>
        <v>0</v>
      </c>
      <c r="M491" s="338">
        <f t="shared" si="320"/>
        <v>0</v>
      </c>
      <c r="N491" s="329">
        <f t="shared" ref="N491:N554" si="340">SUMIFS(Usage_Main,CF_Dates,$A491,CF_Descriptions,"ALMONDEUR Change")</f>
        <v>0</v>
      </c>
      <c r="O491" s="338">
        <f t="shared" si="321"/>
        <v>0</v>
      </c>
      <c r="P491" s="329">
        <f t="shared" ref="P491:P554" si="341">SUMIFS(Usage_Main,CF_Dates,$A491,CF_Descriptions,"HEXZETA Change")</f>
        <v>0</v>
      </c>
      <c r="Q491" s="338">
        <f t="shared" si="322"/>
        <v>0</v>
      </c>
      <c r="R491" s="329">
        <f t="shared" ref="R491:R554" si="342">SUMIFS(Usage_Main,CF_Dates,$A491,CF_Descriptions,"MNTNCHERRY Change")</f>
        <v>0</v>
      </c>
      <c r="S491" s="338">
        <f t="shared" si="323"/>
        <v>0</v>
      </c>
      <c r="T491" s="329">
        <f t="shared" ref="T491:T554" si="343">SUMIFS(Usage_Main,CF_Dates,$A491,CF_Descriptions,"OLIVEUSD Change")</f>
        <v>0</v>
      </c>
      <c r="U491" s="338">
        <f t="shared" si="324"/>
        <v>0</v>
      </c>
      <c r="V491" s="329">
        <f t="shared" ref="V491:V554" si="344">SUMIFS(Usage_Main,CF_Dates,$A491,CF_Descriptions,"OLIVEEUR Change")</f>
        <v>0</v>
      </c>
      <c r="W491" s="338">
        <f t="shared" si="325"/>
        <v>0</v>
      </c>
      <c r="X491" s="35"/>
      <c r="Y491" s="765"/>
      <c r="Z491" s="765"/>
      <c r="AA491" s="765"/>
      <c r="AB491" s="765"/>
    </row>
    <row r="492" spans="1:28" x14ac:dyDescent="0.25">
      <c r="A492" s="336">
        <f>A491+3</f>
        <v>44137</v>
      </c>
      <c r="B492" s="49">
        <f t="shared" si="326"/>
        <v>0</v>
      </c>
      <c r="C492" s="338">
        <f t="shared" si="333"/>
        <v>51000000</v>
      </c>
      <c r="D492" s="329">
        <f t="shared" si="327"/>
        <v>0</v>
      </c>
      <c r="E492" s="338">
        <f t="shared" si="334"/>
        <v>32902698.02067171</v>
      </c>
      <c r="F492" s="329">
        <f t="shared" si="328"/>
        <v>0</v>
      </c>
      <c r="G492" s="338">
        <f t="shared" si="335"/>
        <v>30700000</v>
      </c>
      <c r="H492" s="329">
        <f t="shared" si="337"/>
        <v>0</v>
      </c>
      <c r="I492" s="338">
        <f t="shared" si="336"/>
        <v>19721906</v>
      </c>
      <c r="J492" s="329">
        <f t="shared" si="338"/>
        <v>0</v>
      </c>
      <c r="K492" s="338">
        <f t="shared" ref="K492:K555" si="345">J492+K491</f>
        <v>0</v>
      </c>
      <c r="L492" s="329">
        <f t="shared" si="339"/>
        <v>0</v>
      </c>
      <c r="M492" s="338">
        <f t="shared" ref="M492:M555" si="346">L492+M491</f>
        <v>0</v>
      </c>
      <c r="N492" s="329">
        <f t="shared" si="340"/>
        <v>0</v>
      </c>
      <c r="O492" s="338">
        <f t="shared" ref="O492:O555" si="347">N492+O491</f>
        <v>0</v>
      </c>
      <c r="P492" s="329">
        <f t="shared" si="341"/>
        <v>0</v>
      </c>
      <c r="Q492" s="338">
        <f t="shared" ref="Q492:Q555" si="348">P492+Q491</f>
        <v>0</v>
      </c>
      <c r="R492" s="329">
        <f t="shared" si="342"/>
        <v>0</v>
      </c>
      <c r="S492" s="338">
        <f t="shared" ref="S492:S555" si="349">R492+S491</f>
        <v>0</v>
      </c>
      <c r="T492" s="329">
        <f t="shared" si="343"/>
        <v>0</v>
      </c>
      <c r="U492" s="338">
        <f t="shared" ref="U492:U555" si="350">T492+U491</f>
        <v>0</v>
      </c>
      <c r="V492" s="329">
        <f t="shared" si="344"/>
        <v>0</v>
      </c>
      <c r="W492" s="338">
        <f t="shared" ref="W492:W555" si="351">V492+W491</f>
        <v>0</v>
      </c>
      <c r="X492" s="35"/>
      <c r="Y492" s="765"/>
      <c r="Z492" s="765"/>
      <c r="AA492" s="765"/>
      <c r="AB492" s="765"/>
    </row>
    <row r="493" spans="1:28" x14ac:dyDescent="0.25">
      <c r="A493" s="335">
        <f>A492+1</f>
        <v>44138</v>
      </c>
      <c r="B493" s="49">
        <f t="shared" si="326"/>
        <v>0</v>
      </c>
      <c r="C493" s="338">
        <f t="shared" si="333"/>
        <v>51000000</v>
      </c>
      <c r="D493" s="329">
        <f t="shared" si="327"/>
        <v>0</v>
      </c>
      <c r="E493" s="338">
        <f t="shared" si="334"/>
        <v>32902698.02067171</v>
      </c>
      <c r="F493" s="329">
        <f t="shared" si="328"/>
        <v>0</v>
      </c>
      <c r="G493" s="338">
        <f t="shared" si="335"/>
        <v>30700000</v>
      </c>
      <c r="H493" s="329">
        <f t="shared" si="337"/>
        <v>0</v>
      </c>
      <c r="I493" s="338">
        <f t="shared" si="336"/>
        <v>19721906</v>
      </c>
      <c r="J493" s="329">
        <f t="shared" si="338"/>
        <v>0</v>
      </c>
      <c r="K493" s="338">
        <f t="shared" si="345"/>
        <v>0</v>
      </c>
      <c r="L493" s="329">
        <f t="shared" si="339"/>
        <v>0</v>
      </c>
      <c r="M493" s="338">
        <f t="shared" si="346"/>
        <v>0</v>
      </c>
      <c r="N493" s="329">
        <f t="shared" si="340"/>
        <v>0</v>
      </c>
      <c r="O493" s="338">
        <f t="shared" si="347"/>
        <v>0</v>
      </c>
      <c r="P493" s="329">
        <f t="shared" si="341"/>
        <v>0</v>
      </c>
      <c r="Q493" s="338">
        <f t="shared" si="348"/>
        <v>0</v>
      </c>
      <c r="R493" s="329">
        <f t="shared" si="342"/>
        <v>0</v>
      </c>
      <c r="S493" s="338">
        <f t="shared" si="349"/>
        <v>0</v>
      </c>
      <c r="T493" s="329">
        <f t="shared" si="343"/>
        <v>0</v>
      </c>
      <c r="U493" s="338">
        <f t="shared" si="350"/>
        <v>0</v>
      </c>
      <c r="V493" s="329">
        <f t="shared" si="344"/>
        <v>0</v>
      </c>
      <c r="W493" s="338">
        <f t="shared" si="351"/>
        <v>0</v>
      </c>
      <c r="X493" s="35"/>
      <c r="Y493" s="765"/>
      <c r="Z493" s="765"/>
    </row>
    <row r="494" spans="1:28" x14ac:dyDescent="0.25">
      <c r="A494" s="335">
        <f>A493+1</f>
        <v>44139</v>
      </c>
      <c r="B494" s="49">
        <f t="shared" si="326"/>
        <v>0</v>
      </c>
      <c r="C494" s="338">
        <f t="shared" si="333"/>
        <v>51000000</v>
      </c>
      <c r="D494" s="329">
        <f t="shared" si="327"/>
        <v>0</v>
      </c>
      <c r="E494" s="338">
        <f t="shared" si="334"/>
        <v>32902698.02067171</v>
      </c>
      <c r="F494" s="329">
        <f t="shared" si="328"/>
        <v>0</v>
      </c>
      <c r="G494" s="338">
        <f t="shared" si="335"/>
        <v>30700000</v>
      </c>
      <c r="H494" s="329">
        <f t="shared" si="337"/>
        <v>0</v>
      </c>
      <c r="I494" s="338">
        <f t="shared" si="336"/>
        <v>19721906</v>
      </c>
      <c r="J494" s="329">
        <f t="shared" si="338"/>
        <v>0</v>
      </c>
      <c r="K494" s="338">
        <f t="shared" si="345"/>
        <v>0</v>
      </c>
      <c r="L494" s="329">
        <f t="shared" si="339"/>
        <v>0</v>
      </c>
      <c r="M494" s="338">
        <f t="shared" si="346"/>
        <v>0</v>
      </c>
      <c r="N494" s="329">
        <f t="shared" si="340"/>
        <v>0</v>
      </c>
      <c r="O494" s="338">
        <f t="shared" si="347"/>
        <v>0</v>
      </c>
      <c r="P494" s="329">
        <f t="shared" si="341"/>
        <v>0</v>
      </c>
      <c r="Q494" s="338">
        <f t="shared" si="348"/>
        <v>0</v>
      </c>
      <c r="R494" s="329">
        <f t="shared" si="342"/>
        <v>0</v>
      </c>
      <c r="S494" s="338">
        <f t="shared" si="349"/>
        <v>0</v>
      </c>
      <c r="T494" s="329">
        <f t="shared" si="343"/>
        <v>0</v>
      </c>
      <c r="U494" s="338">
        <f t="shared" si="350"/>
        <v>0</v>
      </c>
      <c r="V494" s="329">
        <f t="shared" si="344"/>
        <v>0</v>
      </c>
      <c r="W494" s="338">
        <f t="shared" si="351"/>
        <v>0</v>
      </c>
      <c r="X494" s="35"/>
      <c r="Y494" s="765"/>
      <c r="Z494" s="765"/>
    </row>
    <row r="495" spans="1:28" x14ac:dyDescent="0.25">
      <c r="A495" s="335">
        <f>A494+1</f>
        <v>44140</v>
      </c>
      <c r="B495" s="49">
        <f t="shared" si="326"/>
        <v>0</v>
      </c>
      <c r="C495" s="338">
        <f t="shared" si="333"/>
        <v>51000000</v>
      </c>
      <c r="D495" s="329">
        <f t="shared" si="327"/>
        <v>0</v>
      </c>
      <c r="E495" s="338">
        <f t="shared" si="334"/>
        <v>32902698.02067171</v>
      </c>
      <c r="F495" s="329">
        <f t="shared" si="328"/>
        <v>0</v>
      </c>
      <c r="G495" s="338">
        <f t="shared" si="335"/>
        <v>30700000</v>
      </c>
      <c r="H495" s="329">
        <f t="shared" si="337"/>
        <v>0</v>
      </c>
      <c r="I495" s="338">
        <f t="shared" si="336"/>
        <v>19721906</v>
      </c>
      <c r="J495" s="329">
        <f t="shared" si="338"/>
        <v>0</v>
      </c>
      <c r="K495" s="338">
        <f t="shared" si="345"/>
        <v>0</v>
      </c>
      <c r="L495" s="329">
        <f t="shared" si="339"/>
        <v>0</v>
      </c>
      <c r="M495" s="338">
        <f t="shared" si="346"/>
        <v>0</v>
      </c>
      <c r="N495" s="329">
        <f t="shared" si="340"/>
        <v>0</v>
      </c>
      <c r="O495" s="338">
        <f t="shared" si="347"/>
        <v>0</v>
      </c>
      <c r="P495" s="329">
        <f t="shared" si="341"/>
        <v>0</v>
      </c>
      <c r="Q495" s="338">
        <f t="shared" si="348"/>
        <v>0</v>
      </c>
      <c r="R495" s="329">
        <f t="shared" si="342"/>
        <v>0</v>
      </c>
      <c r="S495" s="338">
        <f t="shared" si="349"/>
        <v>0</v>
      </c>
      <c r="T495" s="329">
        <f t="shared" si="343"/>
        <v>0</v>
      </c>
      <c r="U495" s="338">
        <f t="shared" si="350"/>
        <v>0</v>
      </c>
      <c r="V495" s="329">
        <f t="shared" si="344"/>
        <v>0</v>
      </c>
      <c r="W495" s="338">
        <f t="shared" si="351"/>
        <v>0</v>
      </c>
      <c r="X495" s="35"/>
      <c r="Y495" s="765"/>
      <c r="Z495" s="765"/>
    </row>
    <row r="496" spans="1:28" x14ac:dyDescent="0.25">
      <c r="A496" s="335">
        <f>A495+1</f>
        <v>44141</v>
      </c>
      <c r="B496" s="49">
        <f t="shared" si="326"/>
        <v>0</v>
      </c>
      <c r="C496" s="338">
        <f t="shared" si="333"/>
        <v>51000000</v>
      </c>
      <c r="D496" s="329">
        <f t="shared" si="327"/>
        <v>0</v>
      </c>
      <c r="E496" s="338">
        <f t="shared" si="334"/>
        <v>32902698.02067171</v>
      </c>
      <c r="F496" s="329">
        <f t="shared" si="328"/>
        <v>0</v>
      </c>
      <c r="G496" s="338">
        <f t="shared" si="335"/>
        <v>30700000</v>
      </c>
      <c r="H496" s="329">
        <f t="shared" si="337"/>
        <v>-10000000</v>
      </c>
      <c r="I496" s="338">
        <f t="shared" si="336"/>
        <v>9721906</v>
      </c>
      <c r="J496" s="329">
        <f t="shared" si="338"/>
        <v>0</v>
      </c>
      <c r="K496" s="338">
        <f t="shared" si="345"/>
        <v>0</v>
      </c>
      <c r="L496" s="329">
        <f t="shared" si="339"/>
        <v>0</v>
      </c>
      <c r="M496" s="338">
        <f t="shared" si="346"/>
        <v>0</v>
      </c>
      <c r="N496" s="329">
        <f t="shared" si="340"/>
        <v>0</v>
      </c>
      <c r="O496" s="338">
        <f t="shared" si="347"/>
        <v>0</v>
      </c>
      <c r="P496" s="329">
        <f t="shared" si="341"/>
        <v>0</v>
      </c>
      <c r="Q496" s="338">
        <f t="shared" si="348"/>
        <v>0</v>
      </c>
      <c r="R496" s="329">
        <f t="shared" si="342"/>
        <v>0</v>
      </c>
      <c r="S496" s="338">
        <f t="shared" si="349"/>
        <v>0</v>
      </c>
      <c r="T496" s="329">
        <f t="shared" si="343"/>
        <v>0</v>
      </c>
      <c r="U496" s="338">
        <f t="shared" si="350"/>
        <v>0</v>
      </c>
      <c r="V496" s="329">
        <f t="shared" si="344"/>
        <v>0</v>
      </c>
      <c r="W496" s="338">
        <f t="shared" si="351"/>
        <v>0</v>
      </c>
      <c r="X496" s="35"/>
      <c r="Y496" s="765"/>
      <c r="Z496" s="765"/>
    </row>
    <row r="497" spans="1:26" x14ac:dyDescent="0.25">
      <c r="A497" s="336">
        <f>A496+3</f>
        <v>44144</v>
      </c>
      <c r="B497" s="49">
        <f t="shared" si="326"/>
        <v>0</v>
      </c>
      <c r="C497" s="338">
        <f t="shared" si="333"/>
        <v>51000000</v>
      </c>
      <c r="D497" s="329">
        <f t="shared" si="327"/>
        <v>0</v>
      </c>
      <c r="E497" s="338">
        <f t="shared" si="334"/>
        <v>32902698.02067171</v>
      </c>
      <c r="F497" s="329">
        <f t="shared" si="328"/>
        <v>500000</v>
      </c>
      <c r="G497" s="338">
        <f t="shared" si="335"/>
        <v>31200000</v>
      </c>
      <c r="H497" s="329">
        <f t="shared" si="337"/>
        <v>0</v>
      </c>
      <c r="I497" s="338">
        <f t="shared" si="336"/>
        <v>9721906</v>
      </c>
      <c r="J497" s="329">
        <f t="shared" si="338"/>
        <v>0</v>
      </c>
      <c r="K497" s="338">
        <f t="shared" si="345"/>
        <v>0</v>
      </c>
      <c r="L497" s="329">
        <f t="shared" si="339"/>
        <v>0</v>
      </c>
      <c r="M497" s="338">
        <f t="shared" si="346"/>
        <v>0</v>
      </c>
      <c r="N497" s="329">
        <f t="shared" si="340"/>
        <v>0</v>
      </c>
      <c r="O497" s="338">
        <f t="shared" si="347"/>
        <v>0</v>
      </c>
      <c r="P497" s="329">
        <f t="shared" si="341"/>
        <v>0</v>
      </c>
      <c r="Q497" s="338">
        <f t="shared" si="348"/>
        <v>0</v>
      </c>
      <c r="R497" s="329">
        <f t="shared" si="342"/>
        <v>0</v>
      </c>
      <c r="S497" s="338">
        <f t="shared" si="349"/>
        <v>0</v>
      </c>
      <c r="T497" s="329">
        <f t="shared" si="343"/>
        <v>0</v>
      </c>
      <c r="U497" s="338">
        <f t="shared" si="350"/>
        <v>0</v>
      </c>
      <c r="V497" s="329">
        <f t="shared" si="344"/>
        <v>0</v>
      </c>
      <c r="W497" s="338">
        <f t="shared" si="351"/>
        <v>0</v>
      </c>
      <c r="X497" s="35"/>
      <c r="Y497" s="765"/>
      <c r="Z497" s="765"/>
    </row>
    <row r="498" spans="1:26" x14ac:dyDescent="0.25">
      <c r="A498" s="335">
        <f>A497+1</f>
        <v>44145</v>
      </c>
      <c r="B498" s="49">
        <f t="shared" si="326"/>
        <v>0</v>
      </c>
      <c r="C498" s="338">
        <f t="shared" si="333"/>
        <v>51000000</v>
      </c>
      <c r="D498" s="329">
        <f t="shared" si="327"/>
        <v>0</v>
      </c>
      <c r="E498" s="338">
        <f t="shared" si="334"/>
        <v>32902698.02067171</v>
      </c>
      <c r="F498" s="329">
        <f t="shared" si="328"/>
        <v>0</v>
      </c>
      <c r="G498" s="338">
        <f t="shared" si="335"/>
        <v>31200000</v>
      </c>
      <c r="H498" s="329">
        <f t="shared" si="337"/>
        <v>0</v>
      </c>
      <c r="I498" s="338">
        <f t="shared" si="336"/>
        <v>9721906</v>
      </c>
      <c r="J498" s="329">
        <f t="shared" si="338"/>
        <v>0</v>
      </c>
      <c r="K498" s="338">
        <f t="shared" si="345"/>
        <v>0</v>
      </c>
      <c r="L498" s="329">
        <f t="shared" si="339"/>
        <v>0</v>
      </c>
      <c r="M498" s="338">
        <f t="shared" si="346"/>
        <v>0</v>
      </c>
      <c r="N498" s="329">
        <f t="shared" si="340"/>
        <v>0</v>
      </c>
      <c r="O498" s="338">
        <f t="shared" si="347"/>
        <v>0</v>
      </c>
      <c r="P498" s="329">
        <f t="shared" si="341"/>
        <v>0</v>
      </c>
      <c r="Q498" s="338">
        <f t="shared" si="348"/>
        <v>0</v>
      </c>
      <c r="R498" s="329">
        <f t="shared" si="342"/>
        <v>0</v>
      </c>
      <c r="S498" s="338">
        <f t="shared" si="349"/>
        <v>0</v>
      </c>
      <c r="T498" s="329">
        <f t="shared" si="343"/>
        <v>0</v>
      </c>
      <c r="U498" s="338">
        <f t="shared" si="350"/>
        <v>0</v>
      </c>
      <c r="V498" s="329">
        <f t="shared" si="344"/>
        <v>0</v>
      </c>
      <c r="W498" s="338">
        <f t="shared" si="351"/>
        <v>0</v>
      </c>
      <c r="X498" s="35"/>
      <c r="Y498" s="765"/>
      <c r="Z498" s="765"/>
    </row>
    <row r="499" spans="1:26" x14ac:dyDescent="0.25">
      <c r="A499" s="335">
        <f>A498+1</f>
        <v>44146</v>
      </c>
      <c r="B499" s="49">
        <f t="shared" ref="B499:B562" si="352">SUMIFS(Usage_Main,CF_Dates,$A499,CF_Descriptions,"XS1951177309 Change")</f>
        <v>0</v>
      </c>
      <c r="C499" s="338">
        <f t="shared" si="333"/>
        <v>51000000</v>
      </c>
      <c r="D499" s="329">
        <f t="shared" ref="D499:D562" si="353">SUMIFS(Usage_Main,CF_Dates,$A499,CF_Descriptions,"SOSPRUCE1 Change")</f>
        <v>0</v>
      </c>
      <c r="E499" s="338">
        <f t="shared" si="334"/>
        <v>32902698.02067171</v>
      </c>
      <c r="F499" s="329">
        <f t="shared" si="328"/>
        <v>0</v>
      </c>
      <c r="G499" s="338">
        <f t="shared" si="335"/>
        <v>31200000</v>
      </c>
      <c r="H499" s="329">
        <f t="shared" si="337"/>
        <v>0</v>
      </c>
      <c r="I499" s="338">
        <f t="shared" si="336"/>
        <v>9721906</v>
      </c>
      <c r="J499" s="329">
        <f t="shared" si="338"/>
        <v>0</v>
      </c>
      <c r="K499" s="338">
        <f t="shared" si="345"/>
        <v>0</v>
      </c>
      <c r="L499" s="329">
        <f t="shared" si="339"/>
        <v>0</v>
      </c>
      <c r="M499" s="338">
        <f t="shared" si="346"/>
        <v>0</v>
      </c>
      <c r="N499" s="329">
        <f t="shared" si="340"/>
        <v>0</v>
      </c>
      <c r="O499" s="338">
        <f t="shared" si="347"/>
        <v>0</v>
      </c>
      <c r="P499" s="329">
        <f t="shared" si="341"/>
        <v>0</v>
      </c>
      <c r="Q499" s="338">
        <f t="shared" si="348"/>
        <v>0</v>
      </c>
      <c r="R499" s="329">
        <f t="shared" si="342"/>
        <v>0</v>
      </c>
      <c r="S499" s="338">
        <f t="shared" si="349"/>
        <v>0</v>
      </c>
      <c r="T499" s="329">
        <f t="shared" si="343"/>
        <v>0</v>
      </c>
      <c r="U499" s="338">
        <f t="shared" si="350"/>
        <v>0</v>
      </c>
      <c r="V499" s="329">
        <f t="shared" si="344"/>
        <v>0</v>
      </c>
      <c r="W499" s="338">
        <f t="shared" si="351"/>
        <v>0</v>
      </c>
      <c r="X499" s="35"/>
      <c r="Y499" s="765"/>
      <c r="Z499" s="765"/>
    </row>
    <row r="500" spans="1:26" x14ac:dyDescent="0.25">
      <c r="A500" s="335">
        <f>A499+1</f>
        <v>44147</v>
      </c>
      <c r="B500" s="49">
        <f t="shared" si="352"/>
        <v>0</v>
      </c>
      <c r="C500" s="338">
        <f t="shared" si="333"/>
        <v>51000000</v>
      </c>
      <c r="D500" s="329">
        <f t="shared" si="353"/>
        <v>0</v>
      </c>
      <c r="E500" s="338">
        <f t="shared" si="334"/>
        <v>32902698.02067171</v>
      </c>
      <c r="F500" s="329">
        <f t="shared" si="328"/>
        <v>0</v>
      </c>
      <c r="G500" s="338">
        <f t="shared" si="335"/>
        <v>31200000</v>
      </c>
      <c r="H500" s="329">
        <f t="shared" si="337"/>
        <v>0</v>
      </c>
      <c r="I500" s="338">
        <f t="shared" si="336"/>
        <v>9721906</v>
      </c>
      <c r="J500" s="329">
        <f t="shared" si="338"/>
        <v>0</v>
      </c>
      <c r="K500" s="338">
        <f t="shared" si="345"/>
        <v>0</v>
      </c>
      <c r="L500" s="329">
        <f t="shared" si="339"/>
        <v>0</v>
      </c>
      <c r="M500" s="338">
        <f t="shared" si="346"/>
        <v>0</v>
      </c>
      <c r="N500" s="329">
        <f t="shared" si="340"/>
        <v>0</v>
      </c>
      <c r="O500" s="338">
        <f t="shared" si="347"/>
        <v>0</v>
      </c>
      <c r="P500" s="329">
        <f t="shared" si="341"/>
        <v>0</v>
      </c>
      <c r="Q500" s="338">
        <f t="shared" si="348"/>
        <v>0</v>
      </c>
      <c r="R500" s="329">
        <f t="shared" si="342"/>
        <v>0</v>
      </c>
      <c r="S500" s="338">
        <f t="shared" si="349"/>
        <v>0</v>
      </c>
      <c r="T500" s="329">
        <f t="shared" si="343"/>
        <v>0</v>
      </c>
      <c r="U500" s="338">
        <f t="shared" si="350"/>
        <v>0</v>
      </c>
      <c r="V500" s="329">
        <f t="shared" si="344"/>
        <v>0</v>
      </c>
      <c r="W500" s="338">
        <f t="shared" si="351"/>
        <v>0</v>
      </c>
      <c r="X500" s="35"/>
      <c r="Y500" s="765"/>
      <c r="Z500" s="765"/>
    </row>
    <row r="501" spans="1:26" x14ac:dyDescent="0.25">
      <c r="A501" s="335">
        <f>A500+1</f>
        <v>44148</v>
      </c>
      <c r="B501" s="49">
        <f t="shared" si="352"/>
        <v>0</v>
      </c>
      <c r="C501" s="338">
        <f t="shared" si="333"/>
        <v>51000000</v>
      </c>
      <c r="D501" s="329">
        <f t="shared" si="353"/>
        <v>0</v>
      </c>
      <c r="E501" s="338">
        <f t="shared" si="334"/>
        <v>32902698.02067171</v>
      </c>
      <c r="F501" s="329">
        <f t="shared" si="328"/>
        <v>0</v>
      </c>
      <c r="G501" s="338">
        <f t="shared" si="335"/>
        <v>31200000</v>
      </c>
      <c r="H501" s="329">
        <f t="shared" si="337"/>
        <v>0</v>
      </c>
      <c r="I501" s="338">
        <f t="shared" si="336"/>
        <v>9721906</v>
      </c>
      <c r="J501" s="329">
        <f t="shared" si="338"/>
        <v>0</v>
      </c>
      <c r="K501" s="338">
        <f t="shared" si="345"/>
        <v>0</v>
      </c>
      <c r="L501" s="329">
        <f t="shared" si="339"/>
        <v>0</v>
      </c>
      <c r="M501" s="338">
        <f t="shared" si="346"/>
        <v>0</v>
      </c>
      <c r="N501" s="329">
        <f t="shared" si="340"/>
        <v>0</v>
      </c>
      <c r="O501" s="338">
        <f t="shared" si="347"/>
        <v>0</v>
      </c>
      <c r="P501" s="329">
        <f t="shared" si="341"/>
        <v>0</v>
      </c>
      <c r="Q501" s="338">
        <f t="shared" si="348"/>
        <v>0</v>
      </c>
      <c r="R501" s="329">
        <f t="shared" si="342"/>
        <v>0</v>
      </c>
      <c r="S501" s="338">
        <f t="shared" si="349"/>
        <v>0</v>
      </c>
      <c r="T501" s="329">
        <f t="shared" si="343"/>
        <v>0</v>
      </c>
      <c r="U501" s="338">
        <f t="shared" si="350"/>
        <v>0</v>
      </c>
      <c r="V501" s="329">
        <f t="shared" si="344"/>
        <v>0</v>
      </c>
      <c r="W501" s="338">
        <f t="shared" si="351"/>
        <v>0</v>
      </c>
      <c r="X501" s="35"/>
      <c r="Y501" s="765"/>
      <c r="Z501" s="765"/>
    </row>
    <row r="502" spans="1:26" x14ac:dyDescent="0.25">
      <c r="A502" s="336">
        <f>A501+3</f>
        <v>44151</v>
      </c>
      <c r="B502" s="49">
        <f t="shared" si="352"/>
        <v>0</v>
      </c>
      <c r="C502" s="338">
        <f t="shared" si="333"/>
        <v>51000000</v>
      </c>
      <c r="D502" s="329">
        <f t="shared" si="353"/>
        <v>0</v>
      </c>
      <c r="E502" s="338">
        <f t="shared" si="334"/>
        <v>32902698.02067171</v>
      </c>
      <c r="F502" s="329">
        <f t="shared" si="328"/>
        <v>0</v>
      </c>
      <c r="G502" s="338">
        <f t="shared" si="335"/>
        <v>31200000</v>
      </c>
      <c r="H502" s="329">
        <f t="shared" si="337"/>
        <v>0</v>
      </c>
      <c r="I502" s="338">
        <f t="shared" si="336"/>
        <v>9721906</v>
      </c>
      <c r="J502" s="329">
        <f t="shared" si="338"/>
        <v>0</v>
      </c>
      <c r="K502" s="338">
        <f t="shared" si="345"/>
        <v>0</v>
      </c>
      <c r="L502" s="329">
        <f t="shared" si="339"/>
        <v>0</v>
      </c>
      <c r="M502" s="338">
        <f t="shared" si="346"/>
        <v>0</v>
      </c>
      <c r="N502" s="329">
        <f t="shared" si="340"/>
        <v>0</v>
      </c>
      <c r="O502" s="338">
        <f t="shared" si="347"/>
        <v>0</v>
      </c>
      <c r="P502" s="329">
        <f t="shared" si="341"/>
        <v>0</v>
      </c>
      <c r="Q502" s="338">
        <f t="shared" si="348"/>
        <v>0</v>
      </c>
      <c r="R502" s="329">
        <f t="shared" si="342"/>
        <v>0</v>
      </c>
      <c r="S502" s="338">
        <f t="shared" si="349"/>
        <v>0</v>
      </c>
      <c r="T502" s="329">
        <f t="shared" si="343"/>
        <v>0</v>
      </c>
      <c r="U502" s="338">
        <f t="shared" si="350"/>
        <v>0</v>
      </c>
      <c r="V502" s="329">
        <f t="shared" si="344"/>
        <v>0</v>
      </c>
      <c r="W502" s="338">
        <f t="shared" si="351"/>
        <v>0</v>
      </c>
      <c r="X502" s="35"/>
      <c r="Y502" s="765"/>
      <c r="Z502" s="765"/>
    </row>
    <row r="503" spans="1:26" x14ac:dyDescent="0.25">
      <c r="A503" s="335">
        <f>A502+1</f>
        <v>44152</v>
      </c>
      <c r="B503" s="49">
        <f t="shared" si="352"/>
        <v>0</v>
      </c>
      <c r="C503" s="338">
        <f t="shared" si="333"/>
        <v>51000000</v>
      </c>
      <c r="D503" s="329">
        <f t="shared" si="353"/>
        <v>0</v>
      </c>
      <c r="E503" s="338">
        <f t="shared" si="334"/>
        <v>32902698.02067171</v>
      </c>
      <c r="F503" s="329">
        <f t="shared" si="328"/>
        <v>0</v>
      </c>
      <c r="G503" s="338">
        <f t="shared" si="335"/>
        <v>31200000</v>
      </c>
      <c r="H503" s="329">
        <f t="shared" si="337"/>
        <v>0</v>
      </c>
      <c r="I503" s="338">
        <f t="shared" si="336"/>
        <v>9721906</v>
      </c>
      <c r="J503" s="329">
        <f t="shared" si="338"/>
        <v>0</v>
      </c>
      <c r="K503" s="338">
        <f t="shared" si="345"/>
        <v>0</v>
      </c>
      <c r="L503" s="329">
        <f t="shared" si="339"/>
        <v>0</v>
      </c>
      <c r="M503" s="338">
        <f t="shared" si="346"/>
        <v>0</v>
      </c>
      <c r="N503" s="329">
        <f t="shared" si="340"/>
        <v>0</v>
      </c>
      <c r="O503" s="338">
        <f t="shared" si="347"/>
        <v>0</v>
      </c>
      <c r="P503" s="329">
        <f t="shared" si="341"/>
        <v>0</v>
      </c>
      <c r="Q503" s="338">
        <f t="shared" si="348"/>
        <v>0</v>
      </c>
      <c r="R503" s="329">
        <f t="shared" si="342"/>
        <v>0</v>
      </c>
      <c r="S503" s="338">
        <f t="shared" si="349"/>
        <v>0</v>
      </c>
      <c r="T503" s="329">
        <f t="shared" si="343"/>
        <v>0</v>
      </c>
      <c r="U503" s="338">
        <f t="shared" si="350"/>
        <v>0</v>
      </c>
      <c r="V503" s="329">
        <f t="shared" si="344"/>
        <v>0</v>
      </c>
      <c r="W503" s="338">
        <f t="shared" si="351"/>
        <v>0</v>
      </c>
      <c r="X503" s="35"/>
      <c r="Y503" s="765"/>
      <c r="Z503" s="765"/>
    </row>
    <row r="504" spans="1:26" x14ac:dyDescent="0.25">
      <c r="A504" s="335">
        <f>A503+1</f>
        <v>44153</v>
      </c>
      <c r="B504" s="49">
        <f t="shared" si="352"/>
        <v>0</v>
      </c>
      <c r="C504" s="338">
        <f t="shared" si="333"/>
        <v>51000000</v>
      </c>
      <c r="D504" s="329">
        <f t="shared" si="353"/>
        <v>0</v>
      </c>
      <c r="E504" s="338">
        <f t="shared" si="334"/>
        <v>32902698.02067171</v>
      </c>
      <c r="F504" s="329">
        <f t="shared" si="328"/>
        <v>0</v>
      </c>
      <c r="G504" s="338">
        <f t="shared" si="335"/>
        <v>31200000</v>
      </c>
      <c r="H504" s="329">
        <f t="shared" si="337"/>
        <v>0</v>
      </c>
      <c r="I504" s="338">
        <f t="shared" si="336"/>
        <v>9721906</v>
      </c>
      <c r="J504" s="329">
        <f t="shared" si="338"/>
        <v>0</v>
      </c>
      <c r="K504" s="338">
        <f t="shared" si="345"/>
        <v>0</v>
      </c>
      <c r="L504" s="329">
        <f t="shared" si="339"/>
        <v>0</v>
      </c>
      <c r="M504" s="338">
        <f t="shared" si="346"/>
        <v>0</v>
      </c>
      <c r="N504" s="329">
        <f t="shared" si="340"/>
        <v>0</v>
      </c>
      <c r="O504" s="338">
        <f t="shared" si="347"/>
        <v>0</v>
      </c>
      <c r="P504" s="329">
        <f t="shared" si="341"/>
        <v>0</v>
      </c>
      <c r="Q504" s="338">
        <f t="shared" si="348"/>
        <v>0</v>
      </c>
      <c r="R504" s="329">
        <f t="shared" si="342"/>
        <v>0</v>
      </c>
      <c r="S504" s="338">
        <f t="shared" si="349"/>
        <v>0</v>
      </c>
      <c r="T504" s="329">
        <f t="shared" si="343"/>
        <v>0</v>
      </c>
      <c r="U504" s="338">
        <f t="shared" si="350"/>
        <v>0</v>
      </c>
      <c r="V504" s="329">
        <f t="shared" si="344"/>
        <v>0</v>
      </c>
      <c r="W504" s="338">
        <f t="shared" si="351"/>
        <v>0</v>
      </c>
      <c r="X504" s="35"/>
      <c r="Y504" s="765"/>
      <c r="Z504" s="765"/>
    </row>
    <row r="505" spans="1:26" x14ac:dyDescent="0.25">
      <c r="A505" s="335">
        <f>A504+1</f>
        <v>44154</v>
      </c>
      <c r="B505" s="49">
        <f t="shared" si="352"/>
        <v>0</v>
      </c>
      <c r="C505" s="338">
        <f t="shared" si="333"/>
        <v>51000000</v>
      </c>
      <c r="D505" s="329">
        <f t="shared" si="353"/>
        <v>0</v>
      </c>
      <c r="E505" s="338">
        <f t="shared" si="334"/>
        <v>32902698.02067171</v>
      </c>
      <c r="F505" s="329">
        <f t="shared" si="328"/>
        <v>0</v>
      </c>
      <c r="G505" s="338">
        <f t="shared" si="335"/>
        <v>31200000</v>
      </c>
      <c r="H505" s="329">
        <f t="shared" si="337"/>
        <v>0</v>
      </c>
      <c r="I505" s="338">
        <f t="shared" si="336"/>
        <v>9721906</v>
      </c>
      <c r="J505" s="329">
        <f t="shared" si="338"/>
        <v>0</v>
      </c>
      <c r="K505" s="338">
        <f t="shared" si="345"/>
        <v>0</v>
      </c>
      <c r="L505" s="329">
        <f t="shared" si="339"/>
        <v>0</v>
      </c>
      <c r="M505" s="338">
        <f t="shared" si="346"/>
        <v>0</v>
      </c>
      <c r="N505" s="329">
        <f t="shared" si="340"/>
        <v>0</v>
      </c>
      <c r="O505" s="338">
        <f t="shared" si="347"/>
        <v>0</v>
      </c>
      <c r="P505" s="329">
        <f t="shared" si="341"/>
        <v>0</v>
      </c>
      <c r="Q505" s="338">
        <f t="shared" si="348"/>
        <v>0</v>
      </c>
      <c r="R505" s="329">
        <f t="shared" si="342"/>
        <v>0</v>
      </c>
      <c r="S505" s="338">
        <f t="shared" si="349"/>
        <v>0</v>
      </c>
      <c r="T505" s="329">
        <f t="shared" si="343"/>
        <v>0</v>
      </c>
      <c r="U505" s="338">
        <f t="shared" si="350"/>
        <v>0</v>
      </c>
      <c r="V505" s="329">
        <f t="shared" si="344"/>
        <v>0</v>
      </c>
      <c r="W505" s="338">
        <f t="shared" si="351"/>
        <v>0</v>
      </c>
      <c r="X505" s="35"/>
      <c r="Y505" s="765"/>
      <c r="Z505" s="765"/>
    </row>
    <row r="506" spans="1:26" x14ac:dyDescent="0.25">
      <c r="A506" s="335">
        <f>A505+1</f>
        <v>44155</v>
      </c>
      <c r="B506" s="49">
        <f t="shared" si="352"/>
        <v>0</v>
      </c>
      <c r="C506" s="338">
        <f t="shared" si="333"/>
        <v>51000000</v>
      </c>
      <c r="D506" s="329">
        <f t="shared" si="353"/>
        <v>0</v>
      </c>
      <c r="E506" s="338">
        <f t="shared" si="334"/>
        <v>32902698.02067171</v>
      </c>
      <c r="F506" s="329">
        <f t="shared" si="328"/>
        <v>0</v>
      </c>
      <c r="G506" s="338">
        <f t="shared" si="335"/>
        <v>31200000</v>
      </c>
      <c r="H506" s="329">
        <f t="shared" si="337"/>
        <v>0</v>
      </c>
      <c r="I506" s="338">
        <f t="shared" si="336"/>
        <v>9721906</v>
      </c>
      <c r="J506" s="329">
        <f t="shared" si="338"/>
        <v>0</v>
      </c>
      <c r="K506" s="338">
        <f t="shared" si="345"/>
        <v>0</v>
      </c>
      <c r="L506" s="329">
        <f t="shared" si="339"/>
        <v>0</v>
      </c>
      <c r="M506" s="338">
        <f t="shared" si="346"/>
        <v>0</v>
      </c>
      <c r="N506" s="329">
        <f t="shared" si="340"/>
        <v>0</v>
      </c>
      <c r="O506" s="338">
        <f t="shared" si="347"/>
        <v>0</v>
      </c>
      <c r="P506" s="329">
        <f t="shared" si="341"/>
        <v>0</v>
      </c>
      <c r="Q506" s="338">
        <f t="shared" si="348"/>
        <v>0</v>
      </c>
      <c r="R506" s="329">
        <f t="shared" si="342"/>
        <v>0</v>
      </c>
      <c r="S506" s="338">
        <f t="shared" si="349"/>
        <v>0</v>
      </c>
      <c r="T506" s="329">
        <f t="shared" si="343"/>
        <v>0</v>
      </c>
      <c r="U506" s="338">
        <f t="shared" si="350"/>
        <v>0</v>
      </c>
      <c r="V506" s="329">
        <f t="shared" si="344"/>
        <v>0</v>
      </c>
      <c r="W506" s="338">
        <f t="shared" si="351"/>
        <v>0</v>
      </c>
      <c r="X506" s="35"/>
      <c r="Y506" s="765"/>
      <c r="Z506" s="765"/>
    </row>
    <row r="507" spans="1:26" x14ac:dyDescent="0.25">
      <c r="A507" s="336">
        <f>A506+3</f>
        <v>44158</v>
      </c>
      <c r="B507" s="49">
        <f t="shared" si="352"/>
        <v>0</v>
      </c>
      <c r="C507" s="338">
        <f t="shared" si="333"/>
        <v>51000000</v>
      </c>
      <c r="D507" s="329">
        <f t="shared" si="353"/>
        <v>0</v>
      </c>
      <c r="E507" s="338">
        <f t="shared" si="334"/>
        <v>32902698.02067171</v>
      </c>
      <c r="F507" s="329">
        <f t="shared" si="328"/>
        <v>0</v>
      </c>
      <c r="G507" s="338">
        <f t="shared" si="335"/>
        <v>31200000</v>
      </c>
      <c r="H507" s="329">
        <f t="shared" si="337"/>
        <v>0</v>
      </c>
      <c r="I507" s="338">
        <f t="shared" si="336"/>
        <v>9721906</v>
      </c>
      <c r="J507" s="329">
        <f t="shared" si="338"/>
        <v>0</v>
      </c>
      <c r="K507" s="338">
        <f t="shared" si="345"/>
        <v>0</v>
      </c>
      <c r="L507" s="329">
        <f t="shared" si="339"/>
        <v>0</v>
      </c>
      <c r="M507" s="338">
        <f t="shared" si="346"/>
        <v>0</v>
      </c>
      <c r="N507" s="329">
        <f t="shared" si="340"/>
        <v>0</v>
      </c>
      <c r="O507" s="338">
        <f t="shared" si="347"/>
        <v>0</v>
      </c>
      <c r="P507" s="329">
        <f t="shared" si="341"/>
        <v>0</v>
      </c>
      <c r="Q507" s="338">
        <f t="shared" si="348"/>
        <v>0</v>
      </c>
      <c r="R507" s="329">
        <f t="shared" si="342"/>
        <v>0</v>
      </c>
      <c r="S507" s="338">
        <f t="shared" si="349"/>
        <v>0</v>
      </c>
      <c r="T507" s="329">
        <f t="shared" si="343"/>
        <v>0</v>
      </c>
      <c r="U507" s="338">
        <f t="shared" si="350"/>
        <v>0</v>
      </c>
      <c r="V507" s="329">
        <f t="shared" si="344"/>
        <v>0</v>
      </c>
      <c r="W507" s="338">
        <f t="shared" si="351"/>
        <v>0</v>
      </c>
      <c r="X507" s="35"/>
      <c r="Y507" s="765"/>
      <c r="Z507" s="765"/>
    </row>
    <row r="508" spans="1:26" x14ac:dyDescent="0.25">
      <c r="A508" s="335">
        <f>A507+1</f>
        <v>44159</v>
      </c>
      <c r="B508" s="49">
        <f t="shared" si="352"/>
        <v>0</v>
      </c>
      <c r="C508" s="338">
        <f t="shared" si="333"/>
        <v>51000000</v>
      </c>
      <c r="D508" s="329">
        <f t="shared" si="353"/>
        <v>0</v>
      </c>
      <c r="E508" s="338">
        <f t="shared" si="334"/>
        <v>32902698.02067171</v>
      </c>
      <c r="F508" s="329">
        <f t="shared" si="328"/>
        <v>0</v>
      </c>
      <c r="G508" s="338">
        <f t="shared" si="335"/>
        <v>31200000</v>
      </c>
      <c r="H508" s="329">
        <f t="shared" si="337"/>
        <v>0</v>
      </c>
      <c r="I508" s="338">
        <f t="shared" si="336"/>
        <v>9721906</v>
      </c>
      <c r="J508" s="329">
        <f t="shared" si="338"/>
        <v>0</v>
      </c>
      <c r="K508" s="338">
        <f t="shared" si="345"/>
        <v>0</v>
      </c>
      <c r="L508" s="329">
        <f t="shared" si="339"/>
        <v>0</v>
      </c>
      <c r="M508" s="338">
        <f t="shared" si="346"/>
        <v>0</v>
      </c>
      <c r="N508" s="329">
        <f t="shared" si="340"/>
        <v>0</v>
      </c>
      <c r="O508" s="338">
        <f t="shared" si="347"/>
        <v>0</v>
      </c>
      <c r="P508" s="329">
        <f t="shared" si="341"/>
        <v>0</v>
      </c>
      <c r="Q508" s="338">
        <f t="shared" si="348"/>
        <v>0</v>
      </c>
      <c r="R508" s="329">
        <f t="shared" si="342"/>
        <v>0</v>
      </c>
      <c r="S508" s="338">
        <f t="shared" si="349"/>
        <v>0</v>
      </c>
      <c r="T508" s="329">
        <f t="shared" si="343"/>
        <v>0</v>
      </c>
      <c r="U508" s="338">
        <f t="shared" si="350"/>
        <v>0</v>
      </c>
      <c r="V508" s="329">
        <f t="shared" si="344"/>
        <v>0</v>
      </c>
      <c r="W508" s="338">
        <f t="shared" si="351"/>
        <v>0</v>
      </c>
      <c r="X508" s="35"/>
      <c r="Y508" s="765"/>
      <c r="Z508" s="765"/>
    </row>
    <row r="509" spans="1:26" x14ac:dyDescent="0.25">
      <c r="A509" s="335">
        <f>A508+1</f>
        <v>44160</v>
      </c>
      <c r="B509" s="49">
        <f t="shared" si="352"/>
        <v>0</v>
      </c>
      <c r="C509" s="338">
        <f t="shared" si="333"/>
        <v>51000000</v>
      </c>
      <c r="D509" s="329">
        <f t="shared" si="353"/>
        <v>0</v>
      </c>
      <c r="E509" s="338">
        <f t="shared" si="334"/>
        <v>32902698.02067171</v>
      </c>
      <c r="F509" s="329">
        <f t="shared" si="328"/>
        <v>0</v>
      </c>
      <c r="G509" s="338">
        <f t="shared" si="335"/>
        <v>31200000</v>
      </c>
      <c r="H509" s="329">
        <f t="shared" si="337"/>
        <v>0</v>
      </c>
      <c r="I509" s="338">
        <f t="shared" si="336"/>
        <v>9721906</v>
      </c>
      <c r="J509" s="329">
        <f t="shared" si="338"/>
        <v>0</v>
      </c>
      <c r="K509" s="338">
        <f t="shared" si="345"/>
        <v>0</v>
      </c>
      <c r="L509" s="329">
        <f t="shared" si="339"/>
        <v>0</v>
      </c>
      <c r="M509" s="338">
        <f t="shared" si="346"/>
        <v>0</v>
      </c>
      <c r="N509" s="329">
        <f t="shared" si="340"/>
        <v>0</v>
      </c>
      <c r="O509" s="338">
        <f t="shared" si="347"/>
        <v>0</v>
      </c>
      <c r="P509" s="329">
        <f t="shared" si="341"/>
        <v>0</v>
      </c>
      <c r="Q509" s="338">
        <f t="shared" si="348"/>
        <v>0</v>
      </c>
      <c r="R509" s="329">
        <f t="shared" si="342"/>
        <v>0</v>
      </c>
      <c r="S509" s="338">
        <f t="shared" si="349"/>
        <v>0</v>
      </c>
      <c r="T509" s="329">
        <f t="shared" si="343"/>
        <v>0</v>
      </c>
      <c r="U509" s="338">
        <f t="shared" si="350"/>
        <v>0</v>
      </c>
      <c r="V509" s="329">
        <f t="shared" si="344"/>
        <v>0</v>
      </c>
      <c r="W509" s="338">
        <f t="shared" si="351"/>
        <v>0</v>
      </c>
      <c r="X509" s="35"/>
      <c r="Y509" s="765"/>
      <c r="Z509" s="765"/>
    </row>
    <row r="510" spans="1:26" x14ac:dyDescent="0.25">
      <c r="A510" s="335">
        <f>A509+2</f>
        <v>44162</v>
      </c>
      <c r="B510" s="49">
        <f t="shared" si="352"/>
        <v>0</v>
      </c>
      <c r="C510" s="338">
        <f t="shared" si="333"/>
        <v>51000000</v>
      </c>
      <c r="D510" s="329">
        <f t="shared" si="353"/>
        <v>0</v>
      </c>
      <c r="E510" s="338">
        <f t="shared" si="334"/>
        <v>32902698.02067171</v>
      </c>
      <c r="F510" s="329">
        <f t="shared" si="328"/>
        <v>0</v>
      </c>
      <c r="G510" s="338">
        <f t="shared" si="335"/>
        <v>31200000</v>
      </c>
      <c r="H510" s="329">
        <f t="shared" si="337"/>
        <v>0</v>
      </c>
      <c r="I510" s="338">
        <f t="shared" si="336"/>
        <v>9721906</v>
      </c>
      <c r="J510" s="329">
        <f t="shared" si="338"/>
        <v>0</v>
      </c>
      <c r="K510" s="338">
        <f t="shared" si="345"/>
        <v>0</v>
      </c>
      <c r="L510" s="329">
        <f t="shared" si="339"/>
        <v>0</v>
      </c>
      <c r="M510" s="338">
        <f t="shared" si="346"/>
        <v>0</v>
      </c>
      <c r="N510" s="329">
        <f t="shared" si="340"/>
        <v>0</v>
      </c>
      <c r="O510" s="338">
        <f t="shared" si="347"/>
        <v>0</v>
      </c>
      <c r="P510" s="329">
        <f t="shared" si="341"/>
        <v>0</v>
      </c>
      <c r="Q510" s="338">
        <f t="shared" si="348"/>
        <v>0</v>
      </c>
      <c r="R510" s="329">
        <f t="shared" si="342"/>
        <v>0</v>
      </c>
      <c r="S510" s="338">
        <f t="shared" si="349"/>
        <v>0</v>
      </c>
      <c r="T510" s="329">
        <f t="shared" si="343"/>
        <v>0</v>
      </c>
      <c r="U510" s="338">
        <f t="shared" si="350"/>
        <v>0</v>
      </c>
      <c r="V510" s="329">
        <f t="shared" si="344"/>
        <v>0</v>
      </c>
      <c r="W510" s="338">
        <f t="shared" si="351"/>
        <v>0</v>
      </c>
      <c r="X510" s="35"/>
      <c r="Y510" s="765"/>
      <c r="Z510" s="765"/>
    </row>
    <row r="511" spans="1:26" x14ac:dyDescent="0.25">
      <c r="A511" s="336">
        <f>A510+3</f>
        <v>44165</v>
      </c>
      <c r="B511" s="49">
        <f t="shared" si="352"/>
        <v>0</v>
      </c>
      <c r="C511" s="338">
        <f t="shared" si="333"/>
        <v>51000000</v>
      </c>
      <c r="D511" s="329">
        <f t="shared" si="353"/>
        <v>0</v>
      </c>
      <c r="E511" s="338">
        <f t="shared" si="334"/>
        <v>32902698.02067171</v>
      </c>
      <c r="F511" s="329">
        <f t="shared" si="328"/>
        <v>0</v>
      </c>
      <c r="G511" s="338">
        <f t="shared" si="335"/>
        <v>31200000</v>
      </c>
      <c r="H511" s="329">
        <f t="shared" si="337"/>
        <v>0</v>
      </c>
      <c r="I511" s="338">
        <f t="shared" si="336"/>
        <v>9721906</v>
      </c>
      <c r="J511" s="329">
        <f t="shared" si="338"/>
        <v>0</v>
      </c>
      <c r="K511" s="338">
        <f t="shared" si="345"/>
        <v>0</v>
      </c>
      <c r="L511" s="329">
        <f t="shared" si="339"/>
        <v>0</v>
      </c>
      <c r="M511" s="338">
        <f t="shared" si="346"/>
        <v>0</v>
      </c>
      <c r="N511" s="329">
        <f t="shared" si="340"/>
        <v>0</v>
      </c>
      <c r="O511" s="338">
        <f t="shared" si="347"/>
        <v>0</v>
      </c>
      <c r="P511" s="329">
        <f t="shared" si="341"/>
        <v>0</v>
      </c>
      <c r="Q511" s="338">
        <f t="shared" si="348"/>
        <v>0</v>
      </c>
      <c r="R511" s="329">
        <f t="shared" si="342"/>
        <v>0</v>
      </c>
      <c r="S511" s="338">
        <f t="shared" si="349"/>
        <v>0</v>
      </c>
      <c r="T511" s="329">
        <f t="shared" si="343"/>
        <v>0</v>
      </c>
      <c r="U511" s="338">
        <f t="shared" si="350"/>
        <v>0</v>
      </c>
      <c r="V511" s="329">
        <f t="shared" si="344"/>
        <v>0</v>
      </c>
      <c r="W511" s="338">
        <f t="shared" si="351"/>
        <v>0</v>
      </c>
      <c r="X511" s="35"/>
      <c r="Y511" s="765"/>
      <c r="Z511" s="765"/>
    </row>
    <row r="512" spans="1:26" x14ac:dyDescent="0.25">
      <c r="A512" s="335">
        <f>A511+1</f>
        <v>44166</v>
      </c>
      <c r="B512" s="49">
        <f t="shared" si="352"/>
        <v>0</v>
      </c>
      <c r="C512" s="338">
        <f t="shared" si="333"/>
        <v>51000000</v>
      </c>
      <c r="D512" s="329">
        <f t="shared" si="353"/>
        <v>0</v>
      </c>
      <c r="E512" s="338">
        <f t="shared" si="334"/>
        <v>32902698.02067171</v>
      </c>
      <c r="F512" s="329">
        <f t="shared" si="328"/>
        <v>0</v>
      </c>
      <c r="G512" s="338">
        <f t="shared" si="335"/>
        <v>31200000</v>
      </c>
      <c r="H512" s="329">
        <f t="shared" si="337"/>
        <v>0</v>
      </c>
      <c r="I512" s="338">
        <f t="shared" si="336"/>
        <v>9721906</v>
      </c>
      <c r="J512" s="329">
        <f t="shared" si="338"/>
        <v>0</v>
      </c>
      <c r="K512" s="338">
        <f t="shared" si="345"/>
        <v>0</v>
      </c>
      <c r="L512" s="329">
        <f t="shared" si="339"/>
        <v>0</v>
      </c>
      <c r="M512" s="338">
        <f t="shared" si="346"/>
        <v>0</v>
      </c>
      <c r="N512" s="329">
        <f t="shared" si="340"/>
        <v>0</v>
      </c>
      <c r="O512" s="338">
        <f t="shared" si="347"/>
        <v>0</v>
      </c>
      <c r="P512" s="329">
        <f t="shared" si="341"/>
        <v>0</v>
      </c>
      <c r="Q512" s="338">
        <f t="shared" si="348"/>
        <v>0</v>
      </c>
      <c r="R512" s="329">
        <f t="shared" si="342"/>
        <v>0</v>
      </c>
      <c r="S512" s="338">
        <f t="shared" si="349"/>
        <v>0</v>
      </c>
      <c r="T512" s="329">
        <f t="shared" si="343"/>
        <v>0</v>
      </c>
      <c r="U512" s="338">
        <f t="shared" si="350"/>
        <v>0</v>
      </c>
      <c r="V512" s="329">
        <f t="shared" si="344"/>
        <v>0</v>
      </c>
      <c r="W512" s="338">
        <f t="shared" si="351"/>
        <v>0</v>
      </c>
      <c r="X512" s="35"/>
      <c r="Y512" s="765"/>
      <c r="Z512" s="765"/>
    </row>
    <row r="513" spans="1:32" x14ac:dyDescent="0.25">
      <c r="A513" s="335">
        <f>A512+1</f>
        <v>44167</v>
      </c>
      <c r="B513" s="49">
        <f t="shared" si="352"/>
        <v>0</v>
      </c>
      <c r="C513" s="338">
        <f t="shared" si="333"/>
        <v>51000000</v>
      </c>
      <c r="D513" s="329">
        <f t="shared" si="353"/>
        <v>0</v>
      </c>
      <c r="E513" s="338">
        <f t="shared" si="334"/>
        <v>32902698.02067171</v>
      </c>
      <c r="F513" s="329">
        <f t="shared" si="328"/>
        <v>0</v>
      </c>
      <c r="G513" s="338">
        <f t="shared" si="335"/>
        <v>31200000</v>
      </c>
      <c r="H513" s="329">
        <f t="shared" si="337"/>
        <v>0</v>
      </c>
      <c r="I513" s="338">
        <f t="shared" si="336"/>
        <v>9721906</v>
      </c>
      <c r="J513" s="329">
        <f t="shared" si="338"/>
        <v>0</v>
      </c>
      <c r="K513" s="338">
        <f t="shared" si="345"/>
        <v>0</v>
      </c>
      <c r="L513" s="329">
        <f t="shared" si="339"/>
        <v>0</v>
      </c>
      <c r="M513" s="338">
        <f t="shared" si="346"/>
        <v>0</v>
      </c>
      <c r="N513" s="329">
        <f t="shared" si="340"/>
        <v>0</v>
      </c>
      <c r="O513" s="338">
        <f t="shared" si="347"/>
        <v>0</v>
      </c>
      <c r="P513" s="329">
        <f t="shared" si="341"/>
        <v>0</v>
      </c>
      <c r="Q513" s="338">
        <f t="shared" si="348"/>
        <v>0</v>
      </c>
      <c r="R513" s="329">
        <f t="shared" si="342"/>
        <v>0</v>
      </c>
      <c r="S513" s="338">
        <f t="shared" si="349"/>
        <v>0</v>
      </c>
      <c r="T513" s="329">
        <f t="shared" si="343"/>
        <v>0</v>
      </c>
      <c r="U513" s="338">
        <f t="shared" si="350"/>
        <v>0</v>
      </c>
      <c r="V513" s="329">
        <f t="shared" si="344"/>
        <v>0</v>
      </c>
      <c r="W513" s="338">
        <f t="shared" si="351"/>
        <v>0</v>
      </c>
      <c r="X513" s="35"/>
      <c r="Y513" s="765"/>
      <c r="Z513" s="765"/>
    </row>
    <row r="514" spans="1:32" x14ac:dyDescent="0.25">
      <c r="A514" s="335">
        <f>A513+1</f>
        <v>44168</v>
      </c>
      <c r="B514" s="49">
        <f t="shared" si="352"/>
        <v>0</v>
      </c>
      <c r="C514" s="338">
        <f t="shared" si="333"/>
        <v>51000000</v>
      </c>
      <c r="D514" s="329">
        <f t="shared" si="353"/>
        <v>0</v>
      </c>
      <c r="E514" s="338">
        <f t="shared" si="334"/>
        <v>32902698.02067171</v>
      </c>
      <c r="F514" s="329">
        <f t="shared" si="328"/>
        <v>1300000</v>
      </c>
      <c r="G514" s="338">
        <f t="shared" si="335"/>
        <v>32500000</v>
      </c>
      <c r="H514" s="329">
        <f t="shared" si="337"/>
        <v>0</v>
      </c>
      <c r="I514" s="338">
        <f t="shared" si="336"/>
        <v>9721906</v>
      </c>
      <c r="J514" s="329">
        <f t="shared" si="338"/>
        <v>0</v>
      </c>
      <c r="K514" s="338">
        <f t="shared" si="345"/>
        <v>0</v>
      </c>
      <c r="L514" s="329">
        <f t="shared" si="339"/>
        <v>0</v>
      </c>
      <c r="M514" s="338">
        <f t="shared" si="346"/>
        <v>0</v>
      </c>
      <c r="N514" s="329">
        <f t="shared" si="340"/>
        <v>0</v>
      </c>
      <c r="O514" s="338">
        <f t="shared" si="347"/>
        <v>0</v>
      </c>
      <c r="P514" s="329">
        <f t="shared" si="341"/>
        <v>0</v>
      </c>
      <c r="Q514" s="338">
        <f t="shared" si="348"/>
        <v>0</v>
      </c>
      <c r="R514" s="329">
        <f t="shared" si="342"/>
        <v>0</v>
      </c>
      <c r="S514" s="338">
        <f t="shared" si="349"/>
        <v>0</v>
      </c>
      <c r="T514" s="329">
        <f t="shared" si="343"/>
        <v>0</v>
      </c>
      <c r="U514" s="338">
        <f t="shared" si="350"/>
        <v>0</v>
      </c>
      <c r="V514" s="329">
        <f t="shared" si="344"/>
        <v>0</v>
      </c>
      <c r="W514" s="338">
        <f t="shared" si="351"/>
        <v>0</v>
      </c>
      <c r="X514" s="35"/>
      <c r="Y514" s="765"/>
      <c r="Z514" s="765"/>
    </row>
    <row r="515" spans="1:32" x14ac:dyDescent="0.25">
      <c r="A515" s="335">
        <f>A514+1</f>
        <v>44169</v>
      </c>
      <c r="B515" s="49">
        <f t="shared" si="352"/>
        <v>0</v>
      </c>
      <c r="C515" s="338">
        <f t="shared" si="333"/>
        <v>51000000</v>
      </c>
      <c r="D515" s="329">
        <f t="shared" si="353"/>
        <v>0</v>
      </c>
      <c r="E515" s="338">
        <f t="shared" si="334"/>
        <v>32902698.02067171</v>
      </c>
      <c r="F515" s="329">
        <f t="shared" ref="F515:F578" si="354">SUMIFS(Usage_Main,CF_Dates,$A515,CF_Descriptions,"EASTCYPRESS1 Change")</f>
        <v>0</v>
      </c>
      <c r="G515" s="338">
        <f t="shared" si="335"/>
        <v>32500000</v>
      </c>
      <c r="H515" s="329">
        <f t="shared" si="337"/>
        <v>0</v>
      </c>
      <c r="I515" s="338">
        <f t="shared" si="336"/>
        <v>9721906</v>
      </c>
      <c r="J515" s="329">
        <f t="shared" si="338"/>
        <v>0</v>
      </c>
      <c r="K515" s="338">
        <f t="shared" si="345"/>
        <v>0</v>
      </c>
      <c r="L515" s="329">
        <f t="shared" si="339"/>
        <v>0</v>
      </c>
      <c r="M515" s="338">
        <f t="shared" si="346"/>
        <v>0</v>
      </c>
      <c r="N515" s="329">
        <f t="shared" si="340"/>
        <v>0</v>
      </c>
      <c r="O515" s="338">
        <f t="shared" si="347"/>
        <v>0</v>
      </c>
      <c r="P515" s="329">
        <f t="shared" si="341"/>
        <v>0</v>
      </c>
      <c r="Q515" s="338">
        <f t="shared" si="348"/>
        <v>0</v>
      </c>
      <c r="R515" s="329">
        <f t="shared" si="342"/>
        <v>0</v>
      </c>
      <c r="S515" s="338">
        <f t="shared" si="349"/>
        <v>0</v>
      </c>
      <c r="T515" s="329">
        <f t="shared" si="343"/>
        <v>0</v>
      </c>
      <c r="U515" s="338">
        <f t="shared" si="350"/>
        <v>0</v>
      </c>
      <c r="V515" s="329">
        <f t="shared" si="344"/>
        <v>0</v>
      </c>
      <c r="W515" s="338">
        <f t="shared" si="351"/>
        <v>0</v>
      </c>
      <c r="X515" s="35"/>
      <c r="Y515" s="765"/>
      <c r="Z515" s="765"/>
    </row>
    <row r="516" spans="1:32" x14ac:dyDescent="0.25">
      <c r="A516" s="336">
        <f>A515+3</f>
        <v>44172</v>
      </c>
      <c r="B516" s="49">
        <f t="shared" si="352"/>
        <v>2000000</v>
      </c>
      <c r="C516" s="338">
        <f t="shared" si="333"/>
        <v>53000000</v>
      </c>
      <c r="D516" s="329">
        <f t="shared" si="353"/>
        <v>0</v>
      </c>
      <c r="E516" s="338">
        <f t="shared" si="334"/>
        <v>32902698.02067171</v>
      </c>
      <c r="F516" s="329">
        <f t="shared" si="354"/>
        <v>0</v>
      </c>
      <c r="G516" s="338">
        <f t="shared" si="335"/>
        <v>32500000</v>
      </c>
      <c r="H516" s="329">
        <f t="shared" si="337"/>
        <v>0</v>
      </c>
      <c r="I516" s="338">
        <f t="shared" si="336"/>
        <v>9721906</v>
      </c>
      <c r="J516" s="329">
        <f t="shared" si="338"/>
        <v>0</v>
      </c>
      <c r="K516" s="338">
        <f t="shared" si="345"/>
        <v>0</v>
      </c>
      <c r="L516" s="329">
        <f t="shared" si="339"/>
        <v>0</v>
      </c>
      <c r="M516" s="338">
        <f t="shared" si="346"/>
        <v>0</v>
      </c>
      <c r="N516" s="329">
        <f t="shared" si="340"/>
        <v>0</v>
      </c>
      <c r="O516" s="338">
        <f t="shared" si="347"/>
        <v>0</v>
      </c>
      <c r="P516" s="329">
        <f t="shared" si="341"/>
        <v>0</v>
      </c>
      <c r="Q516" s="338">
        <f t="shared" si="348"/>
        <v>0</v>
      </c>
      <c r="R516" s="329">
        <f t="shared" si="342"/>
        <v>0</v>
      </c>
      <c r="S516" s="338">
        <f t="shared" si="349"/>
        <v>0</v>
      </c>
      <c r="T516" s="329">
        <f t="shared" si="343"/>
        <v>0</v>
      </c>
      <c r="U516" s="338">
        <f t="shared" si="350"/>
        <v>0</v>
      </c>
      <c r="V516" s="329">
        <f t="shared" si="344"/>
        <v>0</v>
      </c>
      <c r="W516" s="338">
        <f t="shared" si="351"/>
        <v>0</v>
      </c>
      <c r="X516" s="35"/>
      <c r="Y516" s="765"/>
      <c r="Z516" s="765"/>
    </row>
    <row r="517" spans="1:32" x14ac:dyDescent="0.25">
      <c r="A517" s="335">
        <f>A516+1</f>
        <v>44173</v>
      </c>
      <c r="B517" s="49">
        <f t="shared" si="352"/>
        <v>0</v>
      </c>
      <c r="C517" s="338">
        <f t="shared" si="333"/>
        <v>53000000</v>
      </c>
      <c r="D517" s="329">
        <f t="shared" si="353"/>
        <v>0</v>
      </c>
      <c r="E517" s="338">
        <f t="shared" si="334"/>
        <v>32902698.02067171</v>
      </c>
      <c r="F517" s="329">
        <f t="shared" si="354"/>
        <v>0</v>
      </c>
      <c r="G517" s="338">
        <f t="shared" si="335"/>
        <v>32500000</v>
      </c>
      <c r="H517" s="329">
        <f t="shared" si="337"/>
        <v>0</v>
      </c>
      <c r="I517" s="338">
        <f t="shared" si="336"/>
        <v>9721906</v>
      </c>
      <c r="J517" s="329">
        <f t="shared" si="338"/>
        <v>0</v>
      </c>
      <c r="K517" s="338">
        <f t="shared" si="345"/>
        <v>0</v>
      </c>
      <c r="L517" s="329">
        <f t="shared" si="339"/>
        <v>0</v>
      </c>
      <c r="M517" s="338">
        <f t="shared" si="346"/>
        <v>0</v>
      </c>
      <c r="N517" s="329">
        <f t="shared" si="340"/>
        <v>0</v>
      </c>
      <c r="O517" s="338">
        <f t="shared" si="347"/>
        <v>0</v>
      </c>
      <c r="P517" s="329">
        <f t="shared" si="341"/>
        <v>0</v>
      </c>
      <c r="Q517" s="338">
        <f t="shared" si="348"/>
        <v>0</v>
      </c>
      <c r="R517" s="329">
        <f t="shared" si="342"/>
        <v>0</v>
      </c>
      <c r="S517" s="338">
        <f t="shared" si="349"/>
        <v>0</v>
      </c>
      <c r="T517" s="329">
        <f t="shared" si="343"/>
        <v>0</v>
      </c>
      <c r="U517" s="338">
        <f t="shared" si="350"/>
        <v>0</v>
      </c>
      <c r="V517" s="329">
        <f t="shared" si="344"/>
        <v>0</v>
      </c>
      <c r="W517" s="338">
        <f t="shared" si="351"/>
        <v>0</v>
      </c>
      <c r="X517" s="35"/>
      <c r="Y517" s="765"/>
      <c r="Z517" s="765"/>
    </row>
    <row r="518" spans="1:32" x14ac:dyDescent="0.25">
      <c r="A518" s="335">
        <f>A517+1</f>
        <v>44174</v>
      </c>
      <c r="B518" s="49">
        <f t="shared" si="352"/>
        <v>0</v>
      </c>
      <c r="C518" s="338">
        <f t="shared" si="333"/>
        <v>53000000</v>
      </c>
      <c r="D518" s="329">
        <f t="shared" si="353"/>
        <v>0</v>
      </c>
      <c r="E518" s="338">
        <f t="shared" si="334"/>
        <v>32902698.02067171</v>
      </c>
      <c r="F518" s="329">
        <f t="shared" si="354"/>
        <v>0</v>
      </c>
      <c r="G518" s="338">
        <f t="shared" si="335"/>
        <v>32500000</v>
      </c>
      <c r="H518" s="329">
        <f t="shared" si="337"/>
        <v>0</v>
      </c>
      <c r="I518" s="338">
        <f t="shared" si="336"/>
        <v>9721906</v>
      </c>
      <c r="J518" s="329">
        <f t="shared" si="338"/>
        <v>0</v>
      </c>
      <c r="K518" s="338">
        <f t="shared" si="345"/>
        <v>0</v>
      </c>
      <c r="L518" s="329">
        <f t="shared" si="339"/>
        <v>0</v>
      </c>
      <c r="M518" s="338">
        <f t="shared" si="346"/>
        <v>0</v>
      </c>
      <c r="N518" s="329">
        <f t="shared" si="340"/>
        <v>0</v>
      </c>
      <c r="O518" s="338">
        <f t="shared" si="347"/>
        <v>0</v>
      </c>
      <c r="P518" s="329">
        <f t="shared" si="341"/>
        <v>0</v>
      </c>
      <c r="Q518" s="338">
        <f t="shared" si="348"/>
        <v>0</v>
      </c>
      <c r="R518" s="329">
        <f t="shared" si="342"/>
        <v>0</v>
      </c>
      <c r="S518" s="338">
        <f t="shared" si="349"/>
        <v>0</v>
      </c>
      <c r="T518" s="329">
        <f t="shared" si="343"/>
        <v>0</v>
      </c>
      <c r="U518" s="338">
        <f t="shared" si="350"/>
        <v>0</v>
      </c>
      <c r="V518" s="329">
        <f t="shared" si="344"/>
        <v>0</v>
      </c>
      <c r="W518" s="338">
        <f t="shared" si="351"/>
        <v>0</v>
      </c>
      <c r="X518" s="35"/>
      <c r="Y518" s="765"/>
      <c r="Z518" s="765"/>
    </row>
    <row r="519" spans="1:32" x14ac:dyDescent="0.25">
      <c r="A519" s="335">
        <f>A518+1</f>
        <v>44175</v>
      </c>
      <c r="B519" s="49">
        <f t="shared" si="352"/>
        <v>0</v>
      </c>
      <c r="C519" s="338">
        <f t="shared" si="333"/>
        <v>53000000</v>
      </c>
      <c r="D519" s="329">
        <f t="shared" si="353"/>
        <v>0</v>
      </c>
      <c r="E519" s="338">
        <f t="shared" si="334"/>
        <v>32902698.02067171</v>
      </c>
      <c r="F519" s="329">
        <f t="shared" si="354"/>
        <v>0</v>
      </c>
      <c r="G519" s="338">
        <f t="shared" si="335"/>
        <v>32500000</v>
      </c>
      <c r="H519" s="329">
        <f t="shared" si="337"/>
        <v>0</v>
      </c>
      <c r="I519" s="338">
        <f t="shared" si="336"/>
        <v>9721906</v>
      </c>
      <c r="J519" s="329">
        <f t="shared" si="338"/>
        <v>0</v>
      </c>
      <c r="K519" s="338">
        <f t="shared" si="345"/>
        <v>0</v>
      </c>
      <c r="L519" s="329">
        <f t="shared" si="339"/>
        <v>0</v>
      </c>
      <c r="M519" s="338">
        <f t="shared" si="346"/>
        <v>0</v>
      </c>
      <c r="N519" s="329">
        <f t="shared" si="340"/>
        <v>0</v>
      </c>
      <c r="O519" s="338">
        <f t="shared" si="347"/>
        <v>0</v>
      </c>
      <c r="P519" s="329">
        <f t="shared" si="341"/>
        <v>0</v>
      </c>
      <c r="Q519" s="338">
        <f t="shared" si="348"/>
        <v>0</v>
      </c>
      <c r="R519" s="329">
        <f t="shared" si="342"/>
        <v>0</v>
      </c>
      <c r="S519" s="338">
        <f t="shared" si="349"/>
        <v>0</v>
      </c>
      <c r="T519" s="329">
        <f t="shared" si="343"/>
        <v>0</v>
      </c>
      <c r="U519" s="338">
        <f t="shared" si="350"/>
        <v>0</v>
      </c>
      <c r="V519" s="329">
        <f t="shared" si="344"/>
        <v>0</v>
      </c>
      <c r="W519" s="338">
        <f t="shared" si="351"/>
        <v>0</v>
      </c>
      <c r="X519" s="35"/>
      <c r="Y519" s="765"/>
      <c r="Z519" s="765"/>
    </row>
    <row r="520" spans="1:32" x14ac:dyDescent="0.25">
      <c r="A520" s="335">
        <f>A519+1</f>
        <v>44176</v>
      </c>
      <c r="B520" s="49">
        <f t="shared" si="352"/>
        <v>0</v>
      </c>
      <c r="C520" s="338">
        <f t="shared" si="333"/>
        <v>53000000</v>
      </c>
      <c r="D520" s="329">
        <f t="shared" si="353"/>
        <v>0</v>
      </c>
      <c r="E520" s="338">
        <f t="shared" si="334"/>
        <v>32902698.02067171</v>
      </c>
      <c r="F520" s="329">
        <f t="shared" si="354"/>
        <v>0</v>
      </c>
      <c r="G520" s="338">
        <f t="shared" si="335"/>
        <v>32500000</v>
      </c>
      <c r="H520" s="329">
        <f t="shared" si="337"/>
        <v>0</v>
      </c>
      <c r="I520" s="338">
        <f t="shared" si="336"/>
        <v>9721906</v>
      </c>
      <c r="J520" s="329">
        <f t="shared" si="338"/>
        <v>0</v>
      </c>
      <c r="K520" s="338">
        <f t="shared" si="345"/>
        <v>0</v>
      </c>
      <c r="L520" s="329">
        <f t="shared" si="339"/>
        <v>0</v>
      </c>
      <c r="M520" s="338">
        <f t="shared" si="346"/>
        <v>0</v>
      </c>
      <c r="N520" s="329">
        <f t="shared" si="340"/>
        <v>0</v>
      </c>
      <c r="O520" s="338">
        <f t="shared" si="347"/>
        <v>0</v>
      </c>
      <c r="P520" s="329">
        <f t="shared" si="341"/>
        <v>0</v>
      </c>
      <c r="Q520" s="338">
        <f t="shared" si="348"/>
        <v>0</v>
      </c>
      <c r="R520" s="329">
        <f t="shared" si="342"/>
        <v>0</v>
      </c>
      <c r="S520" s="338">
        <f t="shared" si="349"/>
        <v>0</v>
      </c>
      <c r="T520" s="329">
        <f t="shared" si="343"/>
        <v>0</v>
      </c>
      <c r="U520" s="338">
        <f t="shared" si="350"/>
        <v>0</v>
      </c>
      <c r="V520" s="329">
        <f t="shared" si="344"/>
        <v>0</v>
      </c>
      <c r="W520" s="338">
        <f t="shared" si="351"/>
        <v>0</v>
      </c>
      <c r="X520" s="35"/>
      <c r="Y520" s="765"/>
      <c r="Z520" s="765"/>
    </row>
    <row r="521" spans="1:32" x14ac:dyDescent="0.25">
      <c r="A521" s="336">
        <f>A520+3</f>
        <v>44179</v>
      </c>
      <c r="B521" s="49">
        <f t="shared" si="352"/>
        <v>0</v>
      </c>
      <c r="C521" s="338">
        <f t="shared" si="333"/>
        <v>53000000</v>
      </c>
      <c r="D521" s="329">
        <f t="shared" si="353"/>
        <v>0</v>
      </c>
      <c r="E521" s="338">
        <f t="shared" si="334"/>
        <v>32902698.02067171</v>
      </c>
      <c r="F521" s="329">
        <f t="shared" si="354"/>
        <v>0</v>
      </c>
      <c r="G521" s="338">
        <f t="shared" si="335"/>
        <v>32500000</v>
      </c>
      <c r="H521" s="329">
        <f t="shared" si="337"/>
        <v>0</v>
      </c>
      <c r="I521" s="338">
        <f t="shared" si="336"/>
        <v>9721906</v>
      </c>
      <c r="J521" s="329">
        <f t="shared" si="338"/>
        <v>0</v>
      </c>
      <c r="K521" s="338">
        <f t="shared" si="345"/>
        <v>0</v>
      </c>
      <c r="L521" s="329">
        <f t="shared" si="339"/>
        <v>0</v>
      </c>
      <c r="M521" s="338">
        <f t="shared" si="346"/>
        <v>0</v>
      </c>
      <c r="N521" s="329">
        <f t="shared" si="340"/>
        <v>0</v>
      </c>
      <c r="O521" s="338">
        <f t="shared" si="347"/>
        <v>0</v>
      </c>
      <c r="P521" s="329">
        <f t="shared" si="341"/>
        <v>0</v>
      </c>
      <c r="Q521" s="338">
        <f t="shared" si="348"/>
        <v>0</v>
      </c>
      <c r="R521" s="329">
        <f t="shared" si="342"/>
        <v>0</v>
      </c>
      <c r="S521" s="338">
        <f t="shared" si="349"/>
        <v>0</v>
      </c>
      <c r="T521" s="329">
        <f t="shared" si="343"/>
        <v>0</v>
      </c>
      <c r="U521" s="338">
        <f t="shared" si="350"/>
        <v>0</v>
      </c>
      <c r="V521" s="329">
        <f t="shared" si="344"/>
        <v>0</v>
      </c>
      <c r="W521" s="338">
        <f t="shared" si="351"/>
        <v>0</v>
      </c>
      <c r="X521" s="35"/>
      <c r="Y521" s="765"/>
      <c r="Z521" s="765"/>
    </row>
    <row r="522" spans="1:32" x14ac:dyDescent="0.25">
      <c r="A522" s="335">
        <f>A521+1</f>
        <v>44180</v>
      </c>
      <c r="B522" s="49">
        <f t="shared" si="352"/>
        <v>8000000</v>
      </c>
      <c r="C522" s="338">
        <f t="shared" si="333"/>
        <v>61000000</v>
      </c>
      <c r="D522" s="329">
        <f>SUMIFS(Usage_Main,CF_Dates,$A522,CF_Descriptions,"SOSPRUCE1 Change")</f>
        <v>-31009152.02</v>
      </c>
      <c r="E522" s="338">
        <f t="shared" si="334"/>
        <v>1893546.0006717108</v>
      </c>
      <c r="F522" s="329">
        <f t="shared" si="354"/>
        <v>500000</v>
      </c>
      <c r="G522" s="338">
        <f t="shared" si="335"/>
        <v>33000000</v>
      </c>
      <c r="H522" s="329">
        <f t="shared" si="337"/>
        <v>6000000</v>
      </c>
      <c r="I522" s="338">
        <f t="shared" si="336"/>
        <v>15721906</v>
      </c>
      <c r="J522" s="329">
        <f t="shared" si="338"/>
        <v>0</v>
      </c>
      <c r="K522" s="338">
        <f t="shared" si="345"/>
        <v>0</v>
      </c>
      <c r="L522" s="329">
        <f t="shared" si="339"/>
        <v>0</v>
      </c>
      <c r="M522" s="338">
        <f t="shared" si="346"/>
        <v>0</v>
      </c>
      <c r="N522" s="329">
        <f t="shared" si="340"/>
        <v>0</v>
      </c>
      <c r="O522" s="338">
        <f t="shared" si="347"/>
        <v>0</v>
      </c>
      <c r="P522" s="329">
        <f t="shared" si="341"/>
        <v>0</v>
      </c>
      <c r="Q522" s="338">
        <f t="shared" si="348"/>
        <v>0</v>
      </c>
      <c r="R522" s="329">
        <f t="shared" si="342"/>
        <v>0</v>
      </c>
      <c r="S522" s="338">
        <f t="shared" si="349"/>
        <v>0</v>
      </c>
      <c r="T522" s="329">
        <f t="shared" si="343"/>
        <v>0</v>
      </c>
      <c r="U522" s="338">
        <f t="shared" si="350"/>
        <v>0</v>
      </c>
      <c r="V522" s="329">
        <f t="shared" si="344"/>
        <v>0</v>
      </c>
      <c r="W522" s="338">
        <f t="shared" si="351"/>
        <v>0</v>
      </c>
      <c r="X522" s="35"/>
      <c r="Y522" s="765"/>
      <c r="Z522" s="765"/>
    </row>
    <row r="523" spans="1:32" x14ac:dyDescent="0.25">
      <c r="A523" s="335">
        <f>A522+1</f>
        <v>44181</v>
      </c>
      <c r="B523" s="49">
        <f t="shared" si="352"/>
        <v>0</v>
      </c>
      <c r="C523" s="338">
        <f t="shared" si="333"/>
        <v>61000000</v>
      </c>
      <c r="D523" s="329">
        <f t="shared" si="353"/>
        <v>0</v>
      </c>
      <c r="E523" s="338">
        <f t="shared" si="334"/>
        <v>1893546.0006717108</v>
      </c>
      <c r="F523" s="329">
        <f t="shared" si="354"/>
        <v>0</v>
      </c>
      <c r="G523" s="338">
        <f t="shared" si="335"/>
        <v>33000000</v>
      </c>
      <c r="H523" s="329">
        <f t="shared" si="337"/>
        <v>0</v>
      </c>
      <c r="I523" s="338">
        <f t="shared" si="336"/>
        <v>15721906</v>
      </c>
      <c r="J523" s="329">
        <f t="shared" si="338"/>
        <v>0</v>
      </c>
      <c r="K523" s="338">
        <f t="shared" si="345"/>
        <v>0</v>
      </c>
      <c r="L523" s="329">
        <f t="shared" si="339"/>
        <v>0</v>
      </c>
      <c r="M523" s="338">
        <f t="shared" si="346"/>
        <v>0</v>
      </c>
      <c r="N523" s="329">
        <f t="shared" si="340"/>
        <v>0</v>
      </c>
      <c r="O523" s="338">
        <f t="shared" si="347"/>
        <v>0</v>
      </c>
      <c r="P523" s="329">
        <f t="shared" si="341"/>
        <v>0</v>
      </c>
      <c r="Q523" s="338">
        <f t="shared" si="348"/>
        <v>0</v>
      </c>
      <c r="R523" s="329">
        <f t="shared" si="342"/>
        <v>0</v>
      </c>
      <c r="S523" s="338">
        <f t="shared" si="349"/>
        <v>0</v>
      </c>
      <c r="T523" s="329">
        <f t="shared" si="343"/>
        <v>0</v>
      </c>
      <c r="U523" s="338">
        <f t="shared" si="350"/>
        <v>0</v>
      </c>
      <c r="V523" s="329">
        <f t="shared" si="344"/>
        <v>0</v>
      </c>
      <c r="W523" s="338">
        <f t="shared" si="351"/>
        <v>0</v>
      </c>
      <c r="X523" s="35"/>
      <c r="Y523" s="765"/>
      <c r="Z523" s="765"/>
    </row>
    <row r="524" spans="1:32" x14ac:dyDescent="0.25">
      <c r="A524" s="335">
        <f>A523+1</f>
        <v>44182</v>
      </c>
      <c r="B524" s="49">
        <f t="shared" si="352"/>
        <v>0</v>
      </c>
      <c r="C524" s="338">
        <f t="shared" si="333"/>
        <v>61000000</v>
      </c>
      <c r="D524" s="329">
        <f t="shared" si="353"/>
        <v>0</v>
      </c>
      <c r="E524" s="338">
        <f t="shared" si="334"/>
        <v>1893546.0006717108</v>
      </c>
      <c r="F524" s="329">
        <f t="shared" si="354"/>
        <v>0</v>
      </c>
      <c r="G524" s="338">
        <f t="shared" si="335"/>
        <v>33000000</v>
      </c>
      <c r="H524" s="329">
        <f t="shared" si="337"/>
        <v>0</v>
      </c>
      <c r="I524" s="338">
        <f t="shared" si="336"/>
        <v>15721906</v>
      </c>
      <c r="J524" s="329">
        <f t="shared" si="338"/>
        <v>0</v>
      </c>
      <c r="K524" s="338">
        <f t="shared" si="345"/>
        <v>0</v>
      </c>
      <c r="L524" s="329">
        <f t="shared" si="339"/>
        <v>0</v>
      </c>
      <c r="M524" s="338">
        <f t="shared" si="346"/>
        <v>0</v>
      </c>
      <c r="N524" s="329">
        <f t="shared" si="340"/>
        <v>0</v>
      </c>
      <c r="O524" s="338">
        <f t="shared" si="347"/>
        <v>0</v>
      </c>
      <c r="P524" s="329">
        <f t="shared" si="341"/>
        <v>0</v>
      </c>
      <c r="Q524" s="338">
        <f t="shared" si="348"/>
        <v>0</v>
      </c>
      <c r="R524" s="329">
        <f t="shared" si="342"/>
        <v>0</v>
      </c>
      <c r="S524" s="338">
        <f t="shared" si="349"/>
        <v>0</v>
      </c>
      <c r="T524" s="329">
        <f t="shared" si="343"/>
        <v>0</v>
      </c>
      <c r="U524" s="338">
        <f t="shared" si="350"/>
        <v>0</v>
      </c>
      <c r="V524" s="329">
        <f t="shared" si="344"/>
        <v>0</v>
      </c>
      <c r="W524" s="338">
        <f t="shared" si="351"/>
        <v>0</v>
      </c>
      <c r="X524" s="35"/>
      <c r="Y524" s="765"/>
      <c r="Z524" s="765"/>
    </row>
    <row r="525" spans="1:32" x14ac:dyDescent="0.25">
      <c r="A525" s="335">
        <f>A524+1</f>
        <v>44183</v>
      </c>
      <c r="B525" s="49">
        <f t="shared" si="352"/>
        <v>0</v>
      </c>
      <c r="C525" s="338">
        <f t="shared" si="333"/>
        <v>61000000</v>
      </c>
      <c r="D525" s="329">
        <f t="shared" si="353"/>
        <v>0</v>
      </c>
      <c r="E525" s="338">
        <f t="shared" si="334"/>
        <v>1893546.0006717108</v>
      </c>
      <c r="F525" s="329">
        <f t="shared" si="354"/>
        <v>0</v>
      </c>
      <c r="G525" s="338">
        <f t="shared" si="335"/>
        <v>33000000</v>
      </c>
      <c r="H525" s="329">
        <f t="shared" si="337"/>
        <v>0</v>
      </c>
      <c r="I525" s="338">
        <f t="shared" si="336"/>
        <v>15721906</v>
      </c>
      <c r="J525" s="329">
        <f t="shared" si="338"/>
        <v>0</v>
      </c>
      <c r="K525" s="338">
        <f t="shared" si="345"/>
        <v>0</v>
      </c>
      <c r="L525" s="329">
        <f t="shared" si="339"/>
        <v>0</v>
      </c>
      <c r="M525" s="338">
        <f t="shared" si="346"/>
        <v>0</v>
      </c>
      <c r="N525" s="329">
        <f t="shared" si="340"/>
        <v>0</v>
      </c>
      <c r="O525" s="338">
        <f t="shared" si="347"/>
        <v>0</v>
      </c>
      <c r="P525" s="329">
        <f t="shared" si="341"/>
        <v>0</v>
      </c>
      <c r="Q525" s="338">
        <f t="shared" si="348"/>
        <v>0</v>
      </c>
      <c r="R525" s="329">
        <f t="shared" si="342"/>
        <v>0</v>
      </c>
      <c r="S525" s="338">
        <f t="shared" si="349"/>
        <v>0</v>
      </c>
      <c r="T525" s="329">
        <f t="shared" si="343"/>
        <v>0</v>
      </c>
      <c r="U525" s="338">
        <f t="shared" si="350"/>
        <v>0</v>
      </c>
      <c r="V525" s="329">
        <f t="shared" si="344"/>
        <v>0</v>
      </c>
      <c r="W525" s="338">
        <f t="shared" si="351"/>
        <v>0</v>
      </c>
      <c r="X525" s="35"/>
      <c r="Y525" s="765"/>
      <c r="Z525" s="765"/>
    </row>
    <row r="526" spans="1:32" x14ac:dyDescent="0.25">
      <c r="A526" s="336">
        <f>A525+3</f>
        <v>44186</v>
      </c>
      <c r="B526" s="49">
        <f t="shared" si="352"/>
        <v>0</v>
      </c>
      <c r="C526" s="338">
        <f t="shared" si="333"/>
        <v>61000000</v>
      </c>
      <c r="D526" s="329">
        <f t="shared" si="353"/>
        <v>0</v>
      </c>
      <c r="E526" s="338">
        <f t="shared" si="334"/>
        <v>1893546.0006717108</v>
      </c>
      <c r="F526" s="329">
        <f t="shared" si="354"/>
        <v>0</v>
      </c>
      <c r="G526" s="338">
        <f t="shared" si="335"/>
        <v>33000000</v>
      </c>
      <c r="H526" s="329">
        <f t="shared" si="337"/>
        <v>0</v>
      </c>
      <c r="I526" s="338">
        <f t="shared" si="336"/>
        <v>15721906</v>
      </c>
      <c r="J526" s="329">
        <f t="shared" si="338"/>
        <v>0</v>
      </c>
      <c r="K526" s="338">
        <f t="shared" si="345"/>
        <v>0</v>
      </c>
      <c r="L526" s="329">
        <f t="shared" si="339"/>
        <v>0</v>
      </c>
      <c r="M526" s="338">
        <f t="shared" si="346"/>
        <v>0</v>
      </c>
      <c r="N526" s="329">
        <f t="shared" si="340"/>
        <v>0</v>
      </c>
      <c r="O526" s="338">
        <f t="shared" si="347"/>
        <v>0</v>
      </c>
      <c r="P526" s="329">
        <f t="shared" si="341"/>
        <v>0</v>
      </c>
      <c r="Q526" s="338">
        <f t="shared" si="348"/>
        <v>0</v>
      </c>
      <c r="R526" s="329">
        <f t="shared" si="342"/>
        <v>0</v>
      </c>
      <c r="S526" s="338">
        <f t="shared" si="349"/>
        <v>0</v>
      </c>
      <c r="T526" s="329">
        <f t="shared" si="343"/>
        <v>0</v>
      </c>
      <c r="U526" s="338">
        <f t="shared" si="350"/>
        <v>0</v>
      </c>
      <c r="V526" s="329">
        <f t="shared" si="344"/>
        <v>0</v>
      </c>
      <c r="W526" s="338">
        <f t="shared" si="351"/>
        <v>0</v>
      </c>
      <c r="X526" s="35"/>
      <c r="Y526" s="765"/>
      <c r="Z526" s="765"/>
    </row>
    <row r="527" spans="1:32" x14ac:dyDescent="0.25">
      <c r="A527" s="335">
        <f>A526+1</f>
        <v>44187</v>
      </c>
      <c r="B527" s="49">
        <f t="shared" si="352"/>
        <v>0</v>
      </c>
      <c r="C527" s="338">
        <f t="shared" ref="C527:C571" si="355">B527+C526</f>
        <v>61000000</v>
      </c>
      <c r="D527" s="329">
        <f t="shared" si="353"/>
        <v>0</v>
      </c>
      <c r="E527" s="338">
        <f t="shared" ref="E527:E571" si="356">D527+E526</f>
        <v>1893546.0006717108</v>
      </c>
      <c r="F527" s="329">
        <f t="shared" si="354"/>
        <v>0</v>
      </c>
      <c r="G527" s="338">
        <f t="shared" ref="G527:G571" si="357">F527+G526</f>
        <v>33000000</v>
      </c>
      <c r="H527" s="329">
        <f t="shared" si="337"/>
        <v>0</v>
      </c>
      <c r="I527" s="338">
        <f t="shared" ref="I527:I571" si="358">H527+I526</f>
        <v>15721906</v>
      </c>
      <c r="J527" s="329">
        <f t="shared" si="338"/>
        <v>0</v>
      </c>
      <c r="K527" s="338">
        <f t="shared" si="345"/>
        <v>0</v>
      </c>
      <c r="L527" s="329">
        <f t="shared" si="339"/>
        <v>0</v>
      </c>
      <c r="M527" s="338">
        <f t="shared" si="346"/>
        <v>0</v>
      </c>
      <c r="N527" s="329">
        <f t="shared" si="340"/>
        <v>0</v>
      </c>
      <c r="O527" s="338">
        <f t="shared" si="347"/>
        <v>0</v>
      </c>
      <c r="P527" s="329">
        <f t="shared" si="341"/>
        <v>0</v>
      </c>
      <c r="Q527" s="338">
        <f t="shared" si="348"/>
        <v>0</v>
      </c>
      <c r="R527" s="329">
        <f t="shared" si="342"/>
        <v>0</v>
      </c>
      <c r="S527" s="338">
        <f t="shared" si="349"/>
        <v>0</v>
      </c>
      <c r="T527" s="329">
        <f t="shared" si="343"/>
        <v>0</v>
      </c>
      <c r="U527" s="338">
        <f t="shared" si="350"/>
        <v>0</v>
      </c>
      <c r="V527" s="329">
        <f t="shared" si="344"/>
        <v>0</v>
      </c>
      <c r="W527" s="338">
        <f t="shared" si="351"/>
        <v>0</v>
      </c>
      <c r="X527" s="35"/>
      <c r="Y527" s="5"/>
      <c r="Z527" s="5"/>
      <c r="AA527" s="5"/>
      <c r="AB527" s="5"/>
      <c r="AC527" s="5"/>
      <c r="AD527" s="5"/>
      <c r="AE527" s="5"/>
      <c r="AF527" s="5"/>
    </row>
    <row r="528" spans="1:32" x14ac:dyDescent="0.25">
      <c r="A528" s="335">
        <f>A527+1</f>
        <v>44188</v>
      </c>
      <c r="B528" s="49">
        <f t="shared" si="352"/>
        <v>0</v>
      </c>
      <c r="C528" s="338">
        <f t="shared" si="355"/>
        <v>61000000</v>
      </c>
      <c r="D528" s="329">
        <f t="shared" si="353"/>
        <v>0</v>
      </c>
      <c r="E528" s="338">
        <f t="shared" si="356"/>
        <v>1893546.0006717108</v>
      </c>
      <c r="F528" s="329">
        <f t="shared" si="354"/>
        <v>0</v>
      </c>
      <c r="G528" s="338">
        <f t="shared" si="357"/>
        <v>33000000</v>
      </c>
      <c r="H528" s="329">
        <f t="shared" si="337"/>
        <v>0</v>
      </c>
      <c r="I528" s="338">
        <f t="shared" si="358"/>
        <v>15721906</v>
      </c>
      <c r="J528" s="329">
        <f t="shared" si="338"/>
        <v>0</v>
      </c>
      <c r="K528" s="338">
        <f t="shared" si="345"/>
        <v>0</v>
      </c>
      <c r="L528" s="329">
        <f t="shared" si="339"/>
        <v>0</v>
      </c>
      <c r="M528" s="338">
        <f t="shared" si="346"/>
        <v>0</v>
      </c>
      <c r="N528" s="329">
        <f t="shared" si="340"/>
        <v>0</v>
      </c>
      <c r="O528" s="338">
        <f t="shared" si="347"/>
        <v>0</v>
      </c>
      <c r="P528" s="329">
        <f t="shared" si="341"/>
        <v>0</v>
      </c>
      <c r="Q528" s="338">
        <f t="shared" si="348"/>
        <v>0</v>
      </c>
      <c r="R528" s="329">
        <f t="shared" si="342"/>
        <v>0</v>
      </c>
      <c r="S528" s="338">
        <f t="shared" si="349"/>
        <v>0</v>
      </c>
      <c r="T528" s="329">
        <f t="shared" si="343"/>
        <v>0</v>
      </c>
      <c r="U528" s="338">
        <f t="shared" si="350"/>
        <v>0</v>
      </c>
      <c r="V528" s="329">
        <f t="shared" si="344"/>
        <v>0</v>
      </c>
      <c r="W528" s="338">
        <f t="shared" si="351"/>
        <v>0</v>
      </c>
      <c r="X528" s="35"/>
      <c r="Y528" s="765"/>
      <c r="Z528" s="765"/>
      <c r="AA528" s="765"/>
      <c r="AB528" s="765"/>
    </row>
    <row r="529" spans="1:28" x14ac:dyDescent="0.25">
      <c r="A529" s="335">
        <f>A528+1</f>
        <v>44189</v>
      </c>
      <c r="B529" s="49">
        <f t="shared" si="352"/>
        <v>0</v>
      </c>
      <c r="C529" s="338">
        <f t="shared" si="355"/>
        <v>61000000</v>
      </c>
      <c r="D529" s="329">
        <f t="shared" si="353"/>
        <v>0</v>
      </c>
      <c r="E529" s="338">
        <f t="shared" si="356"/>
        <v>1893546.0006717108</v>
      </c>
      <c r="F529" s="329">
        <f t="shared" si="354"/>
        <v>0</v>
      </c>
      <c r="G529" s="338">
        <f t="shared" si="357"/>
        <v>33000000</v>
      </c>
      <c r="H529" s="329">
        <f t="shared" si="337"/>
        <v>0</v>
      </c>
      <c r="I529" s="338">
        <f t="shared" si="358"/>
        <v>15721906</v>
      </c>
      <c r="J529" s="329">
        <f t="shared" si="338"/>
        <v>0</v>
      </c>
      <c r="K529" s="338">
        <f t="shared" si="345"/>
        <v>0</v>
      </c>
      <c r="L529" s="329">
        <f t="shared" si="339"/>
        <v>0</v>
      </c>
      <c r="M529" s="338">
        <f t="shared" si="346"/>
        <v>0</v>
      </c>
      <c r="N529" s="329">
        <f t="shared" si="340"/>
        <v>0</v>
      </c>
      <c r="O529" s="338">
        <f t="shared" si="347"/>
        <v>0</v>
      </c>
      <c r="P529" s="329">
        <f t="shared" si="341"/>
        <v>0</v>
      </c>
      <c r="Q529" s="338">
        <f t="shared" si="348"/>
        <v>0</v>
      </c>
      <c r="R529" s="329">
        <f t="shared" si="342"/>
        <v>0</v>
      </c>
      <c r="S529" s="338">
        <f t="shared" si="349"/>
        <v>0</v>
      </c>
      <c r="T529" s="329">
        <f t="shared" si="343"/>
        <v>0</v>
      </c>
      <c r="U529" s="338">
        <f t="shared" si="350"/>
        <v>0</v>
      </c>
      <c r="V529" s="329">
        <f t="shared" si="344"/>
        <v>0</v>
      </c>
      <c r="W529" s="338">
        <f t="shared" si="351"/>
        <v>0</v>
      </c>
      <c r="X529" s="35"/>
      <c r="Y529" s="765"/>
      <c r="Z529" s="117"/>
      <c r="AA529" s="765"/>
      <c r="AB529" s="765"/>
    </row>
    <row r="530" spans="1:28" x14ac:dyDescent="0.25">
      <c r="A530" s="336">
        <f>A529+4</f>
        <v>44193</v>
      </c>
      <c r="B530" s="49">
        <f t="shared" si="352"/>
        <v>0</v>
      </c>
      <c r="C530" s="338">
        <f t="shared" si="355"/>
        <v>61000000</v>
      </c>
      <c r="D530" s="329">
        <f t="shared" si="353"/>
        <v>0</v>
      </c>
      <c r="E530" s="338">
        <f t="shared" si="356"/>
        <v>1893546.0006717108</v>
      </c>
      <c r="F530" s="329">
        <f t="shared" si="354"/>
        <v>0</v>
      </c>
      <c r="G530" s="338">
        <f t="shared" si="357"/>
        <v>33000000</v>
      </c>
      <c r="H530" s="329">
        <f t="shared" si="337"/>
        <v>0</v>
      </c>
      <c r="I530" s="338">
        <f t="shared" si="358"/>
        <v>15721906</v>
      </c>
      <c r="J530" s="329">
        <f t="shared" si="338"/>
        <v>0</v>
      </c>
      <c r="K530" s="338">
        <f t="shared" si="345"/>
        <v>0</v>
      </c>
      <c r="L530" s="329">
        <f t="shared" si="339"/>
        <v>0</v>
      </c>
      <c r="M530" s="338">
        <f t="shared" si="346"/>
        <v>0</v>
      </c>
      <c r="N530" s="329">
        <f t="shared" si="340"/>
        <v>0</v>
      </c>
      <c r="O530" s="338">
        <f t="shared" si="347"/>
        <v>0</v>
      </c>
      <c r="P530" s="329">
        <f t="shared" si="341"/>
        <v>0</v>
      </c>
      <c r="Q530" s="338">
        <f t="shared" si="348"/>
        <v>0</v>
      </c>
      <c r="R530" s="329">
        <f t="shared" si="342"/>
        <v>0</v>
      </c>
      <c r="S530" s="338">
        <f t="shared" si="349"/>
        <v>0</v>
      </c>
      <c r="T530" s="329">
        <f t="shared" si="343"/>
        <v>0</v>
      </c>
      <c r="U530" s="338">
        <f t="shared" si="350"/>
        <v>0</v>
      </c>
      <c r="V530" s="329">
        <f t="shared" si="344"/>
        <v>0</v>
      </c>
      <c r="W530" s="338">
        <f t="shared" si="351"/>
        <v>0</v>
      </c>
      <c r="X530" s="35"/>
      <c r="Y530" s="765"/>
      <c r="Z530" s="767"/>
      <c r="AA530" s="765"/>
      <c r="AB530" s="765"/>
    </row>
    <row r="531" spans="1:28" x14ac:dyDescent="0.25">
      <c r="A531" s="335">
        <f>A530+1</f>
        <v>44194</v>
      </c>
      <c r="B531" s="49">
        <f t="shared" si="352"/>
        <v>0</v>
      </c>
      <c r="C531" s="338">
        <f t="shared" si="355"/>
        <v>61000000</v>
      </c>
      <c r="D531" s="329">
        <f t="shared" si="353"/>
        <v>0</v>
      </c>
      <c r="E531" s="338">
        <f t="shared" si="356"/>
        <v>1893546.0006717108</v>
      </c>
      <c r="F531" s="329">
        <f t="shared" si="354"/>
        <v>0</v>
      </c>
      <c r="G531" s="338">
        <f t="shared" si="357"/>
        <v>33000000</v>
      </c>
      <c r="H531" s="329">
        <f t="shared" si="337"/>
        <v>0</v>
      </c>
      <c r="I531" s="338">
        <f t="shared" si="358"/>
        <v>15721906</v>
      </c>
      <c r="J531" s="329">
        <f t="shared" si="338"/>
        <v>0</v>
      </c>
      <c r="K531" s="338">
        <f t="shared" si="345"/>
        <v>0</v>
      </c>
      <c r="L531" s="329">
        <f t="shared" si="339"/>
        <v>0</v>
      </c>
      <c r="M531" s="338">
        <f t="shared" si="346"/>
        <v>0</v>
      </c>
      <c r="N531" s="329">
        <f t="shared" si="340"/>
        <v>0</v>
      </c>
      <c r="O531" s="338">
        <f t="shared" si="347"/>
        <v>0</v>
      </c>
      <c r="P531" s="329">
        <f t="shared" si="341"/>
        <v>0</v>
      </c>
      <c r="Q531" s="338">
        <f t="shared" si="348"/>
        <v>0</v>
      </c>
      <c r="R531" s="329">
        <f t="shared" si="342"/>
        <v>0</v>
      </c>
      <c r="S531" s="338">
        <f t="shared" si="349"/>
        <v>0</v>
      </c>
      <c r="T531" s="329">
        <f t="shared" si="343"/>
        <v>0</v>
      </c>
      <c r="U531" s="338">
        <f t="shared" si="350"/>
        <v>0</v>
      </c>
      <c r="V531" s="329">
        <f t="shared" si="344"/>
        <v>0</v>
      </c>
      <c r="W531" s="338">
        <f t="shared" si="351"/>
        <v>0</v>
      </c>
      <c r="X531" s="35"/>
      <c r="Y531" s="765"/>
      <c r="Z531" s="765"/>
      <c r="AA531" s="765"/>
      <c r="AB531" s="765"/>
    </row>
    <row r="532" spans="1:28" x14ac:dyDescent="0.25">
      <c r="A532" s="335">
        <f>A531+1</f>
        <v>44195</v>
      </c>
      <c r="B532" s="49">
        <f t="shared" si="352"/>
        <v>0</v>
      </c>
      <c r="C532" s="338">
        <f t="shared" si="355"/>
        <v>61000000</v>
      </c>
      <c r="D532" s="329">
        <f t="shared" si="353"/>
        <v>0</v>
      </c>
      <c r="E532" s="338">
        <f t="shared" si="356"/>
        <v>1893546.0006717108</v>
      </c>
      <c r="F532" s="329">
        <f t="shared" si="354"/>
        <v>0</v>
      </c>
      <c r="G532" s="338">
        <f t="shared" si="357"/>
        <v>33000000</v>
      </c>
      <c r="H532" s="329">
        <f t="shared" si="337"/>
        <v>0</v>
      </c>
      <c r="I532" s="338">
        <f t="shared" si="358"/>
        <v>15721906</v>
      </c>
      <c r="J532" s="329">
        <f t="shared" si="338"/>
        <v>0</v>
      </c>
      <c r="K532" s="338">
        <f t="shared" si="345"/>
        <v>0</v>
      </c>
      <c r="L532" s="329">
        <f t="shared" si="339"/>
        <v>0</v>
      </c>
      <c r="M532" s="338">
        <f t="shared" si="346"/>
        <v>0</v>
      </c>
      <c r="N532" s="329">
        <f t="shared" si="340"/>
        <v>0</v>
      </c>
      <c r="O532" s="338">
        <f t="shared" si="347"/>
        <v>0</v>
      </c>
      <c r="P532" s="329">
        <f t="shared" si="341"/>
        <v>0</v>
      </c>
      <c r="Q532" s="338">
        <f t="shared" si="348"/>
        <v>0</v>
      </c>
      <c r="R532" s="329">
        <f t="shared" si="342"/>
        <v>0</v>
      </c>
      <c r="S532" s="338">
        <f t="shared" si="349"/>
        <v>0</v>
      </c>
      <c r="T532" s="329">
        <f t="shared" si="343"/>
        <v>0</v>
      </c>
      <c r="U532" s="338">
        <f t="shared" si="350"/>
        <v>0</v>
      </c>
      <c r="V532" s="329">
        <f t="shared" si="344"/>
        <v>0</v>
      </c>
      <c r="W532" s="338">
        <f t="shared" si="351"/>
        <v>0</v>
      </c>
      <c r="X532" s="35"/>
      <c r="Y532" s="765"/>
      <c r="Z532" s="765"/>
      <c r="AA532" s="765"/>
      <c r="AB532" s="765"/>
    </row>
    <row r="533" spans="1:28" x14ac:dyDescent="0.25">
      <c r="A533" s="335">
        <f>A532+1</f>
        <v>44196</v>
      </c>
      <c r="B533" s="49">
        <f t="shared" si="352"/>
        <v>0</v>
      </c>
      <c r="C533" s="338">
        <f t="shared" si="355"/>
        <v>61000000</v>
      </c>
      <c r="D533" s="329">
        <f t="shared" si="353"/>
        <v>0</v>
      </c>
      <c r="E533" s="338">
        <f t="shared" si="356"/>
        <v>1893546.0006717108</v>
      </c>
      <c r="F533" s="329">
        <f t="shared" si="354"/>
        <v>0</v>
      </c>
      <c r="G533" s="338">
        <f t="shared" si="357"/>
        <v>33000000</v>
      </c>
      <c r="H533" s="329">
        <f t="shared" si="337"/>
        <v>0</v>
      </c>
      <c r="I533" s="338">
        <f t="shared" si="358"/>
        <v>15721906</v>
      </c>
      <c r="J533" s="329">
        <f t="shared" si="338"/>
        <v>0</v>
      </c>
      <c r="K533" s="338">
        <f t="shared" si="345"/>
        <v>0</v>
      </c>
      <c r="L533" s="329">
        <f t="shared" si="339"/>
        <v>0</v>
      </c>
      <c r="M533" s="338">
        <f t="shared" si="346"/>
        <v>0</v>
      </c>
      <c r="N533" s="329">
        <f t="shared" si="340"/>
        <v>0</v>
      </c>
      <c r="O533" s="338">
        <f t="shared" si="347"/>
        <v>0</v>
      </c>
      <c r="P533" s="329">
        <f t="shared" si="341"/>
        <v>0</v>
      </c>
      <c r="Q533" s="338">
        <f t="shared" si="348"/>
        <v>0</v>
      </c>
      <c r="R533" s="329">
        <f t="shared" si="342"/>
        <v>0</v>
      </c>
      <c r="S533" s="338">
        <f t="shared" si="349"/>
        <v>0</v>
      </c>
      <c r="T533" s="329">
        <f t="shared" si="343"/>
        <v>0</v>
      </c>
      <c r="U533" s="338">
        <f t="shared" si="350"/>
        <v>0</v>
      </c>
      <c r="V533" s="329">
        <f t="shared" si="344"/>
        <v>0</v>
      </c>
      <c r="W533" s="338">
        <f t="shared" si="351"/>
        <v>0</v>
      </c>
      <c r="X533" s="35"/>
      <c r="Y533" s="765"/>
      <c r="Z533" s="765"/>
      <c r="AA533" s="765"/>
      <c r="AB533" s="765"/>
    </row>
    <row r="534" spans="1:28" x14ac:dyDescent="0.25">
      <c r="A534" s="336">
        <f>A533+4</f>
        <v>44200</v>
      </c>
      <c r="B534" s="49">
        <f t="shared" si="352"/>
        <v>0</v>
      </c>
      <c r="C534" s="338">
        <f t="shared" si="355"/>
        <v>61000000</v>
      </c>
      <c r="D534" s="329">
        <f t="shared" si="353"/>
        <v>0</v>
      </c>
      <c r="E534" s="338">
        <f t="shared" si="356"/>
        <v>1893546.0006717108</v>
      </c>
      <c r="F534" s="329">
        <f t="shared" si="354"/>
        <v>0</v>
      </c>
      <c r="G534" s="338">
        <f t="shared" si="357"/>
        <v>33000000</v>
      </c>
      <c r="H534" s="329">
        <f t="shared" si="337"/>
        <v>0</v>
      </c>
      <c r="I534" s="338">
        <f t="shared" si="358"/>
        <v>15721906</v>
      </c>
      <c r="J534" s="329">
        <f t="shared" si="338"/>
        <v>0</v>
      </c>
      <c r="K534" s="338">
        <f t="shared" si="345"/>
        <v>0</v>
      </c>
      <c r="L534" s="329">
        <f t="shared" si="339"/>
        <v>0</v>
      </c>
      <c r="M534" s="338">
        <f t="shared" si="346"/>
        <v>0</v>
      </c>
      <c r="N534" s="329">
        <f t="shared" si="340"/>
        <v>0</v>
      </c>
      <c r="O534" s="338">
        <f t="shared" si="347"/>
        <v>0</v>
      </c>
      <c r="P534" s="329">
        <f t="shared" si="341"/>
        <v>0</v>
      </c>
      <c r="Q534" s="338">
        <f t="shared" si="348"/>
        <v>0</v>
      </c>
      <c r="R534" s="329">
        <f t="shared" si="342"/>
        <v>0</v>
      </c>
      <c r="S534" s="338">
        <f t="shared" si="349"/>
        <v>0</v>
      </c>
      <c r="T534" s="329">
        <f t="shared" si="343"/>
        <v>0</v>
      </c>
      <c r="U534" s="338">
        <f t="shared" si="350"/>
        <v>0</v>
      </c>
      <c r="V534" s="329">
        <f t="shared" si="344"/>
        <v>0</v>
      </c>
      <c r="W534" s="338">
        <f t="shared" si="351"/>
        <v>0</v>
      </c>
      <c r="X534" s="35"/>
      <c r="Y534" s="765"/>
      <c r="Z534" s="765"/>
      <c r="AA534" s="765"/>
      <c r="AB534" s="765"/>
    </row>
    <row r="535" spans="1:28" x14ac:dyDescent="0.25">
      <c r="A535" s="335">
        <f>A534+1</f>
        <v>44201</v>
      </c>
      <c r="B535" s="49">
        <f t="shared" si="352"/>
        <v>0</v>
      </c>
      <c r="C535" s="338">
        <f t="shared" si="355"/>
        <v>61000000</v>
      </c>
      <c r="D535" s="329">
        <f t="shared" si="353"/>
        <v>0</v>
      </c>
      <c r="E535" s="338">
        <f t="shared" si="356"/>
        <v>1893546.0006717108</v>
      </c>
      <c r="F535" s="329">
        <f t="shared" si="354"/>
        <v>0</v>
      </c>
      <c r="G535" s="338">
        <f t="shared" si="357"/>
        <v>33000000</v>
      </c>
      <c r="H535" s="329">
        <f t="shared" si="337"/>
        <v>0</v>
      </c>
      <c r="I535" s="338">
        <f t="shared" si="358"/>
        <v>15721906</v>
      </c>
      <c r="J535" s="329">
        <f t="shared" si="338"/>
        <v>0</v>
      </c>
      <c r="K535" s="338">
        <f t="shared" si="345"/>
        <v>0</v>
      </c>
      <c r="L535" s="329">
        <f t="shared" si="339"/>
        <v>0</v>
      </c>
      <c r="M535" s="338">
        <f t="shared" si="346"/>
        <v>0</v>
      </c>
      <c r="N535" s="329">
        <f t="shared" si="340"/>
        <v>0</v>
      </c>
      <c r="O535" s="338">
        <f t="shared" si="347"/>
        <v>0</v>
      </c>
      <c r="P535" s="329">
        <f t="shared" si="341"/>
        <v>0</v>
      </c>
      <c r="Q535" s="338">
        <f t="shared" si="348"/>
        <v>0</v>
      </c>
      <c r="R535" s="329">
        <f t="shared" si="342"/>
        <v>0</v>
      </c>
      <c r="S535" s="338">
        <f t="shared" si="349"/>
        <v>0</v>
      </c>
      <c r="T535" s="329">
        <f t="shared" si="343"/>
        <v>0</v>
      </c>
      <c r="U535" s="338">
        <f t="shared" si="350"/>
        <v>0</v>
      </c>
      <c r="V535" s="329">
        <f t="shared" si="344"/>
        <v>0</v>
      </c>
      <c r="W535" s="338">
        <f t="shared" si="351"/>
        <v>0</v>
      </c>
      <c r="X535" s="35"/>
      <c r="Y535" s="765"/>
      <c r="Z535" s="765"/>
      <c r="AA535" s="765"/>
      <c r="AB535" s="765"/>
    </row>
    <row r="536" spans="1:28" x14ac:dyDescent="0.25">
      <c r="A536" s="335">
        <f>A535+1</f>
        <v>44202</v>
      </c>
      <c r="B536" s="49">
        <f t="shared" si="352"/>
        <v>0</v>
      </c>
      <c r="C536" s="338">
        <f t="shared" si="355"/>
        <v>61000000</v>
      </c>
      <c r="D536" s="329">
        <f t="shared" si="353"/>
        <v>0</v>
      </c>
      <c r="E536" s="338">
        <f t="shared" si="356"/>
        <v>1893546.0006717108</v>
      </c>
      <c r="F536" s="329">
        <f t="shared" si="354"/>
        <v>0</v>
      </c>
      <c r="G536" s="338">
        <f t="shared" si="357"/>
        <v>33000000</v>
      </c>
      <c r="H536" s="329">
        <f t="shared" si="337"/>
        <v>0</v>
      </c>
      <c r="I536" s="338">
        <f t="shared" si="358"/>
        <v>15721906</v>
      </c>
      <c r="J536" s="329">
        <f t="shared" si="338"/>
        <v>0</v>
      </c>
      <c r="K536" s="338">
        <f t="shared" si="345"/>
        <v>0</v>
      </c>
      <c r="L536" s="329">
        <f t="shared" si="339"/>
        <v>0</v>
      </c>
      <c r="M536" s="338">
        <f t="shared" si="346"/>
        <v>0</v>
      </c>
      <c r="N536" s="329">
        <f t="shared" si="340"/>
        <v>0</v>
      </c>
      <c r="O536" s="338">
        <f t="shared" si="347"/>
        <v>0</v>
      </c>
      <c r="P536" s="329">
        <f t="shared" si="341"/>
        <v>0</v>
      </c>
      <c r="Q536" s="338">
        <f t="shared" si="348"/>
        <v>0</v>
      </c>
      <c r="R536" s="329">
        <f t="shared" si="342"/>
        <v>0</v>
      </c>
      <c r="S536" s="338">
        <f t="shared" si="349"/>
        <v>0</v>
      </c>
      <c r="T536" s="329">
        <f t="shared" si="343"/>
        <v>0</v>
      </c>
      <c r="U536" s="338">
        <f t="shared" si="350"/>
        <v>0</v>
      </c>
      <c r="V536" s="329">
        <f t="shared" si="344"/>
        <v>0</v>
      </c>
      <c r="W536" s="338">
        <f t="shared" si="351"/>
        <v>0</v>
      </c>
      <c r="X536" s="35"/>
      <c r="Y536" s="765"/>
      <c r="Z536" s="765"/>
      <c r="AA536" s="765"/>
      <c r="AB536" s="765"/>
    </row>
    <row r="537" spans="1:28" x14ac:dyDescent="0.25">
      <c r="A537" s="335">
        <f>A536+1</f>
        <v>44203</v>
      </c>
      <c r="B537" s="49">
        <f t="shared" si="352"/>
        <v>0</v>
      </c>
      <c r="C537" s="338">
        <f t="shared" si="355"/>
        <v>61000000</v>
      </c>
      <c r="D537" s="329">
        <f t="shared" si="353"/>
        <v>0</v>
      </c>
      <c r="E537" s="338">
        <f t="shared" si="356"/>
        <v>1893546.0006717108</v>
      </c>
      <c r="F537" s="329">
        <f t="shared" si="354"/>
        <v>0</v>
      </c>
      <c r="G537" s="338">
        <f t="shared" si="357"/>
        <v>33000000</v>
      </c>
      <c r="H537" s="329">
        <f t="shared" si="337"/>
        <v>0</v>
      </c>
      <c r="I537" s="338">
        <f t="shared" si="358"/>
        <v>15721906</v>
      </c>
      <c r="J537" s="329">
        <f t="shared" si="338"/>
        <v>0</v>
      </c>
      <c r="K537" s="338">
        <f t="shared" si="345"/>
        <v>0</v>
      </c>
      <c r="L537" s="329">
        <f t="shared" si="339"/>
        <v>0</v>
      </c>
      <c r="M537" s="338">
        <f t="shared" si="346"/>
        <v>0</v>
      </c>
      <c r="N537" s="329">
        <f t="shared" si="340"/>
        <v>0</v>
      </c>
      <c r="O537" s="338">
        <f t="shared" si="347"/>
        <v>0</v>
      </c>
      <c r="P537" s="329">
        <f t="shared" si="341"/>
        <v>0</v>
      </c>
      <c r="Q537" s="338">
        <f t="shared" si="348"/>
        <v>0</v>
      </c>
      <c r="R537" s="329">
        <f t="shared" si="342"/>
        <v>0</v>
      </c>
      <c r="S537" s="338">
        <f t="shared" si="349"/>
        <v>0</v>
      </c>
      <c r="T537" s="329">
        <f t="shared" si="343"/>
        <v>0</v>
      </c>
      <c r="U537" s="338">
        <f t="shared" si="350"/>
        <v>0</v>
      </c>
      <c r="V537" s="329">
        <f t="shared" si="344"/>
        <v>0</v>
      </c>
      <c r="W537" s="338">
        <f t="shared" si="351"/>
        <v>0</v>
      </c>
      <c r="X537" s="35"/>
      <c r="Y537" s="765"/>
      <c r="Z537" s="765"/>
      <c r="AA537" s="765"/>
      <c r="AB537" s="765"/>
    </row>
    <row r="538" spans="1:28" x14ac:dyDescent="0.25">
      <c r="A538" s="335">
        <f>A537+1</f>
        <v>44204</v>
      </c>
      <c r="B538" s="49">
        <f t="shared" si="352"/>
        <v>0</v>
      </c>
      <c r="C538" s="338">
        <f t="shared" si="355"/>
        <v>61000000</v>
      </c>
      <c r="D538" s="329">
        <f t="shared" si="353"/>
        <v>0</v>
      </c>
      <c r="E538" s="338">
        <f t="shared" si="356"/>
        <v>1893546.0006717108</v>
      </c>
      <c r="F538" s="329">
        <f t="shared" si="354"/>
        <v>0</v>
      </c>
      <c r="G538" s="338">
        <f t="shared" si="357"/>
        <v>33000000</v>
      </c>
      <c r="H538" s="329">
        <f t="shared" si="337"/>
        <v>0</v>
      </c>
      <c r="I538" s="338">
        <f t="shared" si="358"/>
        <v>15721906</v>
      </c>
      <c r="J538" s="329">
        <f t="shared" si="338"/>
        <v>0</v>
      </c>
      <c r="K538" s="338">
        <f t="shared" si="345"/>
        <v>0</v>
      </c>
      <c r="L538" s="329">
        <f t="shared" si="339"/>
        <v>0</v>
      </c>
      <c r="M538" s="338">
        <f t="shared" si="346"/>
        <v>0</v>
      </c>
      <c r="N538" s="329">
        <f t="shared" si="340"/>
        <v>0</v>
      </c>
      <c r="O538" s="338">
        <f t="shared" si="347"/>
        <v>0</v>
      </c>
      <c r="P538" s="329">
        <f t="shared" si="341"/>
        <v>0</v>
      </c>
      <c r="Q538" s="338">
        <f t="shared" si="348"/>
        <v>0</v>
      </c>
      <c r="R538" s="329">
        <f t="shared" si="342"/>
        <v>0</v>
      </c>
      <c r="S538" s="338">
        <f t="shared" si="349"/>
        <v>0</v>
      </c>
      <c r="T538" s="329">
        <f t="shared" si="343"/>
        <v>0</v>
      </c>
      <c r="U538" s="338">
        <f t="shared" si="350"/>
        <v>0</v>
      </c>
      <c r="V538" s="329">
        <f t="shared" si="344"/>
        <v>0</v>
      </c>
      <c r="W538" s="338">
        <f t="shared" si="351"/>
        <v>0</v>
      </c>
      <c r="X538" s="35"/>
      <c r="Y538" s="765"/>
      <c r="Z538" s="765"/>
      <c r="AA538" s="765"/>
      <c r="AB538" s="765"/>
    </row>
    <row r="539" spans="1:28" x14ac:dyDescent="0.25">
      <c r="A539" s="336">
        <f>A538+3</f>
        <v>44207</v>
      </c>
      <c r="B539" s="49">
        <f t="shared" si="352"/>
        <v>0</v>
      </c>
      <c r="C539" s="338">
        <f t="shared" si="355"/>
        <v>61000000</v>
      </c>
      <c r="D539" s="329">
        <f t="shared" si="353"/>
        <v>0</v>
      </c>
      <c r="E539" s="338">
        <f t="shared" si="356"/>
        <v>1893546.0006717108</v>
      </c>
      <c r="F539" s="329">
        <f t="shared" si="354"/>
        <v>0</v>
      </c>
      <c r="G539" s="338">
        <f t="shared" si="357"/>
        <v>33000000</v>
      </c>
      <c r="H539" s="329">
        <f t="shared" si="337"/>
        <v>0</v>
      </c>
      <c r="I539" s="338">
        <f t="shared" si="358"/>
        <v>15721906</v>
      </c>
      <c r="J539" s="329">
        <f t="shared" si="338"/>
        <v>0</v>
      </c>
      <c r="K539" s="338">
        <f t="shared" si="345"/>
        <v>0</v>
      </c>
      <c r="L539" s="329">
        <f t="shared" si="339"/>
        <v>0</v>
      </c>
      <c r="M539" s="338">
        <f t="shared" si="346"/>
        <v>0</v>
      </c>
      <c r="N539" s="329">
        <f t="shared" si="340"/>
        <v>0</v>
      </c>
      <c r="O539" s="338">
        <f t="shared" si="347"/>
        <v>0</v>
      </c>
      <c r="P539" s="329">
        <f t="shared" si="341"/>
        <v>0</v>
      </c>
      <c r="Q539" s="338">
        <f t="shared" si="348"/>
        <v>0</v>
      </c>
      <c r="R539" s="329">
        <f t="shared" si="342"/>
        <v>0</v>
      </c>
      <c r="S539" s="338">
        <f t="shared" si="349"/>
        <v>0</v>
      </c>
      <c r="T539" s="329">
        <f t="shared" si="343"/>
        <v>0</v>
      </c>
      <c r="U539" s="338">
        <f t="shared" si="350"/>
        <v>0</v>
      </c>
      <c r="V539" s="329">
        <f t="shared" si="344"/>
        <v>0</v>
      </c>
      <c r="W539" s="338">
        <f t="shared" si="351"/>
        <v>0</v>
      </c>
      <c r="X539" s="35"/>
      <c r="Y539" s="765"/>
      <c r="Z539" s="765"/>
      <c r="AA539" s="765"/>
      <c r="AB539" s="765"/>
    </row>
    <row r="540" spans="1:28" x14ac:dyDescent="0.25">
      <c r="A540" s="335">
        <f>A539+1</f>
        <v>44208</v>
      </c>
      <c r="B540" s="49">
        <f t="shared" si="352"/>
        <v>0</v>
      </c>
      <c r="C540" s="338">
        <f t="shared" si="355"/>
        <v>61000000</v>
      </c>
      <c r="D540" s="329">
        <f t="shared" si="353"/>
        <v>0</v>
      </c>
      <c r="E540" s="338">
        <f t="shared" si="356"/>
        <v>1893546.0006717108</v>
      </c>
      <c r="F540" s="329">
        <f t="shared" si="354"/>
        <v>0</v>
      </c>
      <c r="G540" s="338">
        <f t="shared" si="357"/>
        <v>33000000</v>
      </c>
      <c r="H540" s="329">
        <f t="shared" si="337"/>
        <v>0</v>
      </c>
      <c r="I540" s="338">
        <f t="shared" si="358"/>
        <v>15721906</v>
      </c>
      <c r="J540" s="329">
        <f t="shared" si="338"/>
        <v>0</v>
      </c>
      <c r="K540" s="338">
        <f t="shared" si="345"/>
        <v>0</v>
      </c>
      <c r="L540" s="329">
        <f t="shared" si="339"/>
        <v>0</v>
      </c>
      <c r="M540" s="338">
        <f t="shared" si="346"/>
        <v>0</v>
      </c>
      <c r="N540" s="329">
        <f t="shared" si="340"/>
        <v>0</v>
      </c>
      <c r="O540" s="338">
        <f t="shared" si="347"/>
        <v>0</v>
      </c>
      <c r="P540" s="329">
        <f t="shared" si="341"/>
        <v>0</v>
      </c>
      <c r="Q540" s="338">
        <f t="shared" si="348"/>
        <v>0</v>
      </c>
      <c r="R540" s="329">
        <f t="shared" si="342"/>
        <v>0</v>
      </c>
      <c r="S540" s="338">
        <f t="shared" si="349"/>
        <v>0</v>
      </c>
      <c r="T540" s="329">
        <f t="shared" si="343"/>
        <v>0</v>
      </c>
      <c r="U540" s="338">
        <f t="shared" si="350"/>
        <v>0</v>
      </c>
      <c r="V540" s="329">
        <f t="shared" si="344"/>
        <v>0</v>
      </c>
      <c r="W540" s="338">
        <f t="shared" si="351"/>
        <v>0</v>
      </c>
      <c r="X540" s="35"/>
      <c r="Y540" s="765"/>
      <c r="Z540" s="765"/>
      <c r="AA540" s="765"/>
      <c r="AB540" s="765"/>
    </row>
    <row r="541" spans="1:28" x14ac:dyDescent="0.25">
      <c r="A541" s="335">
        <f>A540+1</f>
        <v>44209</v>
      </c>
      <c r="B541" s="49">
        <f t="shared" si="352"/>
        <v>0</v>
      </c>
      <c r="C541" s="338">
        <f t="shared" si="355"/>
        <v>61000000</v>
      </c>
      <c r="D541" s="329">
        <f t="shared" si="353"/>
        <v>660000</v>
      </c>
      <c r="E541" s="338">
        <f t="shared" si="356"/>
        <v>2553546.0006717108</v>
      </c>
      <c r="F541" s="329">
        <f t="shared" si="354"/>
        <v>0</v>
      </c>
      <c r="G541" s="338">
        <f t="shared" si="357"/>
        <v>33000000</v>
      </c>
      <c r="H541" s="329">
        <f t="shared" si="337"/>
        <v>0</v>
      </c>
      <c r="I541" s="338">
        <f t="shared" si="358"/>
        <v>15721906</v>
      </c>
      <c r="J541" s="329">
        <f t="shared" si="338"/>
        <v>0</v>
      </c>
      <c r="K541" s="338">
        <f t="shared" si="345"/>
        <v>0</v>
      </c>
      <c r="L541" s="329">
        <f t="shared" si="339"/>
        <v>0</v>
      </c>
      <c r="M541" s="338">
        <f t="shared" si="346"/>
        <v>0</v>
      </c>
      <c r="N541" s="329">
        <f t="shared" si="340"/>
        <v>0</v>
      </c>
      <c r="O541" s="338">
        <f t="shared" si="347"/>
        <v>0</v>
      </c>
      <c r="P541" s="329">
        <f t="shared" si="341"/>
        <v>0</v>
      </c>
      <c r="Q541" s="338">
        <f t="shared" si="348"/>
        <v>0</v>
      </c>
      <c r="R541" s="329">
        <f t="shared" si="342"/>
        <v>0</v>
      </c>
      <c r="S541" s="338">
        <f t="shared" si="349"/>
        <v>0</v>
      </c>
      <c r="T541" s="329">
        <f t="shared" si="343"/>
        <v>0</v>
      </c>
      <c r="U541" s="338">
        <f t="shared" si="350"/>
        <v>0</v>
      </c>
      <c r="V541" s="329">
        <f t="shared" si="344"/>
        <v>0</v>
      </c>
      <c r="W541" s="338">
        <f t="shared" si="351"/>
        <v>0</v>
      </c>
      <c r="X541" s="35"/>
      <c r="Y541" s="765"/>
      <c r="Z541" s="765"/>
      <c r="AA541" s="765"/>
      <c r="AB541" s="765"/>
    </row>
    <row r="542" spans="1:28" x14ac:dyDescent="0.25">
      <c r="A542" s="335">
        <f>A541+1</f>
        <v>44210</v>
      </c>
      <c r="B542" s="49">
        <f t="shared" si="352"/>
        <v>0</v>
      </c>
      <c r="C542" s="338">
        <f t="shared" si="355"/>
        <v>61000000</v>
      </c>
      <c r="D542" s="329">
        <f t="shared" si="353"/>
        <v>0</v>
      </c>
      <c r="E542" s="338">
        <f t="shared" si="356"/>
        <v>2553546.0006717108</v>
      </c>
      <c r="F542" s="329">
        <f t="shared" si="354"/>
        <v>0</v>
      </c>
      <c r="G542" s="338">
        <f t="shared" si="357"/>
        <v>33000000</v>
      </c>
      <c r="H542" s="329">
        <f t="shared" si="337"/>
        <v>0</v>
      </c>
      <c r="I542" s="338">
        <f t="shared" si="358"/>
        <v>15721906</v>
      </c>
      <c r="J542" s="329">
        <f t="shared" si="338"/>
        <v>0</v>
      </c>
      <c r="K542" s="338">
        <f t="shared" si="345"/>
        <v>0</v>
      </c>
      <c r="L542" s="329">
        <f t="shared" si="339"/>
        <v>0</v>
      </c>
      <c r="M542" s="338">
        <f t="shared" si="346"/>
        <v>0</v>
      </c>
      <c r="N542" s="329">
        <f t="shared" si="340"/>
        <v>0</v>
      </c>
      <c r="O542" s="338">
        <f t="shared" si="347"/>
        <v>0</v>
      </c>
      <c r="P542" s="329">
        <f t="shared" si="341"/>
        <v>0</v>
      </c>
      <c r="Q542" s="338">
        <f t="shared" si="348"/>
        <v>0</v>
      </c>
      <c r="R542" s="329">
        <f t="shared" si="342"/>
        <v>0</v>
      </c>
      <c r="S542" s="338">
        <f t="shared" si="349"/>
        <v>0</v>
      </c>
      <c r="T542" s="329">
        <f t="shared" si="343"/>
        <v>0</v>
      </c>
      <c r="U542" s="338">
        <f t="shared" si="350"/>
        <v>0</v>
      </c>
      <c r="V542" s="329">
        <f t="shared" si="344"/>
        <v>0</v>
      </c>
      <c r="W542" s="338">
        <f t="shared" si="351"/>
        <v>0</v>
      </c>
      <c r="X542" s="35"/>
      <c r="Y542" s="765"/>
      <c r="Z542" s="765"/>
      <c r="AA542" s="765"/>
      <c r="AB542" s="765"/>
    </row>
    <row r="543" spans="1:28" x14ac:dyDescent="0.25">
      <c r="A543" s="335">
        <f>A542+1</f>
        <v>44211</v>
      </c>
      <c r="B543" s="49">
        <f t="shared" si="352"/>
        <v>0</v>
      </c>
      <c r="C543" s="338">
        <f t="shared" si="355"/>
        <v>61000000</v>
      </c>
      <c r="D543" s="329">
        <f t="shared" si="353"/>
        <v>0</v>
      </c>
      <c r="E543" s="338">
        <f t="shared" si="356"/>
        <v>2553546.0006717108</v>
      </c>
      <c r="F543" s="329">
        <f t="shared" si="354"/>
        <v>2000000</v>
      </c>
      <c r="G543" s="338">
        <f t="shared" si="357"/>
        <v>35000000</v>
      </c>
      <c r="H543" s="329">
        <f t="shared" si="337"/>
        <v>0</v>
      </c>
      <c r="I543" s="338">
        <f t="shared" si="358"/>
        <v>15721906</v>
      </c>
      <c r="J543" s="329">
        <f t="shared" si="338"/>
        <v>0</v>
      </c>
      <c r="K543" s="338">
        <f t="shared" si="345"/>
        <v>0</v>
      </c>
      <c r="L543" s="329">
        <f t="shared" si="339"/>
        <v>0</v>
      </c>
      <c r="M543" s="338">
        <f t="shared" si="346"/>
        <v>0</v>
      </c>
      <c r="N543" s="329">
        <f t="shared" si="340"/>
        <v>0</v>
      </c>
      <c r="O543" s="338">
        <f t="shared" si="347"/>
        <v>0</v>
      </c>
      <c r="P543" s="329">
        <f t="shared" si="341"/>
        <v>0</v>
      </c>
      <c r="Q543" s="338">
        <f t="shared" si="348"/>
        <v>0</v>
      </c>
      <c r="R543" s="329">
        <f t="shared" si="342"/>
        <v>0</v>
      </c>
      <c r="S543" s="338">
        <f t="shared" si="349"/>
        <v>0</v>
      </c>
      <c r="T543" s="329">
        <f t="shared" si="343"/>
        <v>0</v>
      </c>
      <c r="U543" s="338">
        <f t="shared" si="350"/>
        <v>0</v>
      </c>
      <c r="V543" s="329">
        <f t="shared" si="344"/>
        <v>0</v>
      </c>
      <c r="W543" s="338">
        <f t="shared" si="351"/>
        <v>0</v>
      </c>
      <c r="X543" s="35"/>
      <c r="Y543" s="765"/>
      <c r="Z543" s="765"/>
      <c r="AA543" s="765"/>
      <c r="AB543" s="765"/>
    </row>
    <row r="544" spans="1:28" x14ac:dyDescent="0.25">
      <c r="A544" s="336">
        <f>A543+4</f>
        <v>44215</v>
      </c>
      <c r="B544" s="49">
        <f t="shared" si="352"/>
        <v>0</v>
      </c>
      <c r="C544" s="338">
        <f t="shared" si="355"/>
        <v>61000000</v>
      </c>
      <c r="D544" s="329">
        <f t="shared" si="353"/>
        <v>0</v>
      </c>
      <c r="E544" s="338">
        <f t="shared" si="356"/>
        <v>2553546.0006717108</v>
      </c>
      <c r="F544" s="329">
        <f t="shared" si="354"/>
        <v>0</v>
      </c>
      <c r="G544" s="338">
        <f t="shared" si="357"/>
        <v>35000000</v>
      </c>
      <c r="H544" s="329">
        <f t="shared" si="337"/>
        <v>0</v>
      </c>
      <c r="I544" s="338">
        <f t="shared" si="358"/>
        <v>15721906</v>
      </c>
      <c r="J544" s="329">
        <f t="shared" si="338"/>
        <v>0</v>
      </c>
      <c r="K544" s="338">
        <f t="shared" si="345"/>
        <v>0</v>
      </c>
      <c r="L544" s="329">
        <f t="shared" si="339"/>
        <v>0</v>
      </c>
      <c r="M544" s="338">
        <f t="shared" si="346"/>
        <v>0</v>
      </c>
      <c r="N544" s="329">
        <f t="shared" si="340"/>
        <v>0</v>
      </c>
      <c r="O544" s="338">
        <f t="shared" si="347"/>
        <v>0</v>
      </c>
      <c r="P544" s="329">
        <f t="shared" si="341"/>
        <v>0</v>
      </c>
      <c r="Q544" s="338">
        <f t="shared" si="348"/>
        <v>0</v>
      </c>
      <c r="R544" s="329">
        <f t="shared" si="342"/>
        <v>0</v>
      </c>
      <c r="S544" s="338">
        <f t="shared" si="349"/>
        <v>0</v>
      </c>
      <c r="T544" s="329">
        <f t="shared" si="343"/>
        <v>0</v>
      </c>
      <c r="U544" s="338">
        <f t="shared" si="350"/>
        <v>0</v>
      </c>
      <c r="V544" s="329">
        <f t="shared" si="344"/>
        <v>0</v>
      </c>
      <c r="W544" s="338">
        <f t="shared" si="351"/>
        <v>0</v>
      </c>
      <c r="X544" s="35"/>
      <c r="Y544" s="765"/>
      <c r="Z544" s="765"/>
      <c r="AA544" s="765"/>
      <c r="AB544" s="765"/>
    </row>
    <row r="545" spans="1:28" x14ac:dyDescent="0.25">
      <c r="A545" s="335">
        <f>A544+1</f>
        <v>44216</v>
      </c>
      <c r="B545" s="49">
        <f t="shared" si="352"/>
        <v>0</v>
      </c>
      <c r="C545" s="338">
        <f t="shared" si="355"/>
        <v>61000000</v>
      </c>
      <c r="D545" s="329">
        <f t="shared" si="353"/>
        <v>0</v>
      </c>
      <c r="E545" s="338">
        <f t="shared" si="356"/>
        <v>2553546.0006717108</v>
      </c>
      <c r="F545" s="329">
        <f t="shared" si="354"/>
        <v>2000000</v>
      </c>
      <c r="G545" s="338">
        <f t="shared" si="357"/>
        <v>37000000</v>
      </c>
      <c r="H545" s="329">
        <f t="shared" si="337"/>
        <v>0</v>
      </c>
      <c r="I545" s="338">
        <f t="shared" si="358"/>
        <v>15721906</v>
      </c>
      <c r="J545" s="329">
        <f t="shared" si="338"/>
        <v>0</v>
      </c>
      <c r="K545" s="338">
        <f t="shared" si="345"/>
        <v>0</v>
      </c>
      <c r="L545" s="329">
        <f t="shared" si="339"/>
        <v>0</v>
      </c>
      <c r="M545" s="338">
        <f t="shared" si="346"/>
        <v>0</v>
      </c>
      <c r="N545" s="329">
        <f t="shared" si="340"/>
        <v>0</v>
      </c>
      <c r="O545" s="338">
        <f t="shared" si="347"/>
        <v>0</v>
      </c>
      <c r="P545" s="329">
        <f t="shared" si="341"/>
        <v>0</v>
      </c>
      <c r="Q545" s="338">
        <f t="shared" si="348"/>
        <v>0</v>
      </c>
      <c r="R545" s="329">
        <f t="shared" si="342"/>
        <v>0</v>
      </c>
      <c r="S545" s="338">
        <f t="shared" si="349"/>
        <v>0</v>
      </c>
      <c r="T545" s="329">
        <f t="shared" si="343"/>
        <v>0</v>
      </c>
      <c r="U545" s="338">
        <f t="shared" si="350"/>
        <v>0</v>
      </c>
      <c r="V545" s="329">
        <f t="shared" si="344"/>
        <v>0</v>
      </c>
      <c r="W545" s="338">
        <f t="shared" si="351"/>
        <v>0</v>
      </c>
      <c r="X545" s="35"/>
      <c r="Y545" s="765"/>
      <c r="Z545" s="765"/>
      <c r="AA545" s="765"/>
      <c r="AB545" s="765"/>
    </row>
    <row r="546" spans="1:28" x14ac:dyDescent="0.25">
      <c r="A546" s="335">
        <f>A545+1</f>
        <v>44217</v>
      </c>
      <c r="B546" s="49">
        <f t="shared" si="352"/>
        <v>0</v>
      </c>
      <c r="C546" s="338">
        <f t="shared" si="355"/>
        <v>61000000</v>
      </c>
      <c r="D546" s="329">
        <f t="shared" si="353"/>
        <v>0</v>
      </c>
      <c r="E546" s="338">
        <f t="shared" si="356"/>
        <v>2553546.0006717108</v>
      </c>
      <c r="F546" s="329">
        <f t="shared" si="354"/>
        <v>0</v>
      </c>
      <c r="G546" s="338">
        <f t="shared" si="357"/>
        <v>37000000</v>
      </c>
      <c r="H546" s="329">
        <f t="shared" si="337"/>
        <v>0</v>
      </c>
      <c r="I546" s="338">
        <f t="shared" si="358"/>
        <v>15721906</v>
      </c>
      <c r="J546" s="329">
        <f t="shared" si="338"/>
        <v>0</v>
      </c>
      <c r="K546" s="338">
        <f t="shared" si="345"/>
        <v>0</v>
      </c>
      <c r="L546" s="329">
        <f t="shared" si="339"/>
        <v>0</v>
      </c>
      <c r="M546" s="338">
        <f t="shared" si="346"/>
        <v>0</v>
      </c>
      <c r="N546" s="329">
        <f t="shared" si="340"/>
        <v>0</v>
      </c>
      <c r="O546" s="338">
        <f t="shared" si="347"/>
        <v>0</v>
      </c>
      <c r="P546" s="329">
        <f t="shared" si="341"/>
        <v>0</v>
      </c>
      <c r="Q546" s="338">
        <f t="shared" si="348"/>
        <v>0</v>
      </c>
      <c r="R546" s="329">
        <f t="shared" si="342"/>
        <v>0</v>
      </c>
      <c r="S546" s="338">
        <f t="shared" si="349"/>
        <v>0</v>
      </c>
      <c r="T546" s="329">
        <f t="shared" si="343"/>
        <v>0</v>
      </c>
      <c r="U546" s="338">
        <f t="shared" si="350"/>
        <v>0</v>
      </c>
      <c r="V546" s="329">
        <f t="shared" si="344"/>
        <v>0</v>
      </c>
      <c r="W546" s="338">
        <f t="shared" si="351"/>
        <v>0</v>
      </c>
      <c r="X546" s="35"/>
      <c r="Y546" s="765"/>
      <c r="Z546" s="765"/>
      <c r="AA546" s="765"/>
      <c r="AB546" s="765"/>
    </row>
    <row r="547" spans="1:28" x14ac:dyDescent="0.25">
      <c r="A547" s="335">
        <f>A546+1</f>
        <v>44218</v>
      </c>
      <c r="B547" s="49">
        <f t="shared" si="352"/>
        <v>0</v>
      </c>
      <c r="C547" s="338">
        <f t="shared" si="355"/>
        <v>61000000</v>
      </c>
      <c r="D547" s="329">
        <f t="shared" si="353"/>
        <v>0</v>
      </c>
      <c r="E547" s="338">
        <f t="shared" si="356"/>
        <v>2553546.0006717108</v>
      </c>
      <c r="F547" s="329">
        <f t="shared" si="354"/>
        <v>0</v>
      </c>
      <c r="G547" s="338">
        <f t="shared" si="357"/>
        <v>37000000</v>
      </c>
      <c r="H547" s="329">
        <f t="shared" si="337"/>
        <v>0</v>
      </c>
      <c r="I547" s="338">
        <f t="shared" si="358"/>
        <v>15721906</v>
      </c>
      <c r="J547" s="329">
        <f t="shared" si="338"/>
        <v>0</v>
      </c>
      <c r="K547" s="338">
        <f t="shared" si="345"/>
        <v>0</v>
      </c>
      <c r="L547" s="329">
        <f t="shared" si="339"/>
        <v>0</v>
      </c>
      <c r="M547" s="338">
        <f t="shared" si="346"/>
        <v>0</v>
      </c>
      <c r="N547" s="329">
        <f t="shared" si="340"/>
        <v>0</v>
      </c>
      <c r="O547" s="338">
        <f t="shared" si="347"/>
        <v>0</v>
      </c>
      <c r="P547" s="329">
        <f t="shared" si="341"/>
        <v>0</v>
      </c>
      <c r="Q547" s="338">
        <f t="shared" si="348"/>
        <v>0</v>
      </c>
      <c r="R547" s="329">
        <f t="shared" si="342"/>
        <v>0</v>
      </c>
      <c r="S547" s="338">
        <f t="shared" si="349"/>
        <v>0</v>
      </c>
      <c r="T547" s="329">
        <f t="shared" si="343"/>
        <v>0</v>
      </c>
      <c r="U547" s="338">
        <f t="shared" si="350"/>
        <v>0</v>
      </c>
      <c r="V547" s="329">
        <f t="shared" si="344"/>
        <v>0</v>
      </c>
      <c r="W547" s="338">
        <f t="shared" si="351"/>
        <v>0</v>
      </c>
      <c r="X547" s="35"/>
      <c r="Y547" s="765"/>
      <c r="Z547" s="765"/>
      <c r="AA547" s="765"/>
      <c r="AB547" s="765"/>
    </row>
    <row r="548" spans="1:28" x14ac:dyDescent="0.25">
      <c r="A548" s="336">
        <f>A547+3</f>
        <v>44221</v>
      </c>
      <c r="B548" s="49">
        <f t="shared" si="352"/>
        <v>0</v>
      </c>
      <c r="C548" s="338">
        <f t="shared" si="355"/>
        <v>61000000</v>
      </c>
      <c r="D548" s="329">
        <f t="shared" si="353"/>
        <v>0</v>
      </c>
      <c r="E548" s="338">
        <f t="shared" si="356"/>
        <v>2553546.0006717108</v>
      </c>
      <c r="F548" s="329">
        <f t="shared" si="354"/>
        <v>0</v>
      </c>
      <c r="G548" s="338">
        <f t="shared" si="357"/>
        <v>37000000</v>
      </c>
      <c r="H548" s="329">
        <f t="shared" si="337"/>
        <v>0</v>
      </c>
      <c r="I548" s="338">
        <f t="shared" si="358"/>
        <v>15721906</v>
      </c>
      <c r="J548" s="329">
        <f t="shared" si="338"/>
        <v>0</v>
      </c>
      <c r="K548" s="338">
        <f t="shared" si="345"/>
        <v>0</v>
      </c>
      <c r="L548" s="329">
        <f t="shared" si="339"/>
        <v>0</v>
      </c>
      <c r="M548" s="338">
        <f t="shared" si="346"/>
        <v>0</v>
      </c>
      <c r="N548" s="329">
        <f t="shared" si="340"/>
        <v>0</v>
      </c>
      <c r="O548" s="338">
        <f t="shared" si="347"/>
        <v>0</v>
      </c>
      <c r="P548" s="329">
        <f t="shared" si="341"/>
        <v>0</v>
      </c>
      <c r="Q548" s="338">
        <f t="shared" si="348"/>
        <v>0</v>
      </c>
      <c r="R548" s="329">
        <f t="shared" si="342"/>
        <v>0</v>
      </c>
      <c r="S548" s="338">
        <f t="shared" si="349"/>
        <v>0</v>
      </c>
      <c r="T548" s="329">
        <f t="shared" si="343"/>
        <v>0</v>
      </c>
      <c r="U548" s="338">
        <f t="shared" si="350"/>
        <v>0</v>
      </c>
      <c r="V548" s="329">
        <f t="shared" si="344"/>
        <v>0</v>
      </c>
      <c r="W548" s="338">
        <f t="shared" si="351"/>
        <v>0</v>
      </c>
      <c r="X548" s="35"/>
      <c r="Y548" s="765"/>
      <c r="Z548" s="765"/>
      <c r="AA548" s="765"/>
      <c r="AB548" s="765"/>
    </row>
    <row r="549" spans="1:28" x14ac:dyDescent="0.25">
      <c r="A549" s="335">
        <f>A548+1</f>
        <v>44222</v>
      </c>
      <c r="B549" s="49">
        <f t="shared" si="352"/>
        <v>0</v>
      </c>
      <c r="C549" s="338">
        <f t="shared" si="355"/>
        <v>61000000</v>
      </c>
      <c r="D549" s="329">
        <f t="shared" si="353"/>
        <v>0</v>
      </c>
      <c r="E549" s="338">
        <f t="shared" si="356"/>
        <v>2553546.0006717108</v>
      </c>
      <c r="F549" s="329">
        <f t="shared" si="354"/>
        <v>0</v>
      </c>
      <c r="G549" s="338">
        <f t="shared" si="357"/>
        <v>37000000</v>
      </c>
      <c r="H549" s="329">
        <f t="shared" si="337"/>
        <v>0</v>
      </c>
      <c r="I549" s="338">
        <f t="shared" si="358"/>
        <v>15721906</v>
      </c>
      <c r="J549" s="329">
        <f t="shared" si="338"/>
        <v>0</v>
      </c>
      <c r="K549" s="338">
        <f t="shared" si="345"/>
        <v>0</v>
      </c>
      <c r="L549" s="329">
        <f t="shared" si="339"/>
        <v>0</v>
      </c>
      <c r="M549" s="338">
        <f t="shared" si="346"/>
        <v>0</v>
      </c>
      <c r="N549" s="329">
        <f t="shared" si="340"/>
        <v>0</v>
      </c>
      <c r="O549" s="338">
        <f t="shared" si="347"/>
        <v>0</v>
      </c>
      <c r="P549" s="329">
        <f t="shared" si="341"/>
        <v>0</v>
      </c>
      <c r="Q549" s="338">
        <f t="shared" si="348"/>
        <v>0</v>
      </c>
      <c r="R549" s="329">
        <f t="shared" si="342"/>
        <v>0</v>
      </c>
      <c r="S549" s="338">
        <f t="shared" si="349"/>
        <v>0</v>
      </c>
      <c r="T549" s="329">
        <f t="shared" si="343"/>
        <v>0</v>
      </c>
      <c r="U549" s="338">
        <f t="shared" si="350"/>
        <v>0</v>
      </c>
      <c r="V549" s="329">
        <f t="shared" si="344"/>
        <v>0</v>
      </c>
      <c r="W549" s="338">
        <f t="shared" si="351"/>
        <v>0</v>
      </c>
      <c r="X549" s="35"/>
      <c r="Y549" s="765"/>
      <c r="Z549" s="765"/>
      <c r="AA549" s="765"/>
      <c r="AB549" s="765"/>
    </row>
    <row r="550" spans="1:28" x14ac:dyDescent="0.25">
      <c r="A550" s="335">
        <f>A549+1</f>
        <v>44223</v>
      </c>
      <c r="B550" s="49">
        <f t="shared" si="352"/>
        <v>0</v>
      </c>
      <c r="C550" s="338">
        <f t="shared" si="355"/>
        <v>61000000</v>
      </c>
      <c r="D550" s="329">
        <f t="shared" si="353"/>
        <v>0</v>
      </c>
      <c r="E550" s="338">
        <f t="shared" si="356"/>
        <v>2553546.0006717108</v>
      </c>
      <c r="F550" s="329">
        <f t="shared" si="354"/>
        <v>0</v>
      </c>
      <c r="G550" s="338">
        <f t="shared" si="357"/>
        <v>37000000</v>
      </c>
      <c r="H550" s="329">
        <f t="shared" si="337"/>
        <v>0</v>
      </c>
      <c r="I550" s="338">
        <f t="shared" si="358"/>
        <v>15721906</v>
      </c>
      <c r="J550" s="329">
        <f t="shared" si="338"/>
        <v>0</v>
      </c>
      <c r="K550" s="338">
        <f t="shared" si="345"/>
        <v>0</v>
      </c>
      <c r="L550" s="329">
        <f t="shared" si="339"/>
        <v>0</v>
      </c>
      <c r="M550" s="338">
        <f t="shared" si="346"/>
        <v>0</v>
      </c>
      <c r="N550" s="329">
        <f t="shared" si="340"/>
        <v>0</v>
      </c>
      <c r="O550" s="338">
        <f t="shared" si="347"/>
        <v>0</v>
      </c>
      <c r="P550" s="329">
        <f t="shared" si="341"/>
        <v>0</v>
      </c>
      <c r="Q550" s="338">
        <f t="shared" si="348"/>
        <v>0</v>
      </c>
      <c r="R550" s="329">
        <f t="shared" si="342"/>
        <v>0</v>
      </c>
      <c r="S550" s="338">
        <f t="shared" si="349"/>
        <v>0</v>
      </c>
      <c r="T550" s="329">
        <f t="shared" si="343"/>
        <v>0</v>
      </c>
      <c r="U550" s="338">
        <f t="shared" si="350"/>
        <v>0</v>
      </c>
      <c r="V550" s="329">
        <f t="shared" si="344"/>
        <v>0</v>
      </c>
      <c r="W550" s="338">
        <f t="shared" si="351"/>
        <v>0</v>
      </c>
      <c r="X550" s="35"/>
      <c r="Y550" s="765"/>
      <c r="Z550" s="765"/>
      <c r="AA550" s="765"/>
      <c r="AB550" s="765"/>
    </row>
    <row r="551" spans="1:28" x14ac:dyDescent="0.25">
      <c r="A551" s="335">
        <f>A550+1</f>
        <v>44224</v>
      </c>
      <c r="B551" s="49">
        <f t="shared" si="352"/>
        <v>0</v>
      </c>
      <c r="C551" s="338">
        <f t="shared" si="355"/>
        <v>61000000</v>
      </c>
      <c r="D551" s="329">
        <f t="shared" si="353"/>
        <v>0</v>
      </c>
      <c r="E551" s="338">
        <f t="shared" si="356"/>
        <v>2553546.0006717108</v>
      </c>
      <c r="F551" s="329">
        <f t="shared" si="354"/>
        <v>0</v>
      </c>
      <c r="G551" s="338">
        <f t="shared" si="357"/>
        <v>37000000</v>
      </c>
      <c r="H551" s="329">
        <f t="shared" si="337"/>
        <v>0</v>
      </c>
      <c r="I551" s="338">
        <f t="shared" si="358"/>
        <v>15721906</v>
      </c>
      <c r="J551" s="329">
        <f t="shared" si="338"/>
        <v>0</v>
      </c>
      <c r="K551" s="338">
        <f t="shared" si="345"/>
        <v>0</v>
      </c>
      <c r="L551" s="329">
        <f t="shared" si="339"/>
        <v>0</v>
      </c>
      <c r="M551" s="338">
        <f t="shared" si="346"/>
        <v>0</v>
      </c>
      <c r="N551" s="329">
        <f t="shared" si="340"/>
        <v>0</v>
      </c>
      <c r="O551" s="338">
        <f t="shared" si="347"/>
        <v>0</v>
      </c>
      <c r="P551" s="329">
        <f t="shared" si="341"/>
        <v>0</v>
      </c>
      <c r="Q551" s="338">
        <f t="shared" si="348"/>
        <v>0</v>
      </c>
      <c r="R551" s="329">
        <f t="shared" si="342"/>
        <v>0</v>
      </c>
      <c r="S551" s="338">
        <f t="shared" si="349"/>
        <v>0</v>
      </c>
      <c r="T551" s="329">
        <f t="shared" si="343"/>
        <v>0</v>
      </c>
      <c r="U551" s="338">
        <f t="shared" si="350"/>
        <v>0</v>
      </c>
      <c r="V551" s="329">
        <f t="shared" si="344"/>
        <v>0</v>
      </c>
      <c r="W551" s="338">
        <f t="shared" si="351"/>
        <v>0</v>
      </c>
      <c r="X551" s="35"/>
      <c r="Y551" s="765"/>
      <c r="Z551" s="765"/>
      <c r="AA551" s="765"/>
      <c r="AB551" s="765"/>
    </row>
    <row r="552" spans="1:28" x14ac:dyDescent="0.25">
      <c r="A552" s="335">
        <f>A551+1</f>
        <v>44225</v>
      </c>
      <c r="B552" s="49">
        <f t="shared" si="352"/>
        <v>0</v>
      </c>
      <c r="C552" s="338">
        <f t="shared" si="355"/>
        <v>61000000</v>
      </c>
      <c r="D552" s="329">
        <f t="shared" si="353"/>
        <v>0</v>
      </c>
      <c r="E552" s="338">
        <f t="shared" si="356"/>
        <v>2553546.0006717108</v>
      </c>
      <c r="F552" s="329">
        <f t="shared" si="354"/>
        <v>0</v>
      </c>
      <c r="G552" s="338">
        <f t="shared" si="357"/>
        <v>37000000</v>
      </c>
      <c r="H552" s="329">
        <f t="shared" si="337"/>
        <v>0</v>
      </c>
      <c r="I552" s="338">
        <f t="shared" si="358"/>
        <v>15721906</v>
      </c>
      <c r="J552" s="329">
        <f t="shared" si="338"/>
        <v>0</v>
      </c>
      <c r="K552" s="338">
        <f t="shared" si="345"/>
        <v>0</v>
      </c>
      <c r="L552" s="329">
        <f t="shared" si="339"/>
        <v>0</v>
      </c>
      <c r="M552" s="338">
        <f t="shared" si="346"/>
        <v>0</v>
      </c>
      <c r="N552" s="329">
        <f t="shared" si="340"/>
        <v>0</v>
      </c>
      <c r="O552" s="338">
        <f t="shared" si="347"/>
        <v>0</v>
      </c>
      <c r="P552" s="329">
        <f t="shared" si="341"/>
        <v>0</v>
      </c>
      <c r="Q552" s="338">
        <f t="shared" si="348"/>
        <v>0</v>
      </c>
      <c r="R552" s="329">
        <f t="shared" si="342"/>
        <v>0</v>
      </c>
      <c r="S552" s="338">
        <f t="shared" si="349"/>
        <v>0</v>
      </c>
      <c r="T552" s="329">
        <f t="shared" si="343"/>
        <v>0</v>
      </c>
      <c r="U552" s="338">
        <f t="shared" si="350"/>
        <v>0</v>
      </c>
      <c r="V552" s="329">
        <f t="shared" si="344"/>
        <v>0</v>
      </c>
      <c r="W552" s="338">
        <f t="shared" si="351"/>
        <v>0</v>
      </c>
      <c r="X552" s="35"/>
      <c r="Y552" s="765"/>
      <c r="Z552" s="765"/>
      <c r="AA552" s="765"/>
      <c r="AB552" s="765"/>
    </row>
    <row r="553" spans="1:28" x14ac:dyDescent="0.25">
      <c r="A553" s="336">
        <f>A552+3</f>
        <v>44228</v>
      </c>
      <c r="B553" s="49">
        <f t="shared" si="352"/>
        <v>0</v>
      </c>
      <c r="C553" s="338">
        <f t="shared" si="355"/>
        <v>61000000</v>
      </c>
      <c r="D553" s="329">
        <f t="shared" si="353"/>
        <v>0</v>
      </c>
      <c r="E553" s="338">
        <f t="shared" si="356"/>
        <v>2553546.0006717108</v>
      </c>
      <c r="F553" s="329">
        <f t="shared" si="354"/>
        <v>0</v>
      </c>
      <c r="G553" s="338">
        <f t="shared" si="357"/>
        <v>37000000</v>
      </c>
      <c r="H553" s="329">
        <f t="shared" si="337"/>
        <v>0</v>
      </c>
      <c r="I553" s="338">
        <f t="shared" si="358"/>
        <v>15721906</v>
      </c>
      <c r="J553" s="329">
        <f t="shared" si="338"/>
        <v>0</v>
      </c>
      <c r="K553" s="338">
        <f t="shared" si="345"/>
        <v>0</v>
      </c>
      <c r="L553" s="329">
        <f t="shared" si="339"/>
        <v>0</v>
      </c>
      <c r="M553" s="338">
        <f t="shared" si="346"/>
        <v>0</v>
      </c>
      <c r="N553" s="329">
        <f t="shared" si="340"/>
        <v>0</v>
      </c>
      <c r="O553" s="338">
        <f t="shared" si="347"/>
        <v>0</v>
      </c>
      <c r="P553" s="329">
        <f t="shared" si="341"/>
        <v>0</v>
      </c>
      <c r="Q553" s="338">
        <f t="shared" si="348"/>
        <v>0</v>
      </c>
      <c r="R553" s="329">
        <f t="shared" si="342"/>
        <v>0</v>
      </c>
      <c r="S553" s="338">
        <f t="shared" si="349"/>
        <v>0</v>
      </c>
      <c r="T553" s="329">
        <f t="shared" si="343"/>
        <v>0</v>
      </c>
      <c r="U553" s="338">
        <f t="shared" si="350"/>
        <v>0</v>
      </c>
      <c r="V553" s="329">
        <f t="shared" si="344"/>
        <v>0</v>
      </c>
      <c r="W553" s="338">
        <f t="shared" si="351"/>
        <v>0</v>
      </c>
      <c r="X553" s="35"/>
      <c r="Y553" s="765"/>
      <c r="Z553" s="765"/>
      <c r="AA553" s="765"/>
      <c r="AB553" s="765"/>
    </row>
    <row r="554" spans="1:28" x14ac:dyDescent="0.25">
      <c r="A554" s="335">
        <f>A553+1</f>
        <v>44229</v>
      </c>
      <c r="B554" s="49">
        <f t="shared" si="352"/>
        <v>0</v>
      </c>
      <c r="C554" s="338">
        <f t="shared" si="355"/>
        <v>61000000</v>
      </c>
      <c r="D554" s="329">
        <f t="shared" si="353"/>
        <v>0</v>
      </c>
      <c r="E554" s="338">
        <f t="shared" si="356"/>
        <v>2553546.0006717108</v>
      </c>
      <c r="F554" s="329">
        <f t="shared" si="354"/>
        <v>0</v>
      </c>
      <c r="G554" s="338">
        <f t="shared" si="357"/>
        <v>37000000</v>
      </c>
      <c r="H554" s="329">
        <f t="shared" si="337"/>
        <v>0</v>
      </c>
      <c r="I554" s="338">
        <f t="shared" si="358"/>
        <v>15721906</v>
      </c>
      <c r="J554" s="329">
        <f t="shared" si="338"/>
        <v>0</v>
      </c>
      <c r="K554" s="338">
        <f t="shared" si="345"/>
        <v>0</v>
      </c>
      <c r="L554" s="329">
        <f t="shared" si="339"/>
        <v>0</v>
      </c>
      <c r="M554" s="338">
        <f t="shared" si="346"/>
        <v>0</v>
      </c>
      <c r="N554" s="329">
        <f t="shared" si="340"/>
        <v>0</v>
      </c>
      <c r="O554" s="338">
        <f t="shared" si="347"/>
        <v>0</v>
      </c>
      <c r="P554" s="329">
        <f t="shared" si="341"/>
        <v>0</v>
      </c>
      <c r="Q554" s="338">
        <f t="shared" si="348"/>
        <v>0</v>
      </c>
      <c r="R554" s="329">
        <f t="shared" si="342"/>
        <v>0</v>
      </c>
      <c r="S554" s="338">
        <f t="shared" si="349"/>
        <v>0</v>
      </c>
      <c r="T554" s="329">
        <f t="shared" si="343"/>
        <v>0</v>
      </c>
      <c r="U554" s="338">
        <f t="shared" si="350"/>
        <v>0</v>
      </c>
      <c r="V554" s="329">
        <f t="shared" si="344"/>
        <v>0</v>
      </c>
      <c r="W554" s="338">
        <f t="shared" si="351"/>
        <v>0</v>
      </c>
      <c r="X554" s="35"/>
      <c r="Y554" s="765"/>
      <c r="Z554" s="765"/>
      <c r="AA554" s="765"/>
      <c r="AB554" s="765"/>
    </row>
    <row r="555" spans="1:28" x14ac:dyDescent="0.25">
      <c r="A555" s="335">
        <f>A554+1</f>
        <v>44230</v>
      </c>
      <c r="B555" s="49">
        <f t="shared" si="352"/>
        <v>0</v>
      </c>
      <c r="C555" s="338">
        <f t="shared" si="355"/>
        <v>61000000</v>
      </c>
      <c r="D555" s="329">
        <f t="shared" si="353"/>
        <v>0</v>
      </c>
      <c r="E555" s="338">
        <f t="shared" si="356"/>
        <v>2553546.0006717108</v>
      </c>
      <c r="F555" s="329">
        <f t="shared" si="354"/>
        <v>0</v>
      </c>
      <c r="G555" s="338">
        <f t="shared" si="357"/>
        <v>37000000</v>
      </c>
      <c r="H555" s="329">
        <f t="shared" ref="H555:H618" si="359">SUMIFS(Usage_Main,CF_Dates,$A555,CF_Descriptions,"XS2091648928 Change")</f>
        <v>0</v>
      </c>
      <c r="I555" s="338">
        <f t="shared" si="358"/>
        <v>15721906</v>
      </c>
      <c r="J555" s="329">
        <f t="shared" ref="J555:J618" si="360">SUMIFS(Usage_Main,CF_Dates,$A555,CF_Descriptions,"Southern Apple Change")</f>
        <v>0</v>
      </c>
      <c r="K555" s="338">
        <f t="shared" si="345"/>
        <v>0</v>
      </c>
      <c r="L555" s="329">
        <f t="shared" ref="L555:L618" si="361">SUMIFS(Usage_Main,CF_Dates,$A555,CF_Descriptions,"ALMONDUSD Change")</f>
        <v>0</v>
      </c>
      <c r="M555" s="338">
        <f t="shared" si="346"/>
        <v>0</v>
      </c>
      <c r="N555" s="329">
        <f t="shared" ref="N555:N618" si="362">SUMIFS(Usage_Main,CF_Dates,$A555,CF_Descriptions,"ALMONDEUR Change")</f>
        <v>0</v>
      </c>
      <c r="O555" s="338">
        <f t="shared" si="347"/>
        <v>0</v>
      </c>
      <c r="P555" s="329">
        <f t="shared" ref="P555:P618" si="363">SUMIFS(Usage_Main,CF_Dates,$A555,CF_Descriptions,"HEXZETA Change")</f>
        <v>0</v>
      </c>
      <c r="Q555" s="338">
        <f t="shared" si="348"/>
        <v>0</v>
      </c>
      <c r="R555" s="329">
        <f t="shared" ref="R555:R618" si="364">SUMIFS(Usage_Main,CF_Dates,$A555,CF_Descriptions,"MNTNCHERRY Change")</f>
        <v>0</v>
      </c>
      <c r="S555" s="338">
        <f t="shared" si="349"/>
        <v>0</v>
      </c>
      <c r="T555" s="329">
        <f t="shared" ref="T555:T618" si="365">SUMIFS(Usage_Main,CF_Dates,$A555,CF_Descriptions,"OLIVEUSD Change")</f>
        <v>0</v>
      </c>
      <c r="U555" s="338">
        <f t="shared" si="350"/>
        <v>0</v>
      </c>
      <c r="V555" s="329">
        <f t="shared" ref="V555:V618" si="366">SUMIFS(Usage_Main,CF_Dates,$A555,CF_Descriptions,"OLIVEEUR Change")</f>
        <v>0</v>
      </c>
      <c r="W555" s="338">
        <f t="shared" si="351"/>
        <v>0</v>
      </c>
      <c r="X555" s="35"/>
      <c r="Y555" s="765"/>
      <c r="Z555" s="765"/>
      <c r="AA555" s="765"/>
      <c r="AB555" s="765"/>
    </row>
    <row r="556" spans="1:28" x14ac:dyDescent="0.25">
      <c r="A556" s="335">
        <f>A555+1</f>
        <v>44231</v>
      </c>
      <c r="B556" s="49">
        <f t="shared" si="352"/>
        <v>0</v>
      </c>
      <c r="C556" s="338">
        <f t="shared" si="355"/>
        <v>61000000</v>
      </c>
      <c r="D556" s="329">
        <f t="shared" si="353"/>
        <v>0</v>
      </c>
      <c r="E556" s="338">
        <f t="shared" si="356"/>
        <v>2553546.0006717108</v>
      </c>
      <c r="F556" s="329">
        <f t="shared" si="354"/>
        <v>0</v>
      </c>
      <c r="G556" s="338">
        <f t="shared" si="357"/>
        <v>37000000</v>
      </c>
      <c r="H556" s="329">
        <f t="shared" si="359"/>
        <v>0</v>
      </c>
      <c r="I556" s="338">
        <f t="shared" si="358"/>
        <v>15721906</v>
      </c>
      <c r="J556" s="329">
        <f t="shared" si="360"/>
        <v>0</v>
      </c>
      <c r="K556" s="338">
        <f t="shared" ref="K556:K619" si="367">J556+K555</f>
        <v>0</v>
      </c>
      <c r="L556" s="329">
        <f t="shared" si="361"/>
        <v>0</v>
      </c>
      <c r="M556" s="338">
        <f t="shared" ref="M556:M619" si="368">L556+M555</f>
        <v>0</v>
      </c>
      <c r="N556" s="329">
        <f t="shared" si="362"/>
        <v>0</v>
      </c>
      <c r="O556" s="338">
        <f t="shared" ref="O556:O619" si="369">N556+O555</f>
        <v>0</v>
      </c>
      <c r="P556" s="329">
        <f t="shared" si="363"/>
        <v>0</v>
      </c>
      <c r="Q556" s="338">
        <f t="shared" ref="Q556:Q619" si="370">P556+Q555</f>
        <v>0</v>
      </c>
      <c r="R556" s="329">
        <f t="shared" si="364"/>
        <v>0</v>
      </c>
      <c r="S556" s="338">
        <f t="shared" ref="S556:S619" si="371">R556+S555</f>
        <v>0</v>
      </c>
      <c r="T556" s="329">
        <f t="shared" si="365"/>
        <v>0</v>
      </c>
      <c r="U556" s="338">
        <f t="shared" ref="U556:U619" si="372">T556+U555</f>
        <v>0</v>
      </c>
      <c r="V556" s="329">
        <f t="shared" si="366"/>
        <v>0</v>
      </c>
      <c r="W556" s="338">
        <f t="shared" ref="W556:W619" si="373">V556+W555</f>
        <v>0</v>
      </c>
      <c r="X556" s="35"/>
      <c r="Y556" s="765"/>
      <c r="Z556" s="765"/>
      <c r="AA556" s="765"/>
      <c r="AB556" s="765"/>
    </row>
    <row r="557" spans="1:28" x14ac:dyDescent="0.25">
      <c r="A557" s="335">
        <f>A556+1</f>
        <v>44232</v>
      </c>
      <c r="B557" s="49">
        <f t="shared" si="352"/>
        <v>0</v>
      </c>
      <c r="C557" s="338">
        <f t="shared" si="355"/>
        <v>61000000</v>
      </c>
      <c r="D557" s="329">
        <f t="shared" si="353"/>
        <v>0</v>
      </c>
      <c r="E557" s="338">
        <f t="shared" si="356"/>
        <v>2553546.0006717108</v>
      </c>
      <c r="F557" s="329">
        <f t="shared" si="354"/>
        <v>0</v>
      </c>
      <c r="G557" s="338">
        <f t="shared" si="357"/>
        <v>37000000</v>
      </c>
      <c r="H557" s="329">
        <f t="shared" si="359"/>
        <v>0</v>
      </c>
      <c r="I557" s="338">
        <f t="shared" si="358"/>
        <v>15721906</v>
      </c>
      <c r="J557" s="329">
        <f t="shared" si="360"/>
        <v>0</v>
      </c>
      <c r="K557" s="338">
        <f t="shared" si="367"/>
        <v>0</v>
      </c>
      <c r="L557" s="329">
        <f t="shared" si="361"/>
        <v>0</v>
      </c>
      <c r="M557" s="338">
        <f t="shared" si="368"/>
        <v>0</v>
      </c>
      <c r="N557" s="329">
        <f t="shared" si="362"/>
        <v>0</v>
      </c>
      <c r="O557" s="338">
        <f t="shared" si="369"/>
        <v>0</v>
      </c>
      <c r="P557" s="329">
        <f t="shared" si="363"/>
        <v>0</v>
      </c>
      <c r="Q557" s="338">
        <f t="shared" si="370"/>
        <v>0</v>
      </c>
      <c r="R557" s="329">
        <f t="shared" si="364"/>
        <v>0</v>
      </c>
      <c r="S557" s="338">
        <f t="shared" si="371"/>
        <v>0</v>
      </c>
      <c r="T557" s="329">
        <f t="shared" si="365"/>
        <v>0</v>
      </c>
      <c r="U557" s="338">
        <f t="shared" si="372"/>
        <v>0</v>
      </c>
      <c r="V557" s="329">
        <f t="shared" si="366"/>
        <v>0</v>
      </c>
      <c r="W557" s="338">
        <f t="shared" si="373"/>
        <v>0</v>
      </c>
      <c r="X557" s="35"/>
      <c r="Y557" s="765"/>
      <c r="Z557" s="765"/>
      <c r="AA557" s="765"/>
      <c r="AB557" s="765"/>
    </row>
    <row r="558" spans="1:28" x14ac:dyDescent="0.25">
      <c r="A558" s="336">
        <f>A557+3</f>
        <v>44235</v>
      </c>
      <c r="B558" s="49">
        <f t="shared" si="352"/>
        <v>0</v>
      </c>
      <c r="C558" s="338">
        <f t="shared" si="355"/>
        <v>61000000</v>
      </c>
      <c r="D558" s="329">
        <f t="shared" si="353"/>
        <v>0</v>
      </c>
      <c r="E558" s="338">
        <f t="shared" si="356"/>
        <v>2553546.0006717108</v>
      </c>
      <c r="F558" s="329">
        <f t="shared" si="354"/>
        <v>0</v>
      </c>
      <c r="G558" s="338">
        <f t="shared" si="357"/>
        <v>37000000</v>
      </c>
      <c r="H558" s="329">
        <f t="shared" si="359"/>
        <v>0</v>
      </c>
      <c r="I558" s="338">
        <f t="shared" si="358"/>
        <v>15721906</v>
      </c>
      <c r="J558" s="329">
        <f t="shared" si="360"/>
        <v>0</v>
      </c>
      <c r="K558" s="338">
        <f t="shared" si="367"/>
        <v>0</v>
      </c>
      <c r="L558" s="329">
        <f t="shared" si="361"/>
        <v>0</v>
      </c>
      <c r="M558" s="338">
        <f t="shared" si="368"/>
        <v>0</v>
      </c>
      <c r="N558" s="329">
        <f t="shared" si="362"/>
        <v>0</v>
      </c>
      <c r="O558" s="338">
        <f t="shared" si="369"/>
        <v>0</v>
      </c>
      <c r="P558" s="329">
        <f t="shared" si="363"/>
        <v>0</v>
      </c>
      <c r="Q558" s="338">
        <f t="shared" si="370"/>
        <v>0</v>
      </c>
      <c r="R558" s="329">
        <f t="shared" si="364"/>
        <v>0</v>
      </c>
      <c r="S558" s="338">
        <f t="shared" si="371"/>
        <v>0</v>
      </c>
      <c r="T558" s="329">
        <f t="shared" si="365"/>
        <v>0</v>
      </c>
      <c r="U558" s="338">
        <f t="shared" si="372"/>
        <v>0</v>
      </c>
      <c r="V558" s="329">
        <f t="shared" si="366"/>
        <v>0</v>
      </c>
      <c r="W558" s="338">
        <f t="shared" si="373"/>
        <v>0</v>
      </c>
      <c r="X558" s="35"/>
      <c r="Y558" s="765"/>
      <c r="Z558" s="765"/>
      <c r="AA558" s="765"/>
      <c r="AB558" s="765"/>
    </row>
    <row r="559" spans="1:28" x14ac:dyDescent="0.25">
      <c r="A559" s="335">
        <f>A558+1</f>
        <v>44236</v>
      </c>
      <c r="B559" s="49">
        <f t="shared" si="352"/>
        <v>0</v>
      </c>
      <c r="C559" s="338">
        <f t="shared" si="355"/>
        <v>61000000</v>
      </c>
      <c r="D559" s="329">
        <f t="shared" si="353"/>
        <v>0</v>
      </c>
      <c r="E559" s="338">
        <f t="shared" si="356"/>
        <v>2553546.0006717108</v>
      </c>
      <c r="F559" s="329">
        <f t="shared" si="354"/>
        <v>0</v>
      </c>
      <c r="G559" s="338">
        <f t="shared" si="357"/>
        <v>37000000</v>
      </c>
      <c r="H559" s="329">
        <f t="shared" si="359"/>
        <v>0</v>
      </c>
      <c r="I559" s="338">
        <f t="shared" si="358"/>
        <v>15721906</v>
      </c>
      <c r="J559" s="329">
        <f t="shared" si="360"/>
        <v>0</v>
      </c>
      <c r="K559" s="338">
        <f t="shared" si="367"/>
        <v>0</v>
      </c>
      <c r="L559" s="329">
        <f t="shared" si="361"/>
        <v>0</v>
      </c>
      <c r="M559" s="338">
        <f t="shared" si="368"/>
        <v>0</v>
      </c>
      <c r="N559" s="329">
        <f t="shared" si="362"/>
        <v>0</v>
      </c>
      <c r="O559" s="338">
        <f t="shared" si="369"/>
        <v>0</v>
      </c>
      <c r="P559" s="329">
        <f t="shared" si="363"/>
        <v>0</v>
      </c>
      <c r="Q559" s="338">
        <f t="shared" si="370"/>
        <v>0</v>
      </c>
      <c r="R559" s="329">
        <f t="shared" si="364"/>
        <v>0</v>
      </c>
      <c r="S559" s="338">
        <f t="shared" si="371"/>
        <v>0</v>
      </c>
      <c r="T559" s="329">
        <f t="shared" si="365"/>
        <v>0</v>
      </c>
      <c r="U559" s="338">
        <f t="shared" si="372"/>
        <v>0</v>
      </c>
      <c r="V559" s="329">
        <f t="shared" si="366"/>
        <v>0</v>
      </c>
      <c r="W559" s="338">
        <f t="shared" si="373"/>
        <v>0</v>
      </c>
      <c r="X559" s="35"/>
      <c r="Y559" s="765"/>
      <c r="Z559" s="765"/>
      <c r="AA559" s="765"/>
      <c r="AB559" s="765"/>
    </row>
    <row r="560" spans="1:28" x14ac:dyDescent="0.25">
      <c r="A560" s="335">
        <f>A559+1</f>
        <v>44237</v>
      </c>
      <c r="B560" s="49">
        <f t="shared" si="352"/>
        <v>0</v>
      </c>
      <c r="C560" s="338">
        <f t="shared" si="355"/>
        <v>61000000</v>
      </c>
      <c r="D560" s="329">
        <f t="shared" si="353"/>
        <v>0</v>
      </c>
      <c r="E560" s="338">
        <f t="shared" si="356"/>
        <v>2553546.0006717108</v>
      </c>
      <c r="F560" s="329">
        <f t="shared" si="354"/>
        <v>0</v>
      </c>
      <c r="G560" s="338">
        <f t="shared" si="357"/>
        <v>37000000</v>
      </c>
      <c r="H560" s="329">
        <f t="shared" si="359"/>
        <v>0</v>
      </c>
      <c r="I560" s="338">
        <f t="shared" si="358"/>
        <v>15721906</v>
      </c>
      <c r="J560" s="329">
        <f t="shared" si="360"/>
        <v>0</v>
      </c>
      <c r="K560" s="338">
        <f t="shared" si="367"/>
        <v>0</v>
      </c>
      <c r="L560" s="329">
        <f t="shared" si="361"/>
        <v>0</v>
      </c>
      <c r="M560" s="338">
        <f t="shared" si="368"/>
        <v>0</v>
      </c>
      <c r="N560" s="329">
        <f t="shared" si="362"/>
        <v>0</v>
      </c>
      <c r="O560" s="338">
        <f t="shared" si="369"/>
        <v>0</v>
      </c>
      <c r="P560" s="329">
        <f t="shared" si="363"/>
        <v>0</v>
      </c>
      <c r="Q560" s="338">
        <f t="shared" si="370"/>
        <v>0</v>
      </c>
      <c r="R560" s="329">
        <f t="shared" si="364"/>
        <v>0</v>
      </c>
      <c r="S560" s="338">
        <f t="shared" si="371"/>
        <v>0</v>
      </c>
      <c r="T560" s="329">
        <f t="shared" si="365"/>
        <v>0</v>
      </c>
      <c r="U560" s="338">
        <f t="shared" si="372"/>
        <v>0</v>
      </c>
      <c r="V560" s="329">
        <f t="shared" si="366"/>
        <v>0</v>
      </c>
      <c r="W560" s="338">
        <f t="shared" si="373"/>
        <v>0</v>
      </c>
      <c r="X560" s="35"/>
      <c r="Y560" s="765"/>
      <c r="Z560" s="765"/>
      <c r="AA560" s="765"/>
      <c r="AB560" s="765"/>
    </row>
    <row r="561" spans="1:28" x14ac:dyDescent="0.25">
      <c r="A561" s="335">
        <f>A560+1</f>
        <v>44238</v>
      </c>
      <c r="B561" s="49">
        <f t="shared" si="352"/>
        <v>0</v>
      </c>
      <c r="C561" s="338">
        <f t="shared" si="355"/>
        <v>61000000</v>
      </c>
      <c r="D561" s="329">
        <f t="shared" si="353"/>
        <v>0</v>
      </c>
      <c r="E561" s="338">
        <f t="shared" si="356"/>
        <v>2553546.0006717108</v>
      </c>
      <c r="F561" s="329">
        <f t="shared" si="354"/>
        <v>0</v>
      </c>
      <c r="G561" s="338">
        <f t="shared" si="357"/>
        <v>37000000</v>
      </c>
      <c r="H561" s="329">
        <f t="shared" si="359"/>
        <v>0</v>
      </c>
      <c r="I561" s="338">
        <f t="shared" si="358"/>
        <v>15721906</v>
      </c>
      <c r="J561" s="329">
        <f t="shared" si="360"/>
        <v>0</v>
      </c>
      <c r="K561" s="338">
        <f t="shared" si="367"/>
        <v>0</v>
      </c>
      <c r="L561" s="329">
        <f t="shared" si="361"/>
        <v>0</v>
      </c>
      <c r="M561" s="338">
        <f t="shared" si="368"/>
        <v>0</v>
      </c>
      <c r="N561" s="329">
        <f t="shared" si="362"/>
        <v>0</v>
      </c>
      <c r="O561" s="338">
        <f t="shared" si="369"/>
        <v>0</v>
      </c>
      <c r="P561" s="329">
        <f t="shared" si="363"/>
        <v>0</v>
      </c>
      <c r="Q561" s="338">
        <f t="shared" si="370"/>
        <v>0</v>
      </c>
      <c r="R561" s="329">
        <f t="shared" si="364"/>
        <v>0</v>
      </c>
      <c r="S561" s="338">
        <f t="shared" si="371"/>
        <v>0</v>
      </c>
      <c r="T561" s="329">
        <f t="shared" si="365"/>
        <v>0</v>
      </c>
      <c r="U561" s="338">
        <f t="shared" si="372"/>
        <v>0</v>
      </c>
      <c r="V561" s="329">
        <f t="shared" si="366"/>
        <v>0</v>
      </c>
      <c r="W561" s="338">
        <f t="shared" si="373"/>
        <v>0</v>
      </c>
      <c r="X561" s="35"/>
      <c r="Y561" s="765"/>
      <c r="Z561" s="765"/>
      <c r="AA561" s="765"/>
      <c r="AB561" s="765"/>
    </row>
    <row r="562" spans="1:28" x14ac:dyDescent="0.25">
      <c r="A562" s="335">
        <f>A561+1</f>
        <v>44239</v>
      </c>
      <c r="B562" s="49">
        <f t="shared" si="352"/>
        <v>0</v>
      </c>
      <c r="C562" s="338">
        <f t="shared" si="355"/>
        <v>61000000</v>
      </c>
      <c r="D562" s="329">
        <f t="shared" si="353"/>
        <v>0</v>
      </c>
      <c r="E562" s="338">
        <f t="shared" si="356"/>
        <v>2553546.0006717108</v>
      </c>
      <c r="F562" s="329">
        <f t="shared" si="354"/>
        <v>0</v>
      </c>
      <c r="G562" s="338">
        <f t="shared" si="357"/>
        <v>37000000</v>
      </c>
      <c r="H562" s="329">
        <f t="shared" si="359"/>
        <v>0</v>
      </c>
      <c r="I562" s="338">
        <f t="shared" si="358"/>
        <v>15721906</v>
      </c>
      <c r="J562" s="329">
        <f t="shared" si="360"/>
        <v>0</v>
      </c>
      <c r="K562" s="338">
        <f t="shared" si="367"/>
        <v>0</v>
      </c>
      <c r="L562" s="329">
        <f t="shared" si="361"/>
        <v>0</v>
      </c>
      <c r="M562" s="338">
        <f t="shared" si="368"/>
        <v>0</v>
      </c>
      <c r="N562" s="329">
        <f t="shared" si="362"/>
        <v>0</v>
      </c>
      <c r="O562" s="338">
        <f t="shared" si="369"/>
        <v>0</v>
      </c>
      <c r="P562" s="329">
        <f t="shared" si="363"/>
        <v>0</v>
      </c>
      <c r="Q562" s="338">
        <f t="shared" si="370"/>
        <v>0</v>
      </c>
      <c r="R562" s="329">
        <f t="shared" si="364"/>
        <v>0</v>
      </c>
      <c r="S562" s="338">
        <f t="shared" si="371"/>
        <v>0</v>
      </c>
      <c r="T562" s="329">
        <f t="shared" si="365"/>
        <v>0</v>
      </c>
      <c r="U562" s="338">
        <f t="shared" si="372"/>
        <v>0</v>
      </c>
      <c r="V562" s="329">
        <f t="shared" si="366"/>
        <v>0</v>
      </c>
      <c r="W562" s="338">
        <f t="shared" si="373"/>
        <v>0</v>
      </c>
      <c r="X562" s="35"/>
      <c r="Y562" s="765"/>
      <c r="Z562" s="765"/>
      <c r="AA562" s="765"/>
      <c r="AB562" s="765"/>
    </row>
    <row r="563" spans="1:28" x14ac:dyDescent="0.25">
      <c r="A563" s="336">
        <f>A562+4</f>
        <v>44243</v>
      </c>
      <c r="B563" s="49">
        <f t="shared" ref="B563:B626" si="374">SUMIFS(Usage_Main,CF_Dates,$A563,CF_Descriptions,"XS1951177309 Change")</f>
        <v>0</v>
      </c>
      <c r="C563" s="338">
        <f t="shared" si="355"/>
        <v>61000000</v>
      </c>
      <c r="D563" s="329">
        <f t="shared" ref="D563:D626" si="375">SUMIFS(Usage_Main,CF_Dates,$A563,CF_Descriptions,"SOSPRUCE1 Change")</f>
        <v>1700000</v>
      </c>
      <c r="E563" s="338">
        <f t="shared" si="356"/>
        <v>4253546.0006717108</v>
      </c>
      <c r="F563" s="329">
        <f t="shared" si="354"/>
        <v>0</v>
      </c>
      <c r="G563" s="338">
        <f t="shared" si="357"/>
        <v>37000000</v>
      </c>
      <c r="H563" s="329">
        <f t="shared" si="359"/>
        <v>0</v>
      </c>
      <c r="I563" s="338">
        <f t="shared" si="358"/>
        <v>15721906</v>
      </c>
      <c r="J563" s="329">
        <f t="shared" si="360"/>
        <v>0</v>
      </c>
      <c r="K563" s="338">
        <f t="shared" si="367"/>
        <v>0</v>
      </c>
      <c r="L563" s="329">
        <f t="shared" si="361"/>
        <v>0</v>
      </c>
      <c r="M563" s="338">
        <f t="shared" si="368"/>
        <v>0</v>
      </c>
      <c r="N563" s="329">
        <f t="shared" si="362"/>
        <v>0</v>
      </c>
      <c r="O563" s="338">
        <f t="shared" si="369"/>
        <v>0</v>
      </c>
      <c r="P563" s="329">
        <f t="shared" si="363"/>
        <v>0</v>
      </c>
      <c r="Q563" s="338">
        <f t="shared" si="370"/>
        <v>0</v>
      </c>
      <c r="R563" s="329">
        <f t="shared" si="364"/>
        <v>0</v>
      </c>
      <c r="S563" s="338">
        <f t="shared" si="371"/>
        <v>0</v>
      </c>
      <c r="T563" s="329">
        <f t="shared" si="365"/>
        <v>0</v>
      </c>
      <c r="U563" s="338">
        <f t="shared" si="372"/>
        <v>0</v>
      </c>
      <c r="V563" s="329">
        <f t="shared" si="366"/>
        <v>0</v>
      </c>
      <c r="W563" s="338">
        <f t="shared" si="373"/>
        <v>0</v>
      </c>
      <c r="X563" s="35"/>
      <c r="Y563" s="765"/>
      <c r="Z563" s="765"/>
      <c r="AA563" s="765"/>
      <c r="AB563" s="765"/>
    </row>
    <row r="564" spans="1:28" x14ac:dyDescent="0.25">
      <c r="A564" s="335">
        <f>A563+1</f>
        <v>44244</v>
      </c>
      <c r="B564" s="49">
        <f t="shared" si="374"/>
        <v>0</v>
      </c>
      <c r="C564" s="338">
        <f t="shared" si="355"/>
        <v>61000000</v>
      </c>
      <c r="D564" s="329">
        <f t="shared" si="375"/>
        <v>0</v>
      </c>
      <c r="E564" s="338">
        <f t="shared" si="356"/>
        <v>4253546.0006717108</v>
      </c>
      <c r="F564" s="329">
        <f t="shared" si="354"/>
        <v>0</v>
      </c>
      <c r="G564" s="338">
        <f t="shared" si="357"/>
        <v>37000000</v>
      </c>
      <c r="H564" s="329">
        <f t="shared" si="359"/>
        <v>0</v>
      </c>
      <c r="I564" s="338">
        <f t="shared" si="358"/>
        <v>15721906</v>
      </c>
      <c r="J564" s="329">
        <f t="shared" si="360"/>
        <v>0</v>
      </c>
      <c r="K564" s="338">
        <f t="shared" si="367"/>
        <v>0</v>
      </c>
      <c r="L564" s="329">
        <f t="shared" si="361"/>
        <v>0</v>
      </c>
      <c r="M564" s="338">
        <f t="shared" si="368"/>
        <v>0</v>
      </c>
      <c r="N564" s="329">
        <f t="shared" si="362"/>
        <v>0</v>
      </c>
      <c r="O564" s="338">
        <f t="shared" si="369"/>
        <v>0</v>
      </c>
      <c r="P564" s="329">
        <f t="shared" si="363"/>
        <v>0</v>
      </c>
      <c r="Q564" s="338">
        <f t="shared" si="370"/>
        <v>0</v>
      </c>
      <c r="R564" s="329">
        <f t="shared" si="364"/>
        <v>0</v>
      </c>
      <c r="S564" s="338">
        <f t="shared" si="371"/>
        <v>0</v>
      </c>
      <c r="T564" s="329">
        <f t="shared" si="365"/>
        <v>0</v>
      </c>
      <c r="U564" s="338">
        <f t="shared" si="372"/>
        <v>0</v>
      </c>
      <c r="V564" s="329">
        <f t="shared" si="366"/>
        <v>0</v>
      </c>
      <c r="W564" s="338">
        <f t="shared" si="373"/>
        <v>0</v>
      </c>
      <c r="X564" s="35"/>
      <c r="Y564" s="765"/>
      <c r="Z564" s="765"/>
      <c r="AA564" s="765"/>
      <c r="AB564" s="765"/>
    </row>
    <row r="565" spans="1:28" x14ac:dyDescent="0.25">
      <c r="A565" s="335">
        <f>A564+1</f>
        <v>44245</v>
      </c>
      <c r="B565" s="49">
        <f t="shared" si="374"/>
        <v>0</v>
      </c>
      <c r="C565" s="338">
        <f t="shared" si="355"/>
        <v>61000000</v>
      </c>
      <c r="D565" s="329">
        <f t="shared" si="375"/>
        <v>0</v>
      </c>
      <c r="E565" s="338">
        <f t="shared" si="356"/>
        <v>4253546.0006717108</v>
      </c>
      <c r="F565" s="329">
        <f t="shared" si="354"/>
        <v>0</v>
      </c>
      <c r="G565" s="338">
        <f t="shared" si="357"/>
        <v>37000000</v>
      </c>
      <c r="H565" s="329">
        <f t="shared" si="359"/>
        <v>0</v>
      </c>
      <c r="I565" s="338">
        <f t="shared" si="358"/>
        <v>15721906</v>
      </c>
      <c r="J565" s="329">
        <f t="shared" si="360"/>
        <v>0</v>
      </c>
      <c r="K565" s="338">
        <f t="shared" si="367"/>
        <v>0</v>
      </c>
      <c r="L565" s="329">
        <f t="shared" si="361"/>
        <v>0</v>
      </c>
      <c r="M565" s="338">
        <f t="shared" si="368"/>
        <v>0</v>
      </c>
      <c r="N565" s="329">
        <f t="shared" si="362"/>
        <v>0</v>
      </c>
      <c r="O565" s="338">
        <f t="shared" si="369"/>
        <v>0</v>
      </c>
      <c r="P565" s="329">
        <f t="shared" si="363"/>
        <v>0</v>
      </c>
      <c r="Q565" s="338">
        <f t="shared" si="370"/>
        <v>0</v>
      </c>
      <c r="R565" s="329">
        <f t="shared" si="364"/>
        <v>0</v>
      </c>
      <c r="S565" s="338">
        <f t="shared" si="371"/>
        <v>0</v>
      </c>
      <c r="T565" s="329">
        <f t="shared" si="365"/>
        <v>0</v>
      </c>
      <c r="U565" s="338">
        <f t="shared" si="372"/>
        <v>0</v>
      </c>
      <c r="V565" s="329">
        <f t="shared" si="366"/>
        <v>0</v>
      </c>
      <c r="W565" s="338">
        <f t="shared" si="373"/>
        <v>0</v>
      </c>
      <c r="X565" s="35"/>
      <c r="Y565" s="765"/>
      <c r="Z565" s="765"/>
      <c r="AA565" s="765"/>
      <c r="AB565" s="765"/>
    </row>
    <row r="566" spans="1:28" x14ac:dyDescent="0.25">
      <c r="A566" s="335">
        <f>A565+1</f>
        <v>44246</v>
      </c>
      <c r="B566" s="49">
        <f t="shared" si="374"/>
        <v>0</v>
      </c>
      <c r="C566" s="338">
        <f t="shared" si="355"/>
        <v>61000000</v>
      </c>
      <c r="D566" s="329">
        <f t="shared" si="375"/>
        <v>-946252</v>
      </c>
      <c r="E566" s="338">
        <f t="shared" si="356"/>
        <v>3307294.0006717108</v>
      </c>
      <c r="F566" s="329">
        <f t="shared" si="354"/>
        <v>0</v>
      </c>
      <c r="G566" s="338">
        <f t="shared" si="357"/>
        <v>37000000</v>
      </c>
      <c r="H566" s="329">
        <f t="shared" si="359"/>
        <v>0</v>
      </c>
      <c r="I566" s="338">
        <f t="shared" si="358"/>
        <v>15721906</v>
      </c>
      <c r="J566" s="329">
        <f t="shared" si="360"/>
        <v>0</v>
      </c>
      <c r="K566" s="338">
        <f t="shared" si="367"/>
        <v>0</v>
      </c>
      <c r="L566" s="329">
        <f t="shared" si="361"/>
        <v>0</v>
      </c>
      <c r="M566" s="338">
        <f t="shared" si="368"/>
        <v>0</v>
      </c>
      <c r="N566" s="329">
        <f t="shared" si="362"/>
        <v>0</v>
      </c>
      <c r="O566" s="338">
        <f t="shared" si="369"/>
        <v>0</v>
      </c>
      <c r="P566" s="329">
        <f t="shared" si="363"/>
        <v>0</v>
      </c>
      <c r="Q566" s="338">
        <f t="shared" si="370"/>
        <v>0</v>
      </c>
      <c r="R566" s="329">
        <f t="shared" si="364"/>
        <v>0</v>
      </c>
      <c r="S566" s="338">
        <f t="shared" si="371"/>
        <v>0</v>
      </c>
      <c r="T566" s="329">
        <f t="shared" si="365"/>
        <v>0</v>
      </c>
      <c r="U566" s="338">
        <f t="shared" si="372"/>
        <v>0</v>
      </c>
      <c r="V566" s="329">
        <f t="shared" si="366"/>
        <v>0</v>
      </c>
      <c r="W566" s="338">
        <f t="shared" si="373"/>
        <v>0</v>
      </c>
      <c r="X566" s="35"/>
      <c r="Y566" s="31"/>
      <c r="Z566" s="765"/>
      <c r="AA566" s="765"/>
      <c r="AB566" s="765"/>
    </row>
    <row r="567" spans="1:28" x14ac:dyDescent="0.25">
      <c r="A567" s="336">
        <f>A566+3</f>
        <v>44249</v>
      </c>
      <c r="B567" s="49">
        <f t="shared" si="374"/>
        <v>8000000</v>
      </c>
      <c r="C567" s="338">
        <f t="shared" si="355"/>
        <v>69000000</v>
      </c>
      <c r="D567" s="329">
        <f t="shared" si="375"/>
        <v>0</v>
      </c>
      <c r="E567" s="338">
        <f t="shared" si="356"/>
        <v>3307294.0006717108</v>
      </c>
      <c r="F567" s="329">
        <f t="shared" si="354"/>
        <v>0</v>
      </c>
      <c r="G567" s="338">
        <f t="shared" si="357"/>
        <v>37000000</v>
      </c>
      <c r="H567" s="329">
        <f t="shared" si="359"/>
        <v>0</v>
      </c>
      <c r="I567" s="338">
        <f t="shared" si="358"/>
        <v>15721906</v>
      </c>
      <c r="J567" s="329">
        <f t="shared" si="360"/>
        <v>0</v>
      </c>
      <c r="K567" s="338">
        <f t="shared" si="367"/>
        <v>0</v>
      </c>
      <c r="L567" s="329">
        <f t="shared" si="361"/>
        <v>0</v>
      </c>
      <c r="M567" s="338">
        <f t="shared" si="368"/>
        <v>0</v>
      </c>
      <c r="N567" s="329">
        <f t="shared" si="362"/>
        <v>0</v>
      </c>
      <c r="O567" s="338">
        <f t="shared" si="369"/>
        <v>0</v>
      </c>
      <c r="P567" s="329">
        <f t="shared" si="363"/>
        <v>0</v>
      </c>
      <c r="Q567" s="338">
        <f t="shared" si="370"/>
        <v>0</v>
      </c>
      <c r="R567" s="329">
        <f t="shared" si="364"/>
        <v>0</v>
      </c>
      <c r="S567" s="338">
        <f t="shared" si="371"/>
        <v>0</v>
      </c>
      <c r="T567" s="329">
        <f t="shared" si="365"/>
        <v>0</v>
      </c>
      <c r="U567" s="338">
        <f t="shared" si="372"/>
        <v>0</v>
      </c>
      <c r="V567" s="329">
        <f t="shared" si="366"/>
        <v>0</v>
      </c>
      <c r="W567" s="338">
        <f t="shared" si="373"/>
        <v>0</v>
      </c>
      <c r="X567" s="35"/>
      <c r="Y567" s="31"/>
      <c r="Z567" s="765"/>
      <c r="AA567" s="765"/>
      <c r="AB567" s="765"/>
    </row>
    <row r="568" spans="1:28" x14ac:dyDescent="0.25">
      <c r="A568" s="335">
        <f>A567+1</f>
        <v>44250</v>
      </c>
      <c r="B568" s="49">
        <f t="shared" si="374"/>
        <v>0</v>
      </c>
      <c r="C568" s="338">
        <f t="shared" si="355"/>
        <v>69000000</v>
      </c>
      <c r="D568" s="329">
        <f t="shared" si="375"/>
        <v>0</v>
      </c>
      <c r="E568" s="338">
        <f t="shared" si="356"/>
        <v>3307294.0006717108</v>
      </c>
      <c r="F568" s="329">
        <f t="shared" si="354"/>
        <v>0</v>
      </c>
      <c r="G568" s="338">
        <f t="shared" si="357"/>
        <v>37000000</v>
      </c>
      <c r="H568" s="329">
        <f t="shared" si="359"/>
        <v>0</v>
      </c>
      <c r="I568" s="338">
        <f t="shared" si="358"/>
        <v>15721906</v>
      </c>
      <c r="J568" s="329">
        <f t="shared" si="360"/>
        <v>0</v>
      </c>
      <c r="K568" s="338">
        <f t="shared" si="367"/>
        <v>0</v>
      </c>
      <c r="L568" s="329">
        <f t="shared" si="361"/>
        <v>0</v>
      </c>
      <c r="M568" s="338">
        <f t="shared" si="368"/>
        <v>0</v>
      </c>
      <c r="N568" s="329">
        <f t="shared" si="362"/>
        <v>0</v>
      </c>
      <c r="O568" s="338">
        <f t="shared" si="369"/>
        <v>0</v>
      </c>
      <c r="P568" s="329">
        <f t="shared" si="363"/>
        <v>0</v>
      </c>
      <c r="Q568" s="338">
        <f t="shared" si="370"/>
        <v>0</v>
      </c>
      <c r="R568" s="329">
        <f t="shared" si="364"/>
        <v>0</v>
      </c>
      <c r="S568" s="338">
        <f t="shared" si="371"/>
        <v>0</v>
      </c>
      <c r="T568" s="329">
        <f t="shared" si="365"/>
        <v>0</v>
      </c>
      <c r="U568" s="338">
        <f t="shared" si="372"/>
        <v>0</v>
      </c>
      <c r="V568" s="329">
        <f t="shared" si="366"/>
        <v>0</v>
      </c>
      <c r="W568" s="338">
        <f t="shared" si="373"/>
        <v>0</v>
      </c>
      <c r="X568" s="35"/>
      <c r="Y568" s="31"/>
      <c r="Z568" s="765"/>
      <c r="AA568" s="765"/>
      <c r="AB568" s="765"/>
    </row>
    <row r="569" spans="1:28" x14ac:dyDescent="0.25">
      <c r="A569" s="335">
        <f>A568+1</f>
        <v>44251</v>
      </c>
      <c r="B569" s="49">
        <f t="shared" si="374"/>
        <v>0</v>
      </c>
      <c r="C569" s="338">
        <f t="shared" si="355"/>
        <v>69000000</v>
      </c>
      <c r="D569" s="329">
        <f t="shared" si="375"/>
        <v>0</v>
      </c>
      <c r="E569" s="338">
        <f t="shared" si="356"/>
        <v>3307294.0006717108</v>
      </c>
      <c r="F569" s="329">
        <f t="shared" si="354"/>
        <v>0</v>
      </c>
      <c r="G569" s="338">
        <f t="shared" si="357"/>
        <v>37000000</v>
      </c>
      <c r="H569" s="329">
        <f t="shared" si="359"/>
        <v>0</v>
      </c>
      <c r="I569" s="338">
        <f t="shared" si="358"/>
        <v>15721906</v>
      </c>
      <c r="J569" s="329">
        <f t="shared" si="360"/>
        <v>0</v>
      </c>
      <c r="K569" s="338">
        <f t="shared" si="367"/>
        <v>0</v>
      </c>
      <c r="L569" s="329">
        <f t="shared" si="361"/>
        <v>0</v>
      </c>
      <c r="M569" s="338">
        <f t="shared" si="368"/>
        <v>0</v>
      </c>
      <c r="N569" s="329">
        <f t="shared" si="362"/>
        <v>0</v>
      </c>
      <c r="O569" s="338">
        <f t="shared" si="369"/>
        <v>0</v>
      </c>
      <c r="P569" s="329">
        <f t="shared" si="363"/>
        <v>0</v>
      </c>
      <c r="Q569" s="338">
        <f t="shared" si="370"/>
        <v>0</v>
      </c>
      <c r="R569" s="329">
        <f t="shared" si="364"/>
        <v>0</v>
      </c>
      <c r="S569" s="338">
        <f t="shared" si="371"/>
        <v>0</v>
      </c>
      <c r="T569" s="329">
        <f t="shared" si="365"/>
        <v>0</v>
      </c>
      <c r="U569" s="338">
        <f t="shared" si="372"/>
        <v>0</v>
      </c>
      <c r="V569" s="329">
        <f t="shared" si="366"/>
        <v>0</v>
      </c>
      <c r="W569" s="338">
        <f t="shared" si="373"/>
        <v>0</v>
      </c>
      <c r="X569" s="35"/>
      <c r="Y569" s="765"/>
      <c r="Z569" s="765"/>
      <c r="AA569" s="765"/>
      <c r="AB569" s="765"/>
    </row>
    <row r="570" spans="1:28" x14ac:dyDescent="0.25">
      <c r="A570" s="335">
        <f>A569+1</f>
        <v>44252</v>
      </c>
      <c r="B570" s="49">
        <f t="shared" si="374"/>
        <v>0</v>
      </c>
      <c r="C570" s="338">
        <f t="shared" si="355"/>
        <v>69000000</v>
      </c>
      <c r="D570" s="329">
        <f t="shared" si="375"/>
        <v>0</v>
      </c>
      <c r="E570" s="338">
        <f t="shared" si="356"/>
        <v>3307294.0006717108</v>
      </c>
      <c r="F570" s="329">
        <f t="shared" si="354"/>
        <v>0</v>
      </c>
      <c r="G570" s="338">
        <f t="shared" si="357"/>
        <v>37000000</v>
      </c>
      <c r="H570" s="329">
        <f t="shared" si="359"/>
        <v>0</v>
      </c>
      <c r="I570" s="338">
        <f t="shared" si="358"/>
        <v>15721906</v>
      </c>
      <c r="J570" s="329">
        <f t="shared" si="360"/>
        <v>0</v>
      </c>
      <c r="K570" s="338">
        <f t="shared" si="367"/>
        <v>0</v>
      </c>
      <c r="L570" s="329">
        <f t="shared" si="361"/>
        <v>0</v>
      </c>
      <c r="M570" s="338">
        <f t="shared" si="368"/>
        <v>0</v>
      </c>
      <c r="N570" s="329">
        <f t="shared" si="362"/>
        <v>0</v>
      </c>
      <c r="O570" s="338">
        <f t="shared" si="369"/>
        <v>0</v>
      </c>
      <c r="P570" s="329">
        <f t="shared" si="363"/>
        <v>0</v>
      </c>
      <c r="Q570" s="338">
        <f t="shared" si="370"/>
        <v>0</v>
      </c>
      <c r="R570" s="329">
        <f t="shared" si="364"/>
        <v>0</v>
      </c>
      <c r="S570" s="338">
        <f t="shared" si="371"/>
        <v>0</v>
      </c>
      <c r="T570" s="329">
        <f t="shared" si="365"/>
        <v>0</v>
      </c>
      <c r="U570" s="338">
        <f t="shared" si="372"/>
        <v>0</v>
      </c>
      <c r="V570" s="329">
        <f t="shared" si="366"/>
        <v>0</v>
      </c>
      <c r="W570" s="338">
        <f t="shared" si="373"/>
        <v>0</v>
      </c>
      <c r="X570" s="35"/>
      <c r="Y570" s="765"/>
      <c r="Z570" s="765"/>
      <c r="AA570" s="765"/>
      <c r="AB570" s="765"/>
    </row>
    <row r="571" spans="1:28" x14ac:dyDescent="0.25">
      <c r="A571" s="335">
        <f>A570+1</f>
        <v>44253</v>
      </c>
      <c r="B571" s="49">
        <f t="shared" si="374"/>
        <v>0</v>
      </c>
      <c r="C571" s="338">
        <f t="shared" si="355"/>
        <v>69000000</v>
      </c>
      <c r="D571" s="329">
        <f t="shared" si="375"/>
        <v>0</v>
      </c>
      <c r="E571" s="338">
        <f t="shared" si="356"/>
        <v>3307294.0006717108</v>
      </c>
      <c r="F571" s="329">
        <f t="shared" si="354"/>
        <v>0</v>
      </c>
      <c r="G571" s="338">
        <f t="shared" si="357"/>
        <v>37000000</v>
      </c>
      <c r="H571" s="329">
        <f t="shared" si="359"/>
        <v>0</v>
      </c>
      <c r="I571" s="338">
        <f t="shared" si="358"/>
        <v>15721906</v>
      </c>
      <c r="J571" s="329">
        <f t="shared" si="360"/>
        <v>0</v>
      </c>
      <c r="K571" s="338">
        <f t="shared" si="367"/>
        <v>0</v>
      </c>
      <c r="L571" s="329">
        <f t="shared" si="361"/>
        <v>0</v>
      </c>
      <c r="M571" s="338">
        <f t="shared" si="368"/>
        <v>0</v>
      </c>
      <c r="N571" s="329">
        <f t="shared" si="362"/>
        <v>0</v>
      </c>
      <c r="O571" s="338">
        <f t="shared" si="369"/>
        <v>0</v>
      </c>
      <c r="P571" s="329">
        <f t="shared" si="363"/>
        <v>0</v>
      </c>
      <c r="Q571" s="338">
        <f t="shared" si="370"/>
        <v>0</v>
      </c>
      <c r="R571" s="329">
        <f t="shared" si="364"/>
        <v>0</v>
      </c>
      <c r="S571" s="338">
        <f t="shared" si="371"/>
        <v>0</v>
      </c>
      <c r="T571" s="329">
        <f t="shared" si="365"/>
        <v>0</v>
      </c>
      <c r="U571" s="338">
        <f t="shared" si="372"/>
        <v>0</v>
      </c>
      <c r="V571" s="329">
        <f t="shared" si="366"/>
        <v>0</v>
      </c>
      <c r="W571" s="338">
        <f t="shared" si="373"/>
        <v>0</v>
      </c>
      <c r="X571" s="35"/>
      <c r="Y571" s="765"/>
      <c r="Z571" s="765"/>
      <c r="AA571" s="765"/>
      <c r="AB571" s="765"/>
    </row>
    <row r="572" spans="1:28" x14ac:dyDescent="0.25">
      <c r="A572" s="336">
        <f>A571+3</f>
        <v>44256</v>
      </c>
      <c r="B572" s="49">
        <f t="shared" si="374"/>
        <v>0</v>
      </c>
      <c r="C572" s="338">
        <f t="shared" ref="C572:C635" si="376">B572+C571</f>
        <v>69000000</v>
      </c>
      <c r="D572" s="329">
        <f t="shared" si="375"/>
        <v>0</v>
      </c>
      <c r="E572" s="338">
        <f t="shared" ref="E572:E635" si="377">D572+E571</f>
        <v>3307294.0006717108</v>
      </c>
      <c r="F572" s="329">
        <f t="shared" si="354"/>
        <v>0</v>
      </c>
      <c r="G572" s="338">
        <f t="shared" ref="G572:G635" si="378">F572+G571</f>
        <v>37000000</v>
      </c>
      <c r="H572" s="329">
        <f t="shared" si="359"/>
        <v>0</v>
      </c>
      <c r="I572" s="338">
        <f t="shared" ref="I572:I635" si="379">H572+I571</f>
        <v>15721906</v>
      </c>
      <c r="J572" s="329">
        <f t="shared" si="360"/>
        <v>0</v>
      </c>
      <c r="K572" s="338">
        <f t="shared" si="367"/>
        <v>0</v>
      </c>
      <c r="L572" s="329">
        <f t="shared" si="361"/>
        <v>0</v>
      </c>
      <c r="M572" s="338">
        <f t="shared" si="368"/>
        <v>0</v>
      </c>
      <c r="N572" s="329">
        <f t="shared" si="362"/>
        <v>0</v>
      </c>
      <c r="O572" s="338">
        <f t="shared" si="369"/>
        <v>0</v>
      </c>
      <c r="P572" s="329">
        <f t="shared" si="363"/>
        <v>0</v>
      </c>
      <c r="Q572" s="338">
        <f t="shared" si="370"/>
        <v>0</v>
      </c>
      <c r="R572" s="329">
        <f t="shared" si="364"/>
        <v>0</v>
      </c>
      <c r="S572" s="338">
        <f t="shared" si="371"/>
        <v>0</v>
      </c>
      <c r="T572" s="329">
        <f t="shared" si="365"/>
        <v>0</v>
      </c>
      <c r="U572" s="338">
        <f t="shared" si="372"/>
        <v>0</v>
      </c>
      <c r="V572" s="329">
        <f t="shared" si="366"/>
        <v>0</v>
      </c>
      <c r="W572" s="338">
        <f t="shared" si="373"/>
        <v>0</v>
      </c>
      <c r="X572" s="35"/>
      <c r="Y572" s="765"/>
      <c r="Z572" s="765"/>
      <c r="AA572" s="765"/>
      <c r="AB572" s="765"/>
    </row>
    <row r="573" spans="1:28" x14ac:dyDescent="0.25">
      <c r="A573" s="335">
        <f>A572+1</f>
        <v>44257</v>
      </c>
      <c r="B573" s="49">
        <f t="shared" si="374"/>
        <v>0</v>
      </c>
      <c r="C573" s="338">
        <f t="shared" si="376"/>
        <v>69000000</v>
      </c>
      <c r="D573" s="329">
        <f t="shared" si="375"/>
        <v>0</v>
      </c>
      <c r="E573" s="338">
        <f t="shared" si="377"/>
        <v>3307294.0006717108</v>
      </c>
      <c r="F573" s="329">
        <f t="shared" si="354"/>
        <v>3600000</v>
      </c>
      <c r="G573" s="338">
        <f t="shared" si="378"/>
        <v>40600000</v>
      </c>
      <c r="H573" s="329">
        <f t="shared" si="359"/>
        <v>0</v>
      </c>
      <c r="I573" s="338">
        <f t="shared" si="379"/>
        <v>15721906</v>
      </c>
      <c r="J573" s="329">
        <f t="shared" si="360"/>
        <v>0</v>
      </c>
      <c r="K573" s="338">
        <f t="shared" si="367"/>
        <v>0</v>
      </c>
      <c r="L573" s="329">
        <f t="shared" si="361"/>
        <v>0</v>
      </c>
      <c r="M573" s="338">
        <f t="shared" si="368"/>
        <v>0</v>
      </c>
      <c r="N573" s="329">
        <f t="shared" si="362"/>
        <v>0</v>
      </c>
      <c r="O573" s="338">
        <f t="shared" si="369"/>
        <v>0</v>
      </c>
      <c r="P573" s="329">
        <f t="shared" si="363"/>
        <v>0</v>
      </c>
      <c r="Q573" s="338">
        <f t="shared" si="370"/>
        <v>0</v>
      </c>
      <c r="R573" s="329">
        <f t="shared" si="364"/>
        <v>0</v>
      </c>
      <c r="S573" s="338">
        <f t="shared" si="371"/>
        <v>0</v>
      </c>
      <c r="T573" s="329">
        <f t="shared" si="365"/>
        <v>0</v>
      </c>
      <c r="U573" s="338">
        <f t="shared" si="372"/>
        <v>0</v>
      </c>
      <c r="V573" s="329">
        <f t="shared" si="366"/>
        <v>0</v>
      </c>
      <c r="W573" s="338">
        <f t="shared" si="373"/>
        <v>0</v>
      </c>
      <c r="X573" s="35"/>
    </row>
    <row r="574" spans="1:28" x14ac:dyDescent="0.25">
      <c r="A574" s="335">
        <f>A573+1</f>
        <v>44258</v>
      </c>
      <c r="B574" s="49">
        <f t="shared" si="374"/>
        <v>0</v>
      </c>
      <c r="C574" s="338">
        <f t="shared" si="376"/>
        <v>69000000</v>
      </c>
      <c r="D574" s="329">
        <f t="shared" si="375"/>
        <v>0</v>
      </c>
      <c r="E574" s="338">
        <f t="shared" si="377"/>
        <v>3307294.0006717108</v>
      </c>
      <c r="F574" s="329">
        <f t="shared" si="354"/>
        <v>0</v>
      </c>
      <c r="G574" s="338">
        <f t="shared" si="378"/>
        <v>40600000</v>
      </c>
      <c r="H574" s="329">
        <f t="shared" si="359"/>
        <v>0</v>
      </c>
      <c r="I574" s="338">
        <f t="shared" si="379"/>
        <v>15721906</v>
      </c>
      <c r="J574" s="329">
        <f t="shared" si="360"/>
        <v>0</v>
      </c>
      <c r="K574" s="338">
        <f t="shared" si="367"/>
        <v>0</v>
      </c>
      <c r="L574" s="329">
        <f t="shared" si="361"/>
        <v>0</v>
      </c>
      <c r="M574" s="338">
        <f t="shared" si="368"/>
        <v>0</v>
      </c>
      <c r="N574" s="329">
        <f t="shared" si="362"/>
        <v>0</v>
      </c>
      <c r="O574" s="338">
        <f t="shared" si="369"/>
        <v>0</v>
      </c>
      <c r="P574" s="329">
        <f t="shared" si="363"/>
        <v>0</v>
      </c>
      <c r="Q574" s="338">
        <f t="shared" si="370"/>
        <v>0</v>
      </c>
      <c r="R574" s="329">
        <f t="shared" si="364"/>
        <v>0</v>
      </c>
      <c r="S574" s="338">
        <f t="shared" si="371"/>
        <v>0</v>
      </c>
      <c r="T574" s="329">
        <f t="shared" si="365"/>
        <v>0</v>
      </c>
      <c r="U574" s="338">
        <f t="shared" si="372"/>
        <v>0</v>
      </c>
      <c r="V574" s="329">
        <f t="shared" si="366"/>
        <v>0</v>
      </c>
      <c r="W574" s="338">
        <f t="shared" si="373"/>
        <v>0</v>
      </c>
      <c r="X574" s="35"/>
    </row>
    <row r="575" spans="1:28" x14ac:dyDescent="0.25">
      <c r="A575" s="335">
        <f>A574+1</f>
        <v>44259</v>
      </c>
      <c r="B575" s="49">
        <f t="shared" si="374"/>
        <v>0</v>
      </c>
      <c r="C575" s="338">
        <f t="shared" si="376"/>
        <v>69000000</v>
      </c>
      <c r="D575" s="329">
        <f t="shared" si="375"/>
        <v>0</v>
      </c>
      <c r="E575" s="338">
        <f t="shared" si="377"/>
        <v>3307294.0006717108</v>
      </c>
      <c r="F575" s="329">
        <f t="shared" si="354"/>
        <v>0</v>
      </c>
      <c r="G575" s="338">
        <f t="shared" si="378"/>
        <v>40600000</v>
      </c>
      <c r="H575" s="329">
        <f t="shared" si="359"/>
        <v>0</v>
      </c>
      <c r="I575" s="338">
        <f t="shared" si="379"/>
        <v>15721906</v>
      </c>
      <c r="J575" s="329">
        <f t="shared" si="360"/>
        <v>0</v>
      </c>
      <c r="K575" s="338">
        <f t="shared" si="367"/>
        <v>0</v>
      </c>
      <c r="L575" s="329">
        <f t="shared" si="361"/>
        <v>0</v>
      </c>
      <c r="M575" s="338">
        <f t="shared" si="368"/>
        <v>0</v>
      </c>
      <c r="N575" s="329">
        <f t="shared" si="362"/>
        <v>0</v>
      </c>
      <c r="O575" s="338">
        <f t="shared" si="369"/>
        <v>0</v>
      </c>
      <c r="P575" s="329">
        <f t="shared" si="363"/>
        <v>0</v>
      </c>
      <c r="Q575" s="338">
        <f t="shared" si="370"/>
        <v>0</v>
      </c>
      <c r="R575" s="329">
        <f t="shared" si="364"/>
        <v>0</v>
      </c>
      <c r="S575" s="338">
        <f t="shared" si="371"/>
        <v>0</v>
      </c>
      <c r="T575" s="329">
        <f t="shared" si="365"/>
        <v>0</v>
      </c>
      <c r="U575" s="338">
        <f t="shared" si="372"/>
        <v>0</v>
      </c>
      <c r="V575" s="329">
        <f t="shared" si="366"/>
        <v>0</v>
      </c>
      <c r="W575" s="338">
        <f t="shared" si="373"/>
        <v>0</v>
      </c>
      <c r="X575" s="35"/>
    </row>
    <row r="576" spans="1:28" x14ac:dyDescent="0.25">
      <c r="A576" s="335">
        <f>A575+1</f>
        <v>44260</v>
      </c>
      <c r="B576" s="49">
        <f t="shared" si="374"/>
        <v>0</v>
      </c>
      <c r="C576" s="338">
        <f t="shared" si="376"/>
        <v>69000000</v>
      </c>
      <c r="D576" s="329">
        <f t="shared" si="375"/>
        <v>0</v>
      </c>
      <c r="E576" s="338">
        <f t="shared" si="377"/>
        <v>3307294.0006717108</v>
      </c>
      <c r="F576" s="329">
        <f t="shared" si="354"/>
        <v>0</v>
      </c>
      <c r="G576" s="338">
        <f t="shared" si="378"/>
        <v>40600000</v>
      </c>
      <c r="H576" s="329">
        <f t="shared" si="359"/>
        <v>0</v>
      </c>
      <c r="I576" s="338">
        <f t="shared" si="379"/>
        <v>15721906</v>
      </c>
      <c r="J576" s="329">
        <f t="shared" si="360"/>
        <v>0</v>
      </c>
      <c r="K576" s="338">
        <f t="shared" si="367"/>
        <v>0</v>
      </c>
      <c r="L576" s="329">
        <f t="shared" si="361"/>
        <v>0</v>
      </c>
      <c r="M576" s="338">
        <f t="shared" si="368"/>
        <v>0</v>
      </c>
      <c r="N576" s="329">
        <f t="shared" si="362"/>
        <v>0</v>
      </c>
      <c r="O576" s="338">
        <f t="shared" si="369"/>
        <v>0</v>
      </c>
      <c r="P576" s="329">
        <f t="shared" si="363"/>
        <v>0</v>
      </c>
      <c r="Q576" s="338">
        <f t="shared" si="370"/>
        <v>0</v>
      </c>
      <c r="R576" s="329">
        <f t="shared" si="364"/>
        <v>0</v>
      </c>
      <c r="S576" s="338">
        <f t="shared" si="371"/>
        <v>0</v>
      </c>
      <c r="T576" s="329">
        <f t="shared" si="365"/>
        <v>0</v>
      </c>
      <c r="U576" s="338">
        <f t="shared" si="372"/>
        <v>0</v>
      </c>
      <c r="V576" s="329">
        <f t="shared" si="366"/>
        <v>0</v>
      </c>
      <c r="W576" s="338">
        <f t="shared" si="373"/>
        <v>0</v>
      </c>
      <c r="X576" s="35"/>
    </row>
    <row r="577" spans="1:24" x14ac:dyDescent="0.25">
      <c r="A577" s="336">
        <f>A576+3</f>
        <v>44263</v>
      </c>
      <c r="B577" s="49">
        <f t="shared" si="374"/>
        <v>0</v>
      </c>
      <c r="C577" s="338">
        <f t="shared" si="376"/>
        <v>69000000</v>
      </c>
      <c r="D577" s="329">
        <f t="shared" si="375"/>
        <v>0</v>
      </c>
      <c r="E577" s="338">
        <f t="shared" si="377"/>
        <v>3307294.0006717108</v>
      </c>
      <c r="F577" s="329">
        <f t="shared" si="354"/>
        <v>0</v>
      </c>
      <c r="G577" s="338">
        <f t="shared" si="378"/>
        <v>40600000</v>
      </c>
      <c r="H577" s="329">
        <f t="shared" si="359"/>
        <v>0</v>
      </c>
      <c r="I577" s="338">
        <f t="shared" si="379"/>
        <v>15721906</v>
      </c>
      <c r="J577" s="329">
        <f t="shared" si="360"/>
        <v>0</v>
      </c>
      <c r="K577" s="338">
        <f t="shared" si="367"/>
        <v>0</v>
      </c>
      <c r="L577" s="329">
        <f t="shared" si="361"/>
        <v>0</v>
      </c>
      <c r="M577" s="338">
        <f t="shared" si="368"/>
        <v>0</v>
      </c>
      <c r="N577" s="329">
        <f t="shared" si="362"/>
        <v>0</v>
      </c>
      <c r="O577" s="338">
        <f t="shared" si="369"/>
        <v>0</v>
      </c>
      <c r="P577" s="329">
        <f t="shared" si="363"/>
        <v>0</v>
      </c>
      <c r="Q577" s="338">
        <f t="shared" si="370"/>
        <v>0</v>
      </c>
      <c r="R577" s="329">
        <f t="shared" si="364"/>
        <v>0</v>
      </c>
      <c r="S577" s="338">
        <f t="shared" si="371"/>
        <v>0</v>
      </c>
      <c r="T577" s="329">
        <f t="shared" si="365"/>
        <v>0</v>
      </c>
      <c r="U577" s="338">
        <f t="shared" si="372"/>
        <v>0</v>
      </c>
      <c r="V577" s="329">
        <f t="shared" si="366"/>
        <v>0</v>
      </c>
      <c r="W577" s="338">
        <f t="shared" si="373"/>
        <v>0</v>
      </c>
      <c r="X577" s="35"/>
    </row>
    <row r="578" spans="1:24" x14ac:dyDescent="0.25">
      <c r="A578" s="335">
        <f>A577+1</f>
        <v>44264</v>
      </c>
      <c r="B578" s="49">
        <f t="shared" si="374"/>
        <v>0</v>
      </c>
      <c r="C578" s="338">
        <f t="shared" si="376"/>
        <v>69000000</v>
      </c>
      <c r="D578" s="329">
        <f t="shared" si="375"/>
        <v>0</v>
      </c>
      <c r="E578" s="338">
        <f t="shared" si="377"/>
        <v>3307294.0006717108</v>
      </c>
      <c r="F578" s="329">
        <f t="shared" si="354"/>
        <v>0</v>
      </c>
      <c r="G578" s="338">
        <f t="shared" si="378"/>
        <v>40600000</v>
      </c>
      <c r="H578" s="329">
        <f t="shared" si="359"/>
        <v>0</v>
      </c>
      <c r="I578" s="338">
        <f t="shared" si="379"/>
        <v>15721906</v>
      </c>
      <c r="J578" s="329">
        <f t="shared" si="360"/>
        <v>0</v>
      </c>
      <c r="K578" s="338">
        <f t="shared" si="367"/>
        <v>0</v>
      </c>
      <c r="L578" s="329">
        <f t="shared" si="361"/>
        <v>0</v>
      </c>
      <c r="M578" s="338">
        <f t="shared" si="368"/>
        <v>0</v>
      </c>
      <c r="N578" s="329">
        <f t="shared" si="362"/>
        <v>0</v>
      </c>
      <c r="O578" s="338">
        <f t="shared" si="369"/>
        <v>0</v>
      </c>
      <c r="P578" s="329">
        <f t="shared" si="363"/>
        <v>0</v>
      </c>
      <c r="Q578" s="338">
        <f t="shared" si="370"/>
        <v>0</v>
      </c>
      <c r="R578" s="329">
        <f t="shared" si="364"/>
        <v>0</v>
      </c>
      <c r="S578" s="338">
        <f t="shared" si="371"/>
        <v>0</v>
      </c>
      <c r="T578" s="329">
        <f t="shared" si="365"/>
        <v>0</v>
      </c>
      <c r="U578" s="338">
        <f t="shared" si="372"/>
        <v>0</v>
      </c>
      <c r="V578" s="329">
        <f t="shared" si="366"/>
        <v>0</v>
      </c>
      <c r="W578" s="338">
        <f t="shared" si="373"/>
        <v>0</v>
      </c>
      <c r="X578" s="35"/>
    </row>
    <row r="579" spans="1:24" x14ac:dyDescent="0.25">
      <c r="A579" s="335">
        <f>A578+1</f>
        <v>44265</v>
      </c>
      <c r="B579" s="49">
        <f t="shared" si="374"/>
        <v>0</v>
      </c>
      <c r="C579" s="338">
        <f t="shared" si="376"/>
        <v>69000000</v>
      </c>
      <c r="D579" s="329">
        <f t="shared" si="375"/>
        <v>0</v>
      </c>
      <c r="E579" s="338">
        <f t="shared" si="377"/>
        <v>3307294.0006717108</v>
      </c>
      <c r="F579" s="329">
        <f t="shared" ref="F579:F642" si="380">SUMIFS(Usage_Main,CF_Dates,$A579,CF_Descriptions,"EASTCYPRESS1 Change")</f>
        <v>0</v>
      </c>
      <c r="G579" s="338">
        <f t="shared" si="378"/>
        <v>40600000</v>
      </c>
      <c r="H579" s="329">
        <f t="shared" si="359"/>
        <v>0</v>
      </c>
      <c r="I579" s="338">
        <f t="shared" si="379"/>
        <v>15721906</v>
      </c>
      <c r="J579" s="329">
        <f t="shared" si="360"/>
        <v>0</v>
      </c>
      <c r="K579" s="338">
        <f t="shared" si="367"/>
        <v>0</v>
      </c>
      <c r="L579" s="329">
        <f t="shared" si="361"/>
        <v>0</v>
      </c>
      <c r="M579" s="338">
        <f t="shared" si="368"/>
        <v>0</v>
      </c>
      <c r="N579" s="329">
        <f t="shared" si="362"/>
        <v>0</v>
      </c>
      <c r="O579" s="338">
        <f t="shared" si="369"/>
        <v>0</v>
      </c>
      <c r="P579" s="329">
        <f t="shared" si="363"/>
        <v>0</v>
      </c>
      <c r="Q579" s="338">
        <f t="shared" si="370"/>
        <v>0</v>
      </c>
      <c r="R579" s="329">
        <f t="shared" si="364"/>
        <v>0</v>
      </c>
      <c r="S579" s="338">
        <f t="shared" si="371"/>
        <v>0</v>
      </c>
      <c r="T579" s="329">
        <f t="shared" si="365"/>
        <v>0</v>
      </c>
      <c r="U579" s="338">
        <f t="shared" si="372"/>
        <v>0</v>
      </c>
      <c r="V579" s="329">
        <f t="shared" si="366"/>
        <v>0</v>
      </c>
      <c r="W579" s="338">
        <f t="shared" si="373"/>
        <v>0</v>
      </c>
      <c r="X579" s="35"/>
    </row>
    <row r="580" spans="1:24" x14ac:dyDescent="0.25">
      <c r="A580" s="335">
        <f>A579+1</f>
        <v>44266</v>
      </c>
      <c r="B580" s="49">
        <f t="shared" si="374"/>
        <v>0</v>
      </c>
      <c r="C580" s="338">
        <f t="shared" si="376"/>
        <v>69000000</v>
      </c>
      <c r="D580" s="329">
        <f t="shared" si="375"/>
        <v>0</v>
      </c>
      <c r="E580" s="338">
        <f t="shared" si="377"/>
        <v>3307294.0006717108</v>
      </c>
      <c r="F580" s="329">
        <f t="shared" si="380"/>
        <v>0</v>
      </c>
      <c r="G580" s="338">
        <f t="shared" si="378"/>
        <v>40600000</v>
      </c>
      <c r="H580" s="329">
        <f t="shared" si="359"/>
        <v>0</v>
      </c>
      <c r="I580" s="338">
        <f t="shared" si="379"/>
        <v>15721906</v>
      </c>
      <c r="J580" s="329">
        <f t="shared" si="360"/>
        <v>0</v>
      </c>
      <c r="K580" s="338">
        <f t="shared" si="367"/>
        <v>0</v>
      </c>
      <c r="L580" s="329">
        <f t="shared" si="361"/>
        <v>0</v>
      </c>
      <c r="M580" s="338">
        <f t="shared" si="368"/>
        <v>0</v>
      </c>
      <c r="N580" s="329">
        <f t="shared" si="362"/>
        <v>0</v>
      </c>
      <c r="O580" s="338">
        <f t="shared" si="369"/>
        <v>0</v>
      </c>
      <c r="P580" s="329">
        <f t="shared" si="363"/>
        <v>0</v>
      </c>
      <c r="Q580" s="338">
        <f t="shared" si="370"/>
        <v>0</v>
      </c>
      <c r="R580" s="329">
        <f t="shared" si="364"/>
        <v>0</v>
      </c>
      <c r="S580" s="338">
        <f t="shared" si="371"/>
        <v>0</v>
      </c>
      <c r="T580" s="329">
        <f t="shared" si="365"/>
        <v>0</v>
      </c>
      <c r="U580" s="338">
        <f t="shared" si="372"/>
        <v>0</v>
      </c>
      <c r="V580" s="329">
        <f t="shared" si="366"/>
        <v>0</v>
      </c>
      <c r="W580" s="338">
        <f t="shared" si="373"/>
        <v>0</v>
      </c>
      <c r="X580" s="35"/>
    </row>
    <row r="581" spans="1:24" x14ac:dyDescent="0.25">
      <c r="A581" s="335">
        <f>A580+1</f>
        <v>44267</v>
      </c>
      <c r="B581" s="49">
        <f t="shared" si="374"/>
        <v>0</v>
      </c>
      <c r="C581" s="338">
        <f t="shared" si="376"/>
        <v>69000000</v>
      </c>
      <c r="D581" s="329">
        <f t="shared" si="375"/>
        <v>0</v>
      </c>
      <c r="E581" s="338">
        <f t="shared" si="377"/>
        <v>3307294.0006717108</v>
      </c>
      <c r="F581" s="329">
        <f t="shared" si="380"/>
        <v>0</v>
      </c>
      <c r="G581" s="338">
        <f t="shared" si="378"/>
        <v>40600000</v>
      </c>
      <c r="H581" s="329">
        <f t="shared" si="359"/>
        <v>0</v>
      </c>
      <c r="I581" s="338">
        <f t="shared" si="379"/>
        <v>15721906</v>
      </c>
      <c r="J581" s="329">
        <f t="shared" si="360"/>
        <v>0</v>
      </c>
      <c r="K581" s="338">
        <f t="shared" si="367"/>
        <v>0</v>
      </c>
      <c r="L581" s="329">
        <f t="shared" si="361"/>
        <v>0</v>
      </c>
      <c r="M581" s="338">
        <f t="shared" si="368"/>
        <v>0</v>
      </c>
      <c r="N581" s="329">
        <f t="shared" si="362"/>
        <v>0</v>
      </c>
      <c r="O581" s="338">
        <f t="shared" si="369"/>
        <v>0</v>
      </c>
      <c r="P581" s="329">
        <f t="shared" si="363"/>
        <v>0</v>
      </c>
      <c r="Q581" s="338">
        <f t="shared" si="370"/>
        <v>0</v>
      </c>
      <c r="R581" s="329">
        <f t="shared" si="364"/>
        <v>0</v>
      </c>
      <c r="S581" s="338">
        <f t="shared" si="371"/>
        <v>0</v>
      </c>
      <c r="T581" s="329">
        <f t="shared" si="365"/>
        <v>0</v>
      </c>
      <c r="U581" s="338">
        <f t="shared" si="372"/>
        <v>0</v>
      </c>
      <c r="V581" s="329">
        <f t="shared" si="366"/>
        <v>0</v>
      </c>
      <c r="W581" s="338">
        <f t="shared" si="373"/>
        <v>0</v>
      </c>
      <c r="X581" s="35"/>
    </row>
    <row r="582" spans="1:24" x14ac:dyDescent="0.25">
      <c r="A582" s="336">
        <f>A581+3</f>
        <v>44270</v>
      </c>
      <c r="B582" s="49">
        <f t="shared" si="374"/>
        <v>5000000</v>
      </c>
      <c r="C582" s="338">
        <f t="shared" si="376"/>
        <v>74000000</v>
      </c>
      <c r="D582" s="329">
        <f t="shared" si="375"/>
        <v>0</v>
      </c>
      <c r="E582" s="338">
        <f t="shared" si="377"/>
        <v>3307294.0006717108</v>
      </c>
      <c r="F582" s="329">
        <f t="shared" si="380"/>
        <v>400000</v>
      </c>
      <c r="G582" s="338">
        <f t="shared" si="378"/>
        <v>41000000</v>
      </c>
      <c r="H582" s="329">
        <f t="shared" si="359"/>
        <v>0</v>
      </c>
      <c r="I582" s="338">
        <f t="shared" si="379"/>
        <v>15721906</v>
      </c>
      <c r="J582" s="329">
        <f t="shared" si="360"/>
        <v>0</v>
      </c>
      <c r="K582" s="338">
        <f t="shared" si="367"/>
        <v>0</v>
      </c>
      <c r="L582" s="329">
        <f t="shared" si="361"/>
        <v>0</v>
      </c>
      <c r="M582" s="338">
        <f t="shared" si="368"/>
        <v>0</v>
      </c>
      <c r="N582" s="329">
        <f t="shared" si="362"/>
        <v>0</v>
      </c>
      <c r="O582" s="338">
        <f t="shared" si="369"/>
        <v>0</v>
      </c>
      <c r="P582" s="329">
        <f t="shared" si="363"/>
        <v>0</v>
      </c>
      <c r="Q582" s="338">
        <f t="shared" si="370"/>
        <v>0</v>
      </c>
      <c r="R582" s="329">
        <f t="shared" si="364"/>
        <v>0</v>
      </c>
      <c r="S582" s="338">
        <f t="shared" si="371"/>
        <v>0</v>
      </c>
      <c r="T582" s="329">
        <f t="shared" si="365"/>
        <v>0</v>
      </c>
      <c r="U582" s="338">
        <f t="shared" si="372"/>
        <v>0</v>
      </c>
      <c r="V582" s="329">
        <f t="shared" si="366"/>
        <v>0</v>
      </c>
      <c r="W582" s="338">
        <f t="shared" si="373"/>
        <v>0</v>
      </c>
      <c r="X582" s="35"/>
    </row>
    <row r="583" spans="1:24" x14ac:dyDescent="0.25">
      <c r="A583" s="335">
        <f>A582+1</f>
        <v>44271</v>
      </c>
      <c r="B583" s="49">
        <f t="shared" si="374"/>
        <v>0</v>
      </c>
      <c r="C583" s="338">
        <f t="shared" si="376"/>
        <v>74000000</v>
      </c>
      <c r="D583" s="329">
        <f t="shared" si="375"/>
        <v>0</v>
      </c>
      <c r="E583" s="338">
        <f t="shared" si="377"/>
        <v>3307294.0006717108</v>
      </c>
      <c r="F583" s="329">
        <f t="shared" si="380"/>
        <v>0</v>
      </c>
      <c r="G583" s="338">
        <f t="shared" si="378"/>
        <v>41000000</v>
      </c>
      <c r="H583" s="329">
        <f t="shared" si="359"/>
        <v>0</v>
      </c>
      <c r="I583" s="338">
        <f t="shared" si="379"/>
        <v>15721906</v>
      </c>
      <c r="J583" s="329">
        <f t="shared" si="360"/>
        <v>3200000</v>
      </c>
      <c r="K583" s="338">
        <f t="shared" si="367"/>
        <v>3200000</v>
      </c>
      <c r="L583" s="329">
        <f t="shared" si="361"/>
        <v>0</v>
      </c>
      <c r="M583" s="338">
        <f t="shared" si="368"/>
        <v>0</v>
      </c>
      <c r="N583" s="329">
        <f t="shared" si="362"/>
        <v>0</v>
      </c>
      <c r="O583" s="338">
        <f t="shared" si="369"/>
        <v>0</v>
      </c>
      <c r="P583" s="329">
        <f t="shared" si="363"/>
        <v>0</v>
      </c>
      <c r="Q583" s="338">
        <f t="shared" si="370"/>
        <v>0</v>
      </c>
      <c r="R583" s="329">
        <f t="shared" si="364"/>
        <v>0</v>
      </c>
      <c r="S583" s="338">
        <f t="shared" si="371"/>
        <v>0</v>
      </c>
      <c r="T583" s="329">
        <f t="shared" si="365"/>
        <v>0</v>
      </c>
      <c r="U583" s="338">
        <f t="shared" si="372"/>
        <v>0</v>
      </c>
      <c r="V583" s="329">
        <f t="shared" si="366"/>
        <v>0</v>
      </c>
      <c r="W583" s="338">
        <f t="shared" si="373"/>
        <v>0</v>
      </c>
      <c r="X583" s="35"/>
    </row>
    <row r="584" spans="1:24" x14ac:dyDescent="0.25">
      <c r="A584" s="335">
        <f>A583+1</f>
        <v>44272</v>
      </c>
      <c r="B584" s="49">
        <f t="shared" si="374"/>
        <v>0</v>
      </c>
      <c r="C584" s="338">
        <f t="shared" si="376"/>
        <v>74000000</v>
      </c>
      <c r="D584" s="329">
        <f t="shared" si="375"/>
        <v>0</v>
      </c>
      <c r="E584" s="338">
        <f t="shared" si="377"/>
        <v>3307294.0006717108</v>
      </c>
      <c r="F584" s="329">
        <f t="shared" si="380"/>
        <v>0</v>
      </c>
      <c r="G584" s="338">
        <f t="shared" si="378"/>
        <v>41000000</v>
      </c>
      <c r="H584" s="329">
        <f t="shared" si="359"/>
        <v>0</v>
      </c>
      <c r="I584" s="338">
        <f t="shared" si="379"/>
        <v>15721906</v>
      </c>
      <c r="J584" s="329">
        <f t="shared" si="360"/>
        <v>0</v>
      </c>
      <c r="K584" s="338">
        <f t="shared" si="367"/>
        <v>3200000</v>
      </c>
      <c r="L584" s="329">
        <f t="shared" si="361"/>
        <v>0</v>
      </c>
      <c r="M584" s="338">
        <f t="shared" si="368"/>
        <v>0</v>
      </c>
      <c r="N584" s="329">
        <f t="shared" si="362"/>
        <v>0</v>
      </c>
      <c r="O584" s="338">
        <f t="shared" si="369"/>
        <v>0</v>
      </c>
      <c r="P584" s="329">
        <f t="shared" si="363"/>
        <v>0</v>
      </c>
      <c r="Q584" s="338">
        <f t="shared" si="370"/>
        <v>0</v>
      </c>
      <c r="R584" s="329">
        <f t="shared" si="364"/>
        <v>0</v>
      </c>
      <c r="S584" s="338">
        <f t="shared" si="371"/>
        <v>0</v>
      </c>
      <c r="T584" s="329">
        <f t="shared" si="365"/>
        <v>0</v>
      </c>
      <c r="U584" s="338">
        <f t="shared" si="372"/>
        <v>0</v>
      </c>
      <c r="V584" s="329">
        <f t="shared" si="366"/>
        <v>0</v>
      </c>
      <c r="W584" s="338">
        <f t="shared" si="373"/>
        <v>0</v>
      </c>
      <c r="X584" s="35"/>
    </row>
    <row r="585" spans="1:24" x14ac:dyDescent="0.25">
      <c r="A585" s="335">
        <f>A584+1</f>
        <v>44273</v>
      </c>
      <c r="B585" s="49">
        <f t="shared" si="374"/>
        <v>0</v>
      </c>
      <c r="C585" s="338">
        <f t="shared" si="376"/>
        <v>74000000</v>
      </c>
      <c r="D585" s="329">
        <f t="shared" si="375"/>
        <v>0</v>
      </c>
      <c r="E585" s="338">
        <f t="shared" si="377"/>
        <v>3307294.0006717108</v>
      </c>
      <c r="F585" s="329">
        <f t="shared" si="380"/>
        <v>0</v>
      </c>
      <c r="G585" s="338">
        <f t="shared" si="378"/>
        <v>41000000</v>
      </c>
      <c r="H585" s="329">
        <f t="shared" si="359"/>
        <v>0</v>
      </c>
      <c r="I585" s="338">
        <f t="shared" si="379"/>
        <v>15721906</v>
      </c>
      <c r="J585" s="329">
        <f t="shared" si="360"/>
        <v>0</v>
      </c>
      <c r="K585" s="338">
        <f t="shared" si="367"/>
        <v>3200000</v>
      </c>
      <c r="L585" s="329">
        <f t="shared" si="361"/>
        <v>0</v>
      </c>
      <c r="M585" s="338">
        <f t="shared" si="368"/>
        <v>0</v>
      </c>
      <c r="N585" s="329">
        <f t="shared" si="362"/>
        <v>0</v>
      </c>
      <c r="O585" s="338">
        <f t="shared" si="369"/>
        <v>0</v>
      </c>
      <c r="P585" s="329">
        <f t="shared" si="363"/>
        <v>0</v>
      </c>
      <c r="Q585" s="338">
        <f t="shared" si="370"/>
        <v>0</v>
      </c>
      <c r="R585" s="329">
        <f t="shared" si="364"/>
        <v>0</v>
      </c>
      <c r="S585" s="338">
        <f t="shared" si="371"/>
        <v>0</v>
      </c>
      <c r="T585" s="329">
        <f t="shared" si="365"/>
        <v>0</v>
      </c>
      <c r="U585" s="338">
        <f t="shared" si="372"/>
        <v>0</v>
      </c>
      <c r="V585" s="329">
        <f t="shared" si="366"/>
        <v>0</v>
      </c>
      <c r="W585" s="338">
        <f t="shared" si="373"/>
        <v>0</v>
      </c>
      <c r="X585" s="35"/>
    </row>
    <row r="586" spans="1:24" x14ac:dyDescent="0.25">
      <c r="A586" s="335">
        <f>A585+1</f>
        <v>44274</v>
      </c>
      <c r="B586" s="49">
        <f t="shared" si="374"/>
        <v>0</v>
      </c>
      <c r="C586" s="338">
        <f t="shared" si="376"/>
        <v>74000000</v>
      </c>
      <c r="D586" s="329">
        <f t="shared" si="375"/>
        <v>0</v>
      </c>
      <c r="E586" s="338">
        <f t="shared" si="377"/>
        <v>3307294.0006717108</v>
      </c>
      <c r="F586" s="329">
        <f t="shared" si="380"/>
        <v>0</v>
      </c>
      <c r="G586" s="338">
        <f t="shared" si="378"/>
        <v>41000000</v>
      </c>
      <c r="H586" s="329">
        <f t="shared" si="359"/>
        <v>0</v>
      </c>
      <c r="I586" s="338">
        <f t="shared" si="379"/>
        <v>15721906</v>
      </c>
      <c r="J586" s="329">
        <f t="shared" si="360"/>
        <v>0</v>
      </c>
      <c r="K586" s="338">
        <f t="shared" si="367"/>
        <v>3200000</v>
      </c>
      <c r="L586" s="329">
        <f t="shared" si="361"/>
        <v>0</v>
      </c>
      <c r="M586" s="338">
        <f t="shared" si="368"/>
        <v>0</v>
      </c>
      <c r="N586" s="329">
        <f t="shared" si="362"/>
        <v>0</v>
      </c>
      <c r="O586" s="338">
        <f t="shared" si="369"/>
        <v>0</v>
      </c>
      <c r="P586" s="329">
        <f t="shared" si="363"/>
        <v>0</v>
      </c>
      <c r="Q586" s="338">
        <f t="shared" si="370"/>
        <v>0</v>
      </c>
      <c r="R586" s="329">
        <f t="shared" si="364"/>
        <v>0</v>
      </c>
      <c r="S586" s="338">
        <f t="shared" si="371"/>
        <v>0</v>
      </c>
      <c r="T586" s="329">
        <f t="shared" si="365"/>
        <v>0</v>
      </c>
      <c r="U586" s="338">
        <f t="shared" si="372"/>
        <v>0</v>
      </c>
      <c r="V586" s="329">
        <f t="shared" si="366"/>
        <v>0</v>
      </c>
      <c r="W586" s="338">
        <f t="shared" si="373"/>
        <v>0</v>
      </c>
      <c r="X586" s="35"/>
    </row>
    <row r="587" spans="1:24" x14ac:dyDescent="0.25">
      <c r="A587" s="336">
        <f>A586+3</f>
        <v>44277</v>
      </c>
      <c r="B587" s="49">
        <f t="shared" si="374"/>
        <v>0</v>
      </c>
      <c r="C587" s="338">
        <f t="shared" si="376"/>
        <v>74000000</v>
      </c>
      <c r="D587" s="329">
        <f t="shared" si="375"/>
        <v>0</v>
      </c>
      <c r="E587" s="338">
        <f t="shared" si="377"/>
        <v>3307294.0006717108</v>
      </c>
      <c r="F587" s="329">
        <f t="shared" si="380"/>
        <v>0</v>
      </c>
      <c r="G587" s="338">
        <f t="shared" si="378"/>
        <v>41000000</v>
      </c>
      <c r="H587" s="329">
        <f t="shared" si="359"/>
        <v>0</v>
      </c>
      <c r="I587" s="338">
        <f t="shared" si="379"/>
        <v>15721906</v>
      </c>
      <c r="J587" s="329">
        <f t="shared" si="360"/>
        <v>0</v>
      </c>
      <c r="K587" s="338">
        <f t="shared" si="367"/>
        <v>3200000</v>
      </c>
      <c r="L587" s="329">
        <f t="shared" si="361"/>
        <v>0</v>
      </c>
      <c r="M587" s="338">
        <f t="shared" si="368"/>
        <v>0</v>
      </c>
      <c r="N587" s="329">
        <f t="shared" si="362"/>
        <v>0</v>
      </c>
      <c r="O587" s="338">
        <f t="shared" si="369"/>
        <v>0</v>
      </c>
      <c r="P587" s="329">
        <f t="shared" si="363"/>
        <v>0</v>
      </c>
      <c r="Q587" s="338">
        <f t="shared" si="370"/>
        <v>0</v>
      </c>
      <c r="R587" s="329">
        <f t="shared" si="364"/>
        <v>0</v>
      </c>
      <c r="S587" s="338">
        <f t="shared" si="371"/>
        <v>0</v>
      </c>
      <c r="T587" s="329">
        <f t="shared" si="365"/>
        <v>0</v>
      </c>
      <c r="U587" s="338">
        <f t="shared" si="372"/>
        <v>0</v>
      </c>
      <c r="V587" s="329">
        <f t="shared" si="366"/>
        <v>0</v>
      </c>
      <c r="W587" s="338">
        <f t="shared" si="373"/>
        <v>0</v>
      </c>
      <c r="X587" s="35"/>
    </row>
    <row r="588" spans="1:24" x14ac:dyDescent="0.25">
      <c r="A588" s="335">
        <f>A587+1</f>
        <v>44278</v>
      </c>
      <c r="B588" s="49">
        <f t="shared" si="374"/>
        <v>0</v>
      </c>
      <c r="C588" s="338">
        <f t="shared" si="376"/>
        <v>74000000</v>
      </c>
      <c r="D588" s="329">
        <f t="shared" si="375"/>
        <v>0</v>
      </c>
      <c r="E588" s="338">
        <f t="shared" si="377"/>
        <v>3307294.0006717108</v>
      </c>
      <c r="F588" s="329">
        <f t="shared" si="380"/>
        <v>0</v>
      </c>
      <c r="G588" s="338">
        <f t="shared" si="378"/>
        <v>41000000</v>
      </c>
      <c r="H588" s="329">
        <f t="shared" si="359"/>
        <v>0</v>
      </c>
      <c r="I588" s="338">
        <f t="shared" si="379"/>
        <v>15721906</v>
      </c>
      <c r="J588" s="329">
        <f t="shared" si="360"/>
        <v>700000</v>
      </c>
      <c r="K588" s="338">
        <f t="shared" si="367"/>
        <v>3900000</v>
      </c>
      <c r="L588" s="329">
        <f t="shared" si="361"/>
        <v>0</v>
      </c>
      <c r="M588" s="338">
        <f t="shared" si="368"/>
        <v>0</v>
      </c>
      <c r="N588" s="329">
        <f t="shared" si="362"/>
        <v>0</v>
      </c>
      <c r="O588" s="338">
        <f t="shared" si="369"/>
        <v>0</v>
      </c>
      <c r="P588" s="329">
        <f t="shared" si="363"/>
        <v>0</v>
      </c>
      <c r="Q588" s="338">
        <f t="shared" si="370"/>
        <v>0</v>
      </c>
      <c r="R588" s="329">
        <f t="shared" si="364"/>
        <v>0</v>
      </c>
      <c r="S588" s="338">
        <f t="shared" si="371"/>
        <v>0</v>
      </c>
      <c r="T588" s="329">
        <f t="shared" si="365"/>
        <v>0</v>
      </c>
      <c r="U588" s="338">
        <f t="shared" si="372"/>
        <v>0</v>
      </c>
      <c r="V588" s="329">
        <f t="shared" si="366"/>
        <v>0</v>
      </c>
      <c r="W588" s="338">
        <f t="shared" si="373"/>
        <v>0</v>
      </c>
      <c r="X588" s="35"/>
    </row>
    <row r="589" spans="1:24" x14ac:dyDescent="0.25">
      <c r="A589" s="335">
        <f>A588+1</f>
        <v>44279</v>
      </c>
      <c r="B589" s="49">
        <f t="shared" si="374"/>
        <v>0</v>
      </c>
      <c r="C589" s="338">
        <f t="shared" si="376"/>
        <v>74000000</v>
      </c>
      <c r="D589" s="329">
        <f t="shared" si="375"/>
        <v>0</v>
      </c>
      <c r="E589" s="338">
        <f t="shared" si="377"/>
        <v>3307294.0006717108</v>
      </c>
      <c r="F589" s="329">
        <f t="shared" si="380"/>
        <v>0</v>
      </c>
      <c r="G589" s="338">
        <f t="shared" si="378"/>
        <v>41000000</v>
      </c>
      <c r="H589" s="329">
        <f t="shared" si="359"/>
        <v>0</v>
      </c>
      <c r="I589" s="338">
        <f t="shared" si="379"/>
        <v>15721906</v>
      </c>
      <c r="J589" s="329">
        <f t="shared" si="360"/>
        <v>0</v>
      </c>
      <c r="K589" s="338">
        <f t="shared" si="367"/>
        <v>3900000</v>
      </c>
      <c r="L589" s="329">
        <f t="shared" si="361"/>
        <v>0</v>
      </c>
      <c r="M589" s="338">
        <f t="shared" si="368"/>
        <v>0</v>
      </c>
      <c r="N589" s="329">
        <f t="shared" si="362"/>
        <v>0</v>
      </c>
      <c r="O589" s="338">
        <f t="shared" si="369"/>
        <v>0</v>
      </c>
      <c r="P589" s="329">
        <f t="shared" si="363"/>
        <v>0</v>
      </c>
      <c r="Q589" s="338">
        <f t="shared" si="370"/>
        <v>0</v>
      </c>
      <c r="R589" s="329">
        <f t="shared" si="364"/>
        <v>0</v>
      </c>
      <c r="S589" s="338">
        <f t="shared" si="371"/>
        <v>0</v>
      </c>
      <c r="T589" s="329">
        <f t="shared" si="365"/>
        <v>0</v>
      </c>
      <c r="U589" s="338">
        <f t="shared" si="372"/>
        <v>0</v>
      </c>
      <c r="V589" s="329">
        <f t="shared" si="366"/>
        <v>0</v>
      </c>
      <c r="W589" s="338">
        <f t="shared" si="373"/>
        <v>0</v>
      </c>
      <c r="X589" s="35"/>
    </row>
    <row r="590" spans="1:24" x14ac:dyDescent="0.25">
      <c r="A590" s="335">
        <f>A589+1</f>
        <v>44280</v>
      </c>
      <c r="B590" s="49">
        <f t="shared" si="374"/>
        <v>0</v>
      </c>
      <c r="C590" s="338">
        <f t="shared" si="376"/>
        <v>74000000</v>
      </c>
      <c r="D590" s="329">
        <f t="shared" si="375"/>
        <v>0</v>
      </c>
      <c r="E590" s="338">
        <f t="shared" si="377"/>
        <v>3307294.0006717108</v>
      </c>
      <c r="F590" s="329">
        <f t="shared" si="380"/>
        <v>0</v>
      </c>
      <c r="G590" s="338">
        <f t="shared" si="378"/>
        <v>41000000</v>
      </c>
      <c r="H590" s="329">
        <f t="shared" si="359"/>
        <v>0</v>
      </c>
      <c r="I590" s="338">
        <f t="shared" si="379"/>
        <v>15721906</v>
      </c>
      <c r="J590" s="329">
        <f t="shared" si="360"/>
        <v>0</v>
      </c>
      <c r="K590" s="338">
        <f t="shared" si="367"/>
        <v>3900000</v>
      </c>
      <c r="L590" s="329">
        <f t="shared" si="361"/>
        <v>0</v>
      </c>
      <c r="M590" s="338">
        <f t="shared" si="368"/>
        <v>0</v>
      </c>
      <c r="N590" s="329">
        <f t="shared" si="362"/>
        <v>0</v>
      </c>
      <c r="O590" s="338">
        <f t="shared" si="369"/>
        <v>0</v>
      </c>
      <c r="P590" s="329">
        <f t="shared" si="363"/>
        <v>0</v>
      </c>
      <c r="Q590" s="338">
        <f t="shared" si="370"/>
        <v>0</v>
      </c>
      <c r="R590" s="329">
        <f t="shared" si="364"/>
        <v>0</v>
      </c>
      <c r="S590" s="338">
        <f t="shared" si="371"/>
        <v>0</v>
      </c>
      <c r="T590" s="329">
        <f t="shared" si="365"/>
        <v>0</v>
      </c>
      <c r="U590" s="338">
        <f t="shared" si="372"/>
        <v>0</v>
      </c>
      <c r="V590" s="329">
        <f t="shared" si="366"/>
        <v>0</v>
      </c>
      <c r="W590" s="338">
        <f t="shared" si="373"/>
        <v>0</v>
      </c>
      <c r="X590" s="35"/>
    </row>
    <row r="591" spans="1:24" x14ac:dyDescent="0.25">
      <c r="A591" s="335">
        <f>A590+1</f>
        <v>44281</v>
      </c>
      <c r="B591" s="49">
        <f t="shared" si="374"/>
        <v>0</v>
      </c>
      <c r="C591" s="338">
        <f t="shared" si="376"/>
        <v>74000000</v>
      </c>
      <c r="D591" s="329">
        <f t="shared" si="375"/>
        <v>0</v>
      </c>
      <c r="E591" s="338">
        <f t="shared" si="377"/>
        <v>3307294.0006717108</v>
      </c>
      <c r="F591" s="329">
        <f t="shared" si="380"/>
        <v>0</v>
      </c>
      <c r="G591" s="338">
        <f t="shared" si="378"/>
        <v>41000000</v>
      </c>
      <c r="H591" s="329">
        <f t="shared" si="359"/>
        <v>0</v>
      </c>
      <c r="I591" s="338">
        <f t="shared" si="379"/>
        <v>15721906</v>
      </c>
      <c r="J591" s="329">
        <f t="shared" si="360"/>
        <v>0</v>
      </c>
      <c r="K591" s="338">
        <f t="shared" si="367"/>
        <v>3900000</v>
      </c>
      <c r="L591" s="329">
        <f t="shared" si="361"/>
        <v>0</v>
      </c>
      <c r="M591" s="338">
        <f t="shared" si="368"/>
        <v>0</v>
      </c>
      <c r="N591" s="329">
        <f t="shared" si="362"/>
        <v>0</v>
      </c>
      <c r="O591" s="338">
        <f t="shared" si="369"/>
        <v>0</v>
      </c>
      <c r="P591" s="329">
        <f t="shared" si="363"/>
        <v>0</v>
      </c>
      <c r="Q591" s="338">
        <f t="shared" si="370"/>
        <v>0</v>
      </c>
      <c r="R591" s="329">
        <f t="shared" si="364"/>
        <v>0</v>
      </c>
      <c r="S591" s="338">
        <f t="shared" si="371"/>
        <v>0</v>
      </c>
      <c r="T591" s="329">
        <f t="shared" si="365"/>
        <v>0</v>
      </c>
      <c r="U591" s="338">
        <f t="shared" si="372"/>
        <v>0</v>
      </c>
      <c r="V591" s="329">
        <f t="shared" si="366"/>
        <v>0</v>
      </c>
      <c r="W591" s="338">
        <f t="shared" si="373"/>
        <v>0</v>
      </c>
      <c r="X591" s="35"/>
    </row>
    <row r="592" spans="1:24" x14ac:dyDescent="0.25">
      <c r="A592" s="336">
        <f>A591+3</f>
        <v>44284</v>
      </c>
      <c r="B592" s="49">
        <f t="shared" si="374"/>
        <v>0</v>
      </c>
      <c r="C592" s="338">
        <f t="shared" si="376"/>
        <v>74000000</v>
      </c>
      <c r="D592" s="329">
        <f t="shared" si="375"/>
        <v>0</v>
      </c>
      <c r="E592" s="338">
        <f t="shared" si="377"/>
        <v>3307294.0006717108</v>
      </c>
      <c r="F592" s="329">
        <f t="shared" si="380"/>
        <v>0</v>
      </c>
      <c r="G592" s="338">
        <f t="shared" si="378"/>
        <v>41000000</v>
      </c>
      <c r="H592" s="329">
        <f t="shared" si="359"/>
        <v>0</v>
      </c>
      <c r="I592" s="338">
        <f t="shared" si="379"/>
        <v>15721906</v>
      </c>
      <c r="J592" s="329">
        <f t="shared" si="360"/>
        <v>0</v>
      </c>
      <c r="K592" s="338">
        <f t="shared" si="367"/>
        <v>3900000</v>
      </c>
      <c r="L592" s="329">
        <f t="shared" si="361"/>
        <v>0</v>
      </c>
      <c r="M592" s="338">
        <f t="shared" si="368"/>
        <v>0</v>
      </c>
      <c r="N592" s="329">
        <f t="shared" si="362"/>
        <v>0</v>
      </c>
      <c r="O592" s="338">
        <f t="shared" si="369"/>
        <v>0</v>
      </c>
      <c r="P592" s="329">
        <f t="shared" si="363"/>
        <v>0</v>
      </c>
      <c r="Q592" s="338">
        <f t="shared" si="370"/>
        <v>0</v>
      </c>
      <c r="R592" s="329">
        <f t="shared" si="364"/>
        <v>0</v>
      </c>
      <c r="S592" s="338">
        <f t="shared" si="371"/>
        <v>0</v>
      </c>
      <c r="T592" s="329">
        <f t="shared" si="365"/>
        <v>0</v>
      </c>
      <c r="U592" s="338">
        <f t="shared" si="372"/>
        <v>0</v>
      </c>
      <c r="V592" s="329">
        <f t="shared" si="366"/>
        <v>0</v>
      </c>
      <c r="W592" s="338">
        <f t="shared" si="373"/>
        <v>0</v>
      </c>
      <c r="X592" s="35"/>
    </row>
    <row r="593" spans="1:24" x14ac:dyDescent="0.25">
      <c r="A593" s="335">
        <f>A592+1</f>
        <v>44285</v>
      </c>
      <c r="B593" s="49">
        <f t="shared" si="374"/>
        <v>0</v>
      </c>
      <c r="C593" s="338">
        <f t="shared" si="376"/>
        <v>74000000</v>
      </c>
      <c r="D593" s="329">
        <f t="shared" si="375"/>
        <v>0</v>
      </c>
      <c r="E593" s="338">
        <f t="shared" si="377"/>
        <v>3307294.0006717108</v>
      </c>
      <c r="F593" s="329">
        <f t="shared" si="380"/>
        <v>0</v>
      </c>
      <c r="G593" s="338">
        <f t="shared" si="378"/>
        <v>41000000</v>
      </c>
      <c r="H593" s="329">
        <f t="shared" si="359"/>
        <v>0</v>
      </c>
      <c r="I593" s="338">
        <f t="shared" si="379"/>
        <v>15721906</v>
      </c>
      <c r="J593" s="329">
        <f t="shared" si="360"/>
        <v>0</v>
      </c>
      <c r="K593" s="338">
        <f t="shared" si="367"/>
        <v>3900000</v>
      </c>
      <c r="L593" s="329">
        <f t="shared" si="361"/>
        <v>0</v>
      </c>
      <c r="M593" s="338">
        <f t="shared" si="368"/>
        <v>0</v>
      </c>
      <c r="N593" s="329">
        <f t="shared" si="362"/>
        <v>0</v>
      </c>
      <c r="O593" s="338">
        <f t="shared" si="369"/>
        <v>0</v>
      </c>
      <c r="P593" s="329">
        <f t="shared" si="363"/>
        <v>0</v>
      </c>
      <c r="Q593" s="338">
        <f t="shared" si="370"/>
        <v>0</v>
      </c>
      <c r="R593" s="329">
        <f t="shared" si="364"/>
        <v>0</v>
      </c>
      <c r="S593" s="338">
        <f t="shared" si="371"/>
        <v>0</v>
      </c>
      <c r="T593" s="329">
        <f t="shared" si="365"/>
        <v>0</v>
      </c>
      <c r="U593" s="338">
        <f t="shared" si="372"/>
        <v>0</v>
      </c>
      <c r="V593" s="329">
        <f t="shared" si="366"/>
        <v>0</v>
      </c>
      <c r="W593" s="338">
        <f t="shared" si="373"/>
        <v>0</v>
      </c>
      <c r="X593" s="35"/>
    </row>
    <row r="594" spans="1:24" x14ac:dyDescent="0.25">
      <c r="A594" s="335">
        <f>A593+1</f>
        <v>44286</v>
      </c>
      <c r="B594" s="49">
        <f t="shared" si="374"/>
        <v>0</v>
      </c>
      <c r="C594" s="338">
        <f t="shared" si="376"/>
        <v>74000000</v>
      </c>
      <c r="D594" s="329">
        <f t="shared" si="375"/>
        <v>0</v>
      </c>
      <c r="E594" s="338">
        <f t="shared" si="377"/>
        <v>3307294.0006717108</v>
      </c>
      <c r="F594" s="329">
        <f t="shared" si="380"/>
        <v>0</v>
      </c>
      <c r="G594" s="338">
        <f t="shared" si="378"/>
        <v>41000000</v>
      </c>
      <c r="H594" s="329">
        <f t="shared" si="359"/>
        <v>0</v>
      </c>
      <c r="I594" s="338">
        <f t="shared" si="379"/>
        <v>15721906</v>
      </c>
      <c r="J594" s="329">
        <f t="shared" si="360"/>
        <v>0</v>
      </c>
      <c r="K594" s="338">
        <f t="shared" si="367"/>
        <v>3900000</v>
      </c>
      <c r="L594" s="329">
        <f t="shared" si="361"/>
        <v>0</v>
      </c>
      <c r="M594" s="338">
        <f t="shared" si="368"/>
        <v>0</v>
      </c>
      <c r="N594" s="329">
        <f t="shared" si="362"/>
        <v>0</v>
      </c>
      <c r="O594" s="338">
        <f t="shared" si="369"/>
        <v>0</v>
      </c>
      <c r="P594" s="329">
        <f t="shared" si="363"/>
        <v>0</v>
      </c>
      <c r="Q594" s="338">
        <f t="shared" si="370"/>
        <v>0</v>
      </c>
      <c r="R594" s="329">
        <f t="shared" si="364"/>
        <v>0</v>
      </c>
      <c r="S594" s="338">
        <f t="shared" si="371"/>
        <v>0</v>
      </c>
      <c r="T594" s="329">
        <f t="shared" si="365"/>
        <v>0</v>
      </c>
      <c r="U594" s="338">
        <f t="shared" si="372"/>
        <v>0</v>
      </c>
      <c r="V594" s="329">
        <f t="shared" si="366"/>
        <v>0</v>
      </c>
      <c r="W594" s="338">
        <f t="shared" si="373"/>
        <v>0</v>
      </c>
      <c r="X594" s="35"/>
    </row>
    <row r="595" spans="1:24" x14ac:dyDescent="0.25">
      <c r="A595" s="335">
        <f>A594+1</f>
        <v>44287</v>
      </c>
      <c r="B595" s="49">
        <f t="shared" si="374"/>
        <v>0</v>
      </c>
      <c r="C595" s="338">
        <f t="shared" si="376"/>
        <v>74000000</v>
      </c>
      <c r="D595" s="329">
        <f t="shared" si="375"/>
        <v>0</v>
      </c>
      <c r="E595" s="338">
        <f t="shared" si="377"/>
        <v>3307294.0006717108</v>
      </c>
      <c r="F595" s="329">
        <f t="shared" si="380"/>
        <v>0</v>
      </c>
      <c r="G595" s="338">
        <f t="shared" si="378"/>
        <v>41000000</v>
      </c>
      <c r="H595" s="329">
        <f t="shared" si="359"/>
        <v>0</v>
      </c>
      <c r="I595" s="338">
        <f t="shared" si="379"/>
        <v>15721906</v>
      </c>
      <c r="J595" s="329">
        <f t="shared" si="360"/>
        <v>0</v>
      </c>
      <c r="K595" s="338">
        <f t="shared" si="367"/>
        <v>3900000</v>
      </c>
      <c r="L595" s="329">
        <f t="shared" si="361"/>
        <v>0</v>
      </c>
      <c r="M595" s="338">
        <f t="shared" si="368"/>
        <v>0</v>
      </c>
      <c r="N595" s="329">
        <f t="shared" si="362"/>
        <v>0</v>
      </c>
      <c r="O595" s="338">
        <f t="shared" si="369"/>
        <v>0</v>
      </c>
      <c r="P595" s="329">
        <f t="shared" si="363"/>
        <v>0</v>
      </c>
      <c r="Q595" s="338">
        <f t="shared" si="370"/>
        <v>0</v>
      </c>
      <c r="R595" s="329">
        <f t="shared" si="364"/>
        <v>0</v>
      </c>
      <c r="S595" s="338">
        <f t="shared" si="371"/>
        <v>0</v>
      </c>
      <c r="T595" s="329">
        <f t="shared" si="365"/>
        <v>0</v>
      </c>
      <c r="U595" s="338">
        <f t="shared" si="372"/>
        <v>0</v>
      </c>
      <c r="V595" s="329">
        <f t="shared" si="366"/>
        <v>0</v>
      </c>
      <c r="W595" s="338">
        <f t="shared" si="373"/>
        <v>0</v>
      </c>
      <c r="X595" s="35"/>
    </row>
    <row r="596" spans="1:24" x14ac:dyDescent="0.25">
      <c r="A596" s="336">
        <f>A595+4</f>
        <v>44291</v>
      </c>
      <c r="B596" s="49">
        <f t="shared" si="374"/>
        <v>0</v>
      </c>
      <c r="C596" s="338">
        <f t="shared" si="376"/>
        <v>74000000</v>
      </c>
      <c r="D596" s="329">
        <f t="shared" si="375"/>
        <v>0</v>
      </c>
      <c r="E596" s="338">
        <f t="shared" si="377"/>
        <v>3307294.0006717108</v>
      </c>
      <c r="F596" s="329">
        <f t="shared" si="380"/>
        <v>0</v>
      </c>
      <c r="G596" s="338">
        <f t="shared" si="378"/>
        <v>41000000</v>
      </c>
      <c r="H596" s="329">
        <f t="shared" si="359"/>
        <v>0</v>
      </c>
      <c r="I596" s="338">
        <f t="shared" si="379"/>
        <v>15721906</v>
      </c>
      <c r="J596" s="329">
        <f t="shared" si="360"/>
        <v>0</v>
      </c>
      <c r="K596" s="338">
        <f t="shared" si="367"/>
        <v>3900000</v>
      </c>
      <c r="L596" s="329">
        <f t="shared" si="361"/>
        <v>0</v>
      </c>
      <c r="M596" s="338">
        <f t="shared" si="368"/>
        <v>0</v>
      </c>
      <c r="N596" s="329">
        <f t="shared" si="362"/>
        <v>0</v>
      </c>
      <c r="O596" s="338">
        <f t="shared" si="369"/>
        <v>0</v>
      </c>
      <c r="P596" s="329">
        <f t="shared" si="363"/>
        <v>0</v>
      </c>
      <c r="Q596" s="338">
        <f t="shared" si="370"/>
        <v>0</v>
      </c>
      <c r="R596" s="329">
        <f t="shared" si="364"/>
        <v>0</v>
      </c>
      <c r="S596" s="338">
        <f t="shared" si="371"/>
        <v>0</v>
      </c>
      <c r="T596" s="329">
        <f t="shared" si="365"/>
        <v>0</v>
      </c>
      <c r="U596" s="338">
        <f t="shared" si="372"/>
        <v>0</v>
      </c>
      <c r="V596" s="329">
        <f t="shared" si="366"/>
        <v>0</v>
      </c>
      <c r="W596" s="338">
        <f t="shared" si="373"/>
        <v>0</v>
      </c>
      <c r="X596" s="35"/>
    </row>
    <row r="597" spans="1:24" x14ac:dyDescent="0.25">
      <c r="A597" s="335">
        <f t="shared" ref="A597:A600" si="381">A596+1</f>
        <v>44292</v>
      </c>
      <c r="B597" s="49">
        <f t="shared" si="374"/>
        <v>0</v>
      </c>
      <c r="C597" s="338">
        <f t="shared" si="376"/>
        <v>74000000</v>
      </c>
      <c r="D597" s="329">
        <f t="shared" si="375"/>
        <v>0</v>
      </c>
      <c r="E597" s="338">
        <f t="shared" si="377"/>
        <v>3307294.0006717108</v>
      </c>
      <c r="F597" s="329">
        <f t="shared" si="380"/>
        <v>0</v>
      </c>
      <c r="G597" s="338">
        <f t="shared" si="378"/>
        <v>41000000</v>
      </c>
      <c r="H597" s="329">
        <f t="shared" si="359"/>
        <v>0</v>
      </c>
      <c r="I597" s="338">
        <f t="shared" si="379"/>
        <v>15721906</v>
      </c>
      <c r="J597" s="329">
        <f t="shared" si="360"/>
        <v>0</v>
      </c>
      <c r="K597" s="338">
        <f t="shared" si="367"/>
        <v>3900000</v>
      </c>
      <c r="L597" s="329">
        <f t="shared" si="361"/>
        <v>0</v>
      </c>
      <c r="M597" s="338">
        <f t="shared" si="368"/>
        <v>0</v>
      </c>
      <c r="N597" s="329">
        <f t="shared" si="362"/>
        <v>0</v>
      </c>
      <c r="O597" s="338">
        <f t="shared" si="369"/>
        <v>0</v>
      </c>
      <c r="P597" s="329">
        <f t="shared" si="363"/>
        <v>0</v>
      </c>
      <c r="Q597" s="338">
        <f t="shared" si="370"/>
        <v>0</v>
      </c>
      <c r="R597" s="329">
        <f t="shared" si="364"/>
        <v>0</v>
      </c>
      <c r="S597" s="338">
        <f t="shared" si="371"/>
        <v>0</v>
      </c>
      <c r="T597" s="329">
        <f t="shared" si="365"/>
        <v>0</v>
      </c>
      <c r="U597" s="338">
        <f t="shared" si="372"/>
        <v>0</v>
      </c>
      <c r="V597" s="329">
        <f t="shared" si="366"/>
        <v>0</v>
      </c>
      <c r="W597" s="338">
        <f t="shared" si="373"/>
        <v>0</v>
      </c>
      <c r="X597" s="35"/>
    </row>
    <row r="598" spans="1:24" x14ac:dyDescent="0.25">
      <c r="A598" s="335">
        <f t="shared" si="381"/>
        <v>44293</v>
      </c>
      <c r="B598" s="49">
        <f t="shared" si="374"/>
        <v>0</v>
      </c>
      <c r="C598" s="338">
        <f t="shared" si="376"/>
        <v>74000000</v>
      </c>
      <c r="D598" s="329">
        <f t="shared" si="375"/>
        <v>0</v>
      </c>
      <c r="E598" s="338">
        <f t="shared" si="377"/>
        <v>3307294.0006717108</v>
      </c>
      <c r="F598" s="329">
        <f t="shared" si="380"/>
        <v>0</v>
      </c>
      <c r="G598" s="338">
        <f t="shared" si="378"/>
        <v>41000000</v>
      </c>
      <c r="H598" s="329">
        <f t="shared" si="359"/>
        <v>0</v>
      </c>
      <c r="I598" s="338">
        <f t="shared" si="379"/>
        <v>15721906</v>
      </c>
      <c r="J598" s="329">
        <f t="shared" si="360"/>
        <v>0</v>
      </c>
      <c r="K598" s="338">
        <f t="shared" si="367"/>
        <v>3900000</v>
      </c>
      <c r="L598" s="329">
        <f t="shared" si="361"/>
        <v>0</v>
      </c>
      <c r="M598" s="338">
        <f t="shared" si="368"/>
        <v>0</v>
      </c>
      <c r="N598" s="329">
        <f t="shared" si="362"/>
        <v>0</v>
      </c>
      <c r="O598" s="338">
        <f t="shared" si="369"/>
        <v>0</v>
      </c>
      <c r="P598" s="329">
        <f t="shared" si="363"/>
        <v>0</v>
      </c>
      <c r="Q598" s="338">
        <f t="shared" si="370"/>
        <v>0</v>
      </c>
      <c r="R598" s="329">
        <f t="shared" si="364"/>
        <v>0</v>
      </c>
      <c r="S598" s="338">
        <f t="shared" si="371"/>
        <v>0</v>
      </c>
      <c r="T598" s="329">
        <f t="shared" si="365"/>
        <v>0</v>
      </c>
      <c r="U598" s="338">
        <f t="shared" si="372"/>
        <v>0</v>
      </c>
      <c r="V598" s="329">
        <f t="shared" si="366"/>
        <v>0</v>
      </c>
      <c r="W598" s="338">
        <f t="shared" si="373"/>
        <v>0</v>
      </c>
      <c r="X598" s="35"/>
    </row>
    <row r="599" spans="1:24" x14ac:dyDescent="0.25">
      <c r="A599" s="335">
        <f t="shared" si="381"/>
        <v>44294</v>
      </c>
      <c r="B599" s="49">
        <f t="shared" si="374"/>
        <v>0</v>
      </c>
      <c r="C599" s="338">
        <f t="shared" si="376"/>
        <v>74000000</v>
      </c>
      <c r="D599" s="329">
        <f t="shared" si="375"/>
        <v>0</v>
      </c>
      <c r="E599" s="338">
        <f t="shared" si="377"/>
        <v>3307294.0006717108</v>
      </c>
      <c r="F599" s="329">
        <f t="shared" si="380"/>
        <v>0</v>
      </c>
      <c r="G599" s="338">
        <f t="shared" si="378"/>
        <v>41000000</v>
      </c>
      <c r="H599" s="329">
        <f t="shared" si="359"/>
        <v>0</v>
      </c>
      <c r="I599" s="338">
        <f t="shared" si="379"/>
        <v>15721906</v>
      </c>
      <c r="J599" s="329">
        <f t="shared" si="360"/>
        <v>0</v>
      </c>
      <c r="K599" s="338">
        <f t="shared" si="367"/>
        <v>3900000</v>
      </c>
      <c r="L599" s="329">
        <f t="shared" si="361"/>
        <v>0</v>
      </c>
      <c r="M599" s="338">
        <f t="shared" si="368"/>
        <v>0</v>
      </c>
      <c r="N599" s="329">
        <f t="shared" si="362"/>
        <v>0</v>
      </c>
      <c r="O599" s="338">
        <f t="shared" si="369"/>
        <v>0</v>
      </c>
      <c r="P599" s="329">
        <f t="shared" si="363"/>
        <v>0</v>
      </c>
      <c r="Q599" s="338">
        <f t="shared" si="370"/>
        <v>0</v>
      </c>
      <c r="R599" s="329">
        <f t="shared" si="364"/>
        <v>0</v>
      </c>
      <c r="S599" s="338">
        <f t="shared" si="371"/>
        <v>0</v>
      </c>
      <c r="T599" s="329">
        <f t="shared" si="365"/>
        <v>0</v>
      </c>
      <c r="U599" s="338">
        <f t="shared" si="372"/>
        <v>0</v>
      </c>
      <c r="V599" s="329">
        <f t="shared" si="366"/>
        <v>0</v>
      </c>
      <c r="W599" s="338">
        <f t="shared" si="373"/>
        <v>0</v>
      </c>
      <c r="X599" s="35"/>
    </row>
    <row r="600" spans="1:24" x14ac:dyDescent="0.25">
      <c r="A600" s="335">
        <f t="shared" si="381"/>
        <v>44295</v>
      </c>
      <c r="B600" s="49">
        <f t="shared" si="374"/>
        <v>0</v>
      </c>
      <c r="C600" s="338">
        <f t="shared" si="376"/>
        <v>74000000</v>
      </c>
      <c r="D600" s="329">
        <f t="shared" si="375"/>
        <v>0</v>
      </c>
      <c r="E600" s="338">
        <f t="shared" si="377"/>
        <v>3307294.0006717108</v>
      </c>
      <c r="F600" s="329">
        <f t="shared" si="380"/>
        <v>0</v>
      </c>
      <c r="G600" s="338">
        <f t="shared" si="378"/>
        <v>41000000</v>
      </c>
      <c r="H600" s="329">
        <f t="shared" si="359"/>
        <v>0</v>
      </c>
      <c r="I600" s="338">
        <f t="shared" si="379"/>
        <v>15721906</v>
      </c>
      <c r="J600" s="329">
        <f t="shared" si="360"/>
        <v>0</v>
      </c>
      <c r="K600" s="338">
        <f t="shared" si="367"/>
        <v>3900000</v>
      </c>
      <c r="L600" s="329">
        <f t="shared" si="361"/>
        <v>0</v>
      </c>
      <c r="M600" s="338">
        <f t="shared" si="368"/>
        <v>0</v>
      </c>
      <c r="N600" s="329">
        <f t="shared" si="362"/>
        <v>0</v>
      </c>
      <c r="O600" s="338">
        <f t="shared" si="369"/>
        <v>0</v>
      </c>
      <c r="P600" s="329">
        <f t="shared" si="363"/>
        <v>0</v>
      </c>
      <c r="Q600" s="338">
        <f t="shared" si="370"/>
        <v>0</v>
      </c>
      <c r="R600" s="329">
        <f t="shared" si="364"/>
        <v>0</v>
      </c>
      <c r="S600" s="338">
        <f t="shared" si="371"/>
        <v>0</v>
      </c>
      <c r="T600" s="329">
        <f t="shared" si="365"/>
        <v>0</v>
      </c>
      <c r="U600" s="338">
        <f t="shared" si="372"/>
        <v>0</v>
      </c>
      <c r="V600" s="329">
        <f t="shared" si="366"/>
        <v>0</v>
      </c>
      <c r="W600" s="338">
        <f t="shared" si="373"/>
        <v>0</v>
      </c>
      <c r="X600" s="35"/>
    </row>
    <row r="601" spans="1:24" x14ac:dyDescent="0.25">
      <c r="A601" s="336">
        <f>A600+3</f>
        <v>44298</v>
      </c>
      <c r="B601" s="49">
        <f t="shared" si="374"/>
        <v>0</v>
      </c>
      <c r="C601" s="338">
        <f t="shared" si="376"/>
        <v>74000000</v>
      </c>
      <c r="D601" s="329">
        <f t="shared" si="375"/>
        <v>1900000</v>
      </c>
      <c r="E601" s="338">
        <f t="shared" si="377"/>
        <v>5207294.0006717108</v>
      </c>
      <c r="F601" s="329">
        <f t="shared" si="380"/>
        <v>0</v>
      </c>
      <c r="G601" s="338">
        <f t="shared" si="378"/>
        <v>41000000</v>
      </c>
      <c r="H601" s="329">
        <f t="shared" si="359"/>
        <v>8000000</v>
      </c>
      <c r="I601" s="338">
        <f t="shared" si="379"/>
        <v>23721906</v>
      </c>
      <c r="J601" s="329">
        <f t="shared" si="360"/>
        <v>0</v>
      </c>
      <c r="K601" s="338">
        <f t="shared" si="367"/>
        <v>3900000</v>
      </c>
      <c r="L601" s="329">
        <f t="shared" si="361"/>
        <v>0</v>
      </c>
      <c r="M601" s="338">
        <f t="shared" si="368"/>
        <v>0</v>
      </c>
      <c r="N601" s="329">
        <f t="shared" si="362"/>
        <v>0</v>
      </c>
      <c r="O601" s="338">
        <f t="shared" si="369"/>
        <v>0</v>
      </c>
      <c r="P601" s="329">
        <f t="shared" si="363"/>
        <v>0</v>
      </c>
      <c r="Q601" s="338">
        <f t="shared" si="370"/>
        <v>0</v>
      </c>
      <c r="R601" s="329">
        <f t="shared" si="364"/>
        <v>0</v>
      </c>
      <c r="S601" s="338">
        <f t="shared" si="371"/>
        <v>0</v>
      </c>
      <c r="T601" s="329">
        <f t="shared" si="365"/>
        <v>0</v>
      </c>
      <c r="U601" s="338">
        <f t="shared" si="372"/>
        <v>0</v>
      </c>
      <c r="V601" s="329">
        <f t="shared" si="366"/>
        <v>0</v>
      </c>
      <c r="W601" s="338">
        <f t="shared" si="373"/>
        <v>0</v>
      </c>
      <c r="X601" s="35"/>
    </row>
    <row r="602" spans="1:24" x14ac:dyDescent="0.25">
      <c r="A602" s="335">
        <f>A601+1</f>
        <v>44299</v>
      </c>
      <c r="B602" s="49">
        <f t="shared" si="374"/>
        <v>0</v>
      </c>
      <c r="C602" s="338">
        <f t="shared" si="376"/>
        <v>74000000</v>
      </c>
      <c r="D602" s="329">
        <f t="shared" si="375"/>
        <v>0</v>
      </c>
      <c r="E602" s="338">
        <f t="shared" si="377"/>
        <v>5207294.0006717108</v>
      </c>
      <c r="F602" s="329">
        <f t="shared" si="380"/>
        <v>0</v>
      </c>
      <c r="G602" s="338">
        <f t="shared" si="378"/>
        <v>41000000</v>
      </c>
      <c r="H602" s="329">
        <f t="shared" si="359"/>
        <v>0</v>
      </c>
      <c r="I602" s="338">
        <f t="shared" si="379"/>
        <v>23721906</v>
      </c>
      <c r="J602" s="329">
        <f t="shared" si="360"/>
        <v>0</v>
      </c>
      <c r="K602" s="338">
        <f t="shared" si="367"/>
        <v>3900000</v>
      </c>
      <c r="L602" s="329">
        <f t="shared" si="361"/>
        <v>0</v>
      </c>
      <c r="M602" s="338">
        <f t="shared" si="368"/>
        <v>0</v>
      </c>
      <c r="N602" s="329">
        <f t="shared" si="362"/>
        <v>0</v>
      </c>
      <c r="O602" s="338">
        <f t="shared" si="369"/>
        <v>0</v>
      </c>
      <c r="P602" s="329">
        <f t="shared" si="363"/>
        <v>0</v>
      </c>
      <c r="Q602" s="338">
        <f t="shared" si="370"/>
        <v>0</v>
      </c>
      <c r="R602" s="329">
        <f t="shared" si="364"/>
        <v>0</v>
      </c>
      <c r="S602" s="338">
        <f t="shared" si="371"/>
        <v>0</v>
      </c>
      <c r="T602" s="329">
        <f t="shared" si="365"/>
        <v>0</v>
      </c>
      <c r="U602" s="338">
        <f t="shared" si="372"/>
        <v>0</v>
      </c>
      <c r="V602" s="329">
        <f t="shared" si="366"/>
        <v>0</v>
      </c>
      <c r="W602" s="338">
        <f t="shared" si="373"/>
        <v>0</v>
      </c>
      <c r="X602" s="35"/>
    </row>
    <row r="603" spans="1:24" x14ac:dyDescent="0.25">
      <c r="A603" s="335">
        <f>A602+1</f>
        <v>44300</v>
      </c>
      <c r="B603" s="49">
        <f t="shared" si="374"/>
        <v>0</v>
      </c>
      <c r="C603" s="338">
        <f t="shared" si="376"/>
        <v>74000000</v>
      </c>
      <c r="D603" s="329">
        <f t="shared" si="375"/>
        <v>0</v>
      </c>
      <c r="E603" s="338">
        <f t="shared" si="377"/>
        <v>5207294.0006717108</v>
      </c>
      <c r="F603" s="329">
        <f t="shared" si="380"/>
        <v>0</v>
      </c>
      <c r="G603" s="338">
        <f t="shared" si="378"/>
        <v>41000000</v>
      </c>
      <c r="H603" s="329">
        <f t="shared" si="359"/>
        <v>0</v>
      </c>
      <c r="I603" s="338">
        <f t="shared" si="379"/>
        <v>23721906</v>
      </c>
      <c r="J603" s="329">
        <f t="shared" si="360"/>
        <v>0</v>
      </c>
      <c r="K603" s="338">
        <f t="shared" si="367"/>
        <v>3900000</v>
      </c>
      <c r="L603" s="329">
        <f t="shared" si="361"/>
        <v>0</v>
      </c>
      <c r="M603" s="338">
        <f t="shared" si="368"/>
        <v>0</v>
      </c>
      <c r="N603" s="329">
        <f t="shared" si="362"/>
        <v>0</v>
      </c>
      <c r="O603" s="338">
        <f t="shared" si="369"/>
        <v>0</v>
      </c>
      <c r="P603" s="329">
        <f t="shared" si="363"/>
        <v>0</v>
      </c>
      <c r="Q603" s="338">
        <f t="shared" si="370"/>
        <v>0</v>
      </c>
      <c r="R603" s="329">
        <f t="shared" si="364"/>
        <v>0</v>
      </c>
      <c r="S603" s="338">
        <f t="shared" si="371"/>
        <v>0</v>
      </c>
      <c r="T603" s="329">
        <f t="shared" si="365"/>
        <v>0</v>
      </c>
      <c r="U603" s="338">
        <f t="shared" si="372"/>
        <v>0</v>
      </c>
      <c r="V603" s="329">
        <f t="shared" si="366"/>
        <v>0</v>
      </c>
      <c r="W603" s="338">
        <f t="shared" si="373"/>
        <v>0</v>
      </c>
      <c r="X603" s="35"/>
    </row>
    <row r="604" spans="1:24" x14ac:dyDescent="0.25">
      <c r="A604" s="335">
        <f>A603+1</f>
        <v>44301</v>
      </c>
      <c r="B604" s="49">
        <f t="shared" si="374"/>
        <v>0</v>
      </c>
      <c r="C604" s="338">
        <f t="shared" si="376"/>
        <v>74000000</v>
      </c>
      <c r="D604" s="329">
        <f t="shared" si="375"/>
        <v>0</v>
      </c>
      <c r="E604" s="338">
        <f t="shared" si="377"/>
        <v>5207294.0006717108</v>
      </c>
      <c r="F604" s="329">
        <f t="shared" si="380"/>
        <v>0</v>
      </c>
      <c r="G604" s="338">
        <f t="shared" si="378"/>
        <v>41000000</v>
      </c>
      <c r="H604" s="329">
        <f t="shared" si="359"/>
        <v>0</v>
      </c>
      <c r="I604" s="338">
        <f t="shared" si="379"/>
        <v>23721906</v>
      </c>
      <c r="J604" s="329">
        <f t="shared" si="360"/>
        <v>0</v>
      </c>
      <c r="K604" s="338">
        <f t="shared" si="367"/>
        <v>3900000</v>
      </c>
      <c r="L604" s="329">
        <f t="shared" si="361"/>
        <v>0</v>
      </c>
      <c r="M604" s="338">
        <f t="shared" si="368"/>
        <v>0</v>
      </c>
      <c r="N604" s="329">
        <f t="shared" si="362"/>
        <v>0</v>
      </c>
      <c r="O604" s="338">
        <f t="shared" si="369"/>
        <v>0</v>
      </c>
      <c r="P604" s="329">
        <f t="shared" si="363"/>
        <v>0</v>
      </c>
      <c r="Q604" s="338">
        <f t="shared" si="370"/>
        <v>0</v>
      </c>
      <c r="R604" s="329">
        <f t="shared" si="364"/>
        <v>0</v>
      </c>
      <c r="S604" s="338">
        <f t="shared" si="371"/>
        <v>0</v>
      </c>
      <c r="T604" s="329">
        <f t="shared" si="365"/>
        <v>0</v>
      </c>
      <c r="U604" s="338">
        <f t="shared" si="372"/>
        <v>0</v>
      </c>
      <c r="V604" s="329">
        <f t="shared" si="366"/>
        <v>0</v>
      </c>
      <c r="W604" s="338">
        <f t="shared" si="373"/>
        <v>0</v>
      </c>
      <c r="X604" s="35"/>
    </row>
    <row r="605" spans="1:24" x14ac:dyDescent="0.25">
      <c r="A605" s="335">
        <f>A604+1</f>
        <v>44302</v>
      </c>
      <c r="B605" s="49">
        <f t="shared" si="374"/>
        <v>0</v>
      </c>
      <c r="C605" s="338">
        <f t="shared" si="376"/>
        <v>74000000</v>
      </c>
      <c r="D605" s="329">
        <f t="shared" si="375"/>
        <v>0</v>
      </c>
      <c r="E605" s="338">
        <f t="shared" si="377"/>
        <v>5207294.0006717108</v>
      </c>
      <c r="F605" s="329">
        <f t="shared" si="380"/>
        <v>0</v>
      </c>
      <c r="G605" s="338">
        <f t="shared" si="378"/>
        <v>41000000</v>
      </c>
      <c r="H605" s="329">
        <f t="shared" si="359"/>
        <v>0</v>
      </c>
      <c r="I605" s="338">
        <f t="shared" si="379"/>
        <v>23721906</v>
      </c>
      <c r="J605" s="329">
        <f t="shared" si="360"/>
        <v>0</v>
      </c>
      <c r="K605" s="338">
        <f t="shared" si="367"/>
        <v>3900000</v>
      </c>
      <c r="L605" s="329">
        <f t="shared" si="361"/>
        <v>0</v>
      </c>
      <c r="M605" s="338">
        <f t="shared" si="368"/>
        <v>0</v>
      </c>
      <c r="N605" s="329">
        <f t="shared" si="362"/>
        <v>0</v>
      </c>
      <c r="O605" s="338">
        <f t="shared" si="369"/>
        <v>0</v>
      </c>
      <c r="P605" s="329">
        <f t="shared" si="363"/>
        <v>0</v>
      </c>
      <c r="Q605" s="338">
        <f t="shared" si="370"/>
        <v>0</v>
      </c>
      <c r="R605" s="329">
        <f t="shared" si="364"/>
        <v>0</v>
      </c>
      <c r="S605" s="338">
        <f t="shared" si="371"/>
        <v>0</v>
      </c>
      <c r="T605" s="329">
        <f t="shared" si="365"/>
        <v>0</v>
      </c>
      <c r="U605" s="338">
        <f t="shared" si="372"/>
        <v>0</v>
      </c>
      <c r="V605" s="329">
        <f t="shared" si="366"/>
        <v>0</v>
      </c>
      <c r="W605" s="338">
        <f t="shared" si="373"/>
        <v>0</v>
      </c>
      <c r="X605" s="35"/>
    </row>
    <row r="606" spans="1:24" x14ac:dyDescent="0.25">
      <c r="A606" s="336">
        <f>A605+3</f>
        <v>44305</v>
      </c>
      <c r="B606" s="49">
        <f t="shared" si="374"/>
        <v>0</v>
      </c>
      <c r="C606" s="338">
        <f t="shared" si="376"/>
        <v>74000000</v>
      </c>
      <c r="D606" s="329">
        <f t="shared" si="375"/>
        <v>0</v>
      </c>
      <c r="E606" s="338">
        <f t="shared" si="377"/>
        <v>5207294.0006717108</v>
      </c>
      <c r="F606" s="329">
        <f t="shared" si="380"/>
        <v>0</v>
      </c>
      <c r="G606" s="338">
        <f t="shared" si="378"/>
        <v>41000000</v>
      </c>
      <c r="H606" s="329">
        <f t="shared" si="359"/>
        <v>0</v>
      </c>
      <c r="I606" s="338">
        <f t="shared" si="379"/>
        <v>23721906</v>
      </c>
      <c r="J606" s="329">
        <f t="shared" si="360"/>
        <v>0</v>
      </c>
      <c r="K606" s="338">
        <f t="shared" si="367"/>
        <v>3900000</v>
      </c>
      <c r="L606" s="329">
        <f t="shared" si="361"/>
        <v>0</v>
      </c>
      <c r="M606" s="338">
        <f t="shared" si="368"/>
        <v>0</v>
      </c>
      <c r="N606" s="329">
        <f t="shared" si="362"/>
        <v>0</v>
      </c>
      <c r="O606" s="338">
        <f t="shared" si="369"/>
        <v>0</v>
      </c>
      <c r="P606" s="329">
        <f t="shared" si="363"/>
        <v>0</v>
      </c>
      <c r="Q606" s="338">
        <f t="shared" si="370"/>
        <v>0</v>
      </c>
      <c r="R606" s="329">
        <f t="shared" si="364"/>
        <v>0</v>
      </c>
      <c r="S606" s="338">
        <f t="shared" si="371"/>
        <v>0</v>
      </c>
      <c r="T606" s="329">
        <f t="shared" si="365"/>
        <v>0</v>
      </c>
      <c r="U606" s="338">
        <f t="shared" si="372"/>
        <v>0</v>
      </c>
      <c r="V606" s="329">
        <f t="shared" si="366"/>
        <v>0</v>
      </c>
      <c r="W606" s="338">
        <f t="shared" si="373"/>
        <v>0</v>
      </c>
      <c r="X606" s="35"/>
    </row>
    <row r="607" spans="1:24" x14ac:dyDescent="0.25">
      <c r="A607" s="335">
        <f>A606+1</f>
        <v>44306</v>
      </c>
      <c r="B607" s="49">
        <f t="shared" si="374"/>
        <v>0</v>
      </c>
      <c r="C607" s="338">
        <f t="shared" si="376"/>
        <v>74000000</v>
      </c>
      <c r="D607" s="329">
        <f t="shared" si="375"/>
        <v>0</v>
      </c>
      <c r="E607" s="338">
        <f t="shared" si="377"/>
        <v>5207294.0006717108</v>
      </c>
      <c r="F607" s="329">
        <f t="shared" si="380"/>
        <v>0</v>
      </c>
      <c r="G607" s="338">
        <f t="shared" si="378"/>
        <v>41000000</v>
      </c>
      <c r="H607" s="329">
        <f t="shared" si="359"/>
        <v>0</v>
      </c>
      <c r="I607" s="338">
        <f t="shared" si="379"/>
        <v>23721906</v>
      </c>
      <c r="J607" s="329">
        <f t="shared" si="360"/>
        <v>0</v>
      </c>
      <c r="K607" s="338">
        <f t="shared" si="367"/>
        <v>3900000</v>
      </c>
      <c r="L607" s="329">
        <f t="shared" si="361"/>
        <v>0</v>
      </c>
      <c r="M607" s="338">
        <f t="shared" si="368"/>
        <v>0</v>
      </c>
      <c r="N607" s="329">
        <f t="shared" si="362"/>
        <v>0</v>
      </c>
      <c r="O607" s="338">
        <f t="shared" si="369"/>
        <v>0</v>
      </c>
      <c r="P607" s="329">
        <f t="shared" si="363"/>
        <v>0</v>
      </c>
      <c r="Q607" s="338">
        <f t="shared" si="370"/>
        <v>0</v>
      </c>
      <c r="R607" s="329">
        <f t="shared" si="364"/>
        <v>0</v>
      </c>
      <c r="S607" s="338">
        <f t="shared" si="371"/>
        <v>0</v>
      </c>
      <c r="T607" s="329">
        <f t="shared" si="365"/>
        <v>0</v>
      </c>
      <c r="U607" s="338">
        <f t="shared" si="372"/>
        <v>0</v>
      </c>
      <c r="V607" s="329">
        <f t="shared" si="366"/>
        <v>0</v>
      </c>
      <c r="W607" s="338">
        <f t="shared" si="373"/>
        <v>0</v>
      </c>
      <c r="X607" s="35"/>
    </row>
    <row r="608" spans="1:24" x14ac:dyDescent="0.25">
      <c r="A608" s="335">
        <f>A607+1</f>
        <v>44307</v>
      </c>
      <c r="B608" s="49">
        <f t="shared" si="374"/>
        <v>0</v>
      </c>
      <c r="C608" s="338">
        <f t="shared" si="376"/>
        <v>74000000</v>
      </c>
      <c r="D608" s="329">
        <f t="shared" si="375"/>
        <v>0</v>
      </c>
      <c r="E608" s="338">
        <f t="shared" si="377"/>
        <v>5207294.0006717108</v>
      </c>
      <c r="F608" s="329">
        <f t="shared" si="380"/>
        <v>0</v>
      </c>
      <c r="G608" s="338">
        <f t="shared" si="378"/>
        <v>41000000</v>
      </c>
      <c r="H608" s="329">
        <f t="shared" si="359"/>
        <v>0</v>
      </c>
      <c r="I608" s="338">
        <f t="shared" si="379"/>
        <v>23721906</v>
      </c>
      <c r="J608" s="329">
        <f t="shared" si="360"/>
        <v>0</v>
      </c>
      <c r="K608" s="338">
        <f t="shared" si="367"/>
        <v>3900000</v>
      </c>
      <c r="L608" s="329">
        <f t="shared" si="361"/>
        <v>0</v>
      </c>
      <c r="M608" s="338">
        <f t="shared" si="368"/>
        <v>0</v>
      </c>
      <c r="N608" s="329">
        <f t="shared" si="362"/>
        <v>0</v>
      </c>
      <c r="O608" s="338">
        <f t="shared" si="369"/>
        <v>0</v>
      </c>
      <c r="P608" s="329">
        <f t="shared" si="363"/>
        <v>0</v>
      </c>
      <c r="Q608" s="338">
        <f t="shared" si="370"/>
        <v>0</v>
      </c>
      <c r="R608" s="329">
        <f t="shared" si="364"/>
        <v>0</v>
      </c>
      <c r="S608" s="338">
        <f t="shared" si="371"/>
        <v>0</v>
      </c>
      <c r="T608" s="329">
        <f t="shared" si="365"/>
        <v>0</v>
      </c>
      <c r="U608" s="338">
        <f t="shared" si="372"/>
        <v>0</v>
      </c>
      <c r="V608" s="329">
        <f t="shared" si="366"/>
        <v>0</v>
      </c>
      <c r="W608" s="338">
        <f t="shared" si="373"/>
        <v>0</v>
      </c>
      <c r="X608" s="35"/>
    </row>
    <row r="609" spans="1:24" x14ac:dyDescent="0.25">
      <c r="A609" s="335">
        <f>A608+1</f>
        <v>44308</v>
      </c>
      <c r="B609" s="49">
        <f t="shared" si="374"/>
        <v>0</v>
      </c>
      <c r="C609" s="338">
        <f t="shared" si="376"/>
        <v>74000000</v>
      </c>
      <c r="D609" s="329">
        <f t="shared" si="375"/>
        <v>0</v>
      </c>
      <c r="E609" s="338">
        <f t="shared" si="377"/>
        <v>5207294.0006717108</v>
      </c>
      <c r="F609" s="329">
        <f t="shared" si="380"/>
        <v>0</v>
      </c>
      <c r="G609" s="338">
        <f t="shared" si="378"/>
        <v>41000000</v>
      </c>
      <c r="H609" s="329">
        <f t="shared" si="359"/>
        <v>0</v>
      </c>
      <c r="I609" s="338">
        <f t="shared" si="379"/>
        <v>23721906</v>
      </c>
      <c r="J609" s="329">
        <f t="shared" si="360"/>
        <v>0</v>
      </c>
      <c r="K609" s="338">
        <f t="shared" si="367"/>
        <v>3900000</v>
      </c>
      <c r="L609" s="329">
        <f t="shared" si="361"/>
        <v>0</v>
      </c>
      <c r="M609" s="338">
        <f t="shared" si="368"/>
        <v>0</v>
      </c>
      <c r="N609" s="329">
        <f t="shared" si="362"/>
        <v>0</v>
      </c>
      <c r="O609" s="338">
        <f t="shared" si="369"/>
        <v>0</v>
      </c>
      <c r="P609" s="329">
        <f t="shared" si="363"/>
        <v>0</v>
      </c>
      <c r="Q609" s="338">
        <f t="shared" si="370"/>
        <v>0</v>
      </c>
      <c r="R609" s="329">
        <f t="shared" si="364"/>
        <v>0</v>
      </c>
      <c r="S609" s="338">
        <f t="shared" si="371"/>
        <v>0</v>
      </c>
      <c r="T609" s="329">
        <f t="shared" si="365"/>
        <v>0</v>
      </c>
      <c r="U609" s="338">
        <f t="shared" si="372"/>
        <v>0</v>
      </c>
      <c r="V609" s="329">
        <f t="shared" si="366"/>
        <v>0</v>
      </c>
      <c r="W609" s="338">
        <f t="shared" si="373"/>
        <v>0</v>
      </c>
      <c r="X609" s="35"/>
    </row>
    <row r="610" spans="1:24" x14ac:dyDescent="0.25">
      <c r="A610" s="335">
        <f>A609+1</f>
        <v>44309</v>
      </c>
      <c r="B610" s="49">
        <f t="shared" si="374"/>
        <v>0</v>
      </c>
      <c r="C610" s="338">
        <f t="shared" si="376"/>
        <v>74000000</v>
      </c>
      <c r="D610" s="329">
        <f t="shared" si="375"/>
        <v>0</v>
      </c>
      <c r="E610" s="338">
        <f t="shared" si="377"/>
        <v>5207294.0006717108</v>
      </c>
      <c r="F610" s="329">
        <f t="shared" si="380"/>
        <v>0</v>
      </c>
      <c r="G610" s="338">
        <f t="shared" si="378"/>
        <v>41000000</v>
      </c>
      <c r="H610" s="329">
        <f t="shared" si="359"/>
        <v>0</v>
      </c>
      <c r="I610" s="338">
        <f t="shared" si="379"/>
        <v>23721906</v>
      </c>
      <c r="J610" s="329">
        <f t="shared" si="360"/>
        <v>0</v>
      </c>
      <c r="K610" s="338">
        <f t="shared" si="367"/>
        <v>3900000</v>
      </c>
      <c r="L610" s="329">
        <f t="shared" si="361"/>
        <v>0</v>
      </c>
      <c r="M610" s="338">
        <f t="shared" si="368"/>
        <v>0</v>
      </c>
      <c r="N610" s="329">
        <f t="shared" si="362"/>
        <v>0</v>
      </c>
      <c r="O610" s="338">
        <f t="shared" si="369"/>
        <v>0</v>
      </c>
      <c r="P610" s="329">
        <f t="shared" si="363"/>
        <v>0</v>
      </c>
      <c r="Q610" s="338">
        <f t="shared" si="370"/>
        <v>0</v>
      </c>
      <c r="R610" s="329">
        <f t="shared" si="364"/>
        <v>0</v>
      </c>
      <c r="S610" s="338">
        <f t="shared" si="371"/>
        <v>0</v>
      </c>
      <c r="T610" s="329">
        <f t="shared" si="365"/>
        <v>0</v>
      </c>
      <c r="U610" s="338">
        <f t="shared" si="372"/>
        <v>0</v>
      </c>
      <c r="V610" s="329">
        <f t="shared" si="366"/>
        <v>0</v>
      </c>
      <c r="W610" s="338">
        <f t="shared" si="373"/>
        <v>0</v>
      </c>
      <c r="X610" s="35"/>
    </row>
    <row r="611" spans="1:24" x14ac:dyDescent="0.25">
      <c r="A611" s="336">
        <f>A610+3</f>
        <v>44312</v>
      </c>
      <c r="B611" s="49">
        <f t="shared" si="374"/>
        <v>0</v>
      </c>
      <c r="C611" s="338">
        <f t="shared" si="376"/>
        <v>74000000</v>
      </c>
      <c r="D611" s="329">
        <f t="shared" si="375"/>
        <v>3000000</v>
      </c>
      <c r="E611" s="338">
        <f t="shared" si="377"/>
        <v>8207294.0006717108</v>
      </c>
      <c r="F611" s="329">
        <f t="shared" si="380"/>
        <v>0</v>
      </c>
      <c r="G611" s="338">
        <f t="shared" si="378"/>
        <v>41000000</v>
      </c>
      <c r="H611" s="329">
        <f t="shared" si="359"/>
        <v>0</v>
      </c>
      <c r="I611" s="338">
        <f t="shared" si="379"/>
        <v>23721906</v>
      </c>
      <c r="J611" s="329">
        <f t="shared" si="360"/>
        <v>0</v>
      </c>
      <c r="K611" s="338">
        <f t="shared" si="367"/>
        <v>3900000</v>
      </c>
      <c r="L611" s="329">
        <f t="shared" si="361"/>
        <v>0</v>
      </c>
      <c r="M611" s="338">
        <f t="shared" si="368"/>
        <v>0</v>
      </c>
      <c r="N611" s="329">
        <f t="shared" si="362"/>
        <v>0</v>
      </c>
      <c r="O611" s="338">
        <f t="shared" si="369"/>
        <v>0</v>
      </c>
      <c r="P611" s="329">
        <f t="shared" si="363"/>
        <v>0</v>
      </c>
      <c r="Q611" s="338">
        <f t="shared" si="370"/>
        <v>0</v>
      </c>
      <c r="R611" s="329">
        <f t="shared" si="364"/>
        <v>0</v>
      </c>
      <c r="S611" s="338">
        <f t="shared" si="371"/>
        <v>0</v>
      </c>
      <c r="T611" s="329">
        <f t="shared" si="365"/>
        <v>0</v>
      </c>
      <c r="U611" s="338">
        <f t="shared" si="372"/>
        <v>0</v>
      </c>
      <c r="V611" s="329">
        <f t="shared" si="366"/>
        <v>0</v>
      </c>
      <c r="W611" s="338">
        <f t="shared" si="373"/>
        <v>0</v>
      </c>
      <c r="X611" s="35"/>
    </row>
    <row r="612" spans="1:24" x14ac:dyDescent="0.25">
      <c r="A612" s="335">
        <f>A611+1</f>
        <v>44313</v>
      </c>
      <c r="B612" s="49">
        <f t="shared" si="374"/>
        <v>0</v>
      </c>
      <c r="C612" s="338">
        <f t="shared" si="376"/>
        <v>74000000</v>
      </c>
      <c r="D612" s="329">
        <f t="shared" si="375"/>
        <v>0</v>
      </c>
      <c r="E612" s="338">
        <f t="shared" si="377"/>
        <v>8207294.0006717108</v>
      </c>
      <c r="F612" s="329">
        <f t="shared" si="380"/>
        <v>0</v>
      </c>
      <c r="G612" s="338">
        <f t="shared" si="378"/>
        <v>41000000</v>
      </c>
      <c r="H612" s="329">
        <f t="shared" si="359"/>
        <v>0</v>
      </c>
      <c r="I612" s="338">
        <f t="shared" si="379"/>
        <v>23721906</v>
      </c>
      <c r="J612" s="329">
        <f t="shared" si="360"/>
        <v>0</v>
      </c>
      <c r="K612" s="338">
        <f t="shared" si="367"/>
        <v>3900000</v>
      </c>
      <c r="L612" s="329">
        <f t="shared" si="361"/>
        <v>0</v>
      </c>
      <c r="M612" s="338">
        <f t="shared" si="368"/>
        <v>0</v>
      </c>
      <c r="N612" s="329">
        <f t="shared" si="362"/>
        <v>0</v>
      </c>
      <c r="O612" s="338">
        <f t="shared" si="369"/>
        <v>0</v>
      </c>
      <c r="P612" s="329">
        <f t="shared" si="363"/>
        <v>0</v>
      </c>
      <c r="Q612" s="338">
        <f t="shared" si="370"/>
        <v>0</v>
      </c>
      <c r="R612" s="329">
        <f t="shared" si="364"/>
        <v>0</v>
      </c>
      <c r="S612" s="338">
        <f t="shared" si="371"/>
        <v>0</v>
      </c>
      <c r="T612" s="329">
        <f t="shared" si="365"/>
        <v>0</v>
      </c>
      <c r="U612" s="338">
        <f t="shared" si="372"/>
        <v>0</v>
      </c>
      <c r="V612" s="329">
        <f t="shared" si="366"/>
        <v>0</v>
      </c>
      <c r="W612" s="338">
        <f t="shared" si="373"/>
        <v>0</v>
      </c>
      <c r="X612" s="35"/>
    </row>
    <row r="613" spans="1:24" x14ac:dyDescent="0.25">
      <c r="A613" s="335">
        <f>A612+1</f>
        <v>44314</v>
      </c>
      <c r="B613" s="49">
        <f t="shared" si="374"/>
        <v>0</v>
      </c>
      <c r="C613" s="338">
        <f t="shared" si="376"/>
        <v>74000000</v>
      </c>
      <c r="D613" s="329">
        <f t="shared" si="375"/>
        <v>0</v>
      </c>
      <c r="E613" s="338">
        <f t="shared" si="377"/>
        <v>8207294.0006717108</v>
      </c>
      <c r="F613" s="329">
        <f t="shared" si="380"/>
        <v>0</v>
      </c>
      <c r="G613" s="338">
        <f t="shared" si="378"/>
        <v>41000000</v>
      </c>
      <c r="H613" s="329">
        <f t="shared" si="359"/>
        <v>0</v>
      </c>
      <c r="I613" s="338">
        <f t="shared" si="379"/>
        <v>23721906</v>
      </c>
      <c r="J613" s="329">
        <f t="shared" si="360"/>
        <v>0</v>
      </c>
      <c r="K613" s="338">
        <f t="shared" si="367"/>
        <v>3900000</v>
      </c>
      <c r="L613" s="329">
        <f t="shared" si="361"/>
        <v>0</v>
      </c>
      <c r="M613" s="338">
        <f t="shared" si="368"/>
        <v>0</v>
      </c>
      <c r="N613" s="329">
        <f t="shared" si="362"/>
        <v>0</v>
      </c>
      <c r="O613" s="338">
        <f t="shared" si="369"/>
        <v>0</v>
      </c>
      <c r="P613" s="329">
        <f t="shared" si="363"/>
        <v>0</v>
      </c>
      <c r="Q613" s="338">
        <f t="shared" si="370"/>
        <v>0</v>
      </c>
      <c r="R613" s="329">
        <f t="shared" si="364"/>
        <v>0</v>
      </c>
      <c r="S613" s="338">
        <f t="shared" si="371"/>
        <v>0</v>
      </c>
      <c r="T613" s="329">
        <f t="shared" si="365"/>
        <v>0</v>
      </c>
      <c r="U613" s="338">
        <f t="shared" si="372"/>
        <v>0</v>
      </c>
      <c r="V613" s="329">
        <f t="shared" si="366"/>
        <v>0</v>
      </c>
      <c r="W613" s="338">
        <f t="shared" si="373"/>
        <v>0</v>
      </c>
      <c r="X613" s="35"/>
    </row>
    <row r="614" spans="1:24" x14ac:dyDescent="0.25">
      <c r="A614" s="335">
        <f>A613+1</f>
        <v>44315</v>
      </c>
      <c r="B614" s="49">
        <f t="shared" si="374"/>
        <v>0</v>
      </c>
      <c r="C614" s="338">
        <f t="shared" si="376"/>
        <v>74000000</v>
      </c>
      <c r="D614" s="329">
        <f t="shared" si="375"/>
        <v>0</v>
      </c>
      <c r="E614" s="338">
        <f t="shared" si="377"/>
        <v>8207294.0006717108</v>
      </c>
      <c r="F614" s="329">
        <f t="shared" si="380"/>
        <v>0</v>
      </c>
      <c r="G614" s="338">
        <f t="shared" si="378"/>
        <v>41000000</v>
      </c>
      <c r="H614" s="329">
        <f t="shared" si="359"/>
        <v>0</v>
      </c>
      <c r="I614" s="338">
        <f t="shared" si="379"/>
        <v>23721906</v>
      </c>
      <c r="J614" s="329">
        <f t="shared" si="360"/>
        <v>0</v>
      </c>
      <c r="K614" s="338">
        <f t="shared" si="367"/>
        <v>3900000</v>
      </c>
      <c r="L614" s="329">
        <f t="shared" si="361"/>
        <v>0</v>
      </c>
      <c r="M614" s="338">
        <f t="shared" si="368"/>
        <v>0</v>
      </c>
      <c r="N614" s="329">
        <f t="shared" si="362"/>
        <v>0</v>
      </c>
      <c r="O614" s="338">
        <f t="shared" si="369"/>
        <v>0</v>
      </c>
      <c r="P614" s="329">
        <f t="shared" si="363"/>
        <v>0</v>
      </c>
      <c r="Q614" s="338">
        <f t="shared" si="370"/>
        <v>0</v>
      </c>
      <c r="R614" s="329">
        <f t="shared" si="364"/>
        <v>0</v>
      </c>
      <c r="S614" s="338">
        <f t="shared" si="371"/>
        <v>0</v>
      </c>
      <c r="T614" s="329">
        <f t="shared" si="365"/>
        <v>0</v>
      </c>
      <c r="U614" s="338">
        <f t="shared" si="372"/>
        <v>0</v>
      </c>
      <c r="V614" s="329">
        <f t="shared" si="366"/>
        <v>0</v>
      </c>
      <c r="W614" s="338">
        <f t="shared" si="373"/>
        <v>0</v>
      </c>
      <c r="X614" s="35"/>
    </row>
    <row r="615" spans="1:24" x14ac:dyDescent="0.25">
      <c r="A615" s="335">
        <f>A614+1</f>
        <v>44316</v>
      </c>
      <c r="B615" s="49">
        <f t="shared" si="374"/>
        <v>0</v>
      </c>
      <c r="C615" s="338">
        <f t="shared" si="376"/>
        <v>74000000</v>
      </c>
      <c r="D615" s="329">
        <f t="shared" si="375"/>
        <v>0</v>
      </c>
      <c r="E615" s="338">
        <f t="shared" si="377"/>
        <v>8207294.0006717108</v>
      </c>
      <c r="F615" s="329">
        <f t="shared" si="380"/>
        <v>0</v>
      </c>
      <c r="G615" s="338">
        <f t="shared" si="378"/>
        <v>41000000</v>
      </c>
      <c r="H615" s="329">
        <f t="shared" si="359"/>
        <v>0</v>
      </c>
      <c r="I615" s="338">
        <f t="shared" si="379"/>
        <v>23721906</v>
      </c>
      <c r="J615" s="329">
        <f t="shared" si="360"/>
        <v>0</v>
      </c>
      <c r="K615" s="338">
        <f t="shared" si="367"/>
        <v>3900000</v>
      </c>
      <c r="L615" s="329">
        <f t="shared" si="361"/>
        <v>0</v>
      </c>
      <c r="M615" s="338">
        <f t="shared" si="368"/>
        <v>0</v>
      </c>
      <c r="N615" s="329">
        <f t="shared" si="362"/>
        <v>0</v>
      </c>
      <c r="O615" s="338">
        <f t="shared" si="369"/>
        <v>0</v>
      </c>
      <c r="P615" s="329">
        <f t="shared" si="363"/>
        <v>0</v>
      </c>
      <c r="Q615" s="338">
        <f t="shared" si="370"/>
        <v>0</v>
      </c>
      <c r="R615" s="329">
        <f t="shared" si="364"/>
        <v>0</v>
      </c>
      <c r="S615" s="338">
        <f t="shared" si="371"/>
        <v>0</v>
      </c>
      <c r="T615" s="329">
        <f t="shared" si="365"/>
        <v>0</v>
      </c>
      <c r="U615" s="338">
        <f t="shared" si="372"/>
        <v>0</v>
      </c>
      <c r="V615" s="329">
        <f t="shared" si="366"/>
        <v>0</v>
      </c>
      <c r="W615" s="338">
        <f t="shared" si="373"/>
        <v>0</v>
      </c>
      <c r="X615" s="35"/>
    </row>
    <row r="616" spans="1:24" x14ac:dyDescent="0.25">
      <c r="A616" s="336">
        <f>A615+3</f>
        <v>44319</v>
      </c>
      <c r="B616" s="49">
        <f t="shared" si="374"/>
        <v>0</v>
      </c>
      <c r="C616" s="338">
        <f t="shared" si="376"/>
        <v>74000000</v>
      </c>
      <c r="D616" s="329">
        <f t="shared" si="375"/>
        <v>0</v>
      </c>
      <c r="E616" s="338">
        <f t="shared" si="377"/>
        <v>8207294.0006717108</v>
      </c>
      <c r="F616" s="329">
        <f t="shared" si="380"/>
        <v>0</v>
      </c>
      <c r="G616" s="338">
        <f t="shared" si="378"/>
        <v>41000000</v>
      </c>
      <c r="H616" s="329">
        <f t="shared" si="359"/>
        <v>0</v>
      </c>
      <c r="I616" s="338">
        <f t="shared" si="379"/>
        <v>23721906</v>
      </c>
      <c r="J616" s="329">
        <f t="shared" si="360"/>
        <v>0</v>
      </c>
      <c r="K616" s="338">
        <f t="shared" si="367"/>
        <v>3900000</v>
      </c>
      <c r="L616" s="329">
        <f t="shared" si="361"/>
        <v>0</v>
      </c>
      <c r="M616" s="338">
        <f t="shared" si="368"/>
        <v>0</v>
      </c>
      <c r="N616" s="329">
        <f t="shared" si="362"/>
        <v>0</v>
      </c>
      <c r="O616" s="338">
        <f t="shared" si="369"/>
        <v>0</v>
      </c>
      <c r="P616" s="329">
        <f t="shared" si="363"/>
        <v>0</v>
      </c>
      <c r="Q616" s="338">
        <f t="shared" si="370"/>
        <v>0</v>
      </c>
      <c r="R616" s="329">
        <f t="shared" si="364"/>
        <v>0</v>
      </c>
      <c r="S616" s="338">
        <f t="shared" si="371"/>
        <v>0</v>
      </c>
      <c r="T616" s="329">
        <f t="shared" si="365"/>
        <v>0</v>
      </c>
      <c r="U616" s="338">
        <f t="shared" si="372"/>
        <v>0</v>
      </c>
      <c r="V616" s="329">
        <f t="shared" si="366"/>
        <v>0</v>
      </c>
      <c r="W616" s="338">
        <f t="shared" si="373"/>
        <v>0</v>
      </c>
      <c r="X616" s="35"/>
    </row>
    <row r="617" spans="1:24" x14ac:dyDescent="0.25">
      <c r="A617" s="335">
        <f>A616+1</f>
        <v>44320</v>
      </c>
      <c r="B617" s="49">
        <f t="shared" si="374"/>
        <v>0</v>
      </c>
      <c r="C617" s="338">
        <f t="shared" si="376"/>
        <v>74000000</v>
      </c>
      <c r="D617" s="329">
        <f t="shared" si="375"/>
        <v>0</v>
      </c>
      <c r="E617" s="338">
        <f t="shared" si="377"/>
        <v>8207294.0006717108</v>
      </c>
      <c r="F617" s="329">
        <f t="shared" si="380"/>
        <v>0</v>
      </c>
      <c r="G617" s="338">
        <f t="shared" si="378"/>
        <v>41000000</v>
      </c>
      <c r="H617" s="329">
        <f t="shared" si="359"/>
        <v>0</v>
      </c>
      <c r="I617" s="338">
        <f t="shared" si="379"/>
        <v>23721906</v>
      </c>
      <c r="J617" s="329">
        <f t="shared" si="360"/>
        <v>0</v>
      </c>
      <c r="K617" s="338">
        <f t="shared" si="367"/>
        <v>3900000</v>
      </c>
      <c r="L617" s="329">
        <f t="shared" si="361"/>
        <v>0</v>
      </c>
      <c r="M617" s="338">
        <f t="shared" si="368"/>
        <v>0</v>
      </c>
      <c r="N617" s="329">
        <f t="shared" si="362"/>
        <v>0</v>
      </c>
      <c r="O617" s="338">
        <f t="shared" si="369"/>
        <v>0</v>
      </c>
      <c r="P617" s="329">
        <f t="shared" si="363"/>
        <v>0</v>
      </c>
      <c r="Q617" s="338">
        <f t="shared" si="370"/>
        <v>0</v>
      </c>
      <c r="R617" s="329">
        <f t="shared" si="364"/>
        <v>0</v>
      </c>
      <c r="S617" s="338">
        <f t="shared" si="371"/>
        <v>0</v>
      </c>
      <c r="T617" s="329">
        <f t="shared" si="365"/>
        <v>0</v>
      </c>
      <c r="U617" s="338">
        <f t="shared" si="372"/>
        <v>0</v>
      </c>
      <c r="V617" s="329">
        <f t="shared" si="366"/>
        <v>0</v>
      </c>
      <c r="W617" s="338">
        <f t="shared" si="373"/>
        <v>0</v>
      </c>
      <c r="X617" s="35"/>
    </row>
    <row r="618" spans="1:24" x14ac:dyDescent="0.25">
      <c r="A618" s="335">
        <f>A617+1</f>
        <v>44321</v>
      </c>
      <c r="B618" s="49">
        <f t="shared" si="374"/>
        <v>0</v>
      </c>
      <c r="C618" s="338">
        <f t="shared" si="376"/>
        <v>74000000</v>
      </c>
      <c r="D618" s="329">
        <f t="shared" si="375"/>
        <v>0</v>
      </c>
      <c r="E618" s="338">
        <f t="shared" si="377"/>
        <v>8207294.0006717108</v>
      </c>
      <c r="F618" s="329">
        <f t="shared" si="380"/>
        <v>0</v>
      </c>
      <c r="G618" s="338">
        <f t="shared" si="378"/>
        <v>41000000</v>
      </c>
      <c r="H618" s="329">
        <f t="shared" si="359"/>
        <v>0</v>
      </c>
      <c r="I618" s="338">
        <f t="shared" si="379"/>
        <v>23721906</v>
      </c>
      <c r="J618" s="329">
        <f t="shared" si="360"/>
        <v>0</v>
      </c>
      <c r="K618" s="338">
        <f t="shared" si="367"/>
        <v>3900000</v>
      </c>
      <c r="L618" s="329">
        <f t="shared" si="361"/>
        <v>0</v>
      </c>
      <c r="M618" s="338">
        <f t="shared" si="368"/>
        <v>0</v>
      </c>
      <c r="N618" s="329">
        <f t="shared" si="362"/>
        <v>0</v>
      </c>
      <c r="O618" s="338">
        <f t="shared" si="369"/>
        <v>0</v>
      </c>
      <c r="P618" s="329">
        <f t="shared" si="363"/>
        <v>0</v>
      </c>
      <c r="Q618" s="338">
        <f t="shared" si="370"/>
        <v>0</v>
      </c>
      <c r="R618" s="329">
        <f t="shared" si="364"/>
        <v>0</v>
      </c>
      <c r="S618" s="338">
        <f t="shared" si="371"/>
        <v>0</v>
      </c>
      <c r="T618" s="329">
        <f t="shared" si="365"/>
        <v>0</v>
      </c>
      <c r="U618" s="338">
        <f t="shared" si="372"/>
        <v>0</v>
      </c>
      <c r="V618" s="329">
        <f t="shared" si="366"/>
        <v>0</v>
      </c>
      <c r="W618" s="338">
        <f t="shared" si="373"/>
        <v>0</v>
      </c>
      <c r="X618" s="35"/>
    </row>
    <row r="619" spans="1:24" x14ac:dyDescent="0.25">
      <c r="A619" s="335">
        <f>A618+1</f>
        <v>44322</v>
      </c>
      <c r="B619" s="49">
        <f t="shared" si="374"/>
        <v>0</v>
      </c>
      <c r="C619" s="338">
        <f t="shared" si="376"/>
        <v>74000000</v>
      </c>
      <c r="D619" s="329">
        <f t="shared" si="375"/>
        <v>0</v>
      </c>
      <c r="E619" s="338">
        <f t="shared" si="377"/>
        <v>8207294.0006717108</v>
      </c>
      <c r="F619" s="329">
        <f t="shared" si="380"/>
        <v>0</v>
      </c>
      <c r="G619" s="338">
        <f t="shared" si="378"/>
        <v>41000000</v>
      </c>
      <c r="H619" s="329">
        <f t="shared" ref="H619:H682" si="382">SUMIFS(Usage_Main,CF_Dates,$A619,CF_Descriptions,"XS2091648928 Change")</f>
        <v>0</v>
      </c>
      <c r="I619" s="338">
        <f t="shared" si="379"/>
        <v>23721906</v>
      </c>
      <c r="J619" s="329">
        <f t="shared" ref="J619:J682" si="383">SUMIFS(Usage_Main,CF_Dates,$A619,CF_Descriptions,"Southern Apple Change")</f>
        <v>0</v>
      </c>
      <c r="K619" s="338">
        <f t="shared" si="367"/>
        <v>3900000</v>
      </c>
      <c r="L619" s="329">
        <f t="shared" ref="L619:L682" si="384">SUMIFS(Usage_Main,CF_Dates,$A619,CF_Descriptions,"ALMONDUSD Change")</f>
        <v>0</v>
      </c>
      <c r="M619" s="338">
        <f t="shared" si="368"/>
        <v>0</v>
      </c>
      <c r="N619" s="329">
        <f t="shared" ref="N619:N682" si="385">SUMIFS(Usage_Main,CF_Dates,$A619,CF_Descriptions,"ALMONDEUR Change")</f>
        <v>0</v>
      </c>
      <c r="O619" s="338">
        <f t="shared" si="369"/>
        <v>0</v>
      </c>
      <c r="P619" s="329">
        <f t="shared" ref="P619:P682" si="386">SUMIFS(Usage_Main,CF_Dates,$A619,CF_Descriptions,"HEXZETA Change")</f>
        <v>0</v>
      </c>
      <c r="Q619" s="338">
        <f t="shared" si="370"/>
        <v>0</v>
      </c>
      <c r="R619" s="329">
        <f t="shared" ref="R619:R682" si="387">SUMIFS(Usage_Main,CF_Dates,$A619,CF_Descriptions,"MNTNCHERRY Change")</f>
        <v>0</v>
      </c>
      <c r="S619" s="338">
        <f t="shared" si="371"/>
        <v>0</v>
      </c>
      <c r="T619" s="329">
        <f t="shared" ref="T619:T682" si="388">SUMIFS(Usage_Main,CF_Dates,$A619,CF_Descriptions,"OLIVEUSD Change")</f>
        <v>0</v>
      </c>
      <c r="U619" s="338">
        <f t="shared" si="372"/>
        <v>0</v>
      </c>
      <c r="V619" s="329">
        <f t="shared" ref="V619:V682" si="389">SUMIFS(Usage_Main,CF_Dates,$A619,CF_Descriptions,"OLIVEEUR Change")</f>
        <v>0</v>
      </c>
      <c r="W619" s="338">
        <f t="shared" si="373"/>
        <v>0</v>
      </c>
      <c r="X619" s="35"/>
    </row>
    <row r="620" spans="1:24" x14ac:dyDescent="0.25">
      <c r="A620" s="335">
        <f>A619+1</f>
        <v>44323</v>
      </c>
      <c r="B620" s="49">
        <f t="shared" si="374"/>
        <v>0</v>
      </c>
      <c r="C620" s="338">
        <f t="shared" si="376"/>
        <v>74000000</v>
      </c>
      <c r="D620" s="329">
        <f t="shared" si="375"/>
        <v>0</v>
      </c>
      <c r="E620" s="338">
        <f t="shared" si="377"/>
        <v>8207294.0006717108</v>
      </c>
      <c r="F620" s="329">
        <f t="shared" si="380"/>
        <v>0</v>
      </c>
      <c r="G620" s="338">
        <f t="shared" si="378"/>
        <v>41000000</v>
      </c>
      <c r="H620" s="329">
        <f t="shared" si="382"/>
        <v>0</v>
      </c>
      <c r="I620" s="338">
        <f t="shared" si="379"/>
        <v>23721906</v>
      </c>
      <c r="J620" s="329">
        <f t="shared" si="383"/>
        <v>0</v>
      </c>
      <c r="K620" s="338">
        <f t="shared" ref="K620:K639" si="390">J620+K619</f>
        <v>3900000</v>
      </c>
      <c r="L620" s="329">
        <f t="shared" si="384"/>
        <v>0</v>
      </c>
      <c r="M620" s="338">
        <f t="shared" ref="M620:M683" si="391">L620+M619</f>
        <v>0</v>
      </c>
      <c r="N620" s="329">
        <f t="shared" si="385"/>
        <v>0</v>
      </c>
      <c r="O620" s="338">
        <f t="shared" ref="O620:O683" si="392">N620+O619</f>
        <v>0</v>
      </c>
      <c r="P620" s="329">
        <f t="shared" si="386"/>
        <v>0</v>
      </c>
      <c r="Q620" s="338">
        <f t="shared" ref="Q620:Q683" si="393">P620+Q619</f>
        <v>0</v>
      </c>
      <c r="R620" s="329">
        <f t="shared" si="387"/>
        <v>0</v>
      </c>
      <c r="S620" s="338">
        <f t="shared" ref="S620:S683" si="394">R620+S619</f>
        <v>0</v>
      </c>
      <c r="T620" s="329">
        <f t="shared" si="388"/>
        <v>0</v>
      </c>
      <c r="U620" s="338">
        <f t="shared" ref="U620:U683" si="395">T620+U619</f>
        <v>0</v>
      </c>
      <c r="V620" s="329">
        <f t="shared" si="389"/>
        <v>0</v>
      </c>
      <c r="W620" s="338">
        <f t="shared" ref="W620:W683" si="396">V620+W619</f>
        <v>0</v>
      </c>
      <c r="X620" s="35"/>
    </row>
    <row r="621" spans="1:24" x14ac:dyDescent="0.25">
      <c r="A621" s="336">
        <f>A620+3</f>
        <v>44326</v>
      </c>
      <c r="B621" s="49">
        <f t="shared" si="374"/>
        <v>0</v>
      </c>
      <c r="C621" s="338">
        <f t="shared" si="376"/>
        <v>74000000</v>
      </c>
      <c r="D621" s="329">
        <f t="shared" si="375"/>
        <v>0</v>
      </c>
      <c r="E621" s="338">
        <f t="shared" si="377"/>
        <v>8207294.0006717108</v>
      </c>
      <c r="F621" s="329">
        <f t="shared" si="380"/>
        <v>0</v>
      </c>
      <c r="G621" s="338">
        <f t="shared" si="378"/>
        <v>41000000</v>
      </c>
      <c r="H621" s="329">
        <f t="shared" si="382"/>
        <v>0</v>
      </c>
      <c r="I621" s="338">
        <f t="shared" si="379"/>
        <v>23721906</v>
      </c>
      <c r="J621" s="329">
        <f t="shared" si="383"/>
        <v>1400000</v>
      </c>
      <c r="K621" s="338">
        <f t="shared" si="390"/>
        <v>5300000</v>
      </c>
      <c r="L621" s="329">
        <f t="shared" si="384"/>
        <v>0</v>
      </c>
      <c r="M621" s="338">
        <f t="shared" si="391"/>
        <v>0</v>
      </c>
      <c r="N621" s="329">
        <f t="shared" si="385"/>
        <v>0</v>
      </c>
      <c r="O621" s="338">
        <f t="shared" si="392"/>
        <v>0</v>
      </c>
      <c r="P621" s="329">
        <f t="shared" si="386"/>
        <v>0</v>
      </c>
      <c r="Q621" s="338">
        <f t="shared" si="393"/>
        <v>0</v>
      </c>
      <c r="R621" s="329">
        <f t="shared" si="387"/>
        <v>0</v>
      </c>
      <c r="S621" s="338">
        <f t="shared" si="394"/>
        <v>0</v>
      </c>
      <c r="T621" s="329">
        <f t="shared" si="388"/>
        <v>0</v>
      </c>
      <c r="U621" s="338">
        <f t="shared" si="395"/>
        <v>0</v>
      </c>
      <c r="V621" s="329">
        <f t="shared" si="389"/>
        <v>0</v>
      </c>
      <c r="W621" s="338">
        <f t="shared" si="396"/>
        <v>0</v>
      </c>
      <c r="X621" s="35"/>
    </row>
    <row r="622" spans="1:24" x14ac:dyDescent="0.25">
      <c r="A622" s="335">
        <f>A621+1</f>
        <v>44327</v>
      </c>
      <c r="B622" s="49">
        <f t="shared" si="374"/>
        <v>0</v>
      </c>
      <c r="C622" s="338">
        <f t="shared" si="376"/>
        <v>74000000</v>
      </c>
      <c r="D622" s="329">
        <f t="shared" si="375"/>
        <v>0</v>
      </c>
      <c r="E622" s="338">
        <f t="shared" si="377"/>
        <v>8207294.0006717108</v>
      </c>
      <c r="F622" s="329">
        <f t="shared" si="380"/>
        <v>1900000</v>
      </c>
      <c r="G622" s="338">
        <f t="shared" si="378"/>
        <v>42900000</v>
      </c>
      <c r="H622" s="329">
        <f t="shared" si="382"/>
        <v>0</v>
      </c>
      <c r="I622" s="338">
        <f t="shared" si="379"/>
        <v>23721906</v>
      </c>
      <c r="J622" s="329">
        <f t="shared" si="383"/>
        <v>0</v>
      </c>
      <c r="K622" s="338">
        <f t="shared" si="390"/>
        <v>5300000</v>
      </c>
      <c r="L622" s="329">
        <f t="shared" si="384"/>
        <v>0</v>
      </c>
      <c r="M622" s="338">
        <f t="shared" si="391"/>
        <v>0</v>
      </c>
      <c r="N622" s="329">
        <f t="shared" si="385"/>
        <v>0</v>
      </c>
      <c r="O622" s="338">
        <f t="shared" si="392"/>
        <v>0</v>
      </c>
      <c r="P622" s="329">
        <f t="shared" si="386"/>
        <v>0</v>
      </c>
      <c r="Q622" s="338">
        <f t="shared" si="393"/>
        <v>0</v>
      </c>
      <c r="R622" s="329">
        <f t="shared" si="387"/>
        <v>0</v>
      </c>
      <c r="S622" s="338">
        <f t="shared" si="394"/>
        <v>0</v>
      </c>
      <c r="T622" s="329">
        <f t="shared" si="388"/>
        <v>0</v>
      </c>
      <c r="U622" s="338">
        <f t="shared" si="395"/>
        <v>0</v>
      </c>
      <c r="V622" s="329">
        <f t="shared" si="389"/>
        <v>0</v>
      </c>
      <c r="W622" s="338">
        <f t="shared" si="396"/>
        <v>0</v>
      </c>
      <c r="X622" s="35"/>
    </row>
    <row r="623" spans="1:24" x14ac:dyDescent="0.25">
      <c r="A623" s="335">
        <f>A622+1</f>
        <v>44328</v>
      </c>
      <c r="B623" s="49">
        <f t="shared" si="374"/>
        <v>0</v>
      </c>
      <c r="C623" s="338">
        <f t="shared" si="376"/>
        <v>74000000</v>
      </c>
      <c r="D623" s="329">
        <f t="shared" si="375"/>
        <v>0</v>
      </c>
      <c r="E623" s="338">
        <f t="shared" si="377"/>
        <v>8207294.0006717108</v>
      </c>
      <c r="F623" s="329">
        <f t="shared" si="380"/>
        <v>0</v>
      </c>
      <c r="G623" s="338">
        <f t="shared" si="378"/>
        <v>42900000</v>
      </c>
      <c r="H623" s="329">
        <f t="shared" si="382"/>
        <v>0</v>
      </c>
      <c r="I623" s="338">
        <f t="shared" si="379"/>
        <v>23721906</v>
      </c>
      <c r="J623" s="329">
        <f t="shared" si="383"/>
        <v>0</v>
      </c>
      <c r="K623" s="338">
        <f t="shared" si="390"/>
        <v>5300000</v>
      </c>
      <c r="L623" s="329">
        <f t="shared" si="384"/>
        <v>0</v>
      </c>
      <c r="M623" s="338">
        <f t="shared" si="391"/>
        <v>0</v>
      </c>
      <c r="N623" s="329">
        <f t="shared" si="385"/>
        <v>0</v>
      </c>
      <c r="O623" s="338">
        <f t="shared" si="392"/>
        <v>0</v>
      </c>
      <c r="P623" s="329">
        <f t="shared" si="386"/>
        <v>0</v>
      </c>
      <c r="Q623" s="338">
        <f t="shared" si="393"/>
        <v>0</v>
      </c>
      <c r="R623" s="329">
        <f t="shared" si="387"/>
        <v>0</v>
      </c>
      <c r="S623" s="338">
        <f t="shared" si="394"/>
        <v>0</v>
      </c>
      <c r="T623" s="329">
        <f t="shared" si="388"/>
        <v>0</v>
      </c>
      <c r="U623" s="338">
        <f t="shared" si="395"/>
        <v>0</v>
      </c>
      <c r="V623" s="329">
        <f t="shared" si="389"/>
        <v>0</v>
      </c>
      <c r="W623" s="338">
        <f t="shared" si="396"/>
        <v>0</v>
      </c>
      <c r="X623" s="35"/>
    </row>
    <row r="624" spans="1:24" x14ac:dyDescent="0.25">
      <c r="A624" s="335">
        <f>A623+1</f>
        <v>44329</v>
      </c>
      <c r="B624" s="49">
        <f t="shared" si="374"/>
        <v>0</v>
      </c>
      <c r="C624" s="338">
        <f t="shared" si="376"/>
        <v>74000000</v>
      </c>
      <c r="D624" s="329">
        <f t="shared" si="375"/>
        <v>0</v>
      </c>
      <c r="E624" s="338">
        <f t="shared" si="377"/>
        <v>8207294.0006717108</v>
      </c>
      <c r="F624" s="329">
        <f t="shared" si="380"/>
        <v>0</v>
      </c>
      <c r="G624" s="338">
        <f t="shared" si="378"/>
        <v>42900000</v>
      </c>
      <c r="H624" s="329">
        <f t="shared" si="382"/>
        <v>0</v>
      </c>
      <c r="I624" s="338">
        <f t="shared" si="379"/>
        <v>23721906</v>
      </c>
      <c r="J624" s="329">
        <f t="shared" si="383"/>
        <v>0</v>
      </c>
      <c r="K624" s="338">
        <f t="shared" si="390"/>
        <v>5300000</v>
      </c>
      <c r="L624" s="329">
        <f t="shared" si="384"/>
        <v>0</v>
      </c>
      <c r="M624" s="338">
        <f t="shared" si="391"/>
        <v>0</v>
      </c>
      <c r="N624" s="329">
        <f t="shared" si="385"/>
        <v>0</v>
      </c>
      <c r="O624" s="338">
        <f t="shared" si="392"/>
        <v>0</v>
      </c>
      <c r="P624" s="329">
        <f t="shared" si="386"/>
        <v>0</v>
      </c>
      <c r="Q624" s="338">
        <f t="shared" si="393"/>
        <v>0</v>
      </c>
      <c r="R624" s="329">
        <f t="shared" si="387"/>
        <v>0</v>
      </c>
      <c r="S624" s="338">
        <f t="shared" si="394"/>
        <v>0</v>
      </c>
      <c r="T624" s="329">
        <f t="shared" si="388"/>
        <v>0</v>
      </c>
      <c r="U624" s="338">
        <f t="shared" si="395"/>
        <v>0</v>
      </c>
      <c r="V624" s="329">
        <f t="shared" si="389"/>
        <v>0</v>
      </c>
      <c r="W624" s="338">
        <f t="shared" si="396"/>
        <v>0</v>
      </c>
      <c r="X624" s="35"/>
    </row>
    <row r="625" spans="1:24" x14ac:dyDescent="0.25">
      <c r="A625" s="335">
        <f>A624+1</f>
        <v>44330</v>
      </c>
      <c r="B625" s="49">
        <f t="shared" si="374"/>
        <v>0</v>
      </c>
      <c r="C625" s="338">
        <f t="shared" si="376"/>
        <v>74000000</v>
      </c>
      <c r="D625" s="329">
        <f t="shared" si="375"/>
        <v>0</v>
      </c>
      <c r="E625" s="338">
        <f t="shared" si="377"/>
        <v>8207294.0006717108</v>
      </c>
      <c r="F625" s="329">
        <f t="shared" si="380"/>
        <v>0</v>
      </c>
      <c r="G625" s="338">
        <f t="shared" si="378"/>
        <v>42900000</v>
      </c>
      <c r="H625" s="329">
        <f t="shared" si="382"/>
        <v>0</v>
      </c>
      <c r="I625" s="338">
        <f t="shared" si="379"/>
        <v>23721906</v>
      </c>
      <c r="J625" s="329">
        <f t="shared" si="383"/>
        <v>0</v>
      </c>
      <c r="K625" s="338">
        <f t="shared" si="390"/>
        <v>5300000</v>
      </c>
      <c r="L625" s="329">
        <f t="shared" si="384"/>
        <v>0</v>
      </c>
      <c r="M625" s="338">
        <f t="shared" si="391"/>
        <v>0</v>
      </c>
      <c r="N625" s="329">
        <f t="shared" si="385"/>
        <v>0</v>
      </c>
      <c r="O625" s="338">
        <f t="shared" si="392"/>
        <v>0</v>
      </c>
      <c r="P625" s="329">
        <f t="shared" si="386"/>
        <v>0</v>
      </c>
      <c r="Q625" s="338">
        <f t="shared" si="393"/>
        <v>0</v>
      </c>
      <c r="R625" s="329">
        <f t="shared" si="387"/>
        <v>0</v>
      </c>
      <c r="S625" s="338">
        <f t="shared" si="394"/>
        <v>0</v>
      </c>
      <c r="T625" s="329">
        <f t="shared" si="388"/>
        <v>0</v>
      </c>
      <c r="U625" s="338">
        <f t="shared" si="395"/>
        <v>0</v>
      </c>
      <c r="V625" s="329">
        <f t="shared" si="389"/>
        <v>0</v>
      </c>
      <c r="W625" s="338">
        <f t="shared" si="396"/>
        <v>0</v>
      </c>
      <c r="X625" s="35"/>
    </row>
    <row r="626" spans="1:24" x14ac:dyDescent="0.25">
      <c r="A626" s="336">
        <f>A625+3</f>
        <v>44333</v>
      </c>
      <c r="B626" s="49">
        <f t="shared" si="374"/>
        <v>0</v>
      </c>
      <c r="C626" s="338">
        <f t="shared" si="376"/>
        <v>74000000</v>
      </c>
      <c r="D626" s="329">
        <f t="shared" si="375"/>
        <v>0</v>
      </c>
      <c r="E626" s="338">
        <f t="shared" si="377"/>
        <v>8207294.0006717108</v>
      </c>
      <c r="F626" s="329">
        <f t="shared" si="380"/>
        <v>0</v>
      </c>
      <c r="G626" s="338">
        <f t="shared" si="378"/>
        <v>42900000</v>
      </c>
      <c r="H626" s="329">
        <f t="shared" si="382"/>
        <v>0</v>
      </c>
      <c r="I626" s="338">
        <f t="shared" si="379"/>
        <v>23721906</v>
      </c>
      <c r="J626" s="329">
        <f t="shared" si="383"/>
        <v>0</v>
      </c>
      <c r="K626" s="338">
        <f t="shared" si="390"/>
        <v>5300000</v>
      </c>
      <c r="L626" s="329">
        <f t="shared" si="384"/>
        <v>0</v>
      </c>
      <c r="M626" s="338">
        <f t="shared" si="391"/>
        <v>0</v>
      </c>
      <c r="N626" s="329">
        <f t="shared" si="385"/>
        <v>0</v>
      </c>
      <c r="O626" s="338">
        <f t="shared" si="392"/>
        <v>0</v>
      </c>
      <c r="P626" s="329">
        <f t="shared" si="386"/>
        <v>0</v>
      </c>
      <c r="Q626" s="338">
        <f t="shared" si="393"/>
        <v>0</v>
      </c>
      <c r="R626" s="329">
        <f t="shared" si="387"/>
        <v>0</v>
      </c>
      <c r="S626" s="338">
        <f t="shared" si="394"/>
        <v>0</v>
      </c>
      <c r="T626" s="329">
        <f t="shared" si="388"/>
        <v>0</v>
      </c>
      <c r="U626" s="338">
        <f t="shared" si="395"/>
        <v>0</v>
      </c>
      <c r="V626" s="329">
        <f t="shared" si="389"/>
        <v>0</v>
      </c>
      <c r="W626" s="338">
        <f t="shared" si="396"/>
        <v>0</v>
      </c>
      <c r="X626" s="35"/>
    </row>
    <row r="627" spans="1:24" x14ac:dyDescent="0.25">
      <c r="A627" s="335">
        <f>A626+1</f>
        <v>44334</v>
      </c>
      <c r="B627" s="49">
        <f t="shared" ref="B627:B690" si="397">SUMIFS(Usage_Main,CF_Dates,$A627,CF_Descriptions,"XS1951177309 Change")</f>
        <v>0</v>
      </c>
      <c r="C627" s="338">
        <f t="shared" si="376"/>
        <v>74000000</v>
      </c>
      <c r="D627" s="329">
        <f t="shared" ref="D627:D690" si="398">SUMIFS(Usage_Main,CF_Dates,$A627,CF_Descriptions,"SOSPRUCE1 Change")</f>
        <v>0</v>
      </c>
      <c r="E627" s="338">
        <f t="shared" si="377"/>
        <v>8207294.0006717108</v>
      </c>
      <c r="F627" s="329">
        <f t="shared" si="380"/>
        <v>0</v>
      </c>
      <c r="G627" s="338">
        <f t="shared" si="378"/>
        <v>42900000</v>
      </c>
      <c r="H627" s="329">
        <f t="shared" si="382"/>
        <v>0</v>
      </c>
      <c r="I627" s="338">
        <f t="shared" si="379"/>
        <v>23721906</v>
      </c>
      <c r="J627" s="329">
        <f t="shared" si="383"/>
        <v>0</v>
      </c>
      <c r="K627" s="338">
        <f t="shared" si="390"/>
        <v>5300000</v>
      </c>
      <c r="L627" s="329">
        <f t="shared" si="384"/>
        <v>0</v>
      </c>
      <c r="M627" s="338">
        <f t="shared" si="391"/>
        <v>0</v>
      </c>
      <c r="N627" s="329">
        <f t="shared" si="385"/>
        <v>0</v>
      </c>
      <c r="O627" s="338">
        <f t="shared" si="392"/>
        <v>0</v>
      </c>
      <c r="P627" s="329">
        <f t="shared" si="386"/>
        <v>0</v>
      </c>
      <c r="Q627" s="338">
        <f t="shared" si="393"/>
        <v>0</v>
      </c>
      <c r="R627" s="329">
        <f t="shared" si="387"/>
        <v>0</v>
      </c>
      <c r="S627" s="338">
        <f t="shared" si="394"/>
        <v>0</v>
      </c>
      <c r="T627" s="329">
        <f t="shared" si="388"/>
        <v>0</v>
      </c>
      <c r="U627" s="338">
        <f t="shared" si="395"/>
        <v>0</v>
      </c>
      <c r="V627" s="329">
        <f t="shared" si="389"/>
        <v>0</v>
      </c>
      <c r="W627" s="338">
        <f t="shared" si="396"/>
        <v>0</v>
      </c>
      <c r="X627" s="35"/>
    </row>
    <row r="628" spans="1:24" x14ac:dyDescent="0.25">
      <c r="A628" s="335">
        <f>A627+1</f>
        <v>44335</v>
      </c>
      <c r="B628" s="49">
        <f t="shared" si="397"/>
        <v>0</v>
      </c>
      <c r="C628" s="338">
        <f t="shared" si="376"/>
        <v>74000000</v>
      </c>
      <c r="D628" s="329">
        <f t="shared" si="398"/>
        <v>0</v>
      </c>
      <c r="E628" s="338">
        <f t="shared" si="377"/>
        <v>8207294.0006717108</v>
      </c>
      <c r="F628" s="329">
        <f t="shared" si="380"/>
        <v>0</v>
      </c>
      <c r="G628" s="338">
        <f t="shared" si="378"/>
        <v>42900000</v>
      </c>
      <c r="H628" s="329">
        <f t="shared" si="382"/>
        <v>0</v>
      </c>
      <c r="I628" s="338">
        <f t="shared" si="379"/>
        <v>23721906</v>
      </c>
      <c r="J628" s="329">
        <f t="shared" si="383"/>
        <v>0</v>
      </c>
      <c r="K628" s="338">
        <f t="shared" si="390"/>
        <v>5300000</v>
      </c>
      <c r="L628" s="329">
        <f t="shared" si="384"/>
        <v>0</v>
      </c>
      <c r="M628" s="338">
        <f t="shared" si="391"/>
        <v>0</v>
      </c>
      <c r="N628" s="329">
        <f t="shared" si="385"/>
        <v>0</v>
      </c>
      <c r="O628" s="338">
        <f t="shared" si="392"/>
        <v>0</v>
      </c>
      <c r="P628" s="329">
        <f t="shared" si="386"/>
        <v>0</v>
      </c>
      <c r="Q628" s="338">
        <f t="shared" si="393"/>
        <v>0</v>
      </c>
      <c r="R628" s="329">
        <f t="shared" si="387"/>
        <v>0</v>
      </c>
      <c r="S628" s="338">
        <f t="shared" si="394"/>
        <v>0</v>
      </c>
      <c r="T628" s="329">
        <f t="shared" si="388"/>
        <v>0</v>
      </c>
      <c r="U628" s="338">
        <f t="shared" si="395"/>
        <v>0</v>
      </c>
      <c r="V628" s="329">
        <f t="shared" si="389"/>
        <v>0</v>
      </c>
      <c r="W628" s="338">
        <f t="shared" si="396"/>
        <v>0</v>
      </c>
      <c r="X628" s="35"/>
    </row>
    <row r="629" spans="1:24" x14ac:dyDescent="0.25">
      <c r="A629" s="335">
        <f>A628+1</f>
        <v>44336</v>
      </c>
      <c r="B629" s="49">
        <f t="shared" si="397"/>
        <v>0</v>
      </c>
      <c r="C629" s="338">
        <f t="shared" si="376"/>
        <v>74000000</v>
      </c>
      <c r="D629" s="329">
        <f t="shared" si="398"/>
        <v>0</v>
      </c>
      <c r="E629" s="338">
        <f t="shared" si="377"/>
        <v>8207294.0006717108</v>
      </c>
      <c r="F629" s="329">
        <f t="shared" si="380"/>
        <v>0</v>
      </c>
      <c r="G629" s="338">
        <f t="shared" si="378"/>
        <v>42900000</v>
      </c>
      <c r="H629" s="329">
        <f t="shared" si="382"/>
        <v>0</v>
      </c>
      <c r="I629" s="338">
        <f t="shared" si="379"/>
        <v>23721906</v>
      </c>
      <c r="J629" s="329">
        <f t="shared" si="383"/>
        <v>0</v>
      </c>
      <c r="K629" s="338">
        <f t="shared" si="390"/>
        <v>5300000</v>
      </c>
      <c r="L629" s="329">
        <f t="shared" si="384"/>
        <v>0</v>
      </c>
      <c r="M629" s="338">
        <f t="shared" si="391"/>
        <v>0</v>
      </c>
      <c r="N629" s="329">
        <f t="shared" si="385"/>
        <v>0</v>
      </c>
      <c r="O629" s="338">
        <f t="shared" si="392"/>
        <v>0</v>
      </c>
      <c r="P629" s="329">
        <f t="shared" si="386"/>
        <v>0</v>
      </c>
      <c r="Q629" s="338">
        <f t="shared" si="393"/>
        <v>0</v>
      </c>
      <c r="R629" s="329">
        <f t="shared" si="387"/>
        <v>0</v>
      </c>
      <c r="S629" s="338">
        <f t="shared" si="394"/>
        <v>0</v>
      </c>
      <c r="T629" s="329">
        <f t="shared" si="388"/>
        <v>0</v>
      </c>
      <c r="U629" s="338">
        <f t="shared" si="395"/>
        <v>0</v>
      </c>
      <c r="V629" s="329">
        <f t="shared" si="389"/>
        <v>0</v>
      </c>
      <c r="W629" s="338">
        <f t="shared" si="396"/>
        <v>0</v>
      </c>
      <c r="X629" s="35"/>
    </row>
    <row r="630" spans="1:24" x14ac:dyDescent="0.25">
      <c r="A630" s="335">
        <f>A629+1</f>
        <v>44337</v>
      </c>
      <c r="B630" s="49">
        <f t="shared" si="397"/>
        <v>2000000</v>
      </c>
      <c r="C630" s="338">
        <f t="shared" si="376"/>
        <v>76000000</v>
      </c>
      <c r="D630" s="329">
        <f t="shared" si="398"/>
        <v>0</v>
      </c>
      <c r="E630" s="338">
        <f t="shared" si="377"/>
        <v>8207294.0006717108</v>
      </c>
      <c r="F630" s="329">
        <f t="shared" si="380"/>
        <v>0</v>
      </c>
      <c r="G630" s="338">
        <f t="shared" si="378"/>
        <v>42900000</v>
      </c>
      <c r="H630" s="329">
        <f t="shared" si="382"/>
        <v>0</v>
      </c>
      <c r="I630" s="338">
        <f t="shared" si="379"/>
        <v>23721906</v>
      </c>
      <c r="J630" s="329">
        <f t="shared" si="383"/>
        <v>0</v>
      </c>
      <c r="K630" s="338">
        <f t="shared" si="390"/>
        <v>5300000</v>
      </c>
      <c r="L630" s="329">
        <f t="shared" si="384"/>
        <v>0</v>
      </c>
      <c r="M630" s="338">
        <f t="shared" si="391"/>
        <v>0</v>
      </c>
      <c r="N630" s="329">
        <f t="shared" si="385"/>
        <v>0</v>
      </c>
      <c r="O630" s="338">
        <f t="shared" si="392"/>
        <v>0</v>
      </c>
      <c r="P630" s="329">
        <f t="shared" si="386"/>
        <v>0</v>
      </c>
      <c r="Q630" s="338">
        <f t="shared" si="393"/>
        <v>0</v>
      </c>
      <c r="R630" s="329">
        <f t="shared" si="387"/>
        <v>0</v>
      </c>
      <c r="S630" s="338">
        <f t="shared" si="394"/>
        <v>0</v>
      </c>
      <c r="T630" s="329">
        <f t="shared" si="388"/>
        <v>0</v>
      </c>
      <c r="U630" s="338">
        <f t="shared" si="395"/>
        <v>0</v>
      </c>
      <c r="V630" s="329">
        <f t="shared" si="389"/>
        <v>0</v>
      </c>
      <c r="W630" s="338">
        <f t="shared" si="396"/>
        <v>0</v>
      </c>
      <c r="X630" s="35"/>
    </row>
    <row r="631" spans="1:24" x14ac:dyDescent="0.25">
      <c r="A631" s="336">
        <f>A630+3</f>
        <v>44340</v>
      </c>
      <c r="B631" s="49">
        <f t="shared" si="397"/>
        <v>0</v>
      </c>
      <c r="C631" s="338">
        <f t="shared" si="376"/>
        <v>76000000</v>
      </c>
      <c r="D631" s="329">
        <f t="shared" si="398"/>
        <v>0</v>
      </c>
      <c r="E631" s="338">
        <f t="shared" si="377"/>
        <v>8207294.0006717108</v>
      </c>
      <c r="F631" s="329">
        <f t="shared" si="380"/>
        <v>0</v>
      </c>
      <c r="G631" s="338">
        <f t="shared" si="378"/>
        <v>42900000</v>
      </c>
      <c r="H631" s="329">
        <f t="shared" si="382"/>
        <v>0</v>
      </c>
      <c r="I631" s="338">
        <f t="shared" si="379"/>
        <v>23721906</v>
      </c>
      <c r="J631" s="329">
        <f t="shared" si="383"/>
        <v>0</v>
      </c>
      <c r="K631" s="338">
        <f t="shared" si="390"/>
        <v>5300000</v>
      </c>
      <c r="L631" s="329">
        <f t="shared" si="384"/>
        <v>0</v>
      </c>
      <c r="M631" s="338">
        <f t="shared" si="391"/>
        <v>0</v>
      </c>
      <c r="N631" s="329">
        <f t="shared" si="385"/>
        <v>0</v>
      </c>
      <c r="O631" s="338">
        <f t="shared" si="392"/>
        <v>0</v>
      </c>
      <c r="P631" s="329">
        <f t="shared" si="386"/>
        <v>0</v>
      </c>
      <c r="Q631" s="338">
        <f t="shared" si="393"/>
        <v>0</v>
      </c>
      <c r="R631" s="329">
        <f t="shared" si="387"/>
        <v>0</v>
      </c>
      <c r="S631" s="338">
        <f t="shared" si="394"/>
        <v>0</v>
      </c>
      <c r="T631" s="329">
        <f t="shared" si="388"/>
        <v>0</v>
      </c>
      <c r="U631" s="338">
        <f t="shared" si="395"/>
        <v>0</v>
      </c>
      <c r="V631" s="329">
        <f t="shared" si="389"/>
        <v>0</v>
      </c>
      <c r="W631" s="338">
        <f t="shared" si="396"/>
        <v>0</v>
      </c>
      <c r="X631" s="35"/>
    </row>
    <row r="632" spans="1:24" x14ac:dyDescent="0.25">
      <c r="A632" s="335">
        <f>A631+1</f>
        <v>44341</v>
      </c>
      <c r="B632" s="49">
        <f t="shared" si="397"/>
        <v>0</v>
      </c>
      <c r="C632" s="338">
        <f t="shared" si="376"/>
        <v>76000000</v>
      </c>
      <c r="D632" s="329">
        <f t="shared" si="398"/>
        <v>0</v>
      </c>
      <c r="E632" s="338">
        <f t="shared" si="377"/>
        <v>8207294.0006717108</v>
      </c>
      <c r="F632" s="329">
        <f t="shared" si="380"/>
        <v>0</v>
      </c>
      <c r="G632" s="338">
        <f t="shared" si="378"/>
        <v>42900000</v>
      </c>
      <c r="H632" s="329">
        <f t="shared" si="382"/>
        <v>0</v>
      </c>
      <c r="I632" s="338">
        <f t="shared" si="379"/>
        <v>23721906</v>
      </c>
      <c r="J632" s="329">
        <f t="shared" si="383"/>
        <v>1400000</v>
      </c>
      <c r="K632" s="338">
        <f t="shared" si="390"/>
        <v>6700000</v>
      </c>
      <c r="L632" s="329">
        <f t="shared" si="384"/>
        <v>0</v>
      </c>
      <c r="M632" s="338">
        <f t="shared" si="391"/>
        <v>0</v>
      </c>
      <c r="N632" s="329">
        <f t="shared" si="385"/>
        <v>0</v>
      </c>
      <c r="O632" s="338">
        <f t="shared" si="392"/>
        <v>0</v>
      </c>
      <c r="P632" s="329">
        <f t="shared" si="386"/>
        <v>0</v>
      </c>
      <c r="Q632" s="338">
        <f t="shared" si="393"/>
        <v>0</v>
      </c>
      <c r="R632" s="329">
        <f t="shared" si="387"/>
        <v>0</v>
      </c>
      <c r="S632" s="338">
        <f t="shared" si="394"/>
        <v>0</v>
      </c>
      <c r="T632" s="329">
        <f t="shared" si="388"/>
        <v>0</v>
      </c>
      <c r="U632" s="338">
        <f t="shared" si="395"/>
        <v>0</v>
      </c>
      <c r="V632" s="329">
        <f t="shared" si="389"/>
        <v>0</v>
      </c>
      <c r="W632" s="338">
        <f t="shared" si="396"/>
        <v>0</v>
      </c>
      <c r="X632" s="35"/>
    </row>
    <row r="633" spans="1:24" x14ac:dyDescent="0.25">
      <c r="A633" s="335">
        <f>A632+1</f>
        <v>44342</v>
      </c>
      <c r="B633" s="49">
        <f t="shared" si="397"/>
        <v>0</v>
      </c>
      <c r="C633" s="338">
        <f t="shared" si="376"/>
        <v>76000000</v>
      </c>
      <c r="D633" s="329">
        <f t="shared" si="398"/>
        <v>0</v>
      </c>
      <c r="E633" s="338">
        <f t="shared" si="377"/>
        <v>8207294.0006717108</v>
      </c>
      <c r="F633" s="329">
        <f t="shared" si="380"/>
        <v>0</v>
      </c>
      <c r="G633" s="338">
        <f t="shared" si="378"/>
        <v>42900000</v>
      </c>
      <c r="H633" s="329">
        <f t="shared" si="382"/>
        <v>0</v>
      </c>
      <c r="I633" s="338">
        <f t="shared" si="379"/>
        <v>23721906</v>
      </c>
      <c r="J633" s="329">
        <f t="shared" si="383"/>
        <v>0</v>
      </c>
      <c r="K633" s="338">
        <f t="shared" si="390"/>
        <v>6700000</v>
      </c>
      <c r="L633" s="329">
        <f t="shared" si="384"/>
        <v>0</v>
      </c>
      <c r="M633" s="338">
        <f t="shared" si="391"/>
        <v>0</v>
      </c>
      <c r="N633" s="329">
        <f t="shared" si="385"/>
        <v>0</v>
      </c>
      <c r="O633" s="338">
        <f t="shared" si="392"/>
        <v>0</v>
      </c>
      <c r="P633" s="329">
        <f t="shared" si="386"/>
        <v>0</v>
      </c>
      <c r="Q633" s="338">
        <f t="shared" si="393"/>
        <v>0</v>
      </c>
      <c r="R633" s="329">
        <f t="shared" si="387"/>
        <v>0</v>
      </c>
      <c r="S633" s="338">
        <f t="shared" si="394"/>
        <v>0</v>
      </c>
      <c r="T633" s="329">
        <f t="shared" si="388"/>
        <v>0</v>
      </c>
      <c r="U633" s="338">
        <f t="shared" si="395"/>
        <v>0</v>
      </c>
      <c r="V633" s="329">
        <f t="shared" si="389"/>
        <v>0</v>
      </c>
      <c r="W633" s="338">
        <f t="shared" si="396"/>
        <v>0</v>
      </c>
      <c r="X633" s="35"/>
    </row>
    <row r="634" spans="1:24" x14ac:dyDescent="0.25">
      <c r="A634" s="335">
        <f>A633+1</f>
        <v>44343</v>
      </c>
      <c r="B634" s="49">
        <f t="shared" si="397"/>
        <v>0</v>
      </c>
      <c r="C634" s="338">
        <f t="shared" si="376"/>
        <v>76000000</v>
      </c>
      <c r="D634" s="329">
        <f t="shared" si="398"/>
        <v>0</v>
      </c>
      <c r="E634" s="338">
        <f t="shared" si="377"/>
        <v>8207294.0006717108</v>
      </c>
      <c r="F634" s="329">
        <f t="shared" si="380"/>
        <v>0</v>
      </c>
      <c r="G634" s="338">
        <f t="shared" si="378"/>
        <v>42900000</v>
      </c>
      <c r="H634" s="329">
        <f t="shared" si="382"/>
        <v>0</v>
      </c>
      <c r="I634" s="338">
        <f t="shared" si="379"/>
        <v>23721906</v>
      </c>
      <c r="J634" s="329">
        <f t="shared" si="383"/>
        <v>0</v>
      </c>
      <c r="K634" s="338">
        <f t="shared" si="390"/>
        <v>6700000</v>
      </c>
      <c r="L634" s="329">
        <f t="shared" si="384"/>
        <v>0</v>
      </c>
      <c r="M634" s="338">
        <f t="shared" si="391"/>
        <v>0</v>
      </c>
      <c r="N634" s="329">
        <f t="shared" si="385"/>
        <v>0</v>
      </c>
      <c r="O634" s="338">
        <f t="shared" si="392"/>
        <v>0</v>
      </c>
      <c r="P634" s="329">
        <f t="shared" si="386"/>
        <v>0</v>
      </c>
      <c r="Q634" s="338">
        <f t="shared" si="393"/>
        <v>0</v>
      </c>
      <c r="R634" s="329">
        <f t="shared" si="387"/>
        <v>0</v>
      </c>
      <c r="S634" s="338">
        <f t="shared" si="394"/>
        <v>0</v>
      </c>
      <c r="T634" s="329">
        <f t="shared" si="388"/>
        <v>0</v>
      </c>
      <c r="U634" s="338">
        <f t="shared" si="395"/>
        <v>0</v>
      </c>
      <c r="V634" s="329">
        <f t="shared" si="389"/>
        <v>0</v>
      </c>
      <c r="W634" s="338">
        <f t="shared" si="396"/>
        <v>0</v>
      </c>
      <c r="X634" s="35"/>
    </row>
    <row r="635" spans="1:24" x14ac:dyDescent="0.25">
      <c r="A635" s="335">
        <f>A634+1</f>
        <v>44344</v>
      </c>
      <c r="B635" s="49">
        <f t="shared" si="397"/>
        <v>0</v>
      </c>
      <c r="C635" s="338">
        <f t="shared" si="376"/>
        <v>76000000</v>
      </c>
      <c r="D635" s="329">
        <f t="shared" si="398"/>
        <v>0</v>
      </c>
      <c r="E635" s="338">
        <f t="shared" si="377"/>
        <v>8207294.0006717108</v>
      </c>
      <c r="F635" s="329">
        <f t="shared" si="380"/>
        <v>0</v>
      </c>
      <c r="G635" s="338">
        <f t="shared" si="378"/>
        <v>42900000</v>
      </c>
      <c r="H635" s="329">
        <f t="shared" si="382"/>
        <v>0</v>
      </c>
      <c r="I635" s="338">
        <f t="shared" si="379"/>
        <v>23721906</v>
      </c>
      <c r="J635" s="329">
        <f t="shared" si="383"/>
        <v>0</v>
      </c>
      <c r="K635" s="338">
        <f t="shared" si="390"/>
        <v>6700000</v>
      </c>
      <c r="L635" s="329">
        <f t="shared" si="384"/>
        <v>0</v>
      </c>
      <c r="M635" s="338">
        <f t="shared" si="391"/>
        <v>0</v>
      </c>
      <c r="N635" s="329">
        <f t="shared" si="385"/>
        <v>0</v>
      </c>
      <c r="O635" s="338">
        <f t="shared" si="392"/>
        <v>0</v>
      </c>
      <c r="P635" s="329">
        <f t="shared" si="386"/>
        <v>0</v>
      </c>
      <c r="Q635" s="338">
        <f t="shared" si="393"/>
        <v>0</v>
      </c>
      <c r="R635" s="329">
        <f t="shared" si="387"/>
        <v>0</v>
      </c>
      <c r="S635" s="338">
        <f t="shared" si="394"/>
        <v>0</v>
      </c>
      <c r="T635" s="329">
        <f t="shared" si="388"/>
        <v>0</v>
      </c>
      <c r="U635" s="338">
        <f t="shared" si="395"/>
        <v>0</v>
      </c>
      <c r="V635" s="329">
        <f t="shared" si="389"/>
        <v>0</v>
      </c>
      <c r="W635" s="338">
        <f t="shared" si="396"/>
        <v>0</v>
      </c>
      <c r="X635" s="35"/>
    </row>
    <row r="636" spans="1:24" x14ac:dyDescent="0.25">
      <c r="A636" s="336">
        <f>A635+3</f>
        <v>44347</v>
      </c>
      <c r="B636" s="49">
        <f t="shared" si="397"/>
        <v>0</v>
      </c>
      <c r="C636" s="338">
        <f t="shared" ref="C636:C639" si="399">B636+C635</f>
        <v>76000000</v>
      </c>
      <c r="D636" s="329">
        <f t="shared" si="398"/>
        <v>0</v>
      </c>
      <c r="E636" s="338">
        <f t="shared" ref="E636:E639" si="400">D636+E635</f>
        <v>8207294.0006717108</v>
      </c>
      <c r="F636" s="329">
        <f t="shared" si="380"/>
        <v>0</v>
      </c>
      <c r="G636" s="338">
        <f t="shared" ref="G636:G639" si="401">F636+G635</f>
        <v>42900000</v>
      </c>
      <c r="H636" s="329">
        <f t="shared" si="382"/>
        <v>0</v>
      </c>
      <c r="I636" s="338">
        <f t="shared" ref="I636:I639" si="402">H636+I635</f>
        <v>23721906</v>
      </c>
      <c r="J636" s="329">
        <f t="shared" si="383"/>
        <v>0</v>
      </c>
      <c r="K636" s="338">
        <f t="shared" si="390"/>
        <v>6700000</v>
      </c>
      <c r="L636" s="329">
        <f t="shared" si="384"/>
        <v>0</v>
      </c>
      <c r="M636" s="338">
        <f t="shared" si="391"/>
        <v>0</v>
      </c>
      <c r="N636" s="329">
        <f t="shared" si="385"/>
        <v>0</v>
      </c>
      <c r="O636" s="338">
        <f t="shared" si="392"/>
        <v>0</v>
      </c>
      <c r="P636" s="329">
        <f t="shared" si="386"/>
        <v>0</v>
      </c>
      <c r="Q636" s="338">
        <f t="shared" si="393"/>
        <v>0</v>
      </c>
      <c r="R636" s="329">
        <f t="shared" si="387"/>
        <v>0</v>
      </c>
      <c r="S636" s="338">
        <f t="shared" si="394"/>
        <v>0</v>
      </c>
      <c r="T636" s="329">
        <f t="shared" si="388"/>
        <v>0</v>
      </c>
      <c r="U636" s="338">
        <f t="shared" si="395"/>
        <v>0</v>
      </c>
      <c r="V636" s="329">
        <f t="shared" si="389"/>
        <v>0</v>
      </c>
      <c r="W636" s="338">
        <f t="shared" si="396"/>
        <v>0</v>
      </c>
      <c r="X636" s="35"/>
    </row>
    <row r="637" spans="1:24" x14ac:dyDescent="0.25">
      <c r="A637" s="335">
        <f>WORKDAY(A636,1)</f>
        <v>44348</v>
      </c>
      <c r="B637" s="49">
        <f t="shared" si="397"/>
        <v>3000000</v>
      </c>
      <c r="C637" s="338">
        <f t="shared" si="399"/>
        <v>79000000</v>
      </c>
      <c r="D637" s="329">
        <f t="shared" si="398"/>
        <v>0</v>
      </c>
      <c r="E637" s="338">
        <f t="shared" si="400"/>
        <v>8207294.0006717108</v>
      </c>
      <c r="F637" s="329">
        <f t="shared" si="380"/>
        <v>0</v>
      </c>
      <c r="G637" s="338">
        <f t="shared" si="401"/>
        <v>42900000</v>
      </c>
      <c r="H637" s="329">
        <f t="shared" si="382"/>
        <v>0</v>
      </c>
      <c r="I637" s="338">
        <f t="shared" si="402"/>
        <v>23721906</v>
      </c>
      <c r="J637" s="329">
        <f t="shared" si="383"/>
        <v>0</v>
      </c>
      <c r="K637" s="338">
        <f t="shared" si="390"/>
        <v>6700000</v>
      </c>
      <c r="L637" s="329">
        <f t="shared" si="384"/>
        <v>0</v>
      </c>
      <c r="M637" s="338">
        <f t="shared" si="391"/>
        <v>0</v>
      </c>
      <c r="N637" s="329">
        <f t="shared" si="385"/>
        <v>0</v>
      </c>
      <c r="O637" s="338">
        <f t="shared" si="392"/>
        <v>0</v>
      </c>
      <c r="P637" s="329">
        <f t="shared" si="386"/>
        <v>0</v>
      </c>
      <c r="Q637" s="338">
        <f t="shared" si="393"/>
        <v>0</v>
      </c>
      <c r="R637" s="329">
        <f t="shared" si="387"/>
        <v>0</v>
      </c>
      <c r="S637" s="338">
        <f t="shared" si="394"/>
        <v>0</v>
      </c>
      <c r="T637" s="329">
        <f t="shared" si="388"/>
        <v>0</v>
      </c>
      <c r="U637" s="338">
        <f t="shared" si="395"/>
        <v>0</v>
      </c>
      <c r="V637" s="329">
        <f t="shared" si="389"/>
        <v>0</v>
      </c>
      <c r="W637" s="338">
        <f t="shared" si="396"/>
        <v>0</v>
      </c>
      <c r="X637" s="35"/>
    </row>
    <row r="638" spans="1:24" x14ac:dyDescent="0.25">
      <c r="A638" s="335">
        <f t="shared" ref="A638:A639" si="403">A637+1</f>
        <v>44349</v>
      </c>
      <c r="B638" s="49">
        <f t="shared" si="397"/>
        <v>0</v>
      </c>
      <c r="C638" s="338">
        <f t="shared" si="399"/>
        <v>79000000</v>
      </c>
      <c r="D638" s="329">
        <f t="shared" si="398"/>
        <v>0</v>
      </c>
      <c r="E638" s="338">
        <f t="shared" si="400"/>
        <v>8207294.0006717108</v>
      </c>
      <c r="F638" s="329">
        <f t="shared" si="380"/>
        <v>0</v>
      </c>
      <c r="G638" s="338">
        <f t="shared" si="401"/>
        <v>42900000</v>
      </c>
      <c r="H638" s="329">
        <f t="shared" si="382"/>
        <v>0</v>
      </c>
      <c r="I638" s="338">
        <f t="shared" si="402"/>
        <v>23721906</v>
      </c>
      <c r="J638" s="329">
        <f t="shared" si="383"/>
        <v>0</v>
      </c>
      <c r="K638" s="338">
        <f t="shared" si="390"/>
        <v>6700000</v>
      </c>
      <c r="L638" s="329">
        <f t="shared" si="384"/>
        <v>0</v>
      </c>
      <c r="M638" s="338">
        <f t="shared" si="391"/>
        <v>0</v>
      </c>
      <c r="N638" s="329">
        <f t="shared" si="385"/>
        <v>0</v>
      </c>
      <c r="O638" s="338">
        <f t="shared" si="392"/>
        <v>0</v>
      </c>
      <c r="P638" s="329">
        <f t="shared" si="386"/>
        <v>0</v>
      </c>
      <c r="Q638" s="338">
        <f t="shared" si="393"/>
        <v>0</v>
      </c>
      <c r="R638" s="329">
        <f t="shared" si="387"/>
        <v>0</v>
      </c>
      <c r="S638" s="338">
        <f t="shared" si="394"/>
        <v>0</v>
      </c>
      <c r="T638" s="329">
        <f t="shared" si="388"/>
        <v>0</v>
      </c>
      <c r="U638" s="338">
        <f t="shared" si="395"/>
        <v>0</v>
      </c>
      <c r="V638" s="329">
        <f t="shared" si="389"/>
        <v>0</v>
      </c>
      <c r="W638" s="338">
        <f t="shared" si="396"/>
        <v>0</v>
      </c>
      <c r="X638" s="35"/>
    </row>
    <row r="639" spans="1:24" x14ac:dyDescent="0.25">
      <c r="A639" s="335">
        <f t="shared" si="403"/>
        <v>44350</v>
      </c>
      <c r="B639" s="49">
        <f t="shared" si="397"/>
        <v>0</v>
      </c>
      <c r="C639" s="338">
        <f t="shared" si="399"/>
        <v>79000000</v>
      </c>
      <c r="D639" s="329">
        <f t="shared" si="398"/>
        <v>0</v>
      </c>
      <c r="E639" s="338">
        <f t="shared" si="400"/>
        <v>8207294.0006717108</v>
      </c>
      <c r="F639" s="329">
        <f t="shared" si="380"/>
        <v>0</v>
      </c>
      <c r="G639" s="338">
        <f t="shared" si="401"/>
        <v>42900000</v>
      </c>
      <c r="H639" s="329">
        <f t="shared" si="382"/>
        <v>0</v>
      </c>
      <c r="I639" s="338">
        <f t="shared" si="402"/>
        <v>23721906</v>
      </c>
      <c r="J639" s="329">
        <f t="shared" si="383"/>
        <v>0</v>
      </c>
      <c r="K639" s="338">
        <f t="shared" si="390"/>
        <v>6700000</v>
      </c>
      <c r="L639" s="329">
        <f t="shared" si="384"/>
        <v>0</v>
      </c>
      <c r="M639" s="338">
        <f t="shared" si="391"/>
        <v>0</v>
      </c>
      <c r="N639" s="329">
        <f t="shared" si="385"/>
        <v>0</v>
      </c>
      <c r="O639" s="338">
        <f t="shared" si="392"/>
        <v>0</v>
      </c>
      <c r="P639" s="329">
        <f t="shared" si="386"/>
        <v>0</v>
      </c>
      <c r="Q639" s="338">
        <f t="shared" si="393"/>
        <v>0</v>
      </c>
      <c r="R639" s="329">
        <f t="shared" si="387"/>
        <v>0</v>
      </c>
      <c r="S639" s="338">
        <f t="shared" si="394"/>
        <v>0</v>
      </c>
      <c r="T639" s="329">
        <f t="shared" si="388"/>
        <v>0</v>
      </c>
      <c r="U639" s="338">
        <f t="shared" si="395"/>
        <v>0</v>
      </c>
      <c r="V639" s="329">
        <f t="shared" si="389"/>
        <v>0</v>
      </c>
      <c r="W639" s="338">
        <f t="shared" si="396"/>
        <v>0</v>
      </c>
      <c r="X639" s="35"/>
    </row>
    <row r="640" spans="1:24" x14ac:dyDescent="0.25">
      <c r="A640" s="335">
        <f t="shared" ref="A640:A703" si="404">A639+1</f>
        <v>44351</v>
      </c>
      <c r="B640" s="49">
        <f t="shared" si="397"/>
        <v>0</v>
      </c>
      <c r="C640" s="338">
        <f t="shared" ref="C640:C703" si="405">B640+C639</f>
        <v>79000000</v>
      </c>
      <c r="D640" s="329">
        <f t="shared" si="398"/>
        <v>0</v>
      </c>
      <c r="E640" s="338">
        <f t="shared" ref="E640:E703" si="406">D640+E639</f>
        <v>8207294.0006717108</v>
      </c>
      <c r="F640" s="329">
        <f t="shared" si="380"/>
        <v>0</v>
      </c>
      <c r="G640" s="338">
        <f t="shared" ref="G640:G703" si="407">F640+G639</f>
        <v>42900000</v>
      </c>
      <c r="H640" s="329">
        <f t="shared" si="382"/>
        <v>0</v>
      </c>
      <c r="I640" s="338">
        <f t="shared" ref="I640:I703" si="408">H640+I639</f>
        <v>23721906</v>
      </c>
      <c r="J640" s="329">
        <f t="shared" si="383"/>
        <v>0</v>
      </c>
      <c r="K640" s="338">
        <f t="shared" ref="K640:K703" si="409">J640+K639</f>
        <v>6700000</v>
      </c>
      <c r="L640" s="329">
        <f t="shared" si="384"/>
        <v>0</v>
      </c>
      <c r="M640" s="338">
        <f t="shared" si="391"/>
        <v>0</v>
      </c>
      <c r="N640" s="329">
        <f t="shared" si="385"/>
        <v>0</v>
      </c>
      <c r="O640" s="338">
        <f t="shared" si="392"/>
        <v>0</v>
      </c>
      <c r="P640" s="329">
        <f t="shared" si="386"/>
        <v>0</v>
      </c>
      <c r="Q640" s="338">
        <f t="shared" si="393"/>
        <v>0</v>
      </c>
      <c r="R640" s="329">
        <f t="shared" si="387"/>
        <v>0</v>
      </c>
      <c r="S640" s="338">
        <f t="shared" si="394"/>
        <v>0</v>
      </c>
      <c r="T640" s="329">
        <f t="shared" si="388"/>
        <v>0</v>
      </c>
      <c r="U640" s="338">
        <f t="shared" si="395"/>
        <v>0</v>
      </c>
      <c r="V640" s="329">
        <f t="shared" si="389"/>
        <v>0</v>
      </c>
      <c r="W640" s="338">
        <f t="shared" si="396"/>
        <v>0</v>
      </c>
      <c r="X640" s="35"/>
    </row>
    <row r="641" spans="1:24" x14ac:dyDescent="0.25">
      <c r="A641" s="335">
        <f t="shared" si="404"/>
        <v>44352</v>
      </c>
      <c r="B641" s="49">
        <f t="shared" si="397"/>
        <v>0</v>
      </c>
      <c r="C641" s="338">
        <f t="shared" si="405"/>
        <v>79000000</v>
      </c>
      <c r="D641" s="329">
        <f t="shared" si="398"/>
        <v>0</v>
      </c>
      <c r="E641" s="338">
        <f t="shared" si="406"/>
        <v>8207294.0006717108</v>
      </c>
      <c r="F641" s="329">
        <f t="shared" si="380"/>
        <v>0</v>
      </c>
      <c r="G641" s="338">
        <f t="shared" si="407"/>
        <v>42900000</v>
      </c>
      <c r="H641" s="329">
        <f t="shared" si="382"/>
        <v>0</v>
      </c>
      <c r="I641" s="338">
        <f t="shared" si="408"/>
        <v>23721906</v>
      </c>
      <c r="J641" s="329">
        <f t="shared" si="383"/>
        <v>0</v>
      </c>
      <c r="K641" s="338">
        <f t="shared" si="409"/>
        <v>6700000</v>
      </c>
      <c r="L641" s="329">
        <f t="shared" si="384"/>
        <v>0</v>
      </c>
      <c r="M641" s="338">
        <f t="shared" si="391"/>
        <v>0</v>
      </c>
      <c r="N641" s="329">
        <f t="shared" si="385"/>
        <v>0</v>
      </c>
      <c r="O641" s="338">
        <f t="shared" si="392"/>
        <v>0</v>
      </c>
      <c r="P641" s="329">
        <f t="shared" si="386"/>
        <v>0</v>
      </c>
      <c r="Q641" s="338">
        <f t="shared" si="393"/>
        <v>0</v>
      </c>
      <c r="R641" s="329">
        <f t="shared" si="387"/>
        <v>0</v>
      </c>
      <c r="S641" s="338">
        <f t="shared" si="394"/>
        <v>0</v>
      </c>
      <c r="T641" s="329">
        <f t="shared" si="388"/>
        <v>0</v>
      </c>
      <c r="U641" s="338">
        <f t="shared" si="395"/>
        <v>0</v>
      </c>
      <c r="V641" s="329">
        <f t="shared" si="389"/>
        <v>0</v>
      </c>
      <c r="W641" s="338">
        <f t="shared" si="396"/>
        <v>0</v>
      </c>
      <c r="X641" s="35"/>
    </row>
    <row r="642" spans="1:24" x14ac:dyDescent="0.25">
      <c r="A642" s="335">
        <f t="shared" si="404"/>
        <v>44353</v>
      </c>
      <c r="B642" s="49">
        <f t="shared" si="397"/>
        <v>0</v>
      </c>
      <c r="C642" s="338">
        <f t="shared" si="405"/>
        <v>79000000</v>
      </c>
      <c r="D642" s="329">
        <f t="shared" si="398"/>
        <v>0</v>
      </c>
      <c r="E642" s="338">
        <f t="shared" si="406"/>
        <v>8207294.0006717108</v>
      </c>
      <c r="F642" s="329">
        <f t="shared" si="380"/>
        <v>0</v>
      </c>
      <c r="G642" s="338">
        <f t="shared" si="407"/>
        <v>42900000</v>
      </c>
      <c r="H642" s="329">
        <f t="shared" si="382"/>
        <v>0</v>
      </c>
      <c r="I642" s="338">
        <f t="shared" si="408"/>
        <v>23721906</v>
      </c>
      <c r="J642" s="329">
        <f t="shared" si="383"/>
        <v>0</v>
      </c>
      <c r="K642" s="338">
        <f t="shared" si="409"/>
        <v>6700000</v>
      </c>
      <c r="L642" s="329">
        <f t="shared" si="384"/>
        <v>0</v>
      </c>
      <c r="M642" s="338">
        <f t="shared" si="391"/>
        <v>0</v>
      </c>
      <c r="N642" s="329">
        <f t="shared" si="385"/>
        <v>0</v>
      </c>
      <c r="O642" s="338">
        <f t="shared" si="392"/>
        <v>0</v>
      </c>
      <c r="P642" s="329">
        <f t="shared" si="386"/>
        <v>0</v>
      </c>
      <c r="Q642" s="338">
        <f t="shared" si="393"/>
        <v>0</v>
      </c>
      <c r="R642" s="329">
        <f t="shared" si="387"/>
        <v>0</v>
      </c>
      <c r="S642" s="338">
        <f t="shared" si="394"/>
        <v>0</v>
      </c>
      <c r="T642" s="329">
        <f t="shared" si="388"/>
        <v>0</v>
      </c>
      <c r="U642" s="338">
        <f t="shared" si="395"/>
        <v>0</v>
      </c>
      <c r="V642" s="329">
        <f t="shared" si="389"/>
        <v>0</v>
      </c>
      <c r="W642" s="338">
        <f t="shared" si="396"/>
        <v>0</v>
      </c>
      <c r="X642" s="35"/>
    </row>
    <row r="643" spans="1:24" x14ac:dyDescent="0.25">
      <c r="A643" s="335">
        <f t="shared" si="404"/>
        <v>44354</v>
      </c>
      <c r="B643" s="49">
        <f t="shared" si="397"/>
        <v>0</v>
      </c>
      <c r="C643" s="338">
        <f t="shared" si="405"/>
        <v>79000000</v>
      </c>
      <c r="D643" s="329">
        <f t="shared" si="398"/>
        <v>-877067.87</v>
      </c>
      <c r="E643" s="338">
        <f t="shared" si="406"/>
        <v>7330226.1306717107</v>
      </c>
      <c r="F643" s="329">
        <f t="shared" ref="F643:F706" si="410">SUMIFS(Usage_Main,CF_Dates,$A643,CF_Descriptions,"EASTCYPRESS1 Change")</f>
        <v>0</v>
      </c>
      <c r="G643" s="338">
        <f t="shared" si="407"/>
        <v>42900000</v>
      </c>
      <c r="H643" s="329">
        <f t="shared" si="382"/>
        <v>0</v>
      </c>
      <c r="I643" s="338">
        <f t="shared" si="408"/>
        <v>23721906</v>
      </c>
      <c r="J643" s="329">
        <f t="shared" si="383"/>
        <v>0</v>
      </c>
      <c r="K643" s="338">
        <f t="shared" si="409"/>
        <v>6700000</v>
      </c>
      <c r="L643" s="329">
        <f t="shared" si="384"/>
        <v>0</v>
      </c>
      <c r="M643" s="338">
        <f t="shared" si="391"/>
        <v>0</v>
      </c>
      <c r="N643" s="329">
        <f t="shared" si="385"/>
        <v>0</v>
      </c>
      <c r="O643" s="338">
        <f t="shared" si="392"/>
        <v>0</v>
      </c>
      <c r="P643" s="329">
        <f t="shared" si="386"/>
        <v>0</v>
      </c>
      <c r="Q643" s="338">
        <f t="shared" si="393"/>
        <v>0</v>
      </c>
      <c r="R643" s="329">
        <f t="shared" si="387"/>
        <v>0</v>
      </c>
      <c r="S643" s="338">
        <f t="shared" si="394"/>
        <v>0</v>
      </c>
      <c r="T643" s="329">
        <f t="shared" si="388"/>
        <v>0</v>
      </c>
      <c r="U643" s="338">
        <f t="shared" si="395"/>
        <v>0</v>
      </c>
      <c r="V643" s="329">
        <f t="shared" si="389"/>
        <v>0</v>
      </c>
      <c r="W643" s="338">
        <f t="shared" si="396"/>
        <v>0</v>
      </c>
      <c r="X643" s="35"/>
    </row>
    <row r="644" spans="1:24" x14ac:dyDescent="0.25">
      <c r="A644" s="335">
        <f t="shared" si="404"/>
        <v>44355</v>
      </c>
      <c r="B644" s="49">
        <f t="shared" si="397"/>
        <v>0</v>
      </c>
      <c r="C644" s="338">
        <f t="shared" si="405"/>
        <v>79000000</v>
      </c>
      <c r="D644" s="329">
        <f t="shared" si="398"/>
        <v>0</v>
      </c>
      <c r="E644" s="338">
        <f t="shared" si="406"/>
        <v>7330226.1306717107</v>
      </c>
      <c r="F644" s="329">
        <f t="shared" si="410"/>
        <v>0</v>
      </c>
      <c r="G644" s="338">
        <f t="shared" si="407"/>
        <v>42900000</v>
      </c>
      <c r="H644" s="329">
        <f t="shared" si="382"/>
        <v>0</v>
      </c>
      <c r="I644" s="338">
        <f t="shared" si="408"/>
        <v>23721906</v>
      </c>
      <c r="J644" s="329">
        <f t="shared" si="383"/>
        <v>0</v>
      </c>
      <c r="K644" s="338">
        <f t="shared" si="409"/>
        <v>6700000</v>
      </c>
      <c r="L644" s="329">
        <f t="shared" si="384"/>
        <v>0</v>
      </c>
      <c r="M644" s="338">
        <f t="shared" si="391"/>
        <v>0</v>
      </c>
      <c r="N644" s="329">
        <f t="shared" si="385"/>
        <v>0</v>
      </c>
      <c r="O644" s="338">
        <f t="shared" si="392"/>
        <v>0</v>
      </c>
      <c r="P644" s="329">
        <f t="shared" si="386"/>
        <v>0</v>
      </c>
      <c r="Q644" s="338">
        <f t="shared" si="393"/>
        <v>0</v>
      </c>
      <c r="R644" s="329">
        <f t="shared" si="387"/>
        <v>0</v>
      </c>
      <c r="S644" s="338">
        <f t="shared" si="394"/>
        <v>0</v>
      </c>
      <c r="T644" s="329">
        <f t="shared" si="388"/>
        <v>0</v>
      </c>
      <c r="U644" s="338">
        <f t="shared" si="395"/>
        <v>0</v>
      </c>
      <c r="V644" s="329">
        <f t="shared" si="389"/>
        <v>0</v>
      </c>
      <c r="W644" s="338">
        <f t="shared" si="396"/>
        <v>0</v>
      </c>
      <c r="X644" s="35"/>
    </row>
    <row r="645" spans="1:24" x14ac:dyDescent="0.25">
      <c r="A645" s="335">
        <f t="shared" si="404"/>
        <v>44356</v>
      </c>
      <c r="B645" s="49">
        <f t="shared" si="397"/>
        <v>0</v>
      </c>
      <c r="C645" s="338">
        <f t="shared" si="405"/>
        <v>79000000</v>
      </c>
      <c r="D645" s="329">
        <f t="shared" si="398"/>
        <v>0</v>
      </c>
      <c r="E645" s="338">
        <f t="shared" si="406"/>
        <v>7330226.1306717107</v>
      </c>
      <c r="F645" s="329">
        <f t="shared" si="410"/>
        <v>0</v>
      </c>
      <c r="G645" s="338">
        <f t="shared" si="407"/>
        <v>42900000</v>
      </c>
      <c r="H645" s="329">
        <f t="shared" si="382"/>
        <v>0</v>
      </c>
      <c r="I645" s="338">
        <f t="shared" si="408"/>
        <v>23721906</v>
      </c>
      <c r="J645" s="329">
        <f t="shared" si="383"/>
        <v>0</v>
      </c>
      <c r="K645" s="338">
        <f t="shared" si="409"/>
        <v>6700000</v>
      </c>
      <c r="L645" s="329">
        <f t="shared" si="384"/>
        <v>0</v>
      </c>
      <c r="M645" s="338">
        <f t="shared" si="391"/>
        <v>0</v>
      </c>
      <c r="N645" s="329">
        <f t="shared" si="385"/>
        <v>0</v>
      </c>
      <c r="O645" s="338">
        <f t="shared" si="392"/>
        <v>0</v>
      </c>
      <c r="P645" s="329">
        <f t="shared" si="386"/>
        <v>0</v>
      </c>
      <c r="Q645" s="338">
        <f t="shared" si="393"/>
        <v>0</v>
      </c>
      <c r="R645" s="329">
        <f t="shared" si="387"/>
        <v>0</v>
      </c>
      <c r="S645" s="338">
        <f t="shared" si="394"/>
        <v>0</v>
      </c>
      <c r="T645" s="329">
        <f t="shared" si="388"/>
        <v>0</v>
      </c>
      <c r="U645" s="338">
        <f t="shared" si="395"/>
        <v>0</v>
      </c>
      <c r="V645" s="329">
        <f t="shared" si="389"/>
        <v>0</v>
      </c>
      <c r="W645" s="338">
        <f t="shared" si="396"/>
        <v>0</v>
      </c>
      <c r="X645" s="35"/>
    </row>
    <row r="646" spans="1:24" x14ac:dyDescent="0.25">
      <c r="A646" s="335">
        <f t="shared" si="404"/>
        <v>44357</v>
      </c>
      <c r="B646" s="49">
        <f t="shared" si="397"/>
        <v>0</v>
      </c>
      <c r="C646" s="338">
        <f t="shared" si="405"/>
        <v>79000000</v>
      </c>
      <c r="D646" s="329">
        <f t="shared" si="398"/>
        <v>0</v>
      </c>
      <c r="E646" s="338">
        <f t="shared" si="406"/>
        <v>7330226.1306717107</v>
      </c>
      <c r="F646" s="329">
        <f t="shared" si="410"/>
        <v>0</v>
      </c>
      <c r="G646" s="338">
        <f t="shared" si="407"/>
        <v>42900000</v>
      </c>
      <c r="H646" s="329">
        <f t="shared" si="382"/>
        <v>0</v>
      </c>
      <c r="I646" s="338">
        <f t="shared" si="408"/>
        <v>23721906</v>
      </c>
      <c r="J646" s="329">
        <f t="shared" si="383"/>
        <v>0</v>
      </c>
      <c r="K646" s="338">
        <f t="shared" si="409"/>
        <v>6700000</v>
      </c>
      <c r="L646" s="329">
        <f t="shared" si="384"/>
        <v>0</v>
      </c>
      <c r="M646" s="338">
        <f t="shared" si="391"/>
        <v>0</v>
      </c>
      <c r="N646" s="329">
        <f t="shared" si="385"/>
        <v>0</v>
      </c>
      <c r="O646" s="338">
        <f t="shared" si="392"/>
        <v>0</v>
      </c>
      <c r="P646" s="329">
        <f t="shared" si="386"/>
        <v>0</v>
      </c>
      <c r="Q646" s="338">
        <f t="shared" si="393"/>
        <v>0</v>
      </c>
      <c r="R646" s="329">
        <f t="shared" si="387"/>
        <v>0</v>
      </c>
      <c r="S646" s="338">
        <f t="shared" si="394"/>
        <v>0</v>
      </c>
      <c r="T646" s="329">
        <f t="shared" si="388"/>
        <v>0</v>
      </c>
      <c r="U646" s="338">
        <f t="shared" si="395"/>
        <v>0</v>
      </c>
      <c r="V646" s="329">
        <f t="shared" si="389"/>
        <v>0</v>
      </c>
      <c r="W646" s="338">
        <f t="shared" si="396"/>
        <v>0</v>
      </c>
      <c r="X646" s="35"/>
    </row>
    <row r="647" spans="1:24" x14ac:dyDescent="0.25">
      <c r="A647" s="335">
        <f t="shared" si="404"/>
        <v>44358</v>
      </c>
      <c r="B647" s="49">
        <f t="shared" si="397"/>
        <v>0</v>
      </c>
      <c r="C647" s="338">
        <f t="shared" si="405"/>
        <v>79000000</v>
      </c>
      <c r="D647" s="329">
        <f t="shared" si="398"/>
        <v>0</v>
      </c>
      <c r="E647" s="338">
        <f t="shared" si="406"/>
        <v>7330226.1306717107</v>
      </c>
      <c r="F647" s="329">
        <f t="shared" si="410"/>
        <v>0</v>
      </c>
      <c r="G647" s="338">
        <f t="shared" si="407"/>
        <v>42900000</v>
      </c>
      <c r="H647" s="329">
        <f t="shared" si="382"/>
        <v>0</v>
      </c>
      <c r="I647" s="338">
        <f t="shared" si="408"/>
        <v>23721906</v>
      </c>
      <c r="J647" s="329">
        <f t="shared" si="383"/>
        <v>0</v>
      </c>
      <c r="K647" s="338">
        <f t="shared" si="409"/>
        <v>6700000</v>
      </c>
      <c r="L647" s="329">
        <f t="shared" si="384"/>
        <v>1420000</v>
      </c>
      <c r="M647" s="338">
        <f t="shared" si="391"/>
        <v>1420000</v>
      </c>
      <c r="N647" s="329">
        <f t="shared" si="385"/>
        <v>0</v>
      </c>
      <c r="O647" s="338">
        <f t="shared" si="392"/>
        <v>0</v>
      </c>
      <c r="P647" s="329">
        <f t="shared" si="386"/>
        <v>0</v>
      </c>
      <c r="Q647" s="338">
        <f t="shared" si="393"/>
        <v>0</v>
      </c>
      <c r="R647" s="329">
        <f t="shared" si="387"/>
        <v>0</v>
      </c>
      <c r="S647" s="338">
        <f t="shared" si="394"/>
        <v>0</v>
      </c>
      <c r="T647" s="329">
        <f t="shared" si="388"/>
        <v>0</v>
      </c>
      <c r="U647" s="338">
        <f t="shared" si="395"/>
        <v>0</v>
      </c>
      <c r="V647" s="329">
        <f t="shared" si="389"/>
        <v>0</v>
      </c>
      <c r="W647" s="338">
        <f t="shared" si="396"/>
        <v>0</v>
      </c>
      <c r="X647" s="35"/>
    </row>
    <row r="648" spans="1:24" x14ac:dyDescent="0.25">
      <c r="A648" s="335">
        <f t="shared" si="404"/>
        <v>44359</v>
      </c>
      <c r="B648" s="49">
        <f t="shared" si="397"/>
        <v>0</v>
      </c>
      <c r="C648" s="338">
        <f t="shared" si="405"/>
        <v>79000000</v>
      </c>
      <c r="D648" s="329">
        <f t="shared" si="398"/>
        <v>0</v>
      </c>
      <c r="E648" s="338">
        <f t="shared" si="406"/>
        <v>7330226.1306717107</v>
      </c>
      <c r="F648" s="329">
        <f t="shared" si="410"/>
        <v>0</v>
      </c>
      <c r="G648" s="338">
        <f t="shared" si="407"/>
        <v>42900000</v>
      </c>
      <c r="H648" s="329">
        <f t="shared" si="382"/>
        <v>0</v>
      </c>
      <c r="I648" s="338">
        <f t="shared" si="408"/>
        <v>23721906</v>
      </c>
      <c r="J648" s="329">
        <f t="shared" si="383"/>
        <v>0</v>
      </c>
      <c r="K648" s="338">
        <f t="shared" si="409"/>
        <v>6700000</v>
      </c>
      <c r="L648" s="329">
        <f t="shared" si="384"/>
        <v>0</v>
      </c>
      <c r="M648" s="338">
        <f t="shared" si="391"/>
        <v>1420000</v>
      </c>
      <c r="N648" s="329">
        <f t="shared" si="385"/>
        <v>0</v>
      </c>
      <c r="O648" s="338">
        <f t="shared" si="392"/>
        <v>0</v>
      </c>
      <c r="P648" s="329">
        <f t="shared" si="386"/>
        <v>0</v>
      </c>
      <c r="Q648" s="338">
        <f t="shared" si="393"/>
        <v>0</v>
      </c>
      <c r="R648" s="329">
        <f t="shared" si="387"/>
        <v>0</v>
      </c>
      <c r="S648" s="338">
        <f t="shared" si="394"/>
        <v>0</v>
      </c>
      <c r="T648" s="329">
        <f t="shared" si="388"/>
        <v>0</v>
      </c>
      <c r="U648" s="338">
        <f t="shared" si="395"/>
        <v>0</v>
      </c>
      <c r="V648" s="329">
        <f t="shared" si="389"/>
        <v>0</v>
      </c>
      <c r="W648" s="338">
        <f t="shared" si="396"/>
        <v>0</v>
      </c>
      <c r="X648" s="35"/>
    </row>
    <row r="649" spans="1:24" x14ac:dyDescent="0.25">
      <c r="A649" s="335">
        <f t="shared" si="404"/>
        <v>44360</v>
      </c>
      <c r="B649" s="49">
        <f t="shared" si="397"/>
        <v>0</v>
      </c>
      <c r="C649" s="338">
        <f t="shared" si="405"/>
        <v>79000000</v>
      </c>
      <c r="D649" s="329">
        <f t="shared" si="398"/>
        <v>0</v>
      </c>
      <c r="E649" s="338">
        <f t="shared" si="406"/>
        <v>7330226.1306717107</v>
      </c>
      <c r="F649" s="329">
        <f t="shared" si="410"/>
        <v>0</v>
      </c>
      <c r="G649" s="338">
        <f t="shared" si="407"/>
        <v>42900000</v>
      </c>
      <c r="H649" s="329">
        <f t="shared" si="382"/>
        <v>0</v>
      </c>
      <c r="I649" s="338">
        <f t="shared" si="408"/>
        <v>23721906</v>
      </c>
      <c r="J649" s="329">
        <f t="shared" si="383"/>
        <v>0</v>
      </c>
      <c r="K649" s="338">
        <f t="shared" si="409"/>
        <v>6700000</v>
      </c>
      <c r="L649" s="329">
        <f t="shared" si="384"/>
        <v>0</v>
      </c>
      <c r="M649" s="338">
        <f t="shared" si="391"/>
        <v>1420000</v>
      </c>
      <c r="N649" s="329">
        <f t="shared" si="385"/>
        <v>0</v>
      </c>
      <c r="O649" s="338">
        <f t="shared" si="392"/>
        <v>0</v>
      </c>
      <c r="P649" s="329">
        <f t="shared" si="386"/>
        <v>0</v>
      </c>
      <c r="Q649" s="338">
        <f t="shared" si="393"/>
        <v>0</v>
      </c>
      <c r="R649" s="329">
        <f t="shared" si="387"/>
        <v>0</v>
      </c>
      <c r="S649" s="338">
        <f t="shared" si="394"/>
        <v>0</v>
      </c>
      <c r="T649" s="329">
        <f t="shared" si="388"/>
        <v>0</v>
      </c>
      <c r="U649" s="338">
        <f t="shared" si="395"/>
        <v>0</v>
      </c>
      <c r="V649" s="329">
        <f t="shared" si="389"/>
        <v>0</v>
      </c>
      <c r="W649" s="338">
        <f t="shared" si="396"/>
        <v>0</v>
      </c>
      <c r="X649" s="35"/>
    </row>
    <row r="650" spans="1:24" x14ac:dyDescent="0.25">
      <c r="A650" s="335">
        <f t="shared" si="404"/>
        <v>44361</v>
      </c>
      <c r="B650" s="49">
        <f t="shared" si="397"/>
        <v>0</v>
      </c>
      <c r="C650" s="338">
        <f t="shared" si="405"/>
        <v>79000000</v>
      </c>
      <c r="D650" s="329">
        <f t="shared" si="398"/>
        <v>0</v>
      </c>
      <c r="E650" s="338">
        <f t="shared" si="406"/>
        <v>7330226.1306717107</v>
      </c>
      <c r="F650" s="329">
        <f t="shared" si="410"/>
        <v>0</v>
      </c>
      <c r="G650" s="338">
        <f t="shared" si="407"/>
        <v>42900000</v>
      </c>
      <c r="H650" s="329">
        <f t="shared" si="382"/>
        <v>0</v>
      </c>
      <c r="I650" s="338">
        <f t="shared" si="408"/>
        <v>23721906</v>
      </c>
      <c r="J650" s="329">
        <f t="shared" si="383"/>
        <v>0</v>
      </c>
      <c r="K650" s="338">
        <f t="shared" si="409"/>
        <v>6700000</v>
      </c>
      <c r="L650" s="329">
        <f t="shared" si="384"/>
        <v>0</v>
      </c>
      <c r="M650" s="338">
        <f t="shared" si="391"/>
        <v>1420000</v>
      </c>
      <c r="N650" s="329">
        <f t="shared" si="385"/>
        <v>0</v>
      </c>
      <c r="O650" s="338">
        <f t="shared" si="392"/>
        <v>0</v>
      </c>
      <c r="P650" s="329">
        <f t="shared" si="386"/>
        <v>0</v>
      </c>
      <c r="Q650" s="338">
        <f t="shared" si="393"/>
        <v>0</v>
      </c>
      <c r="R650" s="329">
        <f t="shared" si="387"/>
        <v>0</v>
      </c>
      <c r="S650" s="338">
        <f t="shared" si="394"/>
        <v>0</v>
      </c>
      <c r="T650" s="329">
        <f t="shared" si="388"/>
        <v>0</v>
      </c>
      <c r="U650" s="338">
        <f t="shared" si="395"/>
        <v>0</v>
      </c>
      <c r="V650" s="329">
        <f t="shared" si="389"/>
        <v>0</v>
      </c>
      <c r="W650" s="338">
        <f t="shared" si="396"/>
        <v>0</v>
      </c>
      <c r="X650" s="35"/>
    </row>
    <row r="651" spans="1:24" x14ac:dyDescent="0.25">
      <c r="A651" s="335">
        <f t="shared" si="404"/>
        <v>44362</v>
      </c>
      <c r="B651" s="49">
        <f t="shared" si="397"/>
        <v>3372276</v>
      </c>
      <c r="C651" s="338">
        <f t="shared" si="405"/>
        <v>82372276</v>
      </c>
      <c r="D651" s="329">
        <f t="shared" si="398"/>
        <v>1460054.87</v>
      </c>
      <c r="E651" s="338">
        <f t="shared" si="406"/>
        <v>8790281.0006717108</v>
      </c>
      <c r="F651" s="329">
        <f t="shared" si="410"/>
        <v>2000000</v>
      </c>
      <c r="G651" s="338">
        <f t="shared" si="407"/>
        <v>44900000</v>
      </c>
      <c r="H651" s="329">
        <f t="shared" si="382"/>
        <v>2000000</v>
      </c>
      <c r="I651" s="338">
        <f t="shared" si="408"/>
        <v>25721906</v>
      </c>
      <c r="J651" s="329">
        <f t="shared" si="383"/>
        <v>0</v>
      </c>
      <c r="K651" s="338">
        <f t="shared" si="409"/>
        <v>6700000</v>
      </c>
      <c r="L651" s="329">
        <f t="shared" si="384"/>
        <v>0</v>
      </c>
      <c r="M651" s="338">
        <f t="shared" si="391"/>
        <v>1420000</v>
      </c>
      <c r="N651" s="329">
        <f t="shared" si="385"/>
        <v>0</v>
      </c>
      <c r="O651" s="338">
        <f t="shared" si="392"/>
        <v>0</v>
      </c>
      <c r="P651" s="329">
        <f t="shared" si="386"/>
        <v>0</v>
      </c>
      <c r="Q651" s="338">
        <f t="shared" si="393"/>
        <v>0</v>
      </c>
      <c r="R651" s="329">
        <f t="shared" si="387"/>
        <v>0</v>
      </c>
      <c r="S651" s="338">
        <f t="shared" si="394"/>
        <v>0</v>
      </c>
      <c r="T651" s="329">
        <f t="shared" si="388"/>
        <v>0</v>
      </c>
      <c r="U651" s="338">
        <f t="shared" si="395"/>
        <v>0</v>
      </c>
      <c r="V651" s="329">
        <f t="shared" si="389"/>
        <v>0</v>
      </c>
      <c r="W651" s="338">
        <f t="shared" si="396"/>
        <v>0</v>
      </c>
      <c r="X651" s="35"/>
    </row>
    <row r="652" spans="1:24" x14ac:dyDescent="0.25">
      <c r="A652" s="335">
        <f t="shared" si="404"/>
        <v>44363</v>
      </c>
      <c r="B652" s="49">
        <f t="shared" si="397"/>
        <v>0</v>
      </c>
      <c r="C652" s="338">
        <f t="shared" si="405"/>
        <v>82372276</v>
      </c>
      <c r="D652" s="329">
        <f t="shared" si="398"/>
        <v>0</v>
      </c>
      <c r="E652" s="338">
        <f t="shared" si="406"/>
        <v>8790281.0006717108</v>
      </c>
      <c r="F652" s="329">
        <f t="shared" si="410"/>
        <v>0</v>
      </c>
      <c r="G652" s="338">
        <f t="shared" si="407"/>
        <v>44900000</v>
      </c>
      <c r="H652" s="329">
        <f t="shared" si="382"/>
        <v>0</v>
      </c>
      <c r="I652" s="338">
        <f t="shared" si="408"/>
        <v>25721906</v>
      </c>
      <c r="J652" s="329">
        <f t="shared" si="383"/>
        <v>0</v>
      </c>
      <c r="K652" s="338">
        <f t="shared" si="409"/>
        <v>6700000</v>
      </c>
      <c r="L652" s="329">
        <f t="shared" si="384"/>
        <v>0</v>
      </c>
      <c r="M652" s="338">
        <f t="shared" si="391"/>
        <v>1420000</v>
      </c>
      <c r="N652" s="329">
        <f t="shared" si="385"/>
        <v>0</v>
      </c>
      <c r="O652" s="338">
        <f t="shared" si="392"/>
        <v>0</v>
      </c>
      <c r="P652" s="329">
        <f t="shared" si="386"/>
        <v>0</v>
      </c>
      <c r="Q652" s="338">
        <f t="shared" si="393"/>
        <v>0</v>
      </c>
      <c r="R652" s="329">
        <f t="shared" si="387"/>
        <v>0</v>
      </c>
      <c r="S652" s="338">
        <f t="shared" si="394"/>
        <v>0</v>
      </c>
      <c r="T652" s="329">
        <f t="shared" si="388"/>
        <v>0</v>
      </c>
      <c r="U652" s="338">
        <f t="shared" si="395"/>
        <v>0</v>
      </c>
      <c r="V652" s="329">
        <f t="shared" si="389"/>
        <v>0</v>
      </c>
      <c r="W652" s="338">
        <f t="shared" si="396"/>
        <v>0</v>
      </c>
      <c r="X652" s="35"/>
    </row>
    <row r="653" spans="1:24" x14ac:dyDescent="0.25">
      <c r="A653" s="335">
        <f t="shared" si="404"/>
        <v>44364</v>
      </c>
      <c r="B653" s="49">
        <f t="shared" si="397"/>
        <v>0</v>
      </c>
      <c r="C653" s="338">
        <f t="shared" si="405"/>
        <v>82372276</v>
      </c>
      <c r="D653" s="329">
        <f t="shared" si="398"/>
        <v>0</v>
      </c>
      <c r="E653" s="338">
        <f t="shared" si="406"/>
        <v>8790281.0006717108</v>
      </c>
      <c r="F653" s="329">
        <f t="shared" si="410"/>
        <v>0</v>
      </c>
      <c r="G653" s="338">
        <f t="shared" si="407"/>
        <v>44900000</v>
      </c>
      <c r="H653" s="329">
        <f t="shared" si="382"/>
        <v>0</v>
      </c>
      <c r="I653" s="338">
        <f t="shared" si="408"/>
        <v>25721906</v>
      </c>
      <c r="J653" s="329">
        <f t="shared" si="383"/>
        <v>0</v>
      </c>
      <c r="K653" s="338">
        <f t="shared" si="409"/>
        <v>6700000</v>
      </c>
      <c r="L653" s="329">
        <f t="shared" si="384"/>
        <v>0</v>
      </c>
      <c r="M653" s="338">
        <f t="shared" si="391"/>
        <v>1420000</v>
      </c>
      <c r="N653" s="329">
        <f t="shared" si="385"/>
        <v>0</v>
      </c>
      <c r="O653" s="338">
        <f t="shared" si="392"/>
        <v>0</v>
      </c>
      <c r="P653" s="329">
        <f t="shared" si="386"/>
        <v>0</v>
      </c>
      <c r="Q653" s="338">
        <f t="shared" si="393"/>
        <v>0</v>
      </c>
      <c r="R653" s="329">
        <f t="shared" si="387"/>
        <v>0</v>
      </c>
      <c r="S653" s="338">
        <f t="shared" si="394"/>
        <v>0</v>
      </c>
      <c r="T653" s="329">
        <f t="shared" si="388"/>
        <v>0</v>
      </c>
      <c r="U653" s="338">
        <f t="shared" si="395"/>
        <v>0</v>
      </c>
      <c r="V653" s="329">
        <f t="shared" si="389"/>
        <v>0</v>
      </c>
      <c r="W653" s="338">
        <f t="shared" si="396"/>
        <v>0</v>
      </c>
      <c r="X653" s="35"/>
    </row>
    <row r="654" spans="1:24" x14ac:dyDescent="0.25">
      <c r="A654" s="335">
        <f t="shared" si="404"/>
        <v>44365</v>
      </c>
      <c r="B654" s="49">
        <f t="shared" si="397"/>
        <v>0</v>
      </c>
      <c r="C654" s="338">
        <f t="shared" si="405"/>
        <v>82372276</v>
      </c>
      <c r="D654" s="329">
        <f t="shared" si="398"/>
        <v>0</v>
      </c>
      <c r="E654" s="338">
        <f t="shared" si="406"/>
        <v>8790281.0006717108</v>
      </c>
      <c r="F654" s="329">
        <f t="shared" si="410"/>
        <v>0</v>
      </c>
      <c r="G654" s="338">
        <f t="shared" si="407"/>
        <v>44900000</v>
      </c>
      <c r="H654" s="329">
        <f t="shared" si="382"/>
        <v>0</v>
      </c>
      <c r="I654" s="338">
        <f t="shared" si="408"/>
        <v>25721906</v>
      </c>
      <c r="J654" s="329">
        <f t="shared" si="383"/>
        <v>0</v>
      </c>
      <c r="K654" s="338">
        <f t="shared" si="409"/>
        <v>6700000</v>
      </c>
      <c r="L654" s="329">
        <f t="shared" si="384"/>
        <v>0</v>
      </c>
      <c r="M654" s="338">
        <f t="shared" si="391"/>
        <v>1420000</v>
      </c>
      <c r="N654" s="329">
        <f t="shared" si="385"/>
        <v>0</v>
      </c>
      <c r="O654" s="338">
        <f t="shared" si="392"/>
        <v>0</v>
      </c>
      <c r="P654" s="329">
        <f t="shared" si="386"/>
        <v>0</v>
      </c>
      <c r="Q654" s="338">
        <f t="shared" si="393"/>
        <v>0</v>
      </c>
      <c r="R654" s="329">
        <f t="shared" si="387"/>
        <v>0</v>
      </c>
      <c r="S654" s="338">
        <f t="shared" si="394"/>
        <v>0</v>
      </c>
      <c r="T654" s="329">
        <f t="shared" si="388"/>
        <v>0</v>
      </c>
      <c r="U654" s="338">
        <f t="shared" si="395"/>
        <v>0</v>
      </c>
      <c r="V654" s="329">
        <f t="shared" si="389"/>
        <v>0</v>
      </c>
      <c r="W654" s="338">
        <f t="shared" si="396"/>
        <v>0</v>
      </c>
      <c r="X654" s="35"/>
    </row>
    <row r="655" spans="1:24" x14ac:dyDescent="0.25">
      <c r="A655" s="335">
        <f t="shared" si="404"/>
        <v>44366</v>
      </c>
      <c r="B655" s="49">
        <f t="shared" si="397"/>
        <v>0</v>
      </c>
      <c r="C655" s="338">
        <f t="shared" si="405"/>
        <v>82372276</v>
      </c>
      <c r="D655" s="329">
        <f t="shared" si="398"/>
        <v>0</v>
      </c>
      <c r="E655" s="338">
        <f t="shared" si="406"/>
        <v>8790281.0006717108</v>
      </c>
      <c r="F655" s="329">
        <f t="shared" si="410"/>
        <v>0</v>
      </c>
      <c r="G655" s="338">
        <f t="shared" si="407"/>
        <v>44900000</v>
      </c>
      <c r="H655" s="329">
        <f t="shared" si="382"/>
        <v>0</v>
      </c>
      <c r="I655" s="338">
        <f t="shared" si="408"/>
        <v>25721906</v>
      </c>
      <c r="J655" s="329">
        <f t="shared" si="383"/>
        <v>0</v>
      </c>
      <c r="K655" s="338">
        <f t="shared" si="409"/>
        <v>6700000</v>
      </c>
      <c r="L655" s="329">
        <f t="shared" si="384"/>
        <v>0</v>
      </c>
      <c r="M655" s="338">
        <f t="shared" si="391"/>
        <v>1420000</v>
      </c>
      <c r="N655" s="329">
        <f t="shared" si="385"/>
        <v>0</v>
      </c>
      <c r="O655" s="338">
        <f t="shared" si="392"/>
        <v>0</v>
      </c>
      <c r="P655" s="329">
        <f t="shared" si="386"/>
        <v>0</v>
      </c>
      <c r="Q655" s="338">
        <f t="shared" si="393"/>
        <v>0</v>
      </c>
      <c r="R655" s="329">
        <f t="shared" si="387"/>
        <v>0</v>
      </c>
      <c r="S655" s="338">
        <f t="shared" si="394"/>
        <v>0</v>
      </c>
      <c r="T655" s="329">
        <f t="shared" si="388"/>
        <v>0</v>
      </c>
      <c r="U655" s="338">
        <f t="shared" si="395"/>
        <v>0</v>
      </c>
      <c r="V655" s="329">
        <f t="shared" si="389"/>
        <v>0</v>
      </c>
      <c r="W655" s="338">
        <f t="shared" si="396"/>
        <v>0</v>
      </c>
      <c r="X655" s="35"/>
    </row>
    <row r="656" spans="1:24" x14ac:dyDescent="0.25">
      <c r="A656" s="335">
        <f t="shared" si="404"/>
        <v>44367</v>
      </c>
      <c r="B656" s="49">
        <f t="shared" si="397"/>
        <v>0</v>
      </c>
      <c r="C656" s="338">
        <f t="shared" si="405"/>
        <v>82372276</v>
      </c>
      <c r="D656" s="329">
        <f t="shared" si="398"/>
        <v>0</v>
      </c>
      <c r="E656" s="338">
        <f t="shared" si="406"/>
        <v>8790281.0006717108</v>
      </c>
      <c r="F656" s="329">
        <f t="shared" si="410"/>
        <v>0</v>
      </c>
      <c r="G656" s="338">
        <f t="shared" si="407"/>
        <v>44900000</v>
      </c>
      <c r="H656" s="329">
        <f t="shared" si="382"/>
        <v>0</v>
      </c>
      <c r="I656" s="338">
        <f t="shared" si="408"/>
        <v>25721906</v>
      </c>
      <c r="J656" s="329">
        <f t="shared" si="383"/>
        <v>0</v>
      </c>
      <c r="K656" s="338">
        <f t="shared" si="409"/>
        <v>6700000</v>
      </c>
      <c r="L656" s="329">
        <f t="shared" si="384"/>
        <v>0</v>
      </c>
      <c r="M656" s="338">
        <f t="shared" si="391"/>
        <v>1420000</v>
      </c>
      <c r="N656" s="329">
        <f t="shared" si="385"/>
        <v>0</v>
      </c>
      <c r="O656" s="338">
        <f t="shared" si="392"/>
        <v>0</v>
      </c>
      <c r="P656" s="329">
        <f t="shared" si="386"/>
        <v>0</v>
      </c>
      <c r="Q656" s="338">
        <f t="shared" si="393"/>
        <v>0</v>
      </c>
      <c r="R656" s="329">
        <f t="shared" si="387"/>
        <v>0</v>
      </c>
      <c r="S656" s="338">
        <f t="shared" si="394"/>
        <v>0</v>
      </c>
      <c r="T656" s="329">
        <f t="shared" si="388"/>
        <v>0</v>
      </c>
      <c r="U656" s="338">
        <f t="shared" si="395"/>
        <v>0</v>
      </c>
      <c r="V656" s="329">
        <f t="shared" si="389"/>
        <v>0</v>
      </c>
      <c r="W656" s="338">
        <f t="shared" si="396"/>
        <v>0</v>
      </c>
      <c r="X656" s="35"/>
    </row>
    <row r="657" spans="1:24" x14ac:dyDescent="0.25">
      <c r="A657" s="335">
        <f t="shared" si="404"/>
        <v>44368</v>
      </c>
      <c r="B657" s="49">
        <f t="shared" si="397"/>
        <v>0</v>
      </c>
      <c r="C657" s="338">
        <f t="shared" si="405"/>
        <v>82372276</v>
      </c>
      <c r="D657" s="329">
        <f t="shared" si="398"/>
        <v>0</v>
      </c>
      <c r="E657" s="338">
        <f t="shared" si="406"/>
        <v>8790281.0006717108</v>
      </c>
      <c r="F657" s="329">
        <f t="shared" si="410"/>
        <v>0</v>
      </c>
      <c r="G657" s="338">
        <f t="shared" si="407"/>
        <v>44900000</v>
      </c>
      <c r="H657" s="329">
        <f t="shared" si="382"/>
        <v>0</v>
      </c>
      <c r="I657" s="338">
        <f t="shared" si="408"/>
        <v>25721906</v>
      </c>
      <c r="J657" s="329">
        <f t="shared" si="383"/>
        <v>0</v>
      </c>
      <c r="K657" s="338">
        <f t="shared" si="409"/>
        <v>6700000</v>
      </c>
      <c r="L657" s="329">
        <f t="shared" si="384"/>
        <v>0</v>
      </c>
      <c r="M657" s="338">
        <f t="shared" si="391"/>
        <v>1420000</v>
      </c>
      <c r="N657" s="329">
        <f t="shared" si="385"/>
        <v>0</v>
      </c>
      <c r="O657" s="338">
        <f t="shared" si="392"/>
        <v>0</v>
      </c>
      <c r="P657" s="329">
        <f t="shared" si="386"/>
        <v>0</v>
      </c>
      <c r="Q657" s="338">
        <f t="shared" si="393"/>
        <v>0</v>
      </c>
      <c r="R657" s="329">
        <f t="shared" si="387"/>
        <v>0</v>
      </c>
      <c r="S657" s="338">
        <f t="shared" si="394"/>
        <v>0</v>
      </c>
      <c r="T657" s="329">
        <f t="shared" si="388"/>
        <v>0</v>
      </c>
      <c r="U657" s="338">
        <f t="shared" si="395"/>
        <v>0</v>
      </c>
      <c r="V657" s="329">
        <f t="shared" si="389"/>
        <v>0</v>
      </c>
      <c r="W657" s="338">
        <f t="shared" si="396"/>
        <v>0</v>
      </c>
      <c r="X657" s="35"/>
    </row>
    <row r="658" spans="1:24" x14ac:dyDescent="0.25">
      <c r="A658" s="335">
        <f t="shared" si="404"/>
        <v>44369</v>
      </c>
      <c r="B658" s="49">
        <f t="shared" si="397"/>
        <v>0</v>
      </c>
      <c r="C658" s="338">
        <f t="shared" si="405"/>
        <v>82372276</v>
      </c>
      <c r="D658" s="329">
        <f t="shared" si="398"/>
        <v>0</v>
      </c>
      <c r="E658" s="338">
        <f t="shared" si="406"/>
        <v>8790281.0006717108</v>
      </c>
      <c r="F658" s="329">
        <f t="shared" si="410"/>
        <v>0</v>
      </c>
      <c r="G658" s="338">
        <f t="shared" si="407"/>
        <v>44900000</v>
      </c>
      <c r="H658" s="329">
        <f t="shared" si="382"/>
        <v>0</v>
      </c>
      <c r="I658" s="338">
        <f t="shared" si="408"/>
        <v>25721906</v>
      </c>
      <c r="J658" s="329">
        <f t="shared" si="383"/>
        <v>0</v>
      </c>
      <c r="K658" s="338">
        <f t="shared" si="409"/>
        <v>6700000</v>
      </c>
      <c r="L658" s="329">
        <f t="shared" si="384"/>
        <v>0</v>
      </c>
      <c r="M658" s="338">
        <f t="shared" si="391"/>
        <v>1420000</v>
      </c>
      <c r="N658" s="329">
        <f t="shared" si="385"/>
        <v>0</v>
      </c>
      <c r="O658" s="338">
        <f t="shared" si="392"/>
        <v>0</v>
      </c>
      <c r="P658" s="329">
        <f t="shared" si="386"/>
        <v>0</v>
      </c>
      <c r="Q658" s="338">
        <f t="shared" si="393"/>
        <v>0</v>
      </c>
      <c r="R658" s="329">
        <f t="shared" si="387"/>
        <v>0</v>
      </c>
      <c r="S658" s="338">
        <f t="shared" si="394"/>
        <v>0</v>
      </c>
      <c r="T658" s="329">
        <f t="shared" si="388"/>
        <v>0</v>
      </c>
      <c r="U658" s="338">
        <f t="shared" si="395"/>
        <v>0</v>
      </c>
      <c r="V658" s="329">
        <f t="shared" si="389"/>
        <v>0</v>
      </c>
      <c r="W658" s="338">
        <f t="shared" si="396"/>
        <v>0</v>
      </c>
      <c r="X658" s="35"/>
    </row>
    <row r="659" spans="1:24" x14ac:dyDescent="0.25">
      <c r="A659" s="335">
        <f t="shared" si="404"/>
        <v>44370</v>
      </c>
      <c r="B659" s="49">
        <f t="shared" si="397"/>
        <v>0</v>
      </c>
      <c r="C659" s="338">
        <f t="shared" si="405"/>
        <v>82372276</v>
      </c>
      <c r="D659" s="329">
        <f t="shared" si="398"/>
        <v>0</v>
      </c>
      <c r="E659" s="338">
        <f t="shared" si="406"/>
        <v>8790281.0006717108</v>
      </c>
      <c r="F659" s="329">
        <f t="shared" si="410"/>
        <v>0</v>
      </c>
      <c r="G659" s="338">
        <f t="shared" si="407"/>
        <v>44900000</v>
      </c>
      <c r="H659" s="329">
        <f t="shared" si="382"/>
        <v>0</v>
      </c>
      <c r="I659" s="338">
        <f t="shared" si="408"/>
        <v>25721906</v>
      </c>
      <c r="J659" s="329">
        <f t="shared" si="383"/>
        <v>2300000</v>
      </c>
      <c r="K659" s="338">
        <f t="shared" si="409"/>
        <v>9000000</v>
      </c>
      <c r="L659" s="329">
        <f t="shared" si="384"/>
        <v>0</v>
      </c>
      <c r="M659" s="338">
        <f t="shared" si="391"/>
        <v>1420000</v>
      </c>
      <c r="N659" s="329">
        <f t="shared" si="385"/>
        <v>0</v>
      </c>
      <c r="O659" s="338">
        <f t="shared" si="392"/>
        <v>0</v>
      </c>
      <c r="P659" s="329">
        <f t="shared" si="386"/>
        <v>0</v>
      </c>
      <c r="Q659" s="338">
        <f t="shared" si="393"/>
        <v>0</v>
      </c>
      <c r="R659" s="329">
        <f t="shared" si="387"/>
        <v>0</v>
      </c>
      <c r="S659" s="338">
        <f t="shared" si="394"/>
        <v>0</v>
      </c>
      <c r="T659" s="329">
        <f t="shared" si="388"/>
        <v>0</v>
      </c>
      <c r="U659" s="338">
        <f t="shared" si="395"/>
        <v>0</v>
      </c>
      <c r="V659" s="329">
        <f t="shared" si="389"/>
        <v>0</v>
      </c>
      <c r="W659" s="338">
        <f t="shared" si="396"/>
        <v>0</v>
      </c>
      <c r="X659" s="35"/>
    </row>
    <row r="660" spans="1:24" x14ac:dyDescent="0.25">
      <c r="A660" s="335">
        <f t="shared" si="404"/>
        <v>44371</v>
      </c>
      <c r="B660" s="49">
        <f t="shared" si="397"/>
        <v>0</v>
      </c>
      <c r="C660" s="338">
        <f t="shared" si="405"/>
        <v>82372276</v>
      </c>
      <c r="D660" s="329">
        <f t="shared" si="398"/>
        <v>0</v>
      </c>
      <c r="E660" s="338">
        <f t="shared" si="406"/>
        <v>8790281.0006717108</v>
      </c>
      <c r="F660" s="329">
        <f t="shared" si="410"/>
        <v>0</v>
      </c>
      <c r="G660" s="338">
        <f t="shared" si="407"/>
        <v>44900000</v>
      </c>
      <c r="H660" s="329">
        <f t="shared" si="382"/>
        <v>0</v>
      </c>
      <c r="I660" s="338">
        <f t="shared" si="408"/>
        <v>25721906</v>
      </c>
      <c r="J660" s="329">
        <f t="shared" si="383"/>
        <v>0</v>
      </c>
      <c r="K660" s="338">
        <f t="shared" si="409"/>
        <v>9000000</v>
      </c>
      <c r="L660" s="329">
        <f t="shared" si="384"/>
        <v>0</v>
      </c>
      <c r="M660" s="338">
        <f t="shared" si="391"/>
        <v>1420000</v>
      </c>
      <c r="N660" s="329">
        <f t="shared" si="385"/>
        <v>0</v>
      </c>
      <c r="O660" s="338">
        <f t="shared" si="392"/>
        <v>0</v>
      </c>
      <c r="P660" s="329">
        <f t="shared" si="386"/>
        <v>0</v>
      </c>
      <c r="Q660" s="338">
        <f t="shared" si="393"/>
        <v>0</v>
      </c>
      <c r="R660" s="329">
        <f t="shared" si="387"/>
        <v>0</v>
      </c>
      <c r="S660" s="338">
        <f t="shared" si="394"/>
        <v>0</v>
      </c>
      <c r="T660" s="329">
        <f t="shared" si="388"/>
        <v>0</v>
      </c>
      <c r="U660" s="338">
        <f t="shared" si="395"/>
        <v>0</v>
      </c>
      <c r="V660" s="329">
        <f t="shared" si="389"/>
        <v>0</v>
      </c>
      <c r="W660" s="338">
        <f t="shared" si="396"/>
        <v>0</v>
      </c>
      <c r="X660" s="35"/>
    </row>
    <row r="661" spans="1:24" x14ac:dyDescent="0.25">
      <c r="A661" s="335">
        <f t="shared" si="404"/>
        <v>44372</v>
      </c>
      <c r="B661" s="49">
        <f t="shared" si="397"/>
        <v>6000000</v>
      </c>
      <c r="C661" s="338">
        <f t="shared" si="405"/>
        <v>88372276</v>
      </c>
      <c r="D661" s="329">
        <f t="shared" si="398"/>
        <v>0</v>
      </c>
      <c r="E661" s="338">
        <f t="shared" si="406"/>
        <v>8790281.0006717108</v>
      </c>
      <c r="F661" s="329">
        <f t="shared" si="410"/>
        <v>0</v>
      </c>
      <c r="G661" s="338">
        <f t="shared" si="407"/>
        <v>44900000</v>
      </c>
      <c r="H661" s="329">
        <f t="shared" si="382"/>
        <v>0</v>
      </c>
      <c r="I661" s="338">
        <f t="shared" si="408"/>
        <v>25721906</v>
      </c>
      <c r="J661" s="329">
        <f t="shared" si="383"/>
        <v>0</v>
      </c>
      <c r="K661" s="338">
        <f t="shared" si="409"/>
        <v>9000000</v>
      </c>
      <c r="L661" s="329">
        <f t="shared" si="384"/>
        <v>5580000</v>
      </c>
      <c r="M661" s="338">
        <f t="shared" si="391"/>
        <v>7000000</v>
      </c>
      <c r="N661" s="329">
        <f t="shared" si="385"/>
        <v>0</v>
      </c>
      <c r="O661" s="338">
        <f t="shared" si="392"/>
        <v>0</v>
      </c>
      <c r="P661" s="329">
        <f t="shared" si="386"/>
        <v>0</v>
      </c>
      <c r="Q661" s="338">
        <f t="shared" si="393"/>
        <v>0</v>
      </c>
      <c r="R661" s="329">
        <f t="shared" si="387"/>
        <v>0</v>
      </c>
      <c r="S661" s="338">
        <f t="shared" si="394"/>
        <v>0</v>
      </c>
      <c r="T661" s="329">
        <f t="shared" si="388"/>
        <v>0</v>
      </c>
      <c r="U661" s="338">
        <f t="shared" si="395"/>
        <v>0</v>
      </c>
      <c r="V661" s="329">
        <f t="shared" si="389"/>
        <v>0</v>
      </c>
      <c r="W661" s="338">
        <f t="shared" si="396"/>
        <v>0</v>
      </c>
      <c r="X661" s="35"/>
    </row>
    <row r="662" spans="1:24" x14ac:dyDescent="0.25">
      <c r="A662" s="335">
        <f t="shared" si="404"/>
        <v>44373</v>
      </c>
      <c r="B662" s="49">
        <f t="shared" si="397"/>
        <v>0</v>
      </c>
      <c r="C662" s="338">
        <f t="shared" si="405"/>
        <v>88372276</v>
      </c>
      <c r="D662" s="329">
        <f t="shared" si="398"/>
        <v>0</v>
      </c>
      <c r="E662" s="338">
        <f t="shared" si="406"/>
        <v>8790281.0006717108</v>
      </c>
      <c r="F662" s="329">
        <f t="shared" si="410"/>
        <v>0</v>
      </c>
      <c r="G662" s="338">
        <f t="shared" si="407"/>
        <v>44900000</v>
      </c>
      <c r="H662" s="329">
        <f t="shared" si="382"/>
        <v>0</v>
      </c>
      <c r="I662" s="338">
        <f t="shared" si="408"/>
        <v>25721906</v>
      </c>
      <c r="J662" s="329">
        <f t="shared" si="383"/>
        <v>0</v>
      </c>
      <c r="K662" s="338">
        <f t="shared" si="409"/>
        <v>9000000</v>
      </c>
      <c r="L662" s="329">
        <f t="shared" si="384"/>
        <v>0</v>
      </c>
      <c r="M662" s="338">
        <f t="shared" si="391"/>
        <v>7000000</v>
      </c>
      <c r="N662" s="329">
        <f t="shared" si="385"/>
        <v>0</v>
      </c>
      <c r="O662" s="338">
        <f t="shared" si="392"/>
        <v>0</v>
      </c>
      <c r="P662" s="329">
        <f t="shared" si="386"/>
        <v>0</v>
      </c>
      <c r="Q662" s="338">
        <f t="shared" si="393"/>
        <v>0</v>
      </c>
      <c r="R662" s="329">
        <f t="shared" si="387"/>
        <v>0</v>
      </c>
      <c r="S662" s="338">
        <f t="shared" si="394"/>
        <v>0</v>
      </c>
      <c r="T662" s="329">
        <f t="shared" si="388"/>
        <v>0</v>
      </c>
      <c r="U662" s="338">
        <f t="shared" si="395"/>
        <v>0</v>
      </c>
      <c r="V662" s="329">
        <f t="shared" si="389"/>
        <v>0</v>
      </c>
      <c r="W662" s="338">
        <f t="shared" si="396"/>
        <v>0</v>
      </c>
      <c r="X662" s="35"/>
    </row>
    <row r="663" spans="1:24" x14ac:dyDescent="0.25">
      <c r="A663" s="335">
        <f t="shared" si="404"/>
        <v>44374</v>
      </c>
      <c r="B663" s="49">
        <f t="shared" si="397"/>
        <v>0</v>
      </c>
      <c r="C663" s="338">
        <f t="shared" si="405"/>
        <v>88372276</v>
      </c>
      <c r="D663" s="329">
        <f t="shared" si="398"/>
        <v>0</v>
      </c>
      <c r="E663" s="338">
        <f t="shared" si="406"/>
        <v>8790281.0006717108</v>
      </c>
      <c r="F663" s="329">
        <f t="shared" si="410"/>
        <v>0</v>
      </c>
      <c r="G663" s="338">
        <f t="shared" si="407"/>
        <v>44900000</v>
      </c>
      <c r="H663" s="329">
        <f t="shared" si="382"/>
        <v>0</v>
      </c>
      <c r="I663" s="338">
        <f t="shared" si="408"/>
        <v>25721906</v>
      </c>
      <c r="J663" s="329">
        <f t="shared" si="383"/>
        <v>0</v>
      </c>
      <c r="K663" s="338">
        <f t="shared" si="409"/>
        <v>9000000</v>
      </c>
      <c r="L663" s="329">
        <f t="shared" si="384"/>
        <v>0</v>
      </c>
      <c r="M663" s="338">
        <f t="shared" si="391"/>
        <v>7000000</v>
      </c>
      <c r="N663" s="329">
        <f t="shared" si="385"/>
        <v>0</v>
      </c>
      <c r="O663" s="338">
        <f t="shared" si="392"/>
        <v>0</v>
      </c>
      <c r="P663" s="329">
        <f t="shared" si="386"/>
        <v>0</v>
      </c>
      <c r="Q663" s="338">
        <f t="shared" si="393"/>
        <v>0</v>
      </c>
      <c r="R663" s="329">
        <f t="shared" si="387"/>
        <v>0</v>
      </c>
      <c r="S663" s="338">
        <f t="shared" si="394"/>
        <v>0</v>
      </c>
      <c r="T663" s="329">
        <f t="shared" si="388"/>
        <v>0</v>
      </c>
      <c r="U663" s="338">
        <f t="shared" si="395"/>
        <v>0</v>
      </c>
      <c r="V663" s="329">
        <f t="shared" si="389"/>
        <v>0</v>
      </c>
      <c r="W663" s="338">
        <f t="shared" si="396"/>
        <v>0</v>
      </c>
      <c r="X663" s="35"/>
    </row>
    <row r="664" spans="1:24" x14ac:dyDescent="0.25">
      <c r="A664" s="335">
        <f t="shared" si="404"/>
        <v>44375</v>
      </c>
      <c r="B664" s="49">
        <f t="shared" si="397"/>
        <v>0</v>
      </c>
      <c r="C664" s="338">
        <f t="shared" si="405"/>
        <v>88372276</v>
      </c>
      <c r="D664" s="329">
        <f t="shared" si="398"/>
        <v>0</v>
      </c>
      <c r="E664" s="338">
        <f t="shared" si="406"/>
        <v>8790281.0006717108</v>
      </c>
      <c r="F664" s="329">
        <f t="shared" si="410"/>
        <v>0</v>
      </c>
      <c r="G664" s="338">
        <f t="shared" si="407"/>
        <v>44900000</v>
      </c>
      <c r="H664" s="329">
        <f t="shared" si="382"/>
        <v>0</v>
      </c>
      <c r="I664" s="338">
        <f t="shared" si="408"/>
        <v>25721906</v>
      </c>
      <c r="J664" s="329">
        <f t="shared" si="383"/>
        <v>0</v>
      </c>
      <c r="K664" s="338">
        <f t="shared" si="409"/>
        <v>9000000</v>
      </c>
      <c r="L664" s="329">
        <f t="shared" si="384"/>
        <v>0</v>
      </c>
      <c r="M664" s="338">
        <f t="shared" si="391"/>
        <v>7000000</v>
      </c>
      <c r="N664" s="329">
        <f t="shared" si="385"/>
        <v>0</v>
      </c>
      <c r="O664" s="338">
        <f t="shared" si="392"/>
        <v>0</v>
      </c>
      <c r="P664" s="329">
        <f t="shared" si="386"/>
        <v>0</v>
      </c>
      <c r="Q664" s="338">
        <f t="shared" si="393"/>
        <v>0</v>
      </c>
      <c r="R664" s="329">
        <f t="shared" si="387"/>
        <v>0</v>
      </c>
      <c r="S664" s="338">
        <f t="shared" si="394"/>
        <v>0</v>
      </c>
      <c r="T664" s="329">
        <f t="shared" si="388"/>
        <v>0</v>
      </c>
      <c r="U664" s="338">
        <f t="shared" si="395"/>
        <v>0</v>
      </c>
      <c r="V664" s="329">
        <f t="shared" si="389"/>
        <v>0</v>
      </c>
      <c r="W664" s="338">
        <f t="shared" si="396"/>
        <v>0</v>
      </c>
      <c r="X664" s="35"/>
    </row>
    <row r="665" spans="1:24" x14ac:dyDescent="0.25">
      <c r="A665" s="335">
        <f t="shared" si="404"/>
        <v>44376</v>
      </c>
      <c r="B665" s="49">
        <f t="shared" si="397"/>
        <v>0</v>
      </c>
      <c r="C665" s="338">
        <f t="shared" si="405"/>
        <v>88372276</v>
      </c>
      <c r="D665" s="329">
        <f t="shared" si="398"/>
        <v>0</v>
      </c>
      <c r="E665" s="338">
        <f t="shared" si="406"/>
        <v>8790281.0006717108</v>
      </c>
      <c r="F665" s="329">
        <f t="shared" si="410"/>
        <v>0</v>
      </c>
      <c r="G665" s="338">
        <f t="shared" si="407"/>
        <v>44900000</v>
      </c>
      <c r="H665" s="329">
        <f t="shared" si="382"/>
        <v>0</v>
      </c>
      <c r="I665" s="338">
        <f t="shared" si="408"/>
        <v>25721906</v>
      </c>
      <c r="J665" s="329">
        <f t="shared" si="383"/>
        <v>0</v>
      </c>
      <c r="K665" s="338">
        <f t="shared" si="409"/>
        <v>9000000</v>
      </c>
      <c r="L665" s="329">
        <f t="shared" si="384"/>
        <v>0</v>
      </c>
      <c r="M665" s="338">
        <f t="shared" si="391"/>
        <v>7000000</v>
      </c>
      <c r="N665" s="329">
        <f t="shared" si="385"/>
        <v>0</v>
      </c>
      <c r="O665" s="338">
        <f t="shared" si="392"/>
        <v>0</v>
      </c>
      <c r="P665" s="329">
        <f t="shared" si="386"/>
        <v>0</v>
      </c>
      <c r="Q665" s="338">
        <f t="shared" si="393"/>
        <v>0</v>
      </c>
      <c r="R665" s="329">
        <f t="shared" si="387"/>
        <v>0</v>
      </c>
      <c r="S665" s="338">
        <f t="shared" si="394"/>
        <v>0</v>
      </c>
      <c r="T665" s="329">
        <f t="shared" si="388"/>
        <v>0</v>
      </c>
      <c r="U665" s="338">
        <f t="shared" si="395"/>
        <v>0</v>
      </c>
      <c r="V665" s="329">
        <f t="shared" si="389"/>
        <v>0</v>
      </c>
      <c r="W665" s="338">
        <f t="shared" si="396"/>
        <v>0</v>
      </c>
      <c r="X665" s="35"/>
    </row>
    <row r="666" spans="1:24" x14ac:dyDescent="0.25">
      <c r="A666" s="335">
        <f t="shared" si="404"/>
        <v>44377</v>
      </c>
      <c r="B666" s="49">
        <f t="shared" si="397"/>
        <v>0</v>
      </c>
      <c r="C666" s="338">
        <f t="shared" si="405"/>
        <v>88372276</v>
      </c>
      <c r="D666" s="329">
        <f t="shared" si="398"/>
        <v>0</v>
      </c>
      <c r="E666" s="338">
        <f t="shared" si="406"/>
        <v>8790281.0006717108</v>
      </c>
      <c r="F666" s="329">
        <f t="shared" si="410"/>
        <v>0</v>
      </c>
      <c r="G666" s="338">
        <f t="shared" si="407"/>
        <v>44900000</v>
      </c>
      <c r="H666" s="329">
        <f t="shared" si="382"/>
        <v>0</v>
      </c>
      <c r="I666" s="338">
        <f t="shared" si="408"/>
        <v>25721906</v>
      </c>
      <c r="J666" s="329">
        <f t="shared" si="383"/>
        <v>0</v>
      </c>
      <c r="K666" s="338">
        <f t="shared" si="409"/>
        <v>9000000</v>
      </c>
      <c r="L666" s="329">
        <f t="shared" si="384"/>
        <v>0</v>
      </c>
      <c r="M666" s="338">
        <f t="shared" si="391"/>
        <v>7000000</v>
      </c>
      <c r="N666" s="329">
        <f t="shared" si="385"/>
        <v>0</v>
      </c>
      <c r="O666" s="338">
        <f t="shared" si="392"/>
        <v>0</v>
      </c>
      <c r="P666" s="329">
        <f t="shared" si="386"/>
        <v>0</v>
      </c>
      <c r="Q666" s="338">
        <f t="shared" si="393"/>
        <v>0</v>
      </c>
      <c r="R666" s="329">
        <f t="shared" si="387"/>
        <v>0</v>
      </c>
      <c r="S666" s="338">
        <f t="shared" si="394"/>
        <v>0</v>
      </c>
      <c r="T666" s="329">
        <f t="shared" si="388"/>
        <v>0</v>
      </c>
      <c r="U666" s="338">
        <f t="shared" si="395"/>
        <v>0</v>
      </c>
      <c r="V666" s="329">
        <f t="shared" si="389"/>
        <v>0</v>
      </c>
      <c r="W666" s="338">
        <f t="shared" si="396"/>
        <v>0</v>
      </c>
      <c r="X666" s="35"/>
    </row>
    <row r="667" spans="1:24" x14ac:dyDescent="0.25">
      <c r="A667" s="335">
        <f t="shared" si="404"/>
        <v>44378</v>
      </c>
      <c r="B667" s="49">
        <f t="shared" si="397"/>
        <v>0</v>
      </c>
      <c r="C667" s="338">
        <f t="shared" si="405"/>
        <v>88372276</v>
      </c>
      <c r="D667" s="329">
        <f t="shared" si="398"/>
        <v>0</v>
      </c>
      <c r="E667" s="338">
        <f t="shared" si="406"/>
        <v>8790281.0006717108</v>
      </c>
      <c r="F667" s="329">
        <f t="shared" si="410"/>
        <v>4900000</v>
      </c>
      <c r="G667" s="338">
        <f t="shared" si="407"/>
        <v>49800000</v>
      </c>
      <c r="H667" s="329">
        <f t="shared" si="382"/>
        <v>0</v>
      </c>
      <c r="I667" s="338">
        <f t="shared" si="408"/>
        <v>25721906</v>
      </c>
      <c r="J667" s="329">
        <f t="shared" si="383"/>
        <v>0</v>
      </c>
      <c r="K667" s="338">
        <f t="shared" si="409"/>
        <v>9000000</v>
      </c>
      <c r="L667" s="329">
        <f t="shared" si="384"/>
        <v>0</v>
      </c>
      <c r="M667" s="338">
        <f t="shared" si="391"/>
        <v>7000000</v>
      </c>
      <c r="N667" s="329">
        <f t="shared" si="385"/>
        <v>0</v>
      </c>
      <c r="O667" s="338">
        <f t="shared" si="392"/>
        <v>0</v>
      </c>
      <c r="P667" s="329">
        <f t="shared" si="386"/>
        <v>0</v>
      </c>
      <c r="Q667" s="338">
        <f t="shared" si="393"/>
        <v>0</v>
      </c>
      <c r="R667" s="329">
        <f t="shared" si="387"/>
        <v>0</v>
      </c>
      <c r="S667" s="338">
        <f t="shared" si="394"/>
        <v>0</v>
      </c>
      <c r="T667" s="329">
        <f t="shared" si="388"/>
        <v>0</v>
      </c>
      <c r="U667" s="338">
        <f t="shared" si="395"/>
        <v>0</v>
      </c>
      <c r="V667" s="329">
        <f t="shared" si="389"/>
        <v>0</v>
      </c>
      <c r="W667" s="338">
        <f t="shared" si="396"/>
        <v>0</v>
      </c>
      <c r="X667" s="35"/>
    </row>
    <row r="668" spans="1:24" x14ac:dyDescent="0.25">
      <c r="A668" s="335">
        <f t="shared" si="404"/>
        <v>44379</v>
      </c>
      <c r="B668" s="49">
        <f t="shared" si="397"/>
        <v>0</v>
      </c>
      <c r="C668" s="338">
        <f t="shared" si="405"/>
        <v>88372276</v>
      </c>
      <c r="D668" s="329">
        <f t="shared" si="398"/>
        <v>0</v>
      </c>
      <c r="E668" s="338">
        <f t="shared" si="406"/>
        <v>8790281.0006717108</v>
      </c>
      <c r="F668" s="329">
        <f t="shared" si="410"/>
        <v>0</v>
      </c>
      <c r="G668" s="338">
        <f t="shared" si="407"/>
        <v>49800000</v>
      </c>
      <c r="H668" s="329">
        <f t="shared" si="382"/>
        <v>0</v>
      </c>
      <c r="I668" s="338">
        <f t="shared" si="408"/>
        <v>25721906</v>
      </c>
      <c r="J668" s="329">
        <f t="shared" si="383"/>
        <v>0</v>
      </c>
      <c r="K668" s="338">
        <f t="shared" si="409"/>
        <v>9000000</v>
      </c>
      <c r="L668" s="329">
        <f t="shared" si="384"/>
        <v>0</v>
      </c>
      <c r="M668" s="338">
        <f t="shared" si="391"/>
        <v>7000000</v>
      </c>
      <c r="N668" s="329">
        <f t="shared" si="385"/>
        <v>0</v>
      </c>
      <c r="O668" s="338">
        <f t="shared" si="392"/>
        <v>0</v>
      </c>
      <c r="P668" s="329">
        <f t="shared" si="386"/>
        <v>0</v>
      </c>
      <c r="Q668" s="338">
        <f t="shared" si="393"/>
        <v>0</v>
      </c>
      <c r="R668" s="329">
        <f t="shared" si="387"/>
        <v>0</v>
      </c>
      <c r="S668" s="338">
        <f t="shared" si="394"/>
        <v>0</v>
      </c>
      <c r="T668" s="329">
        <f t="shared" si="388"/>
        <v>0</v>
      </c>
      <c r="U668" s="338">
        <f t="shared" si="395"/>
        <v>0</v>
      </c>
      <c r="V668" s="329">
        <f t="shared" si="389"/>
        <v>0</v>
      </c>
      <c r="W668" s="338">
        <f t="shared" si="396"/>
        <v>0</v>
      </c>
      <c r="X668" s="35"/>
    </row>
    <row r="669" spans="1:24" x14ac:dyDescent="0.25">
      <c r="A669" s="335">
        <f t="shared" si="404"/>
        <v>44380</v>
      </c>
      <c r="B669" s="49">
        <f t="shared" si="397"/>
        <v>0</v>
      </c>
      <c r="C669" s="338">
        <f t="shared" si="405"/>
        <v>88372276</v>
      </c>
      <c r="D669" s="329">
        <f t="shared" si="398"/>
        <v>0</v>
      </c>
      <c r="E669" s="338">
        <f t="shared" si="406"/>
        <v>8790281.0006717108</v>
      </c>
      <c r="F669" s="329">
        <f t="shared" si="410"/>
        <v>0</v>
      </c>
      <c r="G669" s="338">
        <f t="shared" si="407"/>
        <v>49800000</v>
      </c>
      <c r="H669" s="329">
        <f t="shared" si="382"/>
        <v>0</v>
      </c>
      <c r="I669" s="338">
        <f t="shared" si="408"/>
        <v>25721906</v>
      </c>
      <c r="J669" s="329">
        <f t="shared" si="383"/>
        <v>0</v>
      </c>
      <c r="K669" s="338">
        <f t="shared" si="409"/>
        <v>9000000</v>
      </c>
      <c r="L669" s="329">
        <f t="shared" si="384"/>
        <v>0</v>
      </c>
      <c r="M669" s="338">
        <f t="shared" si="391"/>
        <v>7000000</v>
      </c>
      <c r="N669" s="329">
        <f t="shared" si="385"/>
        <v>0</v>
      </c>
      <c r="O669" s="338">
        <f t="shared" si="392"/>
        <v>0</v>
      </c>
      <c r="P669" s="329">
        <f t="shared" si="386"/>
        <v>0</v>
      </c>
      <c r="Q669" s="338">
        <f t="shared" si="393"/>
        <v>0</v>
      </c>
      <c r="R669" s="329">
        <f t="shared" si="387"/>
        <v>0</v>
      </c>
      <c r="S669" s="338">
        <f t="shared" si="394"/>
        <v>0</v>
      </c>
      <c r="T669" s="329">
        <f t="shared" si="388"/>
        <v>0</v>
      </c>
      <c r="U669" s="338">
        <f t="shared" si="395"/>
        <v>0</v>
      </c>
      <c r="V669" s="329">
        <f t="shared" si="389"/>
        <v>0</v>
      </c>
      <c r="W669" s="338">
        <f t="shared" si="396"/>
        <v>0</v>
      </c>
      <c r="X669" s="35"/>
    </row>
    <row r="670" spans="1:24" x14ac:dyDescent="0.25">
      <c r="A670" s="335">
        <f t="shared" si="404"/>
        <v>44381</v>
      </c>
      <c r="B670" s="49">
        <f t="shared" si="397"/>
        <v>0</v>
      </c>
      <c r="C670" s="338">
        <f t="shared" si="405"/>
        <v>88372276</v>
      </c>
      <c r="D670" s="329">
        <f t="shared" si="398"/>
        <v>0</v>
      </c>
      <c r="E670" s="338">
        <f t="shared" si="406"/>
        <v>8790281.0006717108</v>
      </c>
      <c r="F670" s="329">
        <f t="shared" si="410"/>
        <v>0</v>
      </c>
      <c r="G670" s="338">
        <f t="shared" si="407"/>
        <v>49800000</v>
      </c>
      <c r="H670" s="329">
        <f t="shared" si="382"/>
        <v>0</v>
      </c>
      <c r="I670" s="338">
        <f t="shared" si="408"/>
        <v>25721906</v>
      </c>
      <c r="J670" s="329">
        <f t="shared" si="383"/>
        <v>0</v>
      </c>
      <c r="K670" s="338">
        <f t="shared" si="409"/>
        <v>9000000</v>
      </c>
      <c r="L670" s="329">
        <f t="shared" si="384"/>
        <v>0</v>
      </c>
      <c r="M670" s="338">
        <f t="shared" si="391"/>
        <v>7000000</v>
      </c>
      <c r="N670" s="329">
        <f t="shared" si="385"/>
        <v>0</v>
      </c>
      <c r="O670" s="338">
        <f t="shared" si="392"/>
        <v>0</v>
      </c>
      <c r="P670" s="329">
        <f t="shared" si="386"/>
        <v>0</v>
      </c>
      <c r="Q670" s="338">
        <f t="shared" si="393"/>
        <v>0</v>
      </c>
      <c r="R670" s="329">
        <f t="shared" si="387"/>
        <v>0</v>
      </c>
      <c r="S670" s="338">
        <f t="shared" si="394"/>
        <v>0</v>
      </c>
      <c r="T670" s="329">
        <f t="shared" si="388"/>
        <v>0</v>
      </c>
      <c r="U670" s="338">
        <f t="shared" si="395"/>
        <v>0</v>
      </c>
      <c r="V670" s="329">
        <f t="shared" si="389"/>
        <v>0</v>
      </c>
      <c r="W670" s="338">
        <f t="shared" si="396"/>
        <v>0</v>
      </c>
      <c r="X670" s="35"/>
    </row>
    <row r="671" spans="1:24" x14ac:dyDescent="0.25">
      <c r="A671" s="335">
        <f t="shared" si="404"/>
        <v>44382</v>
      </c>
      <c r="B671" s="49">
        <f t="shared" si="397"/>
        <v>0</v>
      </c>
      <c r="C671" s="338">
        <f t="shared" si="405"/>
        <v>88372276</v>
      </c>
      <c r="D671" s="329">
        <f t="shared" si="398"/>
        <v>0</v>
      </c>
      <c r="E671" s="338">
        <f t="shared" si="406"/>
        <v>8790281.0006717108</v>
      </c>
      <c r="F671" s="329">
        <f t="shared" si="410"/>
        <v>0</v>
      </c>
      <c r="G671" s="338">
        <f t="shared" si="407"/>
        <v>49800000</v>
      </c>
      <c r="H671" s="329">
        <f t="shared" si="382"/>
        <v>0</v>
      </c>
      <c r="I671" s="338">
        <f t="shared" si="408"/>
        <v>25721906</v>
      </c>
      <c r="J671" s="329">
        <f t="shared" si="383"/>
        <v>0</v>
      </c>
      <c r="K671" s="338">
        <f t="shared" si="409"/>
        <v>9000000</v>
      </c>
      <c r="L671" s="329">
        <f t="shared" si="384"/>
        <v>0</v>
      </c>
      <c r="M671" s="338">
        <f t="shared" si="391"/>
        <v>7000000</v>
      </c>
      <c r="N671" s="329">
        <f t="shared" si="385"/>
        <v>0</v>
      </c>
      <c r="O671" s="338">
        <f t="shared" si="392"/>
        <v>0</v>
      </c>
      <c r="P671" s="329">
        <f t="shared" si="386"/>
        <v>0</v>
      </c>
      <c r="Q671" s="338">
        <f t="shared" si="393"/>
        <v>0</v>
      </c>
      <c r="R671" s="329">
        <f t="shared" si="387"/>
        <v>0</v>
      </c>
      <c r="S671" s="338">
        <f t="shared" si="394"/>
        <v>0</v>
      </c>
      <c r="T671" s="329">
        <f t="shared" si="388"/>
        <v>0</v>
      </c>
      <c r="U671" s="338">
        <f t="shared" si="395"/>
        <v>0</v>
      </c>
      <c r="V671" s="329">
        <f t="shared" si="389"/>
        <v>0</v>
      </c>
      <c r="W671" s="338">
        <f t="shared" si="396"/>
        <v>0</v>
      </c>
      <c r="X671" s="35"/>
    </row>
    <row r="672" spans="1:24" x14ac:dyDescent="0.25">
      <c r="A672" s="335">
        <f t="shared" si="404"/>
        <v>44383</v>
      </c>
      <c r="B672" s="49">
        <f t="shared" si="397"/>
        <v>0</v>
      </c>
      <c r="C672" s="338">
        <f t="shared" si="405"/>
        <v>88372276</v>
      </c>
      <c r="D672" s="329">
        <f t="shared" si="398"/>
        <v>0</v>
      </c>
      <c r="E672" s="338">
        <f t="shared" si="406"/>
        <v>8790281.0006717108</v>
      </c>
      <c r="F672" s="329">
        <f t="shared" si="410"/>
        <v>0</v>
      </c>
      <c r="G672" s="338">
        <f t="shared" si="407"/>
        <v>49800000</v>
      </c>
      <c r="H672" s="329">
        <f t="shared" si="382"/>
        <v>0</v>
      </c>
      <c r="I672" s="338">
        <f t="shared" si="408"/>
        <v>25721906</v>
      </c>
      <c r="J672" s="329">
        <f t="shared" si="383"/>
        <v>0</v>
      </c>
      <c r="K672" s="338">
        <f t="shared" si="409"/>
        <v>9000000</v>
      </c>
      <c r="L672" s="329">
        <f t="shared" si="384"/>
        <v>0</v>
      </c>
      <c r="M672" s="338">
        <f t="shared" si="391"/>
        <v>7000000</v>
      </c>
      <c r="N672" s="329">
        <f t="shared" si="385"/>
        <v>0</v>
      </c>
      <c r="O672" s="338">
        <f t="shared" si="392"/>
        <v>0</v>
      </c>
      <c r="P672" s="329">
        <f t="shared" si="386"/>
        <v>0</v>
      </c>
      <c r="Q672" s="338">
        <f t="shared" si="393"/>
        <v>0</v>
      </c>
      <c r="R672" s="329">
        <f t="shared" si="387"/>
        <v>0</v>
      </c>
      <c r="S672" s="338">
        <f t="shared" si="394"/>
        <v>0</v>
      </c>
      <c r="T672" s="329">
        <f t="shared" si="388"/>
        <v>0</v>
      </c>
      <c r="U672" s="338">
        <f t="shared" si="395"/>
        <v>0</v>
      </c>
      <c r="V672" s="329">
        <f t="shared" si="389"/>
        <v>0</v>
      </c>
      <c r="W672" s="338">
        <f t="shared" si="396"/>
        <v>0</v>
      </c>
      <c r="X672" s="35"/>
    </row>
    <row r="673" spans="1:24" x14ac:dyDescent="0.25">
      <c r="A673" s="335">
        <f t="shared" si="404"/>
        <v>44384</v>
      </c>
      <c r="B673" s="49">
        <f t="shared" si="397"/>
        <v>0</v>
      </c>
      <c r="C673" s="338">
        <f t="shared" si="405"/>
        <v>88372276</v>
      </c>
      <c r="D673" s="329">
        <f t="shared" si="398"/>
        <v>0</v>
      </c>
      <c r="E673" s="338">
        <f t="shared" si="406"/>
        <v>8790281.0006717108</v>
      </c>
      <c r="F673" s="329">
        <f t="shared" si="410"/>
        <v>0</v>
      </c>
      <c r="G673" s="338">
        <f t="shared" si="407"/>
        <v>49800000</v>
      </c>
      <c r="H673" s="329">
        <f t="shared" si="382"/>
        <v>0</v>
      </c>
      <c r="I673" s="338">
        <f t="shared" si="408"/>
        <v>25721906</v>
      </c>
      <c r="J673" s="329">
        <f t="shared" si="383"/>
        <v>0</v>
      </c>
      <c r="K673" s="338">
        <f t="shared" si="409"/>
        <v>9000000</v>
      </c>
      <c r="L673" s="329">
        <f t="shared" si="384"/>
        <v>9200000</v>
      </c>
      <c r="M673" s="338">
        <f t="shared" si="391"/>
        <v>16200000</v>
      </c>
      <c r="N673" s="329">
        <f t="shared" si="385"/>
        <v>0</v>
      </c>
      <c r="O673" s="338">
        <f t="shared" si="392"/>
        <v>0</v>
      </c>
      <c r="P673" s="329">
        <f t="shared" si="386"/>
        <v>0</v>
      </c>
      <c r="Q673" s="338">
        <f t="shared" si="393"/>
        <v>0</v>
      </c>
      <c r="R673" s="329">
        <f t="shared" si="387"/>
        <v>0</v>
      </c>
      <c r="S673" s="338">
        <f t="shared" si="394"/>
        <v>0</v>
      </c>
      <c r="T673" s="329">
        <f t="shared" si="388"/>
        <v>0</v>
      </c>
      <c r="U673" s="338">
        <f t="shared" si="395"/>
        <v>0</v>
      </c>
      <c r="V673" s="329">
        <f t="shared" si="389"/>
        <v>0</v>
      </c>
      <c r="W673" s="338">
        <f t="shared" si="396"/>
        <v>0</v>
      </c>
      <c r="X673" s="35"/>
    </row>
    <row r="674" spans="1:24" x14ac:dyDescent="0.25">
      <c r="A674" s="335">
        <f t="shared" si="404"/>
        <v>44385</v>
      </c>
      <c r="B674" s="49">
        <f t="shared" si="397"/>
        <v>0</v>
      </c>
      <c r="C674" s="338">
        <f t="shared" si="405"/>
        <v>88372276</v>
      </c>
      <c r="D674" s="329">
        <f t="shared" si="398"/>
        <v>0</v>
      </c>
      <c r="E674" s="338">
        <f t="shared" si="406"/>
        <v>8790281.0006717108</v>
      </c>
      <c r="F674" s="329">
        <f t="shared" si="410"/>
        <v>0</v>
      </c>
      <c r="G674" s="338">
        <f t="shared" si="407"/>
        <v>49800000</v>
      </c>
      <c r="H674" s="329">
        <f t="shared" si="382"/>
        <v>0</v>
      </c>
      <c r="I674" s="338">
        <f t="shared" si="408"/>
        <v>25721906</v>
      </c>
      <c r="J674" s="329">
        <f t="shared" si="383"/>
        <v>0</v>
      </c>
      <c r="K674" s="338">
        <f t="shared" si="409"/>
        <v>9000000</v>
      </c>
      <c r="L674" s="329">
        <f t="shared" si="384"/>
        <v>0</v>
      </c>
      <c r="M674" s="338">
        <f t="shared" si="391"/>
        <v>16200000</v>
      </c>
      <c r="N674" s="329">
        <f t="shared" si="385"/>
        <v>0</v>
      </c>
      <c r="O674" s="338">
        <f t="shared" si="392"/>
        <v>0</v>
      </c>
      <c r="P674" s="329">
        <f t="shared" si="386"/>
        <v>0</v>
      </c>
      <c r="Q674" s="338">
        <f t="shared" si="393"/>
        <v>0</v>
      </c>
      <c r="R674" s="329">
        <f t="shared" si="387"/>
        <v>0</v>
      </c>
      <c r="S674" s="338">
        <f t="shared" si="394"/>
        <v>0</v>
      </c>
      <c r="T674" s="329">
        <f t="shared" si="388"/>
        <v>0</v>
      </c>
      <c r="U674" s="338">
        <f t="shared" si="395"/>
        <v>0</v>
      </c>
      <c r="V674" s="329">
        <f t="shared" si="389"/>
        <v>0</v>
      </c>
      <c r="W674" s="338">
        <f t="shared" si="396"/>
        <v>0</v>
      </c>
      <c r="X674" s="35"/>
    </row>
    <row r="675" spans="1:24" x14ac:dyDescent="0.25">
      <c r="A675" s="335">
        <f t="shared" si="404"/>
        <v>44386</v>
      </c>
      <c r="B675" s="49">
        <f t="shared" si="397"/>
        <v>0</v>
      </c>
      <c r="C675" s="338">
        <f t="shared" si="405"/>
        <v>88372276</v>
      </c>
      <c r="D675" s="329">
        <f t="shared" si="398"/>
        <v>0</v>
      </c>
      <c r="E675" s="338">
        <f t="shared" si="406"/>
        <v>8790281.0006717108</v>
      </c>
      <c r="F675" s="329">
        <f t="shared" si="410"/>
        <v>0</v>
      </c>
      <c r="G675" s="338">
        <f t="shared" si="407"/>
        <v>49800000</v>
      </c>
      <c r="H675" s="329">
        <f t="shared" si="382"/>
        <v>0</v>
      </c>
      <c r="I675" s="338">
        <f t="shared" si="408"/>
        <v>25721906</v>
      </c>
      <c r="J675" s="329">
        <f t="shared" si="383"/>
        <v>0</v>
      </c>
      <c r="K675" s="338">
        <f t="shared" si="409"/>
        <v>9000000</v>
      </c>
      <c r="L675" s="329">
        <f t="shared" si="384"/>
        <v>0</v>
      </c>
      <c r="M675" s="338">
        <f t="shared" si="391"/>
        <v>16200000</v>
      </c>
      <c r="N675" s="329">
        <f t="shared" si="385"/>
        <v>0</v>
      </c>
      <c r="O675" s="338">
        <f t="shared" si="392"/>
        <v>0</v>
      </c>
      <c r="P675" s="329">
        <f t="shared" si="386"/>
        <v>0</v>
      </c>
      <c r="Q675" s="338">
        <f t="shared" si="393"/>
        <v>0</v>
      </c>
      <c r="R675" s="329">
        <f t="shared" si="387"/>
        <v>0</v>
      </c>
      <c r="S675" s="338">
        <f t="shared" si="394"/>
        <v>0</v>
      </c>
      <c r="T675" s="329">
        <f t="shared" si="388"/>
        <v>0</v>
      </c>
      <c r="U675" s="338">
        <f t="shared" si="395"/>
        <v>0</v>
      </c>
      <c r="V675" s="329">
        <f t="shared" si="389"/>
        <v>0</v>
      </c>
      <c r="W675" s="338">
        <f t="shared" si="396"/>
        <v>0</v>
      </c>
      <c r="X675" s="35"/>
    </row>
    <row r="676" spans="1:24" x14ac:dyDescent="0.25">
      <c r="A676" s="335">
        <f t="shared" si="404"/>
        <v>44387</v>
      </c>
      <c r="B676" s="49">
        <f t="shared" si="397"/>
        <v>0</v>
      </c>
      <c r="C676" s="338">
        <f t="shared" si="405"/>
        <v>88372276</v>
      </c>
      <c r="D676" s="329">
        <f t="shared" si="398"/>
        <v>0</v>
      </c>
      <c r="E676" s="338">
        <f t="shared" si="406"/>
        <v>8790281.0006717108</v>
      </c>
      <c r="F676" s="329">
        <f t="shared" si="410"/>
        <v>0</v>
      </c>
      <c r="G676" s="338">
        <f t="shared" si="407"/>
        <v>49800000</v>
      </c>
      <c r="H676" s="329">
        <f t="shared" si="382"/>
        <v>0</v>
      </c>
      <c r="I676" s="338">
        <f t="shared" si="408"/>
        <v>25721906</v>
      </c>
      <c r="J676" s="329">
        <f t="shared" si="383"/>
        <v>0</v>
      </c>
      <c r="K676" s="338">
        <f t="shared" si="409"/>
        <v>9000000</v>
      </c>
      <c r="L676" s="329">
        <f t="shared" si="384"/>
        <v>0</v>
      </c>
      <c r="M676" s="338">
        <f t="shared" si="391"/>
        <v>16200000</v>
      </c>
      <c r="N676" s="329">
        <f t="shared" si="385"/>
        <v>0</v>
      </c>
      <c r="O676" s="338">
        <f t="shared" si="392"/>
        <v>0</v>
      </c>
      <c r="P676" s="329">
        <f t="shared" si="386"/>
        <v>0</v>
      </c>
      <c r="Q676" s="338">
        <f t="shared" si="393"/>
        <v>0</v>
      </c>
      <c r="R676" s="329">
        <f t="shared" si="387"/>
        <v>0</v>
      </c>
      <c r="S676" s="338">
        <f t="shared" si="394"/>
        <v>0</v>
      </c>
      <c r="T676" s="329">
        <f t="shared" si="388"/>
        <v>0</v>
      </c>
      <c r="U676" s="338">
        <f t="shared" si="395"/>
        <v>0</v>
      </c>
      <c r="V676" s="329">
        <f t="shared" si="389"/>
        <v>0</v>
      </c>
      <c r="W676" s="338">
        <f t="shared" si="396"/>
        <v>0</v>
      </c>
      <c r="X676" s="35"/>
    </row>
    <row r="677" spans="1:24" x14ac:dyDescent="0.25">
      <c r="A677" s="335">
        <f t="shared" si="404"/>
        <v>44388</v>
      </c>
      <c r="B677" s="49">
        <f t="shared" si="397"/>
        <v>0</v>
      </c>
      <c r="C677" s="338">
        <f t="shared" si="405"/>
        <v>88372276</v>
      </c>
      <c r="D677" s="329">
        <f t="shared" si="398"/>
        <v>0</v>
      </c>
      <c r="E677" s="338">
        <f t="shared" si="406"/>
        <v>8790281.0006717108</v>
      </c>
      <c r="F677" s="329">
        <f t="shared" si="410"/>
        <v>0</v>
      </c>
      <c r="G677" s="338">
        <f t="shared" si="407"/>
        <v>49800000</v>
      </c>
      <c r="H677" s="329">
        <f t="shared" si="382"/>
        <v>0</v>
      </c>
      <c r="I677" s="338">
        <f t="shared" si="408"/>
        <v>25721906</v>
      </c>
      <c r="J677" s="329">
        <f t="shared" si="383"/>
        <v>0</v>
      </c>
      <c r="K677" s="338">
        <f t="shared" si="409"/>
        <v>9000000</v>
      </c>
      <c r="L677" s="329">
        <f t="shared" si="384"/>
        <v>0</v>
      </c>
      <c r="M677" s="338">
        <f t="shared" si="391"/>
        <v>16200000</v>
      </c>
      <c r="N677" s="329">
        <f t="shared" si="385"/>
        <v>0</v>
      </c>
      <c r="O677" s="338">
        <f t="shared" si="392"/>
        <v>0</v>
      </c>
      <c r="P677" s="329">
        <f t="shared" si="386"/>
        <v>0</v>
      </c>
      <c r="Q677" s="338">
        <f t="shared" si="393"/>
        <v>0</v>
      </c>
      <c r="R677" s="329">
        <f t="shared" si="387"/>
        <v>0</v>
      </c>
      <c r="S677" s="338">
        <f t="shared" si="394"/>
        <v>0</v>
      </c>
      <c r="T677" s="329">
        <f t="shared" si="388"/>
        <v>0</v>
      </c>
      <c r="U677" s="338">
        <f t="shared" si="395"/>
        <v>0</v>
      </c>
      <c r="V677" s="329">
        <f t="shared" si="389"/>
        <v>0</v>
      </c>
      <c r="W677" s="338">
        <f t="shared" si="396"/>
        <v>0</v>
      </c>
      <c r="X677" s="35"/>
    </row>
    <row r="678" spans="1:24" x14ac:dyDescent="0.25">
      <c r="A678" s="335">
        <f t="shared" si="404"/>
        <v>44389</v>
      </c>
      <c r="B678" s="49">
        <f t="shared" si="397"/>
        <v>0</v>
      </c>
      <c r="C678" s="338">
        <f t="shared" si="405"/>
        <v>88372276</v>
      </c>
      <c r="D678" s="329">
        <f t="shared" si="398"/>
        <v>0</v>
      </c>
      <c r="E678" s="338">
        <f t="shared" si="406"/>
        <v>8790281.0006717108</v>
      </c>
      <c r="F678" s="329">
        <f t="shared" si="410"/>
        <v>0</v>
      </c>
      <c r="G678" s="338">
        <f t="shared" si="407"/>
        <v>49800000</v>
      </c>
      <c r="H678" s="329">
        <f t="shared" si="382"/>
        <v>0</v>
      </c>
      <c r="I678" s="338">
        <f t="shared" si="408"/>
        <v>25721906</v>
      </c>
      <c r="J678" s="329">
        <f t="shared" si="383"/>
        <v>0</v>
      </c>
      <c r="K678" s="338">
        <f t="shared" si="409"/>
        <v>9000000</v>
      </c>
      <c r="L678" s="329">
        <f t="shared" si="384"/>
        <v>0</v>
      </c>
      <c r="M678" s="338">
        <f t="shared" si="391"/>
        <v>16200000</v>
      </c>
      <c r="N678" s="329">
        <f t="shared" si="385"/>
        <v>0</v>
      </c>
      <c r="O678" s="338">
        <f t="shared" si="392"/>
        <v>0</v>
      </c>
      <c r="P678" s="329">
        <f t="shared" si="386"/>
        <v>0</v>
      </c>
      <c r="Q678" s="338">
        <f t="shared" si="393"/>
        <v>0</v>
      </c>
      <c r="R678" s="329">
        <f t="shared" si="387"/>
        <v>0</v>
      </c>
      <c r="S678" s="338">
        <f t="shared" si="394"/>
        <v>0</v>
      </c>
      <c r="T678" s="329">
        <f t="shared" si="388"/>
        <v>0</v>
      </c>
      <c r="U678" s="338">
        <f t="shared" si="395"/>
        <v>0</v>
      </c>
      <c r="V678" s="329">
        <f t="shared" si="389"/>
        <v>0</v>
      </c>
      <c r="W678" s="338">
        <f t="shared" si="396"/>
        <v>0</v>
      </c>
      <c r="X678" s="35"/>
    </row>
    <row r="679" spans="1:24" x14ac:dyDescent="0.25">
      <c r="A679" s="335">
        <f t="shared" si="404"/>
        <v>44390</v>
      </c>
      <c r="B679" s="49">
        <f t="shared" si="397"/>
        <v>0</v>
      </c>
      <c r="C679" s="338">
        <f t="shared" si="405"/>
        <v>88372276</v>
      </c>
      <c r="D679" s="329">
        <f t="shared" si="398"/>
        <v>0</v>
      </c>
      <c r="E679" s="338">
        <f t="shared" si="406"/>
        <v>8790281.0006717108</v>
      </c>
      <c r="F679" s="329">
        <f t="shared" si="410"/>
        <v>0</v>
      </c>
      <c r="G679" s="338">
        <f t="shared" si="407"/>
        <v>49800000</v>
      </c>
      <c r="H679" s="329">
        <f t="shared" si="382"/>
        <v>0</v>
      </c>
      <c r="I679" s="338">
        <f t="shared" si="408"/>
        <v>25721906</v>
      </c>
      <c r="J679" s="329">
        <f t="shared" si="383"/>
        <v>0</v>
      </c>
      <c r="K679" s="338">
        <f t="shared" si="409"/>
        <v>9000000</v>
      </c>
      <c r="L679" s="329">
        <f t="shared" si="384"/>
        <v>0</v>
      </c>
      <c r="M679" s="338">
        <f t="shared" si="391"/>
        <v>16200000</v>
      </c>
      <c r="N679" s="329">
        <f t="shared" si="385"/>
        <v>0</v>
      </c>
      <c r="O679" s="338">
        <f t="shared" si="392"/>
        <v>0</v>
      </c>
      <c r="P679" s="329">
        <f t="shared" si="386"/>
        <v>0</v>
      </c>
      <c r="Q679" s="338">
        <f t="shared" si="393"/>
        <v>0</v>
      </c>
      <c r="R679" s="329">
        <f t="shared" si="387"/>
        <v>0</v>
      </c>
      <c r="S679" s="338">
        <f t="shared" si="394"/>
        <v>0</v>
      </c>
      <c r="T679" s="329">
        <f t="shared" si="388"/>
        <v>0</v>
      </c>
      <c r="U679" s="338">
        <f t="shared" si="395"/>
        <v>0</v>
      </c>
      <c r="V679" s="329">
        <f t="shared" si="389"/>
        <v>0</v>
      </c>
      <c r="W679" s="338">
        <f t="shared" si="396"/>
        <v>0</v>
      </c>
      <c r="X679" s="35"/>
    </row>
    <row r="680" spans="1:24" x14ac:dyDescent="0.25">
      <c r="A680" s="335">
        <f t="shared" si="404"/>
        <v>44391</v>
      </c>
      <c r="B680" s="49">
        <f t="shared" si="397"/>
        <v>0</v>
      </c>
      <c r="C680" s="338">
        <f t="shared" si="405"/>
        <v>88372276</v>
      </c>
      <c r="D680" s="329">
        <f t="shared" si="398"/>
        <v>0</v>
      </c>
      <c r="E680" s="338">
        <f t="shared" si="406"/>
        <v>8790281.0006717108</v>
      </c>
      <c r="F680" s="329">
        <f t="shared" si="410"/>
        <v>0</v>
      </c>
      <c r="G680" s="338">
        <f t="shared" si="407"/>
        <v>49800000</v>
      </c>
      <c r="H680" s="329">
        <f t="shared" si="382"/>
        <v>0</v>
      </c>
      <c r="I680" s="338">
        <f t="shared" si="408"/>
        <v>25721906</v>
      </c>
      <c r="J680" s="329">
        <f t="shared" si="383"/>
        <v>0</v>
      </c>
      <c r="K680" s="338">
        <f t="shared" si="409"/>
        <v>9000000</v>
      </c>
      <c r="L680" s="329">
        <f t="shared" si="384"/>
        <v>0</v>
      </c>
      <c r="M680" s="338">
        <f t="shared" si="391"/>
        <v>16200000</v>
      </c>
      <c r="N680" s="329">
        <f t="shared" si="385"/>
        <v>0</v>
      </c>
      <c r="O680" s="338">
        <f t="shared" si="392"/>
        <v>0</v>
      </c>
      <c r="P680" s="329">
        <f t="shared" si="386"/>
        <v>0</v>
      </c>
      <c r="Q680" s="338">
        <f t="shared" si="393"/>
        <v>0</v>
      </c>
      <c r="R680" s="329">
        <f t="shared" si="387"/>
        <v>0</v>
      </c>
      <c r="S680" s="338">
        <f t="shared" si="394"/>
        <v>0</v>
      </c>
      <c r="T680" s="329">
        <f t="shared" si="388"/>
        <v>0</v>
      </c>
      <c r="U680" s="338">
        <f t="shared" si="395"/>
        <v>0</v>
      </c>
      <c r="V680" s="329">
        <f t="shared" si="389"/>
        <v>0</v>
      </c>
      <c r="W680" s="338">
        <f t="shared" si="396"/>
        <v>0</v>
      </c>
      <c r="X680" s="35"/>
    </row>
    <row r="681" spans="1:24" x14ac:dyDescent="0.25">
      <c r="A681" s="335">
        <f t="shared" si="404"/>
        <v>44392</v>
      </c>
      <c r="B681" s="49">
        <f t="shared" si="397"/>
        <v>0</v>
      </c>
      <c r="C681" s="338">
        <f t="shared" si="405"/>
        <v>88372276</v>
      </c>
      <c r="D681" s="329">
        <f t="shared" si="398"/>
        <v>0</v>
      </c>
      <c r="E681" s="338">
        <f t="shared" si="406"/>
        <v>8790281.0006717108</v>
      </c>
      <c r="F681" s="329">
        <f t="shared" si="410"/>
        <v>0</v>
      </c>
      <c r="G681" s="338">
        <f t="shared" si="407"/>
        <v>49800000</v>
      </c>
      <c r="H681" s="329">
        <f t="shared" si="382"/>
        <v>0</v>
      </c>
      <c r="I681" s="338">
        <f t="shared" si="408"/>
        <v>25721906</v>
      </c>
      <c r="J681" s="329">
        <f t="shared" si="383"/>
        <v>0</v>
      </c>
      <c r="K681" s="338">
        <f t="shared" si="409"/>
        <v>9000000</v>
      </c>
      <c r="L681" s="329">
        <f t="shared" si="384"/>
        <v>0</v>
      </c>
      <c r="M681" s="338">
        <f t="shared" si="391"/>
        <v>16200000</v>
      </c>
      <c r="N681" s="329">
        <f t="shared" si="385"/>
        <v>3000000</v>
      </c>
      <c r="O681" s="338">
        <f t="shared" si="392"/>
        <v>3000000</v>
      </c>
      <c r="P681" s="329">
        <f t="shared" si="386"/>
        <v>0</v>
      </c>
      <c r="Q681" s="338">
        <f t="shared" si="393"/>
        <v>0</v>
      </c>
      <c r="R681" s="329">
        <f t="shared" si="387"/>
        <v>0</v>
      </c>
      <c r="S681" s="338">
        <f t="shared" si="394"/>
        <v>0</v>
      </c>
      <c r="T681" s="329">
        <f t="shared" si="388"/>
        <v>0</v>
      </c>
      <c r="U681" s="338">
        <f t="shared" si="395"/>
        <v>0</v>
      </c>
      <c r="V681" s="329">
        <f t="shared" si="389"/>
        <v>0</v>
      </c>
      <c r="W681" s="338">
        <f t="shared" si="396"/>
        <v>0</v>
      </c>
      <c r="X681" s="35"/>
    </row>
    <row r="682" spans="1:24" x14ac:dyDescent="0.25">
      <c r="A682" s="335">
        <f t="shared" si="404"/>
        <v>44393</v>
      </c>
      <c r="B682" s="49">
        <f t="shared" si="397"/>
        <v>0</v>
      </c>
      <c r="C682" s="338">
        <f t="shared" si="405"/>
        <v>88372276</v>
      </c>
      <c r="D682" s="329">
        <f t="shared" si="398"/>
        <v>0</v>
      </c>
      <c r="E682" s="338">
        <f t="shared" si="406"/>
        <v>8790281.0006717108</v>
      </c>
      <c r="F682" s="329">
        <f t="shared" si="410"/>
        <v>0</v>
      </c>
      <c r="G682" s="338">
        <f t="shared" si="407"/>
        <v>49800000</v>
      </c>
      <c r="H682" s="329">
        <f t="shared" si="382"/>
        <v>0</v>
      </c>
      <c r="I682" s="338">
        <f t="shared" si="408"/>
        <v>25721906</v>
      </c>
      <c r="J682" s="329">
        <f t="shared" si="383"/>
        <v>0</v>
      </c>
      <c r="K682" s="338">
        <f t="shared" si="409"/>
        <v>9000000</v>
      </c>
      <c r="L682" s="329">
        <f t="shared" si="384"/>
        <v>0</v>
      </c>
      <c r="M682" s="338">
        <f t="shared" si="391"/>
        <v>16200000</v>
      </c>
      <c r="N682" s="329">
        <f t="shared" si="385"/>
        <v>0</v>
      </c>
      <c r="O682" s="338">
        <f t="shared" si="392"/>
        <v>3000000</v>
      </c>
      <c r="P682" s="329">
        <f t="shared" si="386"/>
        <v>0</v>
      </c>
      <c r="Q682" s="338">
        <f t="shared" si="393"/>
        <v>0</v>
      </c>
      <c r="R682" s="329">
        <f t="shared" si="387"/>
        <v>0</v>
      </c>
      <c r="S682" s="338">
        <f t="shared" si="394"/>
        <v>0</v>
      </c>
      <c r="T682" s="329">
        <f t="shared" si="388"/>
        <v>0</v>
      </c>
      <c r="U682" s="338">
        <f t="shared" si="395"/>
        <v>0</v>
      </c>
      <c r="V682" s="329">
        <f t="shared" si="389"/>
        <v>0</v>
      </c>
      <c r="W682" s="338">
        <f t="shared" si="396"/>
        <v>0</v>
      </c>
      <c r="X682" s="35"/>
    </row>
    <row r="683" spans="1:24" x14ac:dyDescent="0.25">
      <c r="A683" s="335">
        <f t="shared" si="404"/>
        <v>44394</v>
      </c>
      <c r="B683" s="49">
        <f t="shared" si="397"/>
        <v>0</v>
      </c>
      <c r="C683" s="338">
        <f t="shared" si="405"/>
        <v>88372276</v>
      </c>
      <c r="D683" s="329">
        <f t="shared" si="398"/>
        <v>0</v>
      </c>
      <c r="E683" s="338">
        <f t="shared" si="406"/>
        <v>8790281.0006717108</v>
      </c>
      <c r="F683" s="329">
        <f t="shared" si="410"/>
        <v>0</v>
      </c>
      <c r="G683" s="338">
        <f t="shared" si="407"/>
        <v>49800000</v>
      </c>
      <c r="H683" s="329">
        <f t="shared" ref="H683:H746" si="411">SUMIFS(Usage_Main,CF_Dates,$A683,CF_Descriptions,"XS2091648928 Change")</f>
        <v>0</v>
      </c>
      <c r="I683" s="338">
        <f t="shared" si="408"/>
        <v>25721906</v>
      </c>
      <c r="J683" s="329">
        <f t="shared" ref="J683:J746" si="412">SUMIFS(Usage_Main,CF_Dates,$A683,CF_Descriptions,"Southern Apple Change")</f>
        <v>0</v>
      </c>
      <c r="K683" s="338">
        <f t="shared" si="409"/>
        <v>9000000</v>
      </c>
      <c r="L683" s="329">
        <f t="shared" ref="L683:L746" si="413">SUMIFS(Usage_Main,CF_Dates,$A683,CF_Descriptions,"ALMONDUSD Change")</f>
        <v>0</v>
      </c>
      <c r="M683" s="338">
        <f t="shared" si="391"/>
        <v>16200000</v>
      </c>
      <c r="N683" s="329">
        <f t="shared" ref="N683:N746" si="414">SUMIFS(Usage_Main,CF_Dates,$A683,CF_Descriptions,"ALMONDEUR Change")</f>
        <v>0</v>
      </c>
      <c r="O683" s="338">
        <f t="shared" si="392"/>
        <v>3000000</v>
      </c>
      <c r="P683" s="329">
        <f t="shared" ref="P683:P746" si="415">SUMIFS(Usage_Main,CF_Dates,$A683,CF_Descriptions,"HEXZETA Change")</f>
        <v>0</v>
      </c>
      <c r="Q683" s="338">
        <f t="shared" si="393"/>
        <v>0</v>
      </c>
      <c r="R683" s="329">
        <f t="shared" ref="R683:R746" si="416">SUMIFS(Usage_Main,CF_Dates,$A683,CF_Descriptions,"MNTNCHERRY Change")</f>
        <v>0</v>
      </c>
      <c r="S683" s="338">
        <f t="shared" si="394"/>
        <v>0</v>
      </c>
      <c r="T683" s="329">
        <f t="shared" ref="T683:T746" si="417">SUMIFS(Usage_Main,CF_Dates,$A683,CF_Descriptions,"OLIVEUSD Change")</f>
        <v>0</v>
      </c>
      <c r="U683" s="338">
        <f t="shared" si="395"/>
        <v>0</v>
      </c>
      <c r="V683" s="329">
        <f t="shared" ref="V683:V746" si="418">SUMIFS(Usage_Main,CF_Dates,$A683,CF_Descriptions,"OLIVEEUR Change")</f>
        <v>0</v>
      </c>
      <c r="W683" s="338">
        <f t="shared" si="396"/>
        <v>0</v>
      </c>
      <c r="X683" s="35"/>
    </row>
    <row r="684" spans="1:24" x14ac:dyDescent="0.25">
      <c r="A684" s="335">
        <f t="shared" si="404"/>
        <v>44395</v>
      </c>
      <c r="B684" s="49">
        <f t="shared" si="397"/>
        <v>0</v>
      </c>
      <c r="C684" s="338">
        <f t="shared" si="405"/>
        <v>88372276</v>
      </c>
      <c r="D684" s="329">
        <f t="shared" si="398"/>
        <v>0</v>
      </c>
      <c r="E684" s="338">
        <f t="shared" si="406"/>
        <v>8790281.0006717108</v>
      </c>
      <c r="F684" s="329">
        <f t="shared" si="410"/>
        <v>0</v>
      </c>
      <c r="G684" s="338">
        <f t="shared" si="407"/>
        <v>49800000</v>
      </c>
      <c r="H684" s="329">
        <f t="shared" si="411"/>
        <v>0</v>
      </c>
      <c r="I684" s="338">
        <f t="shared" si="408"/>
        <v>25721906</v>
      </c>
      <c r="J684" s="329">
        <f t="shared" si="412"/>
        <v>0</v>
      </c>
      <c r="K684" s="338">
        <f t="shared" si="409"/>
        <v>9000000</v>
      </c>
      <c r="L684" s="329">
        <f t="shared" si="413"/>
        <v>0</v>
      </c>
      <c r="M684" s="338">
        <f t="shared" ref="M684:M747" si="419">L684+M683</f>
        <v>16200000</v>
      </c>
      <c r="N684" s="329">
        <f t="shared" si="414"/>
        <v>0</v>
      </c>
      <c r="O684" s="338">
        <f t="shared" ref="O684:O747" si="420">N684+O683</f>
        <v>3000000</v>
      </c>
      <c r="P684" s="329">
        <f t="shared" si="415"/>
        <v>0</v>
      </c>
      <c r="Q684" s="338">
        <f t="shared" ref="Q684:Q747" si="421">P684+Q683</f>
        <v>0</v>
      </c>
      <c r="R684" s="329">
        <f t="shared" si="416"/>
        <v>0</v>
      </c>
      <c r="S684" s="338">
        <f t="shared" ref="S684:S747" si="422">R684+S683</f>
        <v>0</v>
      </c>
      <c r="T684" s="329">
        <f t="shared" si="417"/>
        <v>0</v>
      </c>
      <c r="U684" s="338">
        <f t="shared" ref="U684:U747" si="423">T684+U683</f>
        <v>0</v>
      </c>
      <c r="V684" s="329">
        <f t="shared" si="418"/>
        <v>0</v>
      </c>
      <c r="W684" s="338">
        <f t="shared" ref="W684:W747" si="424">V684+W683</f>
        <v>0</v>
      </c>
      <c r="X684" s="35"/>
    </row>
    <row r="685" spans="1:24" x14ac:dyDescent="0.25">
      <c r="A685" s="335">
        <f t="shared" si="404"/>
        <v>44396</v>
      </c>
      <c r="B685" s="49">
        <f t="shared" si="397"/>
        <v>0</v>
      </c>
      <c r="C685" s="338">
        <f t="shared" si="405"/>
        <v>88372276</v>
      </c>
      <c r="D685" s="329">
        <f t="shared" si="398"/>
        <v>0</v>
      </c>
      <c r="E685" s="338">
        <f t="shared" si="406"/>
        <v>8790281.0006717108</v>
      </c>
      <c r="F685" s="329">
        <f t="shared" si="410"/>
        <v>0</v>
      </c>
      <c r="G685" s="338">
        <f t="shared" si="407"/>
        <v>49800000</v>
      </c>
      <c r="H685" s="329">
        <f t="shared" si="411"/>
        <v>0</v>
      </c>
      <c r="I685" s="338">
        <f t="shared" si="408"/>
        <v>25721906</v>
      </c>
      <c r="J685" s="329">
        <f t="shared" si="412"/>
        <v>0</v>
      </c>
      <c r="K685" s="338">
        <f t="shared" si="409"/>
        <v>9000000</v>
      </c>
      <c r="L685" s="329">
        <f t="shared" si="413"/>
        <v>0</v>
      </c>
      <c r="M685" s="338">
        <f t="shared" si="419"/>
        <v>16200000</v>
      </c>
      <c r="N685" s="329">
        <f t="shared" si="414"/>
        <v>0</v>
      </c>
      <c r="O685" s="338">
        <f t="shared" si="420"/>
        <v>3000000</v>
      </c>
      <c r="P685" s="329">
        <f t="shared" si="415"/>
        <v>0</v>
      </c>
      <c r="Q685" s="338">
        <f t="shared" si="421"/>
        <v>0</v>
      </c>
      <c r="R685" s="329">
        <f t="shared" si="416"/>
        <v>0</v>
      </c>
      <c r="S685" s="338">
        <f t="shared" si="422"/>
        <v>0</v>
      </c>
      <c r="T685" s="329">
        <f t="shared" si="417"/>
        <v>0</v>
      </c>
      <c r="U685" s="338">
        <f t="shared" si="423"/>
        <v>0</v>
      </c>
      <c r="V685" s="329">
        <f t="shared" si="418"/>
        <v>0</v>
      </c>
      <c r="W685" s="338">
        <f t="shared" si="424"/>
        <v>0</v>
      </c>
      <c r="X685" s="35"/>
    </row>
    <row r="686" spans="1:24" x14ac:dyDescent="0.25">
      <c r="A686" s="335">
        <f t="shared" si="404"/>
        <v>44397</v>
      </c>
      <c r="B686" s="49">
        <f t="shared" si="397"/>
        <v>0</v>
      </c>
      <c r="C686" s="338">
        <f t="shared" si="405"/>
        <v>88372276</v>
      </c>
      <c r="D686" s="329">
        <f t="shared" si="398"/>
        <v>0</v>
      </c>
      <c r="E686" s="338">
        <f t="shared" si="406"/>
        <v>8790281.0006717108</v>
      </c>
      <c r="F686" s="329">
        <f t="shared" si="410"/>
        <v>0</v>
      </c>
      <c r="G686" s="338">
        <f t="shared" si="407"/>
        <v>49800000</v>
      </c>
      <c r="H686" s="329">
        <f t="shared" si="411"/>
        <v>0</v>
      </c>
      <c r="I686" s="338">
        <f t="shared" si="408"/>
        <v>25721906</v>
      </c>
      <c r="J686" s="329">
        <f t="shared" si="412"/>
        <v>0</v>
      </c>
      <c r="K686" s="338">
        <f t="shared" si="409"/>
        <v>9000000</v>
      </c>
      <c r="L686" s="329">
        <f t="shared" si="413"/>
        <v>0</v>
      </c>
      <c r="M686" s="338">
        <f t="shared" si="419"/>
        <v>16200000</v>
      </c>
      <c r="N686" s="329">
        <f t="shared" si="414"/>
        <v>0</v>
      </c>
      <c r="O686" s="338">
        <f t="shared" si="420"/>
        <v>3000000</v>
      </c>
      <c r="P686" s="329">
        <f t="shared" si="415"/>
        <v>0</v>
      </c>
      <c r="Q686" s="338">
        <f t="shared" si="421"/>
        <v>0</v>
      </c>
      <c r="R686" s="329">
        <f t="shared" si="416"/>
        <v>0</v>
      </c>
      <c r="S686" s="338">
        <f t="shared" si="422"/>
        <v>0</v>
      </c>
      <c r="T686" s="329">
        <f t="shared" si="417"/>
        <v>0</v>
      </c>
      <c r="U686" s="338">
        <f t="shared" si="423"/>
        <v>0</v>
      </c>
      <c r="V686" s="329">
        <f t="shared" si="418"/>
        <v>0</v>
      </c>
      <c r="W686" s="338">
        <f t="shared" si="424"/>
        <v>0</v>
      </c>
      <c r="X686" s="35"/>
    </row>
    <row r="687" spans="1:24" x14ac:dyDescent="0.25">
      <c r="A687" s="335">
        <f t="shared" si="404"/>
        <v>44398</v>
      </c>
      <c r="B687" s="49">
        <f t="shared" si="397"/>
        <v>0</v>
      </c>
      <c r="C687" s="338">
        <f t="shared" si="405"/>
        <v>88372276</v>
      </c>
      <c r="D687" s="329">
        <f t="shared" si="398"/>
        <v>0</v>
      </c>
      <c r="E687" s="338">
        <f t="shared" si="406"/>
        <v>8790281.0006717108</v>
      </c>
      <c r="F687" s="329">
        <f t="shared" si="410"/>
        <v>0</v>
      </c>
      <c r="G687" s="338">
        <f t="shared" si="407"/>
        <v>49800000</v>
      </c>
      <c r="H687" s="329">
        <f t="shared" si="411"/>
        <v>0</v>
      </c>
      <c r="I687" s="338">
        <f t="shared" si="408"/>
        <v>25721906</v>
      </c>
      <c r="J687" s="329">
        <f t="shared" si="412"/>
        <v>0</v>
      </c>
      <c r="K687" s="338">
        <f t="shared" si="409"/>
        <v>9000000</v>
      </c>
      <c r="L687" s="329">
        <f t="shared" si="413"/>
        <v>0</v>
      </c>
      <c r="M687" s="338">
        <f t="shared" si="419"/>
        <v>16200000</v>
      </c>
      <c r="N687" s="329">
        <f t="shared" si="414"/>
        <v>0</v>
      </c>
      <c r="O687" s="338">
        <f t="shared" si="420"/>
        <v>3000000</v>
      </c>
      <c r="P687" s="329">
        <f t="shared" si="415"/>
        <v>0</v>
      </c>
      <c r="Q687" s="338">
        <f t="shared" si="421"/>
        <v>0</v>
      </c>
      <c r="R687" s="329">
        <f t="shared" si="416"/>
        <v>0</v>
      </c>
      <c r="S687" s="338">
        <f t="shared" si="422"/>
        <v>0</v>
      </c>
      <c r="T687" s="329">
        <f t="shared" si="417"/>
        <v>0</v>
      </c>
      <c r="U687" s="338">
        <f t="shared" si="423"/>
        <v>0</v>
      </c>
      <c r="V687" s="329">
        <f t="shared" si="418"/>
        <v>0</v>
      </c>
      <c r="W687" s="338">
        <f t="shared" si="424"/>
        <v>0</v>
      </c>
      <c r="X687" s="35"/>
    </row>
    <row r="688" spans="1:24" x14ac:dyDescent="0.25">
      <c r="A688" s="335">
        <f t="shared" si="404"/>
        <v>44399</v>
      </c>
      <c r="B688" s="49">
        <f t="shared" si="397"/>
        <v>0</v>
      </c>
      <c r="C688" s="338">
        <f t="shared" si="405"/>
        <v>88372276</v>
      </c>
      <c r="D688" s="329">
        <f t="shared" si="398"/>
        <v>0</v>
      </c>
      <c r="E688" s="338">
        <f t="shared" si="406"/>
        <v>8790281.0006717108</v>
      </c>
      <c r="F688" s="329">
        <f t="shared" si="410"/>
        <v>0</v>
      </c>
      <c r="G688" s="338">
        <f t="shared" si="407"/>
        <v>49800000</v>
      </c>
      <c r="H688" s="329">
        <f t="shared" si="411"/>
        <v>0</v>
      </c>
      <c r="I688" s="338">
        <f t="shared" si="408"/>
        <v>25721906</v>
      </c>
      <c r="J688" s="329">
        <f t="shared" si="412"/>
        <v>0</v>
      </c>
      <c r="K688" s="338">
        <f t="shared" si="409"/>
        <v>9000000</v>
      </c>
      <c r="L688" s="329">
        <f t="shared" si="413"/>
        <v>0</v>
      </c>
      <c r="M688" s="338">
        <f t="shared" si="419"/>
        <v>16200000</v>
      </c>
      <c r="N688" s="329">
        <f t="shared" si="414"/>
        <v>0</v>
      </c>
      <c r="O688" s="338">
        <f t="shared" si="420"/>
        <v>3000000</v>
      </c>
      <c r="P688" s="329">
        <f t="shared" si="415"/>
        <v>0</v>
      </c>
      <c r="Q688" s="338">
        <f t="shared" si="421"/>
        <v>0</v>
      </c>
      <c r="R688" s="329">
        <f t="shared" si="416"/>
        <v>0</v>
      </c>
      <c r="S688" s="338">
        <f t="shared" si="422"/>
        <v>0</v>
      </c>
      <c r="T688" s="329">
        <f t="shared" si="417"/>
        <v>0</v>
      </c>
      <c r="U688" s="338">
        <f t="shared" si="423"/>
        <v>0</v>
      </c>
      <c r="V688" s="329">
        <f t="shared" si="418"/>
        <v>0</v>
      </c>
      <c r="W688" s="338">
        <f t="shared" si="424"/>
        <v>0</v>
      </c>
      <c r="X688" s="35"/>
    </row>
    <row r="689" spans="1:24" x14ac:dyDescent="0.25">
      <c r="A689" s="335">
        <f t="shared" si="404"/>
        <v>44400</v>
      </c>
      <c r="B689" s="49">
        <f t="shared" si="397"/>
        <v>0</v>
      </c>
      <c r="C689" s="338">
        <f t="shared" si="405"/>
        <v>88372276</v>
      </c>
      <c r="D689" s="329">
        <f t="shared" si="398"/>
        <v>0</v>
      </c>
      <c r="E689" s="338">
        <f t="shared" si="406"/>
        <v>8790281.0006717108</v>
      </c>
      <c r="F689" s="329">
        <f t="shared" si="410"/>
        <v>0</v>
      </c>
      <c r="G689" s="338">
        <f t="shared" si="407"/>
        <v>49800000</v>
      </c>
      <c r="H689" s="329">
        <f t="shared" si="411"/>
        <v>0</v>
      </c>
      <c r="I689" s="338">
        <f t="shared" si="408"/>
        <v>25721906</v>
      </c>
      <c r="J689" s="329">
        <f t="shared" si="412"/>
        <v>0</v>
      </c>
      <c r="K689" s="338">
        <f t="shared" si="409"/>
        <v>9000000</v>
      </c>
      <c r="L689" s="329">
        <f t="shared" si="413"/>
        <v>0</v>
      </c>
      <c r="M689" s="338">
        <f t="shared" si="419"/>
        <v>16200000</v>
      </c>
      <c r="N689" s="329">
        <f t="shared" si="414"/>
        <v>0</v>
      </c>
      <c r="O689" s="338">
        <f t="shared" si="420"/>
        <v>3000000</v>
      </c>
      <c r="P689" s="329">
        <f t="shared" si="415"/>
        <v>0</v>
      </c>
      <c r="Q689" s="338">
        <f t="shared" si="421"/>
        <v>0</v>
      </c>
      <c r="R689" s="329">
        <f t="shared" si="416"/>
        <v>0</v>
      </c>
      <c r="S689" s="338">
        <f t="shared" si="422"/>
        <v>0</v>
      </c>
      <c r="T689" s="329">
        <f t="shared" si="417"/>
        <v>0</v>
      </c>
      <c r="U689" s="338">
        <f t="shared" si="423"/>
        <v>0</v>
      </c>
      <c r="V689" s="329">
        <f t="shared" si="418"/>
        <v>0</v>
      </c>
      <c r="W689" s="338">
        <f t="shared" si="424"/>
        <v>0</v>
      </c>
      <c r="X689" s="35"/>
    </row>
    <row r="690" spans="1:24" x14ac:dyDescent="0.25">
      <c r="A690" s="335">
        <f t="shared" si="404"/>
        <v>44401</v>
      </c>
      <c r="B690" s="49">
        <f t="shared" si="397"/>
        <v>0</v>
      </c>
      <c r="C690" s="338">
        <f t="shared" si="405"/>
        <v>88372276</v>
      </c>
      <c r="D690" s="329">
        <f t="shared" si="398"/>
        <v>0</v>
      </c>
      <c r="E690" s="338">
        <f t="shared" si="406"/>
        <v>8790281.0006717108</v>
      </c>
      <c r="F690" s="329">
        <f t="shared" si="410"/>
        <v>0</v>
      </c>
      <c r="G690" s="338">
        <f t="shared" si="407"/>
        <v>49800000</v>
      </c>
      <c r="H690" s="329">
        <f t="shared" si="411"/>
        <v>0</v>
      </c>
      <c r="I690" s="338">
        <f t="shared" si="408"/>
        <v>25721906</v>
      </c>
      <c r="J690" s="329">
        <f t="shared" si="412"/>
        <v>0</v>
      </c>
      <c r="K690" s="338">
        <f t="shared" si="409"/>
        <v>9000000</v>
      </c>
      <c r="L690" s="329">
        <f t="shared" si="413"/>
        <v>0</v>
      </c>
      <c r="M690" s="338">
        <f t="shared" si="419"/>
        <v>16200000</v>
      </c>
      <c r="N690" s="329">
        <f t="shared" si="414"/>
        <v>0</v>
      </c>
      <c r="O690" s="338">
        <f t="shared" si="420"/>
        <v>3000000</v>
      </c>
      <c r="P690" s="329">
        <f t="shared" si="415"/>
        <v>0</v>
      </c>
      <c r="Q690" s="338">
        <f t="shared" si="421"/>
        <v>0</v>
      </c>
      <c r="R690" s="329">
        <f t="shared" si="416"/>
        <v>0</v>
      </c>
      <c r="S690" s="338">
        <f t="shared" si="422"/>
        <v>0</v>
      </c>
      <c r="T690" s="329">
        <f t="shared" si="417"/>
        <v>0</v>
      </c>
      <c r="U690" s="338">
        <f t="shared" si="423"/>
        <v>0</v>
      </c>
      <c r="V690" s="329">
        <f t="shared" si="418"/>
        <v>0</v>
      </c>
      <c r="W690" s="338">
        <f t="shared" si="424"/>
        <v>0</v>
      </c>
      <c r="X690" s="35"/>
    </row>
    <row r="691" spans="1:24" x14ac:dyDescent="0.25">
      <c r="A691" s="335">
        <f t="shared" si="404"/>
        <v>44402</v>
      </c>
      <c r="B691" s="49">
        <f t="shared" ref="B691:B754" si="425">SUMIFS(Usage_Main,CF_Dates,$A691,CF_Descriptions,"XS1951177309 Change")</f>
        <v>0</v>
      </c>
      <c r="C691" s="338">
        <f t="shared" si="405"/>
        <v>88372276</v>
      </c>
      <c r="D691" s="329">
        <f t="shared" ref="D691:D754" si="426">SUMIFS(Usage_Main,CF_Dates,$A691,CF_Descriptions,"SOSPRUCE1 Change")</f>
        <v>0</v>
      </c>
      <c r="E691" s="338">
        <f t="shared" si="406"/>
        <v>8790281.0006717108</v>
      </c>
      <c r="F691" s="329">
        <f t="shared" si="410"/>
        <v>0</v>
      </c>
      <c r="G691" s="338">
        <f t="shared" si="407"/>
        <v>49800000</v>
      </c>
      <c r="H691" s="329">
        <f t="shared" si="411"/>
        <v>0</v>
      </c>
      <c r="I691" s="338">
        <f t="shared" si="408"/>
        <v>25721906</v>
      </c>
      <c r="J691" s="329">
        <f t="shared" si="412"/>
        <v>0</v>
      </c>
      <c r="K691" s="338">
        <f t="shared" si="409"/>
        <v>9000000</v>
      </c>
      <c r="L691" s="329">
        <f t="shared" si="413"/>
        <v>0</v>
      </c>
      <c r="M691" s="338">
        <f t="shared" si="419"/>
        <v>16200000</v>
      </c>
      <c r="N691" s="329">
        <f t="shared" si="414"/>
        <v>0</v>
      </c>
      <c r="O691" s="338">
        <f t="shared" si="420"/>
        <v>3000000</v>
      </c>
      <c r="P691" s="329">
        <f t="shared" si="415"/>
        <v>0</v>
      </c>
      <c r="Q691" s="338">
        <f t="shared" si="421"/>
        <v>0</v>
      </c>
      <c r="R691" s="329">
        <f t="shared" si="416"/>
        <v>0</v>
      </c>
      <c r="S691" s="338">
        <f t="shared" si="422"/>
        <v>0</v>
      </c>
      <c r="T691" s="329">
        <f t="shared" si="417"/>
        <v>0</v>
      </c>
      <c r="U691" s="338">
        <f t="shared" si="423"/>
        <v>0</v>
      </c>
      <c r="V691" s="329">
        <f t="shared" si="418"/>
        <v>0</v>
      </c>
      <c r="W691" s="338">
        <f t="shared" si="424"/>
        <v>0</v>
      </c>
      <c r="X691" s="35"/>
    </row>
    <row r="692" spans="1:24" x14ac:dyDescent="0.25">
      <c r="A692" s="335">
        <f t="shared" si="404"/>
        <v>44403</v>
      </c>
      <c r="B692" s="49">
        <f t="shared" si="425"/>
        <v>0</v>
      </c>
      <c r="C692" s="338">
        <f t="shared" si="405"/>
        <v>88372276</v>
      </c>
      <c r="D692" s="329">
        <f t="shared" si="426"/>
        <v>0</v>
      </c>
      <c r="E692" s="338">
        <f t="shared" si="406"/>
        <v>8790281.0006717108</v>
      </c>
      <c r="F692" s="329">
        <f t="shared" si="410"/>
        <v>0</v>
      </c>
      <c r="G692" s="338">
        <f t="shared" si="407"/>
        <v>49800000</v>
      </c>
      <c r="H692" s="329">
        <f t="shared" si="411"/>
        <v>0</v>
      </c>
      <c r="I692" s="338">
        <f t="shared" si="408"/>
        <v>25721906</v>
      </c>
      <c r="J692" s="329">
        <f t="shared" si="412"/>
        <v>0</v>
      </c>
      <c r="K692" s="338">
        <f t="shared" si="409"/>
        <v>9000000</v>
      </c>
      <c r="L692" s="329">
        <f t="shared" si="413"/>
        <v>0</v>
      </c>
      <c r="M692" s="338">
        <f t="shared" si="419"/>
        <v>16200000</v>
      </c>
      <c r="N692" s="329">
        <f t="shared" si="414"/>
        <v>3500000</v>
      </c>
      <c r="O692" s="338">
        <f t="shared" si="420"/>
        <v>6500000</v>
      </c>
      <c r="P692" s="329">
        <f t="shared" si="415"/>
        <v>0</v>
      </c>
      <c r="Q692" s="338">
        <f t="shared" si="421"/>
        <v>0</v>
      </c>
      <c r="R692" s="329">
        <f t="shared" si="416"/>
        <v>0</v>
      </c>
      <c r="S692" s="338">
        <f t="shared" si="422"/>
        <v>0</v>
      </c>
      <c r="T692" s="329">
        <f t="shared" si="417"/>
        <v>0</v>
      </c>
      <c r="U692" s="338">
        <f t="shared" si="423"/>
        <v>0</v>
      </c>
      <c r="V692" s="329">
        <f t="shared" si="418"/>
        <v>0</v>
      </c>
      <c r="W692" s="338">
        <f t="shared" si="424"/>
        <v>0</v>
      </c>
      <c r="X692" s="35"/>
    </row>
    <row r="693" spans="1:24" x14ac:dyDescent="0.25">
      <c r="A693" s="335">
        <f t="shared" si="404"/>
        <v>44404</v>
      </c>
      <c r="B693" s="49">
        <f t="shared" si="425"/>
        <v>0</v>
      </c>
      <c r="C693" s="338">
        <f t="shared" si="405"/>
        <v>88372276</v>
      </c>
      <c r="D693" s="329">
        <f t="shared" si="426"/>
        <v>0</v>
      </c>
      <c r="E693" s="338">
        <f t="shared" si="406"/>
        <v>8790281.0006717108</v>
      </c>
      <c r="F693" s="329">
        <f t="shared" si="410"/>
        <v>0</v>
      </c>
      <c r="G693" s="338">
        <f t="shared" si="407"/>
        <v>49800000</v>
      </c>
      <c r="H693" s="329">
        <f t="shared" si="411"/>
        <v>0</v>
      </c>
      <c r="I693" s="338">
        <f t="shared" si="408"/>
        <v>25721906</v>
      </c>
      <c r="J693" s="329">
        <f t="shared" si="412"/>
        <v>0</v>
      </c>
      <c r="K693" s="338">
        <f t="shared" si="409"/>
        <v>9000000</v>
      </c>
      <c r="L693" s="329">
        <f t="shared" si="413"/>
        <v>0</v>
      </c>
      <c r="M693" s="338">
        <f t="shared" si="419"/>
        <v>16200000</v>
      </c>
      <c r="N693" s="329">
        <f t="shared" si="414"/>
        <v>0</v>
      </c>
      <c r="O693" s="338">
        <f t="shared" si="420"/>
        <v>6500000</v>
      </c>
      <c r="P693" s="329">
        <f t="shared" si="415"/>
        <v>0</v>
      </c>
      <c r="Q693" s="338">
        <f t="shared" si="421"/>
        <v>0</v>
      </c>
      <c r="R693" s="329">
        <f t="shared" si="416"/>
        <v>0</v>
      </c>
      <c r="S693" s="338">
        <f t="shared" si="422"/>
        <v>0</v>
      </c>
      <c r="T693" s="329">
        <f t="shared" si="417"/>
        <v>0</v>
      </c>
      <c r="U693" s="338">
        <f t="shared" si="423"/>
        <v>0</v>
      </c>
      <c r="V693" s="329">
        <f t="shared" si="418"/>
        <v>0</v>
      </c>
      <c r="W693" s="338">
        <f t="shared" si="424"/>
        <v>0</v>
      </c>
      <c r="X693" s="35"/>
    </row>
    <row r="694" spans="1:24" x14ac:dyDescent="0.25">
      <c r="A694" s="335">
        <f t="shared" si="404"/>
        <v>44405</v>
      </c>
      <c r="B694" s="49">
        <f t="shared" si="425"/>
        <v>0</v>
      </c>
      <c r="C694" s="338">
        <f t="shared" si="405"/>
        <v>88372276</v>
      </c>
      <c r="D694" s="329">
        <f t="shared" si="426"/>
        <v>0</v>
      </c>
      <c r="E694" s="338">
        <f t="shared" si="406"/>
        <v>8790281.0006717108</v>
      </c>
      <c r="F694" s="329">
        <f t="shared" si="410"/>
        <v>0</v>
      </c>
      <c r="G694" s="338">
        <f t="shared" si="407"/>
        <v>49800000</v>
      </c>
      <c r="H694" s="329">
        <f t="shared" si="411"/>
        <v>0</v>
      </c>
      <c r="I694" s="338">
        <f t="shared" si="408"/>
        <v>25721906</v>
      </c>
      <c r="J694" s="329">
        <f t="shared" si="412"/>
        <v>0</v>
      </c>
      <c r="K694" s="338">
        <f t="shared" si="409"/>
        <v>9000000</v>
      </c>
      <c r="L694" s="329">
        <f t="shared" si="413"/>
        <v>0</v>
      </c>
      <c r="M694" s="338">
        <f t="shared" si="419"/>
        <v>16200000</v>
      </c>
      <c r="N694" s="329">
        <f t="shared" si="414"/>
        <v>0</v>
      </c>
      <c r="O694" s="338">
        <f t="shared" si="420"/>
        <v>6500000</v>
      </c>
      <c r="P694" s="329">
        <f t="shared" si="415"/>
        <v>0</v>
      </c>
      <c r="Q694" s="338">
        <f t="shared" si="421"/>
        <v>0</v>
      </c>
      <c r="R694" s="329">
        <f t="shared" si="416"/>
        <v>0</v>
      </c>
      <c r="S694" s="338">
        <f t="shared" si="422"/>
        <v>0</v>
      </c>
      <c r="T694" s="329">
        <f t="shared" si="417"/>
        <v>0</v>
      </c>
      <c r="U694" s="338">
        <f t="shared" si="423"/>
        <v>0</v>
      </c>
      <c r="V694" s="329">
        <f t="shared" si="418"/>
        <v>0</v>
      </c>
      <c r="W694" s="338">
        <f t="shared" si="424"/>
        <v>0</v>
      </c>
      <c r="X694" s="35"/>
    </row>
    <row r="695" spans="1:24" x14ac:dyDescent="0.25">
      <c r="A695" s="335">
        <f t="shared" si="404"/>
        <v>44406</v>
      </c>
      <c r="B695" s="49">
        <f t="shared" si="425"/>
        <v>0</v>
      </c>
      <c r="C695" s="338">
        <f t="shared" si="405"/>
        <v>88372276</v>
      </c>
      <c r="D695" s="329">
        <f t="shared" si="426"/>
        <v>0</v>
      </c>
      <c r="E695" s="338">
        <f t="shared" si="406"/>
        <v>8790281.0006717108</v>
      </c>
      <c r="F695" s="329">
        <f t="shared" si="410"/>
        <v>0</v>
      </c>
      <c r="G695" s="338">
        <f t="shared" si="407"/>
        <v>49800000</v>
      </c>
      <c r="H695" s="329">
        <f t="shared" si="411"/>
        <v>0</v>
      </c>
      <c r="I695" s="338">
        <f t="shared" si="408"/>
        <v>25721906</v>
      </c>
      <c r="J695" s="329">
        <f t="shared" si="412"/>
        <v>0</v>
      </c>
      <c r="K695" s="338">
        <f t="shared" si="409"/>
        <v>9000000</v>
      </c>
      <c r="L695" s="329">
        <f t="shared" si="413"/>
        <v>0</v>
      </c>
      <c r="M695" s="338">
        <f t="shared" si="419"/>
        <v>16200000</v>
      </c>
      <c r="N695" s="329">
        <f t="shared" si="414"/>
        <v>0</v>
      </c>
      <c r="O695" s="338">
        <f t="shared" si="420"/>
        <v>6500000</v>
      </c>
      <c r="P695" s="329">
        <f t="shared" si="415"/>
        <v>0</v>
      </c>
      <c r="Q695" s="338">
        <f t="shared" si="421"/>
        <v>0</v>
      </c>
      <c r="R695" s="329">
        <f t="shared" si="416"/>
        <v>0</v>
      </c>
      <c r="S695" s="338">
        <f t="shared" si="422"/>
        <v>0</v>
      </c>
      <c r="T695" s="329">
        <f t="shared" si="417"/>
        <v>0</v>
      </c>
      <c r="U695" s="338">
        <f t="shared" si="423"/>
        <v>0</v>
      </c>
      <c r="V695" s="329">
        <f t="shared" si="418"/>
        <v>0</v>
      </c>
      <c r="W695" s="338">
        <f t="shared" si="424"/>
        <v>0</v>
      </c>
      <c r="X695" s="35"/>
    </row>
    <row r="696" spans="1:24" x14ac:dyDescent="0.25">
      <c r="A696" s="335">
        <f t="shared" si="404"/>
        <v>44407</v>
      </c>
      <c r="B696" s="49">
        <f t="shared" si="425"/>
        <v>0</v>
      </c>
      <c r="C696" s="338">
        <f t="shared" si="405"/>
        <v>88372276</v>
      </c>
      <c r="D696" s="329">
        <f t="shared" si="426"/>
        <v>0</v>
      </c>
      <c r="E696" s="338">
        <f t="shared" si="406"/>
        <v>8790281.0006717108</v>
      </c>
      <c r="F696" s="329">
        <f t="shared" si="410"/>
        <v>0</v>
      </c>
      <c r="G696" s="338">
        <f t="shared" si="407"/>
        <v>49800000</v>
      </c>
      <c r="H696" s="329">
        <f t="shared" si="411"/>
        <v>0</v>
      </c>
      <c r="I696" s="338">
        <f t="shared" si="408"/>
        <v>25721906</v>
      </c>
      <c r="J696" s="329">
        <f t="shared" si="412"/>
        <v>0</v>
      </c>
      <c r="K696" s="338">
        <f t="shared" si="409"/>
        <v>9000000</v>
      </c>
      <c r="L696" s="329">
        <f t="shared" si="413"/>
        <v>0</v>
      </c>
      <c r="M696" s="338">
        <f t="shared" si="419"/>
        <v>16200000</v>
      </c>
      <c r="N696" s="329">
        <f t="shared" si="414"/>
        <v>0</v>
      </c>
      <c r="O696" s="338">
        <f t="shared" si="420"/>
        <v>6500000</v>
      </c>
      <c r="P696" s="329">
        <f t="shared" si="415"/>
        <v>0</v>
      </c>
      <c r="Q696" s="338">
        <f t="shared" si="421"/>
        <v>0</v>
      </c>
      <c r="R696" s="329">
        <f t="shared" si="416"/>
        <v>0</v>
      </c>
      <c r="S696" s="338">
        <f t="shared" si="422"/>
        <v>0</v>
      </c>
      <c r="T696" s="329">
        <f t="shared" si="417"/>
        <v>0</v>
      </c>
      <c r="U696" s="338">
        <f t="shared" si="423"/>
        <v>0</v>
      </c>
      <c r="V696" s="329">
        <f t="shared" si="418"/>
        <v>0</v>
      </c>
      <c r="W696" s="338">
        <f t="shared" si="424"/>
        <v>0</v>
      </c>
      <c r="X696" s="35"/>
    </row>
    <row r="697" spans="1:24" x14ac:dyDescent="0.25">
      <c r="A697" s="335">
        <f t="shared" si="404"/>
        <v>44408</v>
      </c>
      <c r="B697" s="49">
        <f t="shared" si="425"/>
        <v>0</v>
      </c>
      <c r="C697" s="338">
        <f t="shared" si="405"/>
        <v>88372276</v>
      </c>
      <c r="D697" s="329">
        <f t="shared" si="426"/>
        <v>0</v>
      </c>
      <c r="E697" s="338">
        <f t="shared" si="406"/>
        <v>8790281.0006717108</v>
      </c>
      <c r="F697" s="329">
        <f t="shared" si="410"/>
        <v>0</v>
      </c>
      <c r="G697" s="338">
        <f t="shared" si="407"/>
        <v>49800000</v>
      </c>
      <c r="H697" s="329">
        <f t="shared" si="411"/>
        <v>0</v>
      </c>
      <c r="I697" s="338">
        <f t="shared" si="408"/>
        <v>25721906</v>
      </c>
      <c r="J697" s="329">
        <f t="shared" si="412"/>
        <v>0</v>
      </c>
      <c r="K697" s="338">
        <f t="shared" si="409"/>
        <v>9000000</v>
      </c>
      <c r="L697" s="329">
        <f t="shared" si="413"/>
        <v>0</v>
      </c>
      <c r="M697" s="338">
        <f t="shared" si="419"/>
        <v>16200000</v>
      </c>
      <c r="N697" s="329">
        <f t="shared" si="414"/>
        <v>0</v>
      </c>
      <c r="O697" s="338">
        <f t="shared" si="420"/>
        <v>6500000</v>
      </c>
      <c r="P697" s="329">
        <f t="shared" si="415"/>
        <v>0</v>
      </c>
      <c r="Q697" s="338">
        <f t="shared" si="421"/>
        <v>0</v>
      </c>
      <c r="R697" s="329">
        <f t="shared" si="416"/>
        <v>0</v>
      </c>
      <c r="S697" s="338">
        <f t="shared" si="422"/>
        <v>0</v>
      </c>
      <c r="T697" s="329">
        <f t="shared" si="417"/>
        <v>0</v>
      </c>
      <c r="U697" s="338">
        <f t="shared" si="423"/>
        <v>0</v>
      </c>
      <c r="V697" s="329">
        <f t="shared" si="418"/>
        <v>0</v>
      </c>
      <c r="W697" s="338">
        <f t="shared" si="424"/>
        <v>0</v>
      </c>
      <c r="X697" s="35"/>
    </row>
    <row r="698" spans="1:24" x14ac:dyDescent="0.25">
      <c r="A698" s="335">
        <f t="shared" si="404"/>
        <v>44409</v>
      </c>
      <c r="B698" s="49">
        <f t="shared" si="425"/>
        <v>0</v>
      </c>
      <c r="C698" s="338">
        <f t="shared" si="405"/>
        <v>88372276</v>
      </c>
      <c r="D698" s="329">
        <f t="shared" si="426"/>
        <v>0</v>
      </c>
      <c r="E698" s="338">
        <f t="shared" si="406"/>
        <v>8790281.0006717108</v>
      </c>
      <c r="F698" s="329">
        <f t="shared" si="410"/>
        <v>0</v>
      </c>
      <c r="G698" s="338">
        <f t="shared" si="407"/>
        <v>49800000</v>
      </c>
      <c r="H698" s="329">
        <f t="shared" si="411"/>
        <v>0</v>
      </c>
      <c r="I698" s="338">
        <f t="shared" si="408"/>
        <v>25721906</v>
      </c>
      <c r="J698" s="329">
        <f t="shared" si="412"/>
        <v>0</v>
      </c>
      <c r="K698" s="338">
        <f t="shared" si="409"/>
        <v>9000000</v>
      </c>
      <c r="L698" s="329">
        <f t="shared" si="413"/>
        <v>0</v>
      </c>
      <c r="M698" s="338">
        <f t="shared" si="419"/>
        <v>16200000</v>
      </c>
      <c r="N698" s="329">
        <f t="shared" si="414"/>
        <v>0</v>
      </c>
      <c r="O698" s="338">
        <f t="shared" si="420"/>
        <v>6500000</v>
      </c>
      <c r="P698" s="329">
        <f t="shared" si="415"/>
        <v>0</v>
      </c>
      <c r="Q698" s="338">
        <f t="shared" si="421"/>
        <v>0</v>
      </c>
      <c r="R698" s="329">
        <f t="shared" si="416"/>
        <v>0</v>
      </c>
      <c r="S698" s="338">
        <f t="shared" si="422"/>
        <v>0</v>
      </c>
      <c r="T698" s="329">
        <f t="shared" si="417"/>
        <v>0</v>
      </c>
      <c r="U698" s="338">
        <f t="shared" si="423"/>
        <v>0</v>
      </c>
      <c r="V698" s="329">
        <f t="shared" si="418"/>
        <v>0</v>
      </c>
      <c r="W698" s="338">
        <f t="shared" si="424"/>
        <v>0</v>
      </c>
      <c r="X698" s="35"/>
    </row>
    <row r="699" spans="1:24" x14ac:dyDescent="0.25">
      <c r="A699" s="335">
        <f t="shared" si="404"/>
        <v>44410</v>
      </c>
      <c r="B699" s="49">
        <f t="shared" si="425"/>
        <v>0</v>
      </c>
      <c r="C699" s="338">
        <f t="shared" si="405"/>
        <v>88372276</v>
      </c>
      <c r="D699" s="329">
        <f t="shared" si="426"/>
        <v>0</v>
      </c>
      <c r="E699" s="338">
        <f t="shared" si="406"/>
        <v>8790281.0006717108</v>
      </c>
      <c r="F699" s="329">
        <f t="shared" si="410"/>
        <v>0</v>
      </c>
      <c r="G699" s="338">
        <f t="shared" si="407"/>
        <v>49800000</v>
      </c>
      <c r="H699" s="329">
        <f t="shared" si="411"/>
        <v>0</v>
      </c>
      <c r="I699" s="338">
        <f t="shared" si="408"/>
        <v>25721906</v>
      </c>
      <c r="J699" s="329">
        <f t="shared" si="412"/>
        <v>0</v>
      </c>
      <c r="K699" s="338">
        <f t="shared" si="409"/>
        <v>9000000</v>
      </c>
      <c r="L699" s="329">
        <f t="shared" si="413"/>
        <v>0</v>
      </c>
      <c r="M699" s="338">
        <f t="shared" si="419"/>
        <v>16200000</v>
      </c>
      <c r="N699" s="329">
        <f t="shared" si="414"/>
        <v>0</v>
      </c>
      <c r="O699" s="338">
        <f t="shared" si="420"/>
        <v>6500000</v>
      </c>
      <c r="P699" s="329">
        <f t="shared" si="415"/>
        <v>0</v>
      </c>
      <c r="Q699" s="338">
        <f t="shared" si="421"/>
        <v>0</v>
      </c>
      <c r="R699" s="329">
        <f t="shared" si="416"/>
        <v>0</v>
      </c>
      <c r="S699" s="338">
        <f t="shared" si="422"/>
        <v>0</v>
      </c>
      <c r="T699" s="329">
        <f t="shared" si="417"/>
        <v>0</v>
      </c>
      <c r="U699" s="338">
        <f t="shared" si="423"/>
        <v>0</v>
      </c>
      <c r="V699" s="329">
        <f t="shared" si="418"/>
        <v>0</v>
      </c>
      <c r="W699" s="338">
        <f t="shared" si="424"/>
        <v>0</v>
      </c>
      <c r="X699" s="35"/>
    </row>
    <row r="700" spans="1:24" x14ac:dyDescent="0.25">
      <c r="A700" s="335">
        <f t="shared" si="404"/>
        <v>44411</v>
      </c>
      <c r="B700" s="49">
        <f t="shared" si="425"/>
        <v>0</v>
      </c>
      <c r="C700" s="338">
        <f t="shared" si="405"/>
        <v>88372276</v>
      </c>
      <c r="D700" s="329">
        <f t="shared" si="426"/>
        <v>0</v>
      </c>
      <c r="E700" s="338">
        <f t="shared" si="406"/>
        <v>8790281.0006717108</v>
      </c>
      <c r="F700" s="329">
        <f t="shared" si="410"/>
        <v>0</v>
      </c>
      <c r="G700" s="338">
        <f t="shared" si="407"/>
        <v>49800000</v>
      </c>
      <c r="H700" s="329">
        <f t="shared" si="411"/>
        <v>0</v>
      </c>
      <c r="I700" s="338">
        <f t="shared" si="408"/>
        <v>25721906</v>
      </c>
      <c r="J700" s="329">
        <f t="shared" si="412"/>
        <v>0</v>
      </c>
      <c r="K700" s="338">
        <f t="shared" si="409"/>
        <v>9000000</v>
      </c>
      <c r="L700" s="329">
        <f t="shared" si="413"/>
        <v>0</v>
      </c>
      <c r="M700" s="338">
        <f t="shared" si="419"/>
        <v>16200000</v>
      </c>
      <c r="N700" s="329">
        <f t="shared" si="414"/>
        <v>0</v>
      </c>
      <c r="O700" s="338">
        <f t="shared" si="420"/>
        <v>6500000</v>
      </c>
      <c r="P700" s="329">
        <f t="shared" si="415"/>
        <v>0</v>
      </c>
      <c r="Q700" s="338">
        <f t="shared" si="421"/>
        <v>0</v>
      </c>
      <c r="R700" s="329">
        <f t="shared" si="416"/>
        <v>0</v>
      </c>
      <c r="S700" s="338">
        <f t="shared" si="422"/>
        <v>0</v>
      </c>
      <c r="T700" s="329">
        <f t="shared" si="417"/>
        <v>0</v>
      </c>
      <c r="U700" s="338">
        <f t="shared" si="423"/>
        <v>0</v>
      </c>
      <c r="V700" s="329">
        <f t="shared" si="418"/>
        <v>0</v>
      </c>
      <c r="W700" s="338">
        <f t="shared" si="424"/>
        <v>0</v>
      </c>
      <c r="X700" s="35"/>
    </row>
    <row r="701" spans="1:24" x14ac:dyDescent="0.25">
      <c r="A701" s="335">
        <f t="shared" si="404"/>
        <v>44412</v>
      </c>
      <c r="B701" s="49">
        <f t="shared" si="425"/>
        <v>0</v>
      </c>
      <c r="C701" s="338">
        <f t="shared" si="405"/>
        <v>88372276</v>
      </c>
      <c r="D701" s="329">
        <f t="shared" si="426"/>
        <v>0</v>
      </c>
      <c r="E701" s="338">
        <f t="shared" si="406"/>
        <v>8790281.0006717108</v>
      </c>
      <c r="F701" s="329">
        <f t="shared" si="410"/>
        <v>0</v>
      </c>
      <c r="G701" s="338">
        <f t="shared" si="407"/>
        <v>49800000</v>
      </c>
      <c r="H701" s="329">
        <f t="shared" si="411"/>
        <v>0</v>
      </c>
      <c r="I701" s="338">
        <f t="shared" si="408"/>
        <v>25721906</v>
      </c>
      <c r="J701" s="329">
        <f t="shared" si="412"/>
        <v>0</v>
      </c>
      <c r="K701" s="338">
        <f t="shared" si="409"/>
        <v>9000000</v>
      </c>
      <c r="L701" s="329">
        <f t="shared" si="413"/>
        <v>798534.76</v>
      </c>
      <c r="M701" s="338">
        <f t="shared" si="419"/>
        <v>16998534.760000002</v>
      </c>
      <c r="N701" s="329">
        <f t="shared" si="414"/>
        <v>0</v>
      </c>
      <c r="O701" s="338">
        <f t="shared" si="420"/>
        <v>6500000</v>
      </c>
      <c r="P701" s="329">
        <f t="shared" si="415"/>
        <v>0</v>
      </c>
      <c r="Q701" s="338">
        <f t="shared" si="421"/>
        <v>0</v>
      </c>
      <c r="R701" s="329">
        <f t="shared" si="416"/>
        <v>0</v>
      </c>
      <c r="S701" s="338">
        <f t="shared" si="422"/>
        <v>0</v>
      </c>
      <c r="T701" s="329">
        <f t="shared" si="417"/>
        <v>0</v>
      </c>
      <c r="U701" s="338">
        <f t="shared" si="423"/>
        <v>0</v>
      </c>
      <c r="V701" s="329">
        <f t="shared" si="418"/>
        <v>0</v>
      </c>
      <c r="W701" s="338">
        <f t="shared" si="424"/>
        <v>0</v>
      </c>
      <c r="X701" s="35"/>
    </row>
    <row r="702" spans="1:24" x14ac:dyDescent="0.25">
      <c r="A702" s="335">
        <f t="shared" si="404"/>
        <v>44413</v>
      </c>
      <c r="B702" s="49">
        <f t="shared" si="425"/>
        <v>0</v>
      </c>
      <c r="C702" s="338">
        <f t="shared" si="405"/>
        <v>88372276</v>
      </c>
      <c r="D702" s="329">
        <f t="shared" si="426"/>
        <v>0</v>
      </c>
      <c r="E702" s="338">
        <f t="shared" si="406"/>
        <v>8790281.0006717108</v>
      </c>
      <c r="F702" s="329">
        <f t="shared" si="410"/>
        <v>0</v>
      </c>
      <c r="G702" s="338">
        <f t="shared" si="407"/>
        <v>49800000</v>
      </c>
      <c r="H702" s="329">
        <f t="shared" si="411"/>
        <v>0</v>
      </c>
      <c r="I702" s="338">
        <f t="shared" si="408"/>
        <v>25721906</v>
      </c>
      <c r="J702" s="329">
        <f t="shared" si="412"/>
        <v>0</v>
      </c>
      <c r="K702" s="338">
        <f t="shared" si="409"/>
        <v>9000000</v>
      </c>
      <c r="L702" s="329">
        <f t="shared" si="413"/>
        <v>0</v>
      </c>
      <c r="M702" s="338">
        <f t="shared" si="419"/>
        <v>16998534.760000002</v>
      </c>
      <c r="N702" s="329">
        <f t="shared" si="414"/>
        <v>0</v>
      </c>
      <c r="O702" s="338">
        <f t="shared" si="420"/>
        <v>6500000</v>
      </c>
      <c r="P702" s="329">
        <f t="shared" si="415"/>
        <v>0</v>
      </c>
      <c r="Q702" s="338">
        <f t="shared" si="421"/>
        <v>0</v>
      </c>
      <c r="R702" s="329">
        <f t="shared" si="416"/>
        <v>0</v>
      </c>
      <c r="S702" s="338">
        <f t="shared" si="422"/>
        <v>0</v>
      </c>
      <c r="T702" s="329">
        <f t="shared" si="417"/>
        <v>0</v>
      </c>
      <c r="U702" s="338">
        <f t="shared" si="423"/>
        <v>0</v>
      </c>
      <c r="V702" s="329">
        <f t="shared" si="418"/>
        <v>0</v>
      </c>
      <c r="W702" s="338">
        <f t="shared" si="424"/>
        <v>0</v>
      </c>
      <c r="X702" s="35"/>
    </row>
    <row r="703" spans="1:24" x14ac:dyDescent="0.25">
      <c r="A703" s="335">
        <f t="shared" si="404"/>
        <v>44414</v>
      </c>
      <c r="B703" s="49">
        <f t="shared" si="425"/>
        <v>0</v>
      </c>
      <c r="C703" s="338">
        <f t="shared" si="405"/>
        <v>88372276</v>
      </c>
      <c r="D703" s="329">
        <f t="shared" si="426"/>
        <v>0</v>
      </c>
      <c r="E703" s="338">
        <f t="shared" si="406"/>
        <v>8790281.0006717108</v>
      </c>
      <c r="F703" s="329">
        <f t="shared" si="410"/>
        <v>0</v>
      </c>
      <c r="G703" s="338">
        <f t="shared" si="407"/>
        <v>49800000</v>
      </c>
      <c r="H703" s="329">
        <f t="shared" si="411"/>
        <v>0</v>
      </c>
      <c r="I703" s="338">
        <f t="shared" si="408"/>
        <v>25721906</v>
      </c>
      <c r="J703" s="329">
        <f t="shared" si="412"/>
        <v>0</v>
      </c>
      <c r="K703" s="338">
        <f t="shared" si="409"/>
        <v>9000000</v>
      </c>
      <c r="L703" s="329">
        <f t="shared" si="413"/>
        <v>0</v>
      </c>
      <c r="M703" s="338">
        <f t="shared" si="419"/>
        <v>16998534.760000002</v>
      </c>
      <c r="N703" s="329">
        <f t="shared" si="414"/>
        <v>0</v>
      </c>
      <c r="O703" s="338">
        <f t="shared" si="420"/>
        <v>6500000</v>
      </c>
      <c r="P703" s="329">
        <f t="shared" si="415"/>
        <v>0</v>
      </c>
      <c r="Q703" s="338">
        <f t="shared" si="421"/>
        <v>0</v>
      </c>
      <c r="R703" s="329">
        <f t="shared" si="416"/>
        <v>0</v>
      </c>
      <c r="S703" s="338">
        <f t="shared" si="422"/>
        <v>0</v>
      </c>
      <c r="T703" s="329">
        <f t="shared" si="417"/>
        <v>0</v>
      </c>
      <c r="U703" s="338">
        <f t="shared" si="423"/>
        <v>0</v>
      </c>
      <c r="V703" s="329">
        <f t="shared" si="418"/>
        <v>0</v>
      </c>
      <c r="W703" s="338">
        <f t="shared" si="424"/>
        <v>0</v>
      </c>
      <c r="X703" s="35"/>
    </row>
    <row r="704" spans="1:24" x14ac:dyDescent="0.25">
      <c r="A704" s="335">
        <f t="shared" ref="A704:A767" si="427">A703+1</f>
        <v>44415</v>
      </c>
      <c r="B704" s="49">
        <f t="shared" si="425"/>
        <v>0</v>
      </c>
      <c r="C704" s="338">
        <f t="shared" ref="C704:C767" si="428">B704+C703</f>
        <v>88372276</v>
      </c>
      <c r="D704" s="329">
        <f t="shared" si="426"/>
        <v>0</v>
      </c>
      <c r="E704" s="338">
        <f t="shared" ref="E704:E767" si="429">D704+E703</f>
        <v>8790281.0006717108</v>
      </c>
      <c r="F704" s="329">
        <f t="shared" si="410"/>
        <v>0</v>
      </c>
      <c r="G704" s="338">
        <f t="shared" ref="G704:G767" si="430">F704+G703</f>
        <v>49800000</v>
      </c>
      <c r="H704" s="329">
        <f t="shared" si="411"/>
        <v>0</v>
      </c>
      <c r="I704" s="338">
        <f t="shared" ref="I704:I767" si="431">H704+I703</f>
        <v>25721906</v>
      </c>
      <c r="J704" s="329">
        <f t="shared" si="412"/>
        <v>0</v>
      </c>
      <c r="K704" s="338">
        <f t="shared" ref="K704:K767" si="432">J704+K703</f>
        <v>9000000</v>
      </c>
      <c r="L704" s="329">
        <f t="shared" si="413"/>
        <v>0</v>
      </c>
      <c r="M704" s="338">
        <f t="shared" si="419"/>
        <v>16998534.760000002</v>
      </c>
      <c r="N704" s="329">
        <f t="shared" si="414"/>
        <v>0</v>
      </c>
      <c r="O704" s="338">
        <f t="shared" si="420"/>
        <v>6500000</v>
      </c>
      <c r="P704" s="329">
        <f t="shared" si="415"/>
        <v>0</v>
      </c>
      <c r="Q704" s="338">
        <f t="shared" si="421"/>
        <v>0</v>
      </c>
      <c r="R704" s="329">
        <f t="shared" si="416"/>
        <v>0</v>
      </c>
      <c r="S704" s="338">
        <f t="shared" si="422"/>
        <v>0</v>
      </c>
      <c r="T704" s="329">
        <f t="shared" si="417"/>
        <v>0</v>
      </c>
      <c r="U704" s="338">
        <f t="shared" si="423"/>
        <v>0</v>
      </c>
      <c r="V704" s="329">
        <f t="shared" si="418"/>
        <v>0</v>
      </c>
      <c r="W704" s="338">
        <f t="shared" si="424"/>
        <v>0</v>
      </c>
      <c r="X704" s="35"/>
    </row>
    <row r="705" spans="1:24" x14ac:dyDescent="0.25">
      <c r="A705" s="335">
        <f t="shared" si="427"/>
        <v>44416</v>
      </c>
      <c r="B705" s="49">
        <f t="shared" si="425"/>
        <v>0</v>
      </c>
      <c r="C705" s="338">
        <f t="shared" si="428"/>
        <v>88372276</v>
      </c>
      <c r="D705" s="329">
        <f t="shared" si="426"/>
        <v>0</v>
      </c>
      <c r="E705" s="338">
        <f t="shared" si="429"/>
        <v>8790281.0006717108</v>
      </c>
      <c r="F705" s="329">
        <f t="shared" si="410"/>
        <v>0</v>
      </c>
      <c r="G705" s="338">
        <f t="shared" si="430"/>
        <v>49800000</v>
      </c>
      <c r="H705" s="329">
        <f t="shared" si="411"/>
        <v>0</v>
      </c>
      <c r="I705" s="338">
        <f t="shared" si="431"/>
        <v>25721906</v>
      </c>
      <c r="J705" s="329">
        <f t="shared" si="412"/>
        <v>0</v>
      </c>
      <c r="K705" s="338">
        <f t="shared" si="432"/>
        <v>9000000</v>
      </c>
      <c r="L705" s="329">
        <f t="shared" si="413"/>
        <v>0</v>
      </c>
      <c r="M705" s="338">
        <f t="shared" si="419"/>
        <v>16998534.760000002</v>
      </c>
      <c r="N705" s="329">
        <f t="shared" si="414"/>
        <v>0</v>
      </c>
      <c r="O705" s="338">
        <f t="shared" si="420"/>
        <v>6500000</v>
      </c>
      <c r="P705" s="329">
        <f t="shared" si="415"/>
        <v>0</v>
      </c>
      <c r="Q705" s="338">
        <f t="shared" si="421"/>
        <v>0</v>
      </c>
      <c r="R705" s="329">
        <f t="shared" si="416"/>
        <v>0</v>
      </c>
      <c r="S705" s="338">
        <f t="shared" si="422"/>
        <v>0</v>
      </c>
      <c r="T705" s="329">
        <f t="shared" si="417"/>
        <v>0</v>
      </c>
      <c r="U705" s="338">
        <f t="shared" si="423"/>
        <v>0</v>
      </c>
      <c r="V705" s="329">
        <f t="shared" si="418"/>
        <v>0</v>
      </c>
      <c r="W705" s="338">
        <f t="shared" si="424"/>
        <v>0</v>
      </c>
      <c r="X705" s="35"/>
    </row>
    <row r="706" spans="1:24" x14ac:dyDescent="0.25">
      <c r="A706" s="335">
        <f t="shared" si="427"/>
        <v>44417</v>
      </c>
      <c r="B706" s="49">
        <f t="shared" si="425"/>
        <v>0</v>
      </c>
      <c r="C706" s="338">
        <f t="shared" si="428"/>
        <v>88372276</v>
      </c>
      <c r="D706" s="329">
        <f t="shared" si="426"/>
        <v>0</v>
      </c>
      <c r="E706" s="338">
        <f t="shared" si="429"/>
        <v>8790281.0006717108</v>
      </c>
      <c r="F706" s="329">
        <f t="shared" si="410"/>
        <v>0</v>
      </c>
      <c r="G706" s="338">
        <f t="shared" si="430"/>
        <v>49800000</v>
      </c>
      <c r="H706" s="329">
        <f t="shared" si="411"/>
        <v>0</v>
      </c>
      <c r="I706" s="338">
        <f t="shared" si="431"/>
        <v>25721906</v>
      </c>
      <c r="J706" s="329">
        <f t="shared" si="412"/>
        <v>0</v>
      </c>
      <c r="K706" s="338">
        <f t="shared" si="432"/>
        <v>9000000</v>
      </c>
      <c r="L706" s="329">
        <f t="shared" si="413"/>
        <v>0</v>
      </c>
      <c r="M706" s="338">
        <f t="shared" si="419"/>
        <v>16998534.760000002</v>
      </c>
      <c r="N706" s="329">
        <f t="shared" si="414"/>
        <v>0</v>
      </c>
      <c r="O706" s="338">
        <f t="shared" si="420"/>
        <v>6500000</v>
      </c>
      <c r="P706" s="329">
        <f t="shared" si="415"/>
        <v>0</v>
      </c>
      <c r="Q706" s="338">
        <f t="shared" si="421"/>
        <v>0</v>
      </c>
      <c r="R706" s="329">
        <f t="shared" si="416"/>
        <v>0</v>
      </c>
      <c r="S706" s="338">
        <f t="shared" si="422"/>
        <v>0</v>
      </c>
      <c r="T706" s="329">
        <f t="shared" si="417"/>
        <v>0</v>
      </c>
      <c r="U706" s="338">
        <f t="shared" si="423"/>
        <v>0</v>
      </c>
      <c r="V706" s="329">
        <f t="shared" si="418"/>
        <v>0</v>
      </c>
      <c r="W706" s="338">
        <f t="shared" si="424"/>
        <v>0</v>
      </c>
      <c r="X706" s="35"/>
    </row>
    <row r="707" spans="1:24" x14ac:dyDescent="0.25">
      <c r="A707" s="335">
        <f t="shared" si="427"/>
        <v>44418</v>
      </c>
      <c r="B707" s="49">
        <f t="shared" si="425"/>
        <v>0</v>
      </c>
      <c r="C707" s="338">
        <f t="shared" si="428"/>
        <v>88372276</v>
      </c>
      <c r="D707" s="329">
        <f t="shared" si="426"/>
        <v>0</v>
      </c>
      <c r="E707" s="338">
        <f t="shared" si="429"/>
        <v>8790281.0006717108</v>
      </c>
      <c r="F707" s="329">
        <f t="shared" ref="F707:F770" si="433">SUMIFS(Usage_Main,CF_Dates,$A707,CF_Descriptions,"EASTCYPRESS1 Change")</f>
        <v>3200000</v>
      </c>
      <c r="G707" s="338">
        <f t="shared" si="430"/>
        <v>53000000</v>
      </c>
      <c r="H707" s="329">
        <f t="shared" si="411"/>
        <v>0</v>
      </c>
      <c r="I707" s="338">
        <f t="shared" si="431"/>
        <v>25721906</v>
      </c>
      <c r="J707" s="329">
        <f t="shared" si="412"/>
        <v>0</v>
      </c>
      <c r="K707" s="338">
        <f t="shared" si="432"/>
        <v>9000000</v>
      </c>
      <c r="L707" s="329">
        <f t="shared" si="413"/>
        <v>0</v>
      </c>
      <c r="M707" s="338">
        <f t="shared" si="419"/>
        <v>16998534.760000002</v>
      </c>
      <c r="N707" s="329">
        <f t="shared" si="414"/>
        <v>0</v>
      </c>
      <c r="O707" s="338">
        <f t="shared" si="420"/>
        <v>6500000</v>
      </c>
      <c r="P707" s="329">
        <f t="shared" si="415"/>
        <v>0</v>
      </c>
      <c r="Q707" s="338">
        <f t="shared" si="421"/>
        <v>0</v>
      </c>
      <c r="R707" s="329">
        <f t="shared" si="416"/>
        <v>0</v>
      </c>
      <c r="S707" s="338">
        <f t="shared" si="422"/>
        <v>0</v>
      </c>
      <c r="T707" s="329">
        <f t="shared" si="417"/>
        <v>0</v>
      </c>
      <c r="U707" s="338">
        <f t="shared" si="423"/>
        <v>0</v>
      </c>
      <c r="V707" s="329">
        <f t="shared" si="418"/>
        <v>0</v>
      </c>
      <c r="W707" s="338">
        <f t="shared" si="424"/>
        <v>0</v>
      </c>
      <c r="X707" s="35"/>
    </row>
    <row r="708" spans="1:24" x14ac:dyDescent="0.25">
      <c r="A708" s="335">
        <f t="shared" si="427"/>
        <v>44419</v>
      </c>
      <c r="B708" s="49">
        <f t="shared" si="425"/>
        <v>0</v>
      </c>
      <c r="C708" s="338">
        <f t="shared" si="428"/>
        <v>88372276</v>
      </c>
      <c r="D708" s="329">
        <f t="shared" si="426"/>
        <v>0</v>
      </c>
      <c r="E708" s="338">
        <f t="shared" si="429"/>
        <v>8790281.0006717108</v>
      </c>
      <c r="F708" s="329">
        <f t="shared" si="433"/>
        <v>0</v>
      </c>
      <c r="G708" s="338">
        <f t="shared" si="430"/>
        <v>53000000</v>
      </c>
      <c r="H708" s="329">
        <f t="shared" si="411"/>
        <v>0</v>
      </c>
      <c r="I708" s="338">
        <f t="shared" si="431"/>
        <v>25721906</v>
      </c>
      <c r="J708" s="329">
        <f t="shared" si="412"/>
        <v>1200000</v>
      </c>
      <c r="K708" s="338">
        <f t="shared" si="432"/>
        <v>10200000</v>
      </c>
      <c r="L708" s="329">
        <f t="shared" si="413"/>
        <v>0</v>
      </c>
      <c r="M708" s="338">
        <f t="shared" si="419"/>
        <v>16998534.760000002</v>
      </c>
      <c r="N708" s="329">
        <f t="shared" si="414"/>
        <v>500000</v>
      </c>
      <c r="O708" s="338">
        <f t="shared" si="420"/>
        <v>7000000</v>
      </c>
      <c r="P708" s="329">
        <f t="shared" si="415"/>
        <v>0</v>
      </c>
      <c r="Q708" s="338">
        <f t="shared" si="421"/>
        <v>0</v>
      </c>
      <c r="R708" s="329">
        <f t="shared" si="416"/>
        <v>0</v>
      </c>
      <c r="S708" s="338">
        <f t="shared" si="422"/>
        <v>0</v>
      </c>
      <c r="T708" s="329">
        <f t="shared" si="417"/>
        <v>0</v>
      </c>
      <c r="U708" s="338">
        <f t="shared" si="423"/>
        <v>0</v>
      </c>
      <c r="V708" s="329">
        <f t="shared" si="418"/>
        <v>0</v>
      </c>
      <c r="W708" s="338">
        <f t="shared" si="424"/>
        <v>0</v>
      </c>
      <c r="X708" s="35"/>
    </row>
    <row r="709" spans="1:24" x14ac:dyDescent="0.25">
      <c r="A709" s="335">
        <f t="shared" si="427"/>
        <v>44420</v>
      </c>
      <c r="B709" s="49">
        <f t="shared" si="425"/>
        <v>0</v>
      </c>
      <c r="C709" s="338">
        <f t="shared" si="428"/>
        <v>88372276</v>
      </c>
      <c r="D709" s="329">
        <f t="shared" si="426"/>
        <v>0</v>
      </c>
      <c r="E709" s="338">
        <f t="shared" si="429"/>
        <v>8790281.0006717108</v>
      </c>
      <c r="F709" s="329">
        <f t="shared" si="433"/>
        <v>0</v>
      </c>
      <c r="G709" s="338">
        <f t="shared" si="430"/>
        <v>53000000</v>
      </c>
      <c r="H709" s="329">
        <f t="shared" si="411"/>
        <v>0</v>
      </c>
      <c r="I709" s="338">
        <f t="shared" si="431"/>
        <v>25721906</v>
      </c>
      <c r="J709" s="329">
        <f t="shared" si="412"/>
        <v>0</v>
      </c>
      <c r="K709" s="338">
        <f t="shared" si="432"/>
        <v>10200000</v>
      </c>
      <c r="L709" s="329">
        <f t="shared" si="413"/>
        <v>0</v>
      </c>
      <c r="M709" s="338">
        <f t="shared" si="419"/>
        <v>16998534.760000002</v>
      </c>
      <c r="N709" s="329">
        <f t="shared" si="414"/>
        <v>0</v>
      </c>
      <c r="O709" s="338">
        <f t="shared" si="420"/>
        <v>7000000</v>
      </c>
      <c r="P709" s="329">
        <f t="shared" si="415"/>
        <v>0</v>
      </c>
      <c r="Q709" s="338">
        <f t="shared" si="421"/>
        <v>0</v>
      </c>
      <c r="R709" s="329">
        <f t="shared" si="416"/>
        <v>0</v>
      </c>
      <c r="S709" s="338">
        <f t="shared" si="422"/>
        <v>0</v>
      </c>
      <c r="T709" s="329">
        <f t="shared" si="417"/>
        <v>0</v>
      </c>
      <c r="U709" s="338">
        <f t="shared" si="423"/>
        <v>0</v>
      </c>
      <c r="V709" s="329">
        <f t="shared" si="418"/>
        <v>0</v>
      </c>
      <c r="W709" s="338">
        <f t="shared" si="424"/>
        <v>0</v>
      </c>
      <c r="X709" s="35"/>
    </row>
    <row r="710" spans="1:24" x14ac:dyDescent="0.25">
      <c r="A710" s="335">
        <f t="shared" si="427"/>
        <v>44421</v>
      </c>
      <c r="B710" s="49">
        <f t="shared" si="425"/>
        <v>6000000</v>
      </c>
      <c r="C710" s="338">
        <f t="shared" si="428"/>
        <v>94372276</v>
      </c>
      <c r="D710" s="329">
        <f t="shared" si="426"/>
        <v>0</v>
      </c>
      <c r="E710" s="338">
        <f t="shared" si="429"/>
        <v>8790281.0006717108</v>
      </c>
      <c r="F710" s="329">
        <f t="shared" si="433"/>
        <v>0</v>
      </c>
      <c r="G710" s="338">
        <f t="shared" si="430"/>
        <v>53000000</v>
      </c>
      <c r="H710" s="329">
        <f t="shared" si="411"/>
        <v>0</v>
      </c>
      <c r="I710" s="338">
        <f t="shared" si="431"/>
        <v>25721906</v>
      </c>
      <c r="J710" s="329">
        <f t="shared" si="412"/>
        <v>0</v>
      </c>
      <c r="K710" s="338">
        <f t="shared" si="432"/>
        <v>10200000</v>
      </c>
      <c r="L710" s="329">
        <f t="shared" si="413"/>
        <v>600000</v>
      </c>
      <c r="M710" s="338">
        <f t="shared" si="419"/>
        <v>17598534.760000002</v>
      </c>
      <c r="N710" s="329">
        <f t="shared" si="414"/>
        <v>0</v>
      </c>
      <c r="O710" s="338">
        <f t="shared" si="420"/>
        <v>7000000</v>
      </c>
      <c r="P710" s="329">
        <f t="shared" si="415"/>
        <v>0</v>
      </c>
      <c r="Q710" s="338">
        <f t="shared" si="421"/>
        <v>0</v>
      </c>
      <c r="R710" s="329">
        <f t="shared" si="416"/>
        <v>0</v>
      </c>
      <c r="S710" s="338">
        <f t="shared" si="422"/>
        <v>0</v>
      </c>
      <c r="T710" s="329">
        <f t="shared" si="417"/>
        <v>0</v>
      </c>
      <c r="U710" s="338">
        <f t="shared" si="423"/>
        <v>0</v>
      </c>
      <c r="V710" s="329">
        <f t="shared" si="418"/>
        <v>0</v>
      </c>
      <c r="W710" s="338">
        <f t="shared" si="424"/>
        <v>0</v>
      </c>
      <c r="X710" s="35"/>
    </row>
    <row r="711" spans="1:24" x14ac:dyDescent="0.25">
      <c r="A711" s="335">
        <f t="shared" si="427"/>
        <v>44422</v>
      </c>
      <c r="B711" s="49">
        <f t="shared" si="425"/>
        <v>0</v>
      </c>
      <c r="C711" s="338">
        <f t="shared" si="428"/>
        <v>94372276</v>
      </c>
      <c r="D711" s="329">
        <f t="shared" si="426"/>
        <v>0</v>
      </c>
      <c r="E711" s="338">
        <f t="shared" si="429"/>
        <v>8790281.0006717108</v>
      </c>
      <c r="F711" s="329">
        <f t="shared" si="433"/>
        <v>0</v>
      </c>
      <c r="G711" s="338">
        <f t="shared" si="430"/>
        <v>53000000</v>
      </c>
      <c r="H711" s="329">
        <f t="shared" si="411"/>
        <v>0</v>
      </c>
      <c r="I711" s="338">
        <f t="shared" si="431"/>
        <v>25721906</v>
      </c>
      <c r="J711" s="329">
        <f t="shared" si="412"/>
        <v>0</v>
      </c>
      <c r="K711" s="338">
        <f t="shared" si="432"/>
        <v>10200000</v>
      </c>
      <c r="L711" s="329">
        <f t="shared" si="413"/>
        <v>0</v>
      </c>
      <c r="M711" s="338">
        <f t="shared" si="419"/>
        <v>17598534.760000002</v>
      </c>
      <c r="N711" s="329">
        <f t="shared" si="414"/>
        <v>0</v>
      </c>
      <c r="O711" s="338">
        <f t="shared" si="420"/>
        <v>7000000</v>
      </c>
      <c r="P711" s="329">
        <f t="shared" si="415"/>
        <v>0</v>
      </c>
      <c r="Q711" s="338">
        <f t="shared" si="421"/>
        <v>0</v>
      </c>
      <c r="R711" s="329">
        <f t="shared" si="416"/>
        <v>0</v>
      </c>
      <c r="S711" s="338">
        <f t="shared" si="422"/>
        <v>0</v>
      </c>
      <c r="T711" s="329">
        <f t="shared" si="417"/>
        <v>0</v>
      </c>
      <c r="U711" s="338">
        <f t="shared" si="423"/>
        <v>0</v>
      </c>
      <c r="V711" s="329">
        <f t="shared" si="418"/>
        <v>0</v>
      </c>
      <c r="W711" s="338">
        <f t="shared" si="424"/>
        <v>0</v>
      </c>
      <c r="X711" s="35"/>
    </row>
    <row r="712" spans="1:24" x14ac:dyDescent="0.25">
      <c r="A712" s="335">
        <f t="shared" si="427"/>
        <v>44423</v>
      </c>
      <c r="B712" s="49">
        <f t="shared" si="425"/>
        <v>0</v>
      </c>
      <c r="C712" s="338">
        <f t="shared" si="428"/>
        <v>94372276</v>
      </c>
      <c r="D712" s="329">
        <f t="shared" si="426"/>
        <v>0</v>
      </c>
      <c r="E712" s="338">
        <f t="shared" si="429"/>
        <v>8790281.0006717108</v>
      </c>
      <c r="F712" s="329">
        <f t="shared" si="433"/>
        <v>0</v>
      </c>
      <c r="G712" s="338">
        <f t="shared" si="430"/>
        <v>53000000</v>
      </c>
      <c r="H712" s="329">
        <f t="shared" si="411"/>
        <v>0</v>
      </c>
      <c r="I712" s="338">
        <f t="shared" si="431"/>
        <v>25721906</v>
      </c>
      <c r="J712" s="329">
        <f t="shared" si="412"/>
        <v>0</v>
      </c>
      <c r="K712" s="338">
        <f t="shared" si="432"/>
        <v>10200000</v>
      </c>
      <c r="L712" s="329">
        <f t="shared" si="413"/>
        <v>0</v>
      </c>
      <c r="M712" s="338">
        <f t="shared" si="419"/>
        <v>17598534.760000002</v>
      </c>
      <c r="N712" s="329">
        <f t="shared" si="414"/>
        <v>0</v>
      </c>
      <c r="O712" s="338">
        <f t="shared" si="420"/>
        <v>7000000</v>
      </c>
      <c r="P712" s="329">
        <f t="shared" si="415"/>
        <v>0</v>
      </c>
      <c r="Q712" s="338">
        <f t="shared" si="421"/>
        <v>0</v>
      </c>
      <c r="R712" s="329">
        <f t="shared" si="416"/>
        <v>0</v>
      </c>
      <c r="S712" s="338">
        <f t="shared" si="422"/>
        <v>0</v>
      </c>
      <c r="T712" s="329">
        <f t="shared" si="417"/>
        <v>0</v>
      </c>
      <c r="U712" s="338">
        <f t="shared" si="423"/>
        <v>0</v>
      </c>
      <c r="V712" s="329">
        <f t="shared" si="418"/>
        <v>0</v>
      </c>
      <c r="W712" s="338">
        <f t="shared" si="424"/>
        <v>0</v>
      </c>
      <c r="X712" s="35"/>
    </row>
    <row r="713" spans="1:24" x14ac:dyDescent="0.25">
      <c r="A713" s="335">
        <f t="shared" si="427"/>
        <v>44424</v>
      </c>
      <c r="B713" s="49">
        <f t="shared" si="425"/>
        <v>0</v>
      </c>
      <c r="C713" s="338">
        <f t="shared" si="428"/>
        <v>94372276</v>
      </c>
      <c r="D713" s="329">
        <f t="shared" si="426"/>
        <v>0</v>
      </c>
      <c r="E713" s="338">
        <f t="shared" si="429"/>
        <v>8790281.0006717108</v>
      </c>
      <c r="F713" s="329">
        <f t="shared" si="433"/>
        <v>0</v>
      </c>
      <c r="G713" s="338">
        <f t="shared" si="430"/>
        <v>53000000</v>
      </c>
      <c r="H713" s="329">
        <f t="shared" si="411"/>
        <v>0</v>
      </c>
      <c r="I713" s="338">
        <f t="shared" si="431"/>
        <v>25721906</v>
      </c>
      <c r="J713" s="329">
        <f t="shared" si="412"/>
        <v>0</v>
      </c>
      <c r="K713" s="338">
        <f t="shared" si="432"/>
        <v>10200000</v>
      </c>
      <c r="L713" s="329">
        <f t="shared" si="413"/>
        <v>0</v>
      </c>
      <c r="M713" s="338">
        <f t="shared" si="419"/>
        <v>17598534.760000002</v>
      </c>
      <c r="N713" s="329">
        <f t="shared" si="414"/>
        <v>0</v>
      </c>
      <c r="O713" s="338">
        <f t="shared" si="420"/>
        <v>7000000</v>
      </c>
      <c r="P713" s="329">
        <f t="shared" si="415"/>
        <v>0</v>
      </c>
      <c r="Q713" s="338">
        <f t="shared" si="421"/>
        <v>0</v>
      </c>
      <c r="R713" s="329">
        <f t="shared" si="416"/>
        <v>0</v>
      </c>
      <c r="S713" s="338">
        <f t="shared" si="422"/>
        <v>0</v>
      </c>
      <c r="T713" s="329">
        <f t="shared" si="417"/>
        <v>0</v>
      </c>
      <c r="U713" s="338">
        <f t="shared" si="423"/>
        <v>0</v>
      </c>
      <c r="V713" s="329">
        <f t="shared" si="418"/>
        <v>0</v>
      </c>
      <c r="W713" s="338">
        <f t="shared" si="424"/>
        <v>0</v>
      </c>
      <c r="X713" s="35"/>
    </row>
    <row r="714" spans="1:24" x14ac:dyDescent="0.25">
      <c r="A714" s="335">
        <f t="shared" si="427"/>
        <v>44425</v>
      </c>
      <c r="B714" s="49">
        <f t="shared" si="425"/>
        <v>0</v>
      </c>
      <c r="C714" s="338">
        <f t="shared" si="428"/>
        <v>94372276</v>
      </c>
      <c r="D714" s="329">
        <f t="shared" si="426"/>
        <v>0</v>
      </c>
      <c r="E714" s="338">
        <f t="shared" si="429"/>
        <v>8790281.0006717108</v>
      </c>
      <c r="F714" s="329">
        <f t="shared" si="433"/>
        <v>0</v>
      </c>
      <c r="G714" s="338">
        <f t="shared" si="430"/>
        <v>53000000</v>
      </c>
      <c r="H714" s="329">
        <f t="shared" si="411"/>
        <v>0</v>
      </c>
      <c r="I714" s="338">
        <f t="shared" si="431"/>
        <v>25721906</v>
      </c>
      <c r="J714" s="329">
        <f t="shared" si="412"/>
        <v>0</v>
      </c>
      <c r="K714" s="338">
        <f t="shared" si="432"/>
        <v>10200000</v>
      </c>
      <c r="L714" s="329">
        <f t="shared" si="413"/>
        <v>0</v>
      </c>
      <c r="M714" s="338">
        <f t="shared" si="419"/>
        <v>17598534.760000002</v>
      </c>
      <c r="N714" s="329">
        <f t="shared" si="414"/>
        <v>0</v>
      </c>
      <c r="O714" s="338">
        <f t="shared" si="420"/>
        <v>7000000</v>
      </c>
      <c r="P714" s="329">
        <f t="shared" si="415"/>
        <v>0</v>
      </c>
      <c r="Q714" s="338">
        <f t="shared" si="421"/>
        <v>0</v>
      </c>
      <c r="R714" s="329">
        <f t="shared" si="416"/>
        <v>0</v>
      </c>
      <c r="S714" s="338">
        <f t="shared" si="422"/>
        <v>0</v>
      </c>
      <c r="T714" s="329">
        <f t="shared" si="417"/>
        <v>0</v>
      </c>
      <c r="U714" s="338">
        <f t="shared" si="423"/>
        <v>0</v>
      </c>
      <c r="V714" s="329">
        <f t="shared" si="418"/>
        <v>0</v>
      </c>
      <c r="W714" s="338">
        <f t="shared" si="424"/>
        <v>0</v>
      </c>
      <c r="X714" s="35"/>
    </row>
    <row r="715" spans="1:24" x14ac:dyDescent="0.25">
      <c r="A715" s="335">
        <f t="shared" si="427"/>
        <v>44426</v>
      </c>
      <c r="B715" s="49">
        <f t="shared" si="425"/>
        <v>0</v>
      </c>
      <c r="C715" s="338">
        <f t="shared" si="428"/>
        <v>94372276</v>
      </c>
      <c r="D715" s="329">
        <f t="shared" si="426"/>
        <v>0</v>
      </c>
      <c r="E715" s="338">
        <f t="shared" si="429"/>
        <v>8790281.0006717108</v>
      </c>
      <c r="F715" s="329">
        <f t="shared" si="433"/>
        <v>0</v>
      </c>
      <c r="G715" s="338">
        <f t="shared" si="430"/>
        <v>53000000</v>
      </c>
      <c r="H715" s="329">
        <f t="shared" si="411"/>
        <v>0</v>
      </c>
      <c r="I715" s="338">
        <f t="shared" si="431"/>
        <v>25721906</v>
      </c>
      <c r="J715" s="329">
        <f t="shared" si="412"/>
        <v>0</v>
      </c>
      <c r="K715" s="338">
        <f t="shared" si="432"/>
        <v>10200000</v>
      </c>
      <c r="L715" s="329">
        <f t="shared" si="413"/>
        <v>0</v>
      </c>
      <c r="M715" s="338">
        <f t="shared" si="419"/>
        <v>17598534.760000002</v>
      </c>
      <c r="N715" s="329">
        <f t="shared" si="414"/>
        <v>0</v>
      </c>
      <c r="O715" s="338">
        <f t="shared" si="420"/>
        <v>7000000</v>
      </c>
      <c r="P715" s="329">
        <f t="shared" si="415"/>
        <v>0</v>
      </c>
      <c r="Q715" s="338">
        <f t="shared" si="421"/>
        <v>0</v>
      </c>
      <c r="R715" s="329">
        <f t="shared" si="416"/>
        <v>0</v>
      </c>
      <c r="S715" s="338">
        <f t="shared" si="422"/>
        <v>0</v>
      </c>
      <c r="T715" s="329">
        <f t="shared" si="417"/>
        <v>0</v>
      </c>
      <c r="U715" s="338">
        <f t="shared" si="423"/>
        <v>0</v>
      </c>
      <c r="V715" s="329">
        <f t="shared" si="418"/>
        <v>0</v>
      </c>
      <c r="W715" s="338">
        <f t="shared" si="424"/>
        <v>0</v>
      </c>
      <c r="X715" s="35"/>
    </row>
    <row r="716" spans="1:24" x14ac:dyDescent="0.25">
      <c r="A716" s="335">
        <f t="shared" si="427"/>
        <v>44427</v>
      </c>
      <c r="B716" s="49">
        <f t="shared" si="425"/>
        <v>0</v>
      </c>
      <c r="C716" s="338">
        <f t="shared" si="428"/>
        <v>94372276</v>
      </c>
      <c r="D716" s="329">
        <f t="shared" si="426"/>
        <v>0</v>
      </c>
      <c r="E716" s="338">
        <f t="shared" si="429"/>
        <v>8790281.0006717108</v>
      </c>
      <c r="F716" s="329">
        <f t="shared" si="433"/>
        <v>0</v>
      </c>
      <c r="G716" s="338">
        <f t="shared" si="430"/>
        <v>53000000</v>
      </c>
      <c r="H716" s="329">
        <f t="shared" si="411"/>
        <v>0</v>
      </c>
      <c r="I716" s="338">
        <f t="shared" si="431"/>
        <v>25721906</v>
      </c>
      <c r="J716" s="329">
        <f t="shared" si="412"/>
        <v>0</v>
      </c>
      <c r="K716" s="338">
        <f t="shared" si="432"/>
        <v>10200000</v>
      </c>
      <c r="L716" s="329">
        <f t="shared" si="413"/>
        <v>0</v>
      </c>
      <c r="M716" s="338">
        <f t="shared" si="419"/>
        <v>17598534.760000002</v>
      </c>
      <c r="N716" s="329">
        <f t="shared" si="414"/>
        <v>0</v>
      </c>
      <c r="O716" s="338">
        <f t="shared" si="420"/>
        <v>7000000</v>
      </c>
      <c r="P716" s="329">
        <f t="shared" si="415"/>
        <v>0</v>
      </c>
      <c r="Q716" s="338">
        <f t="shared" si="421"/>
        <v>0</v>
      </c>
      <c r="R716" s="329">
        <f t="shared" si="416"/>
        <v>0</v>
      </c>
      <c r="S716" s="338">
        <f t="shared" si="422"/>
        <v>0</v>
      </c>
      <c r="T716" s="329">
        <f t="shared" si="417"/>
        <v>0</v>
      </c>
      <c r="U716" s="338">
        <f t="shared" si="423"/>
        <v>0</v>
      </c>
      <c r="V716" s="329">
        <f t="shared" si="418"/>
        <v>0</v>
      </c>
      <c r="W716" s="338">
        <f t="shared" si="424"/>
        <v>0</v>
      </c>
      <c r="X716" s="35"/>
    </row>
    <row r="717" spans="1:24" x14ac:dyDescent="0.25">
      <c r="A717" s="335">
        <f t="shared" si="427"/>
        <v>44428</v>
      </c>
      <c r="B717" s="49">
        <f t="shared" si="425"/>
        <v>0</v>
      </c>
      <c r="C717" s="338">
        <f t="shared" si="428"/>
        <v>94372276</v>
      </c>
      <c r="D717" s="329">
        <f t="shared" si="426"/>
        <v>0</v>
      </c>
      <c r="E717" s="338">
        <f t="shared" si="429"/>
        <v>8790281.0006717108</v>
      </c>
      <c r="F717" s="329">
        <f t="shared" si="433"/>
        <v>0</v>
      </c>
      <c r="G717" s="338">
        <f t="shared" si="430"/>
        <v>53000000</v>
      </c>
      <c r="H717" s="329">
        <f t="shared" si="411"/>
        <v>0</v>
      </c>
      <c r="I717" s="338">
        <f t="shared" si="431"/>
        <v>25721906</v>
      </c>
      <c r="J717" s="329">
        <f t="shared" si="412"/>
        <v>0</v>
      </c>
      <c r="K717" s="338">
        <f t="shared" si="432"/>
        <v>10200000</v>
      </c>
      <c r="L717" s="329">
        <f t="shared" si="413"/>
        <v>0</v>
      </c>
      <c r="M717" s="338">
        <f t="shared" si="419"/>
        <v>17598534.760000002</v>
      </c>
      <c r="N717" s="329">
        <f t="shared" si="414"/>
        <v>0</v>
      </c>
      <c r="O717" s="338">
        <f t="shared" si="420"/>
        <v>7000000</v>
      </c>
      <c r="P717" s="329">
        <f t="shared" si="415"/>
        <v>0</v>
      </c>
      <c r="Q717" s="338">
        <f t="shared" si="421"/>
        <v>0</v>
      </c>
      <c r="R717" s="329">
        <f t="shared" si="416"/>
        <v>0</v>
      </c>
      <c r="S717" s="338">
        <f t="shared" si="422"/>
        <v>0</v>
      </c>
      <c r="T717" s="329">
        <f t="shared" si="417"/>
        <v>0</v>
      </c>
      <c r="U717" s="338">
        <f t="shared" si="423"/>
        <v>0</v>
      </c>
      <c r="V717" s="329">
        <f t="shared" si="418"/>
        <v>0</v>
      </c>
      <c r="W717" s="338">
        <f t="shared" si="424"/>
        <v>0</v>
      </c>
      <c r="X717" s="35"/>
    </row>
    <row r="718" spans="1:24" x14ac:dyDescent="0.25">
      <c r="A718" s="335">
        <f t="shared" si="427"/>
        <v>44429</v>
      </c>
      <c r="B718" s="49">
        <f t="shared" si="425"/>
        <v>0</v>
      </c>
      <c r="C718" s="338">
        <f t="shared" si="428"/>
        <v>94372276</v>
      </c>
      <c r="D718" s="329">
        <f t="shared" si="426"/>
        <v>0</v>
      </c>
      <c r="E718" s="338">
        <f t="shared" si="429"/>
        <v>8790281.0006717108</v>
      </c>
      <c r="F718" s="329">
        <f t="shared" si="433"/>
        <v>0</v>
      </c>
      <c r="G718" s="338">
        <f t="shared" si="430"/>
        <v>53000000</v>
      </c>
      <c r="H718" s="329">
        <f t="shared" si="411"/>
        <v>0</v>
      </c>
      <c r="I718" s="338">
        <f t="shared" si="431"/>
        <v>25721906</v>
      </c>
      <c r="J718" s="329">
        <f t="shared" si="412"/>
        <v>0</v>
      </c>
      <c r="K718" s="338">
        <f t="shared" si="432"/>
        <v>10200000</v>
      </c>
      <c r="L718" s="329">
        <f t="shared" si="413"/>
        <v>0</v>
      </c>
      <c r="M718" s="338">
        <f t="shared" si="419"/>
        <v>17598534.760000002</v>
      </c>
      <c r="N718" s="329">
        <f t="shared" si="414"/>
        <v>0</v>
      </c>
      <c r="O718" s="338">
        <f t="shared" si="420"/>
        <v>7000000</v>
      </c>
      <c r="P718" s="329">
        <f t="shared" si="415"/>
        <v>0</v>
      </c>
      <c r="Q718" s="338">
        <f t="shared" si="421"/>
        <v>0</v>
      </c>
      <c r="R718" s="329">
        <f t="shared" si="416"/>
        <v>0</v>
      </c>
      <c r="S718" s="338">
        <f t="shared" si="422"/>
        <v>0</v>
      </c>
      <c r="T718" s="329">
        <f t="shared" si="417"/>
        <v>0</v>
      </c>
      <c r="U718" s="338">
        <f t="shared" si="423"/>
        <v>0</v>
      </c>
      <c r="V718" s="329">
        <f t="shared" si="418"/>
        <v>0</v>
      </c>
      <c r="W718" s="338">
        <f t="shared" si="424"/>
        <v>0</v>
      </c>
      <c r="X718" s="35"/>
    </row>
    <row r="719" spans="1:24" x14ac:dyDescent="0.25">
      <c r="A719" s="335">
        <f t="shared" si="427"/>
        <v>44430</v>
      </c>
      <c r="B719" s="49">
        <f t="shared" si="425"/>
        <v>0</v>
      </c>
      <c r="C719" s="338">
        <f t="shared" si="428"/>
        <v>94372276</v>
      </c>
      <c r="D719" s="329">
        <f t="shared" si="426"/>
        <v>0</v>
      </c>
      <c r="E719" s="338">
        <f t="shared" si="429"/>
        <v>8790281.0006717108</v>
      </c>
      <c r="F719" s="329">
        <f t="shared" si="433"/>
        <v>0</v>
      </c>
      <c r="G719" s="338">
        <f t="shared" si="430"/>
        <v>53000000</v>
      </c>
      <c r="H719" s="329">
        <f t="shared" si="411"/>
        <v>0</v>
      </c>
      <c r="I719" s="338">
        <f t="shared" si="431"/>
        <v>25721906</v>
      </c>
      <c r="J719" s="329">
        <f t="shared" si="412"/>
        <v>0</v>
      </c>
      <c r="K719" s="338">
        <f t="shared" si="432"/>
        <v>10200000</v>
      </c>
      <c r="L719" s="329">
        <f t="shared" si="413"/>
        <v>0</v>
      </c>
      <c r="M719" s="338">
        <f t="shared" si="419"/>
        <v>17598534.760000002</v>
      </c>
      <c r="N719" s="329">
        <f t="shared" si="414"/>
        <v>0</v>
      </c>
      <c r="O719" s="338">
        <f t="shared" si="420"/>
        <v>7000000</v>
      </c>
      <c r="P719" s="329">
        <f t="shared" si="415"/>
        <v>0</v>
      </c>
      <c r="Q719" s="338">
        <f t="shared" si="421"/>
        <v>0</v>
      </c>
      <c r="R719" s="329">
        <f t="shared" si="416"/>
        <v>0</v>
      </c>
      <c r="S719" s="338">
        <f t="shared" si="422"/>
        <v>0</v>
      </c>
      <c r="T719" s="329">
        <f t="shared" si="417"/>
        <v>0</v>
      </c>
      <c r="U719" s="338">
        <f t="shared" si="423"/>
        <v>0</v>
      </c>
      <c r="V719" s="329">
        <f t="shared" si="418"/>
        <v>0</v>
      </c>
      <c r="W719" s="338">
        <f t="shared" si="424"/>
        <v>0</v>
      </c>
      <c r="X719" s="35"/>
    </row>
    <row r="720" spans="1:24" x14ac:dyDescent="0.25">
      <c r="A720" s="335">
        <f t="shared" si="427"/>
        <v>44431</v>
      </c>
      <c r="B720" s="49">
        <f t="shared" si="425"/>
        <v>0</v>
      </c>
      <c r="C720" s="338">
        <f t="shared" si="428"/>
        <v>94372276</v>
      </c>
      <c r="D720" s="329">
        <f t="shared" si="426"/>
        <v>0</v>
      </c>
      <c r="E720" s="338">
        <f t="shared" si="429"/>
        <v>8790281.0006717108</v>
      </c>
      <c r="F720" s="329">
        <f t="shared" si="433"/>
        <v>0</v>
      </c>
      <c r="G720" s="338">
        <f t="shared" si="430"/>
        <v>53000000</v>
      </c>
      <c r="H720" s="329">
        <f t="shared" si="411"/>
        <v>0</v>
      </c>
      <c r="I720" s="338">
        <f t="shared" si="431"/>
        <v>25721906</v>
      </c>
      <c r="J720" s="329">
        <f t="shared" si="412"/>
        <v>0</v>
      </c>
      <c r="K720" s="338">
        <f t="shared" si="432"/>
        <v>10200000</v>
      </c>
      <c r="L720" s="329">
        <f t="shared" si="413"/>
        <v>0</v>
      </c>
      <c r="M720" s="338">
        <f t="shared" si="419"/>
        <v>17598534.760000002</v>
      </c>
      <c r="N720" s="329">
        <f t="shared" si="414"/>
        <v>0</v>
      </c>
      <c r="O720" s="338">
        <f t="shared" si="420"/>
        <v>7000000</v>
      </c>
      <c r="P720" s="329">
        <f t="shared" si="415"/>
        <v>0</v>
      </c>
      <c r="Q720" s="338">
        <f t="shared" si="421"/>
        <v>0</v>
      </c>
      <c r="R720" s="329">
        <f t="shared" si="416"/>
        <v>0</v>
      </c>
      <c r="S720" s="338">
        <f t="shared" si="422"/>
        <v>0</v>
      </c>
      <c r="T720" s="329">
        <f t="shared" si="417"/>
        <v>0</v>
      </c>
      <c r="U720" s="338">
        <f t="shared" si="423"/>
        <v>0</v>
      </c>
      <c r="V720" s="329">
        <f t="shared" si="418"/>
        <v>0</v>
      </c>
      <c r="W720" s="338">
        <f t="shared" si="424"/>
        <v>0</v>
      </c>
      <c r="X720" s="35"/>
    </row>
    <row r="721" spans="1:24" x14ac:dyDescent="0.25">
      <c r="A721" s="335">
        <f t="shared" si="427"/>
        <v>44432</v>
      </c>
      <c r="B721" s="49">
        <f t="shared" si="425"/>
        <v>0</v>
      </c>
      <c r="C721" s="338">
        <f t="shared" si="428"/>
        <v>94372276</v>
      </c>
      <c r="D721" s="329">
        <f t="shared" si="426"/>
        <v>0</v>
      </c>
      <c r="E721" s="338">
        <f t="shared" si="429"/>
        <v>8790281.0006717108</v>
      </c>
      <c r="F721" s="329">
        <f t="shared" si="433"/>
        <v>0</v>
      </c>
      <c r="G721" s="338">
        <f t="shared" si="430"/>
        <v>53000000</v>
      </c>
      <c r="H721" s="329">
        <f t="shared" si="411"/>
        <v>0</v>
      </c>
      <c r="I721" s="338">
        <f t="shared" si="431"/>
        <v>25721906</v>
      </c>
      <c r="J721" s="329">
        <f t="shared" si="412"/>
        <v>0</v>
      </c>
      <c r="K721" s="338">
        <f t="shared" si="432"/>
        <v>10200000</v>
      </c>
      <c r="L721" s="329">
        <f t="shared" si="413"/>
        <v>0</v>
      </c>
      <c r="M721" s="338">
        <f t="shared" si="419"/>
        <v>17598534.760000002</v>
      </c>
      <c r="N721" s="329">
        <f t="shared" si="414"/>
        <v>0</v>
      </c>
      <c r="O721" s="338">
        <f t="shared" si="420"/>
        <v>7000000</v>
      </c>
      <c r="P721" s="329">
        <f t="shared" si="415"/>
        <v>0</v>
      </c>
      <c r="Q721" s="338">
        <f t="shared" si="421"/>
        <v>0</v>
      </c>
      <c r="R721" s="329">
        <f t="shared" si="416"/>
        <v>0</v>
      </c>
      <c r="S721" s="338">
        <f t="shared" si="422"/>
        <v>0</v>
      </c>
      <c r="T721" s="329">
        <f t="shared" si="417"/>
        <v>0</v>
      </c>
      <c r="U721" s="338">
        <f t="shared" si="423"/>
        <v>0</v>
      </c>
      <c r="V721" s="329">
        <f t="shared" si="418"/>
        <v>0</v>
      </c>
      <c r="W721" s="338">
        <f t="shared" si="424"/>
        <v>0</v>
      </c>
      <c r="X721" s="35"/>
    </row>
    <row r="722" spans="1:24" x14ac:dyDescent="0.25">
      <c r="A722" s="335">
        <f t="shared" si="427"/>
        <v>44433</v>
      </c>
      <c r="B722" s="49">
        <f t="shared" si="425"/>
        <v>5000000</v>
      </c>
      <c r="C722" s="338">
        <f t="shared" si="428"/>
        <v>99372276</v>
      </c>
      <c r="D722" s="329">
        <f t="shared" si="426"/>
        <v>0</v>
      </c>
      <c r="E722" s="338">
        <f t="shared" si="429"/>
        <v>8790281.0006717108</v>
      </c>
      <c r="F722" s="329">
        <f t="shared" si="433"/>
        <v>0</v>
      </c>
      <c r="G722" s="338">
        <f t="shared" si="430"/>
        <v>53000000</v>
      </c>
      <c r="H722" s="329">
        <f t="shared" si="411"/>
        <v>0</v>
      </c>
      <c r="I722" s="338">
        <f t="shared" si="431"/>
        <v>25721906</v>
      </c>
      <c r="J722" s="329">
        <f t="shared" si="412"/>
        <v>0</v>
      </c>
      <c r="K722" s="338">
        <f t="shared" si="432"/>
        <v>10200000</v>
      </c>
      <c r="L722" s="329">
        <f t="shared" si="413"/>
        <v>0</v>
      </c>
      <c r="M722" s="338">
        <f t="shared" si="419"/>
        <v>17598534.760000002</v>
      </c>
      <c r="N722" s="329">
        <f t="shared" si="414"/>
        <v>0</v>
      </c>
      <c r="O722" s="338">
        <f t="shared" si="420"/>
        <v>7000000</v>
      </c>
      <c r="P722" s="329">
        <f t="shared" si="415"/>
        <v>0</v>
      </c>
      <c r="Q722" s="338">
        <f t="shared" si="421"/>
        <v>0</v>
      </c>
      <c r="R722" s="329">
        <f t="shared" si="416"/>
        <v>0</v>
      </c>
      <c r="S722" s="338">
        <f t="shared" si="422"/>
        <v>0</v>
      </c>
      <c r="T722" s="329">
        <f t="shared" si="417"/>
        <v>0</v>
      </c>
      <c r="U722" s="338">
        <f t="shared" si="423"/>
        <v>0</v>
      </c>
      <c r="V722" s="329">
        <f t="shared" si="418"/>
        <v>2000000</v>
      </c>
      <c r="W722" s="338">
        <f t="shared" si="424"/>
        <v>2000000</v>
      </c>
      <c r="X722" s="35"/>
    </row>
    <row r="723" spans="1:24" x14ac:dyDescent="0.25">
      <c r="A723" s="335">
        <f t="shared" si="427"/>
        <v>44434</v>
      </c>
      <c r="B723" s="49">
        <f t="shared" si="425"/>
        <v>0</v>
      </c>
      <c r="C723" s="338">
        <f t="shared" si="428"/>
        <v>99372276</v>
      </c>
      <c r="D723" s="329">
        <f t="shared" si="426"/>
        <v>0</v>
      </c>
      <c r="E723" s="338">
        <f t="shared" si="429"/>
        <v>8790281.0006717108</v>
      </c>
      <c r="F723" s="329">
        <f t="shared" si="433"/>
        <v>0</v>
      </c>
      <c r="G723" s="338">
        <f t="shared" si="430"/>
        <v>53000000</v>
      </c>
      <c r="H723" s="329">
        <f t="shared" si="411"/>
        <v>0</v>
      </c>
      <c r="I723" s="338">
        <f t="shared" si="431"/>
        <v>25721906</v>
      </c>
      <c r="J723" s="329">
        <f t="shared" si="412"/>
        <v>0</v>
      </c>
      <c r="K723" s="338">
        <f t="shared" si="432"/>
        <v>10200000</v>
      </c>
      <c r="L723" s="329">
        <f t="shared" si="413"/>
        <v>0</v>
      </c>
      <c r="M723" s="338">
        <f t="shared" si="419"/>
        <v>17598534.760000002</v>
      </c>
      <c r="N723" s="329">
        <f t="shared" si="414"/>
        <v>0</v>
      </c>
      <c r="O723" s="338">
        <f t="shared" si="420"/>
        <v>7000000</v>
      </c>
      <c r="P723" s="329">
        <f t="shared" si="415"/>
        <v>0</v>
      </c>
      <c r="Q723" s="338">
        <f t="shared" si="421"/>
        <v>0</v>
      </c>
      <c r="R723" s="329">
        <f t="shared" si="416"/>
        <v>0</v>
      </c>
      <c r="S723" s="338">
        <f t="shared" si="422"/>
        <v>0</v>
      </c>
      <c r="T723" s="329">
        <f t="shared" si="417"/>
        <v>0</v>
      </c>
      <c r="U723" s="338">
        <f t="shared" si="423"/>
        <v>0</v>
      </c>
      <c r="V723" s="329">
        <f t="shared" si="418"/>
        <v>0</v>
      </c>
      <c r="W723" s="338">
        <f t="shared" si="424"/>
        <v>2000000</v>
      </c>
      <c r="X723" s="35"/>
    </row>
    <row r="724" spans="1:24" x14ac:dyDescent="0.25">
      <c r="A724" s="335">
        <f t="shared" si="427"/>
        <v>44435</v>
      </c>
      <c r="B724" s="49">
        <f t="shared" si="425"/>
        <v>0</v>
      </c>
      <c r="C724" s="338">
        <f t="shared" si="428"/>
        <v>99372276</v>
      </c>
      <c r="D724" s="329">
        <f t="shared" si="426"/>
        <v>0</v>
      </c>
      <c r="E724" s="338">
        <f t="shared" si="429"/>
        <v>8790281.0006717108</v>
      </c>
      <c r="F724" s="329">
        <f t="shared" si="433"/>
        <v>0</v>
      </c>
      <c r="G724" s="338">
        <f t="shared" si="430"/>
        <v>53000000</v>
      </c>
      <c r="H724" s="329">
        <f t="shared" si="411"/>
        <v>0</v>
      </c>
      <c r="I724" s="338">
        <f t="shared" si="431"/>
        <v>25721906</v>
      </c>
      <c r="J724" s="329">
        <f t="shared" si="412"/>
        <v>0</v>
      </c>
      <c r="K724" s="338">
        <f t="shared" si="432"/>
        <v>10200000</v>
      </c>
      <c r="L724" s="329">
        <f t="shared" si="413"/>
        <v>0</v>
      </c>
      <c r="M724" s="338">
        <f t="shared" si="419"/>
        <v>17598534.760000002</v>
      </c>
      <c r="N724" s="329">
        <f t="shared" si="414"/>
        <v>0</v>
      </c>
      <c r="O724" s="338">
        <f t="shared" si="420"/>
        <v>7000000</v>
      </c>
      <c r="P724" s="329">
        <f t="shared" si="415"/>
        <v>0</v>
      </c>
      <c r="Q724" s="338">
        <f t="shared" si="421"/>
        <v>0</v>
      </c>
      <c r="R724" s="329">
        <f t="shared" si="416"/>
        <v>0</v>
      </c>
      <c r="S724" s="338">
        <f t="shared" si="422"/>
        <v>0</v>
      </c>
      <c r="T724" s="329">
        <f t="shared" si="417"/>
        <v>0</v>
      </c>
      <c r="U724" s="338">
        <f t="shared" si="423"/>
        <v>0</v>
      </c>
      <c r="V724" s="329">
        <f t="shared" si="418"/>
        <v>0</v>
      </c>
      <c r="W724" s="338">
        <f t="shared" si="424"/>
        <v>2000000</v>
      </c>
      <c r="X724" s="35"/>
    </row>
    <row r="725" spans="1:24" x14ac:dyDescent="0.25">
      <c r="A725" s="335">
        <f t="shared" si="427"/>
        <v>44436</v>
      </c>
      <c r="B725" s="49">
        <f t="shared" si="425"/>
        <v>0</v>
      </c>
      <c r="C725" s="338">
        <f t="shared" si="428"/>
        <v>99372276</v>
      </c>
      <c r="D725" s="329">
        <f t="shared" si="426"/>
        <v>0</v>
      </c>
      <c r="E725" s="338">
        <f t="shared" si="429"/>
        <v>8790281.0006717108</v>
      </c>
      <c r="F725" s="329">
        <f t="shared" si="433"/>
        <v>0</v>
      </c>
      <c r="G725" s="338">
        <f t="shared" si="430"/>
        <v>53000000</v>
      </c>
      <c r="H725" s="329">
        <f t="shared" si="411"/>
        <v>0</v>
      </c>
      <c r="I725" s="338">
        <f t="shared" si="431"/>
        <v>25721906</v>
      </c>
      <c r="J725" s="329">
        <f t="shared" si="412"/>
        <v>0</v>
      </c>
      <c r="K725" s="338">
        <f t="shared" si="432"/>
        <v>10200000</v>
      </c>
      <c r="L725" s="329">
        <f t="shared" si="413"/>
        <v>0</v>
      </c>
      <c r="M725" s="338">
        <f t="shared" si="419"/>
        <v>17598534.760000002</v>
      </c>
      <c r="N725" s="329">
        <f t="shared" si="414"/>
        <v>0</v>
      </c>
      <c r="O725" s="338">
        <f t="shared" si="420"/>
        <v>7000000</v>
      </c>
      <c r="P725" s="329">
        <f t="shared" si="415"/>
        <v>0</v>
      </c>
      <c r="Q725" s="338">
        <f t="shared" si="421"/>
        <v>0</v>
      </c>
      <c r="R725" s="329">
        <f t="shared" si="416"/>
        <v>0</v>
      </c>
      <c r="S725" s="338">
        <f t="shared" si="422"/>
        <v>0</v>
      </c>
      <c r="T725" s="329">
        <f t="shared" si="417"/>
        <v>0</v>
      </c>
      <c r="U725" s="338">
        <f t="shared" si="423"/>
        <v>0</v>
      </c>
      <c r="V725" s="329">
        <f t="shared" si="418"/>
        <v>0</v>
      </c>
      <c r="W725" s="338">
        <f t="shared" si="424"/>
        <v>2000000</v>
      </c>
      <c r="X725" s="35"/>
    </row>
    <row r="726" spans="1:24" x14ac:dyDescent="0.25">
      <c r="A726" s="335">
        <f t="shared" si="427"/>
        <v>44437</v>
      </c>
      <c r="B726" s="49">
        <f t="shared" si="425"/>
        <v>0</v>
      </c>
      <c r="C726" s="338">
        <f t="shared" si="428"/>
        <v>99372276</v>
      </c>
      <c r="D726" s="329">
        <f t="shared" si="426"/>
        <v>0</v>
      </c>
      <c r="E726" s="338">
        <f t="shared" si="429"/>
        <v>8790281.0006717108</v>
      </c>
      <c r="F726" s="329">
        <f t="shared" si="433"/>
        <v>0</v>
      </c>
      <c r="G726" s="338">
        <f t="shared" si="430"/>
        <v>53000000</v>
      </c>
      <c r="H726" s="329">
        <f t="shared" si="411"/>
        <v>0</v>
      </c>
      <c r="I726" s="338">
        <f t="shared" si="431"/>
        <v>25721906</v>
      </c>
      <c r="J726" s="329">
        <f t="shared" si="412"/>
        <v>0</v>
      </c>
      <c r="K726" s="338">
        <f t="shared" si="432"/>
        <v>10200000</v>
      </c>
      <c r="L726" s="329">
        <f t="shared" si="413"/>
        <v>0</v>
      </c>
      <c r="M726" s="338">
        <f t="shared" si="419"/>
        <v>17598534.760000002</v>
      </c>
      <c r="N726" s="329">
        <f t="shared" si="414"/>
        <v>0</v>
      </c>
      <c r="O726" s="338">
        <f t="shared" si="420"/>
        <v>7000000</v>
      </c>
      <c r="P726" s="329">
        <f t="shared" si="415"/>
        <v>0</v>
      </c>
      <c r="Q726" s="338">
        <f t="shared" si="421"/>
        <v>0</v>
      </c>
      <c r="R726" s="329">
        <f t="shared" si="416"/>
        <v>0</v>
      </c>
      <c r="S726" s="338">
        <f t="shared" si="422"/>
        <v>0</v>
      </c>
      <c r="T726" s="329">
        <f t="shared" si="417"/>
        <v>0</v>
      </c>
      <c r="U726" s="338">
        <f t="shared" si="423"/>
        <v>0</v>
      </c>
      <c r="V726" s="329">
        <f t="shared" si="418"/>
        <v>0</v>
      </c>
      <c r="W726" s="338">
        <f t="shared" si="424"/>
        <v>2000000</v>
      </c>
      <c r="X726" s="35"/>
    </row>
    <row r="727" spans="1:24" x14ac:dyDescent="0.25">
      <c r="A727" s="335">
        <f t="shared" si="427"/>
        <v>44438</v>
      </c>
      <c r="B727" s="49">
        <f t="shared" si="425"/>
        <v>0</v>
      </c>
      <c r="C727" s="338">
        <f t="shared" si="428"/>
        <v>99372276</v>
      </c>
      <c r="D727" s="329">
        <f t="shared" si="426"/>
        <v>0</v>
      </c>
      <c r="E727" s="338">
        <f t="shared" si="429"/>
        <v>8790281.0006717108</v>
      </c>
      <c r="F727" s="329">
        <f t="shared" si="433"/>
        <v>2100000</v>
      </c>
      <c r="G727" s="338">
        <f t="shared" si="430"/>
        <v>55100000</v>
      </c>
      <c r="H727" s="329">
        <f t="shared" si="411"/>
        <v>0</v>
      </c>
      <c r="I727" s="338">
        <f t="shared" si="431"/>
        <v>25721906</v>
      </c>
      <c r="J727" s="329">
        <f t="shared" si="412"/>
        <v>0</v>
      </c>
      <c r="K727" s="338">
        <f t="shared" si="432"/>
        <v>10200000</v>
      </c>
      <c r="L727" s="329">
        <f t="shared" si="413"/>
        <v>0</v>
      </c>
      <c r="M727" s="338">
        <f t="shared" si="419"/>
        <v>17598534.760000002</v>
      </c>
      <c r="N727" s="329">
        <f t="shared" si="414"/>
        <v>0</v>
      </c>
      <c r="O727" s="338">
        <f t="shared" si="420"/>
        <v>7000000</v>
      </c>
      <c r="P727" s="329">
        <f t="shared" si="415"/>
        <v>0</v>
      </c>
      <c r="Q727" s="338">
        <f t="shared" si="421"/>
        <v>0</v>
      </c>
      <c r="R727" s="329">
        <f t="shared" si="416"/>
        <v>0</v>
      </c>
      <c r="S727" s="338">
        <f t="shared" si="422"/>
        <v>0</v>
      </c>
      <c r="T727" s="329">
        <f t="shared" si="417"/>
        <v>0</v>
      </c>
      <c r="U727" s="338">
        <f t="shared" si="423"/>
        <v>0</v>
      </c>
      <c r="V727" s="329">
        <f t="shared" si="418"/>
        <v>0</v>
      </c>
      <c r="W727" s="338">
        <f t="shared" si="424"/>
        <v>2000000</v>
      </c>
      <c r="X727" s="35"/>
    </row>
    <row r="728" spans="1:24" x14ac:dyDescent="0.25">
      <c r="A728" s="335">
        <f t="shared" si="427"/>
        <v>44439</v>
      </c>
      <c r="B728" s="49">
        <f t="shared" si="425"/>
        <v>0</v>
      </c>
      <c r="C728" s="338">
        <f t="shared" si="428"/>
        <v>99372276</v>
      </c>
      <c r="D728" s="329">
        <f t="shared" si="426"/>
        <v>0</v>
      </c>
      <c r="E728" s="338">
        <f t="shared" si="429"/>
        <v>8790281.0006717108</v>
      </c>
      <c r="F728" s="329">
        <f t="shared" si="433"/>
        <v>0</v>
      </c>
      <c r="G728" s="338">
        <f t="shared" si="430"/>
        <v>55100000</v>
      </c>
      <c r="H728" s="329">
        <f t="shared" si="411"/>
        <v>0</v>
      </c>
      <c r="I728" s="338">
        <f t="shared" si="431"/>
        <v>25721906</v>
      </c>
      <c r="J728" s="329">
        <f t="shared" si="412"/>
        <v>0</v>
      </c>
      <c r="K728" s="338">
        <f t="shared" si="432"/>
        <v>10200000</v>
      </c>
      <c r="L728" s="329">
        <f t="shared" si="413"/>
        <v>0</v>
      </c>
      <c r="M728" s="338">
        <f t="shared" si="419"/>
        <v>17598534.760000002</v>
      </c>
      <c r="N728" s="329">
        <f t="shared" si="414"/>
        <v>0</v>
      </c>
      <c r="O728" s="338">
        <f t="shared" si="420"/>
        <v>7000000</v>
      </c>
      <c r="P728" s="329">
        <f t="shared" si="415"/>
        <v>0</v>
      </c>
      <c r="Q728" s="338">
        <f t="shared" si="421"/>
        <v>0</v>
      </c>
      <c r="R728" s="329">
        <f t="shared" si="416"/>
        <v>0</v>
      </c>
      <c r="S728" s="338">
        <f t="shared" si="422"/>
        <v>0</v>
      </c>
      <c r="T728" s="329">
        <f t="shared" si="417"/>
        <v>0</v>
      </c>
      <c r="U728" s="338">
        <f t="shared" si="423"/>
        <v>0</v>
      </c>
      <c r="V728" s="329">
        <f t="shared" si="418"/>
        <v>0</v>
      </c>
      <c r="W728" s="338">
        <f t="shared" si="424"/>
        <v>2000000</v>
      </c>
      <c r="X728" s="35"/>
    </row>
    <row r="729" spans="1:24" x14ac:dyDescent="0.25">
      <c r="A729" s="335">
        <f t="shared" si="427"/>
        <v>44440</v>
      </c>
      <c r="B729" s="49">
        <f t="shared" si="425"/>
        <v>0</v>
      </c>
      <c r="C729" s="338">
        <f t="shared" si="428"/>
        <v>99372276</v>
      </c>
      <c r="D729" s="329">
        <f t="shared" si="426"/>
        <v>0</v>
      </c>
      <c r="E729" s="338">
        <f t="shared" si="429"/>
        <v>8790281.0006717108</v>
      </c>
      <c r="F729" s="329">
        <f t="shared" si="433"/>
        <v>0</v>
      </c>
      <c r="G729" s="338">
        <f t="shared" si="430"/>
        <v>55100000</v>
      </c>
      <c r="H729" s="329">
        <f t="shared" si="411"/>
        <v>0</v>
      </c>
      <c r="I729" s="338">
        <f t="shared" si="431"/>
        <v>25721906</v>
      </c>
      <c r="J729" s="329">
        <f t="shared" si="412"/>
        <v>0</v>
      </c>
      <c r="K729" s="338">
        <f t="shared" si="432"/>
        <v>10200000</v>
      </c>
      <c r="L729" s="329">
        <f t="shared" si="413"/>
        <v>0</v>
      </c>
      <c r="M729" s="338">
        <f t="shared" si="419"/>
        <v>17598534.760000002</v>
      </c>
      <c r="N729" s="329">
        <f t="shared" si="414"/>
        <v>0</v>
      </c>
      <c r="O729" s="338">
        <f t="shared" si="420"/>
        <v>7000000</v>
      </c>
      <c r="P729" s="329">
        <f t="shared" si="415"/>
        <v>0</v>
      </c>
      <c r="Q729" s="338">
        <f t="shared" si="421"/>
        <v>0</v>
      </c>
      <c r="R729" s="329">
        <f t="shared" si="416"/>
        <v>0</v>
      </c>
      <c r="S729" s="338">
        <f t="shared" si="422"/>
        <v>0</v>
      </c>
      <c r="T729" s="329">
        <f t="shared" si="417"/>
        <v>0</v>
      </c>
      <c r="U729" s="338">
        <f t="shared" si="423"/>
        <v>0</v>
      </c>
      <c r="V729" s="329">
        <f t="shared" si="418"/>
        <v>0</v>
      </c>
      <c r="W729" s="338">
        <f t="shared" si="424"/>
        <v>2000000</v>
      </c>
      <c r="X729" s="35"/>
    </row>
    <row r="730" spans="1:24" x14ac:dyDescent="0.25">
      <c r="A730" s="335">
        <f t="shared" si="427"/>
        <v>44441</v>
      </c>
      <c r="B730" s="49">
        <f t="shared" si="425"/>
        <v>0</v>
      </c>
      <c r="C730" s="338">
        <f t="shared" si="428"/>
        <v>99372276</v>
      </c>
      <c r="D730" s="329">
        <f t="shared" si="426"/>
        <v>0</v>
      </c>
      <c r="E730" s="338">
        <f t="shared" si="429"/>
        <v>8790281.0006717108</v>
      </c>
      <c r="F730" s="329">
        <f t="shared" si="433"/>
        <v>0</v>
      </c>
      <c r="G730" s="338">
        <f t="shared" si="430"/>
        <v>55100000</v>
      </c>
      <c r="H730" s="329">
        <f t="shared" si="411"/>
        <v>0</v>
      </c>
      <c r="I730" s="338">
        <f t="shared" si="431"/>
        <v>25721906</v>
      </c>
      <c r="J730" s="329">
        <f t="shared" si="412"/>
        <v>0</v>
      </c>
      <c r="K730" s="338">
        <f t="shared" si="432"/>
        <v>10200000</v>
      </c>
      <c r="L730" s="329">
        <f t="shared" si="413"/>
        <v>0</v>
      </c>
      <c r="M730" s="338">
        <f t="shared" si="419"/>
        <v>17598534.760000002</v>
      </c>
      <c r="N730" s="329">
        <f t="shared" si="414"/>
        <v>0</v>
      </c>
      <c r="O730" s="338">
        <f t="shared" si="420"/>
        <v>7000000</v>
      </c>
      <c r="P730" s="329">
        <f t="shared" si="415"/>
        <v>0</v>
      </c>
      <c r="Q730" s="338">
        <f t="shared" si="421"/>
        <v>0</v>
      </c>
      <c r="R730" s="329">
        <f t="shared" si="416"/>
        <v>0</v>
      </c>
      <c r="S730" s="338">
        <f t="shared" si="422"/>
        <v>0</v>
      </c>
      <c r="T730" s="329">
        <f t="shared" si="417"/>
        <v>0</v>
      </c>
      <c r="U730" s="338">
        <f t="shared" si="423"/>
        <v>0</v>
      </c>
      <c r="V730" s="329">
        <f t="shared" si="418"/>
        <v>0</v>
      </c>
      <c r="W730" s="338">
        <f t="shared" si="424"/>
        <v>2000000</v>
      </c>
      <c r="X730" s="35"/>
    </row>
    <row r="731" spans="1:24" x14ac:dyDescent="0.25">
      <c r="A731" s="335">
        <f t="shared" si="427"/>
        <v>44442</v>
      </c>
      <c r="B731" s="49">
        <f t="shared" si="425"/>
        <v>0</v>
      </c>
      <c r="C731" s="338">
        <f t="shared" si="428"/>
        <v>99372276</v>
      </c>
      <c r="D731" s="329">
        <f t="shared" si="426"/>
        <v>0</v>
      </c>
      <c r="E731" s="338">
        <f t="shared" si="429"/>
        <v>8790281.0006717108</v>
      </c>
      <c r="F731" s="329">
        <f t="shared" si="433"/>
        <v>0</v>
      </c>
      <c r="G731" s="338">
        <f t="shared" si="430"/>
        <v>55100000</v>
      </c>
      <c r="H731" s="329">
        <f t="shared" si="411"/>
        <v>0</v>
      </c>
      <c r="I731" s="338">
        <f t="shared" si="431"/>
        <v>25721906</v>
      </c>
      <c r="J731" s="329">
        <f t="shared" si="412"/>
        <v>0</v>
      </c>
      <c r="K731" s="338">
        <f t="shared" si="432"/>
        <v>10200000</v>
      </c>
      <c r="L731" s="329">
        <f t="shared" si="413"/>
        <v>0</v>
      </c>
      <c r="M731" s="338">
        <f t="shared" si="419"/>
        <v>17598534.760000002</v>
      </c>
      <c r="N731" s="329">
        <f t="shared" si="414"/>
        <v>0</v>
      </c>
      <c r="O731" s="338">
        <f t="shared" si="420"/>
        <v>7000000</v>
      </c>
      <c r="P731" s="329">
        <f t="shared" si="415"/>
        <v>0</v>
      </c>
      <c r="Q731" s="338">
        <f t="shared" si="421"/>
        <v>0</v>
      </c>
      <c r="R731" s="329">
        <f t="shared" si="416"/>
        <v>0</v>
      </c>
      <c r="S731" s="338">
        <f t="shared" si="422"/>
        <v>0</v>
      </c>
      <c r="T731" s="329">
        <f t="shared" si="417"/>
        <v>0</v>
      </c>
      <c r="U731" s="338">
        <f t="shared" si="423"/>
        <v>0</v>
      </c>
      <c r="V731" s="329">
        <f t="shared" si="418"/>
        <v>0</v>
      </c>
      <c r="W731" s="338">
        <f t="shared" si="424"/>
        <v>2000000</v>
      </c>
      <c r="X731" s="35"/>
    </row>
    <row r="732" spans="1:24" x14ac:dyDescent="0.25">
      <c r="A732" s="335">
        <f t="shared" si="427"/>
        <v>44443</v>
      </c>
      <c r="B732" s="49">
        <f t="shared" si="425"/>
        <v>0</v>
      </c>
      <c r="C732" s="338">
        <f t="shared" si="428"/>
        <v>99372276</v>
      </c>
      <c r="D732" s="329">
        <f t="shared" si="426"/>
        <v>0</v>
      </c>
      <c r="E732" s="338">
        <f t="shared" si="429"/>
        <v>8790281.0006717108</v>
      </c>
      <c r="F732" s="329">
        <f t="shared" si="433"/>
        <v>0</v>
      </c>
      <c r="G732" s="338">
        <f t="shared" si="430"/>
        <v>55100000</v>
      </c>
      <c r="H732" s="329">
        <f t="shared" si="411"/>
        <v>0</v>
      </c>
      <c r="I732" s="338">
        <f t="shared" si="431"/>
        <v>25721906</v>
      </c>
      <c r="J732" s="329">
        <f t="shared" si="412"/>
        <v>0</v>
      </c>
      <c r="K732" s="338">
        <f t="shared" si="432"/>
        <v>10200000</v>
      </c>
      <c r="L732" s="329">
        <f t="shared" si="413"/>
        <v>0</v>
      </c>
      <c r="M732" s="338">
        <f t="shared" si="419"/>
        <v>17598534.760000002</v>
      </c>
      <c r="N732" s="329">
        <f t="shared" si="414"/>
        <v>0</v>
      </c>
      <c r="O732" s="338">
        <f t="shared" si="420"/>
        <v>7000000</v>
      </c>
      <c r="P732" s="329">
        <f t="shared" si="415"/>
        <v>0</v>
      </c>
      <c r="Q732" s="338">
        <f t="shared" si="421"/>
        <v>0</v>
      </c>
      <c r="R732" s="329">
        <f t="shared" si="416"/>
        <v>0</v>
      </c>
      <c r="S732" s="338">
        <f t="shared" si="422"/>
        <v>0</v>
      </c>
      <c r="T732" s="329">
        <f t="shared" si="417"/>
        <v>0</v>
      </c>
      <c r="U732" s="338">
        <f t="shared" si="423"/>
        <v>0</v>
      </c>
      <c r="V732" s="329">
        <f t="shared" si="418"/>
        <v>0</v>
      </c>
      <c r="W732" s="338">
        <f t="shared" si="424"/>
        <v>2000000</v>
      </c>
      <c r="X732" s="35"/>
    </row>
    <row r="733" spans="1:24" x14ac:dyDescent="0.25">
      <c r="A733" s="335">
        <f t="shared" si="427"/>
        <v>44444</v>
      </c>
      <c r="B733" s="49">
        <f t="shared" si="425"/>
        <v>0</v>
      </c>
      <c r="C733" s="338">
        <f t="shared" si="428"/>
        <v>99372276</v>
      </c>
      <c r="D733" s="329">
        <f t="shared" si="426"/>
        <v>0</v>
      </c>
      <c r="E733" s="338">
        <f t="shared" si="429"/>
        <v>8790281.0006717108</v>
      </c>
      <c r="F733" s="329">
        <f t="shared" si="433"/>
        <v>0</v>
      </c>
      <c r="G733" s="338">
        <f t="shared" si="430"/>
        <v>55100000</v>
      </c>
      <c r="H733" s="329">
        <f t="shared" si="411"/>
        <v>0</v>
      </c>
      <c r="I733" s="338">
        <f t="shared" si="431"/>
        <v>25721906</v>
      </c>
      <c r="J733" s="329">
        <f t="shared" si="412"/>
        <v>0</v>
      </c>
      <c r="K733" s="338">
        <f t="shared" si="432"/>
        <v>10200000</v>
      </c>
      <c r="L733" s="329">
        <f t="shared" si="413"/>
        <v>0</v>
      </c>
      <c r="M733" s="338">
        <f t="shared" si="419"/>
        <v>17598534.760000002</v>
      </c>
      <c r="N733" s="329">
        <f t="shared" si="414"/>
        <v>0</v>
      </c>
      <c r="O733" s="338">
        <f t="shared" si="420"/>
        <v>7000000</v>
      </c>
      <c r="P733" s="329">
        <f t="shared" si="415"/>
        <v>0</v>
      </c>
      <c r="Q733" s="338">
        <f t="shared" si="421"/>
        <v>0</v>
      </c>
      <c r="R733" s="329">
        <f t="shared" si="416"/>
        <v>0</v>
      </c>
      <c r="S733" s="338">
        <f t="shared" si="422"/>
        <v>0</v>
      </c>
      <c r="T733" s="329">
        <f t="shared" si="417"/>
        <v>0</v>
      </c>
      <c r="U733" s="338">
        <f t="shared" si="423"/>
        <v>0</v>
      </c>
      <c r="V733" s="329">
        <f t="shared" si="418"/>
        <v>0</v>
      </c>
      <c r="W733" s="338">
        <f t="shared" si="424"/>
        <v>2000000</v>
      </c>
      <c r="X733" s="35"/>
    </row>
    <row r="734" spans="1:24" x14ac:dyDescent="0.25">
      <c r="A734" s="335">
        <f t="shared" si="427"/>
        <v>44445</v>
      </c>
      <c r="B734" s="49">
        <f t="shared" si="425"/>
        <v>0</v>
      </c>
      <c r="C734" s="338">
        <f t="shared" si="428"/>
        <v>99372276</v>
      </c>
      <c r="D734" s="329">
        <f t="shared" si="426"/>
        <v>0</v>
      </c>
      <c r="E734" s="338">
        <f t="shared" si="429"/>
        <v>8790281.0006717108</v>
      </c>
      <c r="F734" s="329">
        <f t="shared" si="433"/>
        <v>0</v>
      </c>
      <c r="G734" s="338">
        <f t="shared" si="430"/>
        <v>55100000</v>
      </c>
      <c r="H734" s="329">
        <f t="shared" si="411"/>
        <v>0</v>
      </c>
      <c r="I734" s="338">
        <f t="shared" si="431"/>
        <v>25721906</v>
      </c>
      <c r="J734" s="329">
        <f t="shared" si="412"/>
        <v>0</v>
      </c>
      <c r="K734" s="338">
        <f t="shared" si="432"/>
        <v>10200000</v>
      </c>
      <c r="L734" s="329">
        <f t="shared" si="413"/>
        <v>0</v>
      </c>
      <c r="M734" s="338">
        <f t="shared" si="419"/>
        <v>17598534.760000002</v>
      </c>
      <c r="N734" s="329">
        <f t="shared" si="414"/>
        <v>0</v>
      </c>
      <c r="O734" s="338">
        <f t="shared" si="420"/>
        <v>7000000</v>
      </c>
      <c r="P734" s="329">
        <f t="shared" si="415"/>
        <v>0</v>
      </c>
      <c r="Q734" s="338">
        <f t="shared" si="421"/>
        <v>0</v>
      </c>
      <c r="R734" s="329">
        <f t="shared" si="416"/>
        <v>0</v>
      </c>
      <c r="S734" s="338">
        <f t="shared" si="422"/>
        <v>0</v>
      </c>
      <c r="T734" s="329">
        <f t="shared" si="417"/>
        <v>0</v>
      </c>
      <c r="U734" s="338">
        <f t="shared" si="423"/>
        <v>0</v>
      </c>
      <c r="V734" s="329">
        <f t="shared" si="418"/>
        <v>0</v>
      </c>
      <c r="W734" s="338">
        <f t="shared" si="424"/>
        <v>2000000</v>
      </c>
      <c r="X734" s="35"/>
    </row>
    <row r="735" spans="1:24" x14ac:dyDescent="0.25">
      <c r="A735" s="335">
        <f t="shared" si="427"/>
        <v>44446</v>
      </c>
      <c r="B735" s="49">
        <f t="shared" si="425"/>
        <v>0</v>
      </c>
      <c r="C735" s="338">
        <f t="shared" si="428"/>
        <v>99372276</v>
      </c>
      <c r="D735" s="329">
        <f t="shared" si="426"/>
        <v>0</v>
      </c>
      <c r="E735" s="338">
        <f t="shared" si="429"/>
        <v>8790281.0006717108</v>
      </c>
      <c r="F735" s="329">
        <f t="shared" si="433"/>
        <v>0</v>
      </c>
      <c r="G735" s="338">
        <f t="shared" si="430"/>
        <v>55100000</v>
      </c>
      <c r="H735" s="329">
        <f t="shared" si="411"/>
        <v>0</v>
      </c>
      <c r="I735" s="338">
        <f t="shared" si="431"/>
        <v>25721906</v>
      </c>
      <c r="J735" s="329">
        <f t="shared" si="412"/>
        <v>0</v>
      </c>
      <c r="K735" s="338">
        <f t="shared" si="432"/>
        <v>10200000</v>
      </c>
      <c r="L735" s="329">
        <f t="shared" si="413"/>
        <v>0</v>
      </c>
      <c r="M735" s="338">
        <f t="shared" si="419"/>
        <v>17598534.760000002</v>
      </c>
      <c r="N735" s="329">
        <f t="shared" si="414"/>
        <v>0</v>
      </c>
      <c r="O735" s="338">
        <f t="shared" si="420"/>
        <v>7000000</v>
      </c>
      <c r="P735" s="329">
        <f t="shared" si="415"/>
        <v>0</v>
      </c>
      <c r="Q735" s="338">
        <f t="shared" si="421"/>
        <v>0</v>
      </c>
      <c r="R735" s="329">
        <f t="shared" si="416"/>
        <v>0</v>
      </c>
      <c r="S735" s="338">
        <f t="shared" si="422"/>
        <v>0</v>
      </c>
      <c r="T735" s="329">
        <f t="shared" si="417"/>
        <v>0</v>
      </c>
      <c r="U735" s="338">
        <f t="shared" si="423"/>
        <v>0</v>
      </c>
      <c r="V735" s="329">
        <f t="shared" si="418"/>
        <v>0</v>
      </c>
      <c r="W735" s="338">
        <f t="shared" si="424"/>
        <v>2000000</v>
      </c>
      <c r="X735" s="35"/>
    </row>
    <row r="736" spans="1:24" x14ac:dyDescent="0.25">
      <c r="A736" s="335">
        <f t="shared" si="427"/>
        <v>44447</v>
      </c>
      <c r="B736" s="49">
        <f t="shared" si="425"/>
        <v>0</v>
      </c>
      <c r="C736" s="338">
        <f t="shared" si="428"/>
        <v>99372276</v>
      </c>
      <c r="D736" s="329">
        <f t="shared" si="426"/>
        <v>0</v>
      </c>
      <c r="E736" s="338">
        <f t="shared" si="429"/>
        <v>8790281.0006717108</v>
      </c>
      <c r="F736" s="329">
        <f t="shared" si="433"/>
        <v>0</v>
      </c>
      <c r="G736" s="338">
        <f t="shared" si="430"/>
        <v>55100000</v>
      </c>
      <c r="H736" s="329">
        <f t="shared" si="411"/>
        <v>0</v>
      </c>
      <c r="I736" s="338">
        <f t="shared" si="431"/>
        <v>25721906</v>
      </c>
      <c r="J736" s="329">
        <f t="shared" si="412"/>
        <v>0</v>
      </c>
      <c r="K736" s="338">
        <f t="shared" si="432"/>
        <v>10200000</v>
      </c>
      <c r="L736" s="329">
        <f t="shared" si="413"/>
        <v>0</v>
      </c>
      <c r="M736" s="338">
        <f t="shared" si="419"/>
        <v>17598534.760000002</v>
      </c>
      <c r="N736" s="329">
        <f t="shared" si="414"/>
        <v>0</v>
      </c>
      <c r="O736" s="338">
        <f t="shared" si="420"/>
        <v>7000000</v>
      </c>
      <c r="P736" s="329">
        <f t="shared" si="415"/>
        <v>0</v>
      </c>
      <c r="Q736" s="338">
        <f t="shared" si="421"/>
        <v>0</v>
      </c>
      <c r="R736" s="329">
        <f t="shared" si="416"/>
        <v>0</v>
      </c>
      <c r="S736" s="338">
        <f t="shared" si="422"/>
        <v>0</v>
      </c>
      <c r="T736" s="329">
        <f t="shared" si="417"/>
        <v>0</v>
      </c>
      <c r="U736" s="338">
        <f t="shared" si="423"/>
        <v>0</v>
      </c>
      <c r="V736" s="329">
        <f t="shared" si="418"/>
        <v>0</v>
      </c>
      <c r="W736" s="338">
        <f t="shared" si="424"/>
        <v>2000000</v>
      </c>
      <c r="X736" s="35"/>
    </row>
    <row r="737" spans="1:24" x14ac:dyDescent="0.25">
      <c r="A737" s="335">
        <f t="shared" si="427"/>
        <v>44448</v>
      </c>
      <c r="B737" s="49">
        <f t="shared" si="425"/>
        <v>0</v>
      </c>
      <c r="C737" s="338">
        <f t="shared" si="428"/>
        <v>99372276</v>
      </c>
      <c r="D737" s="329">
        <f t="shared" si="426"/>
        <v>0</v>
      </c>
      <c r="E737" s="338">
        <f t="shared" si="429"/>
        <v>8790281.0006717108</v>
      </c>
      <c r="F737" s="329">
        <f t="shared" si="433"/>
        <v>0</v>
      </c>
      <c r="G737" s="338">
        <f t="shared" si="430"/>
        <v>55100000</v>
      </c>
      <c r="H737" s="329">
        <f t="shared" si="411"/>
        <v>0</v>
      </c>
      <c r="I737" s="338">
        <f t="shared" si="431"/>
        <v>25721906</v>
      </c>
      <c r="J737" s="329">
        <f t="shared" si="412"/>
        <v>0</v>
      </c>
      <c r="K737" s="338">
        <f t="shared" si="432"/>
        <v>10200000</v>
      </c>
      <c r="L737" s="329">
        <f t="shared" si="413"/>
        <v>0</v>
      </c>
      <c r="M737" s="338">
        <f t="shared" si="419"/>
        <v>17598534.760000002</v>
      </c>
      <c r="N737" s="329">
        <f t="shared" si="414"/>
        <v>0</v>
      </c>
      <c r="O737" s="338">
        <f t="shared" si="420"/>
        <v>7000000</v>
      </c>
      <c r="P737" s="329">
        <f t="shared" si="415"/>
        <v>0</v>
      </c>
      <c r="Q737" s="338">
        <f t="shared" si="421"/>
        <v>0</v>
      </c>
      <c r="R737" s="329">
        <f t="shared" si="416"/>
        <v>0</v>
      </c>
      <c r="S737" s="338">
        <f t="shared" si="422"/>
        <v>0</v>
      </c>
      <c r="T737" s="329">
        <f t="shared" si="417"/>
        <v>0</v>
      </c>
      <c r="U737" s="338">
        <f t="shared" si="423"/>
        <v>0</v>
      </c>
      <c r="V737" s="329">
        <f t="shared" si="418"/>
        <v>0</v>
      </c>
      <c r="W737" s="338">
        <f t="shared" si="424"/>
        <v>2000000</v>
      </c>
      <c r="X737" s="35"/>
    </row>
    <row r="738" spans="1:24" x14ac:dyDescent="0.25">
      <c r="A738" s="335">
        <f t="shared" si="427"/>
        <v>44449</v>
      </c>
      <c r="B738" s="49">
        <f t="shared" si="425"/>
        <v>0</v>
      </c>
      <c r="C738" s="338">
        <f t="shared" si="428"/>
        <v>99372276</v>
      </c>
      <c r="D738" s="329">
        <f t="shared" si="426"/>
        <v>0</v>
      </c>
      <c r="E738" s="338">
        <f t="shared" si="429"/>
        <v>8790281.0006717108</v>
      </c>
      <c r="F738" s="329">
        <f t="shared" si="433"/>
        <v>0</v>
      </c>
      <c r="G738" s="338">
        <f t="shared" si="430"/>
        <v>55100000</v>
      </c>
      <c r="H738" s="329">
        <f t="shared" si="411"/>
        <v>0</v>
      </c>
      <c r="I738" s="338">
        <f t="shared" si="431"/>
        <v>25721906</v>
      </c>
      <c r="J738" s="329">
        <f t="shared" si="412"/>
        <v>0</v>
      </c>
      <c r="K738" s="338">
        <f t="shared" si="432"/>
        <v>10200000</v>
      </c>
      <c r="L738" s="329">
        <f t="shared" si="413"/>
        <v>0</v>
      </c>
      <c r="M738" s="338">
        <f t="shared" si="419"/>
        <v>17598534.760000002</v>
      </c>
      <c r="N738" s="329">
        <f t="shared" si="414"/>
        <v>0</v>
      </c>
      <c r="O738" s="338">
        <f t="shared" si="420"/>
        <v>7000000</v>
      </c>
      <c r="P738" s="329">
        <f t="shared" si="415"/>
        <v>0</v>
      </c>
      <c r="Q738" s="338">
        <f t="shared" si="421"/>
        <v>0</v>
      </c>
      <c r="R738" s="329">
        <f t="shared" si="416"/>
        <v>0</v>
      </c>
      <c r="S738" s="338">
        <f t="shared" si="422"/>
        <v>0</v>
      </c>
      <c r="T738" s="329">
        <f t="shared" si="417"/>
        <v>0</v>
      </c>
      <c r="U738" s="338">
        <f t="shared" si="423"/>
        <v>0</v>
      </c>
      <c r="V738" s="329">
        <f t="shared" si="418"/>
        <v>0</v>
      </c>
      <c r="W738" s="338">
        <f t="shared" si="424"/>
        <v>2000000</v>
      </c>
      <c r="X738" s="35"/>
    </row>
    <row r="739" spans="1:24" x14ac:dyDescent="0.25">
      <c r="A739" s="335">
        <f t="shared" si="427"/>
        <v>44450</v>
      </c>
      <c r="B739" s="49">
        <f t="shared" si="425"/>
        <v>0</v>
      </c>
      <c r="C739" s="338">
        <f t="shared" si="428"/>
        <v>99372276</v>
      </c>
      <c r="D739" s="329">
        <f t="shared" si="426"/>
        <v>0</v>
      </c>
      <c r="E739" s="338">
        <f t="shared" si="429"/>
        <v>8790281.0006717108</v>
      </c>
      <c r="F739" s="329">
        <f t="shared" si="433"/>
        <v>0</v>
      </c>
      <c r="G739" s="338">
        <f t="shared" si="430"/>
        <v>55100000</v>
      </c>
      <c r="H739" s="329">
        <f t="shared" si="411"/>
        <v>0</v>
      </c>
      <c r="I739" s="338">
        <f t="shared" si="431"/>
        <v>25721906</v>
      </c>
      <c r="J739" s="329">
        <f t="shared" si="412"/>
        <v>0</v>
      </c>
      <c r="K739" s="338">
        <f t="shared" si="432"/>
        <v>10200000</v>
      </c>
      <c r="L739" s="329">
        <f t="shared" si="413"/>
        <v>0</v>
      </c>
      <c r="M739" s="338">
        <f t="shared" si="419"/>
        <v>17598534.760000002</v>
      </c>
      <c r="N739" s="329">
        <f t="shared" si="414"/>
        <v>0</v>
      </c>
      <c r="O739" s="338">
        <f t="shared" si="420"/>
        <v>7000000</v>
      </c>
      <c r="P739" s="329">
        <f t="shared" si="415"/>
        <v>0</v>
      </c>
      <c r="Q739" s="338">
        <f t="shared" si="421"/>
        <v>0</v>
      </c>
      <c r="R739" s="329">
        <f t="shared" si="416"/>
        <v>0</v>
      </c>
      <c r="S739" s="338">
        <f t="shared" si="422"/>
        <v>0</v>
      </c>
      <c r="T739" s="329">
        <f t="shared" si="417"/>
        <v>0</v>
      </c>
      <c r="U739" s="338">
        <f t="shared" si="423"/>
        <v>0</v>
      </c>
      <c r="V739" s="329">
        <f t="shared" si="418"/>
        <v>0</v>
      </c>
      <c r="W739" s="338">
        <f t="shared" si="424"/>
        <v>2000000</v>
      </c>
      <c r="X739" s="35"/>
    </row>
    <row r="740" spans="1:24" x14ac:dyDescent="0.25">
      <c r="A740" s="335">
        <f t="shared" si="427"/>
        <v>44451</v>
      </c>
      <c r="B740" s="49">
        <f t="shared" si="425"/>
        <v>0</v>
      </c>
      <c r="C740" s="338">
        <f t="shared" si="428"/>
        <v>99372276</v>
      </c>
      <c r="D740" s="329">
        <f t="shared" si="426"/>
        <v>0</v>
      </c>
      <c r="E740" s="338">
        <f t="shared" si="429"/>
        <v>8790281.0006717108</v>
      </c>
      <c r="F740" s="329">
        <f t="shared" si="433"/>
        <v>0</v>
      </c>
      <c r="G740" s="338">
        <f t="shared" si="430"/>
        <v>55100000</v>
      </c>
      <c r="H740" s="329">
        <f t="shared" si="411"/>
        <v>0</v>
      </c>
      <c r="I740" s="338">
        <f t="shared" si="431"/>
        <v>25721906</v>
      </c>
      <c r="J740" s="329">
        <f t="shared" si="412"/>
        <v>0</v>
      </c>
      <c r="K740" s="338">
        <f t="shared" si="432"/>
        <v>10200000</v>
      </c>
      <c r="L740" s="329">
        <f t="shared" si="413"/>
        <v>0</v>
      </c>
      <c r="M740" s="338">
        <f t="shared" si="419"/>
        <v>17598534.760000002</v>
      </c>
      <c r="N740" s="329">
        <f t="shared" si="414"/>
        <v>0</v>
      </c>
      <c r="O740" s="338">
        <f t="shared" si="420"/>
        <v>7000000</v>
      </c>
      <c r="P740" s="329">
        <f t="shared" si="415"/>
        <v>0</v>
      </c>
      <c r="Q740" s="338">
        <f t="shared" si="421"/>
        <v>0</v>
      </c>
      <c r="R740" s="329">
        <f t="shared" si="416"/>
        <v>0</v>
      </c>
      <c r="S740" s="338">
        <f t="shared" si="422"/>
        <v>0</v>
      </c>
      <c r="T740" s="329">
        <f t="shared" si="417"/>
        <v>0</v>
      </c>
      <c r="U740" s="338">
        <f t="shared" si="423"/>
        <v>0</v>
      </c>
      <c r="V740" s="329">
        <f t="shared" si="418"/>
        <v>0</v>
      </c>
      <c r="W740" s="338">
        <f t="shared" si="424"/>
        <v>2000000</v>
      </c>
      <c r="X740" s="35"/>
    </row>
    <row r="741" spans="1:24" x14ac:dyDescent="0.25">
      <c r="A741" s="335">
        <f t="shared" si="427"/>
        <v>44452</v>
      </c>
      <c r="B741" s="49">
        <f t="shared" si="425"/>
        <v>0</v>
      </c>
      <c r="C741" s="338">
        <f t="shared" si="428"/>
        <v>99372276</v>
      </c>
      <c r="D741" s="329">
        <f t="shared" si="426"/>
        <v>0</v>
      </c>
      <c r="E741" s="338">
        <f t="shared" si="429"/>
        <v>8790281.0006717108</v>
      </c>
      <c r="F741" s="329">
        <f t="shared" si="433"/>
        <v>0</v>
      </c>
      <c r="G741" s="338">
        <f t="shared" si="430"/>
        <v>55100000</v>
      </c>
      <c r="H741" s="329">
        <f t="shared" si="411"/>
        <v>0</v>
      </c>
      <c r="I741" s="338">
        <f t="shared" si="431"/>
        <v>25721906</v>
      </c>
      <c r="J741" s="329">
        <f t="shared" si="412"/>
        <v>0</v>
      </c>
      <c r="K741" s="338">
        <f t="shared" si="432"/>
        <v>10200000</v>
      </c>
      <c r="L741" s="329">
        <f t="shared" si="413"/>
        <v>0</v>
      </c>
      <c r="M741" s="338">
        <f t="shared" si="419"/>
        <v>17598534.760000002</v>
      </c>
      <c r="N741" s="329">
        <f t="shared" si="414"/>
        <v>0</v>
      </c>
      <c r="O741" s="338">
        <f t="shared" si="420"/>
        <v>7000000</v>
      </c>
      <c r="P741" s="329">
        <f t="shared" si="415"/>
        <v>0</v>
      </c>
      <c r="Q741" s="338">
        <f t="shared" si="421"/>
        <v>0</v>
      </c>
      <c r="R741" s="329">
        <f t="shared" si="416"/>
        <v>0</v>
      </c>
      <c r="S741" s="338">
        <f t="shared" si="422"/>
        <v>0</v>
      </c>
      <c r="T741" s="329">
        <f t="shared" si="417"/>
        <v>0</v>
      </c>
      <c r="U741" s="338">
        <f t="shared" si="423"/>
        <v>0</v>
      </c>
      <c r="V741" s="329">
        <f t="shared" si="418"/>
        <v>0</v>
      </c>
      <c r="W741" s="338">
        <f t="shared" si="424"/>
        <v>2000000</v>
      </c>
      <c r="X741" s="35"/>
    </row>
    <row r="742" spans="1:24" x14ac:dyDescent="0.25">
      <c r="A742" s="335">
        <f t="shared" si="427"/>
        <v>44453</v>
      </c>
      <c r="B742" s="49">
        <f t="shared" si="425"/>
        <v>0</v>
      </c>
      <c r="C742" s="338">
        <f t="shared" si="428"/>
        <v>99372276</v>
      </c>
      <c r="D742" s="329">
        <f t="shared" si="426"/>
        <v>0</v>
      </c>
      <c r="E742" s="338">
        <f t="shared" si="429"/>
        <v>8790281.0006717108</v>
      </c>
      <c r="F742" s="329">
        <f t="shared" si="433"/>
        <v>0</v>
      </c>
      <c r="G742" s="338">
        <f t="shared" si="430"/>
        <v>55100000</v>
      </c>
      <c r="H742" s="329">
        <f t="shared" si="411"/>
        <v>0</v>
      </c>
      <c r="I742" s="338">
        <f t="shared" si="431"/>
        <v>25721906</v>
      </c>
      <c r="J742" s="329">
        <f t="shared" si="412"/>
        <v>0</v>
      </c>
      <c r="K742" s="338">
        <f t="shared" si="432"/>
        <v>10200000</v>
      </c>
      <c r="L742" s="329">
        <f t="shared" si="413"/>
        <v>0</v>
      </c>
      <c r="M742" s="338">
        <f t="shared" si="419"/>
        <v>17598534.760000002</v>
      </c>
      <c r="N742" s="329">
        <f t="shared" si="414"/>
        <v>0</v>
      </c>
      <c r="O742" s="338">
        <f t="shared" si="420"/>
        <v>7000000</v>
      </c>
      <c r="P742" s="329">
        <f t="shared" si="415"/>
        <v>0</v>
      </c>
      <c r="Q742" s="338">
        <f t="shared" si="421"/>
        <v>0</v>
      </c>
      <c r="R742" s="329">
        <f t="shared" si="416"/>
        <v>0</v>
      </c>
      <c r="S742" s="338">
        <f t="shared" si="422"/>
        <v>0</v>
      </c>
      <c r="T742" s="329">
        <f t="shared" si="417"/>
        <v>0</v>
      </c>
      <c r="U742" s="338">
        <f t="shared" si="423"/>
        <v>0</v>
      </c>
      <c r="V742" s="329">
        <f t="shared" si="418"/>
        <v>0</v>
      </c>
      <c r="W742" s="338">
        <f t="shared" si="424"/>
        <v>2000000</v>
      </c>
      <c r="X742" s="35"/>
    </row>
    <row r="743" spans="1:24" x14ac:dyDescent="0.25">
      <c r="A743" s="335">
        <f t="shared" si="427"/>
        <v>44454</v>
      </c>
      <c r="B743" s="49">
        <f t="shared" si="425"/>
        <v>4000000</v>
      </c>
      <c r="C743" s="338">
        <f t="shared" si="428"/>
        <v>103372276</v>
      </c>
      <c r="D743" s="329">
        <f t="shared" si="426"/>
        <v>2000000</v>
      </c>
      <c r="E743" s="338">
        <f t="shared" si="429"/>
        <v>10790281.000671711</v>
      </c>
      <c r="F743" s="329">
        <f t="shared" si="433"/>
        <v>4000000</v>
      </c>
      <c r="G743" s="338">
        <f t="shared" si="430"/>
        <v>59100000</v>
      </c>
      <c r="H743" s="329">
        <f t="shared" si="411"/>
        <v>2000000</v>
      </c>
      <c r="I743" s="338">
        <f t="shared" si="431"/>
        <v>27721906</v>
      </c>
      <c r="J743" s="329">
        <f t="shared" si="412"/>
        <v>0</v>
      </c>
      <c r="K743" s="338">
        <f t="shared" si="432"/>
        <v>10200000</v>
      </c>
      <c r="L743" s="329">
        <f t="shared" si="413"/>
        <v>0</v>
      </c>
      <c r="M743" s="338">
        <f t="shared" si="419"/>
        <v>17598534.760000002</v>
      </c>
      <c r="N743" s="329">
        <f t="shared" si="414"/>
        <v>0</v>
      </c>
      <c r="O743" s="338">
        <f t="shared" si="420"/>
        <v>7000000</v>
      </c>
      <c r="P743" s="329">
        <f t="shared" si="415"/>
        <v>0</v>
      </c>
      <c r="Q743" s="338">
        <f t="shared" si="421"/>
        <v>0</v>
      </c>
      <c r="R743" s="329">
        <f t="shared" si="416"/>
        <v>0</v>
      </c>
      <c r="S743" s="338">
        <f t="shared" si="422"/>
        <v>0</v>
      </c>
      <c r="T743" s="329">
        <f t="shared" si="417"/>
        <v>0</v>
      </c>
      <c r="U743" s="338">
        <f t="shared" si="423"/>
        <v>0</v>
      </c>
      <c r="V743" s="329">
        <f t="shared" si="418"/>
        <v>0</v>
      </c>
      <c r="W743" s="338">
        <f t="shared" si="424"/>
        <v>2000000</v>
      </c>
      <c r="X743" s="35"/>
    </row>
    <row r="744" spans="1:24" x14ac:dyDescent="0.25">
      <c r="A744" s="335">
        <f t="shared" si="427"/>
        <v>44455</v>
      </c>
      <c r="B744" s="49">
        <f t="shared" si="425"/>
        <v>0</v>
      </c>
      <c r="C744" s="338">
        <f t="shared" si="428"/>
        <v>103372276</v>
      </c>
      <c r="D744" s="329">
        <f t="shared" si="426"/>
        <v>0</v>
      </c>
      <c r="E744" s="338">
        <f t="shared" si="429"/>
        <v>10790281.000671711</v>
      </c>
      <c r="F744" s="329">
        <f t="shared" si="433"/>
        <v>0</v>
      </c>
      <c r="G744" s="338">
        <f t="shared" si="430"/>
        <v>59100000</v>
      </c>
      <c r="H744" s="329">
        <f t="shared" si="411"/>
        <v>0</v>
      </c>
      <c r="I744" s="338">
        <f t="shared" si="431"/>
        <v>27721906</v>
      </c>
      <c r="J744" s="329">
        <f t="shared" si="412"/>
        <v>0</v>
      </c>
      <c r="K744" s="338">
        <f t="shared" si="432"/>
        <v>10200000</v>
      </c>
      <c r="L744" s="329">
        <f t="shared" si="413"/>
        <v>0</v>
      </c>
      <c r="M744" s="338">
        <f t="shared" si="419"/>
        <v>17598534.760000002</v>
      </c>
      <c r="N744" s="329">
        <f t="shared" si="414"/>
        <v>0</v>
      </c>
      <c r="O744" s="338">
        <f t="shared" si="420"/>
        <v>7000000</v>
      </c>
      <c r="P744" s="329">
        <f t="shared" si="415"/>
        <v>0</v>
      </c>
      <c r="Q744" s="338">
        <f t="shared" si="421"/>
        <v>0</v>
      </c>
      <c r="R744" s="329">
        <f t="shared" si="416"/>
        <v>0</v>
      </c>
      <c r="S744" s="338">
        <f t="shared" si="422"/>
        <v>0</v>
      </c>
      <c r="T744" s="329">
        <f t="shared" si="417"/>
        <v>0</v>
      </c>
      <c r="U744" s="338">
        <f t="shared" si="423"/>
        <v>0</v>
      </c>
      <c r="V744" s="329">
        <f t="shared" si="418"/>
        <v>0</v>
      </c>
      <c r="W744" s="338">
        <f t="shared" si="424"/>
        <v>2000000</v>
      </c>
      <c r="X744" s="35"/>
    </row>
    <row r="745" spans="1:24" x14ac:dyDescent="0.25">
      <c r="A745" s="335">
        <f t="shared" si="427"/>
        <v>44456</v>
      </c>
      <c r="B745" s="49">
        <f t="shared" si="425"/>
        <v>0</v>
      </c>
      <c r="C745" s="338">
        <f t="shared" si="428"/>
        <v>103372276</v>
      </c>
      <c r="D745" s="329">
        <f t="shared" si="426"/>
        <v>0</v>
      </c>
      <c r="E745" s="338">
        <f t="shared" si="429"/>
        <v>10790281.000671711</v>
      </c>
      <c r="F745" s="329">
        <f t="shared" si="433"/>
        <v>0</v>
      </c>
      <c r="G745" s="338">
        <f t="shared" si="430"/>
        <v>59100000</v>
      </c>
      <c r="H745" s="329">
        <f t="shared" si="411"/>
        <v>0</v>
      </c>
      <c r="I745" s="338">
        <f t="shared" si="431"/>
        <v>27721906</v>
      </c>
      <c r="J745" s="329">
        <f t="shared" si="412"/>
        <v>0</v>
      </c>
      <c r="K745" s="338">
        <f t="shared" si="432"/>
        <v>10200000</v>
      </c>
      <c r="L745" s="329">
        <f t="shared" si="413"/>
        <v>0</v>
      </c>
      <c r="M745" s="338">
        <f t="shared" si="419"/>
        <v>17598534.760000002</v>
      </c>
      <c r="N745" s="329">
        <f t="shared" si="414"/>
        <v>0</v>
      </c>
      <c r="O745" s="338">
        <f t="shared" si="420"/>
        <v>7000000</v>
      </c>
      <c r="P745" s="329">
        <f t="shared" si="415"/>
        <v>0</v>
      </c>
      <c r="Q745" s="338">
        <f t="shared" si="421"/>
        <v>0</v>
      </c>
      <c r="R745" s="329">
        <f t="shared" si="416"/>
        <v>0</v>
      </c>
      <c r="S745" s="338">
        <f t="shared" si="422"/>
        <v>0</v>
      </c>
      <c r="T745" s="329">
        <f t="shared" si="417"/>
        <v>0</v>
      </c>
      <c r="U745" s="338">
        <f t="shared" si="423"/>
        <v>0</v>
      </c>
      <c r="V745" s="329">
        <f t="shared" si="418"/>
        <v>0</v>
      </c>
      <c r="W745" s="338">
        <f t="shared" si="424"/>
        <v>2000000</v>
      </c>
      <c r="X745" s="35"/>
    </row>
    <row r="746" spans="1:24" x14ac:dyDescent="0.25">
      <c r="A746" s="335">
        <f t="shared" si="427"/>
        <v>44457</v>
      </c>
      <c r="B746" s="49">
        <f t="shared" si="425"/>
        <v>0</v>
      </c>
      <c r="C746" s="338">
        <f t="shared" si="428"/>
        <v>103372276</v>
      </c>
      <c r="D746" s="329">
        <f t="shared" si="426"/>
        <v>0</v>
      </c>
      <c r="E746" s="338">
        <f t="shared" si="429"/>
        <v>10790281.000671711</v>
      </c>
      <c r="F746" s="329">
        <f t="shared" si="433"/>
        <v>0</v>
      </c>
      <c r="G746" s="338">
        <f t="shared" si="430"/>
        <v>59100000</v>
      </c>
      <c r="H746" s="329">
        <f t="shared" si="411"/>
        <v>0</v>
      </c>
      <c r="I746" s="338">
        <f t="shared" si="431"/>
        <v>27721906</v>
      </c>
      <c r="J746" s="329">
        <f t="shared" si="412"/>
        <v>0</v>
      </c>
      <c r="K746" s="338">
        <f t="shared" si="432"/>
        <v>10200000</v>
      </c>
      <c r="L746" s="329">
        <f t="shared" si="413"/>
        <v>0</v>
      </c>
      <c r="M746" s="338">
        <f t="shared" si="419"/>
        <v>17598534.760000002</v>
      </c>
      <c r="N746" s="329">
        <f t="shared" si="414"/>
        <v>0</v>
      </c>
      <c r="O746" s="338">
        <f t="shared" si="420"/>
        <v>7000000</v>
      </c>
      <c r="P746" s="329">
        <f t="shared" si="415"/>
        <v>0</v>
      </c>
      <c r="Q746" s="338">
        <f t="shared" si="421"/>
        <v>0</v>
      </c>
      <c r="R746" s="329">
        <f t="shared" si="416"/>
        <v>0</v>
      </c>
      <c r="S746" s="338">
        <f t="shared" si="422"/>
        <v>0</v>
      </c>
      <c r="T746" s="329">
        <f t="shared" si="417"/>
        <v>0</v>
      </c>
      <c r="U746" s="338">
        <f t="shared" si="423"/>
        <v>0</v>
      </c>
      <c r="V746" s="329">
        <f t="shared" si="418"/>
        <v>0</v>
      </c>
      <c r="W746" s="338">
        <f t="shared" si="424"/>
        <v>2000000</v>
      </c>
      <c r="X746" s="35"/>
    </row>
    <row r="747" spans="1:24" x14ac:dyDescent="0.25">
      <c r="A747" s="335">
        <f t="shared" si="427"/>
        <v>44458</v>
      </c>
      <c r="B747" s="49">
        <f t="shared" si="425"/>
        <v>0</v>
      </c>
      <c r="C747" s="338">
        <f t="shared" si="428"/>
        <v>103372276</v>
      </c>
      <c r="D747" s="329">
        <f t="shared" si="426"/>
        <v>0</v>
      </c>
      <c r="E747" s="338">
        <f t="shared" si="429"/>
        <v>10790281.000671711</v>
      </c>
      <c r="F747" s="329">
        <f t="shared" si="433"/>
        <v>0</v>
      </c>
      <c r="G747" s="338">
        <f t="shared" si="430"/>
        <v>59100000</v>
      </c>
      <c r="H747" s="329">
        <f t="shared" ref="H747:H810" si="434">SUMIFS(Usage_Main,CF_Dates,$A747,CF_Descriptions,"XS2091648928 Change")</f>
        <v>0</v>
      </c>
      <c r="I747" s="338">
        <f t="shared" si="431"/>
        <v>27721906</v>
      </c>
      <c r="J747" s="329">
        <f t="shared" ref="J747:J810" si="435">SUMIFS(Usage_Main,CF_Dates,$A747,CF_Descriptions,"Southern Apple Change")</f>
        <v>0</v>
      </c>
      <c r="K747" s="338">
        <f t="shared" si="432"/>
        <v>10200000</v>
      </c>
      <c r="L747" s="329">
        <f t="shared" ref="L747:L810" si="436">SUMIFS(Usage_Main,CF_Dates,$A747,CF_Descriptions,"ALMONDUSD Change")</f>
        <v>0</v>
      </c>
      <c r="M747" s="338">
        <f t="shared" si="419"/>
        <v>17598534.760000002</v>
      </c>
      <c r="N747" s="329">
        <f t="shared" ref="N747:N810" si="437">SUMIFS(Usage_Main,CF_Dates,$A747,CF_Descriptions,"ALMONDEUR Change")</f>
        <v>0</v>
      </c>
      <c r="O747" s="338">
        <f t="shared" si="420"/>
        <v>7000000</v>
      </c>
      <c r="P747" s="329">
        <f t="shared" ref="P747:P810" si="438">SUMIFS(Usage_Main,CF_Dates,$A747,CF_Descriptions,"HEXZETA Change")</f>
        <v>0</v>
      </c>
      <c r="Q747" s="338">
        <f t="shared" si="421"/>
        <v>0</v>
      </c>
      <c r="R747" s="329">
        <f t="shared" ref="R747:R810" si="439">SUMIFS(Usage_Main,CF_Dates,$A747,CF_Descriptions,"MNTNCHERRY Change")</f>
        <v>0</v>
      </c>
      <c r="S747" s="338">
        <f t="shared" si="422"/>
        <v>0</v>
      </c>
      <c r="T747" s="329">
        <f t="shared" ref="T747:T810" si="440">SUMIFS(Usage_Main,CF_Dates,$A747,CF_Descriptions,"OLIVEUSD Change")</f>
        <v>0</v>
      </c>
      <c r="U747" s="338">
        <f t="shared" si="423"/>
        <v>0</v>
      </c>
      <c r="V747" s="329">
        <f t="shared" ref="V747:V810" si="441">SUMIFS(Usage_Main,CF_Dates,$A747,CF_Descriptions,"OLIVEEUR Change")</f>
        <v>0</v>
      </c>
      <c r="W747" s="338">
        <f t="shared" si="424"/>
        <v>2000000</v>
      </c>
      <c r="X747" s="35"/>
    </row>
    <row r="748" spans="1:24" x14ac:dyDescent="0.25">
      <c r="A748" s="335">
        <f t="shared" si="427"/>
        <v>44459</v>
      </c>
      <c r="B748" s="49">
        <f t="shared" si="425"/>
        <v>0</v>
      </c>
      <c r="C748" s="338">
        <f t="shared" si="428"/>
        <v>103372276</v>
      </c>
      <c r="D748" s="329">
        <f t="shared" si="426"/>
        <v>0</v>
      </c>
      <c r="E748" s="338">
        <f t="shared" si="429"/>
        <v>10790281.000671711</v>
      </c>
      <c r="F748" s="329">
        <f t="shared" si="433"/>
        <v>0</v>
      </c>
      <c r="G748" s="338">
        <f t="shared" si="430"/>
        <v>59100000</v>
      </c>
      <c r="H748" s="329">
        <f t="shared" si="434"/>
        <v>0</v>
      </c>
      <c r="I748" s="338">
        <f t="shared" si="431"/>
        <v>27721906</v>
      </c>
      <c r="J748" s="329">
        <f t="shared" si="435"/>
        <v>0</v>
      </c>
      <c r="K748" s="338">
        <f t="shared" si="432"/>
        <v>10200000</v>
      </c>
      <c r="L748" s="329">
        <f t="shared" si="436"/>
        <v>0</v>
      </c>
      <c r="M748" s="338">
        <f t="shared" ref="M748:M811" si="442">L748+M747</f>
        <v>17598534.760000002</v>
      </c>
      <c r="N748" s="329">
        <f t="shared" si="437"/>
        <v>0</v>
      </c>
      <c r="O748" s="338">
        <f t="shared" ref="O748:O811" si="443">N748+O747</f>
        <v>7000000</v>
      </c>
      <c r="P748" s="329">
        <f t="shared" si="438"/>
        <v>0</v>
      </c>
      <c r="Q748" s="338">
        <f t="shared" ref="Q748:Q811" si="444">P748+Q747</f>
        <v>0</v>
      </c>
      <c r="R748" s="329">
        <f t="shared" si="439"/>
        <v>0</v>
      </c>
      <c r="S748" s="338">
        <f t="shared" ref="S748:S811" si="445">R748+S747</f>
        <v>0</v>
      </c>
      <c r="T748" s="329">
        <f t="shared" si="440"/>
        <v>0</v>
      </c>
      <c r="U748" s="338">
        <f t="shared" ref="U748:U811" si="446">T748+U747</f>
        <v>0</v>
      </c>
      <c r="V748" s="329">
        <f t="shared" si="441"/>
        <v>0</v>
      </c>
      <c r="W748" s="338">
        <f t="shared" ref="W748:W811" si="447">V748+W747</f>
        <v>2000000</v>
      </c>
      <c r="X748" s="35"/>
    </row>
    <row r="749" spans="1:24" x14ac:dyDescent="0.25">
      <c r="A749" s="335">
        <f t="shared" si="427"/>
        <v>44460</v>
      </c>
      <c r="B749" s="49">
        <f t="shared" si="425"/>
        <v>0</v>
      </c>
      <c r="C749" s="338">
        <f t="shared" si="428"/>
        <v>103372276</v>
      </c>
      <c r="D749" s="329">
        <f t="shared" si="426"/>
        <v>0</v>
      </c>
      <c r="E749" s="338">
        <f t="shared" si="429"/>
        <v>10790281.000671711</v>
      </c>
      <c r="F749" s="329">
        <f t="shared" si="433"/>
        <v>0</v>
      </c>
      <c r="G749" s="338">
        <f t="shared" si="430"/>
        <v>59100000</v>
      </c>
      <c r="H749" s="329">
        <f t="shared" si="434"/>
        <v>0</v>
      </c>
      <c r="I749" s="338">
        <f t="shared" si="431"/>
        <v>27721906</v>
      </c>
      <c r="J749" s="329">
        <f t="shared" si="435"/>
        <v>0</v>
      </c>
      <c r="K749" s="338">
        <f t="shared" si="432"/>
        <v>10200000</v>
      </c>
      <c r="L749" s="329">
        <f t="shared" si="436"/>
        <v>0</v>
      </c>
      <c r="M749" s="338">
        <f t="shared" si="442"/>
        <v>17598534.760000002</v>
      </c>
      <c r="N749" s="329">
        <f t="shared" si="437"/>
        <v>0</v>
      </c>
      <c r="O749" s="338">
        <f t="shared" si="443"/>
        <v>7000000</v>
      </c>
      <c r="P749" s="329">
        <f t="shared" si="438"/>
        <v>0</v>
      </c>
      <c r="Q749" s="338">
        <f t="shared" si="444"/>
        <v>0</v>
      </c>
      <c r="R749" s="329">
        <f t="shared" si="439"/>
        <v>0</v>
      </c>
      <c r="S749" s="338">
        <f t="shared" si="445"/>
        <v>0</v>
      </c>
      <c r="T749" s="329">
        <f t="shared" si="440"/>
        <v>0</v>
      </c>
      <c r="U749" s="338">
        <f t="shared" si="446"/>
        <v>0</v>
      </c>
      <c r="V749" s="329">
        <f t="shared" si="441"/>
        <v>0</v>
      </c>
      <c r="W749" s="338">
        <f t="shared" si="447"/>
        <v>2000000</v>
      </c>
      <c r="X749" s="35"/>
    </row>
    <row r="750" spans="1:24" x14ac:dyDescent="0.25">
      <c r="A750" s="335">
        <f t="shared" si="427"/>
        <v>44461</v>
      </c>
      <c r="B750" s="49">
        <f t="shared" si="425"/>
        <v>0</v>
      </c>
      <c r="C750" s="338">
        <f t="shared" si="428"/>
        <v>103372276</v>
      </c>
      <c r="D750" s="329">
        <f t="shared" si="426"/>
        <v>0</v>
      </c>
      <c r="E750" s="338">
        <f t="shared" si="429"/>
        <v>10790281.000671711</v>
      </c>
      <c r="F750" s="329">
        <f t="shared" si="433"/>
        <v>0</v>
      </c>
      <c r="G750" s="338">
        <f t="shared" si="430"/>
        <v>59100000</v>
      </c>
      <c r="H750" s="329">
        <f t="shared" si="434"/>
        <v>0</v>
      </c>
      <c r="I750" s="338">
        <f t="shared" si="431"/>
        <v>27721906</v>
      </c>
      <c r="J750" s="329">
        <f t="shared" si="435"/>
        <v>0</v>
      </c>
      <c r="K750" s="338">
        <f t="shared" si="432"/>
        <v>10200000</v>
      </c>
      <c r="L750" s="329">
        <f>SUMIFS(Usage_Main,CF_Dates,$A750,CF_Descriptions,"ALMONDUSD Change")</f>
        <v>2000000</v>
      </c>
      <c r="M750" s="338">
        <f t="shared" si="442"/>
        <v>19598534.760000002</v>
      </c>
      <c r="N750" s="329">
        <f t="shared" si="437"/>
        <v>0</v>
      </c>
      <c r="O750" s="338">
        <f t="shared" si="443"/>
        <v>7000000</v>
      </c>
      <c r="P750" s="329">
        <f t="shared" si="438"/>
        <v>0</v>
      </c>
      <c r="Q750" s="338">
        <f t="shared" si="444"/>
        <v>0</v>
      </c>
      <c r="R750" s="329">
        <f t="shared" si="439"/>
        <v>0</v>
      </c>
      <c r="S750" s="338">
        <f t="shared" si="445"/>
        <v>0</v>
      </c>
      <c r="T750" s="329">
        <f t="shared" si="440"/>
        <v>0</v>
      </c>
      <c r="U750" s="338">
        <f t="shared" si="446"/>
        <v>0</v>
      </c>
      <c r="V750" s="329">
        <f t="shared" si="441"/>
        <v>0</v>
      </c>
      <c r="W750" s="338">
        <f t="shared" si="447"/>
        <v>2000000</v>
      </c>
      <c r="X750" s="35"/>
    </row>
    <row r="751" spans="1:24" x14ac:dyDescent="0.25">
      <c r="A751" s="335">
        <f t="shared" si="427"/>
        <v>44462</v>
      </c>
      <c r="B751" s="49">
        <f t="shared" si="425"/>
        <v>0</v>
      </c>
      <c r="C751" s="338">
        <f t="shared" si="428"/>
        <v>103372276</v>
      </c>
      <c r="D751" s="329">
        <f t="shared" si="426"/>
        <v>0</v>
      </c>
      <c r="E751" s="338">
        <f t="shared" si="429"/>
        <v>10790281.000671711</v>
      </c>
      <c r="F751" s="329">
        <f t="shared" si="433"/>
        <v>0</v>
      </c>
      <c r="G751" s="338">
        <f t="shared" si="430"/>
        <v>59100000</v>
      </c>
      <c r="H751" s="329">
        <f t="shared" si="434"/>
        <v>0</v>
      </c>
      <c r="I751" s="338">
        <f t="shared" si="431"/>
        <v>27721906</v>
      </c>
      <c r="J751" s="329">
        <f t="shared" si="435"/>
        <v>0</v>
      </c>
      <c r="K751" s="338">
        <f t="shared" si="432"/>
        <v>10200000</v>
      </c>
      <c r="L751" s="329">
        <f t="shared" si="436"/>
        <v>0</v>
      </c>
      <c r="M751" s="338">
        <f t="shared" si="442"/>
        <v>19598534.760000002</v>
      </c>
      <c r="N751" s="329">
        <f t="shared" si="437"/>
        <v>0</v>
      </c>
      <c r="O751" s="338">
        <f t="shared" si="443"/>
        <v>7000000</v>
      </c>
      <c r="P751" s="329">
        <f t="shared" si="438"/>
        <v>0</v>
      </c>
      <c r="Q751" s="338">
        <f t="shared" si="444"/>
        <v>0</v>
      </c>
      <c r="R751" s="329">
        <f t="shared" si="439"/>
        <v>0</v>
      </c>
      <c r="S751" s="338">
        <f t="shared" si="445"/>
        <v>0</v>
      </c>
      <c r="T751" s="329">
        <f t="shared" si="440"/>
        <v>0</v>
      </c>
      <c r="U751" s="338">
        <f t="shared" si="446"/>
        <v>0</v>
      </c>
      <c r="V751" s="329">
        <f t="shared" si="441"/>
        <v>0</v>
      </c>
      <c r="W751" s="338">
        <f t="shared" si="447"/>
        <v>2000000</v>
      </c>
      <c r="X751" s="35"/>
    </row>
    <row r="752" spans="1:24" x14ac:dyDescent="0.25">
      <c r="A752" s="335">
        <f t="shared" si="427"/>
        <v>44463</v>
      </c>
      <c r="B752" s="49">
        <f t="shared" si="425"/>
        <v>0</v>
      </c>
      <c r="C752" s="338">
        <f t="shared" si="428"/>
        <v>103372276</v>
      </c>
      <c r="D752" s="329">
        <f t="shared" si="426"/>
        <v>1200000</v>
      </c>
      <c r="E752" s="338">
        <f t="shared" si="429"/>
        <v>11990281.000671711</v>
      </c>
      <c r="F752" s="329">
        <f t="shared" si="433"/>
        <v>0</v>
      </c>
      <c r="G752" s="338">
        <f t="shared" si="430"/>
        <v>59100000</v>
      </c>
      <c r="H752" s="329">
        <f t="shared" si="434"/>
        <v>0</v>
      </c>
      <c r="I752" s="338">
        <f t="shared" si="431"/>
        <v>27721906</v>
      </c>
      <c r="J752" s="329">
        <f t="shared" si="435"/>
        <v>0</v>
      </c>
      <c r="K752" s="338">
        <f t="shared" si="432"/>
        <v>10200000</v>
      </c>
      <c r="L752" s="329">
        <f t="shared" si="436"/>
        <v>0</v>
      </c>
      <c r="M752" s="338">
        <f t="shared" si="442"/>
        <v>19598534.760000002</v>
      </c>
      <c r="N752" s="329">
        <f t="shared" si="437"/>
        <v>0</v>
      </c>
      <c r="O752" s="338">
        <f t="shared" si="443"/>
        <v>7000000</v>
      </c>
      <c r="P752" s="329">
        <f t="shared" si="438"/>
        <v>0</v>
      </c>
      <c r="Q752" s="338">
        <f t="shared" si="444"/>
        <v>0</v>
      </c>
      <c r="R752" s="329">
        <f t="shared" si="439"/>
        <v>0</v>
      </c>
      <c r="S752" s="338">
        <f t="shared" si="445"/>
        <v>0</v>
      </c>
      <c r="T752" s="329">
        <f t="shared" si="440"/>
        <v>0</v>
      </c>
      <c r="U752" s="338">
        <f t="shared" si="446"/>
        <v>0</v>
      </c>
      <c r="V752" s="329">
        <f t="shared" si="441"/>
        <v>0</v>
      </c>
      <c r="W752" s="338">
        <f t="shared" si="447"/>
        <v>2000000</v>
      </c>
      <c r="X752" s="35"/>
    </row>
    <row r="753" spans="1:24" x14ac:dyDescent="0.25">
      <c r="A753" s="335">
        <f t="shared" si="427"/>
        <v>44464</v>
      </c>
      <c r="B753" s="49">
        <f t="shared" si="425"/>
        <v>0</v>
      </c>
      <c r="C753" s="338">
        <f t="shared" si="428"/>
        <v>103372276</v>
      </c>
      <c r="D753" s="329">
        <f t="shared" si="426"/>
        <v>0</v>
      </c>
      <c r="E753" s="338">
        <f t="shared" si="429"/>
        <v>11990281.000671711</v>
      </c>
      <c r="F753" s="329">
        <f t="shared" si="433"/>
        <v>0</v>
      </c>
      <c r="G753" s="338">
        <f t="shared" si="430"/>
        <v>59100000</v>
      </c>
      <c r="H753" s="329">
        <f t="shared" si="434"/>
        <v>0</v>
      </c>
      <c r="I753" s="338">
        <f t="shared" si="431"/>
        <v>27721906</v>
      </c>
      <c r="J753" s="329">
        <f t="shared" si="435"/>
        <v>0</v>
      </c>
      <c r="K753" s="338">
        <f t="shared" si="432"/>
        <v>10200000</v>
      </c>
      <c r="L753" s="329">
        <f t="shared" si="436"/>
        <v>0</v>
      </c>
      <c r="M753" s="338">
        <f t="shared" si="442"/>
        <v>19598534.760000002</v>
      </c>
      <c r="N753" s="329">
        <f t="shared" si="437"/>
        <v>0</v>
      </c>
      <c r="O753" s="338">
        <f t="shared" si="443"/>
        <v>7000000</v>
      </c>
      <c r="P753" s="329">
        <f t="shared" si="438"/>
        <v>0</v>
      </c>
      <c r="Q753" s="338">
        <f t="shared" si="444"/>
        <v>0</v>
      </c>
      <c r="R753" s="329">
        <f t="shared" si="439"/>
        <v>0</v>
      </c>
      <c r="S753" s="338">
        <f t="shared" si="445"/>
        <v>0</v>
      </c>
      <c r="T753" s="329">
        <f t="shared" si="440"/>
        <v>0</v>
      </c>
      <c r="U753" s="338">
        <f t="shared" si="446"/>
        <v>0</v>
      </c>
      <c r="V753" s="329">
        <f t="shared" si="441"/>
        <v>0</v>
      </c>
      <c r="W753" s="338">
        <f t="shared" si="447"/>
        <v>2000000</v>
      </c>
      <c r="X753" s="35"/>
    </row>
    <row r="754" spans="1:24" x14ac:dyDescent="0.25">
      <c r="A754" s="335">
        <f t="shared" si="427"/>
        <v>44465</v>
      </c>
      <c r="B754" s="49">
        <f t="shared" si="425"/>
        <v>0</v>
      </c>
      <c r="C754" s="338">
        <f t="shared" si="428"/>
        <v>103372276</v>
      </c>
      <c r="D754" s="329">
        <f t="shared" si="426"/>
        <v>0</v>
      </c>
      <c r="E754" s="338">
        <f t="shared" si="429"/>
        <v>11990281.000671711</v>
      </c>
      <c r="F754" s="329">
        <f t="shared" si="433"/>
        <v>0</v>
      </c>
      <c r="G754" s="338">
        <f t="shared" si="430"/>
        <v>59100000</v>
      </c>
      <c r="H754" s="329">
        <f t="shared" si="434"/>
        <v>0</v>
      </c>
      <c r="I754" s="338">
        <f t="shared" si="431"/>
        <v>27721906</v>
      </c>
      <c r="J754" s="329">
        <f t="shared" si="435"/>
        <v>0</v>
      </c>
      <c r="K754" s="338">
        <f t="shared" si="432"/>
        <v>10200000</v>
      </c>
      <c r="L754" s="329">
        <f t="shared" si="436"/>
        <v>0</v>
      </c>
      <c r="M754" s="338">
        <f t="shared" si="442"/>
        <v>19598534.760000002</v>
      </c>
      <c r="N754" s="329">
        <f t="shared" si="437"/>
        <v>0</v>
      </c>
      <c r="O754" s="338">
        <f t="shared" si="443"/>
        <v>7000000</v>
      </c>
      <c r="P754" s="329">
        <f t="shared" si="438"/>
        <v>0</v>
      </c>
      <c r="Q754" s="338">
        <f t="shared" si="444"/>
        <v>0</v>
      </c>
      <c r="R754" s="329">
        <f t="shared" si="439"/>
        <v>0</v>
      </c>
      <c r="S754" s="338">
        <f t="shared" si="445"/>
        <v>0</v>
      </c>
      <c r="T754" s="329">
        <f t="shared" si="440"/>
        <v>0</v>
      </c>
      <c r="U754" s="338">
        <f t="shared" si="446"/>
        <v>0</v>
      </c>
      <c r="V754" s="329">
        <f t="shared" si="441"/>
        <v>0</v>
      </c>
      <c r="W754" s="338">
        <f t="shared" si="447"/>
        <v>2000000</v>
      </c>
      <c r="X754" s="35"/>
    </row>
    <row r="755" spans="1:24" x14ac:dyDescent="0.25">
      <c r="A755" s="335">
        <f t="shared" si="427"/>
        <v>44466</v>
      </c>
      <c r="B755" s="49">
        <f t="shared" ref="B755:B818" si="448">SUMIFS(Usage_Main,CF_Dates,$A755,CF_Descriptions,"XS1951177309 Change")</f>
        <v>0</v>
      </c>
      <c r="C755" s="338">
        <f t="shared" si="428"/>
        <v>103372276</v>
      </c>
      <c r="D755" s="329">
        <f t="shared" ref="D755:D818" si="449">SUMIFS(Usage_Main,CF_Dates,$A755,CF_Descriptions,"SOSPRUCE1 Change")</f>
        <v>0</v>
      </c>
      <c r="E755" s="338">
        <f t="shared" si="429"/>
        <v>11990281.000671711</v>
      </c>
      <c r="F755" s="329">
        <f t="shared" si="433"/>
        <v>0</v>
      </c>
      <c r="G755" s="338">
        <f t="shared" si="430"/>
        <v>59100000</v>
      </c>
      <c r="H755" s="329">
        <f t="shared" si="434"/>
        <v>0</v>
      </c>
      <c r="I755" s="338">
        <f t="shared" si="431"/>
        <v>27721906</v>
      </c>
      <c r="J755" s="329">
        <f t="shared" si="435"/>
        <v>0</v>
      </c>
      <c r="K755" s="338">
        <f t="shared" si="432"/>
        <v>10200000</v>
      </c>
      <c r="L755" s="329">
        <f t="shared" si="436"/>
        <v>0</v>
      </c>
      <c r="M755" s="338">
        <f t="shared" si="442"/>
        <v>19598534.760000002</v>
      </c>
      <c r="N755" s="329">
        <f t="shared" si="437"/>
        <v>1000000</v>
      </c>
      <c r="O755" s="338">
        <f t="shared" si="443"/>
        <v>8000000</v>
      </c>
      <c r="P755" s="329">
        <f t="shared" si="438"/>
        <v>0</v>
      </c>
      <c r="Q755" s="338">
        <f t="shared" si="444"/>
        <v>0</v>
      </c>
      <c r="R755" s="329">
        <f t="shared" si="439"/>
        <v>0</v>
      </c>
      <c r="S755" s="338">
        <f t="shared" si="445"/>
        <v>0</v>
      </c>
      <c r="T755" s="329">
        <f t="shared" si="440"/>
        <v>0</v>
      </c>
      <c r="U755" s="338">
        <f t="shared" si="446"/>
        <v>0</v>
      </c>
      <c r="V755" s="329">
        <f t="shared" si="441"/>
        <v>0</v>
      </c>
      <c r="W755" s="338">
        <f t="shared" si="447"/>
        <v>2000000</v>
      </c>
      <c r="X755" s="35"/>
    </row>
    <row r="756" spans="1:24" x14ac:dyDescent="0.25">
      <c r="A756" s="335">
        <f t="shared" si="427"/>
        <v>44467</v>
      </c>
      <c r="B756" s="49">
        <f t="shared" si="448"/>
        <v>0</v>
      </c>
      <c r="C756" s="338">
        <f t="shared" si="428"/>
        <v>103372276</v>
      </c>
      <c r="D756" s="329">
        <f t="shared" si="449"/>
        <v>0</v>
      </c>
      <c r="E756" s="338">
        <f t="shared" si="429"/>
        <v>11990281.000671711</v>
      </c>
      <c r="F756" s="329">
        <f t="shared" si="433"/>
        <v>0</v>
      </c>
      <c r="G756" s="338">
        <f t="shared" si="430"/>
        <v>59100000</v>
      </c>
      <c r="H756" s="329">
        <f t="shared" si="434"/>
        <v>0</v>
      </c>
      <c r="I756" s="338">
        <f t="shared" si="431"/>
        <v>27721906</v>
      </c>
      <c r="J756" s="329">
        <f t="shared" si="435"/>
        <v>0</v>
      </c>
      <c r="K756" s="338">
        <f t="shared" si="432"/>
        <v>10200000</v>
      </c>
      <c r="L756" s="329">
        <f t="shared" si="436"/>
        <v>0</v>
      </c>
      <c r="M756" s="338">
        <f t="shared" si="442"/>
        <v>19598534.760000002</v>
      </c>
      <c r="N756" s="329">
        <f t="shared" si="437"/>
        <v>0</v>
      </c>
      <c r="O756" s="338">
        <f t="shared" si="443"/>
        <v>8000000</v>
      </c>
      <c r="P756" s="329">
        <f t="shared" si="438"/>
        <v>0</v>
      </c>
      <c r="Q756" s="338">
        <f t="shared" si="444"/>
        <v>0</v>
      </c>
      <c r="R756" s="329">
        <f t="shared" si="439"/>
        <v>0</v>
      </c>
      <c r="S756" s="338">
        <f t="shared" si="445"/>
        <v>0</v>
      </c>
      <c r="T756" s="329">
        <f t="shared" si="440"/>
        <v>0</v>
      </c>
      <c r="U756" s="338">
        <f t="shared" si="446"/>
        <v>0</v>
      </c>
      <c r="V756" s="329">
        <f t="shared" si="441"/>
        <v>0</v>
      </c>
      <c r="W756" s="338">
        <f t="shared" si="447"/>
        <v>2000000</v>
      </c>
      <c r="X756" s="35"/>
    </row>
    <row r="757" spans="1:24" x14ac:dyDescent="0.25">
      <c r="A757" s="335">
        <f t="shared" si="427"/>
        <v>44468</v>
      </c>
      <c r="B757" s="49">
        <f t="shared" si="448"/>
        <v>0</v>
      </c>
      <c r="C757" s="338">
        <f t="shared" si="428"/>
        <v>103372276</v>
      </c>
      <c r="D757" s="329">
        <f t="shared" si="449"/>
        <v>0</v>
      </c>
      <c r="E757" s="338">
        <f t="shared" si="429"/>
        <v>11990281.000671711</v>
      </c>
      <c r="F757" s="329">
        <f t="shared" si="433"/>
        <v>500000</v>
      </c>
      <c r="G757" s="338">
        <f t="shared" si="430"/>
        <v>59600000</v>
      </c>
      <c r="H757" s="329">
        <f t="shared" si="434"/>
        <v>0</v>
      </c>
      <c r="I757" s="338">
        <f t="shared" si="431"/>
        <v>27721906</v>
      </c>
      <c r="J757" s="329">
        <f t="shared" si="435"/>
        <v>0</v>
      </c>
      <c r="K757" s="338">
        <f t="shared" si="432"/>
        <v>10200000</v>
      </c>
      <c r="L757" s="329">
        <f t="shared" si="436"/>
        <v>0</v>
      </c>
      <c r="M757" s="338">
        <f t="shared" si="442"/>
        <v>19598534.760000002</v>
      </c>
      <c r="N757" s="329">
        <f t="shared" si="437"/>
        <v>0</v>
      </c>
      <c r="O757" s="338">
        <f t="shared" si="443"/>
        <v>8000000</v>
      </c>
      <c r="P757" s="329">
        <f t="shared" si="438"/>
        <v>0</v>
      </c>
      <c r="Q757" s="338">
        <f t="shared" si="444"/>
        <v>0</v>
      </c>
      <c r="R757" s="329">
        <f t="shared" si="439"/>
        <v>0</v>
      </c>
      <c r="S757" s="338">
        <f t="shared" si="445"/>
        <v>0</v>
      </c>
      <c r="T757" s="329">
        <f t="shared" si="440"/>
        <v>0</v>
      </c>
      <c r="U757" s="338">
        <f t="shared" si="446"/>
        <v>0</v>
      </c>
      <c r="V757" s="329">
        <f t="shared" si="441"/>
        <v>0</v>
      </c>
      <c r="W757" s="338">
        <f t="shared" si="447"/>
        <v>2000000</v>
      </c>
      <c r="X757" s="35"/>
    </row>
    <row r="758" spans="1:24" x14ac:dyDescent="0.25">
      <c r="A758" s="335">
        <f t="shared" si="427"/>
        <v>44469</v>
      </c>
      <c r="B758" s="49">
        <f t="shared" si="448"/>
        <v>0</v>
      </c>
      <c r="C758" s="338">
        <f t="shared" si="428"/>
        <v>103372276</v>
      </c>
      <c r="D758" s="329">
        <f t="shared" si="449"/>
        <v>0</v>
      </c>
      <c r="E758" s="338">
        <f t="shared" si="429"/>
        <v>11990281.000671711</v>
      </c>
      <c r="F758" s="329">
        <f t="shared" si="433"/>
        <v>0</v>
      </c>
      <c r="G758" s="338">
        <f t="shared" si="430"/>
        <v>59600000</v>
      </c>
      <c r="H758" s="329">
        <f t="shared" si="434"/>
        <v>0</v>
      </c>
      <c r="I758" s="338">
        <f t="shared" si="431"/>
        <v>27721906</v>
      </c>
      <c r="J758" s="329">
        <f t="shared" si="435"/>
        <v>0</v>
      </c>
      <c r="K758" s="338">
        <f t="shared" si="432"/>
        <v>10200000</v>
      </c>
      <c r="L758" s="329">
        <f t="shared" si="436"/>
        <v>0</v>
      </c>
      <c r="M758" s="338">
        <f t="shared" si="442"/>
        <v>19598534.760000002</v>
      </c>
      <c r="N758" s="329">
        <f t="shared" si="437"/>
        <v>0</v>
      </c>
      <c r="O758" s="338">
        <f t="shared" si="443"/>
        <v>8000000</v>
      </c>
      <c r="P758" s="329">
        <f t="shared" si="438"/>
        <v>0</v>
      </c>
      <c r="Q758" s="338">
        <f t="shared" si="444"/>
        <v>0</v>
      </c>
      <c r="R758" s="329">
        <f t="shared" si="439"/>
        <v>0</v>
      </c>
      <c r="S758" s="338">
        <f t="shared" si="445"/>
        <v>0</v>
      </c>
      <c r="T758" s="329">
        <f t="shared" si="440"/>
        <v>0</v>
      </c>
      <c r="U758" s="338">
        <f t="shared" si="446"/>
        <v>0</v>
      </c>
      <c r="V758" s="329">
        <f t="shared" si="441"/>
        <v>0</v>
      </c>
      <c r="W758" s="338">
        <f t="shared" si="447"/>
        <v>2000000</v>
      </c>
      <c r="X758" s="35"/>
    </row>
    <row r="759" spans="1:24" x14ac:dyDescent="0.25">
      <c r="A759" s="335">
        <f t="shared" si="427"/>
        <v>44470</v>
      </c>
      <c r="B759" s="49">
        <f t="shared" si="448"/>
        <v>0</v>
      </c>
      <c r="C759" s="338">
        <f t="shared" si="428"/>
        <v>103372276</v>
      </c>
      <c r="D759" s="329">
        <f t="shared" si="449"/>
        <v>0</v>
      </c>
      <c r="E759" s="338">
        <f t="shared" si="429"/>
        <v>11990281.000671711</v>
      </c>
      <c r="F759" s="329">
        <f t="shared" si="433"/>
        <v>0</v>
      </c>
      <c r="G759" s="338">
        <f t="shared" si="430"/>
        <v>59600000</v>
      </c>
      <c r="H759" s="329">
        <f t="shared" si="434"/>
        <v>0</v>
      </c>
      <c r="I759" s="338">
        <f t="shared" si="431"/>
        <v>27721906</v>
      </c>
      <c r="J759" s="329">
        <f t="shared" si="435"/>
        <v>0</v>
      </c>
      <c r="K759" s="338">
        <f t="shared" si="432"/>
        <v>10200000</v>
      </c>
      <c r="L759" s="329">
        <f t="shared" si="436"/>
        <v>0</v>
      </c>
      <c r="M759" s="338">
        <f t="shared" si="442"/>
        <v>19598534.760000002</v>
      </c>
      <c r="N759" s="329">
        <f t="shared" si="437"/>
        <v>0</v>
      </c>
      <c r="O759" s="338">
        <f t="shared" si="443"/>
        <v>8000000</v>
      </c>
      <c r="P759" s="329">
        <f t="shared" si="438"/>
        <v>0</v>
      </c>
      <c r="Q759" s="338">
        <f t="shared" si="444"/>
        <v>0</v>
      </c>
      <c r="R759" s="329">
        <f t="shared" si="439"/>
        <v>0</v>
      </c>
      <c r="S759" s="338">
        <f t="shared" si="445"/>
        <v>0</v>
      </c>
      <c r="T759" s="329">
        <f t="shared" si="440"/>
        <v>0</v>
      </c>
      <c r="U759" s="338">
        <f t="shared" si="446"/>
        <v>0</v>
      </c>
      <c r="V759" s="329">
        <f t="shared" si="441"/>
        <v>0</v>
      </c>
      <c r="W759" s="338">
        <f t="shared" si="447"/>
        <v>2000000</v>
      </c>
      <c r="X759" s="35"/>
    </row>
    <row r="760" spans="1:24" x14ac:dyDescent="0.25">
      <c r="A760" s="335">
        <f t="shared" si="427"/>
        <v>44471</v>
      </c>
      <c r="B760" s="49">
        <f t="shared" si="448"/>
        <v>0</v>
      </c>
      <c r="C760" s="338">
        <f t="shared" si="428"/>
        <v>103372276</v>
      </c>
      <c r="D760" s="329">
        <f t="shared" si="449"/>
        <v>0</v>
      </c>
      <c r="E760" s="338">
        <f t="shared" si="429"/>
        <v>11990281.000671711</v>
      </c>
      <c r="F760" s="329">
        <f t="shared" si="433"/>
        <v>0</v>
      </c>
      <c r="G760" s="338">
        <f t="shared" si="430"/>
        <v>59600000</v>
      </c>
      <c r="H760" s="329">
        <f t="shared" si="434"/>
        <v>0</v>
      </c>
      <c r="I760" s="338">
        <f t="shared" si="431"/>
        <v>27721906</v>
      </c>
      <c r="J760" s="329">
        <f t="shared" si="435"/>
        <v>0</v>
      </c>
      <c r="K760" s="338">
        <f t="shared" si="432"/>
        <v>10200000</v>
      </c>
      <c r="L760" s="329">
        <f t="shared" si="436"/>
        <v>0</v>
      </c>
      <c r="M760" s="338">
        <f t="shared" si="442"/>
        <v>19598534.760000002</v>
      </c>
      <c r="N760" s="329">
        <f t="shared" si="437"/>
        <v>0</v>
      </c>
      <c r="O760" s="338">
        <f t="shared" si="443"/>
        <v>8000000</v>
      </c>
      <c r="P760" s="329">
        <f t="shared" si="438"/>
        <v>0</v>
      </c>
      <c r="Q760" s="338">
        <f t="shared" si="444"/>
        <v>0</v>
      </c>
      <c r="R760" s="329">
        <f t="shared" si="439"/>
        <v>0</v>
      </c>
      <c r="S760" s="338">
        <f t="shared" si="445"/>
        <v>0</v>
      </c>
      <c r="T760" s="329">
        <f t="shared" si="440"/>
        <v>0</v>
      </c>
      <c r="U760" s="338">
        <f t="shared" si="446"/>
        <v>0</v>
      </c>
      <c r="V760" s="329">
        <f t="shared" si="441"/>
        <v>0</v>
      </c>
      <c r="W760" s="338">
        <f t="shared" si="447"/>
        <v>2000000</v>
      </c>
      <c r="X760" s="35"/>
    </row>
    <row r="761" spans="1:24" x14ac:dyDescent="0.25">
      <c r="A761" s="335">
        <f t="shared" si="427"/>
        <v>44472</v>
      </c>
      <c r="B761" s="49">
        <f t="shared" si="448"/>
        <v>0</v>
      </c>
      <c r="C761" s="338">
        <f t="shared" si="428"/>
        <v>103372276</v>
      </c>
      <c r="D761" s="329">
        <f t="shared" si="449"/>
        <v>0</v>
      </c>
      <c r="E761" s="338">
        <f t="shared" si="429"/>
        <v>11990281.000671711</v>
      </c>
      <c r="F761" s="329">
        <f t="shared" si="433"/>
        <v>0</v>
      </c>
      <c r="G761" s="338">
        <f t="shared" si="430"/>
        <v>59600000</v>
      </c>
      <c r="H761" s="329">
        <f t="shared" si="434"/>
        <v>0</v>
      </c>
      <c r="I761" s="338">
        <f t="shared" si="431"/>
        <v>27721906</v>
      </c>
      <c r="J761" s="329">
        <f t="shared" si="435"/>
        <v>0</v>
      </c>
      <c r="K761" s="338">
        <f t="shared" si="432"/>
        <v>10200000</v>
      </c>
      <c r="L761" s="329">
        <f t="shared" si="436"/>
        <v>0</v>
      </c>
      <c r="M761" s="338">
        <f t="shared" si="442"/>
        <v>19598534.760000002</v>
      </c>
      <c r="N761" s="329">
        <f t="shared" si="437"/>
        <v>0</v>
      </c>
      <c r="O761" s="338">
        <f t="shared" si="443"/>
        <v>8000000</v>
      </c>
      <c r="P761" s="329">
        <f t="shared" si="438"/>
        <v>0</v>
      </c>
      <c r="Q761" s="338">
        <f t="shared" si="444"/>
        <v>0</v>
      </c>
      <c r="R761" s="329">
        <f t="shared" si="439"/>
        <v>0</v>
      </c>
      <c r="S761" s="338">
        <f t="shared" si="445"/>
        <v>0</v>
      </c>
      <c r="T761" s="329">
        <f t="shared" si="440"/>
        <v>0</v>
      </c>
      <c r="U761" s="338">
        <f t="shared" si="446"/>
        <v>0</v>
      </c>
      <c r="V761" s="329">
        <f t="shared" si="441"/>
        <v>0</v>
      </c>
      <c r="W761" s="338">
        <f t="shared" si="447"/>
        <v>2000000</v>
      </c>
      <c r="X761" s="35"/>
    </row>
    <row r="762" spans="1:24" x14ac:dyDescent="0.25">
      <c r="A762" s="335">
        <f t="shared" si="427"/>
        <v>44473</v>
      </c>
      <c r="B762" s="49">
        <f t="shared" si="448"/>
        <v>0</v>
      </c>
      <c r="C762" s="338">
        <f t="shared" si="428"/>
        <v>103372276</v>
      </c>
      <c r="D762" s="329">
        <f t="shared" si="449"/>
        <v>0</v>
      </c>
      <c r="E762" s="338">
        <f t="shared" si="429"/>
        <v>11990281.000671711</v>
      </c>
      <c r="F762" s="329">
        <f t="shared" si="433"/>
        <v>0</v>
      </c>
      <c r="G762" s="338">
        <f t="shared" si="430"/>
        <v>59600000</v>
      </c>
      <c r="H762" s="329">
        <f t="shared" si="434"/>
        <v>0</v>
      </c>
      <c r="I762" s="338">
        <f t="shared" si="431"/>
        <v>27721906</v>
      </c>
      <c r="J762" s="329">
        <f t="shared" si="435"/>
        <v>0</v>
      </c>
      <c r="K762" s="338">
        <f t="shared" si="432"/>
        <v>10200000</v>
      </c>
      <c r="L762" s="329">
        <f t="shared" si="436"/>
        <v>0</v>
      </c>
      <c r="M762" s="338">
        <f t="shared" si="442"/>
        <v>19598534.760000002</v>
      </c>
      <c r="N762" s="329">
        <f t="shared" si="437"/>
        <v>0</v>
      </c>
      <c r="O762" s="338">
        <f t="shared" si="443"/>
        <v>8000000</v>
      </c>
      <c r="P762" s="329">
        <f t="shared" si="438"/>
        <v>0</v>
      </c>
      <c r="Q762" s="338">
        <f t="shared" si="444"/>
        <v>0</v>
      </c>
      <c r="R762" s="329">
        <f t="shared" si="439"/>
        <v>0</v>
      </c>
      <c r="S762" s="338">
        <f t="shared" si="445"/>
        <v>0</v>
      </c>
      <c r="T762" s="329">
        <f t="shared" si="440"/>
        <v>0</v>
      </c>
      <c r="U762" s="338">
        <f t="shared" si="446"/>
        <v>0</v>
      </c>
      <c r="V762" s="329">
        <f t="shared" si="441"/>
        <v>0</v>
      </c>
      <c r="W762" s="338">
        <f t="shared" si="447"/>
        <v>2000000</v>
      </c>
      <c r="X762" s="35"/>
    </row>
    <row r="763" spans="1:24" x14ac:dyDescent="0.25">
      <c r="A763" s="335">
        <f t="shared" si="427"/>
        <v>44474</v>
      </c>
      <c r="B763" s="49">
        <f t="shared" si="448"/>
        <v>0</v>
      </c>
      <c r="C763" s="338">
        <f t="shared" si="428"/>
        <v>103372276</v>
      </c>
      <c r="D763" s="329">
        <f t="shared" si="449"/>
        <v>-1049084</v>
      </c>
      <c r="E763" s="338">
        <f t="shared" si="429"/>
        <v>10941197.000671711</v>
      </c>
      <c r="F763" s="329">
        <f t="shared" si="433"/>
        <v>0</v>
      </c>
      <c r="G763" s="338">
        <f t="shared" si="430"/>
        <v>59600000</v>
      </c>
      <c r="H763" s="329">
        <f t="shared" si="434"/>
        <v>0</v>
      </c>
      <c r="I763" s="338">
        <f t="shared" si="431"/>
        <v>27721906</v>
      </c>
      <c r="J763" s="329">
        <f t="shared" si="435"/>
        <v>0</v>
      </c>
      <c r="K763" s="338">
        <f t="shared" si="432"/>
        <v>10200000</v>
      </c>
      <c r="L763" s="329">
        <f t="shared" si="436"/>
        <v>0</v>
      </c>
      <c r="M763" s="338">
        <f t="shared" si="442"/>
        <v>19598534.760000002</v>
      </c>
      <c r="N763" s="329">
        <f t="shared" si="437"/>
        <v>0</v>
      </c>
      <c r="O763" s="338">
        <f t="shared" si="443"/>
        <v>8000000</v>
      </c>
      <c r="P763" s="329">
        <f t="shared" si="438"/>
        <v>0</v>
      </c>
      <c r="Q763" s="338">
        <f t="shared" si="444"/>
        <v>0</v>
      </c>
      <c r="R763" s="329">
        <f t="shared" si="439"/>
        <v>0</v>
      </c>
      <c r="S763" s="338">
        <f t="shared" si="445"/>
        <v>0</v>
      </c>
      <c r="T763" s="329">
        <f t="shared" si="440"/>
        <v>0</v>
      </c>
      <c r="U763" s="338">
        <f t="shared" si="446"/>
        <v>0</v>
      </c>
      <c r="V763" s="329">
        <f t="shared" si="441"/>
        <v>0</v>
      </c>
      <c r="W763" s="338">
        <f t="shared" si="447"/>
        <v>2000000</v>
      </c>
      <c r="X763" s="35"/>
    </row>
    <row r="764" spans="1:24" x14ac:dyDescent="0.25">
      <c r="A764" s="335">
        <f t="shared" si="427"/>
        <v>44475</v>
      </c>
      <c r="B764" s="49">
        <f t="shared" si="448"/>
        <v>0</v>
      </c>
      <c r="C764" s="338">
        <f t="shared" si="428"/>
        <v>103372276</v>
      </c>
      <c r="D764" s="329">
        <f t="shared" si="449"/>
        <v>0</v>
      </c>
      <c r="E764" s="338">
        <f t="shared" si="429"/>
        <v>10941197.000671711</v>
      </c>
      <c r="F764" s="329">
        <f t="shared" si="433"/>
        <v>0</v>
      </c>
      <c r="G764" s="338">
        <f t="shared" si="430"/>
        <v>59600000</v>
      </c>
      <c r="H764" s="329">
        <f t="shared" si="434"/>
        <v>0</v>
      </c>
      <c r="I764" s="338">
        <f t="shared" si="431"/>
        <v>27721906</v>
      </c>
      <c r="J764" s="329">
        <f t="shared" si="435"/>
        <v>0</v>
      </c>
      <c r="K764" s="338">
        <f t="shared" si="432"/>
        <v>10200000</v>
      </c>
      <c r="L764" s="329">
        <f t="shared" si="436"/>
        <v>0</v>
      </c>
      <c r="M764" s="338">
        <f t="shared" si="442"/>
        <v>19598534.760000002</v>
      </c>
      <c r="N764" s="329">
        <f t="shared" si="437"/>
        <v>0</v>
      </c>
      <c r="O764" s="338">
        <f t="shared" si="443"/>
        <v>8000000</v>
      </c>
      <c r="P764" s="329">
        <f t="shared" si="438"/>
        <v>0</v>
      </c>
      <c r="Q764" s="338">
        <f t="shared" si="444"/>
        <v>0</v>
      </c>
      <c r="R764" s="329">
        <f t="shared" si="439"/>
        <v>0</v>
      </c>
      <c r="S764" s="338">
        <f t="shared" si="445"/>
        <v>0</v>
      </c>
      <c r="T764" s="329">
        <f t="shared" si="440"/>
        <v>0</v>
      </c>
      <c r="U764" s="338">
        <f t="shared" si="446"/>
        <v>0</v>
      </c>
      <c r="V764" s="329">
        <f t="shared" si="441"/>
        <v>0</v>
      </c>
      <c r="W764" s="338">
        <f t="shared" si="447"/>
        <v>2000000</v>
      </c>
      <c r="X764" s="35"/>
    </row>
    <row r="765" spans="1:24" x14ac:dyDescent="0.25">
      <c r="A765" s="335">
        <f t="shared" si="427"/>
        <v>44476</v>
      </c>
      <c r="B765" s="49">
        <f t="shared" si="448"/>
        <v>0</v>
      </c>
      <c r="C765" s="338">
        <f t="shared" si="428"/>
        <v>103372276</v>
      </c>
      <c r="D765" s="329">
        <f t="shared" si="449"/>
        <v>0</v>
      </c>
      <c r="E765" s="338">
        <f t="shared" si="429"/>
        <v>10941197.000671711</v>
      </c>
      <c r="F765" s="329">
        <f t="shared" si="433"/>
        <v>0</v>
      </c>
      <c r="G765" s="338">
        <f t="shared" si="430"/>
        <v>59600000</v>
      </c>
      <c r="H765" s="329">
        <f t="shared" si="434"/>
        <v>0</v>
      </c>
      <c r="I765" s="338">
        <f t="shared" si="431"/>
        <v>27721906</v>
      </c>
      <c r="J765" s="329">
        <f t="shared" si="435"/>
        <v>0</v>
      </c>
      <c r="K765" s="338">
        <f t="shared" si="432"/>
        <v>10200000</v>
      </c>
      <c r="L765" s="329">
        <f t="shared" si="436"/>
        <v>0</v>
      </c>
      <c r="M765" s="338">
        <f t="shared" si="442"/>
        <v>19598534.760000002</v>
      </c>
      <c r="N765" s="329">
        <f t="shared" si="437"/>
        <v>0</v>
      </c>
      <c r="O765" s="338">
        <f t="shared" si="443"/>
        <v>8000000</v>
      </c>
      <c r="P765" s="329">
        <f t="shared" si="438"/>
        <v>0</v>
      </c>
      <c r="Q765" s="338">
        <f t="shared" si="444"/>
        <v>0</v>
      </c>
      <c r="R765" s="329">
        <f t="shared" si="439"/>
        <v>0</v>
      </c>
      <c r="S765" s="338">
        <f t="shared" si="445"/>
        <v>0</v>
      </c>
      <c r="T765" s="329">
        <f t="shared" si="440"/>
        <v>0</v>
      </c>
      <c r="U765" s="338">
        <f t="shared" si="446"/>
        <v>0</v>
      </c>
      <c r="V765" s="329">
        <f t="shared" si="441"/>
        <v>0</v>
      </c>
      <c r="W765" s="338">
        <f t="shared" si="447"/>
        <v>2000000</v>
      </c>
      <c r="X765" s="35"/>
    </row>
    <row r="766" spans="1:24" x14ac:dyDescent="0.25">
      <c r="A766" s="335">
        <f t="shared" si="427"/>
        <v>44477</v>
      </c>
      <c r="B766" s="49">
        <f t="shared" si="448"/>
        <v>3000000</v>
      </c>
      <c r="C766" s="338">
        <f t="shared" si="428"/>
        <v>106372276</v>
      </c>
      <c r="D766" s="329">
        <f t="shared" si="449"/>
        <v>0</v>
      </c>
      <c r="E766" s="338">
        <f t="shared" si="429"/>
        <v>10941197.000671711</v>
      </c>
      <c r="F766" s="329">
        <f t="shared" si="433"/>
        <v>0</v>
      </c>
      <c r="G766" s="338">
        <f t="shared" si="430"/>
        <v>59600000</v>
      </c>
      <c r="H766" s="329">
        <f t="shared" si="434"/>
        <v>0</v>
      </c>
      <c r="I766" s="338">
        <f t="shared" si="431"/>
        <v>27721906</v>
      </c>
      <c r="J766" s="329">
        <f t="shared" si="435"/>
        <v>0</v>
      </c>
      <c r="K766" s="338">
        <f t="shared" si="432"/>
        <v>10200000</v>
      </c>
      <c r="L766" s="329">
        <f t="shared" si="436"/>
        <v>0</v>
      </c>
      <c r="M766" s="338">
        <f t="shared" si="442"/>
        <v>19598534.760000002</v>
      </c>
      <c r="N766" s="329">
        <f t="shared" si="437"/>
        <v>0</v>
      </c>
      <c r="O766" s="338">
        <f t="shared" si="443"/>
        <v>8000000</v>
      </c>
      <c r="P766" s="329">
        <f t="shared" si="438"/>
        <v>0</v>
      </c>
      <c r="Q766" s="338">
        <f t="shared" si="444"/>
        <v>0</v>
      </c>
      <c r="R766" s="329">
        <f t="shared" si="439"/>
        <v>0</v>
      </c>
      <c r="S766" s="338">
        <f t="shared" si="445"/>
        <v>0</v>
      </c>
      <c r="T766" s="329">
        <f t="shared" si="440"/>
        <v>0</v>
      </c>
      <c r="U766" s="338">
        <f t="shared" si="446"/>
        <v>0</v>
      </c>
      <c r="V766" s="329">
        <f t="shared" si="441"/>
        <v>0</v>
      </c>
      <c r="W766" s="338">
        <f t="shared" si="447"/>
        <v>2000000</v>
      </c>
      <c r="X766" s="35"/>
    </row>
    <row r="767" spans="1:24" x14ac:dyDescent="0.25">
      <c r="A767" s="335">
        <f t="shared" si="427"/>
        <v>44478</v>
      </c>
      <c r="B767" s="49">
        <f t="shared" si="448"/>
        <v>0</v>
      </c>
      <c r="C767" s="338">
        <f t="shared" si="428"/>
        <v>106372276</v>
      </c>
      <c r="D767" s="329">
        <f t="shared" si="449"/>
        <v>0</v>
      </c>
      <c r="E767" s="338">
        <f t="shared" si="429"/>
        <v>10941197.000671711</v>
      </c>
      <c r="F767" s="329">
        <f t="shared" si="433"/>
        <v>0</v>
      </c>
      <c r="G767" s="338">
        <f t="shared" si="430"/>
        <v>59600000</v>
      </c>
      <c r="H767" s="329">
        <f t="shared" si="434"/>
        <v>0</v>
      </c>
      <c r="I767" s="338">
        <f t="shared" si="431"/>
        <v>27721906</v>
      </c>
      <c r="J767" s="329">
        <f t="shared" si="435"/>
        <v>0</v>
      </c>
      <c r="K767" s="338">
        <f t="shared" si="432"/>
        <v>10200000</v>
      </c>
      <c r="L767" s="329">
        <f t="shared" si="436"/>
        <v>0</v>
      </c>
      <c r="M767" s="338">
        <f t="shared" si="442"/>
        <v>19598534.760000002</v>
      </c>
      <c r="N767" s="329">
        <f t="shared" si="437"/>
        <v>0</v>
      </c>
      <c r="O767" s="338">
        <f t="shared" si="443"/>
        <v>8000000</v>
      </c>
      <c r="P767" s="329">
        <f t="shared" si="438"/>
        <v>0</v>
      </c>
      <c r="Q767" s="338">
        <f t="shared" si="444"/>
        <v>0</v>
      </c>
      <c r="R767" s="329">
        <f t="shared" si="439"/>
        <v>0</v>
      </c>
      <c r="S767" s="338">
        <f t="shared" si="445"/>
        <v>0</v>
      </c>
      <c r="T767" s="329">
        <f t="shared" si="440"/>
        <v>0</v>
      </c>
      <c r="U767" s="338">
        <f t="shared" si="446"/>
        <v>0</v>
      </c>
      <c r="V767" s="329">
        <f t="shared" si="441"/>
        <v>0</v>
      </c>
      <c r="W767" s="338">
        <f t="shared" si="447"/>
        <v>2000000</v>
      </c>
      <c r="X767" s="35"/>
    </row>
    <row r="768" spans="1:24" x14ac:dyDescent="0.25">
      <c r="A768" s="335">
        <f t="shared" ref="A768:A831" si="450">A767+1</f>
        <v>44479</v>
      </c>
      <c r="B768" s="49">
        <f t="shared" si="448"/>
        <v>0</v>
      </c>
      <c r="C768" s="338">
        <f t="shared" ref="C768:C831" si="451">B768+C767</f>
        <v>106372276</v>
      </c>
      <c r="D768" s="329">
        <f t="shared" si="449"/>
        <v>0</v>
      </c>
      <c r="E768" s="338">
        <f t="shared" ref="E768:E831" si="452">D768+E767</f>
        <v>10941197.000671711</v>
      </c>
      <c r="F768" s="329">
        <f t="shared" si="433"/>
        <v>0</v>
      </c>
      <c r="G768" s="338">
        <f t="shared" ref="G768:G831" si="453">F768+G767</f>
        <v>59600000</v>
      </c>
      <c r="H768" s="329">
        <f t="shared" si="434"/>
        <v>0</v>
      </c>
      <c r="I768" s="338">
        <f t="shared" ref="I768:I831" si="454">H768+I767</f>
        <v>27721906</v>
      </c>
      <c r="J768" s="329">
        <f t="shared" si="435"/>
        <v>0</v>
      </c>
      <c r="K768" s="338">
        <f t="shared" ref="K768:K831" si="455">J768+K767</f>
        <v>10200000</v>
      </c>
      <c r="L768" s="329">
        <f t="shared" si="436"/>
        <v>0</v>
      </c>
      <c r="M768" s="338">
        <f t="shared" si="442"/>
        <v>19598534.760000002</v>
      </c>
      <c r="N768" s="329">
        <f t="shared" si="437"/>
        <v>0</v>
      </c>
      <c r="O768" s="338">
        <f t="shared" si="443"/>
        <v>8000000</v>
      </c>
      <c r="P768" s="329">
        <f t="shared" si="438"/>
        <v>0</v>
      </c>
      <c r="Q768" s="338">
        <f t="shared" si="444"/>
        <v>0</v>
      </c>
      <c r="R768" s="329">
        <f t="shared" si="439"/>
        <v>0</v>
      </c>
      <c r="S768" s="338">
        <f t="shared" si="445"/>
        <v>0</v>
      </c>
      <c r="T768" s="329">
        <f t="shared" si="440"/>
        <v>0</v>
      </c>
      <c r="U768" s="338">
        <f t="shared" si="446"/>
        <v>0</v>
      </c>
      <c r="V768" s="329">
        <f t="shared" si="441"/>
        <v>0</v>
      </c>
      <c r="W768" s="338">
        <f t="shared" si="447"/>
        <v>2000000</v>
      </c>
      <c r="X768" s="35"/>
    </row>
    <row r="769" spans="1:24" x14ac:dyDescent="0.25">
      <c r="A769" s="335">
        <f t="shared" si="450"/>
        <v>44480</v>
      </c>
      <c r="B769" s="49">
        <f t="shared" si="448"/>
        <v>0</v>
      </c>
      <c r="C769" s="338">
        <f t="shared" si="451"/>
        <v>106372276</v>
      </c>
      <c r="D769" s="329">
        <f t="shared" si="449"/>
        <v>0</v>
      </c>
      <c r="E769" s="338">
        <f t="shared" si="452"/>
        <v>10941197.000671711</v>
      </c>
      <c r="F769" s="329">
        <f t="shared" si="433"/>
        <v>0</v>
      </c>
      <c r="G769" s="338">
        <f t="shared" si="453"/>
        <v>59600000</v>
      </c>
      <c r="H769" s="329">
        <f t="shared" si="434"/>
        <v>0</v>
      </c>
      <c r="I769" s="338">
        <f t="shared" si="454"/>
        <v>27721906</v>
      </c>
      <c r="J769" s="329">
        <f t="shared" si="435"/>
        <v>0</v>
      </c>
      <c r="K769" s="338">
        <f t="shared" si="455"/>
        <v>10200000</v>
      </c>
      <c r="L769" s="329">
        <f t="shared" si="436"/>
        <v>0</v>
      </c>
      <c r="M769" s="338">
        <f t="shared" si="442"/>
        <v>19598534.760000002</v>
      </c>
      <c r="N769" s="329">
        <f t="shared" si="437"/>
        <v>0</v>
      </c>
      <c r="O769" s="338">
        <f t="shared" si="443"/>
        <v>8000000</v>
      </c>
      <c r="P769" s="329">
        <f t="shared" si="438"/>
        <v>0</v>
      </c>
      <c r="Q769" s="338">
        <f t="shared" si="444"/>
        <v>0</v>
      </c>
      <c r="R769" s="329">
        <f t="shared" si="439"/>
        <v>0</v>
      </c>
      <c r="S769" s="338">
        <f t="shared" si="445"/>
        <v>0</v>
      </c>
      <c r="T769" s="329">
        <f t="shared" si="440"/>
        <v>0</v>
      </c>
      <c r="U769" s="338">
        <f t="shared" si="446"/>
        <v>0</v>
      </c>
      <c r="V769" s="329">
        <f t="shared" si="441"/>
        <v>0</v>
      </c>
      <c r="W769" s="338">
        <f t="shared" si="447"/>
        <v>2000000</v>
      </c>
      <c r="X769" s="35"/>
    </row>
    <row r="770" spans="1:24" x14ac:dyDescent="0.25">
      <c r="A770" s="335">
        <f t="shared" si="450"/>
        <v>44481</v>
      </c>
      <c r="B770" s="49">
        <f t="shared" si="448"/>
        <v>0</v>
      </c>
      <c r="C770" s="338">
        <f t="shared" si="451"/>
        <v>106372276</v>
      </c>
      <c r="D770" s="329">
        <f t="shared" si="449"/>
        <v>0</v>
      </c>
      <c r="E770" s="338">
        <f t="shared" si="452"/>
        <v>10941197.000671711</v>
      </c>
      <c r="F770" s="329">
        <f t="shared" si="433"/>
        <v>0</v>
      </c>
      <c r="G770" s="338">
        <f t="shared" si="453"/>
        <v>59600000</v>
      </c>
      <c r="H770" s="329">
        <f t="shared" si="434"/>
        <v>4000000</v>
      </c>
      <c r="I770" s="338">
        <f t="shared" si="454"/>
        <v>31721906</v>
      </c>
      <c r="J770" s="329">
        <f t="shared" si="435"/>
        <v>0</v>
      </c>
      <c r="K770" s="338">
        <f t="shared" si="455"/>
        <v>10200000</v>
      </c>
      <c r="L770" s="329">
        <f t="shared" si="436"/>
        <v>0</v>
      </c>
      <c r="M770" s="338">
        <f t="shared" si="442"/>
        <v>19598534.760000002</v>
      </c>
      <c r="N770" s="329">
        <f t="shared" si="437"/>
        <v>0</v>
      </c>
      <c r="O770" s="338">
        <f t="shared" si="443"/>
        <v>8000000</v>
      </c>
      <c r="P770" s="329">
        <f t="shared" si="438"/>
        <v>0</v>
      </c>
      <c r="Q770" s="338">
        <f t="shared" si="444"/>
        <v>0</v>
      </c>
      <c r="R770" s="329">
        <f t="shared" si="439"/>
        <v>0</v>
      </c>
      <c r="S770" s="338">
        <f t="shared" si="445"/>
        <v>0</v>
      </c>
      <c r="T770" s="329">
        <f t="shared" si="440"/>
        <v>0</v>
      </c>
      <c r="U770" s="338">
        <f t="shared" si="446"/>
        <v>0</v>
      </c>
      <c r="V770" s="329">
        <f t="shared" si="441"/>
        <v>0</v>
      </c>
      <c r="W770" s="338">
        <f t="shared" si="447"/>
        <v>2000000</v>
      </c>
      <c r="X770" s="35"/>
    </row>
    <row r="771" spans="1:24" x14ac:dyDescent="0.25">
      <c r="A771" s="335">
        <f t="shared" si="450"/>
        <v>44482</v>
      </c>
      <c r="B771" s="49">
        <f t="shared" si="448"/>
        <v>0</v>
      </c>
      <c r="C771" s="338">
        <f t="shared" si="451"/>
        <v>106372276</v>
      </c>
      <c r="D771" s="329">
        <f t="shared" si="449"/>
        <v>0</v>
      </c>
      <c r="E771" s="338">
        <f t="shared" si="452"/>
        <v>10941197.000671711</v>
      </c>
      <c r="F771" s="329">
        <f t="shared" ref="F771:F834" si="456">SUMIFS(Usage_Main,CF_Dates,$A771,CF_Descriptions,"EASTCYPRESS1 Change")</f>
        <v>0</v>
      </c>
      <c r="G771" s="338">
        <f t="shared" si="453"/>
        <v>59600000</v>
      </c>
      <c r="H771" s="329">
        <f t="shared" si="434"/>
        <v>0</v>
      </c>
      <c r="I771" s="338">
        <f t="shared" si="454"/>
        <v>31721906</v>
      </c>
      <c r="J771" s="329">
        <f t="shared" si="435"/>
        <v>0</v>
      </c>
      <c r="K771" s="338">
        <f t="shared" si="455"/>
        <v>10200000</v>
      </c>
      <c r="L771" s="329">
        <f t="shared" si="436"/>
        <v>0</v>
      </c>
      <c r="M771" s="338">
        <f t="shared" si="442"/>
        <v>19598534.760000002</v>
      </c>
      <c r="N771" s="329">
        <f t="shared" si="437"/>
        <v>0</v>
      </c>
      <c r="O771" s="338">
        <f t="shared" si="443"/>
        <v>8000000</v>
      </c>
      <c r="P771" s="329">
        <f t="shared" si="438"/>
        <v>0</v>
      </c>
      <c r="Q771" s="338">
        <f t="shared" si="444"/>
        <v>0</v>
      </c>
      <c r="R771" s="329">
        <f t="shared" si="439"/>
        <v>0</v>
      </c>
      <c r="S771" s="338">
        <f t="shared" si="445"/>
        <v>0</v>
      </c>
      <c r="T771" s="329">
        <f t="shared" si="440"/>
        <v>0</v>
      </c>
      <c r="U771" s="338">
        <f t="shared" si="446"/>
        <v>0</v>
      </c>
      <c r="V771" s="329">
        <f t="shared" si="441"/>
        <v>0</v>
      </c>
      <c r="W771" s="338">
        <f t="shared" si="447"/>
        <v>2000000</v>
      </c>
      <c r="X771" s="35"/>
    </row>
    <row r="772" spans="1:24" x14ac:dyDescent="0.25">
      <c r="A772" s="335">
        <f t="shared" si="450"/>
        <v>44483</v>
      </c>
      <c r="B772" s="49">
        <f t="shared" si="448"/>
        <v>0</v>
      </c>
      <c r="C772" s="338">
        <f t="shared" si="451"/>
        <v>106372276</v>
      </c>
      <c r="D772" s="329">
        <f t="shared" si="449"/>
        <v>0</v>
      </c>
      <c r="E772" s="338">
        <f t="shared" si="452"/>
        <v>10941197.000671711</v>
      </c>
      <c r="F772" s="329">
        <f t="shared" si="456"/>
        <v>0</v>
      </c>
      <c r="G772" s="338">
        <f t="shared" si="453"/>
        <v>59600000</v>
      </c>
      <c r="H772" s="329">
        <f t="shared" si="434"/>
        <v>0</v>
      </c>
      <c r="I772" s="338">
        <f t="shared" si="454"/>
        <v>31721906</v>
      </c>
      <c r="J772" s="329">
        <f t="shared" si="435"/>
        <v>0</v>
      </c>
      <c r="K772" s="338">
        <f t="shared" si="455"/>
        <v>10200000</v>
      </c>
      <c r="L772" s="329">
        <f t="shared" si="436"/>
        <v>0</v>
      </c>
      <c r="M772" s="338">
        <f t="shared" si="442"/>
        <v>19598534.760000002</v>
      </c>
      <c r="N772" s="329">
        <f t="shared" si="437"/>
        <v>1000000</v>
      </c>
      <c r="O772" s="338">
        <f t="shared" si="443"/>
        <v>9000000</v>
      </c>
      <c r="P772" s="329">
        <f t="shared" si="438"/>
        <v>0</v>
      </c>
      <c r="Q772" s="338">
        <f t="shared" si="444"/>
        <v>0</v>
      </c>
      <c r="R772" s="329">
        <f t="shared" si="439"/>
        <v>0</v>
      </c>
      <c r="S772" s="338">
        <f t="shared" si="445"/>
        <v>0</v>
      </c>
      <c r="T772" s="329">
        <f t="shared" si="440"/>
        <v>0</v>
      </c>
      <c r="U772" s="338">
        <f t="shared" si="446"/>
        <v>0</v>
      </c>
      <c r="V772" s="329">
        <f t="shared" si="441"/>
        <v>0</v>
      </c>
      <c r="W772" s="338">
        <f t="shared" si="447"/>
        <v>2000000</v>
      </c>
      <c r="X772" s="35"/>
    </row>
    <row r="773" spans="1:24" x14ac:dyDescent="0.25">
      <c r="A773" s="335">
        <f t="shared" si="450"/>
        <v>44484</v>
      </c>
      <c r="B773" s="49">
        <f t="shared" si="448"/>
        <v>0</v>
      </c>
      <c r="C773" s="338">
        <f t="shared" si="451"/>
        <v>106372276</v>
      </c>
      <c r="D773" s="329">
        <f t="shared" si="449"/>
        <v>0</v>
      </c>
      <c r="E773" s="338">
        <f t="shared" si="452"/>
        <v>10941197.000671711</v>
      </c>
      <c r="F773" s="329">
        <f t="shared" si="456"/>
        <v>0</v>
      </c>
      <c r="G773" s="338">
        <f t="shared" si="453"/>
        <v>59600000</v>
      </c>
      <c r="H773" s="329">
        <f t="shared" si="434"/>
        <v>0</v>
      </c>
      <c r="I773" s="338">
        <f t="shared" si="454"/>
        <v>31721906</v>
      </c>
      <c r="J773" s="329">
        <f t="shared" si="435"/>
        <v>0</v>
      </c>
      <c r="K773" s="338">
        <f t="shared" si="455"/>
        <v>10200000</v>
      </c>
      <c r="L773" s="329">
        <f t="shared" si="436"/>
        <v>0</v>
      </c>
      <c r="M773" s="338">
        <f t="shared" si="442"/>
        <v>19598534.760000002</v>
      </c>
      <c r="N773" s="329">
        <f t="shared" si="437"/>
        <v>0</v>
      </c>
      <c r="O773" s="338">
        <f t="shared" si="443"/>
        <v>9000000</v>
      </c>
      <c r="P773" s="329">
        <f t="shared" si="438"/>
        <v>0</v>
      </c>
      <c r="Q773" s="338">
        <f t="shared" si="444"/>
        <v>0</v>
      </c>
      <c r="R773" s="329">
        <f t="shared" si="439"/>
        <v>0</v>
      </c>
      <c r="S773" s="338">
        <f t="shared" si="445"/>
        <v>0</v>
      </c>
      <c r="T773" s="329">
        <f t="shared" si="440"/>
        <v>0</v>
      </c>
      <c r="U773" s="338">
        <f t="shared" si="446"/>
        <v>0</v>
      </c>
      <c r="V773" s="329">
        <f t="shared" si="441"/>
        <v>0</v>
      </c>
      <c r="W773" s="338">
        <f t="shared" si="447"/>
        <v>2000000</v>
      </c>
      <c r="X773" s="35"/>
    </row>
    <row r="774" spans="1:24" x14ac:dyDescent="0.25">
      <c r="A774" s="335">
        <f t="shared" si="450"/>
        <v>44485</v>
      </c>
      <c r="B774" s="49">
        <f t="shared" si="448"/>
        <v>0</v>
      </c>
      <c r="C774" s="338">
        <f t="shared" si="451"/>
        <v>106372276</v>
      </c>
      <c r="D774" s="329">
        <f t="shared" si="449"/>
        <v>0</v>
      </c>
      <c r="E774" s="338">
        <f t="shared" si="452"/>
        <v>10941197.000671711</v>
      </c>
      <c r="F774" s="329">
        <f t="shared" si="456"/>
        <v>0</v>
      </c>
      <c r="G774" s="338">
        <f t="shared" si="453"/>
        <v>59600000</v>
      </c>
      <c r="H774" s="329">
        <f t="shared" si="434"/>
        <v>0</v>
      </c>
      <c r="I774" s="338">
        <f t="shared" si="454"/>
        <v>31721906</v>
      </c>
      <c r="J774" s="329">
        <f t="shared" si="435"/>
        <v>0</v>
      </c>
      <c r="K774" s="338">
        <f t="shared" si="455"/>
        <v>10200000</v>
      </c>
      <c r="L774" s="329">
        <f t="shared" si="436"/>
        <v>0</v>
      </c>
      <c r="M774" s="338">
        <f t="shared" si="442"/>
        <v>19598534.760000002</v>
      </c>
      <c r="N774" s="329">
        <f t="shared" si="437"/>
        <v>0</v>
      </c>
      <c r="O774" s="338">
        <f t="shared" si="443"/>
        <v>9000000</v>
      </c>
      <c r="P774" s="329">
        <f t="shared" si="438"/>
        <v>0</v>
      </c>
      <c r="Q774" s="338">
        <f t="shared" si="444"/>
        <v>0</v>
      </c>
      <c r="R774" s="329">
        <f t="shared" si="439"/>
        <v>0</v>
      </c>
      <c r="S774" s="338">
        <f t="shared" si="445"/>
        <v>0</v>
      </c>
      <c r="T774" s="329">
        <f t="shared" si="440"/>
        <v>0</v>
      </c>
      <c r="U774" s="338">
        <f t="shared" si="446"/>
        <v>0</v>
      </c>
      <c r="V774" s="329">
        <f t="shared" si="441"/>
        <v>0</v>
      </c>
      <c r="W774" s="338">
        <f t="shared" si="447"/>
        <v>2000000</v>
      </c>
      <c r="X774" s="35"/>
    </row>
    <row r="775" spans="1:24" x14ac:dyDescent="0.25">
      <c r="A775" s="335">
        <f t="shared" si="450"/>
        <v>44486</v>
      </c>
      <c r="B775" s="49">
        <f t="shared" si="448"/>
        <v>0</v>
      </c>
      <c r="C775" s="338">
        <f t="shared" si="451"/>
        <v>106372276</v>
      </c>
      <c r="D775" s="329">
        <f t="shared" si="449"/>
        <v>0</v>
      </c>
      <c r="E775" s="338">
        <f t="shared" si="452"/>
        <v>10941197.000671711</v>
      </c>
      <c r="F775" s="329">
        <f t="shared" si="456"/>
        <v>0</v>
      </c>
      <c r="G775" s="338">
        <f t="shared" si="453"/>
        <v>59600000</v>
      </c>
      <c r="H775" s="329">
        <f t="shared" si="434"/>
        <v>0</v>
      </c>
      <c r="I775" s="338">
        <f t="shared" si="454"/>
        <v>31721906</v>
      </c>
      <c r="J775" s="329">
        <f t="shared" si="435"/>
        <v>0</v>
      </c>
      <c r="K775" s="338">
        <f t="shared" si="455"/>
        <v>10200000</v>
      </c>
      <c r="L775" s="329">
        <f t="shared" si="436"/>
        <v>0</v>
      </c>
      <c r="M775" s="338">
        <f t="shared" si="442"/>
        <v>19598534.760000002</v>
      </c>
      <c r="N775" s="329">
        <f t="shared" si="437"/>
        <v>0</v>
      </c>
      <c r="O775" s="338">
        <f t="shared" si="443"/>
        <v>9000000</v>
      </c>
      <c r="P775" s="329">
        <f t="shared" si="438"/>
        <v>0</v>
      </c>
      <c r="Q775" s="338">
        <f t="shared" si="444"/>
        <v>0</v>
      </c>
      <c r="R775" s="329">
        <f t="shared" si="439"/>
        <v>0</v>
      </c>
      <c r="S775" s="338">
        <f t="shared" si="445"/>
        <v>0</v>
      </c>
      <c r="T775" s="329">
        <f t="shared" si="440"/>
        <v>0</v>
      </c>
      <c r="U775" s="338">
        <f t="shared" si="446"/>
        <v>0</v>
      </c>
      <c r="V775" s="329">
        <f t="shared" si="441"/>
        <v>0</v>
      </c>
      <c r="W775" s="338">
        <f t="shared" si="447"/>
        <v>2000000</v>
      </c>
      <c r="X775" s="35"/>
    </row>
    <row r="776" spans="1:24" x14ac:dyDescent="0.25">
      <c r="A776" s="335">
        <f t="shared" si="450"/>
        <v>44487</v>
      </c>
      <c r="B776" s="49">
        <f t="shared" si="448"/>
        <v>0</v>
      </c>
      <c r="C776" s="338">
        <f t="shared" si="451"/>
        <v>106372276</v>
      </c>
      <c r="D776" s="329">
        <f t="shared" si="449"/>
        <v>0</v>
      </c>
      <c r="E776" s="338">
        <f t="shared" si="452"/>
        <v>10941197.000671711</v>
      </c>
      <c r="F776" s="329">
        <f t="shared" si="456"/>
        <v>0</v>
      </c>
      <c r="G776" s="338">
        <f t="shared" si="453"/>
        <v>59600000</v>
      </c>
      <c r="H776" s="329">
        <f t="shared" si="434"/>
        <v>0</v>
      </c>
      <c r="I776" s="338">
        <f t="shared" si="454"/>
        <v>31721906</v>
      </c>
      <c r="J776" s="329">
        <f t="shared" si="435"/>
        <v>0</v>
      </c>
      <c r="K776" s="338">
        <f t="shared" si="455"/>
        <v>10200000</v>
      </c>
      <c r="L776" s="329">
        <f t="shared" si="436"/>
        <v>0</v>
      </c>
      <c r="M776" s="338">
        <f t="shared" si="442"/>
        <v>19598534.760000002</v>
      </c>
      <c r="N776" s="329">
        <f t="shared" si="437"/>
        <v>0</v>
      </c>
      <c r="O776" s="338">
        <f t="shared" si="443"/>
        <v>9000000</v>
      </c>
      <c r="P776" s="329">
        <f t="shared" si="438"/>
        <v>0</v>
      </c>
      <c r="Q776" s="338">
        <f t="shared" si="444"/>
        <v>0</v>
      </c>
      <c r="R776" s="329">
        <f t="shared" si="439"/>
        <v>0</v>
      </c>
      <c r="S776" s="338">
        <f t="shared" si="445"/>
        <v>0</v>
      </c>
      <c r="T776" s="329">
        <f t="shared" si="440"/>
        <v>0</v>
      </c>
      <c r="U776" s="338">
        <f t="shared" si="446"/>
        <v>0</v>
      </c>
      <c r="V776" s="329">
        <f t="shared" si="441"/>
        <v>0</v>
      </c>
      <c r="W776" s="338">
        <f t="shared" si="447"/>
        <v>2000000</v>
      </c>
      <c r="X776" s="35"/>
    </row>
    <row r="777" spans="1:24" x14ac:dyDescent="0.25">
      <c r="A777" s="335">
        <f t="shared" si="450"/>
        <v>44488</v>
      </c>
      <c r="B777" s="49">
        <f t="shared" si="448"/>
        <v>0</v>
      </c>
      <c r="C777" s="338">
        <f t="shared" si="451"/>
        <v>106372276</v>
      </c>
      <c r="D777" s="329">
        <f t="shared" si="449"/>
        <v>0</v>
      </c>
      <c r="E777" s="338">
        <f t="shared" si="452"/>
        <v>10941197.000671711</v>
      </c>
      <c r="F777" s="329">
        <f t="shared" si="456"/>
        <v>2100000</v>
      </c>
      <c r="G777" s="338">
        <f t="shared" si="453"/>
        <v>61700000</v>
      </c>
      <c r="H777" s="329">
        <f t="shared" si="434"/>
        <v>0</v>
      </c>
      <c r="I777" s="338">
        <f t="shared" si="454"/>
        <v>31721906</v>
      </c>
      <c r="J777" s="329">
        <f t="shared" si="435"/>
        <v>0</v>
      </c>
      <c r="K777" s="338">
        <f t="shared" si="455"/>
        <v>10200000</v>
      </c>
      <c r="L777" s="329">
        <f t="shared" si="436"/>
        <v>0</v>
      </c>
      <c r="M777" s="338">
        <f t="shared" si="442"/>
        <v>19598534.760000002</v>
      </c>
      <c r="N777" s="329">
        <f t="shared" si="437"/>
        <v>0</v>
      </c>
      <c r="O777" s="338">
        <f t="shared" si="443"/>
        <v>9000000</v>
      </c>
      <c r="P777" s="329">
        <f t="shared" si="438"/>
        <v>0</v>
      </c>
      <c r="Q777" s="338">
        <f t="shared" si="444"/>
        <v>0</v>
      </c>
      <c r="R777" s="329">
        <f t="shared" si="439"/>
        <v>0</v>
      </c>
      <c r="S777" s="338">
        <f t="shared" si="445"/>
        <v>0</v>
      </c>
      <c r="T777" s="329">
        <f t="shared" si="440"/>
        <v>0</v>
      </c>
      <c r="U777" s="338">
        <f t="shared" si="446"/>
        <v>0</v>
      </c>
      <c r="V777" s="329">
        <f t="shared" si="441"/>
        <v>0</v>
      </c>
      <c r="W777" s="338">
        <f t="shared" si="447"/>
        <v>2000000</v>
      </c>
      <c r="X777" s="35"/>
    </row>
    <row r="778" spans="1:24" x14ac:dyDescent="0.25">
      <c r="A778" s="335">
        <f t="shared" si="450"/>
        <v>44489</v>
      </c>
      <c r="B778" s="49">
        <f t="shared" si="448"/>
        <v>0</v>
      </c>
      <c r="C778" s="338">
        <f t="shared" si="451"/>
        <v>106372276</v>
      </c>
      <c r="D778" s="329">
        <f t="shared" si="449"/>
        <v>0</v>
      </c>
      <c r="E778" s="338">
        <f t="shared" si="452"/>
        <v>10941197.000671711</v>
      </c>
      <c r="F778" s="329">
        <f t="shared" si="456"/>
        <v>0</v>
      </c>
      <c r="G778" s="338">
        <f t="shared" si="453"/>
        <v>61700000</v>
      </c>
      <c r="H778" s="329">
        <f t="shared" si="434"/>
        <v>3000000</v>
      </c>
      <c r="I778" s="338">
        <f t="shared" si="454"/>
        <v>34721906</v>
      </c>
      <c r="J778" s="329">
        <f t="shared" si="435"/>
        <v>0</v>
      </c>
      <c r="K778" s="338">
        <f t="shared" si="455"/>
        <v>10200000</v>
      </c>
      <c r="L778" s="329">
        <f t="shared" si="436"/>
        <v>0</v>
      </c>
      <c r="M778" s="338">
        <f t="shared" si="442"/>
        <v>19598534.760000002</v>
      </c>
      <c r="N778" s="329">
        <f t="shared" si="437"/>
        <v>0</v>
      </c>
      <c r="O778" s="338">
        <f t="shared" si="443"/>
        <v>9000000</v>
      </c>
      <c r="P778" s="329">
        <f t="shared" si="438"/>
        <v>0</v>
      </c>
      <c r="Q778" s="338">
        <f t="shared" si="444"/>
        <v>0</v>
      </c>
      <c r="R778" s="329">
        <f t="shared" si="439"/>
        <v>0</v>
      </c>
      <c r="S778" s="338">
        <f t="shared" si="445"/>
        <v>0</v>
      </c>
      <c r="T778" s="329">
        <f t="shared" si="440"/>
        <v>0</v>
      </c>
      <c r="U778" s="338">
        <f t="shared" si="446"/>
        <v>0</v>
      </c>
      <c r="V778" s="329">
        <f t="shared" si="441"/>
        <v>0</v>
      </c>
      <c r="W778" s="338">
        <f t="shared" si="447"/>
        <v>2000000</v>
      </c>
      <c r="X778" s="35"/>
    </row>
    <row r="779" spans="1:24" x14ac:dyDescent="0.25">
      <c r="A779" s="335">
        <f t="shared" si="450"/>
        <v>44490</v>
      </c>
      <c r="B779" s="49">
        <f t="shared" si="448"/>
        <v>0</v>
      </c>
      <c r="C779" s="338">
        <f t="shared" si="451"/>
        <v>106372276</v>
      </c>
      <c r="D779" s="329">
        <f t="shared" si="449"/>
        <v>0</v>
      </c>
      <c r="E779" s="338">
        <f t="shared" si="452"/>
        <v>10941197.000671711</v>
      </c>
      <c r="F779" s="329">
        <f t="shared" si="456"/>
        <v>0</v>
      </c>
      <c r="G779" s="338">
        <f t="shared" si="453"/>
        <v>61700000</v>
      </c>
      <c r="H779" s="329">
        <f t="shared" si="434"/>
        <v>0</v>
      </c>
      <c r="I779" s="338">
        <f t="shared" si="454"/>
        <v>34721906</v>
      </c>
      <c r="J779" s="329">
        <f t="shared" si="435"/>
        <v>0</v>
      </c>
      <c r="K779" s="338">
        <f t="shared" si="455"/>
        <v>10200000</v>
      </c>
      <c r="L779" s="329">
        <f t="shared" si="436"/>
        <v>0</v>
      </c>
      <c r="M779" s="338">
        <f t="shared" si="442"/>
        <v>19598534.760000002</v>
      </c>
      <c r="N779" s="329">
        <f t="shared" si="437"/>
        <v>0</v>
      </c>
      <c r="O779" s="338">
        <f t="shared" si="443"/>
        <v>9000000</v>
      </c>
      <c r="P779" s="329">
        <f t="shared" si="438"/>
        <v>0</v>
      </c>
      <c r="Q779" s="338">
        <f t="shared" si="444"/>
        <v>0</v>
      </c>
      <c r="R779" s="329">
        <f t="shared" si="439"/>
        <v>0</v>
      </c>
      <c r="S779" s="338">
        <f t="shared" si="445"/>
        <v>0</v>
      </c>
      <c r="T779" s="329">
        <f t="shared" si="440"/>
        <v>0</v>
      </c>
      <c r="U779" s="338">
        <f t="shared" si="446"/>
        <v>0</v>
      </c>
      <c r="V779" s="329">
        <f t="shared" si="441"/>
        <v>0</v>
      </c>
      <c r="W779" s="338">
        <f t="shared" si="447"/>
        <v>2000000</v>
      </c>
      <c r="X779" s="35"/>
    </row>
    <row r="780" spans="1:24" x14ac:dyDescent="0.25">
      <c r="A780" s="335">
        <f t="shared" si="450"/>
        <v>44491</v>
      </c>
      <c r="B780" s="49">
        <f t="shared" si="448"/>
        <v>0</v>
      </c>
      <c r="C780" s="338">
        <f t="shared" si="451"/>
        <v>106372276</v>
      </c>
      <c r="D780" s="329">
        <f t="shared" si="449"/>
        <v>0</v>
      </c>
      <c r="E780" s="338">
        <f t="shared" si="452"/>
        <v>10941197.000671711</v>
      </c>
      <c r="F780" s="329">
        <f t="shared" si="456"/>
        <v>0</v>
      </c>
      <c r="G780" s="338">
        <f t="shared" si="453"/>
        <v>61700000</v>
      </c>
      <c r="H780" s="329">
        <f t="shared" si="434"/>
        <v>0</v>
      </c>
      <c r="I780" s="338">
        <f t="shared" si="454"/>
        <v>34721906</v>
      </c>
      <c r="J780" s="329">
        <f t="shared" si="435"/>
        <v>0</v>
      </c>
      <c r="K780" s="338">
        <f t="shared" si="455"/>
        <v>10200000</v>
      </c>
      <c r="L780" s="329">
        <f t="shared" si="436"/>
        <v>0</v>
      </c>
      <c r="M780" s="338">
        <f t="shared" si="442"/>
        <v>19598534.760000002</v>
      </c>
      <c r="N780" s="329">
        <f t="shared" si="437"/>
        <v>0</v>
      </c>
      <c r="O780" s="338">
        <f t="shared" si="443"/>
        <v>9000000</v>
      </c>
      <c r="P780" s="329">
        <f t="shared" si="438"/>
        <v>0</v>
      </c>
      <c r="Q780" s="338">
        <f t="shared" si="444"/>
        <v>0</v>
      </c>
      <c r="R780" s="329">
        <f t="shared" si="439"/>
        <v>0</v>
      </c>
      <c r="S780" s="338">
        <f t="shared" si="445"/>
        <v>0</v>
      </c>
      <c r="T780" s="329">
        <f t="shared" si="440"/>
        <v>0</v>
      </c>
      <c r="U780" s="338">
        <f t="shared" si="446"/>
        <v>0</v>
      </c>
      <c r="V780" s="329">
        <f t="shared" si="441"/>
        <v>0</v>
      </c>
      <c r="W780" s="338">
        <f t="shared" si="447"/>
        <v>2000000</v>
      </c>
      <c r="X780" s="35"/>
    </row>
    <row r="781" spans="1:24" x14ac:dyDescent="0.25">
      <c r="A781" s="335">
        <f t="shared" si="450"/>
        <v>44492</v>
      </c>
      <c r="B781" s="49">
        <f t="shared" si="448"/>
        <v>0</v>
      </c>
      <c r="C781" s="338">
        <f t="shared" si="451"/>
        <v>106372276</v>
      </c>
      <c r="D781" s="329">
        <f t="shared" si="449"/>
        <v>0</v>
      </c>
      <c r="E781" s="338">
        <f t="shared" si="452"/>
        <v>10941197.000671711</v>
      </c>
      <c r="F781" s="329">
        <f t="shared" si="456"/>
        <v>0</v>
      </c>
      <c r="G781" s="338">
        <f t="shared" si="453"/>
        <v>61700000</v>
      </c>
      <c r="H781" s="329">
        <f t="shared" si="434"/>
        <v>0</v>
      </c>
      <c r="I781" s="338">
        <f t="shared" si="454"/>
        <v>34721906</v>
      </c>
      <c r="J781" s="329">
        <f t="shared" si="435"/>
        <v>0</v>
      </c>
      <c r="K781" s="338">
        <f t="shared" si="455"/>
        <v>10200000</v>
      </c>
      <c r="L781" s="329">
        <f t="shared" si="436"/>
        <v>0</v>
      </c>
      <c r="M781" s="338">
        <f t="shared" si="442"/>
        <v>19598534.760000002</v>
      </c>
      <c r="N781" s="329">
        <f t="shared" si="437"/>
        <v>0</v>
      </c>
      <c r="O781" s="338">
        <f t="shared" si="443"/>
        <v>9000000</v>
      </c>
      <c r="P781" s="329">
        <f t="shared" si="438"/>
        <v>0</v>
      </c>
      <c r="Q781" s="338">
        <f t="shared" si="444"/>
        <v>0</v>
      </c>
      <c r="R781" s="329">
        <f t="shared" si="439"/>
        <v>0</v>
      </c>
      <c r="S781" s="338">
        <f t="shared" si="445"/>
        <v>0</v>
      </c>
      <c r="T781" s="329">
        <f t="shared" si="440"/>
        <v>0</v>
      </c>
      <c r="U781" s="338">
        <f t="shared" si="446"/>
        <v>0</v>
      </c>
      <c r="V781" s="329">
        <f t="shared" si="441"/>
        <v>0</v>
      </c>
      <c r="W781" s="338">
        <f t="shared" si="447"/>
        <v>2000000</v>
      </c>
      <c r="X781" s="35"/>
    </row>
    <row r="782" spans="1:24" x14ac:dyDescent="0.25">
      <c r="A782" s="335">
        <f t="shared" si="450"/>
        <v>44493</v>
      </c>
      <c r="B782" s="49">
        <f t="shared" si="448"/>
        <v>0</v>
      </c>
      <c r="C782" s="338">
        <f t="shared" si="451"/>
        <v>106372276</v>
      </c>
      <c r="D782" s="329">
        <f t="shared" si="449"/>
        <v>0</v>
      </c>
      <c r="E782" s="338">
        <f t="shared" si="452"/>
        <v>10941197.000671711</v>
      </c>
      <c r="F782" s="329">
        <f t="shared" si="456"/>
        <v>0</v>
      </c>
      <c r="G782" s="338">
        <f t="shared" si="453"/>
        <v>61700000</v>
      </c>
      <c r="H782" s="329">
        <f t="shared" si="434"/>
        <v>0</v>
      </c>
      <c r="I782" s="338">
        <f t="shared" si="454"/>
        <v>34721906</v>
      </c>
      <c r="J782" s="329">
        <f t="shared" si="435"/>
        <v>0</v>
      </c>
      <c r="K782" s="338">
        <f t="shared" si="455"/>
        <v>10200000</v>
      </c>
      <c r="L782" s="329">
        <f t="shared" si="436"/>
        <v>0</v>
      </c>
      <c r="M782" s="338">
        <f t="shared" si="442"/>
        <v>19598534.760000002</v>
      </c>
      <c r="N782" s="329">
        <f t="shared" si="437"/>
        <v>0</v>
      </c>
      <c r="O782" s="338">
        <f t="shared" si="443"/>
        <v>9000000</v>
      </c>
      <c r="P782" s="329">
        <f t="shared" si="438"/>
        <v>0</v>
      </c>
      <c r="Q782" s="338">
        <f t="shared" si="444"/>
        <v>0</v>
      </c>
      <c r="R782" s="329">
        <f t="shared" si="439"/>
        <v>0</v>
      </c>
      <c r="S782" s="338">
        <f t="shared" si="445"/>
        <v>0</v>
      </c>
      <c r="T782" s="329">
        <f t="shared" si="440"/>
        <v>0</v>
      </c>
      <c r="U782" s="338">
        <f t="shared" si="446"/>
        <v>0</v>
      </c>
      <c r="V782" s="329">
        <f t="shared" si="441"/>
        <v>0</v>
      </c>
      <c r="W782" s="338">
        <f t="shared" si="447"/>
        <v>2000000</v>
      </c>
      <c r="X782" s="35"/>
    </row>
    <row r="783" spans="1:24" x14ac:dyDescent="0.25">
      <c r="A783" s="335">
        <f t="shared" si="450"/>
        <v>44494</v>
      </c>
      <c r="B783" s="49">
        <f t="shared" si="448"/>
        <v>0</v>
      </c>
      <c r="C783" s="338">
        <f t="shared" si="451"/>
        <v>106372276</v>
      </c>
      <c r="D783" s="329">
        <f t="shared" si="449"/>
        <v>0</v>
      </c>
      <c r="E783" s="338">
        <f t="shared" si="452"/>
        <v>10941197.000671711</v>
      </c>
      <c r="F783" s="329">
        <f t="shared" si="456"/>
        <v>0</v>
      </c>
      <c r="G783" s="338">
        <f t="shared" si="453"/>
        <v>61700000</v>
      </c>
      <c r="H783" s="329">
        <f t="shared" si="434"/>
        <v>0</v>
      </c>
      <c r="I783" s="338">
        <f t="shared" si="454"/>
        <v>34721906</v>
      </c>
      <c r="J783" s="329">
        <f t="shared" si="435"/>
        <v>0</v>
      </c>
      <c r="K783" s="338">
        <f t="shared" si="455"/>
        <v>10200000</v>
      </c>
      <c r="L783" s="329">
        <f t="shared" si="436"/>
        <v>0</v>
      </c>
      <c r="M783" s="338">
        <f t="shared" si="442"/>
        <v>19598534.760000002</v>
      </c>
      <c r="N783" s="329">
        <f t="shared" si="437"/>
        <v>0</v>
      </c>
      <c r="O783" s="338">
        <f t="shared" si="443"/>
        <v>9000000</v>
      </c>
      <c r="P783" s="329">
        <f t="shared" si="438"/>
        <v>0</v>
      </c>
      <c r="Q783" s="338">
        <f t="shared" si="444"/>
        <v>0</v>
      </c>
      <c r="R783" s="329">
        <f t="shared" si="439"/>
        <v>0</v>
      </c>
      <c r="S783" s="338">
        <f t="shared" si="445"/>
        <v>0</v>
      </c>
      <c r="T783" s="329">
        <f t="shared" si="440"/>
        <v>0</v>
      </c>
      <c r="U783" s="338">
        <f t="shared" si="446"/>
        <v>0</v>
      </c>
      <c r="V783" s="329">
        <f t="shared" si="441"/>
        <v>2000000</v>
      </c>
      <c r="W783" s="338">
        <f t="shared" si="447"/>
        <v>4000000</v>
      </c>
      <c r="X783" s="35"/>
    </row>
    <row r="784" spans="1:24" x14ac:dyDescent="0.25">
      <c r="A784" s="335">
        <f t="shared" si="450"/>
        <v>44495</v>
      </c>
      <c r="B784" s="49">
        <f t="shared" si="448"/>
        <v>0</v>
      </c>
      <c r="C784" s="338">
        <f t="shared" si="451"/>
        <v>106372276</v>
      </c>
      <c r="D784" s="329">
        <f t="shared" si="449"/>
        <v>0</v>
      </c>
      <c r="E784" s="338">
        <f t="shared" si="452"/>
        <v>10941197.000671711</v>
      </c>
      <c r="F784" s="329">
        <f t="shared" si="456"/>
        <v>0</v>
      </c>
      <c r="G784" s="338">
        <f t="shared" si="453"/>
        <v>61700000</v>
      </c>
      <c r="H784" s="329">
        <f t="shared" si="434"/>
        <v>0</v>
      </c>
      <c r="I784" s="338">
        <f t="shared" si="454"/>
        <v>34721906</v>
      </c>
      <c r="J784" s="329">
        <f t="shared" si="435"/>
        <v>0</v>
      </c>
      <c r="K784" s="338">
        <f t="shared" si="455"/>
        <v>10200000</v>
      </c>
      <c r="L784" s="329">
        <f t="shared" si="436"/>
        <v>0</v>
      </c>
      <c r="M784" s="338">
        <f t="shared" si="442"/>
        <v>19598534.760000002</v>
      </c>
      <c r="N784" s="329">
        <f t="shared" si="437"/>
        <v>0</v>
      </c>
      <c r="O784" s="338">
        <f t="shared" si="443"/>
        <v>9000000</v>
      </c>
      <c r="P784" s="329">
        <f t="shared" si="438"/>
        <v>0</v>
      </c>
      <c r="Q784" s="338">
        <f t="shared" si="444"/>
        <v>0</v>
      </c>
      <c r="R784" s="329">
        <f t="shared" si="439"/>
        <v>0</v>
      </c>
      <c r="S784" s="338">
        <f t="shared" si="445"/>
        <v>0</v>
      </c>
      <c r="T784" s="329">
        <f t="shared" si="440"/>
        <v>0</v>
      </c>
      <c r="U784" s="338">
        <f t="shared" si="446"/>
        <v>0</v>
      </c>
      <c r="V784" s="329">
        <f t="shared" si="441"/>
        <v>0</v>
      </c>
      <c r="W784" s="338">
        <f t="shared" si="447"/>
        <v>4000000</v>
      </c>
      <c r="X784" s="35"/>
    </row>
    <row r="785" spans="1:24" x14ac:dyDescent="0.25">
      <c r="A785" s="335">
        <f t="shared" si="450"/>
        <v>44496</v>
      </c>
      <c r="B785" s="49">
        <f t="shared" si="448"/>
        <v>0</v>
      </c>
      <c r="C785" s="338">
        <f t="shared" si="451"/>
        <v>106372276</v>
      </c>
      <c r="D785" s="329">
        <f t="shared" si="449"/>
        <v>0</v>
      </c>
      <c r="E785" s="338">
        <f t="shared" si="452"/>
        <v>10941197.000671711</v>
      </c>
      <c r="F785" s="329">
        <f t="shared" si="456"/>
        <v>0</v>
      </c>
      <c r="G785" s="338">
        <f t="shared" si="453"/>
        <v>61700000</v>
      </c>
      <c r="H785" s="329">
        <f t="shared" si="434"/>
        <v>0</v>
      </c>
      <c r="I785" s="338">
        <f t="shared" si="454"/>
        <v>34721906</v>
      </c>
      <c r="J785" s="329">
        <f t="shared" si="435"/>
        <v>0</v>
      </c>
      <c r="K785" s="338">
        <f t="shared" si="455"/>
        <v>10200000</v>
      </c>
      <c r="L785" s="329">
        <f t="shared" si="436"/>
        <v>0</v>
      </c>
      <c r="M785" s="338">
        <f t="shared" si="442"/>
        <v>19598534.760000002</v>
      </c>
      <c r="N785" s="329">
        <f t="shared" si="437"/>
        <v>0</v>
      </c>
      <c r="O785" s="338">
        <f t="shared" si="443"/>
        <v>9000000</v>
      </c>
      <c r="P785" s="329">
        <f t="shared" si="438"/>
        <v>0</v>
      </c>
      <c r="Q785" s="338">
        <f t="shared" si="444"/>
        <v>0</v>
      </c>
      <c r="R785" s="329">
        <f t="shared" si="439"/>
        <v>0</v>
      </c>
      <c r="S785" s="338">
        <f t="shared" si="445"/>
        <v>0</v>
      </c>
      <c r="T785" s="329">
        <f t="shared" si="440"/>
        <v>0</v>
      </c>
      <c r="U785" s="338">
        <f t="shared" si="446"/>
        <v>0</v>
      </c>
      <c r="V785" s="329">
        <f t="shared" si="441"/>
        <v>0</v>
      </c>
      <c r="W785" s="338">
        <f t="shared" si="447"/>
        <v>4000000</v>
      </c>
      <c r="X785" s="35"/>
    </row>
    <row r="786" spans="1:24" x14ac:dyDescent="0.25">
      <c r="A786" s="335">
        <f t="shared" si="450"/>
        <v>44497</v>
      </c>
      <c r="B786" s="49">
        <f t="shared" si="448"/>
        <v>0</v>
      </c>
      <c r="C786" s="338">
        <f t="shared" si="451"/>
        <v>106372276</v>
      </c>
      <c r="D786" s="329">
        <f t="shared" si="449"/>
        <v>0</v>
      </c>
      <c r="E786" s="338">
        <f t="shared" si="452"/>
        <v>10941197.000671711</v>
      </c>
      <c r="F786" s="329">
        <f t="shared" si="456"/>
        <v>0</v>
      </c>
      <c r="G786" s="338">
        <f t="shared" si="453"/>
        <v>61700000</v>
      </c>
      <c r="H786" s="329">
        <f t="shared" si="434"/>
        <v>0</v>
      </c>
      <c r="I786" s="338">
        <f t="shared" si="454"/>
        <v>34721906</v>
      </c>
      <c r="J786" s="329">
        <f t="shared" si="435"/>
        <v>0</v>
      </c>
      <c r="K786" s="338">
        <f t="shared" si="455"/>
        <v>10200000</v>
      </c>
      <c r="L786" s="329">
        <f t="shared" si="436"/>
        <v>0</v>
      </c>
      <c r="M786" s="338">
        <f t="shared" si="442"/>
        <v>19598534.760000002</v>
      </c>
      <c r="N786" s="329">
        <f t="shared" si="437"/>
        <v>0</v>
      </c>
      <c r="O786" s="338">
        <f t="shared" si="443"/>
        <v>9000000</v>
      </c>
      <c r="P786" s="329">
        <f t="shared" si="438"/>
        <v>0</v>
      </c>
      <c r="Q786" s="338">
        <f t="shared" si="444"/>
        <v>0</v>
      </c>
      <c r="R786" s="329">
        <f t="shared" si="439"/>
        <v>0</v>
      </c>
      <c r="S786" s="338">
        <f t="shared" si="445"/>
        <v>0</v>
      </c>
      <c r="T786" s="329">
        <f t="shared" si="440"/>
        <v>0</v>
      </c>
      <c r="U786" s="338">
        <f t="shared" si="446"/>
        <v>0</v>
      </c>
      <c r="V786" s="329">
        <f t="shared" si="441"/>
        <v>0</v>
      </c>
      <c r="W786" s="338">
        <f t="shared" si="447"/>
        <v>4000000</v>
      </c>
      <c r="X786" s="35"/>
    </row>
    <row r="787" spans="1:24" x14ac:dyDescent="0.25">
      <c r="A787" s="335">
        <f t="shared" si="450"/>
        <v>44498</v>
      </c>
      <c r="B787" s="49">
        <f t="shared" si="448"/>
        <v>0</v>
      </c>
      <c r="C787" s="338">
        <f t="shared" si="451"/>
        <v>106372276</v>
      </c>
      <c r="D787" s="329">
        <f t="shared" si="449"/>
        <v>0</v>
      </c>
      <c r="E787" s="338">
        <f t="shared" si="452"/>
        <v>10941197.000671711</v>
      </c>
      <c r="F787" s="329">
        <f t="shared" si="456"/>
        <v>0</v>
      </c>
      <c r="G787" s="338">
        <f t="shared" si="453"/>
        <v>61700000</v>
      </c>
      <c r="H787" s="329">
        <f t="shared" si="434"/>
        <v>0</v>
      </c>
      <c r="I787" s="338">
        <f t="shared" si="454"/>
        <v>34721906</v>
      </c>
      <c r="J787" s="329">
        <f t="shared" si="435"/>
        <v>0</v>
      </c>
      <c r="K787" s="338">
        <f t="shared" si="455"/>
        <v>10200000</v>
      </c>
      <c r="L787" s="329">
        <f t="shared" si="436"/>
        <v>0</v>
      </c>
      <c r="M787" s="338">
        <f t="shared" si="442"/>
        <v>19598534.760000002</v>
      </c>
      <c r="N787" s="329">
        <f t="shared" si="437"/>
        <v>1000000</v>
      </c>
      <c r="O787" s="338">
        <f t="shared" si="443"/>
        <v>10000000</v>
      </c>
      <c r="P787" s="329">
        <f t="shared" si="438"/>
        <v>0</v>
      </c>
      <c r="Q787" s="338">
        <f t="shared" si="444"/>
        <v>0</v>
      </c>
      <c r="R787" s="329">
        <f t="shared" si="439"/>
        <v>0</v>
      </c>
      <c r="S787" s="338">
        <f t="shared" si="445"/>
        <v>0</v>
      </c>
      <c r="T787" s="329">
        <f t="shared" si="440"/>
        <v>0</v>
      </c>
      <c r="U787" s="338">
        <f t="shared" si="446"/>
        <v>0</v>
      </c>
      <c r="V787" s="329">
        <f t="shared" si="441"/>
        <v>0</v>
      </c>
      <c r="W787" s="338">
        <f t="shared" si="447"/>
        <v>4000000</v>
      </c>
      <c r="X787" s="35"/>
    </row>
    <row r="788" spans="1:24" x14ac:dyDescent="0.25">
      <c r="A788" s="335">
        <f t="shared" si="450"/>
        <v>44499</v>
      </c>
      <c r="B788" s="49">
        <f t="shared" si="448"/>
        <v>0</v>
      </c>
      <c r="C788" s="338">
        <f t="shared" si="451"/>
        <v>106372276</v>
      </c>
      <c r="D788" s="329">
        <f t="shared" si="449"/>
        <v>0</v>
      </c>
      <c r="E788" s="338">
        <f t="shared" si="452"/>
        <v>10941197.000671711</v>
      </c>
      <c r="F788" s="329">
        <f t="shared" si="456"/>
        <v>0</v>
      </c>
      <c r="G788" s="338">
        <f t="shared" si="453"/>
        <v>61700000</v>
      </c>
      <c r="H788" s="329">
        <f t="shared" si="434"/>
        <v>0</v>
      </c>
      <c r="I788" s="338">
        <f t="shared" si="454"/>
        <v>34721906</v>
      </c>
      <c r="J788" s="329">
        <f t="shared" si="435"/>
        <v>0</v>
      </c>
      <c r="K788" s="338">
        <f t="shared" si="455"/>
        <v>10200000</v>
      </c>
      <c r="L788" s="329">
        <f t="shared" si="436"/>
        <v>0</v>
      </c>
      <c r="M788" s="338">
        <f t="shared" si="442"/>
        <v>19598534.760000002</v>
      </c>
      <c r="N788" s="329">
        <f t="shared" si="437"/>
        <v>0</v>
      </c>
      <c r="O788" s="338">
        <f t="shared" si="443"/>
        <v>10000000</v>
      </c>
      <c r="P788" s="329">
        <f t="shared" si="438"/>
        <v>0</v>
      </c>
      <c r="Q788" s="338">
        <f t="shared" si="444"/>
        <v>0</v>
      </c>
      <c r="R788" s="329">
        <f t="shared" si="439"/>
        <v>0</v>
      </c>
      <c r="S788" s="338">
        <f t="shared" si="445"/>
        <v>0</v>
      </c>
      <c r="T788" s="329">
        <f t="shared" si="440"/>
        <v>0</v>
      </c>
      <c r="U788" s="338">
        <f t="shared" si="446"/>
        <v>0</v>
      </c>
      <c r="V788" s="329">
        <f t="shared" si="441"/>
        <v>0</v>
      </c>
      <c r="W788" s="338">
        <f t="shared" si="447"/>
        <v>4000000</v>
      </c>
      <c r="X788" s="35"/>
    </row>
    <row r="789" spans="1:24" x14ac:dyDescent="0.25">
      <c r="A789" s="335">
        <f t="shared" si="450"/>
        <v>44500</v>
      </c>
      <c r="B789" s="49">
        <f t="shared" si="448"/>
        <v>0</v>
      </c>
      <c r="C789" s="338">
        <f t="shared" si="451"/>
        <v>106372276</v>
      </c>
      <c r="D789" s="329">
        <f t="shared" si="449"/>
        <v>0</v>
      </c>
      <c r="E789" s="338">
        <f t="shared" si="452"/>
        <v>10941197.000671711</v>
      </c>
      <c r="F789" s="329">
        <f t="shared" si="456"/>
        <v>0</v>
      </c>
      <c r="G789" s="338">
        <f t="shared" si="453"/>
        <v>61700000</v>
      </c>
      <c r="H789" s="329">
        <f t="shared" si="434"/>
        <v>0</v>
      </c>
      <c r="I789" s="338">
        <f t="shared" si="454"/>
        <v>34721906</v>
      </c>
      <c r="J789" s="329">
        <f t="shared" si="435"/>
        <v>0</v>
      </c>
      <c r="K789" s="338">
        <f t="shared" si="455"/>
        <v>10200000</v>
      </c>
      <c r="L789" s="329">
        <f t="shared" si="436"/>
        <v>0</v>
      </c>
      <c r="M789" s="338">
        <f t="shared" si="442"/>
        <v>19598534.760000002</v>
      </c>
      <c r="N789" s="329">
        <f t="shared" si="437"/>
        <v>0</v>
      </c>
      <c r="O789" s="338">
        <f t="shared" si="443"/>
        <v>10000000</v>
      </c>
      <c r="P789" s="329">
        <f t="shared" si="438"/>
        <v>0</v>
      </c>
      <c r="Q789" s="338">
        <f t="shared" si="444"/>
        <v>0</v>
      </c>
      <c r="R789" s="329">
        <f t="shared" si="439"/>
        <v>0</v>
      </c>
      <c r="S789" s="338">
        <f t="shared" si="445"/>
        <v>0</v>
      </c>
      <c r="T789" s="329">
        <f t="shared" si="440"/>
        <v>0</v>
      </c>
      <c r="U789" s="338">
        <f t="shared" si="446"/>
        <v>0</v>
      </c>
      <c r="V789" s="329">
        <f t="shared" si="441"/>
        <v>0</v>
      </c>
      <c r="W789" s="338">
        <f t="shared" si="447"/>
        <v>4000000</v>
      </c>
      <c r="X789" s="35"/>
    </row>
    <row r="790" spans="1:24" x14ac:dyDescent="0.25">
      <c r="A790" s="335">
        <f t="shared" si="450"/>
        <v>44501</v>
      </c>
      <c r="B790" s="49">
        <f t="shared" si="448"/>
        <v>0</v>
      </c>
      <c r="C790" s="338">
        <f t="shared" si="451"/>
        <v>106372276</v>
      </c>
      <c r="D790" s="329">
        <f t="shared" si="449"/>
        <v>0</v>
      </c>
      <c r="E790" s="338">
        <f t="shared" si="452"/>
        <v>10941197.000671711</v>
      </c>
      <c r="F790" s="329">
        <f t="shared" si="456"/>
        <v>5700000</v>
      </c>
      <c r="G790" s="338">
        <f t="shared" si="453"/>
        <v>67400000</v>
      </c>
      <c r="H790" s="329">
        <f t="shared" si="434"/>
        <v>0</v>
      </c>
      <c r="I790" s="338">
        <f t="shared" si="454"/>
        <v>34721906</v>
      </c>
      <c r="J790" s="329">
        <f t="shared" si="435"/>
        <v>0</v>
      </c>
      <c r="K790" s="338">
        <f t="shared" si="455"/>
        <v>10200000</v>
      </c>
      <c r="L790" s="329">
        <f t="shared" si="436"/>
        <v>0</v>
      </c>
      <c r="M790" s="338">
        <f t="shared" si="442"/>
        <v>19598534.760000002</v>
      </c>
      <c r="N790" s="329">
        <f t="shared" si="437"/>
        <v>0</v>
      </c>
      <c r="O790" s="338">
        <f t="shared" si="443"/>
        <v>10000000</v>
      </c>
      <c r="P790" s="329">
        <f t="shared" si="438"/>
        <v>0</v>
      </c>
      <c r="Q790" s="338">
        <f t="shared" si="444"/>
        <v>0</v>
      </c>
      <c r="R790" s="329">
        <f t="shared" si="439"/>
        <v>0</v>
      </c>
      <c r="S790" s="338">
        <f t="shared" si="445"/>
        <v>0</v>
      </c>
      <c r="T790" s="329">
        <f t="shared" si="440"/>
        <v>0</v>
      </c>
      <c r="U790" s="338">
        <f t="shared" si="446"/>
        <v>0</v>
      </c>
      <c r="V790" s="329">
        <f t="shared" si="441"/>
        <v>0</v>
      </c>
      <c r="W790" s="338">
        <f t="shared" si="447"/>
        <v>4000000</v>
      </c>
      <c r="X790" s="35"/>
    </row>
    <row r="791" spans="1:24" x14ac:dyDescent="0.25">
      <c r="A791" s="335">
        <f t="shared" si="450"/>
        <v>44502</v>
      </c>
      <c r="B791" s="49">
        <f t="shared" si="448"/>
        <v>3000000</v>
      </c>
      <c r="C791" s="338">
        <f t="shared" si="451"/>
        <v>109372276</v>
      </c>
      <c r="D791" s="329">
        <f t="shared" si="449"/>
        <v>0</v>
      </c>
      <c r="E791" s="338">
        <f t="shared" si="452"/>
        <v>10941197.000671711</v>
      </c>
      <c r="F791" s="329">
        <f t="shared" si="456"/>
        <v>0</v>
      </c>
      <c r="G791" s="338">
        <f t="shared" si="453"/>
        <v>67400000</v>
      </c>
      <c r="H791" s="329">
        <f t="shared" si="434"/>
        <v>0</v>
      </c>
      <c r="I791" s="338">
        <f t="shared" si="454"/>
        <v>34721906</v>
      </c>
      <c r="J791" s="329">
        <f t="shared" si="435"/>
        <v>0</v>
      </c>
      <c r="K791" s="338">
        <f t="shared" si="455"/>
        <v>10200000</v>
      </c>
      <c r="L791" s="329">
        <f t="shared" si="436"/>
        <v>0</v>
      </c>
      <c r="M791" s="338">
        <f t="shared" si="442"/>
        <v>19598534.760000002</v>
      </c>
      <c r="N791" s="329">
        <f t="shared" si="437"/>
        <v>0</v>
      </c>
      <c r="O791" s="338">
        <f t="shared" si="443"/>
        <v>10000000</v>
      </c>
      <c r="P791" s="329">
        <f t="shared" si="438"/>
        <v>0</v>
      </c>
      <c r="Q791" s="338">
        <f t="shared" si="444"/>
        <v>0</v>
      </c>
      <c r="R791" s="329">
        <f t="shared" si="439"/>
        <v>0</v>
      </c>
      <c r="S791" s="338">
        <f t="shared" si="445"/>
        <v>0</v>
      </c>
      <c r="T791" s="329">
        <f t="shared" si="440"/>
        <v>0</v>
      </c>
      <c r="U791" s="338">
        <f t="shared" si="446"/>
        <v>0</v>
      </c>
      <c r="V791" s="329">
        <f t="shared" si="441"/>
        <v>2000000</v>
      </c>
      <c r="W791" s="338">
        <f t="shared" si="447"/>
        <v>6000000</v>
      </c>
      <c r="X791" s="35"/>
    </row>
    <row r="792" spans="1:24" x14ac:dyDescent="0.25">
      <c r="A792" s="335">
        <f t="shared" si="450"/>
        <v>44503</v>
      </c>
      <c r="B792" s="49">
        <f t="shared" si="448"/>
        <v>0</v>
      </c>
      <c r="C792" s="338">
        <f t="shared" si="451"/>
        <v>109372276</v>
      </c>
      <c r="D792" s="329">
        <f t="shared" si="449"/>
        <v>0</v>
      </c>
      <c r="E792" s="338">
        <f t="shared" si="452"/>
        <v>10941197.000671711</v>
      </c>
      <c r="F792" s="329">
        <f t="shared" si="456"/>
        <v>0</v>
      </c>
      <c r="G792" s="338">
        <f t="shared" si="453"/>
        <v>67400000</v>
      </c>
      <c r="H792" s="329">
        <f t="shared" si="434"/>
        <v>0</v>
      </c>
      <c r="I792" s="338">
        <f t="shared" si="454"/>
        <v>34721906</v>
      </c>
      <c r="J792" s="329">
        <f t="shared" si="435"/>
        <v>0</v>
      </c>
      <c r="K792" s="338">
        <f t="shared" si="455"/>
        <v>10200000</v>
      </c>
      <c r="L792" s="329">
        <f t="shared" si="436"/>
        <v>0</v>
      </c>
      <c r="M792" s="338">
        <f t="shared" si="442"/>
        <v>19598534.760000002</v>
      </c>
      <c r="N792" s="329">
        <f t="shared" si="437"/>
        <v>0</v>
      </c>
      <c r="O792" s="338">
        <f t="shared" si="443"/>
        <v>10000000</v>
      </c>
      <c r="P792" s="329">
        <f t="shared" si="438"/>
        <v>0</v>
      </c>
      <c r="Q792" s="338">
        <f t="shared" si="444"/>
        <v>0</v>
      </c>
      <c r="R792" s="329">
        <f t="shared" si="439"/>
        <v>0</v>
      </c>
      <c r="S792" s="338">
        <f t="shared" si="445"/>
        <v>0</v>
      </c>
      <c r="T792" s="329">
        <f t="shared" si="440"/>
        <v>0</v>
      </c>
      <c r="U792" s="338">
        <f t="shared" si="446"/>
        <v>0</v>
      </c>
      <c r="V792" s="329">
        <f t="shared" si="441"/>
        <v>0</v>
      </c>
      <c r="W792" s="338">
        <f t="shared" si="447"/>
        <v>6000000</v>
      </c>
      <c r="X792" s="35"/>
    </row>
    <row r="793" spans="1:24" x14ac:dyDescent="0.25">
      <c r="A793" s="335">
        <f t="shared" si="450"/>
        <v>44504</v>
      </c>
      <c r="B793" s="49">
        <f t="shared" si="448"/>
        <v>0</v>
      </c>
      <c r="C793" s="338">
        <f t="shared" si="451"/>
        <v>109372276</v>
      </c>
      <c r="D793" s="329">
        <f t="shared" si="449"/>
        <v>0</v>
      </c>
      <c r="E793" s="338">
        <f t="shared" si="452"/>
        <v>10941197.000671711</v>
      </c>
      <c r="F793" s="329">
        <f t="shared" si="456"/>
        <v>0</v>
      </c>
      <c r="G793" s="338">
        <f t="shared" si="453"/>
        <v>67400000</v>
      </c>
      <c r="H793" s="329">
        <f t="shared" si="434"/>
        <v>0</v>
      </c>
      <c r="I793" s="338">
        <f t="shared" si="454"/>
        <v>34721906</v>
      </c>
      <c r="J793" s="329">
        <f t="shared" si="435"/>
        <v>0</v>
      </c>
      <c r="K793" s="338">
        <f t="shared" si="455"/>
        <v>10200000</v>
      </c>
      <c r="L793" s="329">
        <f t="shared" si="436"/>
        <v>0</v>
      </c>
      <c r="M793" s="338">
        <f t="shared" si="442"/>
        <v>19598534.760000002</v>
      </c>
      <c r="N793" s="329">
        <f t="shared" si="437"/>
        <v>0</v>
      </c>
      <c r="O793" s="338">
        <f t="shared" si="443"/>
        <v>10000000</v>
      </c>
      <c r="P793" s="329">
        <f t="shared" si="438"/>
        <v>0</v>
      </c>
      <c r="Q793" s="338">
        <f t="shared" si="444"/>
        <v>0</v>
      </c>
      <c r="R793" s="329">
        <f t="shared" si="439"/>
        <v>0</v>
      </c>
      <c r="S793" s="338">
        <f t="shared" si="445"/>
        <v>0</v>
      </c>
      <c r="T793" s="329">
        <f t="shared" si="440"/>
        <v>0</v>
      </c>
      <c r="U793" s="338">
        <f t="shared" si="446"/>
        <v>0</v>
      </c>
      <c r="V793" s="329">
        <f t="shared" si="441"/>
        <v>0</v>
      </c>
      <c r="W793" s="338">
        <f t="shared" si="447"/>
        <v>6000000</v>
      </c>
      <c r="X793" s="35"/>
    </row>
    <row r="794" spans="1:24" x14ac:dyDescent="0.25">
      <c r="A794" s="335">
        <f t="shared" si="450"/>
        <v>44505</v>
      </c>
      <c r="B794" s="49">
        <f t="shared" si="448"/>
        <v>5000000</v>
      </c>
      <c r="C794" s="338">
        <f t="shared" si="451"/>
        <v>114372276</v>
      </c>
      <c r="D794" s="329">
        <f t="shared" si="449"/>
        <v>0</v>
      </c>
      <c r="E794" s="338">
        <f t="shared" si="452"/>
        <v>10941197.000671711</v>
      </c>
      <c r="F794" s="329">
        <f t="shared" si="456"/>
        <v>0</v>
      </c>
      <c r="G794" s="338">
        <f t="shared" si="453"/>
        <v>67400000</v>
      </c>
      <c r="H794" s="329">
        <f t="shared" si="434"/>
        <v>2000000</v>
      </c>
      <c r="I794" s="338">
        <f t="shared" si="454"/>
        <v>36721906</v>
      </c>
      <c r="J794" s="329">
        <f t="shared" si="435"/>
        <v>0</v>
      </c>
      <c r="K794" s="338">
        <f t="shared" si="455"/>
        <v>10200000</v>
      </c>
      <c r="L794" s="329">
        <f t="shared" si="436"/>
        <v>0</v>
      </c>
      <c r="M794" s="338">
        <f t="shared" si="442"/>
        <v>19598534.760000002</v>
      </c>
      <c r="N794" s="329">
        <f t="shared" si="437"/>
        <v>0</v>
      </c>
      <c r="O794" s="338">
        <f t="shared" si="443"/>
        <v>10000000</v>
      </c>
      <c r="P794" s="329">
        <f t="shared" si="438"/>
        <v>0</v>
      </c>
      <c r="Q794" s="338">
        <f t="shared" si="444"/>
        <v>0</v>
      </c>
      <c r="R794" s="329">
        <f t="shared" si="439"/>
        <v>0</v>
      </c>
      <c r="S794" s="338">
        <f t="shared" si="445"/>
        <v>0</v>
      </c>
      <c r="T794" s="329">
        <f t="shared" si="440"/>
        <v>0</v>
      </c>
      <c r="U794" s="338">
        <f t="shared" si="446"/>
        <v>0</v>
      </c>
      <c r="V794" s="329">
        <f t="shared" si="441"/>
        <v>0</v>
      </c>
      <c r="W794" s="338">
        <f t="shared" si="447"/>
        <v>6000000</v>
      </c>
      <c r="X794" s="35"/>
    </row>
    <row r="795" spans="1:24" x14ac:dyDescent="0.25">
      <c r="A795" s="335">
        <f t="shared" si="450"/>
        <v>44506</v>
      </c>
      <c r="B795" s="49">
        <f t="shared" si="448"/>
        <v>0</v>
      </c>
      <c r="C795" s="338">
        <f t="shared" si="451"/>
        <v>114372276</v>
      </c>
      <c r="D795" s="329">
        <f t="shared" si="449"/>
        <v>0</v>
      </c>
      <c r="E795" s="338">
        <f t="shared" si="452"/>
        <v>10941197.000671711</v>
      </c>
      <c r="F795" s="329">
        <f t="shared" si="456"/>
        <v>0</v>
      </c>
      <c r="G795" s="338">
        <f t="shared" si="453"/>
        <v>67400000</v>
      </c>
      <c r="H795" s="329">
        <f t="shared" si="434"/>
        <v>0</v>
      </c>
      <c r="I795" s="338">
        <f t="shared" si="454"/>
        <v>36721906</v>
      </c>
      <c r="J795" s="329">
        <f t="shared" si="435"/>
        <v>0</v>
      </c>
      <c r="K795" s="338">
        <f t="shared" si="455"/>
        <v>10200000</v>
      </c>
      <c r="L795" s="329">
        <f t="shared" si="436"/>
        <v>0</v>
      </c>
      <c r="M795" s="338">
        <f t="shared" si="442"/>
        <v>19598534.760000002</v>
      </c>
      <c r="N795" s="329">
        <f t="shared" si="437"/>
        <v>0</v>
      </c>
      <c r="O795" s="338">
        <f t="shared" si="443"/>
        <v>10000000</v>
      </c>
      <c r="P795" s="329">
        <f t="shared" si="438"/>
        <v>0</v>
      </c>
      <c r="Q795" s="338">
        <f t="shared" si="444"/>
        <v>0</v>
      </c>
      <c r="R795" s="329">
        <f t="shared" si="439"/>
        <v>0</v>
      </c>
      <c r="S795" s="338">
        <f t="shared" si="445"/>
        <v>0</v>
      </c>
      <c r="T795" s="329">
        <f t="shared" si="440"/>
        <v>0</v>
      </c>
      <c r="U795" s="338">
        <f t="shared" si="446"/>
        <v>0</v>
      </c>
      <c r="V795" s="329">
        <f t="shared" si="441"/>
        <v>0</v>
      </c>
      <c r="W795" s="338">
        <f t="shared" si="447"/>
        <v>6000000</v>
      </c>
      <c r="X795" s="35"/>
    </row>
    <row r="796" spans="1:24" x14ac:dyDescent="0.25">
      <c r="A796" s="335">
        <f t="shared" si="450"/>
        <v>44507</v>
      </c>
      <c r="B796" s="49">
        <f t="shared" si="448"/>
        <v>0</v>
      </c>
      <c r="C796" s="338">
        <f t="shared" si="451"/>
        <v>114372276</v>
      </c>
      <c r="D796" s="329">
        <f t="shared" si="449"/>
        <v>0</v>
      </c>
      <c r="E796" s="338">
        <f t="shared" si="452"/>
        <v>10941197.000671711</v>
      </c>
      <c r="F796" s="329">
        <f t="shared" si="456"/>
        <v>0</v>
      </c>
      <c r="G796" s="338">
        <f t="shared" si="453"/>
        <v>67400000</v>
      </c>
      <c r="H796" s="329">
        <f t="shared" si="434"/>
        <v>0</v>
      </c>
      <c r="I796" s="338">
        <f t="shared" si="454"/>
        <v>36721906</v>
      </c>
      <c r="J796" s="329">
        <f t="shared" si="435"/>
        <v>0</v>
      </c>
      <c r="K796" s="338">
        <f t="shared" si="455"/>
        <v>10200000</v>
      </c>
      <c r="L796" s="329">
        <f t="shared" si="436"/>
        <v>0</v>
      </c>
      <c r="M796" s="338">
        <f t="shared" si="442"/>
        <v>19598534.760000002</v>
      </c>
      <c r="N796" s="329">
        <f t="shared" si="437"/>
        <v>0</v>
      </c>
      <c r="O796" s="338">
        <f t="shared" si="443"/>
        <v>10000000</v>
      </c>
      <c r="P796" s="329">
        <f t="shared" si="438"/>
        <v>0</v>
      </c>
      <c r="Q796" s="338">
        <f t="shared" si="444"/>
        <v>0</v>
      </c>
      <c r="R796" s="329">
        <f t="shared" si="439"/>
        <v>0</v>
      </c>
      <c r="S796" s="338">
        <f t="shared" si="445"/>
        <v>0</v>
      </c>
      <c r="T796" s="329">
        <f t="shared" si="440"/>
        <v>0</v>
      </c>
      <c r="U796" s="338">
        <f t="shared" si="446"/>
        <v>0</v>
      </c>
      <c r="V796" s="329">
        <f t="shared" si="441"/>
        <v>0</v>
      </c>
      <c r="W796" s="338">
        <f t="shared" si="447"/>
        <v>6000000</v>
      </c>
      <c r="X796" s="35"/>
    </row>
    <row r="797" spans="1:24" x14ac:dyDescent="0.25">
      <c r="A797" s="335">
        <f t="shared" si="450"/>
        <v>44508</v>
      </c>
      <c r="B797" s="49">
        <f t="shared" si="448"/>
        <v>0</v>
      </c>
      <c r="C797" s="338">
        <f t="shared" si="451"/>
        <v>114372276</v>
      </c>
      <c r="D797" s="329">
        <f t="shared" si="449"/>
        <v>0</v>
      </c>
      <c r="E797" s="338">
        <f t="shared" si="452"/>
        <v>10941197.000671711</v>
      </c>
      <c r="F797" s="329">
        <f t="shared" si="456"/>
        <v>0</v>
      </c>
      <c r="G797" s="338">
        <f t="shared" si="453"/>
        <v>67400000</v>
      </c>
      <c r="H797" s="329">
        <f t="shared" si="434"/>
        <v>0</v>
      </c>
      <c r="I797" s="338">
        <f t="shared" si="454"/>
        <v>36721906</v>
      </c>
      <c r="J797" s="329">
        <f t="shared" si="435"/>
        <v>0</v>
      </c>
      <c r="K797" s="338">
        <f t="shared" si="455"/>
        <v>10200000</v>
      </c>
      <c r="L797" s="329">
        <f t="shared" si="436"/>
        <v>0</v>
      </c>
      <c r="M797" s="338">
        <f t="shared" si="442"/>
        <v>19598534.760000002</v>
      </c>
      <c r="N797" s="329">
        <f t="shared" si="437"/>
        <v>0</v>
      </c>
      <c r="O797" s="338">
        <f t="shared" si="443"/>
        <v>10000000</v>
      </c>
      <c r="P797" s="329">
        <f t="shared" si="438"/>
        <v>0</v>
      </c>
      <c r="Q797" s="338">
        <f t="shared" si="444"/>
        <v>0</v>
      </c>
      <c r="R797" s="329">
        <f t="shared" si="439"/>
        <v>0</v>
      </c>
      <c r="S797" s="338">
        <f t="shared" si="445"/>
        <v>0</v>
      </c>
      <c r="T797" s="329">
        <f t="shared" si="440"/>
        <v>0</v>
      </c>
      <c r="U797" s="338">
        <f t="shared" si="446"/>
        <v>0</v>
      </c>
      <c r="V797" s="329">
        <f t="shared" si="441"/>
        <v>0</v>
      </c>
      <c r="W797" s="338">
        <f t="shared" si="447"/>
        <v>6000000</v>
      </c>
      <c r="X797" s="35"/>
    </row>
    <row r="798" spans="1:24" x14ac:dyDescent="0.25">
      <c r="A798" s="335">
        <f t="shared" si="450"/>
        <v>44509</v>
      </c>
      <c r="B798" s="49">
        <f t="shared" si="448"/>
        <v>0</v>
      </c>
      <c r="C798" s="338">
        <f t="shared" si="451"/>
        <v>114372276</v>
      </c>
      <c r="D798" s="329">
        <f t="shared" si="449"/>
        <v>0</v>
      </c>
      <c r="E798" s="338">
        <f t="shared" si="452"/>
        <v>10941197.000671711</v>
      </c>
      <c r="F798" s="329">
        <f t="shared" si="456"/>
        <v>0</v>
      </c>
      <c r="G798" s="338">
        <f t="shared" si="453"/>
        <v>67400000</v>
      </c>
      <c r="H798" s="329">
        <f t="shared" si="434"/>
        <v>0</v>
      </c>
      <c r="I798" s="338">
        <f t="shared" si="454"/>
        <v>36721906</v>
      </c>
      <c r="J798" s="329">
        <f t="shared" si="435"/>
        <v>0</v>
      </c>
      <c r="K798" s="338">
        <f t="shared" si="455"/>
        <v>10200000</v>
      </c>
      <c r="L798" s="329">
        <f t="shared" si="436"/>
        <v>0</v>
      </c>
      <c r="M798" s="338">
        <f t="shared" si="442"/>
        <v>19598534.760000002</v>
      </c>
      <c r="N798" s="329">
        <f t="shared" si="437"/>
        <v>0</v>
      </c>
      <c r="O798" s="338">
        <f t="shared" si="443"/>
        <v>10000000</v>
      </c>
      <c r="P798" s="329">
        <f t="shared" si="438"/>
        <v>0</v>
      </c>
      <c r="Q798" s="338">
        <f t="shared" si="444"/>
        <v>0</v>
      </c>
      <c r="R798" s="329">
        <f t="shared" si="439"/>
        <v>0</v>
      </c>
      <c r="S798" s="338">
        <f t="shared" si="445"/>
        <v>0</v>
      </c>
      <c r="T798" s="329">
        <f t="shared" si="440"/>
        <v>0</v>
      </c>
      <c r="U798" s="338">
        <f t="shared" si="446"/>
        <v>0</v>
      </c>
      <c r="V798" s="329">
        <f t="shared" si="441"/>
        <v>0</v>
      </c>
      <c r="W798" s="338">
        <f t="shared" si="447"/>
        <v>6000000</v>
      </c>
      <c r="X798" s="35"/>
    </row>
    <row r="799" spans="1:24" x14ac:dyDescent="0.25">
      <c r="A799" s="335">
        <f t="shared" si="450"/>
        <v>44510</v>
      </c>
      <c r="B799" s="49">
        <f t="shared" si="448"/>
        <v>0</v>
      </c>
      <c r="C799" s="338">
        <f t="shared" si="451"/>
        <v>114372276</v>
      </c>
      <c r="D799" s="329">
        <f t="shared" si="449"/>
        <v>0</v>
      </c>
      <c r="E799" s="338">
        <f t="shared" si="452"/>
        <v>10941197.000671711</v>
      </c>
      <c r="F799" s="329">
        <f t="shared" si="456"/>
        <v>0</v>
      </c>
      <c r="G799" s="338">
        <f t="shared" si="453"/>
        <v>67400000</v>
      </c>
      <c r="H799" s="329">
        <f t="shared" si="434"/>
        <v>0</v>
      </c>
      <c r="I799" s="338">
        <f t="shared" si="454"/>
        <v>36721906</v>
      </c>
      <c r="J799" s="329">
        <f t="shared" si="435"/>
        <v>0</v>
      </c>
      <c r="K799" s="338">
        <f t="shared" si="455"/>
        <v>10200000</v>
      </c>
      <c r="L799" s="329">
        <f t="shared" si="436"/>
        <v>0</v>
      </c>
      <c r="M799" s="338">
        <f t="shared" si="442"/>
        <v>19598534.760000002</v>
      </c>
      <c r="N799" s="329">
        <f t="shared" si="437"/>
        <v>0</v>
      </c>
      <c r="O799" s="338">
        <f t="shared" si="443"/>
        <v>10000000</v>
      </c>
      <c r="P799" s="329">
        <f t="shared" si="438"/>
        <v>0</v>
      </c>
      <c r="Q799" s="338">
        <f t="shared" si="444"/>
        <v>0</v>
      </c>
      <c r="R799" s="329">
        <f t="shared" si="439"/>
        <v>0</v>
      </c>
      <c r="S799" s="338">
        <f t="shared" si="445"/>
        <v>0</v>
      </c>
      <c r="T799" s="329">
        <f t="shared" si="440"/>
        <v>0</v>
      </c>
      <c r="U799" s="338">
        <f t="shared" si="446"/>
        <v>0</v>
      </c>
      <c r="V799" s="329">
        <f t="shared" si="441"/>
        <v>0</v>
      </c>
      <c r="W799" s="338">
        <f t="shared" si="447"/>
        <v>6000000</v>
      </c>
      <c r="X799" s="35"/>
    </row>
    <row r="800" spans="1:24" x14ac:dyDescent="0.25">
      <c r="A800" s="335">
        <f t="shared" si="450"/>
        <v>44511</v>
      </c>
      <c r="B800" s="49">
        <f t="shared" si="448"/>
        <v>0</v>
      </c>
      <c r="C800" s="338">
        <f t="shared" si="451"/>
        <v>114372276</v>
      </c>
      <c r="D800" s="329">
        <f t="shared" si="449"/>
        <v>0</v>
      </c>
      <c r="E800" s="338">
        <f t="shared" si="452"/>
        <v>10941197.000671711</v>
      </c>
      <c r="F800" s="329">
        <f t="shared" si="456"/>
        <v>0</v>
      </c>
      <c r="G800" s="338">
        <f t="shared" si="453"/>
        <v>67400000</v>
      </c>
      <c r="H800" s="329">
        <f t="shared" si="434"/>
        <v>0</v>
      </c>
      <c r="I800" s="338">
        <f t="shared" si="454"/>
        <v>36721906</v>
      </c>
      <c r="J800" s="329">
        <f t="shared" si="435"/>
        <v>0</v>
      </c>
      <c r="K800" s="338">
        <f t="shared" si="455"/>
        <v>10200000</v>
      </c>
      <c r="L800" s="329">
        <f t="shared" si="436"/>
        <v>0</v>
      </c>
      <c r="M800" s="338">
        <f t="shared" si="442"/>
        <v>19598534.760000002</v>
      </c>
      <c r="N800" s="329">
        <f t="shared" si="437"/>
        <v>0</v>
      </c>
      <c r="O800" s="338">
        <f t="shared" si="443"/>
        <v>10000000</v>
      </c>
      <c r="P800" s="329">
        <f t="shared" si="438"/>
        <v>0</v>
      </c>
      <c r="Q800" s="338">
        <f t="shared" si="444"/>
        <v>0</v>
      </c>
      <c r="R800" s="329">
        <f t="shared" si="439"/>
        <v>0</v>
      </c>
      <c r="S800" s="338">
        <f t="shared" si="445"/>
        <v>0</v>
      </c>
      <c r="T800" s="329">
        <f t="shared" si="440"/>
        <v>0</v>
      </c>
      <c r="U800" s="338">
        <f t="shared" si="446"/>
        <v>0</v>
      </c>
      <c r="V800" s="329">
        <f t="shared" si="441"/>
        <v>0</v>
      </c>
      <c r="W800" s="338">
        <f t="shared" si="447"/>
        <v>6000000</v>
      </c>
      <c r="X800" s="35"/>
    </row>
    <row r="801" spans="1:24" x14ac:dyDescent="0.25">
      <c r="A801" s="335">
        <f t="shared" si="450"/>
        <v>44512</v>
      </c>
      <c r="B801" s="49">
        <f t="shared" si="448"/>
        <v>0</v>
      </c>
      <c r="C801" s="338">
        <f t="shared" si="451"/>
        <v>114372276</v>
      </c>
      <c r="D801" s="329">
        <f t="shared" si="449"/>
        <v>0</v>
      </c>
      <c r="E801" s="338">
        <f t="shared" si="452"/>
        <v>10941197.000671711</v>
      </c>
      <c r="F801" s="329">
        <f t="shared" si="456"/>
        <v>0</v>
      </c>
      <c r="G801" s="338">
        <f t="shared" si="453"/>
        <v>67400000</v>
      </c>
      <c r="H801" s="329">
        <f t="shared" si="434"/>
        <v>0</v>
      </c>
      <c r="I801" s="338">
        <f t="shared" si="454"/>
        <v>36721906</v>
      </c>
      <c r="J801" s="329">
        <f t="shared" si="435"/>
        <v>0</v>
      </c>
      <c r="K801" s="338">
        <f t="shared" si="455"/>
        <v>10200000</v>
      </c>
      <c r="L801" s="329">
        <f t="shared" si="436"/>
        <v>0</v>
      </c>
      <c r="M801" s="338">
        <f t="shared" si="442"/>
        <v>19598534.760000002</v>
      </c>
      <c r="N801" s="329">
        <f t="shared" si="437"/>
        <v>0</v>
      </c>
      <c r="O801" s="338">
        <f t="shared" si="443"/>
        <v>10000000</v>
      </c>
      <c r="P801" s="329">
        <f t="shared" si="438"/>
        <v>0</v>
      </c>
      <c r="Q801" s="338">
        <f t="shared" si="444"/>
        <v>0</v>
      </c>
      <c r="R801" s="329">
        <f t="shared" si="439"/>
        <v>0</v>
      </c>
      <c r="S801" s="338">
        <f t="shared" si="445"/>
        <v>0</v>
      </c>
      <c r="T801" s="329">
        <f t="shared" si="440"/>
        <v>0</v>
      </c>
      <c r="U801" s="338">
        <f t="shared" si="446"/>
        <v>0</v>
      </c>
      <c r="V801" s="329">
        <f t="shared" si="441"/>
        <v>0</v>
      </c>
      <c r="W801" s="338">
        <f t="shared" si="447"/>
        <v>6000000</v>
      </c>
      <c r="X801" s="35"/>
    </row>
    <row r="802" spans="1:24" x14ac:dyDescent="0.25">
      <c r="A802" s="335">
        <f t="shared" si="450"/>
        <v>44513</v>
      </c>
      <c r="B802" s="49">
        <f t="shared" si="448"/>
        <v>0</v>
      </c>
      <c r="C802" s="338">
        <f t="shared" si="451"/>
        <v>114372276</v>
      </c>
      <c r="D802" s="329">
        <f t="shared" si="449"/>
        <v>0</v>
      </c>
      <c r="E802" s="338">
        <f t="shared" si="452"/>
        <v>10941197.000671711</v>
      </c>
      <c r="F802" s="329">
        <f t="shared" si="456"/>
        <v>0</v>
      </c>
      <c r="G802" s="338">
        <f t="shared" si="453"/>
        <v>67400000</v>
      </c>
      <c r="H802" s="329">
        <f t="shared" si="434"/>
        <v>0</v>
      </c>
      <c r="I802" s="338">
        <f t="shared" si="454"/>
        <v>36721906</v>
      </c>
      <c r="J802" s="329">
        <f t="shared" si="435"/>
        <v>0</v>
      </c>
      <c r="K802" s="338">
        <f t="shared" si="455"/>
        <v>10200000</v>
      </c>
      <c r="L802" s="329">
        <f t="shared" si="436"/>
        <v>0</v>
      </c>
      <c r="M802" s="338">
        <f t="shared" si="442"/>
        <v>19598534.760000002</v>
      </c>
      <c r="N802" s="329">
        <f t="shared" si="437"/>
        <v>0</v>
      </c>
      <c r="O802" s="338">
        <f t="shared" si="443"/>
        <v>10000000</v>
      </c>
      <c r="P802" s="329">
        <f t="shared" si="438"/>
        <v>0</v>
      </c>
      <c r="Q802" s="338">
        <f t="shared" si="444"/>
        <v>0</v>
      </c>
      <c r="R802" s="329">
        <f t="shared" si="439"/>
        <v>0</v>
      </c>
      <c r="S802" s="338">
        <f t="shared" si="445"/>
        <v>0</v>
      </c>
      <c r="T802" s="329">
        <f t="shared" si="440"/>
        <v>0</v>
      </c>
      <c r="U802" s="338">
        <f t="shared" si="446"/>
        <v>0</v>
      </c>
      <c r="V802" s="329">
        <f t="shared" si="441"/>
        <v>0</v>
      </c>
      <c r="W802" s="338">
        <f t="shared" si="447"/>
        <v>6000000</v>
      </c>
      <c r="X802" s="35"/>
    </row>
    <row r="803" spans="1:24" x14ac:dyDescent="0.25">
      <c r="A803" s="335">
        <f t="shared" si="450"/>
        <v>44514</v>
      </c>
      <c r="B803" s="49">
        <f t="shared" si="448"/>
        <v>0</v>
      </c>
      <c r="C803" s="338">
        <f t="shared" si="451"/>
        <v>114372276</v>
      </c>
      <c r="D803" s="329">
        <f t="shared" si="449"/>
        <v>0</v>
      </c>
      <c r="E803" s="338">
        <f t="shared" si="452"/>
        <v>10941197.000671711</v>
      </c>
      <c r="F803" s="329">
        <f t="shared" si="456"/>
        <v>0</v>
      </c>
      <c r="G803" s="338">
        <f t="shared" si="453"/>
        <v>67400000</v>
      </c>
      <c r="H803" s="329">
        <f t="shared" si="434"/>
        <v>0</v>
      </c>
      <c r="I803" s="338">
        <f t="shared" si="454"/>
        <v>36721906</v>
      </c>
      <c r="J803" s="329">
        <f t="shared" si="435"/>
        <v>0</v>
      </c>
      <c r="K803" s="338">
        <f t="shared" si="455"/>
        <v>10200000</v>
      </c>
      <c r="L803" s="329">
        <f t="shared" si="436"/>
        <v>0</v>
      </c>
      <c r="M803" s="338">
        <f t="shared" si="442"/>
        <v>19598534.760000002</v>
      </c>
      <c r="N803" s="329">
        <f t="shared" si="437"/>
        <v>0</v>
      </c>
      <c r="O803" s="338">
        <f t="shared" si="443"/>
        <v>10000000</v>
      </c>
      <c r="P803" s="329">
        <f t="shared" si="438"/>
        <v>0</v>
      </c>
      <c r="Q803" s="338">
        <f t="shared" si="444"/>
        <v>0</v>
      </c>
      <c r="R803" s="329">
        <f t="shared" si="439"/>
        <v>0</v>
      </c>
      <c r="S803" s="338">
        <f t="shared" si="445"/>
        <v>0</v>
      </c>
      <c r="T803" s="329">
        <f t="shared" si="440"/>
        <v>0</v>
      </c>
      <c r="U803" s="338">
        <f t="shared" si="446"/>
        <v>0</v>
      </c>
      <c r="V803" s="329">
        <f t="shared" si="441"/>
        <v>0</v>
      </c>
      <c r="W803" s="338">
        <f t="shared" si="447"/>
        <v>6000000</v>
      </c>
      <c r="X803" s="35"/>
    </row>
    <row r="804" spans="1:24" x14ac:dyDescent="0.25">
      <c r="A804" s="335">
        <f t="shared" si="450"/>
        <v>44515</v>
      </c>
      <c r="B804" s="49">
        <f t="shared" si="448"/>
        <v>0</v>
      </c>
      <c r="C804" s="338">
        <f t="shared" si="451"/>
        <v>114372276</v>
      </c>
      <c r="D804" s="329">
        <f t="shared" si="449"/>
        <v>0</v>
      </c>
      <c r="E804" s="338">
        <f t="shared" si="452"/>
        <v>10941197.000671711</v>
      </c>
      <c r="F804" s="329">
        <f t="shared" si="456"/>
        <v>0</v>
      </c>
      <c r="G804" s="338">
        <f t="shared" si="453"/>
        <v>67400000</v>
      </c>
      <c r="H804" s="329">
        <f t="shared" si="434"/>
        <v>0</v>
      </c>
      <c r="I804" s="338">
        <f t="shared" si="454"/>
        <v>36721906</v>
      </c>
      <c r="J804" s="329">
        <f t="shared" si="435"/>
        <v>0</v>
      </c>
      <c r="K804" s="338">
        <f t="shared" si="455"/>
        <v>10200000</v>
      </c>
      <c r="L804" s="329">
        <f t="shared" si="436"/>
        <v>0</v>
      </c>
      <c r="M804" s="338">
        <f t="shared" si="442"/>
        <v>19598534.760000002</v>
      </c>
      <c r="N804" s="329">
        <f t="shared" si="437"/>
        <v>0</v>
      </c>
      <c r="O804" s="338">
        <f t="shared" si="443"/>
        <v>10000000</v>
      </c>
      <c r="P804" s="329">
        <f t="shared" si="438"/>
        <v>0</v>
      </c>
      <c r="Q804" s="338">
        <f t="shared" si="444"/>
        <v>0</v>
      </c>
      <c r="R804" s="329">
        <f t="shared" si="439"/>
        <v>0</v>
      </c>
      <c r="S804" s="338">
        <f t="shared" si="445"/>
        <v>0</v>
      </c>
      <c r="T804" s="329">
        <f t="shared" si="440"/>
        <v>0</v>
      </c>
      <c r="U804" s="338">
        <f t="shared" si="446"/>
        <v>0</v>
      </c>
      <c r="V804" s="329">
        <f t="shared" si="441"/>
        <v>0</v>
      </c>
      <c r="W804" s="338">
        <f t="shared" si="447"/>
        <v>6000000</v>
      </c>
      <c r="X804" s="35"/>
    </row>
    <row r="805" spans="1:24" x14ac:dyDescent="0.25">
      <c r="A805" s="335">
        <f t="shared" si="450"/>
        <v>44516</v>
      </c>
      <c r="B805" s="49">
        <f t="shared" si="448"/>
        <v>0</v>
      </c>
      <c r="C805" s="338">
        <f t="shared" si="451"/>
        <v>114372276</v>
      </c>
      <c r="D805" s="329">
        <f t="shared" si="449"/>
        <v>0</v>
      </c>
      <c r="E805" s="338">
        <f t="shared" si="452"/>
        <v>10941197.000671711</v>
      </c>
      <c r="F805" s="329">
        <f t="shared" si="456"/>
        <v>0</v>
      </c>
      <c r="G805" s="338">
        <f t="shared" si="453"/>
        <v>67400000</v>
      </c>
      <c r="H805" s="329">
        <f t="shared" si="434"/>
        <v>0</v>
      </c>
      <c r="I805" s="338">
        <f t="shared" si="454"/>
        <v>36721906</v>
      </c>
      <c r="J805" s="329">
        <f t="shared" si="435"/>
        <v>0</v>
      </c>
      <c r="K805" s="338">
        <f t="shared" si="455"/>
        <v>10200000</v>
      </c>
      <c r="L805" s="329">
        <f t="shared" si="436"/>
        <v>0</v>
      </c>
      <c r="M805" s="338">
        <f t="shared" si="442"/>
        <v>19598534.760000002</v>
      </c>
      <c r="N805" s="329">
        <f t="shared" si="437"/>
        <v>0</v>
      </c>
      <c r="O805" s="338">
        <f t="shared" si="443"/>
        <v>10000000</v>
      </c>
      <c r="P805" s="329">
        <f t="shared" si="438"/>
        <v>0</v>
      </c>
      <c r="Q805" s="338">
        <f t="shared" si="444"/>
        <v>0</v>
      </c>
      <c r="R805" s="329">
        <f t="shared" si="439"/>
        <v>0</v>
      </c>
      <c r="S805" s="338">
        <f t="shared" si="445"/>
        <v>0</v>
      </c>
      <c r="T805" s="329">
        <f t="shared" si="440"/>
        <v>0</v>
      </c>
      <c r="U805" s="338">
        <f t="shared" si="446"/>
        <v>0</v>
      </c>
      <c r="V805" s="329">
        <f t="shared" si="441"/>
        <v>0</v>
      </c>
      <c r="W805" s="338">
        <f t="shared" si="447"/>
        <v>6000000</v>
      </c>
      <c r="X805" s="35"/>
    </row>
    <row r="806" spans="1:24" x14ac:dyDescent="0.25">
      <c r="A806" s="335">
        <f t="shared" si="450"/>
        <v>44517</v>
      </c>
      <c r="B806" s="49">
        <f t="shared" si="448"/>
        <v>0</v>
      </c>
      <c r="C806" s="338">
        <f t="shared" si="451"/>
        <v>114372276</v>
      </c>
      <c r="D806" s="329">
        <f t="shared" si="449"/>
        <v>0</v>
      </c>
      <c r="E806" s="338">
        <f t="shared" si="452"/>
        <v>10941197.000671711</v>
      </c>
      <c r="F806" s="329">
        <f t="shared" si="456"/>
        <v>0</v>
      </c>
      <c r="G806" s="338">
        <f t="shared" si="453"/>
        <v>67400000</v>
      </c>
      <c r="H806" s="329">
        <f t="shared" si="434"/>
        <v>0</v>
      </c>
      <c r="I806" s="338">
        <f t="shared" si="454"/>
        <v>36721906</v>
      </c>
      <c r="J806" s="329">
        <f t="shared" si="435"/>
        <v>0</v>
      </c>
      <c r="K806" s="338">
        <f t="shared" si="455"/>
        <v>10200000</v>
      </c>
      <c r="L806" s="329">
        <f t="shared" si="436"/>
        <v>0</v>
      </c>
      <c r="M806" s="338">
        <f t="shared" si="442"/>
        <v>19598534.760000002</v>
      </c>
      <c r="N806" s="329">
        <f t="shared" si="437"/>
        <v>0</v>
      </c>
      <c r="O806" s="338">
        <f t="shared" si="443"/>
        <v>10000000</v>
      </c>
      <c r="P806" s="329">
        <f t="shared" si="438"/>
        <v>0</v>
      </c>
      <c r="Q806" s="338">
        <f t="shared" si="444"/>
        <v>0</v>
      </c>
      <c r="R806" s="329">
        <f t="shared" si="439"/>
        <v>0</v>
      </c>
      <c r="S806" s="338">
        <f t="shared" si="445"/>
        <v>0</v>
      </c>
      <c r="T806" s="329">
        <f t="shared" si="440"/>
        <v>0</v>
      </c>
      <c r="U806" s="338">
        <f t="shared" si="446"/>
        <v>0</v>
      </c>
      <c r="V806" s="329">
        <f t="shared" si="441"/>
        <v>0</v>
      </c>
      <c r="W806" s="338">
        <f t="shared" si="447"/>
        <v>6000000</v>
      </c>
      <c r="X806" s="35"/>
    </row>
    <row r="807" spans="1:24" x14ac:dyDescent="0.25">
      <c r="A807" s="335">
        <f t="shared" si="450"/>
        <v>44518</v>
      </c>
      <c r="B807" s="49">
        <f t="shared" si="448"/>
        <v>0</v>
      </c>
      <c r="C807" s="338">
        <f t="shared" si="451"/>
        <v>114372276</v>
      </c>
      <c r="D807" s="329">
        <f t="shared" si="449"/>
        <v>0</v>
      </c>
      <c r="E807" s="338">
        <f t="shared" si="452"/>
        <v>10941197.000671711</v>
      </c>
      <c r="F807" s="329">
        <f t="shared" si="456"/>
        <v>0</v>
      </c>
      <c r="G807" s="338">
        <f t="shared" si="453"/>
        <v>67400000</v>
      </c>
      <c r="H807" s="329">
        <f t="shared" si="434"/>
        <v>0</v>
      </c>
      <c r="I807" s="338">
        <f t="shared" si="454"/>
        <v>36721906</v>
      </c>
      <c r="J807" s="329">
        <f t="shared" si="435"/>
        <v>0</v>
      </c>
      <c r="K807" s="338">
        <f t="shared" si="455"/>
        <v>10200000</v>
      </c>
      <c r="L807" s="329">
        <f t="shared" si="436"/>
        <v>0</v>
      </c>
      <c r="M807" s="338">
        <f t="shared" si="442"/>
        <v>19598534.760000002</v>
      </c>
      <c r="N807" s="329">
        <f t="shared" si="437"/>
        <v>0</v>
      </c>
      <c r="O807" s="338">
        <f t="shared" si="443"/>
        <v>10000000</v>
      </c>
      <c r="P807" s="329">
        <f t="shared" si="438"/>
        <v>0</v>
      </c>
      <c r="Q807" s="338">
        <f t="shared" si="444"/>
        <v>0</v>
      </c>
      <c r="R807" s="329">
        <f t="shared" si="439"/>
        <v>0</v>
      </c>
      <c r="S807" s="338">
        <f t="shared" si="445"/>
        <v>0</v>
      </c>
      <c r="T807" s="329">
        <f t="shared" si="440"/>
        <v>0</v>
      </c>
      <c r="U807" s="338">
        <f t="shared" si="446"/>
        <v>0</v>
      </c>
      <c r="V807" s="329">
        <f t="shared" si="441"/>
        <v>0</v>
      </c>
      <c r="W807" s="338">
        <f t="shared" si="447"/>
        <v>6000000</v>
      </c>
      <c r="X807" s="35"/>
    </row>
    <row r="808" spans="1:24" x14ac:dyDescent="0.25">
      <c r="A808" s="335">
        <f t="shared" si="450"/>
        <v>44519</v>
      </c>
      <c r="B808" s="49">
        <f t="shared" si="448"/>
        <v>0</v>
      </c>
      <c r="C808" s="338">
        <f t="shared" si="451"/>
        <v>114372276</v>
      </c>
      <c r="D808" s="329">
        <f t="shared" si="449"/>
        <v>0</v>
      </c>
      <c r="E808" s="338">
        <f t="shared" si="452"/>
        <v>10941197.000671711</v>
      </c>
      <c r="F808" s="329">
        <f t="shared" si="456"/>
        <v>0</v>
      </c>
      <c r="G808" s="338">
        <f t="shared" si="453"/>
        <v>67400000</v>
      </c>
      <c r="H808" s="329">
        <f t="shared" si="434"/>
        <v>0</v>
      </c>
      <c r="I808" s="338">
        <f t="shared" si="454"/>
        <v>36721906</v>
      </c>
      <c r="J808" s="329">
        <f t="shared" si="435"/>
        <v>0</v>
      </c>
      <c r="K808" s="338">
        <f t="shared" si="455"/>
        <v>10200000</v>
      </c>
      <c r="L808" s="329">
        <f t="shared" si="436"/>
        <v>0</v>
      </c>
      <c r="M808" s="338">
        <f t="shared" si="442"/>
        <v>19598534.760000002</v>
      </c>
      <c r="N808" s="329">
        <f t="shared" si="437"/>
        <v>0</v>
      </c>
      <c r="O808" s="338">
        <f t="shared" si="443"/>
        <v>10000000</v>
      </c>
      <c r="P808" s="329">
        <f t="shared" si="438"/>
        <v>0</v>
      </c>
      <c r="Q808" s="338">
        <f t="shared" si="444"/>
        <v>0</v>
      </c>
      <c r="R808" s="329">
        <f t="shared" si="439"/>
        <v>0</v>
      </c>
      <c r="S808" s="338">
        <f t="shared" si="445"/>
        <v>0</v>
      </c>
      <c r="T808" s="329">
        <f t="shared" si="440"/>
        <v>0</v>
      </c>
      <c r="U808" s="338">
        <f t="shared" si="446"/>
        <v>0</v>
      </c>
      <c r="V808" s="329">
        <f t="shared" si="441"/>
        <v>0</v>
      </c>
      <c r="W808" s="338">
        <f t="shared" si="447"/>
        <v>6000000</v>
      </c>
      <c r="X808" s="35"/>
    </row>
    <row r="809" spans="1:24" x14ac:dyDescent="0.25">
      <c r="A809" s="335">
        <f t="shared" si="450"/>
        <v>44520</v>
      </c>
      <c r="B809" s="49">
        <f t="shared" si="448"/>
        <v>0</v>
      </c>
      <c r="C809" s="338">
        <f t="shared" si="451"/>
        <v>114372276</v>
      </c>
      <c r="D809" s="329">
        <f t="shared" si="449"/>
        <v>0</v>
      </c>
      <c r="E809" s="338">
        <f t="shared" si="452"/>
        <v>10941197.000671711</v>
      </c>
      <c r="F809" s="329">
        <f t="shared" si="456"/>
        <v>0</v>
      </c>
      <c r="G809" s="338">
        <f t="shared" si="453"/>
        <v>67400000</v>
      </c>
      <c r="H809" s="329">
        <f t="shared" si="434"/>
        <v>0</v>
      </c>
      <c r="I809" s="338">
        <f t="shared" si="454"/>
        <v>36721906</v>
      </c>
      <c r="J809" s="329">
        <f t="shared" si="435"/>
        <v>0</v>
      </c>
      <c r="K809" s="338">
        <f t="shared" si="455"/>
        <v>10200000</v>
      </c>
      <c r="L809" s="329">
        <f t="shared" si="436"/>
        <v>0</v>
      </c>
      <c r="M809" s="338">
        <f t="shared" si="442"/>
        <v>19598534.760000002</v>
      </c>
      <c r="N809" s="329">
        <f t="shared" si="437"/>
        <v>0</v>
      </c>
      <c r="O809" s="338">
        <f t="shared" si="443"/>
        <v>10000000</v>
      </c>
      <c r="P809" s="329">
        <f t="shared" si="438"/>
        <v>0</v>
      </c>
      <c r="Q809" s="338">
        <f t="shared" si="444"/>
        <v>0</v>
      </c>
      <c r="R809" s="329">
        <f t="shared" si="439"/>
        <v>0</v>
      </c>
      <c r="S809" s="338">
        <f t="shared" si="445"/>
        <v>0</v>
      </c>
      <c r="T809" s="329">
        <f t="shared" si="440"/>
        <v>0</v>
      </c>
      <c r="U809" s="338">
        <f t="shared" si="446"/>
        <v>0</v>
      </c>
      <c r="V809" s="329">
        <f t="shared" si="441"/>
        <v>0</v>
      </c>
      <c r="W809" s="338">
        <f t="shared" si="447"/>
        <v>6000000</v>
      </c>
      <c r="X809" s="35"/>
    </row>
    <row r="810" spans="1:24" x14ac:dyDescent="0.25">
      <c r="A810" s="335">
        <f t="shared" si="450"/>
        <v>44521</v>
      </c>
      <c r="B810" s="49">
        <f t="shared" si="448"/>
        <v>0</v>
      </c>
      <c r="C810" s="338">
        <f t="shared" si="451"/>
        <v>114372276</v>
      </c>
      <c r="D810" s="329">
        <f t="shared" si="449"/>
        <v>0</v>
      </c>
      <c r="E810" s="338">
        <f t="shared" si="452"/>
        <v>10941197.000671711</v>
      </c>
      <c r="F810" s="329">
        <f t="shared" si="456"/>
        <v>0</v>
      </c>
      <c r="G810" s="338">
        <f t="shared" si="453"/>
        <v>67400000</v>
      </c>
      <c r="H810" s="329">
        <f t="shared" si="434"/>
        <v>0</v>
      </c>
      <c r="I810" s="338">
        <f t="shared" si="454"/>
        <v>36721906</v>
      </c>
      <c r="J810" s="329">
        <f t="shared" si="435"/>
        <v>0</v>
      </c>
      <c r="K810" s="338">
        <f t="shared" si="455"/>
        <v>10200000</v>
      </c>
      <c r="L810" s="329">
        <f t="shared" si="436"/>
        <v>0</v>
      </c>
      <c r="M810" s="338">
        <f t="shared" si="442"/>
        <v>19598534.760000002</v>
      </c>
      <c r="N810" s="329">
        <f t="shared" si="437"/>
        <v>0</v>
      </c>
      <c r="O810" s="338">
        <f t="shared" si="443"/>
        <v>10000000</v>
      </c>
      <c r="P810" s="329">
        <f t="shared" si="438"/>
        <v>0</v>
      </c>
      <c r="Q810" s="338">
        <f t="shared" si="444"/>
        <v>0</v>
      </c>
      <c r="R810" s="329">
        <f t="shared" si="439"/>
        <v>0</v>
      </c>
      <c r="S810" s="338">
        <f t="shared" si="445"/>
        <v>0</v>
      </c>
      <c r="T810" s="329">
        <f t="shared" si="440"/>
        <v>0</v>
      </c>
      <c r="U810" s="338">
        <f t="shared" si="446"/>
        <v>0</v>
      </c>
      <c r="V810" s="329">
        <f t="shared" si="441"/>
        <v>0</v>
      </c>
      <c r="W810" s="338">
        <f t="shared" si="447"/>
        <v>6000000</v>
      </c>
      <c r="X810" s="35"/>
    </row>
    <row r="811" spans="1:24" x14ac:dyDescent="0.25">
      <c r="A811" s="335">
        <f t="shared" si="450"/>
        <v>44522</v>
      </c>
      <c r="B811" s="49">
        <f t="shared" si="448"/>
        <v>0</v>
      </c>
      <c r="C811" s="338">
        <f t="shared" si="451"/>
        <v>114372276</v>
      </c>
      <c r="D811" s="329">
        <f t="shared" si="449"/>
        <v>0</v>
      </c>
      <c r="E811" s="338">
        <f t="shared" si="452"/>
        <v>10941197.000671711</v>
      </c>
      <c r="F811" s="329">
        <f t="shared" si="456"/>
        <v>0</v>
      </c>
      <c r="G811" s="338">
        <f t="shared" si="453"/>
        <v>67400000</v>
      </c>
      <c r="H811" s="329">
        <f t="shared" ref="H811:H874" si="457">SUMIFS(Usage_Main,CF_Dates,$A811,CF_Descriptions,"XS2091648928 Change")</f>
        <v>0</v>
      </c>
      <c r="I811" s="338">
        <f t="shared" si="454"/>
        <v>36721906</v>
      </c>
      <c r="J811" s="329">
        <f t="shared" ref="J811:J874" si="458">SUMIFS(Usage_Main,CF_Dates,$A811,CF_Descriptions,"Southern Apple Change")</f>
        <v>0</v>
      </c>
      <c r="K811" s="338">
        <f t="shared" si="455"/>
        <v>10200000</v>
      </c>
      <c r="L811" s="329">
        <f t="shared" ref="L811:L874" si="459">SUMIFS(Usage_Main,CF_Dates,$A811,CF_Descriptions,"ALMONDUSD Change")</f>
        <v>0</v>
      </c>
      <c r="M811" s="338">
        <f t="shared" si="442"/>
        <v>19598534.760000002</v>
      </c>
      <c r="N811" s="329">
        <f t="shared" ref="N811:N874" si="460">SUMIFS(Usage_Main,CF_Dates,$A811,CF_Descriptions,"ALMONDEUR Change")</f>
        <v>0</v>
      </c>
      <c r="O811" s="338">
        <f t="shared" si="443"/>
        <v>10000000</v>
      </c>
      <c r="P811" s="329">
        <f t="shared" ref="P811:P874" si="461">SUMIFS(Usage_Main,CF_Dates,$A811,CF_Descriptions,"HEXZETA Change")</f>
        <v>0</v>
      </c>
      <c r="Q811" s="338">
        <f t="shared" si="444"/>
        <v>0</v>
      </c>
      <c r="R811" s="329">
        <f t="shared" ref="R811:R874" si="462">SUMIFS(Usage_Main,CF_Dates,$A811,CF_Descriptions,"MNTNCHERRY Change")</f>
        <v>0</v>
      </c>
      <c r="S811" s="338">
        <f t="shared" si="445"/>
        <v>0</v>
      </c>
      <c r="T811" s="329">
        <f t="shared" ref="T811:T874" si="463">SUMIFS(Usage_Main,CF_Dates,$A811,CF_Descriptions,"OLIVEUSD Change")</f>
        <v>0</v>
      </c>
      <c r="U811" s="338">
        <f t="shared" si="446"/>
        <v>0</v>
      </c>
      <c r="V811" s="329">
        <f t="shared" ref="V811:V874" si="464">SUMIFS(Usage_Main,CF_Dates,$A811,CF_Descriptions,"OLIVEEUR Change")</f>
        <v>0</v>
      </c>
      <c r="W811" s="338">
        <f t="shared" si="447"/>
        <v>6000000</v>
      </c>
      <c r="X811" s="35"/>
    </row>
    <row r="812" spans="1:24" x14ac:dyDescent="0.25">
      <c r="A812" s="335">
        <f t="shared" si="450"/>
        <v>44523</v>
      </c>
      <c r="B812" s="49">
        <f t="shared" si="448"/>
        <v>0</v>
      </c>
      <c r="C812" s="338">
        <f t="shared" si="451"/>
        <v>114372276</v>
      </c>
      <c r="D812" s="329">
        <f t="shared" si="449"/>
        <v>0</v>
      </c>
      <c r="E812" s="338">
        <f t="shared" si="452"/>
        <v>10941197.000671711</v>
      </c>
      <c r="F812" s="329">
        <f t="shared" si="456"/>
        <v>0</v>
      </c>
      <c r="G812" s="338">
        <f t="shared" si="453"/>
        <v>67400000</v>
      </c>
      <c r="H812" s="329">
        <f t="shared" si="457"/>
        <v>0</v>
      </c>
      <c r="I812" s="338">
        <f t="shared" si="454"/>
        <v>36721906</v>
      </c>
      <c r="J812" s="329">
        <f t="shared" si="458"/>
        <v>0</v>
      </c>
      <c r="K812" s="338">
        <f t="shared" si="455"/>
        <v>10200000</v>
      </c>
      <c r="L812" s="329">
        <f t="shared" si="459"/>
        <v>0</v>
      </c>
      <c r="M812" s="338">
        <f t="shared" ref="M812:M863" si="465">L812+M811</f>
        <v>19598534.760000002</v>
      </c>
      <c r="N812" s="329">
        <f t="shared" si="460"/>
        <v>0</v>
      </c>
      <c r="O812" s="338">
        <f t="shared" ref="O812:O863" si="466">N812+O811</f>
        <v>10000000</v>
      </c>
      <c r="P812" s="329">
        <f t="shared" si="461"/>
        <v>0</v>
      </c>
      <c r="Q812" s="338">
        <f t="shared" ref="Q812:Q863" si="467">P812+Q811</f>
        <v>0</v>
      </c>
      <c r="R812" s="329">
        <f t="shared" si="462"/>
        <v>0</v>
      </c>
      <c r="S812" s="338">
        <f t="shared" ref="S812:S863" si="468">R812+S811</f>
        <v>0</v>
      </c>
      <c r="T812" s="329">
        <f t="shared" si="463"/>
        <v>0</v>
      </c>
      <c r="U812" s="338">
        <f t="shared" ref="U812:U875" si="469">T812+U811</f>
        <v>0</v>
      </c>
      <c r="V812" s="329">
        <f t="shared" si="464"/>
        <v>0</v>
      </c>
      <c r="W812" s="338">
        <f t="shared" ref="W812:W863" si="470">V812+W811</f>
        <v>6000000</v>
      </c>
      <c r="X812" s="35"/>
    </row>
    <row r="813" spans="1:24" x14ac:dyDescent="0.25">
      <c r="A813" s="335">
        <f t="shared" si="450"/>
        <v>44524</v>
      </c>
      <c r="B813" s="49">
        <f t="shared" si="448"/>
        <v>0</v>
      </c>
      <c r="C813" s="338">
        <f t="shared" si="451"/>
        <v>114372276</v>
      </c>
      <c r="D813" s="329">
        <f t="shared" si="449"/>
        <v>0</v>
      </c>
      <c r="E813" s="338">
        <f t="shared" si="452"/>
        <v>10941197.000671711</v>
      </c>
      <c r="F813" s="329">
        <f t="shared" si="456"/>
        <v>0</v>
      </c>
      <c r="G813" s="338">
        <f t="shared" si="453"/>
        <v>67400000</v>
      </c>
      <c r="H813" s="329">
        <f t="shared" si="457"/>
        <v>0</v>
      </c>
      <c r="I813" s="338">
        <f t="shared" si="454"/>
        <v>36721906</v>
      </c>
      <c r="J813" s="329">
        <f t="shared" si="458"/>
        <v>0</v>
      </c>
      <c r="K813" s="338">
        <f t="shared" si="455"/>
        <v>10200000</v>
      </c>
      <c r="L813" s="329">
        <f t="shared" si="459"/>
        <v>0</v>
      </c>
      <c r="M813" s="338">
        <f t="shared" si="465"/>
        <v>19598534.760000002</v>
      </c>
      <c r="N813" s="329">
        <f t="shared" si="460"/>
        <v>0</v>
      </c>
      <c r="O813" s="338">
        <f t="shared" si="466"/>
        <v>10000000</v>
      </c>
      <c r="P813" s="329">
        <f t="shared" si="461"/>
        <v>0</v>
      </c>
      <c r="Q813" s="338">
        <f t="shared" si="467"/>
        <v>0</v>
      </c>
      <c r="R813" s="329">
        <f t="shared" si="462"/>
        <v>0</v>
      </c>
      <c r="S813" s="338">
        <f t="shared" si="468"/>
        <v>0</v>
      </c>
      <c r="T813" s="329">
        <f t="shared" si="463"/>
        <v>0</v>
      </c>
      <c r="U813" s="338">
        <f t="shared" si="469"/>
        <v>0</v>
      </c>
      <c r="V813" s="329">
        <f t="shared" si="464"/>
        <v>0</v>
      </c>
      <c r="W813" s="338">
        <f t="shared" si="470"/>
        <v>6000000</v>
      </c>
      <c r="X813" s="35"/>
    </row>
    <row r="814" spans="1:24" x14ac:dyDescent="0.25">
      <c r="A814" s="335">
        <f t="shared" si="450"/>
        <v>44525</v>
      </c>
      <c r="B814" s="49">
        <f t="shared" si="448"/>
        <v>0</v>
      </c>
      <c r="C814" s="338">
        <f t="shared" si="451"/>
        <v>114372276</v>
      </c>
      <c r="D814" s="329">
        <f t="shared" si="449"/>
        <v>0</v>
      </c>
      <c r="E814" s="338">
        <f t="shared" si="452"/>
        <v>10941197.000671711</v>
      </c>
      <c r="F814" s="329">
        <f t="shared" si="456"/>
        <v>0</v>
      </c>
      <c r="G814" s="338">
        <f t="shared" si="453"/>
        <v>67400000</v>
      </c>
      <c r="H814" s="329">
        <f t="shared" si="457"/>
        <v>0</v>
      </c>
      <c r="I814" s="338">
        <f t="shared" si="454"/>
        <v>36721906</v>
      </c>
      <c r="J814" s="329">
        <f t="shared" si="458"/>
        <v>0</v>
      </c>
      <c r="K814" s="338">
        <f t="shared" si="455"/>
        <v>10200000</v>
      </c>
      <c r="L814" s="329">
        <f t="shared" si="459"/>
        <v>0</v>
      </c>
      <c r="M814" s="338">
        <f t="shared" si="465"/>
        <v>19598534.760000002</v>
      </c>
      <c r="N814" s="329">
        <f t="shared" si="460"/>
        <v>0</v>
      </c>
      <c r="O814" s="338">
        <f t="shared" si="466"/>
        <v>10000000</v>
      </c>
      <c r="P814" s="329">
        <f t="shared" si="461"/>
        <v>0</v>
      </c>
      <c r="Q814" s="338">
        <f t="shared" si="467"/>
        <v>0</v>
      </c>
      <c r="R814" s="329">
        <f t="shared" si="462"/>
        <v>0</v>
      </c>
      <c r="S814" s="338">
        <f t="shared" si="468"/>
        <v>0</v>
      </c>
      <c r="T814" s="329">
        <f t="shared" si="463"/>
        <v>0</v>
      </c>
      <c r="U814" s="338">
        <f t="shared" si="469"/>
        <v>0</v>
      </c>
      <c r="V814" s="329">
        <f t="shared" si="464"/>
        <v>0</v>
      </c>
      <c r="W814" s="338">
        <f t="shared" si="470"/>
        <v>6000000</v>
      </c>
      <c r="X814" s="35"/>
    </row>
    <row r="815" spans="1:24" x14ac:dyDescent="0.25">
      <c r="A815" s="335">
        <f t="shared" si="450"/>
        <v>44526</v>
      </c>
      <c r="B815" s="49">
        <f t="shared" si="448"/>
        <v>0</v>
      </c>
      <c r="C815" s="338">
        <f t="shared" si="451"/>
        <v>114372276</v>
      </c>
      <c r="D815" s="329">
        <f t="shared" si="449"/>
        <v>0</v>
      </c>
      <c r="E815" s="338">
        <f t="shared" si="452"/>
        <v>10941197.000671711</v>
      </c>
      <c r="F815" s="329">
        <f t="shared" si="456"/>
        <v>0</v>
      </c>
      <c r="G815" s="338">
        <f t="shared" si="453"/>
        <v>67400000</v>
      </c>
      <c r="H815" s="329">
        <f t="shared" si="457"/>
        <v>0</v>
      </c>
      <c r="I815" s="338">
        <f t="shared" si="454"/>
        <v>36721906</v>
      </c>
      <c r="J815" s="329">
        <f t="shared" si="458"/>
        <v>0</v>
      </c>
      <c r="K815" s="338">
        <f t="shared" si="455"/>
        <v>10200000</v>
      </c>
      <c r="L815" s="329">
        <f t="shared" si="459"/>
        <v>0</v>
      </c>
      <c r="M815" s="338">
        <f t="shared" si="465"/>
        <v>19598534.760000002</v>
      </c>
      <c r="N815" s="329">
        <f t="shared" si="460"/>
        <v>0</v>
      </c>
      <c r="O815" s="338">
        <f t="shared" si="466"/>
        <v>10000000</v>
      </c>
      <c r="P815" s="329">
        <f t="shared" si="461"/>
        <v>0</v>
      </c>
      <c r="Q815" s="338">
        <f t="shared" si="467"/>
        <v>0</v>
      </c>
      <c r="R815" s="329">
        <f t="shared" si="462"/>
        <v>0</v>
      </c>
      <c r="S815" s="338">
        <f t="shared" si="468"/>
        <v>0</v>
      </c>
      <c r="T815" s="329">
        <f t="shared" si="463"/>
        <v>0</v>
      </c>
      <c r="U815" s="338">
        <f t="shared" si="469"/>
        <v>0</v>
      </c>
      <c r="V815" s="329">
        <f t="shared" si="464"/>
        <v>0</v>
      </c>
      <c r="W815" s="338">
        <f t="shared" si="470"/>
        <v>6000000</v>
      </c>
      <c r="X815" s="35"/>
    </row>
    <row r="816" spans="1:24" x14ac:dyDescent="0.25">
      <c r="A816" s="335">
        <f t="shared" si="450"/>
        <v>44527</v>
      </c>
      <c r="B816" s="49">
        <f t="shared" si="448"/>
        <v>0</v>
      </c>
      <c r="C816" s="338">
        <f t="shared" si="451"/>
        <v>114372276</v>
      </c>
      <c r="D816" s="329">
        <f t="shared" si="449"/>
        <v>0</v>
      </c>
      <c r="E816" s="338">
        <f t="shared" si="452"/>
        <v>10941197.000671711</v>
      </c>
      <c r="F816" s="329">
        <f t="shared" si="456"/>
        <v>0</v>
      </c>
      <c r="G816" s="338">
        <f t="shared" si="453"/>
        <v>67400000</v>
      </c>
      <c r="H816" s="329">
        <f t="shared" si="457"/>
        <v>0</v>
      </c>
      <c r="I816" s="338">
        <f t="shared" si="454"/>
        <v>36721906</v>
      </c>
      <c r="J816" s="329">
        <f t="shared" si="458"/>
        <v>0</v>
      </c>
      <c r="K816" s="338">
        <f t="shared" si="455"/>
        <v>10200000</v>
      </c>
      <c r="L816" s="329">
        <f t="shared" si="459"/>
        <v>0</v>
      </c>
      <c r="M816" s="338">
        <f t="shared" si="465"/>
        <v>19598534.760000002</v>
      </c>
      <c r="N816" s="329">
        <f t="shared" si="460"/>
        <v>0</v>
      </c>
      <c r="O816" s="338">
        <f t="shared" si="466"/>
        <v>10000000</v>
      </c>
      <c r="P816" s="329">
        <f t="shared" si="461"/>
        <v>0</v>
      </c>
      <c r="Q816" s="338">
        <f t="shared" si="467"/>
        <v>0</v>
      </c>
      <c r="R816" s="329">
        <f t="shared" si="462"/>
        <v>0</v>
      </c>
      <c r="S816" s="338">
        <f t="shared" si="468"/>
        <v>0</v>
      </c>
      <c r="T816" s="329">
        <f t="shared" si="463"/>
        <v>0</v>
      </c>
      <c r="U816" s="338">
        <f t="shared" si="469"/>
        <v>0</v>
      </c>
      <c r="V816" s="329">
        <f t="shared" si="464"/>
        <v>0</v>
      </c>
      <c r="W816" s="338">
        <f t="shared" si="470"/>
        <v>6000000</v>
      </c>
      <c r="X816" s="35"/>
    </row>
    <row r="817" spans="1:24" x14ac:dyDescent="0.25">
      <c r="A817" s="335">
        <f t="shared" si="450"/>
        <v>44528</v>
      </c>
      <c r="B817" s="49">
        <f t="shared" si="448"/>
        <v>0</v>
      </c>
      <c r="C817" s="338">
        <f t="shared" si="451"/>
        <v>114372276</v>
      </c>
      <c r="D817" s="329">
        <f t="shared" si="449"/>
        <v>0</v>
      </c>
      <c r="E817" s="338">
        <f t="shared" si="452"/>
        <v>10941197.000671711</v>
      </c>
      <c r="F817" s="329">
        <f t="shared" si="456"/>
        <v>0</v>
      </c>
      <c r="G817" s="338">
        <f t="shared" si="453"/>
        <v>67400000</v>
      </c>
      <c r="H817" s="329">
        <f t="shared" si="457"/>
        <v>0</v>
      </c>
      <c r="I817" s="338">
        <f t="shared" si="454"/>
        <v>36721906</v>
      </c>
      <c r="J817" s="329">
        <f t="shared" si="458"/>
        <v>0</v>
      </c>
      <c r="K817" s="338">
        <f t="shared" si="455"/>
        <v>10200000</v>
      </c>
      <c r="L817" s="329">
        <f t="shared" si="459"/>
        <v>0</v>
      </c>
      <c r="M817" s="338">
        <f t="shared" si="465"/>
        <v>19598534.760000002</v>
      </c>
      <c r="N817" s="329">
        <f t="shared" si="460"/>
        <v>0</v>
      </c>
      <c r="O817" s="338">
        <f t="shared" si="466"/>
        <v>10000000</v>
      </c>
      <c r="P817" s="329">
        <f t="shared" si="461"/>
        <v>0</v>
      </c>
      <c r="Q817" s="338">
        <f t="shared" si="467"/>
        <v>0</v>
      </c>
      <c r="R817" s="329">
        <f t="shared" si="462"/>
        <v>0</v>
      </c>
      <c r="S817" s="338">
        <f t="shared" si="468"/>
        <v>0</v>
      </c>
      <c r="T817" s="329">
        <f t="shared" si="463"/>
        <v>0</v>
      </c>
      <c r="U817" s="338">
        <f t="shared" si="469"/>
        <v>0</v>
      </c>
      <c r="V817" s="329">
        <f t="shared" si="464"/>
        <v>0</v>
      </c>
      <c r="W817" s="338">
        <f t="shared" si="470"/>
        <v>6000000</v>
      </c>
      <c r="X817" s="35"/>
    </row>
    <row r="818" spans="1:24" x14ac:dyDescent="0.25">
      <c r="A818" s="335">
        <f t="shared" si="450"/>
        <v>44529</v>
      </c>
      <c r="B818" s="49">
        <f t="shared" si="448"/>
        <v>0</v>
      </c>
      <c r="C818" s="338">
        <f t="shared" si="451"/>
        <v>114372276</v>
      </c>
      <c r="D818" s="329">
        <f t="shared" si="449"/>
        <v>0</v>
      </c>
      <c r="E818" s="338">
        <f t="shared" si="452"/>
        <v>10941197.000671711</v>
      </c>
      <c r="F818" s="329">
        <f t="shared" si="456"/>
        <v>0</v>
      </c>
      <c r="G818" s="338">
        <f t="shared" si="453"/>
        <v>67400000</v>
      </c>
      <c r="H818" s="329">
        <f t="shared" si="457"/>
        <v>0</v>
      </c>
      <c r="I818" s="338">
        <f t="shared" si="454"/>
        <v>36721906</v>
      </c>
      <c r="J818" s="329">
        <f t="shared" si="458"/>
        <v>0</v>
      </c>
      <c r="K818" s="338">
        <f t="shared" si="455"/>
        <v>10200000</v>
      </c>
      <c r="L818" s="329">
        <f t="shared" si="459"/>
        <v>0</v>
      </c>
      <c r="M818" s="338">
        <f t="shared" si="465"/>
        <v>19598534.760000002</v>
      </c>
      <c r="N818" s="329">
        <f t="shared" si="460"/>
        <v>0</v>
      </c>
      <c r="O818" s="338">
        <f t="shared" si="466"/>
        <v>10000000</v>
      </c>
      <c r="P818" s="329">
        <f t="shared" si="461"/>
        <v>0</v>
      </c>
      <c r="Q818" s="338">
        <f t="shared" si="467"/>
        <v>0</v>
      </c>
      <c r="R818" s="329">
        <f t="shared" si="462"/>
        <v>0</v>
      </c>
      <c r="S818" s="338">
        <f t="shared" si="468"/>
        <v>0</v>
      </c>
      <c r="T818" s="329">
        <f t="shared" si="463"/>
        <v>0</v>
      </c>
      <c r="U818" s="338">
        <f t="shared" si="469"/>
        <v>0</v>
      </c>
      <c r="V818" s="329">
        <f t="shared" si="464"/>
        <v>0</v>
      </c>
      <c r="W818" s="338">
        <f t="shared" si="470"/>
        <v>6000000</v>
      </c>
      <c r="X818" s="35"/>
    </row>
    <row r="819" spans="1:24" x14ac:dyDescent="0.25">
      <c r="A819" s="335">
        <f t="shared" si="450"/>
        <v>44530</v>
      </c>
      <c r="B819" s="49">
        <f t="shared" ref="B819:B882" si="471">SUMIFS(Usage_Main,CF_Dates,$A819,CF_Descriptions,"XS1951177309 Change")</f>
        <v>0</v>
      </c>
      <c r="C819" s="338">
        <f t="shared" si="451"/>
        <v>114372276</v>
      </c>
      <c r="D819" s="329">
        <f t="shared" ref="D819:D882" si="472">SUMIFS(Usage_Main,CF_Dates,$A819,CF_Descriptions,"SOSPRUCE1 Change")</f>
        <v>0</v>
      </c>
      <c r="E819" s="338">
        <f t="shared" si="452"/>
        <v>10941197.000671711</v>
      </c>
      <c r="F819" s="329">
        <f t="shared" si="456"/>
        <v>0</v>
      </c>
      <c r="G819" s="338">
        <f t="shared" si="453"/>
        <v>67400000</v>
      </c>
      <c r="H819" s="329">
        <f t="shared" si="457"/>
        <v>0</v>
      </c>
      <c r="I819" s="338">
        <f t="shared" si="454"/>
        <v>36721906</v>
      </c>
      <c r="J819" s="329">
        <f t="shared" si="458"/>
        <v>0</v>
      </c>
      <c r="K819" s="338">
        <f t="shared" si="455"/>
        <v>10200000</v>
      </c>
      <c r="L819" s="329">
        <f t="shared" si="459"/>
        <v>0</v>
      </c>
      <c r="M819" s="338">
        <f t="shared" si="465"/>
        <v>19598534.760000002</v>
      </c>
      <c r="N819" s="329">
        <f t="shared" si="460"/>
        <v>0</v>
      </c>
      <c r="O819" s="338">
        <f t="shared" si="466"/>
        <v>10000000</v>
      </c>
      <c r="P819" s="329">
        <f t="shared" si="461"/>
        <v>0</v>
      </c>
      <c r="Q819" s="338">
        <f t="shared" si="467"/>
        <v>0</v>
      </c>
      <c r="R819" s="329">
        <f t="shared" si="462"/>
        <v>0</v>
      </c>
      <c r="S819" s="338">
        <f t="shared" si="468"/>
        <v>0</v>
      </c>
      <c r="T819" s="329">
        <f t="shared" si="463"/>
        <v>0</v>
      </c>
      <c r="U819" s="338">
        <f t="shared" si="469"/>
        <v>0</v>
      </c>
      <c r="V819" s="329">
        <f t="shared" si="464"/>
        <v>0</v>
      </c>
      <c r="W819" s="338">
        <f t="shared" si="470"/>
        <v>6000000</v>
      </c>
      <c r="X819" s="35"/>
    </row>
    <row r="820" spans="1:24" x14ac:dyDescent="0.25">
      <c r="A820" s="335">
        <f t="shared" si="450"/>
        <v>44531</v>
      </c>
      <c r="B820" s="49">
        <f t="shared" si="471"/>
        <v>0</v>
      </c>
      <c r="C820" s="338">
        <f t="shared" si="451"/>
        <v>114372276</v>
      </c>
      <c r="D820" s="329">
        <f t="shared" si="472"/>
        <v>0</v>
      </c>
      <c r="E820" s="338">
        <f t="shared" si="452"/>
        <v>10941197.000671711</v>
      </c>
      <c r="F820" s="329">
        <f t="shared" si="456"/>
        <v>0</v>
      </c>
      <c r="G820" s="338">
        <f t="shared" si="453"/>
        <v>67400000</v>
      </c>
      <c r="H820" s="329">
        <f t="shared" si="457"/>
        <v>0</v>
      </c>
      <c r="I820" s="338">
        <f t="shared" si="454"/>
        <v>36721906</v>
      </c>
      <c r="J820" s="329">
        <f t="shared" si="458"/>
        <v>0</v>
      </c>
      <c r="K820" s="338">
        <f t="shared" si="455"/>
        <v>10200000</v>
      </c>
      <c r="L820" s="329">
        <f t="shared" si="459"/>
        <v>0</v>
      </c>
      <c r="M820" s="338">
        <f t="shared" si="465"/>
        <v>19598534.760000002</v>
      </c>
      <c r="N820" s="329">
        <f t="shared" si="460"/>
        <v>0</v>
      </c>
      <c r="O820" s="338">
        <f t="shared" si="466"/>
        <v>10000000</v>
      </c>
      <c r="P820" s="329">
        <f t="shared" si="461"/>
        <v>0</v>
      </c>
      <c r="Q820" s="338">
        <f t="shared" si="467"/>
        <v>0</v>
      </c>
      <c r="R820" s="329">
        <f t="shared" si="462"/>
        <v>0</v>
      </c>
      <c r="S820" s="338">
        <f t="shared" si="468"/>
        <v>0</v>
      </c>
      <c r="T820" s="329">
        <f t="shared" si="463"/>
        <v>0</v>
      </c>
      <c r="U820" s="338">
        <f t="shared" si="469"/>
        <v>0</v>
      </c>
      <c r="V820" s="329">
        <f t="shared" si="464"/>
        <v>0</v>
      </c>
      <c r="W820" s="338">
        <f t="shared" si="470"/>
        <v>6000000</v>
      </c>
      <c r="X820" s="35"/>
    </row>
    <row r="821" spans="1:24" x14ac:dyDescent="0.25">
      <c r="A821" s="335">
        <f t="shared" si="450"/>
        <v>44532</v>
      </c>
      <c r="B821" s="49">
        <f t="shared" si="471"/>
        <v>0</v>
      </c>
      <c r="C821" s="338">
        <f t="shared" si="451"/>
        <v>114372276</v>
      </c>
      <c r="D821" s="329">
        <f t="shared" si="472"/>
        <v>0</v>
      </c>
      <c r="E821" s="338">
        <f t="shared" si="452"/>
        <v>10941197.000671711</v>
      </c>
      <c r="F821" s="329">
        <f t="shared" si="456"/>
        <v>0</v>
      </c>
      <c r="G821" s="338">
        <f t="shared" si="453"/>
        <v>67400000</v>
      </c>
      <c r="H821" s="329">
        <f t="shared" si="457"/>
        <v>0</v>
      </c>
      <c r="I821" s="338">
        <f t="shared" si="454"/>
        <v>36721906</v>
      </c>
      <c r="J821" s="329">
        <f t="shared" si="458"/>
        <v>0</v>
      </c>
      <c r="K821" s="338">
        <f t="shared" si="455"/>
        <v>10200000</v>
      </c>
      <c r="L821" s="329">
        <f t="shared" si="459"/>
        <v>0</v>
      </c>
      <c r="M821" s="338">
        <f t="shared" si="465"/>
        <v>19598534.760000002</v>
      </c>
      <c r="N821" s="329">
        <f t="shared" si="460"/>
        <v>0</v>
      </c>
      <c r="O821" s="338">
        <f t="shared" si="466"/>
        <v>10000000</v>
      </c>
      <c r="P821" s="329">
        <f t="shared" si="461"/>
        <v>0</v>
      </c>
      <c r="Q821" s="338">
        <f t="shared" si="467"/>
        <v>0</v>
      </c>
      <c r="R821" s="329">
        <f t="shared" si="462"/>
        <v>0</v>
      </c>
      <c r="S821" s="338">
        <f t="shared" si="468"/>
        <v>0</v>
      </c>
      <c r="T821" s="329">
        <f t="shared" si="463"/>
        <v>0</v>
      </c>
      <c r="U821" s="338">
        <f t="shared" si="469"/>
        <v>0</v>
      </c>
      <c r="V821" s="329">
        <f t="shared" si="464"/>
        <v>0</v>
      </c>
      <c r="W821" s="338">
        <f t="shared" si="470"/>
        <v>6000000</v>
      </c>
      <c r="X821" s="35"/>
    </row>
    <row r="822" spans="1:24" x14ac:dyDescent="0.25">
      <c r="A822" s="335">
        <f t="shared" si="450"/>
        <v>44533</v>
      </c>
      <c r="B822" s="49">
        <f t="shared" si="471"/>
        <v>0</v>
      </c>
      <c r="C822" s="338">
        <f t="shared" si="451"/>
        <v>114372276</v>
      </c>
      <c r="D822" s="329">
        <f t="shared" si="472"/>
        <v>0</v>
      </c>
      <c r="E822" s="338">
        <f t="shared" si="452"/>
        <v>10941197.000671711</v>
      </c>
      <c r="F822" s="329">
        <f t="shared" si="456"/>
        <v>0</v>
      </c>
      <c r="G822" s="338">
        <f t="shared" si="453"/>
        <v>67400000</v>
      </c>
      <c r="H822" s="329">
        <f t="shared" si="457"/>
        <v>0</v>
      </c>
      <c r="I822" s="338">
        <f t="shared" si="454"/>
        <v>36721906</v>
      </c>
      <c r="J822" s="329">
        <f t="shared" si="458"/>
        <v>0</v>
      </c>
      <c r="K822" s="338">
        <f t="shared" si="455"/>
        <v>10200000</v>
      </c>
      <c r="L822" s="329">
        <f t="shared" si="459"/>
        <v>0</v>
      </c>
      <c r="M822" s="338">
        <f t="shared" si="465"/>
        <v>19598534.760000002</v>
      </c>
      <c r="N822" s="329">
        <f t="shared" si="460"/>
        <v>0</v>
      </c>
      <c r="O822" s="338">
        <f t="shared" si="466"/>
        <v>10000000</v>
      </c>
      <c r="P822" s="329">
        <f t="shared" si="461"/>
        <v>0</v>
      </c>
      <c r="Q822" s="338">
        <f t="shared" si="467"/>
        <v>0</v>
      </c>
      <c r="R822" s="329">
        <f t="shared" si="462"/>
        <v>0</v>
      </c>
      <c r="S822" s="338">
        <f t="shared" si="468"/>
        <v>0</v>
      </c>
      <c r="T822" s="329">
        <f t="shared" si="463"/>
        <v>0</v>
      </c>
      <c r="U822" s="338">
        <f t="shared" si="469"/>
        <v>0</v>
      </c>
      <c r="V822" s="329">
        <f t="shared" si="464"/>
        <v>0</v>
      </c>
      <c r="W822" s="338">
        <f t="shared" si="470"/>
        <v>6000000</v>
      </c>
      <c r="X822" s="35"/>
    </row>
    <row r="823" spans="1:24" x14ac:dyDescent="0.25">
      <c r="A823" s="335">
        <f t="shared" si="450"/>
        <v>44534</v>
      </c>
      <c r="B823" s="49">
        <f t="shared" si="471"/>
        <v>0</v>
      </c>
      <c r="C823" s="338">
        <f t="shared" si="451"/>
        <v>114372276</v>
      </c>
      <c r="D823" s="329">
        <f t="shared" si="472"/>
        <v>0</v>
      </c>
      <c r="E823" s="338">
        <f t="shared" si="452"/>
        <v>10941197.000671711</v>
      </c>
      <c r="F823" s="329">
        <f t="shared" si="456"/>
        <v>0</v>
      </c>
      <c r="G823" s="338">
        <f t="shared" si="453"/>
        <v>67400000</v>
      </c>
      <c r="H823" s="329">
        <f t="shared" si="457"/>
        <v>0</v>
      </c>
      <c r="I823" s="338">
        <f t="shared" si="454"/>
        <v>36721906</v>
      </c>
      <c r="J823" s="329">
        <f t="shared" si="458"/>
        <v>0</v>
      </c>
      <c r="K823" s="338">
        <f t="shared" si="455"/>
        <v>10200000</v>
      </c>
      <c r="L823" s="329">
        <f t="shared" si="459"/>
        <v>0</v>
      </c>
      <c r="M823" s="338">
        <f t="shared" si="465"/>
        <v>19598534.760000002</v>
      </c>
      <c r="N823" s="329">
        <f t="shared" si="460"/>
        <v>0</v>
      </c>
      <c r="O823" s="338">
        <f t="shared" si="466"/>
        <v>10000000</v>
      </c>
      <c r="P823" s="329">
        <f t="shared" si="461"/>
        <v>0</v>
      </c>
      <c r="Q823" s="338">
        <f t="shared" si="467"/>
        <v>0</v>
      </c>
      <c r="R823" s="329">
        <f t="shared" si="462"/>
        <v>0</v>
      </c>
      <c r="S823" s="338">
        <f t="shared" si="468"/>
        <v>0</v>
      </c>
      <c r="T823" s="329">
        <f t="shared" si="463"/>
        <v>0</v>
      </c>
      <c r="U823" s="338">
        <f t="shared" si="469"/>
        <v>0</v>
      </c>
      <c r="V823" s="329">
        <f t="shared" si="464"/>
        <v>0</v>
      </c>
      <c r="W823" s="338">
        <f t="shared" si="470"/>
        <v>6000000</v>
      </c>
      <c r="X823" s="35"/>
    </row>
    <row r="824" spans="1:24" x14ac:dyDescent="0.25">
      <c r="A824" s="335">
        <f t="shared" si="450"/>
        <v>44535</v>
      </c>
      <c r="B824" s="49">
        <f t="shared" si="471"/>
        <v>0</v>
      </c>
      <c r="C824" s="338">
        <f t="shared" si="451"/>
        <v>114372276</v>
      </c>
      <c r="D824" s="329">
        <f t="shared" si="472"/>
        <v>0</v>
      </c>
      <c r="E824" s="338">
        <f t="shared" si="452"/>
        <v>10941197.000671711</v>
      </c>
      <c r="F824" s="329">
        <f t="shared" si="456"/>
        <v>0</v>
      </c>
      <c r="G824" s="338">
        <f t="shared" si="453"/>
        <v>67400000</v>
      </c>
      <c r="H824" s="329">
        <f t="shared" si="457"/>
        <v>0</v>
      </c>
      <c r="I824" s="338">
        <f t="shared" si="454"/>
        <v>36721906</v>
      </c>
      <c r="J824" s="329">
        <f t="shared" si="458"/>
        <v>0</v>
      </c>
      <c r="K824" s="338">
        <f t="shared" si="455"/>
        <v>10200000</v>
      </c>
      <c r="L824" s="329">
        <f t="shared" si="459"/>
        <v>0</v>
      </c>
      <c r="M824" s="338">
        <f t="shared" si="465"/>
        <v>19598534.760000002</v>
      </c>
      <c r="N824" s="329">
        <f t="shared" si="460"/>
        <v>0</v>
      </c>
      <c r="O824" s="338">
        <f t="shared" si="466"/>
        <v>10000000</v>
      </c>
      <c r="P824" s="329">
        <f t="shared" si="461"/>
        <v>0</v>
      </c>
      <c r="Q824" s="338">
        <f t="shared" si="467"/>
        <v>0</v>
      </c>
      <c r="R824" s="329">
        <f t="shared" si="462"/>
        <v>0</v>
      </c>
      <c r="S824" s="338">
        <f t="shared" si="468"/>
        <v>0</v>
      </c>
      <c r="T824" s="329">
        <f t="shared" si="463"/>
        <v>0</v>
      </c>
      <c r="U824" s="338">
        <f t="shared" si="469"/>
        <v>0</v>
      </c>
      <c r="V824" s="329">
        <f t="shared" si="464"/>
        <v>0</v>
      </c>
      <c r="W824" s="338">
        <f t="shared" si="470"/>
        <v>6000000</v>
      </c>
      <c r="X824" s="35"/>
    </row>
    <row r="825" spans="1:24" x14ac:dyDescent="0.25">
      <c r="A825" s="335">
        <f t="shared" si="450"/>
        <v>44536</v>
      </c>
      <c r="B825" s="49">
        <f t="shared" si="471"/>
        <v>0</v>
      </c>
      <c r="C825" s="338">
        <f t="shared" si="451"/>
        <v>114372276</v>
      </c>
      <c r="D825" s="329">
        <f t="shared" si="472"/>
        <v>0</v>
      </c>
      <c r="E825" s="338">
        <f t="shared" si="452"/>
        <v>10941197.000671711</v>
      </c>
      <c r="F825" s="329">
        <f t="shared" si="456"/>
        <v>3000000</v>
      </c>
      <c r="G825" s="338">
        <f t="shared" si="453"/>
        <v>70400000</v>
      </c>
      <c r="H825" s="329">
        <f t="shared" si="457"/>
        <v>0</v>
      </c>
      <c r="I825" s="338">
        <f t="shared" si="454"/>
        <v>36721906</v>
      </c>
      <c r="J825" s="329">
        <f t="shared" si="458"/>
        <v>0</v>
      </c>
      <c r="K825" s="338">
        <f t="shared" si="455"/>
        <v>10200000</v>
      </c>
      <c r="L825" s="329">
        <f t="shared" si="459"/>
        <v>0</v>
      </c>
      <c r="M825" s="338">
        <f t="shared" si="465"/>
        <v>19598534.760000002</v>
      </c>
      <c r="N825" s="329">
        <f t="shared" si="460"/>
        <v>0</v>
      </c>
      <c r="O825" s="338">
        <f t="shared" si="466"/>
        <v>10000000</v>
      </c>
      <c r="P825" s="329">
        <f t="shared" si="461"/>
        <v>0</v>
      </c>
      <c r="Q825" s="338">
        <f t="shared" si="467"/>
        <v>0</v>
      </c>
      <c r="R825" s="329">
        <f t="shared" si="462"/>
        <v>0</v>
      </c>
      <c r="S825" s="338">
        <f t="shared" si="468"/>
        <v>0</v>
      </c>
      <c r="T825" s="329">
        <f t="shared" si="463"/>
        <v>0</v>
      </c>
      <c r="U825" s="338">
        <f t="shared" si="469"/>
        <v>0</v>
      </c>
      <c r="V825" s="329">
        <f t="shared" si="464"/>
        <v>2600000</v>
      </c>
      <c r="W825" s="338">
        <f t="shared" si="470"/>
        <v>8600000</v>
      </c>
      <c r="X825" s="35"/>
    </row>
    <row r="826" spans="1:24" x14ac:dyDescent="0.25">
      <c r="A826" s="335">
        <f t="shared" si="450"/>
        <v>44537</v>
      </c>
      <c r="B826" s="49">
        <f t="shared" si="471"/>
        <v>0</v>
      </c>
      <c r="C826" s="338">
        <f t="shared" si="451"/>
        <v>114372276</v>
      </c>
      <c r="D826" s="329">
        <f t="shared" si="472"/>
        <v>0</v>
      </c>
      <c r="E826" s="338">
        <f t="shared" si="452"/>
        <v>10941197.000671711</v>
      </c>
      <c r="F826" s="329">
        <f t="shared" si="456"/>
        <v>0</v>
      </c>
      <c r="G826" s="338">
        <f t="shared" si="453"/>
        <v>70400000</v>
      </c>
      <c r="H826" s="329">
        <f t="shared" si="457"/>
        <v>0</v>
      </c>
      <c r="I826" s="338">
        <f t="shared" si="454"/>
        <v>36721906</v>
      </c>
      <c r="J826" s="329">
        <f t="shared" si="458"/>
        <v>0</v>
      </c>
      <c r="K826" s="338">
        <f t="shared" si="455"/>
        <v>10200000</v>
      </c>
      <c r="L826" s="329">
        <f t="shared" si="459"/>
        <v>0</v>
      </c>
      <c r="M826" s="338">
        <f t="shared" si="465"/>
        <v>19598534.760000002</v>
      </c>
      <c r="N826" s="329">
        <f t="shared" si="460"/>
        <v>0</v>
      </c>
      <c r="O826" s="338">
        <f t="shared" si="466"/>
        <v>10000000</v>
      </c>
      <c r="P826" s="329">
        <f t="shared" si="461"/>
        <v>0</v>
      </c>
      <c r="Q826" s="338">
        <f t="shared" si="467"/>
        <v>0</v>
      </c>
      <c r="R826" s="329">
        <f t="shared" si="462"/>
        <v>0</v>
      </c>
      <c r="S826" s="338">
        <f t="shared" si="468"/>
        <v>0</v>
      </c>
      <c r="T826" s="329">
        <f t="shared" si="463"/>
        <v>0</v>
      </c>
      <c r="U826" s="338">
        <f t="shared" si="469"/>
        <v>0</v>
      </c>
      <c r="V826" s="329">
        <f t="shared" si="464"/>
        <v>0</v>
      </c>
      <c r="W826" s="338">
        <f t="shared" si="470"/>
        <v>8600000</v>
      </c>
      <c r="X826" s="35"/>
    </row>
    <row r="827" spans="1:24" x14ac:dyDescent="0.25">
      <c r="A827" s="335">
        <f t="shared" si="450"/>
        <v>44538</v>
      </c>
      <c r="B827" s="49">
        <f t="shared" si="471"/>
        <v>0</v>
      </c>
      <c r="C827" s="338">
        <f t="shared" si="451"/>
        <v>114372276</v>
      </c>
      <c r="D827" s="329">
        <f t="shared" si="472"/>
        <v>0</v>
      </c>
      <c r="E827" s="338">
        <f t="shared" si="452"/>
        <v>10941197.000671711</v>
      </c>
      <c r="F827" s="329">
        <f t="shared" si="456"/>
        <v>0</v>
      </c>
      <c r="G827" s="338">
        <f t="shared" si="453"/>
        <v>70400000</v>
      </c>
      <c r="H827" s="329">
        <f t="shared" si="457"/>
        <v>0</v>
      </c>
      <c r="I827" s="338">
        <f t="shared" si="454"/>
        <v>36721906</v>
      </c>
      <c r="J827" s="329">
        <f t="shared" si="458"/>
        <v>0</v>
      </c>
      <c r="K827" s="338">
        <f t="shared" si="455"/>
        <v>10200000</v>
      </c>
      <c r="L827" s="329">
        <f t="shared" si="459"/>
        <v>0</v>
      </c>
      <c r="M827" s="338">
        <f t="shared" si="465"/>
        <v>19598534.760000002</v>
      </c>
      <c r="N827" s="329">
        <f t="shared" si="460"/>
        <v>0</v>
      </c>
      <c r="O827" s="338">
        <f t="shared" si="466"/>
        <v>10000000</v>
      </c>
      <c r="P827" s="329">
        <f t="shared" si="461"/>
        <v>0</v>
      </c>
      <c r="Q827" s="338">
        <f t="shared" si="467"/>
        <v>0</v>
      </c>
      <c r="R827" s="329">
        <f t="shared" si="462"/>
        <v>0</v>
      </c>
      <c r="S827" s="338">
        <f t="shared" si="468"/>
        <v>0</v>
      </c>
      <c r="T827" s="329">
        <f t="shared" si="463"/>
        <v>0</v>
      </c>
      <c r="U827" s="338">
        <f t="shared" si="469"/>
        <v>0</v>
      </c>
      <c r="V827" s="329">
        <f t="shared" si="464"/>
        <v>0</v>
      </c>
      <c r="W827" s="338">
        <f t="shared" si="470"/>
        <v>8600000</v>
      </c>
      <c r="X827" s="35"/>
    </row>
    <row r="828" spans="1:24" x14ac:dyDescent="0.25">
      <c r="A828" s="335">
        <f t="shared" si="450"/>
        <v>44539</v>
      </c>
      <c r="B828" s="49">
        <f t="shared" si="471"/>
        <v>0</v>
      </c>
      <c r="C828" s="338">
        <f t="shared" si="451"/>
        <v>114372276</v>
      </c>
      <c r="D828" s="329">
        <f t="shared" si="472"/>
        <v>0</v>
      </c>
      <c r="E828" s="338">
        <f t="shared" si="452"/>
        <v>10941197.000671711</v>
      </c>
      <c r="F828" s="329">
        <f t="shared" si="456"/>
        <v>0</v>
      </c>
      <c r="G828" s="338">
        <f t="shared" si="453"/>
        <v>70400000</v>
      </c>
      <c r="H828" s="329">
        <f t="shared" si="457"/>
        <v>0</v>
      </c>
      <c r="I828" s="338">
        <f t="shared" si="454"/>
        <v>36721906</v>
      </c>
      <c r="J828" s="329">
        <f t="shared" si="458"/>
        <v>0</v>
      </c>
      <c r="K828" s="338">
        <f t="shared" si="455"/>
        <v>10200000</v>
      </c>
      <c r="L828" s="329">
        <f t="shared" si="459"/>
        <v>0</v>
      </c>
      <c r="M828" s="338">
        <f t="shared" si="465"/>
        <v>19598534.760000002</v>
      </c>
      <c r="N828" s="329">
        <f t="shared" si="460"/>
        <v>0</v>
      </c>
      <c r="O828" s="338">
        <f t="shared" si="466"/>
        <v>10000000</v>
      </c>
      <c r="P828" s="329">
        <f t="shared" si="461"/>
        <v>0</v>
      </c>
      <c r="Q828" s="338">
        <f t="shared" si="467"/>
        <v>0</v>
      </c>
      <c r="R828" s="329">
        <f t="shared" si="462"/>
        <v>0</v>
      </c>
      <c r="S828" s="338">
        <f t="shared" si="468"/>
        <v>0</v>
      </c>
      <c r="T828" s="329">
        <f t="shared" si="463"/>
        <v>0</v>
      </c>
      <c r="U828" s="338">
        <f t="shared" si="469"/>
        <v>0</v>
      </c>
      <c r="V828" s="329">
        <f t="shared" si="464"/>
        <v>0</v>
      </c>
      <c r="W828" s="338">
        <f t="shared" si="470"/>
        <v>8600000</v>
      </c>
      <c r="X828" s="35"/>
    </row>
    <row r="829" spans="1:24" x14ac:dyDescent="0.25">
      <c r="A829" s="335">
        <f t="shared" si="450"/>
        <v>44540</v>
      </c>
      <c r="B829" s="49">
        <f t="shared" si="471"/>
        <v>0</v>
      </c>
      <c r="C829" s="338">
        <f t="shared" si="451"/>
        <v>114372276</v>
      </c>
      <c r="D829" s="329">
        <f t="shared" si="472"/>
        <v>0</v>
      </c>
      <c r="E829" s="338">
        <f t="shared" si="452"/>
        <v>10941197.000671711</v>
      </c>
      <c r="F829" s="329">
        <f t="shared" si="456"/>
        <v>0</v>
      </c>
      <c r="G829" s="338">
        <f t="shared" si="453"/>
        <v>70400000</v>
      </c>
      <c r="H829" s="329">
        <f t="shared" si="457"/>
        <v>5000000</v>
      </c>
      <c r="I829" s="338">
        <f t="shared" si="454"/>
        <v>41721906</v>
      </c>
      <c r="J829" s="329">
        <f t="shared" si="458"/>
        <v>0</v>
      </c>
      <c r="K829" s="338">
        <f t="shared" si="455"/>
        <v>10200000</v>
      </c>
      <c r="L829" s="329">
        <f t="shared" si="459"/>
        <v>300000</v>
      </c>
      <c r="M829" s="338">
        <f t="shared" si="465"/>
        <v>19898534.760000002</v>
      </c>
      <c r="N829" s="329">
        <f t="shared" si="460"/>
        <v>0</v>
      </c>
      <c r="O829" s="338">
        <f t="shared" si="466"/>
        <v>10000000</v>
      </c>
      <c r="P829" s="329">
        <f t="shared" si="461"/>
        <v>0</v>
      </c>
      <c r="Q829" s="338">
        <f t="shared" si="467"/>
        <v>0</v>
      </c>
      <c r="R829" s="329">
        <f t="shared" si="462"/>
        <v>0</v>
      </c>
      <c r="S829" s="338">
        <f t="shared" si="468"/>
        <v>0</v>
      </c>
      <c r="T829" s="329">
        <f t="shared" si="463"/>
        <v>0</v>
      </c>
      <c r="U829" s="338">
        <f t="shared" si="469"/>
        <v>0</v>
      </c>
      <c r="V829" s="329">
        <f t="shared" si="464"/>
        <v>0</v>
      </c>
      <c r="W829" s="338">
        <f t="shared" si="470"/>
        <v>8600000</v>
      </c>
      <c r="X829" s="35"/>
    </row>
    <row r="830" spans="1:24" x14ac:dyDescent="0.25">
      <c r="A830" s="335">
        <f t="shared" si="450"/>
        <v>44541</v>
      </c>
      <c r="B830" s="49">
        <f t="shared" si="471"/>
        <v>0</v>
      </c>
      <c r="C830" s="338">
        <f t="shared" si="451"/>
        <v>114372276</v>
      </c>
      <c r="D830" s="329">
        <f t="shared" si="472"/>
        <v>0</v>
      </c>
      <c r="E830" s="338">
        <f t="shared" si="452"/>
        <v>10941197.000671711</v>
      </c>
      <c r="F830" s="329">
        <f t="shared" si="456"/>
        <v>0</v>
      </c>
      <c r="G830" s="338">
        <f t="shared" si="453"/>
        <v>70400000</v>
      </c>
      <c r="H830" s="329">
        <f t="shared" si="457"/>
        <v>0</v>
      </c>
      <c r="I830" s="338">
        <f t="shared" si="454"/>
        <v>41721906</v>
      </c>
      <c r="J830" s="329">
        <f t="shared" si="458"/>
        <v>0</v>
      </c>
      <c r="K830" s="338">
        <f t="shared" si="455"/>
        <v>10200000</v>
      </c>
      <c r="L830" s="329">
        <f t="shared" si="459"/>
        <v>0</v>
      </c>
      <c r="M830" s="338">
        <f t="shared" si="465"/>
        <v>19898534.760000002</v>
      </c>
      <c r="N830" s="329">
        <f t="shared" si="460"/>
        <v>0</v>
      </c>
      <c r="O830" s="338">
        <f t="shared" si="466"/>
        <v>10000000</v>
      </c>
      <c r="P830" s="329">
        <f t="shared" si="461"/>
        <v>0</v>
      </c>
      <c r="Q830" s="338">
        <f t="shared" si="467"/>
        <v>0</v>
      </c>
      <c r="R830" s="329">
        <f t="shared" si="462"/>
        <v>0</v>
      </c>
      <c r="S830" s="338">
        <f t="shared" si="468"/>
        <v>0</v>
      </c>
      <c r="T830" s="329">
        <f t="shared" si="463"/>
        <v>0</v>
      </c>
      <c r="U830" s="338">
        <f t="shared" si="469"/>
        <v>0</v>
      </c>
      <c r="V830" s="329">
        <f t="shared" si="464"/>
        <v>0</v>
      </c>
      <c r="W830" s="338">
        <f t="shared" si="470"/>
        <v>8600000</v>
      </c>
      <c r="X830" s="35"/>
    </row>
    <row r="831" spans="1:24" x14ac:dyDescent="0.25">
      <c r="A831" s="335">
        <f t="shared" si="450"/>
        <v>44542</v>
      </c>
      <c r="B831" s="49">
        <f t="shared" si="471"/>
        <v>0</v>
      </c>
      <c r="C831" s="338">
        <f t="shared" si="451"/>
        <v>114372276</v>
      </c>
      <c r="D831" s="329">
        <f t="shared" si="472"/>
        <v>0</v>
      </c>
      <c r="E831" s="338">
        <f t="shared" si="452"/>
        <v>10941197.000671711</v>
      </c>
      <c r="F831" s="329">
        <f t="shared" si="456"/>
        <v>0</v>
      </c>
      <c r="G831" s="338">
        <f t="shared" si="453"/>
        <v>70400000</v>
      </c>
      <c r="H831" s="329">
        <f t="shared" si="457"/>
        <v>0</v>
      </c>
      <c r="I831" s="338">
        <f t="shared" si="454"/>
        <v>41721906</v>
      </c>
      <c r="J831" s="329">
        <f t="shared" si="458"/>
        <v>0</v>
      </c>
      <c r="K831" s="338">
        <f t="shared" si="455"/>
        <v>10200000</v>
      </c>
      <c r="L831" s="329">
        <f t="shared" si="459"/>
        <v>0</v>
      </c>
      <c r="M831" s="338">
        <f t="shared" si="465"/>
        <v>19898534.760000002</v>
      </c>
      <c r="N831" s="329">
        <f t="shared" si="460"/>
        <v>0</v>
      </c>
      <c r="O831" s="338">
        <f t="shared" si="466"/>
        <v>10000000</v>
      </c>
      <c r="P831" s="329">
        <f t="shared" si="461"/>
        <v>0</v>
      </c>
      <c r="Q831" s="338">
        <f t="shared" si="467"/>
        <v>0</v>
      </c>
      <c r="R831" s="329">
        <f t="shared" si="462"/>
        <v>0</v>
      </c>
      <c r="S831" s="338">
        <f t="shared" si="468"/>
        <v>0</v>
      </c>
      <c r="T831" s="329">
        <f t="shared" si="463"/>
        <v>0</v>
      </c>
      <c r="U831" s="338">
        <f t="shared" si="469"/>
        <v>0</v>
      </c>
      <c r="V831" s="329">
        <f t="shared" si="464"/>
        <v>0</v>
      </c>
      <c r="W831" s="338">
        <f t="shared" si="470"/>
        <v>8600000</v>
      </c>
      <c r="X831" s="35"/>
    </row>
    <row r="832" spans="1:24" x14ac:dyDescent="0.25">
      <c r="A832" s="335">
        <f t="shared" ref="A832:A895" si="473">A831+1</f>
        <v>44543</v>
      </c>
      <c r="B832" s="49">
        <f t="shared" si="471"/>
        <v>0</v>
      </c>
      <c r="C832" s="338">
        <f t="shared" ref="C832:C863" si="474">B832+C831</f>
        <v>114372276</v>
      </c>
      <c r="D832" s="329">
        <f t="shared" si="472"/>
        <v>0</v>
      </c>
      <c r="E832" s="338">
        <f t="shared" ref="E832:E863" si="475">D832+E831</f>
        <v>10941197.000671711</v>
      </c>
      <c r="F832" s="329">
        <f t="shared" si="456"/>
        <v>0</v>
      </c>
      <c r="G832" s="338">
        <f t="shared" ref="G832:G863" si="476">F832+G831</f>
        <v>70400000</v>
      </c>
      <c r="H832" s="329">
        <f t="shared" si="457"/>
        <v>0</v>
      </c>
      <c r="I832" s="338">
        <f t="shared" ref="I832:I863" si="477">H832+I831</f>
        <v>41721906</v>
      </c>
      <c r="J832" s="329">
        <f t="shared" si="458"/>
        <v>0</v>
      </c>
      <c r="K832" s="338">
        <f t="shared" ref="K832:K863" si="478">J832+K831</f>
        <v>10200000</v>
      </c>
      <c r="L832" s="329">
        <f t="shared" si="459"/>
        <v>0</v>
      </c>
      <c r="M832" s="338">
        <f t="shared" si="465"/>
        <v>19898534.760000002</v>
      </c>
      <c r="N832" s="329">
        <f t="shared" si="460"/>
        <v>0</v>
      </c>
      <c r="O832" s="338">
        <f t="shared" si="466"/>
        <v>10000000</v>
      </c>
      <c r="P832" s="329">
        <f t="shared" si="461"/>
        <v>0</v>
      </c>
      <c r="Q832" s="338">
        <f t="shared" si="467"/>
        <v>0</v>
      </c>
      <c r="R832" s="329">
        <f t="shared" si="462"/>
        <v>0</v>
      </c>
      <c r="S832" s="338">
        <f t="shared" si="468"/>
        <v>0</v>
      </c>
      <c r="T832" s="329">
        <f t="shared" si="463"/>
        <v>0</v>
      </c>
      <c r="U832" s="338">
        <f t="shared" si="469"/>
        <v>0</v>
      </c>
      <c r="V832" s="329">
        <f t="shared" si="464"/>
        <v>0</v>
      </c>
      <c r="W832" s="338">
        <f t="shared" si="470"/>
        <v>8600000</v>
      </c>
      <c r="X832" s="35"/>
    </row>
    <row r="833" spans="1:24" x14ac:dyDescent="0.25">
      <c r="A833" s="335">
        <f t="shared" si="473"/>
        <v>44544</v>
      </c>
      <c r="B833" s="49">
        <f t="shared" si="471"/>
        <v>0</v>
      </c>
      <c r="C833" s="338">
        <f t="shared" si="474"/>
        <v>114372276</v>
      </c>
      <c r="D833" s="329">
        <f t="shared" si="472"/>
        <v>0</v>
      </c>
      <c r="E833" s="338">
        <f t="shared" si="475"/>
        <v>10941197.000671711</v>
      </c>
      <c r="F833" s="329">
        <f t="shared" si="456"/>
        <v>0</v>
      </c>
      <c r="G833" s="338">
        <f t="shared" si="476"/>
        <v>70400000</v>
      </c>
      <c r="H833" s="329">
        <f t="shared" si="457"/>
        <v>0</v>
      </c>
      <c r="I833" s="338">
        <f t="shared" si="477"/>
        <v>41721906</v>
      </c>
      <c r="J833" s="329">
        <f t="shared" si="458"/>
        <v>0</v>
      </c>
      <c r="K833" s="338">
        <f t="shared" si="478"/>
        <v>10200000</v>
      </c>
      <c r="L833" s="329">
        <f t="shared" si="459"/>
        <v>0</v>
      </c>
      <c r="M833" s="338">
        <f t="shared" si="465"/>
        <v>19898534.760000002</v>
      </c>
      <c r="N833" s="329">
        <f t="shared" si="460"/>
        <v>0</v>
      </c>
      <c r="O833" s="338">
        <f t="shared" si="466"/>
        <v>10000000</v>
      </c>
      <c r="P833" s="329">
        <f t="shared" si="461"/>
        <v>0</v>
      </c>
      <c r="Q833" s="338">
        <f t="shared" si="467"/>
        <v>0</v>
      </c>
      <c r="R833" s="329">
        <f t="shared" si="462"/>
        <v>0</v>
      </c>
      <c r="S833" s="338">
        <f t="shared" si="468"/>
        <v>0</v>
      </c>
      <c r="T833" s="329">
        <f t="shared" si="463"/>
        <v>0</v>
      </c>
      <c r="U833" s="338">
        <f t="shared" si="469"/>
        <v>0</v>
      </c>
      <c r="V833" s="329">
        <f t="shared" si="464"/>
        <v>0</v>
      </c>
      <c r="W833" s="338">
        <f t="shared" si="470"/>
        <v>8600000</v>
      </c>
      <c r="X833" s="35"/>
    </row>
    <row r="834" spans="1:24" x14ac:dyDescent="0.25">
      <c r="A834" s="335">
        <f t="shared" si="473"/>
        <v>44545</v>
      </c>
      <c r="B834" s="49">
        <f t="shared" si="471"/>
        <v>-2486180.8569039395</v>
      </c>
      <c r="C834" s="338">
        <f t="shared" si="474"/>
        <v>111886095.14309606</v>
      </c>
      <c r="D834" s="329">
        <f t="shared" si="472"/>
        <v>-599174.44259397173</v>
      </c>
      <c r="E834" s="338">
        <f t="shared" si="475"/>
        <v>10342022.55807774</v>
      </c>
      <c r="F834" s="329">
        <f t="shared" si="456"/>
        <v>6000000</v>
      </c>
      <c r="G834" s="338">
        <f t="shared" si="476"/>
        <v>76400000</v>
      </c>
      <c r="H834" s="329">
        <f t="shared" si="457"/>
        <v>0</v>
      </c>
      <c r="I834" s="338">
        <f t="shared" si="477"/>
        <v>41721906</v>
      </c>
      <c r="J834" s="329">
        <f t="shared" si="458"/>
        <v>800000</v>
      </c>
      <c r="K834" s="338">
        <f t="shared" si="478"/>
        <v>11000000</v>
      </c>
      <c r="L834" s="329">
        <f t="shared" si="459"/>
        <v>2000000</v>
      </c>
      <c r="M834" s="338">
        <f t="shared" si="465"/>
        <v>21898534.760000002</v>
      </c>
      <c r="N834" s="329">
        <f t="shared" si="460"/>
        <v>0</v>
      </c>
      <c r="O834" s="338">
        <f t="shared" si="466"/>
        <v>10000000</v>
      </c>
      <c r="P834" s="329">
        <f t="shared" si="461"/>
        <v>0</v>
      </c>
      <c r="Q834" s="338">
        <f t="shared" si="467"/>
        <v>0</v>
      </c>
      <c r="R834" s="329">
        <f t="shared" si="462"/>
        <v>0</v>
      </c>
      <c r="S834" s="338">
        <f t="shared" si="468"/>
        <v>0</v>
      </c>
      <c r="T834" s="329">
        <f t="shared" si="463"/>
        <v>0</v>
      </c>
      <c r="U834" s="338">
        <f t="shared" si="469"/>
        <v>0</v>
      </c>
      <c r="V834" s="329">
        <f t="shared" si="464"/>
        <v>0</v>
      </c>
      <c r="W834" s="338">
        <f t="shared" si="470"/>
        <v>8600000</v>
      </c>
      <c r="X834" s="35"/>
    </row>
    <row r="835" spans="1:24" x14ac:dyDescent="0.25">
      <c r="A835" s="335">
        <f t="shared" si="473"/>
        <v>44546</v>
      </c>
      <c r="B835" s="49">
        <f t="shared" si="471"/>
        <v>0</v>
      </c>
      <c r="C835" s="338">
        <f t="shared" si="474"/>
        <v>111886095.14309606</v>
      </c>
      <c r="D835" s="329">
        <f t="shared" si="472"/>
        <v>0</v>
      </c>
      <c r="E835" s="338">
        <f t="shared" si="475"/>
        <v>10342022.55807774</v>
      </c>
      <c r="F835" s="329">
        <f t="shared" ref="F835:F898" si="479">SUMIFS(Usage_Main,CF_Dates,$A835,CF_Descriptions,"EASTCYPRESS1 Change")</f>
        <v>0</v>
      </c>
      <c r="G835" s="338">
        <f t="shared" si="476"/>
        <v>76400000</v>
      </c>
      <c r="H835" s="329">
        <f t="shared" si="457"/>
        <v>0</v>
      </c>
      <c r="I835" s="338">
        <f t="shared" si="477"/>
        <v>41721906</v>
      </c>
      <c r="J835" s="329">
        <f t="shared" si="458"/>
        <v>0</v>
      </c>
      <c r="K835" s="338">
        <f t="shared" si="478"/>
        <v>11000000</v>
      </c>
      <c r="L835" s="329">
        <f t="shared" si="459"/>
        <v>0</v>
      </c>
      <c r="M835" s="338">
        <f t="shared" si="465"/>
        <v>21898534.760000002</v>
      </c>
      <c r="N835" s="329">
        <f t="shared" si="460"/>
        <v>3000000</v>
      </c>
      <c r="O835" s="338">
        <f t="shared" si="466"/>
        <v>13000000</v>
      </c>
      <c r="P835" s="329">
        <f t="shared" si="461"/>
        <v>0</v>
      </c>
      <c r="Q835" s="338">
        <f t="shared" si="467"/>
        <v>0</v>
      </c>
      <c r="R835" s="329">
        <f t="shared" si="462"/>
        <v>0</v>
      </c>
      <c r="S835" s="338">
        <f t="shared" si="468"/>
        <v>0</v>
      </c>
      <c r="T835" s="329">
        <f t="shared" si="463"/>
        <v>0</v>
      </c>
      <c r="U835" s="338">
        <f t="shared" si="469"/>
        <v>0</v>
      </c>
      <c r="V835" s="329">
        <f t="shared" si="464"/>
        <v>0</v>
      </c>
      <c r="W835" s="338">
        <f t="shared" si="470"/>
        <v>8600000</v>
      </c>
      <c r="X835" s="35"/>
    </row>
    <row r="836" spans="1:24" x14ac:dyDescent="0.25">
      <c r="A836" s="335">
        <f t="shared" si="473"/>
        <v>44547</v>
      </c>
      <c r="B836" s="49">
        <f t="shared" si="471"/>
        <v>0</v>
      </c>
      <c r="C836" s="338">
        <f t="shared" si="474"/>
        <v>111886095.14309606</v>
      </c>
      <c r="D836" s="329">
        <f t="shared" si="472"/>
        <v>0</v>
      </c>
      <c r="E836" s="338">
        <f t="shared" si="475"/>
        <v>10342022.55807774</v>
      </c>
      <c r="F836" s="329">
        <f t="shared" si="479"/>
        <v>0</v>
      </c>
      <c r="G836" s="338">
        <f t="shared" si="476"/>
        <v>76400000</v>
      </c>
      <c r="H836" s="329">
        <f t="shared" si="457"/>
        <v>0</v>
      </c>
      <c r="I836" s="338">
        <f t="shared" si="477"/>
        <v>41721906</v>
      </c>
      <c r="J836" s="329">
        <f t="shared" si="458"/>
        <v>0</v>
      </c>
      <c r="K836" s="338">
        <f t="shared" si="478"/>
        <v>11000000</v>
      </c>
      <c r="L836" s="329">
        <f t="shared" si="459"/>
        <v>0</v>
      </c>
      <c r="M836" s="338">
        <f t="shared" si="465"/>
        <v>21898534.760000002</v>
      </c>
      <c r="N836" s="329">
        <f t="shared" si="460"/>
        <v>0</v>
      </c>
      <c r="O836" s="338">
        <f t="shared" si="466"/>
        <v>13000000</v>
      </c>
      <c r="P836" s="329">
        <f t="shared" si="461"/>
        <v>0</v>
      </c>
      <c r="Q836" s="338">
        <f t="shared" si="467"/>
        <v>0</v>
      </c>
      <c r="R836" s="329">
        <f t="shared" si="462"/>
        <v>0</v>
      </c>
      <c r="S836" s="338">
        <f t="shared" si="468"/>
        <v>0</v>
      </c>
      <c r="T836" s="329">
        <f t="shared" si="463"/>
        <v>0</v>
      </c>
      <c r="U836" s="338">
        <f t="shared" si="469"/>
        <v>0</v>
      </c>
      <c r="V836" s="329">
        <f t="shared" si="464"/>
        <v>0</v>
      </c>
      <c r="W836" s="338">
        <f t="shared" si="470"/>
        <v>8600000</v>
      </c>
      <c r="X836" s="35"/>
    </row>
    <row r="837" spans="1:24" x14ac:dyDescent="0.25">
      <c r="A837" s="335">
        <f t="shared" si="473"/>
        <v>44548</v>
      </c>
      <c r="B837" s="49">
        <f t="shared" si="471"/>
        <v>0</v>
      </c>
      <c r="C837" s="338">
        <f t="shared" si="474"/>
        <v>111886095.14309606</v>
      </c>
      <c r="D837" s="329">
        <f t="shared" si="472"/>
        <v>0</v>
      </c>
      <c r="E837" s="338">
        <f t="shared" si="475"/>
        <v>10342022.55807774</v>
      </c>
      <c r="F837" s="329">
        <f t="shared" si="479"/>
        <v>0</v>
      </c>
      <c r="G837" s="338">
        <f t="shared" si="476"/>
        <v>76400000</v>
      </c>
      <c r="H837" s="329">
        <f t="shared" si="457"/>
        <v>0</v>
      </c>
      <c r="I837" s="338">
        <f t="shared" si="477"/>
        <v>41721906</v>
      </c>
      <c r="J837" s="329">
        <f t="shared" si="458"/>
        <v>0</v>
      </c>
      <c r="K837" s="338">
        <f t="shared" si="478"/>
        <v>11000000</v>
      </c>
      <c r="L837" s="329">
        <f t="shared" si="459"/>
        <v>0</v>
      </c>
      <c r="M837" s="338">
        <f t="shared" si="465"/>
        <v>21898534.760000002</v>
      </c>
      <c r="N837" s="329">
        <f t="shared" si="460"/>
        <v>0</v>
      </c>
      <c r="O837" s="338">
        <f t="shared" si="466"/>
        <v>13000000</v>
      </c>
      <c r="P837" s="329">
        <f t="shared" si="461"/>
        <v>0</v>
      </c>
      <c r="Q837" s="338">
        <f t="shared" si="467"/>
        <v>0</v>
      </c>
      <c r="R837" s="329">
        <f t="shared" si="462"/>
        <v>0</v>
      </c>
      <c r="S837" s="338">
        <f t="shared" si="468"/>
        <v>0</v>
      </c>
      <c r="T837" s="329">
        <f t="shared" si="463"/>
        <v>0</v>
      </c>
      <c r="U837" s="338">
        <f t="shared" si="469"/>
        <v>0</v>
      </c>
      <c r="V837" s="329">
        <f t="shared" si="464"/>
        <v>0</v>
      </c>
      <c r="W837" s="338">
        <f t="shared" si="470"/>
        <v>8600000</v>
      </c>
      <c r="X837" s="35"/>
    </row>
    <row r="838" spans="1:24" x14ac:dyDescent="0.25">
      <c r="A838" s="335">
        <f t="shared" si="473"/>
        <v>44549</v>
      </c>
      <c r="B838" s="49">
        <f t="shared" si="471"/>
        <v>0</v>
      </c>
      <c r="C838" s="338">
        <f t="shared" si="474"/>
        <v>111886095.14309606</v>
      </c>
      <c r="D838" s="329">
        <f t="shared" si="472"/>
        <v>0</v>
      </c>
      <c r="E838" s="338">
        <f t="shared" si="475"/>
        <v>10342022.55807774</v>
      </c>
      <c r="F838" s="329">
        <f t="shared" si="479"/>
        <v>0</v>
      </c>
      <c r="G838" s="338">
        <f t="shared" si="476"/>
        <v>76400000</v>
      </c>
      <c r="H838" s="329">
        <f t="shared" si="457"/>
        <v>0</v>
      </c>
      <c r="I838" s="338">
        <f t="shared" si="477"/>
        <v>41721906</v>
      </c>
      <c r="J838" s="329">
        <f t="shared" si="458"/>
        <v>0</v>
      </c>
      <c r="K838" s="338">
        <f t="shared" si="478"/>
        <v>11000000</v>
      </c>
      <c r="L838" s="329">
        <f t="shared" si="459"/>
        <v>0</v>
      </c>
      <c r="M838" s="338">
        <f t="shared" si="465"/>
        <v>21898534.760000002</v>
      </c>
      <c r="N838" s="329">
        <f t="shared" si="460"/>
        <v>0</v>
      </c>
      <c r="O838" s="338">
        <f t="shared" si="466"/>
        <v>13000000</v>
      </c>
      <c r="P838" s="329">
        <f t="shared" si="461"/>
        <v>0</v>
      </c>
      <c r="Q838" s="338">
        <f t="shared" si="467"/>
        <v>0</v>
      </c>
      <c r="R838" s="329">
        <f t="shared" si="462"/>
        <v>0</v>
      </c>
      <c r="S838" s="338">
        <f t="shared" si="468"/>
        <v>0</v>
      </c>
      <c r="T838" s="329">
        <f t="shared" si="463"/>
        <v>0</v>
      </c>
      <c r="U838" s="338">
        <f t="shared" si="469"/>
        <v>0</v>
      </c>
      <c r="V838" s="329">
        <f t="shared" si="464"/>
        <v>0</v>
      </c>
      <c r="W838" s="338">
        <f t="shared" si="470"/>
        <v>8600000</v>
      </c>
      <c r="X838" s="35"/>
    </row>
    <row r="839" spans="1:24" x14ac:dyDescent="0.25">
      <c r="A839" s="335">
        <f t="shared" si="473"/>
        <v>44550</v>
      </c>
      <c r="B839" s="49">
        <f t="shared" si="471"/>
        <v>0</v>
      </c>
      <c r="C839" s="338">
        <f t="shared" si="474"/>
        <v>111886095.14309606</v>
      </c>
      <c r="D839" s="329">
        <f t="shared" si="472"/>
        <v>0</v>
      </c>
      <c r="E839" s="338">
        <f t="shared" si="475"/>
        <v>10342022.55807774</v>
      </c>
      <c r="F839" s="329">
        <f t="shared" si="479"/>
        <v>0</v>
      </c>
      <c r="G839" s="338">
        <f t="shared" si="476"/>
        <v>76400000</v>
      </c>
      <c r="H839" s="329">
        <f t="shared" si="457"/>
        <v>0</v>
      </c>
      <c r="I839" s="338">
        <f t="shared" si="477"/>
        <v>41721906</v>
      </c>
      <c r="J839" s="329">
        <f t="shared" si="458"/>
        <v>0</v>
      </c>
      <c r="K839" s="338">
        <f t="shared" si="478"/>
        <v>11000000</v>
      </c>
      <c r="L839" s="329">
        <f t="shared" si="459"/>
        <v>0</v>
      </c>
      <c r="M839" s="338">
        <f t="shared" si="465"/>
        <v>21898534.760000002</v>
      </c>
      <c r="N839" s="329">
        <f t="shared" si="460"/>
        <v>0</v>
      </c>
      <c r="O839" s="338">
        <f t="shared" si="466"/>
        <v>13000000</v>
      </c>
      <c r="P839" s="329">
        <f t="shared" si="461"/>
        <v>0</v>
      </c>
      <c r="Q839" s="338">
        <f t="shared" si="467"/>
        <v>0</v>
      </c>
      <c r="R839" s="329">
        <f t="shared" si="462"/>
        <v>0</v>
      </c>
      <c r="S839" s="338">
        <f t="shared" si="468"/>
        <v>0</v>
      </c>
      <c r="T839" s="329">
        <f t="shared" si="463"/>
        <v>0</v>
      </c>
      <c r="U839" s="338">
        <f t="shared" si="469"/>
        <v>0</v>
      </c>
      <c r="V839" s="329">
        <f t="shared" si="464"/>
        <v>0</v>
      </c>
      <c r="W839" s="338">
        <f t="shared" si="470"/>
        <v>8600000</v>
      </c>
      <c r="X839" s="35"/>
    </row>
    <row r="840" spans="1:24" x14ac:dyDescent="0.25">
      <c r="A840" s="335">
        <f t="shared" si="473"/>
        <v>44551</v>
      </c>
      <c r="B840" s="49">
        <f t="shared" si="471"/>
        <v>0</v>
      </c>
      <c r="C840" s="338">
        <f t="shared" si="474"/>
        <v>111886095.14309606</v>
      </c>
      <c r="D840" s="329">
        <f t="shared" si="472"/>
        <v>1200000</v>
      </c>
      <c r="E840" s="338">
        <f t="shared" si="475"/>
        <v>11542022.55807774</v>
      </c>
      <c r="F840" s="329">
        <f t="shared" si="479"/>
        <v>0</v>
      </c>
      <c r="G840" s="338">
        <f t="shared" si="476"/>
        <v>76400000</v>
      </c>
      <c r="H840" s="329">
        <f t="shared" si="457"/>
        <v>0</v>
      </c>
      <c r="I840" s="338">
        <f t="shared" si="477"/>
        <v>41721906</v>
      </c>
      <c r="J840" s="329">
        <f t="shared" si="458"/>
        <v>0</v>
      </c>
      <c r="K840" s="338">
        <f t="shared" si="478"/>
        <v>11000000</v>
      </c>
      <c r="L840" s="329">
        <f t="shared" si="459"/>
        <v>0</v>
      </c>
      <c r="M840" s="338">
        <f t="shared" si="465"/>
        <v>21898534.760000002</v>
      </c>
      <c r="N840" s="329">
        <f t="shared" si="460"/>
        <v>0</v>
      </c>
      <c r="O840" s="338">
        <f t="shared" si="466"/>
        <v>13000000</v>
      </c>
      <c r="P840" s="329">
        <f t="shared" si="461"/>
        <v>0</v>
      </c>
      <c r="Q840" s="338">
        <f t="shared" si="467"/>
        <v>0</v>
      </c>
      <c r="R840" s="329">
        <f t="shared" si="462"/>
        <v>0</v>
      </c>
      <c r="S840" s="338">
        <f t="shared" si="468"/>
        <v>0</v>
      </c>
      <c r="T840" s="329">
        <f t="shared" si="463"/>
        <v>0</v>
      </c>
      <c r="U840" s="338">
        <f t="shared" si="469"/>
        <v>0</v>
      </c>
      <c r="V840" s="329">
        <f t="shared" si="464"/>
        <v>0</v>
      </c>
      <c r="W840" s="338">
        <f t="shared" si="470"/>
        <v>8600000</v>
      </c>
      <c r="X840" s="35"/>
    </row>
    <row r="841" spans="1:24" x14ac:dyDescent="0.25">
      <c r="A841" s="335">
        <f t="shared" si="473"/>
        <v>44552</v>
      </c>
      <c r="B841" s="49">
        <f t="shared" si="471"/>
        <v>0</v>
      </c>
      <c r="C841" s="338">
        <f t="shared" si="474"/>
        <v>111886095.14309606</v>
      </c>
      <c r="D841" s="329">
        <f t="shared" si="472"/>
        <v>0</v>
      </c>
      <c r="E841" s="338">
        <f t="shared" si="475"/>
        <v>11542022.55807774</v>
      </c>
      <c r="F841" s="329">
        <f t="shared" si="479"/>
        <v>0</v>
      </c>
      <c r="G841" s="338">
        <f t="shared" si="476"/>
        <v>76400000</v>
      </c>
      <c r="H841" s="329">
        <f t="shared" si="457"/>
        <v>0</v>
      </c>
      <c r="I841" s="338">
        <f t="shared" si="477"/>
        <v>41721906</v>
      </c>
      <c r="J841" s="329">
        <f t="shared" si="458"/>
        <v>0</v>
      </c>
      <c r="K841" s="338">
        <f t="shared" si="478"/>
        <v>11000000</v>
      </c>
      <c r="L841" s="329">
        <f t="shared" si="459"/>
        <v>0</v>
      </c>
      <c r="M841" s="338">
        <f t="shared" si="465"/>
        <v>21898534.760000002</v>
      </c>
      <c r="N841" s="329">
        <f t="shared" si="460"/>
        <v>0</v>
      </c>
      <c r="O841" s="338">
        <f t="shared" si="466"/>
        <v>13000000</v>
      </c>
      <c r="P841" s="329">
        <f t="shared" si="461"/>
        <v>0</v>
      </c>
      <c r="Q841" s="338">
        <f t="shared" si="467"/>
        <v>0</v>
      </c>
      <c r="R841" s="329">
        <f t="shared" si="462"/>
        <v>0</v>
      </c>
      <c r="S841" s="338">
        <f t="shared" si="468"/>
        <v>0</v>
      </c>
      <c r="T841" s="329">
        <f t="shared" si="463"/>
        <v>0</v>
      </c>
      <c r="U841" s="338">
        <f t="shared" si="469"/>
        <v>0</v>
      </c>
      <c r="V841" s="329">
        <f t="shared" si="464"/>
        <v>0</v>
      </c>
      <c r="W841" s="338">
        <f t="shared" si="470"/>
        <v>8600000</v>
      </c>
      <c r="X841" s="35"/>
    </row>
    <row r="842" spans="1:24" x14ac:dyDescent="0.25">
      <c r="A842" s="335">
        <f t="shared" si="473"/>
        <v>44553</v>
      </c>
      <c r="B842" s="49">
        <f t="shared" si="471"/>
        <v>0</v>
      </c>
      <c r="C842" s="338">
        <f t="shared" si="474"/>
        <v>111886095.14309606</v>
      </c>
      <c r="D842" s="329">
        <f t="shared" si="472"/>
        <v>0</v>
      </c>
      <c r="E842" s="338">
        <f t="shared" si="475"/>
        <v>11542022.55807774</v>
      </c>
      <c r="F842" s="329">
        <f t="shared" si="479"/>
        <v>0</v>
      </c>
      <c r="G842" s="338">
        <f t="shared" si="476"/>
        <v>76400000</v>
      </c>
      <c r="H842" s="329">
        <f t="shared" si="457"/>
        <v>5000000</v>
      </c>
      <c r="I842" s="338">
        <f t="shared" si="477"/>
        <v>46721906</v>
      </c>
      <c r="J842" s="329">
        <f t="shared" si="458"/>
        <v>0</v>
      </c>
      <c r="K842" s="338">
        <f t="shared" si="478"/>
        <v>11000000</v>
      </c>
      <c r="L842" s="329">
        <f t="shared" si="459"/>
        <v>0</v>
      </c>
      <c r="M842" s="338">
        <f t="shared" si="465"/>
        <v>21898534.760000002</v>
      </c>
      <c r="N842" s="329">
        <f t="shared" si="460"/>
        <v>0</v>
      </c>
      <c r="O842" s="338">
        <f t="shared" si="466"/>
        <v>13000000</v>
      </c>
      <c r="P842" s="329">
        <f t="shared" si="461"/>
        <v>0</v>
      </c>
      <c r="Q842" s="338">
        <f t="shared" si="467"/>
        <v>0</v>
      </c>
      <c r="R842" s="329">
        <f t="shared" si="462"/>
        <v>0</v>
      </c>
      <c r="S842" s="338">
        <f t="shared" si="468"/>
        <v>0</v>
      </c>
      <c r="T842" s="329">
        <f t="shared" si="463"/>
        <v>0</v>
      </c>
      <c r="U842" s="338">
        <f t="shared" si="469"/>
        <v>0</v>
      </c>
      <c r="V842" s="329">
        <f t="shared" si="464"/>
        <v>0</v>
      </c>
      <c r="W842" s="338">
        <f t="shared" si="470"/>
        <v>8600000</v>
      </c>
      <c r="X842" s="35"/>
    </row>
    <row r="843" spans="1:24" x14ac:dyDescent="0.25">
      <c r="A843" s="335">
        <f t="shared" si="473"/>
        <v>44554</v>
      </c>
      <c r="B843" s="49">
        <f t="shared" si="471"/>
        <v>0</v>
      </c>
      <c r="C843" s="338">
        <f t="shared" si="474"/>
        <v>111886095.14309606</v>
      </c>
      <c r="D843" s="329">
        <f t="shared" si="472"/>
        <v>0</v>
      </c>
      <c r="E843" s="338">
        <f t="shared" si="475"/>
        <v>11542022.55807774</v>
      </c>
      <c r="F843" s="329">
        <f t="shared" si="479"/>
        <v>0</v>
      </c>
      <c r="G843" s="338">
        <f t="shared" si="476"/>
        <v>76400000</v>
      </c>
      <c r="H843" s="329">
        <f t="shared" si="457"/>
        <v>0</v>
      </c>
      <c r="I843" s="338">
        <f t="shared" si="477"/>
        <v>46721906</v>
      </c>
      <c r="J843" s="329">
        <f t="shared" si="458"/>
        <v>0</v>
      </c>
      <c r="K843" s="338">
        <f t="shared" si="478"/>
        <v>11000000</v>
      </c>
      <c r="L843" s="329">
        <f t="shared" si="459"/>
        <v>0</v>
      </c>
      <c r="M843" s="338">
        <f t="shared" si="465"/>
        <v>21898534.760000002</v>
      </c>
      <c r="N843" s="329">
        <f t="shared" si="460"/>
        <v>0</v>
      </c>
      <c r="O843" s="338">
        <f t="shared" si="466"/>
        <v>13000000</v>
      </c>
      <c r="P843" s="329">
        <f t="shared" si="461"/>
        <v>0</v>
      </c>
      <c r="Q843" s="338">
        <f t="shared" si="467"/>
        <v>0</v>
      </c>
      <c r="R843" s="329">
        <f t="shared" si="462"/>
        <v>0</v>
      </c>
      <c r="S843" s="338">
        <f t="shared" si="468"/>
        <v>0</v>
      </c>
      <c r="T843" s="329">
        <f t="shared" si="463"/>
        <v>0</v>
      </c>
      <c r="U843" s="338">
        <f t="shared" si="469"/>
        <v>0</v>
      </c>
      <c r="V843" s="329">
        <f t="shared" si="464"/>
        <v>0</v>
      </c>
      <c r="W843" s="338">
        <f t="shared" si="470"/>
        <v>8600000</v>
      </c>
      <c r="X843" s="35"/>
    </row>
    <row r="844" spans="1:24" x14ac:dyDescent="0.25">
      <c r="A844" s="335">
        <f t="shared" si="473"/>
        <v>44555</v>
      </c>
      <c r="B844" s="49">
        <f t="shared" si="471"/>
        <v>0</v>
      </c>
      <c r="C844" s="338">
        <f t="shared" si="474"/>
        <v>111886095.14309606</v>
      </c>
      <c r="D844" s="329">
        <f t="shared" si="472"/>
        <v>0</v>
      </c>
      <c r="E844" s="338">
        <f t="shared" si="475"/>
        <v>11542022.55807774</v>
      </c>
      <c r="F844" s="329">
        <f t="shared" si="479"/>
        <v>0</v>
      </c>
      <c r="G844" s="338">
        <f t="shared" si="476"/>
        <v>76400000</v>
      </c>
      <c r="H844" s="329">
        <f t="shared" si="457"/>
        <v>0</v>
      </c>
      <c r="I844" s="338">
        <f t="shared" si="477"/>
        <v>46721906</v>
      </c>
      <c r="J844" s="329">
        <f t="shared" si="458"/>
        <v>0</v>
      </c>
      <c r="K844" s="338">
        <f t="shared" si="478"/>
        <v>11000000</v>
      </c>
      <c r="L844" s="329">
        <f t="shared" si="459"/>
        <v>0</v>
      </c>
      <c r="M844" s="338">
        <f t="shared" si="465"/>
        <v>21898534.760000002</v>
      </c>
      <c r="N844" s="329">
        <f t="shared" si="460"/>
        <v>0</v>
      </c>
      <c r="O844" s="338">
        <f t="shared" si="466"/>
        <v>13000000</v>
      </c>
      <c r="P844" s="329">
        <f t="shared" si="461"/>
        <v>0</v>
      </c>
      <c r="Q844" s="338">
        <f t="shared" si="467"/>
        <v>0</v>
      </c>
      <c r="R844" s="329">
        <f t="shared" si="462"/>
        <v>0</v>
      </c>
      <c r="S844" s="338">
        <f t="shared" si="468"/>
        <v>0</v>
      </c>
      <c r="T844" s="329">
        <f t="shared" si="463"/>
        <v>0</v>
      </c>
      <c r="U844" s="338">
        <f t="shared" si="469"/>
        <v>0</v>
      </c>
      <c r="V844" s="329">
        <f t="shared" si="464"/>
        <v>0</v>
      </c>
      <c r="W844" s="338">
        <f t="shared" si="470"/>
        <v>8600000</v>
      </c>
      <c r="X844" s="35"/>
    </row>
    <row r="845" spans="1:24" x14ac:dyDescent="0.25">
      <c r="A845" s="335">
        <f t="shared" si="473"/>
        <v>44556</v>
      </c>
      <c r="B845" s="49">
        <f t="shared" si="471"/>
        <v>0</v>
      </c>
      <c r="C845" s="338">
        <f t="shared" si="474"/>
        <v>111886095.14309606</v>
      </c>
      <c r="D845" s="329">
        <f t="shared" si="472"/>
        <v>0</v>
      </c>
      <c r="E845" s="338">
        <f t="shared" si="475"/>
        <v>11542022.55807774</v>
      </c>
      <c r="F845" s="329">
        <f t="shared" si="479"/>
        <v>0</v>
      </c>
      <c r="G845" s="338">
        <f t="shared" si="476"/>
        <v>76400000</v>
      </c>
      <c r="H845" s="329">
        <f t="shared" si="457"/>
        <v>0</v>
      </c>
      <c r="I845" s="338">
        <f t="shared" si="477"/>
        <v>46721906</v>
      </c>
      <c r="J845" s="329">
        <f t="shared" si="458"/>
        <v>0</v>
      </c>
      <c r="K845" s="338">
        <f t="shared" si="478"/>
        <v>11000000</v>
      </c>
      <c r="L845" s="329">
        <f t="shared" si="459"/>
        <v>0</v>
      </c>
      <c r="M845" s="338">
        <f t="shared" si="465"/>
        <v>21898534.760000002</v>
      </c>
      <c r="N845" s="329">
        <f t="shared" si="460"/>
        <v>0</v>
      </c>
      <c r="O845" s="338">
        <f t="shared" si="466"/>
        <v>13000000</v>
      </c>
      <c r="P845" s="329">
        <f t="shared" si="461"/>
        <v>0</v>
      </c>
      <c r="Q845" s="338">
        <f t="shared" si="467"/>
        <v>0</v>
      </c>
      <c r="R845" s="329">
        <f t="shared" si="462"/>
        <v>0</v>
      </c>
      <c r="S845" s="338">
        <f t="shared" si="468"/>
        <v>0</v>
      </c>
      <c r="T845" s="329">
        <f t="shared" si="463"/>
        <v>0</v>
      </c>
      <c r="U845" s="338">
        <f t="shared" si="469"/>
        <v>0</v>
      </c>
      <c r="V845" s="329">
        <f t="shared" si="464"/>
        <v>0</v>
      </c>
      <c r="W845" s="338">
        <f t="shared" si="470"/>
        <v>8600000</v>
      </c>
      <c r="X845" s="35"/>
    </row>
    <row r="846" spans="1:24" x14ac:dyDescent="0.25">
      <c r="A846" s="335">
        <f t="shared" si="473"/>
        <v>44557</v>
      </c>
      <c r="B846" s="49">
        <f t="shared" si="471"/>
        <v>0</v>
      </c>
      <c r="C846" s="338">
        <f t="shared" si="474"/>
        <v>111886095.14309606</v>
      </c>
      <c r="D846" s="329">
        <f t="shared" si="472"/>
        <v>0</v>
      </c>
      <c r="E846" s="338">
        <f t="shared" si="475"/>
        <v>11542022.55807774</v>
      </c>
      <c r="F846" s="329">
        <f t="shared" si="479"/>
        <v>0</v>
      </c>
      <c r="G846" s="338">
        <f t="shared" si="476"/>
        <v>76400000</v>
      </c>
      <c r="H846" s="329">
        <f t="shared" si="457"/>
        <v>0</v>
      </c>
      <c r="I846" s="338">
        <f t="shared" si="477"/>
        <v>46721906</v>
      </c>
      <c r="J846" s="329">
        <f t="shared" si="458"/>
        <v>0</v>
      </c>
      <c r="K846" s="338">
        <f t="shared" si="478"/>
        <v>11000000</v>
      </c>
      <c r="L846" s="329">
        <f t="shared" si="459"/>
        <v>1250000</v>
      </c>
      <c r="M846" s="338">
        <f t="shared" si="465"/>
        <v>23148534.760000002</v>
      </c>
      <c r="N846" s="329">
        <f t="shared" si="460"/>
        <v>0</v>
      </c>
      <c r="O846" s="338">
        <f t="shared" si="466"/>
        <v>13000000</v>
      </c>
      <c r="P846" s="329">
        <f t="shared" si="461"/>
        <v>0</v>
      </c>
      <c r="Q846" s="338">
        <f t="shared" si="467"/>
        <v>0</v>
      </c>
      <c r="R846" s="329">
        <f t="shared" si="462"/>
        <v>0</v>
      </c>
      <c r="S846" s="338">
        <f t="shared" si="468"/>
        <v>0</v>
      </c>
      <c r="T846" s="329">
        <f t="shared" si="463"/>
        <v>0</v>
      </c>
      <c r="U846" s="338">
        <f t="shared" si="469"/>
        <v>0</v>
      </c>
      <c r="V846" s="329">
        <f t="shared" si="464"/>
        <v>0</v>
      </c>
      <c r="W846" s="338">
        <f t="shared" si="470"/>
        <v>8600000</v>
      </c>
      <c r="X846" s="35"/>
    </row>
    <row r="847" spans="1:24" x14ac:dyDescent="0.25">
      <c r="A847" s="335">
        <f t="shared" si="473"/>
        <v>44558</v>
      </c>
      <c r="B847" s="49">
        <f t="shared" si="471"/>
        <v>0</v>
      </c>
      <c r="C847" s="338">
        <f t="shared" si="474"/>
        <v>111886095.14309606</v>
      </c>
      <c r="D847" s="329">
        <f t="shared" si="472"/>
        <v>0</v>
      </c>
      <c r="E847" s="338">
        <f t="shared" si="475"/>
        <v>11542022.55807774</v>
      </c>
      <c r="F847" s="329">
        <f t="shared" si="479"/>
        <v>0</v>
      </c>
      <c r="G847" s="338">
        <f t="shared" si="476"/>
        <v>76400000</v>
      </c>
      <c r="H847" s="329">
        <f t="shared" si="457"/>
        <v>0</v>
      </c>
      <c r="I847" s="338">
        <f t="shared" si="477"/>
        <v>46721906</v>
      </c>
      <c r="J847" s="329">
        <f t="shared" si="458"/>
        <v>0</v>
      </c>
      <c r="K847" s="338">
        <f t="shared" si="478"/>
        <v>11000000</v>
      </c>
      <c r="L847" s="329">
        <f t="shared" si="459"/>
        <v>0</v>
      </c>
      <c r="M847" s="338">
        <f t="shared" si="465"/>
        <v>23148534.760000002</v>
      </c>
      <c r="N847" s="329">
        <f t="shared" si="460"/>
        <v>0</v>
      </c>
      <c r="O847" s="338">
        <f t="shared" si="466"/>
        <v>13000000</v>
      </c>
      <c r="P847" s="329">
        <f t="shared" si="461"/>
        <v>0</v>
      </c>
      <c r="Q847" s="338">
        <f t="shared" si="467"/>
        <v>0</v>
      </c>
      <c r="R847" s="329">
        <f t="shared" si="462"/>
        <v>0</v>
      </c>
      <c r="S847" s="338">
        <f t="shared" si="468"/>
        <v>0</v>
      </c>
      <c r="T847" s="329">
        <f t="shared" si="463"/>
        <v>0</v>
      </c>
      <c r="U847" s="338">
        <f t="shared" si="469"/>
        <v>0</v>
      </c>
      <c r="V847" s="329">
        <f t="shared" si="464"/>
        <v>0</v>
      </c>
      <c r="W847" s="338">
        <f t="shared" si="470"/>
        <v>8600000</v>
      </c>
      <c r="X847" s="35"/>
    </row>
    <row r="848" spans="1:24" x14ac:dyDescent="0.25">
      <c r="A848" s="335">
        <f t="shared" si="473"/>
        <v>44559</v>
      </c>
      <c r="B848" s="49">
        <f t="shared" si="471"/>
        <v>0</v>
      </c>
      <c r="C848" s="338">
        <f t="shared" si="474"/>
        <v>111886095.14309606</v>
      </c>
      <c r="D848" s="329">
        <f t="shared" si="472"/>
        <v>0</v>
      </c>
      <c r="E848" s="338">
        <f t="shared" si="475"/>
        <v>11542022.55807774</v>
      </c>
      <c r="F848" s="329">
        <f t="shared" si="479"/>
        <v>0</v>
      </c>
      <c r="G848" s="338">
        <f t="shared" si="476"/>
        <v>76400000</v>
      </c>
      <c r="H848" s="329">
        <f t="shared" si="457"/>
        <v>0</v>
      </c>
      <c r="I848" s="338">
        <f t="shared" si="477"/>
        <v>46721906</v>
      </c>
      <c r="J848" s="329">
        <f t="shared" si="458"/>
        <v>0</v>
      </c>
      <c r="K848" s="338">
        <f t="shared" si="478"/>
        <v>11000000</v>
      </c>
      <c r="L848" s="329">
        <f t="shared" si="459"/>
        <v>200000</v>
      </c>
      <c r="M848" s="338">
        <f t="shared" si="465"/>
        <v>23348534.760000002</v>
      </c>
      <c r="N848" s="329">
        <f t="shared" si="460"/>
        <v>0</v>
      </c>
      <c r="O848" s="338">
        <f t="shared" si="466"/>
        <v>13000000</v>
      </c>
      <c r="P848" s="329">
        <f t="shared" si="461"/>
        <v>0</v>
      </c>
      <c r="Q848" s="338">
        <f t="shared" si="467"/>
        <v>0</v>
      </c>
      <c r="R848" s="329">
        <f t="shared" si="462"/>
        <v>0</v>
      </c>
      <c r="S848" s="338">
        <f t="shared" si="468"/>
        <v>0</v>
      </c>
      <c r="T848" s="329">
        <f t="shared" si="463"/>
        <v>0</v>
      </c>
      <c r="U848" s="338">
        <f t="shared" si="469"/>
        <v>0</v>
      </c>
      <c r="V848" s="329">
        <f t="shared" si="464"/>
        <v>0</v>
      </c>
      <c r="W848" s="338">
        <f t="shared" si="470"/>
        <v>8600000</v>
      </c>
      <c r="X848" s="35"/>
    </row>
    <row r="849" spans="1:24" x14ac:dyDescent="0.25">
      <c r="A849" s="335">
        <f t="shared" si="473"/>
        <v>44560</v>
      </c>
      <c r="B849" s="49">
        <f t="shared" si="471"/>
        <v>0</v>
      </c>
      <c r="C849" s="338">
        <f t="shared" si="474"/>
        <v>111886095.14309606</v>
      </c>
      <c r="D849" s="329">
        <f t="shared" si="472"/>
        <v>0</v>
      </c>
      <c r="E849" s="338">
        <f t="shared" si="475"/>
        <v>11542022.55807774</v>
      </c>
      <c r="F849" s="329">
        <f t="shared" si="479"/>
        <v>0</v>
      </c>
      <c r="G849" s="338">
        <f t="shared" si="476"/>
        <v>76400000</v>
      </c>
      <c r="H849" s="329">
        <f t="shared" si="457"/>
        <v>0</v>
      </c>
      <c r="I849" s="338">
        <f t="shared" si="477"/>
        <v>46721906</v>
      </c>
      <c r="J849" s="329">
        <f t="shared" si="458"/>
        <v>0</v>
      </c>
      <c r="K849" s="338">
        <f t="shared" si="478"/>
        <v>11000000</v>
      </c>
      <c r="L849" s="329">
        <f t="shared" si="459"/>
        <v>0</v>
      </c>
      <c r="M849" s="338">
        <f t="shared" si="465"/>
        <v>23348534.760000002</v>
      </c>
      <c r="N849" s="329">
        <f t="shared" si="460"/>
        <v>0</v>
      </c>
      <c r="O849" s="338">
        <f t="shared" si="466"/>
        <v>13000000</v>
      </c>
      <c r="P849" s="329">
        <f t="shared" si="461"/>
        <v>0</v>
      </c>
      <c r="Q849" s="338">
        <f t="shared" si="467"/>
        <v>0</v>
      </c>
      <c r="R849" s="329">
        <f t="shared" si="462"/>
        <v>0</v>
      </c>
      <c r="S849" s="338">
        <f t="shared" si="468"/>
        <v>0</v>
      </c>
      <c r="T849" s="329">
        <f t="shared" si="463"/>
        <v>0</v>
      </c>
      <c r="U849" s="338">
        <f t="shared" si="469"/>
        <v>0</v>
      </c>
      <c r="V849" s="329">
        <f t="shared" si="464"/>
        <v>0</v>
      </c>
      <c r="W849" s="338">
        <f t="shared" si="470"/>
        <v>8600000</v>
      </c>
      <c r="X849" s="35"/>
    </row>
    <row r="850" spans="1:24" x14ac:dyDescent="0.25">
      <c r="A850" s="335">
        <f t="shared" si="473"/>
        <v>44561</v>
      </c>
      <c r="B850" s="49">
        <f t="shared" si="471"/>
        <v>0</v>
      </c>
      <c r="C850" s="338">
        <f t="shared" si="474"/>
        <v>111886095.14309606</v>
      </c>
      <c r="D850" s="329">
        <f t="shared" si="472"/>
        <v>0</v>
      </c>
      <c r="E850" s="338">
        <f t="shared" si="475"/>
        <v>11542022.55807774</v>
      </c>
      <c r="F850" s="329">
        <f t="shared" si="479"/>
        <v>0</v>
      </c>
      <c r="G850" s="338">
        <f t="shared" si="476"/>
        <v>76400000</v>
      </c>
      <c r="H850" s="329">
        <f t="shared" si="457"/>
        <v>0</v>
      </c>
      <c r="I850" s="338">
        <f t="shared" si="477"/>
        <v>46721906</v>
      </c>
      <c r="J850" s="329">
        <f t="shared" si="458"/>
        <v>0</v>
      </c>
      <c r="K850" s="338">
        <f t="shared" si="478"/>
        <v>11000000</v>
      </c>
      <c r="L850" s="329">
        <f t="shared" si="459"/>
        <v>0</v>
      </c>
      <c r="M850" s="338">
        <f t="shared" si="465"/>
        <v>23348534.760000002</v>
      </c>
      <c r="N850" s="329">
        <f t="shared" si="460"/>
        <v>0</v>
      </c>
      <c r="O850" s="338">
        <f t="shared" si="466"/>
        <v>13000000</v>
      </c>
      <c r="P850" s="329">
        <f t="shared" si="461"/>
        <v>0</v>
      </c>
      <c r="Q850" s="338">
        <f t="shared" si="467"/>
        <v>0</v>
      </c>
      <c r="R850" s="329">
        <f t="shared" si="462"/>
        <v>0</v>
      </c>
      <c r="S850" s="338">
        <f t="shared" si="468"/>
        <v>0</v>
      </c>
      <c r="T850" s="329">
        <f t="shared" si="463"/>
        <v>0</v>
      </c>
      <c r="U850" s="338">
        <f t="shared" si="469"/>
        <v>0</v>
      </c>
      <c r="V850" s="329">
        <f t="shared" si="464"/>
        <v>0</v>
      </c>
      <c r="W850" s="338">
        <f t="shared" si="470"/>
        <v>8600000</v>
      </c>
      <c r="X850" s="35"/>
    </row>
    <row r="851" spans="1:24" x14ac:dyDescent="0.25">
      <c r="A851" s="335">
        <f t="shared" si="473"/>
        <v>44562</v>
      </c>
      <c r="B851" s="49">
        <f t="shared" si="471"/>
        <v>0</v>
      </c>
      <c r="C851" s="338">
        <f t="shared" si="474"/>
        <v>111886095.14309606</v>
      </c>
      <c r="D851" s="329">
        <f t="shared" si="472"/>
        <v>0</v>
      </c>
      <c r="E851" s="338">
        <f t="shared" si="475"/>
        <v>11542022.55807774</v>
      </c>
      <c r="F851" s="329">
        <f t="shared" si="479"/>
        <v>0</v>
      </c>
      <c r="G851" s="338">
        <f t="shared" si="476"/>
        <v>76400000</v>
      </c>
      <c r="H851" s="329">
        <f t="shared" si="457"/>
        <v>0</v>
      </c>
      <c r="I851" s="338">
        <f t="shared" si="477"/>
        <v>46721906</v>
      </c>
      <c r="J851" s="329">
        <f t="shared" si="458"/>
        <v>0</v>
      </c>
      <c r="K851" s="338">
        <f t="shared" si="478"/>
        <v>11000000</v>
      </c>
      <c r="L851" s="329">
        <f t="shared" si="459"/>
        <v>0</v>
      </c>
      <c r="M851" s="338">
        <f t="shared" si="465"/>
        <v>23348534.760000002</v>
      </c>
      <c r="N851" s="329">
        <f t="shared" si="460"/>
        <v>0</v>
      </c>
      <c r="O851" s="338">
        <f t="shared" si="466"/>
        <v>13000000</v>
      </c>
      <c r="P851" s="329">
        <f t="shared" si="461"/>
        <v>0</v>
      </c>
      <c r="Q851" s="338">
        <f t="shared" si="467"/>
        <v>0</v>
      </c>
      <c r="R851" s="329">
        <f t="shared" si="462"/>
        <v>0</v>
      </c>
      <c r="S851" s="338">
        <f t="shared" si="468"/>
        <v>0</v>
      </c>
      <c r="T851" s="329">
        <f t="shared" si="463"/>
        <v>0</v>
      </c>
      <c r="U851" s="338">
        <f t="shared" si="469"/>
        <v>0</v>
      </c>
      <c r="V851" s="329">
        <f t="shared" si="464"/>
        <v>0</v>
      </c>
      <c r="W851" s="338">
        <f t="shared" si="470"/>
        <v>8600000</v>
      </c>
      <c r="X851" s="35"/>
    </row>
    <row r="852" spans="1:24" x14ac:dyDescent="0.25">
      <c r="A852" s="335">
        <f t="shared" si="473"/>
        <v>44563</v>
      </c>
      <c r="B852" s="49">
        <f t="shared" si="471"/>
        <v>0</v>
      </c>
      <c r="C852" s="338">
        <f t="shared" si="474"/>
        <v>111886095.14309606</v>
      </c>
      <c r="D852" s="329">
        <f t="shared" si="472"/>
        <v>0</v>
      </c>
      <c r="E852" s="338">
        <f t="shared" si="475"/>
        <v>11542022.55807774</v>
      </c>
      <c r="F852" s="329">
        <f t="shared" si="479"/>
        <v>0</v>
      </c>
      <c r="G852" s="338">
        <f t="shared" si="476"/>
        <v>76400000</v>
      </c>
      <c r="H852" s="329">
        <f t="shared" si="457"/>
        <v>0</v>
      </c>
      <c r="I852" s="338">
        <f t="shared" si="477"/>
        <v>46721906</v>
      </c>
      <c r="J852" s="329">
        <f t="shared" si="458"/>
        <v>0</v>
      </c>
      <c r="K852" s="338">
        <f t="shared" si="478"/>
        <v>11000000</v>
      </c>
      <c r="L852" s="329">
        <f t="shared" si="459"/>
        <v>0</v>
      </c>
      <c r="M852" s="338">
        <f t="shared" si="465"/>
        <v>23348534.760000002</v>
      </c>
      <c r="N852" s="329">
        <f t="shared" si="460"/>
        <v>0</v>
      </c>
      <c r="O852" s="338">
        <f t="shared" si="466"/>
        <v>13000000</v>
      </c>
      <c r="P852" s="329">
        <f t="shared" si="461"/>
        <v>0</v>
      </c>
      <c r="Q852" s="338">
        <f t="shared" si="467"/>
        <v>0</v>
      </c>
      <c r="R852" s="329">
        <f t="shared" si="462"/>
        <v>0</v>
      </c>
      <c r="S852" s="338">
        <f t="shared" si="468"/>
        <v>0</v>
      </c>
      <c r="T852" s="329">
        <f t="shared" si="463"/>
        <v>0</v>
      </c>
      <c r="U852" s="338">
        <f t="shared" si="469"/>
        <v>0</v>
      </c>
      <c r="V852" s="329">
        <f t="shared" si="464"/>
        <v>0</v>
      </c>
      <c r="W852" s="338">
        <f t="shared" si="470"/>
        <v>8600000</v>
      </c>
      <c r="X852" s="35"/>
    </row>
    <row r="853" spans="1:24" x14ac:dyDescent="0.25">
      <c r="A853" s="335">
        <f t="shared" si="473"/>
        <v>44564</v>
      </c>
      <c r="B853" s="49">
        <f t="shared" si="471"/>
        <v>0</v>
      </c>
      <c r="C853" s="338">
        <f t="shared" si="474"/>
        <v>111886095.14309606</v>
      </c>
      <c r="D853" s="329">
        <f t="shared" si="472"/>
        <v>0</v>
      </c>
      <c r="E853" s="338">
        <f t="shared" si="475"/>
        <v>11542022.55807774</v>
      </c>
      <c r="F853" s="329">
        <f t="shared" si="479"/>
        <v>0</v>
      </c>
      <c r="G853" s="338">
        <f t="shared" si="476"/>
        <v>76400000</v>
      </c>
      <c r="H853" s="329">
        <f t="shared" si="457"/>
        <v>0</v>
      </c>
      <c r="I853" s="338">
        <f t="shared" si="477"/>
        <v>46721906</v>
      </c>
      <c r="J853" s="329">
        <f t="shared" si="458"/>
        <v>0</v>
      </c>
      <c r="K853" s="338">
        <f t="shared" si="478"/>
        <v>11000000</v>
      </c>
      <c r="L853" s="329">
        <f t="shared" si="459"/>
        <v>0</v>
      </c>
      <c r="M853" s="338">
        <f t="shared" si="465"/>
        <v>23348534.760000002</v>
      </c>
      <c r="N853" s="329">
        <f t="shared" si="460"/>
        <v>0</v>
      </c>
      <c r="O853" s="338">
        <f t="shared" si="466"/>
        <v>13000000</v>
      </c>
      <c r="P853" s="329">
        <f t="shared" si="461"/>
        <v>0</v>
      </c>
      <c r="Q853" s="338">
        <f t="shared" si="467"/>
        <v>0</v>
      </c>
      <c r="R853" s="329">
        <f t="shared" si="462"/>
        <v>0</v>
      </c>
      <c r="S853" s="338">
        <f t="shared" si="468"/>
        <v>0</v>
      </c>
      <c r="T853" s="329">
        <f t="shared" si="463"/>
        <v>0</v>
      </c>
      <c r="U853" s="338">
        <f t="shared" si="469"/>
        <v>0</v>
      </c>
      <c r="V853" s="329">
        <f t="shared" si="464"/>
        <v>0</v>
      </c>
      <c r="W853" s="338">
        <f t="shared" si="470"/>
        <v>8600000</v>
      </c>
      <c r="X853" s="35"/>
    </row>
    <row r="854" spans="1:24" x14ac:dyDescent="0.25">
      <c r="A854" s="335">
        <f t="shared" si="473"/>
        <v>44565</v>
      </c>
      <c r="B854" s="49">
        <f t="shared" si="471"/>
        <v>0</v>
      </c>
      <c r="C854" s="338">
        <f t="shared" si="474"/>
        <v>111886095.14309606</v>
      </c>
      <c r="D854" s="329">
        <f t="shared" si="472"/>
        <v>0</v>
      </c>
      <c r="E854" s="338">
        <f t="shared" si="475"/>
        <v>11542022.55807774</v>
      </c>
      <c r="F854" s="329">
        <f t="shared" si="479"/>
        <v>0</v>
      </c>
      <c r="G854" s="338">
        <f t="shared" si="476"/>
        <v>76400000</v>
      </c>
      <c r="H854" s="329">
        <f t="shared" si="457"/>
        <v>0</v>
      </c>
      <c r="I854" s="338">
        <f t="shared" si="477"/>
        <v>46721906</v>
      </c>
      <c r="J854" s="329">
        <f t="shared" si="458"/>
        <v>0</v>
      </c>
      <c r="K854" s="338">
        <f t="shared" si="478"/>
        <v>11000000</v>
      </c>
      <c r="L854" s="329">
        <f t="shared" si="459"/>
        <v>1250000</v>
      </c>
      <c r="M854" s="338">
        <f t="shared" si="465"/>
        <v>24598534.760000002</v>
      </c>
      <c r="N854" s="329">
        <f t="shared" si="460"/>
        <v>0</v>
      </c>
      <c r="O854" s="338">
        <f t="shared" si="466"/>
        <v>13000000</v>
      </c>
      <c r="P854" s="329">
        <f t="shared" si="461"/>
        <v>0</v>
      </c>
      <c r="Q854" s="338">
        <f t="shared" si="467"/>
        <v>0</v>
      </c>
      <c r="R854" s="329">
        <f t="shared" si="462"/>
        <v>0</v>
      </c>
      <c r="S854" s="338">
        <f t="shared" si="468"/>
        <v>0</v>
      </c>
      <c r="T854" s="329">
        <f t="shared" si="463"/>
        <v>0</v>
      </c>
      <c r="U854" s="338">
        <f t="shared" si="469"/>
        <v>0</v>
      </c>
      <c r="V854" s="329">
        <f t="shared" si="464"/>
        <v>1800000</v>
      </c>
      <c r="W854" s="338">
        <f t="shared" si="470"/>
        <v>10400000</v>
      </c>
      <c r="X854" s="35"/>
    </row>
    <row r="855" spans="1:24" x14ac:dyDescent="0.25">
      <c r="A855" s="335">
        <f t="shared" si="473"/>
        <v>44566</v>
      </c>
      <c r="B855" s="49">
        <f t="shared" si="471"/>
        <v>0</v>
      </c>
      <c r="C855" s="338">
        <f t="shared" si="474"/>
        <v>111886095.14309606</v>
      </c>
      <c r="D855" s="329">
        <f t="shared" si="472"/>
        <v>0</v>
      </c>
      <c r="E855" s="338">
        <f t="shared" si="475"/>
        <v>11542022.55807774</v>
      </c>
      <c r="F855" s="329">
        <f t="shared" si="479"/>
        <v>0</v>
      </c>
      <c r="G855" s="338">
        <f t="shared" si="476"/>
        <v>76400000</v>
      </c>
      <c r="H855" s="329">
        <f t="shared" si="457"/>
        <v>0</v>
      </c>
      <c r="I855" s="338">
        <f t="shared" si="477"/>
        <v>46721906</v>
      </c>
      <c r="J855" s="329">
        <f t="shared" si="458"/>
        <v>0</v>
      </c>
      <c r="K855" s="338">
        <f t="shared" si="478"/>
        <v>11000000</v>
      </c>
      <c r="L855" s="329">
        <f t="shared" si="459"/>
        <v>0</v>
      </c>
      <c r="M855" s="338">
        <f t="shared" si="465"/>
        <v>24598534.760000002</v>
      </c>
      <c r="N855" s="329">
        <f t="shared" si="460"/>
        <v>0</v>
      </c>
      <c r="O855" s="338">
        <f t="shared" si="466"/>
        <v>13000000</v>
      </c>
      <c r="P855" s="329">
        <f t="shared" si="461"/>
        <v>0</v>
      </c>
      <c r="Q855" s="338">
        <f t="shared" si="467"/>
        <v>0</v>
      </c>
      <c r="R855" s="329">
        <f t="shared" si="462"/>
        <v>0</v>
      </c>
      <c r="S855" s="338">
        <f t="shared" si="468"/>
        <v>0</v>
      </c>
      <c r="T855" s="329">
        <f t="shared" si="463"/>
        <v>0</v>
      </c>
      <c r="U855" s="338">
        <f t="shared" si="469"/>
        <v>0</v>
      </c>
      <c r="V855" s="329">
        <f t="shared" si="464"/>
        <v>0</v>
      </c>
      <c r="W855" s="338">
        <f t="shared" si="470"/>
        <v>10400000</v>
      </c>
      <c r="X855" s="35"/>
    </row>
    <row r="856" spans="1:24" x14ac:dyDescent="0.25">
      <c r="A856" s="335">
        <f t="shared" si="473"/>
        <v>44567</v>
      </c>
      <c r="B856" s="49">
        <f t="shared" si="471"/>
        <v>2000000</v>
      </c>
      <c r="C856" s="338">
        <f t="shared" si="474"/>
        <v>113886095.14309606</v>
      </c>
      <c r="D856" s="329">
        <f t="shared" si="472"/>
        <v>0</v>
      </c>
      <c r="E856" s="338">
        <f t="shared" si="475"/>
        <v>11542022.55807774</v>
      </c>
      <c r="F856" s="329">
        <f t="shared" si="479"/>
        <v>0</v>
      </c>
      <c r="G856" s="338">
        <f t="shared" si="476"/>
        <v>76400000</v>
      </c>
      <c r="H856" s="329">
        <f t="shared" si="457"/>
        <v>0</v>
      </c>
      <c r="I856" s="338">
        <f t="shared" si="477"/>
        <v>46721906</v>
      </c>
      <c r="J856" s="329">
        <f t="shared" si="458"/>
        <v>0</v>
      </c>
      <c r="K856" s="338">
        <f t="shared" si="478"/>
        <v>11000000</v>
      </c>
      <c r="L856" s="329">
        <f t="shared" si="459"/>
        <v>0</v>
      </c>
      <c r="M856" s="338">
        <f t="shared" si="465"/>
        <v>24598534.760000002</v>
      </c>
      <c r="N856" s="329">
        <f t="shared" si="460"/>
        <v>0</v>
      </c>
      <c r="O856" s="338">
        <f t="shared" si="466"/>
        <v>13000000</v>
      </c>
      <c r="P856" s="329">
        <f t="shared" si="461"/>
        <v>0</v>
      </c>
      <c r="Q856" s="338">
        <f t="shared" si="467"/>
        <v>0</v>
      </c>
      <c r="R856" s="329">
        <f t="shared" si="462"/>
        <v>0</v>
      </c>
      <c r="S856" s="338">
        <f t="shared" si="468"/>
        <v>0</v>
      </c>
      <c r="T856" s="329">
        <f t="shared" si="463"/>
        <v>0</v>
      </c>
      <c r="U856" s="338">
        <f t="shared" si="469"/>
        <v>0</v>
      </c>
      <c r="V856" s="329">
        <f t="shared" si="464"/>
        <v>0</v>
      </c>
      <c r="W856" s="338">
        <f t="shared" si="470"/>
        <v>10400000</v>
      </c>
      <c r="X856" s="35"/>
    </row>
    <row r="857" spans="1:24" x14ac:dyDescent="0.25">
      <c r="A857" s="335">
        <f t="shared" si="473"/>
        <v>44568</v>
      </c>
      <c r="B857" s="49">
        <f t="shared" si="471"/>
        <v>0</v>
      </c>
      <c r="C857" s="338">
        <f t="shared" si="474"/>
        <v>113886095.14309606</v>
      </c>
      <c r="D857" s="329">
        <f t="shared" si="472"/>
        <v>0</v>
      </c>
      <c r="E857" s="338">
        <f t="shared" si="475"/>
        <v>11542022.55807774</v>
      </c>
      <c r="F857" s="329">
        <f t="shared" si="479"/>
        <v>0</v>
      </c>
      <c r="G857" s="338">
        <f t="shared" si="476"/>
        <v>76400000</v>
      </c>
      <c r="H857" s="329">
        <f t="shared" si="457"/>
        <v>0</v>
      </c>
      <c r="I857" s="338">
        <f t="shared" si="477"/>
        <v>46721906</v>
      </c>
      <c r="J857" s="329">
        <f t="shared" si="458"/>
        <v>0</v>
      </c>
      <c r="K857" s="338">
        <f t="shared" si="478"/>
        <v>11000000</v>
      </c>
      <c r="L857" s="329">
        <f t="shared" si="459"/>
        <v>0</v>
      </c>
      <c r="M857" s="338">
        <f t="shared" si="465"/>
        <v>24598534.760000002</v>
      </c>
      <c r="N857" s="329">
        <f t="shared" si="460"/>
        <v>0</v>
      </c>
      <c r="O857" s="338">
        <f t="shared" si="466"/>
        <v>13000000</v>
      </c>
      <c r="P857" s="329">
        <f t="shared" si="461"/>
        <v>0</v>
      </c>
      <c r="Q857" s="338">
        <f t="shared" si="467"/>
        <v>0</v>
      </c>
      <c r="R857" s="329">
        <f t="shared" si="462"/>
        <v>0</v>
      </c>
      <c r="S857" s="338">
        <f t="shared" si="468"/>
        <v>0</v>
      </c>
      <c r="T857" s="329">
        <f t="shared" si="463"/>
        <v>0</v>
      </c>
      <c r="U857" s="338">
        <f t="shared" si="469"/>
        <v>0</v>
      </c>
      <c r="V857" s="329">
        <f t="shared" si="464"/>
        <v>0</v>
      </c>
      <c r="W857" s="338">
        <f t="shared" si="470"/>
        <v>10400000</v>
      </c>
      <c r="X857" s="35"/>
    </row>
    <row r="858" spans="1:24" x14ac:dyDescent="0.25">
      <c r="A858" s="335">
        <f t="shared" si="473"/>
        <v>44569</v>
      </c>
      <c r="B858" s="49">
        <f t="shared" si="471"/>
        <v>0</v>
      </c>
      <c r="C858" s="338">
        <f t="shared" si="474"/>
        <v>113886095.14309606</v>
      </c>
      <c r="D858" s="329">
        <f t="shared" si="472"/>
        <v>0</v>
      </c>
      <c r="E858" s="338">
        <f t="shared" si="475"/>
        <v>11542022.55807774</v>
      </c>
      <c r="F858" s="329">
        <f t="shared" si="479"/>
        <v>0</v>
      </c>
      <c r="G858" s="338">
        <f t="shared" si="476"/>
        <v>76400000</v>
      </c>
      <c r="H858" s="329">
        <f t="shared" si="457"/>
        <v>0</v>
      </c>
      <c r="I858" s="338">
        <f t="shared" si="477"/>
        <v>46721906</v>
      </c>
      <c r="J858" s="329">
        <f t="shared" si="458"/>
        <v>0</v>
      </c>
      <c r="K858" s="338">
        <f t="shared" si="478"/>
        <v>11000000</v>
      </c>
      <c r="L858" s="329">
        <f t="shared" si="459"/>
        <v>0</v>
      </c>
      <c r="M858" s="338">
        <f t="shared" si="465"/>
        <v>24598534.760000002</v>
      </c>
      <c r="N858" s="329">
        <f t="shared" si="460"/>
        <v>0</v>
      </c>
      <c r="O858" s="338">
        <f t="shared" si="466"/>
        <v>13000000</v>
      </c>
      <c r="P858" s="329">
        <f t="shared" si="461"/>
        <v>0</v>
      </c>
      <c r="Q858" s="338">
        <f t="shared" si="467"/>
        <v>0</v>
      </c>
      <c r="R858" s="329">
        <f t="shared" si="462"/>
        <v>0</v>
      </c>
      <c r="S858" s="338">
        <f t="shared" si="468"/>
        <v>0</v>
      </c>
      <c r="T858" s="329">
        <f t="shared" si="463"/>
        <v>0</v>
      </c>
      <c r="U858" s="338">
        <f t="shared" si="469"/>
        <v>0</v>
      </c>
      <c r="V858" s="329">
        <f t="shared" si="464"/>
        <v>0</v>
      </c>
      <c r="W858" s="338">
        <f t="shared" si="470"/>
        <v>10400000</v>
      </c>
      <c r="X858" s="35"/>
    </row>
    <row r="859" spans="1:24" x14ac:dyDescent="0.25">
      <c r="A859" s="335">
        <f t="shared" si="473"/>
        <v>44570</v>
      </c>
      <c r="B859" s="49">
        <f t="shared" si="471"/>
        <v>0</v>
      </c>
      <c r="C859" s="338">
        <f t="shared" si="474"/>
        <v>113886095.14309606</v>
      </c>
      <c r="D859" s="329">
        <f t="shared" si="472"/>
        <v>0</v>
      </c>
      <c r="E859" s="338">
        <f t="shared" si="475"/>
        <v>11542022.55807774</v>
      </c>
      <c r="F859" s="329">
        <f t="shared" si="479"/>
        <v>0</v>
      </c>
      <c r="G859" s="338">
        <f t="shared" si="476"/>
        <v>76400000</v>
      </c>
      <c r="H859" s="329">
        <f t="shared" si="457"/>
        <v>0</v>
      </c>
      <c r="I859" s="338">
        <f t="shared" si="477"/>
        <v>46721906</v>
      </c>
      <c r="J859" s="329">
        <f t="shared" si="458"/>
        <v>0</v>
      </c>
      <c r="K859" s="338">
        <f t="shared" si="478"/>
        <v>11000000</v>
      </c>
      <c r="L859" s="329">
        <f t="shared" si="459"/>
        <v>0</v>
      </c>
      <c r="M859" s="338">
        <f t="shared" si="465"/>
        <v>24598534.760000002</v>
      </c>
      <c r="N859" s="329">
        <f t="shared" si="460"/>
        <v>0</v>
      </c>
      <c r="O859" s="338">
        <f t="shared" si="466"/>
        <v>13000000</v>
      </c>
      <c r="P859" s="329">
        <f t="shared" si="461"/>
        <v>0</v>
      </c>
      <c r="Q859" s="338">
        <f t="shared" si="467"/>
        <v>0</v>
      </c>
      <c r="R859" s="329">
        <f t="shared" si="462"/>
        <v>0</v>
      </c>
      <c r="S859" s="338">
        <f t="shared" si="468"/>
        <v>0</v>
      </c>
      <c r="T859" s="329">
        <f t="shared" si="463"/>
        <v>0</v>
      </c>
      <c r="U859" s="338">
        <f t="shared" si="469"/>
        <v>0</v>
      </c>
      <c r="V859" s="329">
        <f t="shared" si="464"/>
        <v>0</v>
      </c>
      <c r="W859" s="338">
        <f t="shared" si="470"/>
        <v>10400000</v>
      </c>
      <c r="X859" s="35"/>
    </row>
    <row r="860" spans="1:24" x14ac:dyDescent="0.25">
      <c r="A860" s="335">
        <f t="shared" si="473"/>
        <v>44571</v>
      </c>
      <c r="B860" s="49">
        <f t="shared" si="471"/>
        <v>0</v>
      </c>
      <c r="C860" s="338">
        <f t="shared" si="474"/>
        <v>113886095.14309606</v>
      </c>
      <c r="D860" s="329">
        <f t="shared" si="472"/>
        <v>0</v>
      </c>
      <c r="E860" s="338">
        <f t="shared" si="475"/>
        <v>11542022.55807774</v>
      </c>
      <c r="F860" s="329">
        <f t="shared" si="479"/>
        <v>0</v>
      </c>
      <c r="G860" s="338">
        <f t="shared" si="476"/>
        <v>76400000</v>
      </c>
      <c r="H860" s="329">
        <f t="shared" si="457"/>
        <v>0</v>
      </c>
      <c r="I860" s="338">
        <f t="shared" si="477"/>
        <v>46721906</v>
      </c>
      <c r="J860" s="329">
        <f t="shared" si="458"/>
        <v>0</v>
      </c>
      <c r="K860" s="338">
        <f t="shared" si="478"/>
        <v>11000000</v>
      </c>
      <c r="L860" s="329">
        <f t="shared" si="459"/>
        <v>0</v>
      </c>
      <c r="M860" s="338">
        <f t="shared" si="465"/>
        <v>24598534.760000002</v>
      </c>
      <c r="N860" s="329">
        <f t="shared" si="460"/>
        <v>0</v>
      </c>
      <c r="O860" s="338">
        <f t="shared" si="466"/>
        <v>13000000</v>
      </c>
      <c r="P860" s="329">
        <f t="shared" si="461"/>
        <v>0</v>
      </c>
      <c r="Q860" s="338">
        <f t="shared" si="467"/>
        <v>0</v>
      </c>
      <c r="R860" s="329">
        <f t="shared" si="462"/>
        <v>0</v>
      </c>
      <c r="S860" s="338">
        <f t="shared" si="468"/>
        <v>0</v>
      </c>
      <c r="T860" s="329">
        <f t="shared" si="463"/>
        <v>0</v>
      </c>
      <c r="U860" s="338">
        <f t="shared" si="469"/>
        <v>0</v>
      </c>
      <c r="V860" s="329">
        <f t="shared" si="464"/>
        <v>0</v>
      </c>
      <c r="W860" s="338">
        <f t="shared" si="470"/>
        <v>10400000</v>
      </c>
      <c r="X860" s="35"/>
    </row>
    <row r="861" spans="1:24" x14ac:dyDescent="0.25">
      <c r="A861" s="335">
        <f t="shared" si="473"/>
        <v>44572</v>
      </c>
      <c r="B861" s="49">
        <f t="shared" si="471"/>
        <v>0</v>
      </c>
      <c r="C861" s="338">
        <f t="shared" si="474"/>
        <v>113886095.14309606</v>
      </c>
      <c r="D861" s="329">
        <f t="shared" si="472"/>
        <v>0</v>
      </c>
      <c r="E861" s="338">
        <f t="shared" si="475"/>
        <v>11542022.55807774</v>
      </c>
      <c r="F861" s="329">
        <f t="shared" si="479"/>
        <v>0</v>
      </c>
      <c r="G861" s="338">
        <f t="shared" si="476"/>
        <v>76400000</v>
      </c>
      <c r="H861" s="329">
        <f t="shared" si="457"/>
        <v>0</v>
      </c>
      <c r="I861" s="338">
        <f t="shared" si="477"/>
        <v>46721906</v>
      </c>
      <c r="J861" s="329">
        <f t="shared" si="458"/>
        <v>0</v>
      </c>
      <c r="K861" s="338">
        <f t="shared" si="478"/>
        <v>11000000</v>
      </c>
      <c r="L861" s="329">
        <f t="shared" si="459"/>
        <v>0</v>
      </c>
      <c r="M861" s="338">
        <f t="shared" si="465"/>
        <v>24598534.760000002</v>
      </c>
      <c r="N861" s="329">
        <f t="shared" si="460"/>
        <v>0</v>
      </c>
      <c r="O861" s="338">
        <f t="shared" si="466"/>
        <v>13000000</v>
      </c>
      <c r="P861" s="329">
        <f t="shared" si="461"/>
        <v>0</v>
      </c>
      <c r="Q861" s="338">
        <f t="shared" si="467"/>
        <v>0</v>
      </c>
      <c r="R861" s="329">
        <f t="shared" si="462"/>
        <v>0</v>
      </c>
      <c r="S861" s="338">
        <f t="shared" si="468"/>
        <v>0</v>
      </c>
      <c r="T861" s="329">
        <f t="shared" si="463"/>
        <v>0</v>
      </c>
      <c r="U861" s="338">
        <f t="shared" si="469"/>
        <v>0</v>
      </c>
      <c r="V861" s="329">
        <f t="shared" si="464"/>
        <v>0</v>
      </c>
      <c r="W861" s="338">
        <f t="shared" si="470"/>
        <v>10400000</v>
      </c>
      <c r="X861" s="35"/>
    </row>
    <row r="862" spans="1:24" x14ac:dyDescent="0.25">
      <c r="A862" s="335">
        <f t="shared" si="473"/>
        <v>44573</v>
      </c>
      <c r="B862" s="49">
        <f t="shared" si="471"/>
        <v>0</v>
      </c>
      <c r="C862" s="338">
        <f t="shared" si="474"/>
        <v>113886095.14309606</v>
      </c>
      <c r="D862" s="329">
        <f t="shared" si="472"/>
        <v>0</v>
      </c>
      <c r="E862" s="338">
        <f t="shared" si="475"/>
        <v>11542022.55807774</v>
      </c>
      <c r="F862" s="329">
        <f t="shared" si="479"/>
        <v>0</v>
      </c>
      <c r="G862" s="338">
        <f t="shared" si="476"/>
        <v>76400000</v>
      </c>
      <c r="H862" s="329">
        <f t="shared" si="457"/>
        <v>0</v>
      </c>
      <c r="I862" s="338">
        <f t="shared" si="477"/>
        <v>46721906</v>
      </c>
      <c r="J862" s="329">
        <f t="shared" si="458"/>
        <v>0</v>
      </c>
      <c r="K862" s="338">
        <f t="shared" si="478"/>
        <v>11000000</v>
      </c>
      <c r="L862" s="329">
        <f t="shared" si="459"/>
        <v>0</v>
      </c>
      <c r="M862" s="338">
        <f t="shared" si="465"/>
        <v>24598534.760000002</v>
      </c>
      <c r="N862" s="329">
        <f t="shared" si="460"/>
        <v>0</v>
      </c>
      <c r="O862" s="338">
        <f t="shared" si="466"/>
        <v>13000000</v>
      </c>
      <c r="P862" s="329">
        <f t="shared" si="461"/>
        <v>0</v>
      </c>
      <c r="Q862" s="338">
        <f t="shared" si="467"/>
        <v>0</v>
      </c>
      <c r="R862" s="329">
        <f t="shared" si="462"/>
        <v>0</v>
      </c>
      <c r="S862" s="338">
        <f t="shared" si="468"/>
        <v>0</v>
      </c>
      <c r="T862" s="329">
        <f t="shared" si="463"/>
        <v>0</v>
      </c>
      <c r="U862" s="338">
        <f t="shared" si="469"/>
        <v>0</v>
      </c>
      <c r="V862" s="329">
        <f t="shared" si="464"/>
        <v>0</v>
      </c>
      <c r="W862" s="338">
        <f t="shared" si="470"/>
        <v>10400000</v>
      </c>
      <c r="X862" s="35"/>
    </row>
    <row r="863" spans="1:24" x14ac:dyDescent="0.25">
      <c r="A863" s="335">
        <f t="shared" si="473"/>
        <v>44574</v>
      </c>
      <c r="B863" s="49">
        <f t="shared" si="471"/>
        <v>0</v>
      </c>
      <c r="C863" s="338">
        <f t="shared" si="474"/>
        <v>113886095.14309606</v>
      </c>
      <c r="D863" s="329">
        <f t="shared" si="472"/>
        <v>0</v>
      </c>
      <c r="E863" s="338">
        <f t="shared" si="475"/>
        <v>11542022.55807774</v>
      </c>
      <c r="F863" s="329">
        <f t="shared" si="479"/>
        <v>0</v>
      </c>
      <c r="G863" s="338">
        <f t="shared" si="476"/>
        <v>76400000</v>
      </c>
      <c r="H863" s="329">
        <f t="shared" si="457"/>
        <v>0</v>
      </c>
      <c r="I863" s="338">
        <f t="shared" si="477"/>
        <v>46721906</v>
      </c>
      <c r="J863" s="329">
        <f t="shared" si="458"/>
        <v>500000</v>
      </c>
      <c r="K863" s="338">
        <f t="shared" si="478"/>
        <v>11500000</v>
      </c>
      <c r="L863" s="329">
        <f t="shared" si="459"/>
        <v>0</v>
      </c>
      <c r="M863" s="338">
        <f t="shared" si="465"/>
        <v>24598534.760000002</v>
      </c>
      <c r="N863" s="329">
        <f t="shared" si="460"/>
        <v>0</v>
      </c>
      <c r="O863" s="338">
        <f t="shared" si="466"/>
        <v>13000000</v>
      </c>
      <c r="P863" s="329">
        <f t="shared" si="461"/>
        <v>0</v>
      </c>
      <c r="Q863" s="338">
        <f t="shared" si="467"/>
        <v>0</v>
      </c>
      <c r="R863" s="329">
        <f t="shared" si="462"/>
        <v>0</v>
      </c>
      <c r="S863" s="338">
        <f t="shared" si="468"/>
        <v>0</v>
      </c>
      <c r="T863" s="329">
        <f t="shared" si="463"/>
        <v>0</v>
      </c>
      <c r="U863" s="338">
        <f t="shared" si="469"/>
        <v>0</v>
      </c>
      <c r="V863" s="329">
        <f t="shared" si="464"/>
        <v>0</v>
      </c>
      <c r="W863" s="338">
        <f t="shared" si="470"/>
        <v>10400000</v>
      </c>
      <c r="X863" s="35"/>
    </row>
    <row r="864" spans="1:24" x14ac:dyDescent="0.25">
      <c r="A864" s="335">
        <f t="shared" si="473"/>
        <v>44575</v>
      </c>
      <c r="B864" s="49">
        <f t="shared" si="471"/>
        <v>0</v>
      </c>
      <c r="C864" s="338">
        <f t="shared" ref="C864:C927" si="480">B864+C863</f>
        <v>113886095.14309606</v>
      </c>
      <c r="D864" s="329">
        <f t="shared" si="472"/>
        <v>0</v>
      </c>
      <c r="E864" s="338">
        <f t="shared" ref="E864:E927" si="481">D864+E863</f>
        <v>11542022.55807774</v>
      </c>
      <c r="F864" s="329">
        <f t="shared" si="479"/>
        <v>0</v>
      </c>
      <c r="G864" s="338">
        <f t="shared" ref="G864:G927" si="482">F864+G863</f>
        <v>76400000</v>
      </c>
      <c r="H864" s="329">
        <f t="shared" si="457"/>
        <v>0</v>
      </c>
      <c r="I864" s="338">
        <f t="shared" ref="I864:I927" si="483">H864+I863</f>
        <v>46721906</v>
      </c>
      <c r="J864" s="329">
        <f t="shared" si="458"/>
        <v>0</v>
      </c>
      <c r="K864" s="338">
        <f t="shared" ref="K864:K927" si="484">J864+K863</f>
        <v>11500000</v>
      </c>
      <c r="L864" s="329">
        <f t="shared" si="459"/>
        <v>0</v>
      </c>
      <c r="M864" s="338">
        <f t="shared" ref="M864:M927" si="485">L864+M863</f>
        <v>24598534.760000002</v>
      </c>
      <c r="N864" s="329">
        <f t="shared" si="460"/>
        <v>0</v>
      </c>
      <c r="O864" s="338">
        <f t="shared" ref="O864:O927" si="486">N864+O863</f>
        <v>13000000</v>
      </c>
      <c r="P864" s="329">
        <f t="shared" si="461"/>
        <v>0</v>
      </c>
      <c r="Q864" s="338">
        <f t="shared" ref="Q864:Q927" si="487">P864+Q863</f>
        <v>0</v>
      </c>
      <c r="R864" s="329">
        <f t="shared" si="462"/>
        <v>0</v>
      </c>
      <c r="S864" s="338">
        <f t="shared" ref="S864:S927" si="488">R864+S863</f>
        <v>0</v>
      </c>
      <c r="T864" s="329">
        <f t="shared" si="463"/>
        <v>0</v>
      </c>
      <c r="U864" s="338">
        <f t="shared" si="469"/>
        <v>0</v>
      </c>
      <c r="V864" s="329">
        <f t="shared" si="464"/>
        <v>0</v>
      </c>
      <c r="W864" s="338">
        <f t="shared" ref="W864:W927" si="489">V864+W863</f>
        <v>10400000</v>
      </c>
      <c r="X864" s="35"/>
    </row>
    <row r="865" spans="1:24" x14ac:dyDescent="0.25">
      <c r="A865" s="335">
        <f t="shared" si="473"/>
        <v>44576</v>
      </c>
      <c r="B865" s="49">
        <f t="shared" si="471"/>
        <v>0</v>
      </c>
      <c r="C865" s="338">
        <f t="shared" si="480"/>
        <v>113886095.14309606</v>
      </c>
      <c r="D865" s="329">
        <f t="shared" si="472"/>
        <v>0</v>
      </c>
      <c r="E865" s="338">
        <f t="shared" si="481"/>
        <v>11542022.55807774</v>
      </c>
      <c r="F865" s="329">
        <f t="shared" si="479"/>
        <v>0</v>
      </c>
      <c r="G865" s="338">
        <f t="shared" si="482"/>
        <v>76400000</v>
      </c>
      <c r="H865" s="329">
        <f t="shared" si="457"/>
        <v>0</v>
      </c>
      <c r="I865" s="338">
        <f t="shared" si="483"/>
        <v>46721906</v>
      </c>
      <c r="J865" s="329">
        <f t="shared" si="458"/>
        <v>0</v>
      </c>
      <c r="K865" s="338">
        <f t="shared" si="484"/>
        <v>11500000</v>
      </c>
      <c r="L865" s="329">
        <f t="shared" si="459"/>
        <v>0</v>
      </c>
      <c r="M865" s="338">
        <f t="shared" si="485"/>
        <v>24598534.760000002</v>
      </c>
      <c r="N865" s="329">
        <f t="shared" si="460"/>
        <v>0</v>
      </c>
      <c r="O865" s="338">
        <f t="shared" si="486"/>
        <v>13000000</v>
      </c>
      <c r="P865" s="329">
        <f t="shared" si="461"/>
        <v>0</v>
      </c>
      <c r="Q865" s="338">
        <f t="shared" si="487"/>
        <v>0</v>
      </c>
      <c r="R865" s="329">
        <f t="shared" si="462"/>
        <v>0</v>
      </c>
      <c r="S865" s="338">
        <f t="shared" si="488"/>
        <v>0</v>
      </c>
      <c r="T865" s="329">
        <f t="shared" si="463"/>
        <v>0</v>
      </c>
      <c r="U865" s="338">
        <f t="shared" si="469"/>
        <v>0</v>
      </c>
      <c r="V865" s="329">
        <f t="shared" si="464"/>
        <v>0</v>
      </c>
      <c r="W865" s="338">
        <f t="shared" si="489"/>
        <v>10400000</v>
      </c>
      <c r="X865" s="35"/>
    </row>
    <row r="866" spans="1:24" x14ac:dyDescent="0.25">
      <c r="A866" s="335">
        <f t="shared" si="473"/>
        <v>44577</v>
      </c>
      <c r="B866" s="49">
        <f t="shared" si="471"/>
        <v>0</v>
      </c>
      <c r="C866" s="338">
        <f t="shared" si="480"/>
        <v>113886095.14309606</v>
      </c>
      <c r="D866" s="329">
        <f t="shared" si="472"/>
        <v>0</v>
      </c>
      <c r="E866" s="338">
        <f t="shared" si="481"/>
        <v>11542022.55807774</v>
      </c>
      <c r="F866" s="329">
        <f t="shared" si="479"/>
        <v>0</v>
      </c>
      <c r="G866" s="338">
        <f t="shared" si="482"/>
        <v>76400000</v>
      </c>
      <c r="H866" s="329">
        <f t="shared" si="457"/>
        <v>0</v>
      </c>
      <c r="I866" s="338">
        <f t="shared" si="483"/>
        <v>46721906</v>
      </c>
      <c r="J866" s="329">
        <f t="shared" si="458"/>
        <v>0</v>
      </c>
      <c r="K866" s="338">
        <f t="shared" si="484"/>
        <v>11500000</v>
      </c>
      <c r="L866" s="329">
        <f t="shared" si="459"/>
        <v>0</v>
      </c>
      <c r="M866" s="338">
        <f t="shared" si="485"/>
        <v>24598534.760000002</v>
      </c>
      <c r="N866" s="329">
        <f t="shared" si="460"/>
        <v>0</v>
      </c>
      <c r="O866" s="338">
        <f t="shared" si="486"/>
        <v>13000000</v>
      </c>
      <c r="P866" s="329">
        <f t="shared" si="461"/>
        <v>0</v>
      </c>
      <c r="Q866" s="338">
        <f t="shared" si="487"/>
        <v>0</v>
      </c>
      <c r="R866" s="329">
        <f t="shared" si="462"/>
        <v>0</v>
      </c>
      <c r="S866" s="338">
        <f t="shared" si="488"/>
        <v>0</v>
      </c>
      <c r="T866" s="329">
        <f t="shared" si="463"/>
        <v>0</v>
      </c>
      <c r="U866" s="338">
        <f t="shared" si="469"/>
        <v>0</v>
      </c>
      <c r="V866" s="329">
        <f t="shared" si="464"/>
        <v>0</v>
      </c>
      <c r="W866" s="338">
        <f t="shared" si="489"/>
        <v>10400000</v>
      </c>
      <c r="X866" s="35"/>
    </row>
    <row r="867" spans="1:24" x14ac:dyDescent="0.25">
      <c r="A867" s="335">
        <f t="shared" si="473"/>
        <v>44578</v>
      </c>
      <c r="B867" s="49">
        <f t="shared" si="471"/>
        <v>0</v>
      </c>
      <c r="C867" s="338">
        <f t="shared" si="480"/>
        <v>113886095.14309606</v>
      </c>
      <c r="D867" s="329">
        <f t="shared" si="472"/>
        <v>0</v>
      </c>
      <c r="E867" s="338">
        <f t="shared" si="481"/>
        <v>11542022.55807774</v>
      </c>
      <c r="F867" s="329">
        <f t="shared" si="479"/>
        <v>0</v>
      </c>
      <c r="G867" s="338">
        <f t="shared" si="482"/>
        <v>76400000</v>
      </c>
      <c r="H867" s="329">
        <f t="shared" si="457"/>
        <v>0</v>
      </c>
      <c r="I867" s="338">
        <f t="shared" si="483"/>
        <v>46721906</v>
      </c>
      <c r="J867" s="329">
        <f t="shared" si="458"/>
        <v>0</v>
      </c>
      <c r="K867" s="338">
        <f t="shared" si="484"/>
        <v>11500000</v>
      </c>
      <c r="L867" s="329">
        <f t="shared" si="459"/>
        <v>0</v>
      </c>
      <c r="M867" s="338">
        <f t="shared" si="485"/>
        <v>24598534.760000002</v>
      </c>
      <c r="N867" s="329">
        <f t="shared" si="460"/>
        <v>0</v>
      </c>
      <c r="O867" s="338">
        <f t="shared" si="486"/>
        <v>13000000</v>
      </c>
      <c r="P867" s="329">
        <f t="shared" si="461"/>
        <v>0</v>
      </c>
      <c r="Q867" s="338">
        <f t="shared" si="487"/>
        <v>0</v>
      </c>
      <c r="R867" s="329">
        <f t="shared" si="462"/>
        <v>0</v>
      </c>
      <c r="S867" s="338">
        <f t="shared" si="488"/>
        <v>0</v>
      </c>
      <c r="T867" s="329">
        <f t="shared" si="463"/>
        <v>0</v>
      </c>
      <c r="U867" s="338">
        <f t="shared" si="469"/>
        <v>0</v>
      </c>
      <c r="V867" s="329">
        <f t="shared" si="464"/>
        <v>0</v>
      </c>
      <c r="W867" s="338">
        <f t="shared" si="489"/>
        <v>10400000</v>
      </c>
      <c r="X867" s="35"/>
    </row>
    <row r="868" spans="1:24" x14ac:dyDescent="0.25">
      <c r="A868" s="335">
        <f t="shared" si="473"/>
        <v>44579</v>
      </c>
      <c r="B868" s="49">
        <f t="shared" si="471"/>
        <v>0</v>
      </c>
      <c r="C868" s="338">
        <f t="shared" si="480"/>
        <v>113886095.14309606</v>
      </c>
      <c r="D868" s="329">
        <f t="shared" si="472"/>
        <v>0</v>
      </c>
      <c r="E868" s="338">
        <f t="shared" si="481"/>
        <v>11542022.55807774</v>
      </c>
      <c r="F868" s="329">
        <f t="shared" si="479"/>
        <v>0</v>
      </c>
      <c r="G868" s="338">
        <f t="shared" si="482"/>
        <v>76400000</v>
      </c>
      <c r="H868" s="329">
        <f t="shared" si="457"/>
        <v>0</v>
      </c>
      <c r="I868" s="338">
        <f t="shared" si="483"/>
        <v>46721906</v>
      </c>
      <c r="J868" s="329">
        <f t="shared" si="458"/>
        <v>0</v>
      </c>
      <c r="K868" s="338">
        <f t="shared" si="484"/>
        <v>11500000</v>
      </c>
      <c r="L868" s="329">
        <f t="shared" si="459"/>
        <v>0</v>
      </c>
      <c r="M868" s="338">
        <f t="shared" si="485"/>
        <v>24598534.760000002</v>
      </c>
      <c r="N868" s="329">
        <f t="shared" si="460"/>
        <v>0</v>
      </c>
      <c r="O868" s="338">
        <f t="shared" si="486"/>
        <v>13000000</v>
      </c>
      <c r="P868" s="329">
        <f t="shared" si="461"/>
        <v>0</v>
      </c>
      <c r="Q868" s="338">
        <f t="shared" si="487"/>
        <v>0</v>
      </c>
      <c r="R868" s="329">
        <f t="shared" si="462"/>
        <v>0</v>
      </c>
      <c r="S868" s="338">
        <f t="shared" si="488"/>
        <v>0</v>
      </c>
      <c r="T868" s="329">
        <f t="shared" si="463"/>
        <v>0</v>
      </c>
      <c r="U868" s="338">
        <f t="shared" si="469"/>
        <v>0</v>
      </c>
      <c r="V868" s="329">
        <f t="shared" si="464"/>
        <v>0</v>
      </c>
      <c r="W868" s="338">
        <f t="shared" si="489"/>
        <v>10400000</v>
      </c>
      <c r="X868" s="35"/>
    </row>
    <row r="869" spans="1:24" x14ac:dyDescent="0.25">
      <c r="A869" s="335">
        <f t="shared" si="473"/>
        <v>44580</v>
      </c>
      <c r="B869" s="49">
        <f t="shared" si="471"/>
        <v>0</v>
      </c>
      <c r="C869" s="338">
        <f t="shared" si="480"/>
        <v>113886095.14309606</v>
      </c>
      <c r="D869" s="329">
        <f t="shared" si="472"/>
        <v>0</v>
      </c>
      <c r="E869" s="338">
        <f t="shared" si="481"/>
        <v>11542022.55807774</v>
      </c>
      <c r="F869" s="329">
        <f t="shared" si="479"/>
        <v>0</v>
      </c>
      <c r="G869" s="338">
        <f t="shared" si="482"/>
        <v>76400000</v>
      </c>
      <c r="H869" s="329">
        <f t="shared" si="457"/>
        <v>0</v>
      </c>
      <c r="I869" s="338">
        <f t="shared" si="483"/>
        <v>46721906</v>
      </c>
      <c r="J869" s="329">
        <f t="shared" si="458"/>
        <v>0</v>
      </c>
      <c r="K869" s="338">
        <f t="shared" si="484"/>
        <v>11500000</v>
      </c>
      <c r="L869" s="329">
        <f t="shared" si="459"/>
        <v>0</v>
      </c>
      <c r="M869" s="338">
        <f t="shared" si="485"/>
        <v>24598534.760000002</v>
      </c>
      <c r="N869" s="329">
        <f t="shared" si="460"/>
        <v>300000</v>
      </c>
      <c r="O869" s="338">
        <f t="shared" si="486"/>
        <v>13300000</v>
      </c>
      <c r="P869" s="329">
        <f t="shared" si="461"/>
        <v>0</v>
      </c>
      <c r="Q869" s="338">
        <f t="shared" si="487"/>
        <v>0</v>
      </c>
      <c r="R869" s="329">
        <f t="shared" si="462"/>
        <v>0</v>
      </c>
      <c r="S869" s="338">
        <f t="shared" si="488"/>
        <v>0</v>
      </c>
      <c r="T869" s="329">
        <f t="shared" si="463"/>
        <v>0</v>
      </c>
      <c r="U869" s="338">
        <f t="shared" si="469"/>
        <v>0</v>
      </c>
      <c r="V869" s="329">
        <f t="shared" si="464"/>
        <v>0</v>
      </c>
      <c r="W869" s="338">
        <f t="shared" si="489"/>
        <v>10400000</v>
      </c>
      <c r="X869" s="35"/>
    </row>
    <row r="870" spans="1:24" x14ac:dyDescent="0.25">
      <c r="A870" s="335">
        <f t="shared" si="473"/>
        <v>44581</v>
      </c>
      <c r="B870" s="49">
        <f t="shared" si="471"/>
        <v>0</v>
      </c>
      <c r="C870" s="338">
        <f t="shared" si="480"/>
        <v>113886095.14309606</v>
      </c>
      <c r="D870" s="329">
        <f t="shared" si="472"/>
        <v>0</v>
      </c>
      <c r="E870" s="338">
        <f t="shared" si="481"/>
        <v>11542022.55807774</v>
      </c>
      <c r="F870" s="329">
        <f t="shared" si="479"/>
        <v>0</v>
      </c>
      <c r="G870" s="338">
        <f t="shared" si="482"/>
        <v>76400000</v>
      </c>
      <c r="H870" s="329">
        <f t="shared" si="457"/>
        <v>0</v>
      </c>
      <c r="I870" s="338">
        <f t="shared" si="483"/>
        <v>46721906</v>
      </c>
      <c r="J870" s="329">
        <f t="shared" si="458"/>
        <v>0</v>
      </c>
      <c r="K870" s="338">
        <f t="shared" si="484"/>
        <v>11500000</v>
      </c>
      <c r="L870" s="329">
        <f t="shared" si="459"/>
        <v>0</v>
      </c>
      <c r="M870" s="338">
        <f t="shared" si="485"/>
        <v>24598534.760000002</v>
      </c>
      <c r="N870" s="329">
        <f t="shared" si="460"/>
        <v>0</v>
      </c>
      <c r="O870" s="338">
        <f t="shared" si="486"/>
        <v>13300000</v>
      </c>
      <c r="P870" s="329">
        <f t="shared" si="461"/>
        <v>0</v>
      </c>
      <c r="Q870" s="338">
        <f t="shared" si="487"/>
        <v>0</v>
      </c>
      <c r="R870" s="329">
        <f t="shared" si="462"/>
        <v>0</v>
      </c>
      <c r="S870" s="338">
        <f t="shared" si="488"/>
        <v>0</v>
      </c>
      <c r="T870" s="329">
        <f t="shared" si="463"/>
        <v>0</v>
      </c>
      <c r="U870" s="338">
        <f t="shared" si="469"/>
        <v>0</v>
      </c>
      <c r="V870" s="329">
        <f t="shared" si="464"/>
        <v>0</v>
      </c>
      <c r="W870" s="338">
        <f t="shared" si="489"/>
        <v>10400000</v>
      </c>
      <c r="X870" s="35"/>
    </row>
    <row r="871" spans="1:24" x14ac:dyDescent="0.25">
      <c r="A871" s="335">
        <f t="shared" si="473"/>
        <v>44582</v>
      </c>
      <c r="B871" s="49">
        <f t="shared" si="471"/>
        <v>0</v>
      </c>
      <c r="C871" s="338">
        <f t="shared" si="480"/>
        <v>113886095.14309606</v>
      </c>
      <c r="D871" s="329">
        <f t="shared" si="472"/>
        <v>0</v>
      </c>
      <c r="E871" s="338">
        <f t="shared" si="481"/>
        <v>11542022.55807774</v>
      </c>
      <c r="F871" s="329">
        <f t="shared" si="479"/>
        <v>0</v>
      </c>
      <c r="G871" s="338">
        <f t="shared" si="482"/>
        <v>76400000</v>
      </c>
      <c r="H871" s="329">
        <f t="shared" si="457"/>
        <v>0</v>
      </c>
      <c r="I871" s="338">
        <f t="shared" si="483"/>
        <v>46721906</v>
      </c>
      <c r="J871" s="329">
        <f t="shared" si="458"/>
        <v>0</v>
      </c>
      <c r="K871" s="338">
        <f t="shared" si="484"/>
        <v>11500000</v>
      </c>
      <c r="L871" s="329">
        <f t="shared" si="459"/>
        <v>0</v>
      </c>
      <c r="M871" s="338">
        <f t="shared" si="485"/>
        <v>24598534.760000002</v>
      </c>
      <c r="N871" s="329">
        <f t="shared" si="460"/>
        <v>0</v>
      </c>
      <c r="O871" s="338">
        <f t="shared" si="486"/>
        <v>13300000</v>
      </c>
      <c r="P871" s="329">
        <f t="shared" si="461"/>
        <v>0</v>
      </c>
      <c r="Q871" s="338">
        <f t="shared" si="487"/>
        <v>0</v>
      </c>
      <c r="R871" s="329">
        <f t="shared" si="462"/>
        <v>0</v>
      </c>
      <c r="S871" s="338">
        <f t="shared" si="488"/>
        <v>0</v>
      </c>
      <c r="T871" s="329">
        <f t="shared" si="463"/>
        <v>0</v>
      </c>
      <c r="U871" s="338">
        <f t="shared" si="469"/>
        <v>0</v>
      </c>
      <c r="V871" s="329">
        <f t="shared" si="464"/>
        <v>0</v>
      </c>
      <c r="W871" s="338">
        <f t="shared" si="489"/>
        <v>10400000</v>
      </c>
      <c r="X871" s="35"/>
    </row>
    <row r="872" spans="1:24" x14ac:dyDescent="0.25">
      <c r="A872" s="335">
        <f t="shared" si="473"/>
        <v>44583</v>
      </c>
      <c r="B872" s="49">
        <f t="shared" si="471"/>
        <v>0</v>
      </c>
      <c r="C872" s="338">
        <f t="shared" si="480"/>
        <v>113886095.14309606</v>
      </c>
      <c r="D872" s="329">
        <f t="shared" si="472"/>
        <v>0</v>
      </c>
      <c r="E872" s="338">
        <f t="shared" si="481"/>
        <v>11542022.55807774</v>
      </c>
      <c r="F872" s="329">
        <f t="shared" si="479"/>
        <v>0</v>
      </c>
      <c r="G872" s="338">
        <f t="shared" si="482"/>
        <v>76400000</v>
      </c>
      <c r="H872" s="329">
        <f t="shared" si="457"/>
        <v>0</v>
      </c>
      <c r="I872" s="338">
        <f t="shared" si="483"/>
        <v>46721906</v>
      </c>
      <c r="J872" s="329">
        <f t="shared" si="458"/>
        <v>0</v>
      </c>
      <c r="K872" s="338">
        <f t="shared" si="484"/>
        <v>11500000</v>
      </c>
      <c r="L872" s="329">
        <f t="shared" si="459"/>
        <v>0</v>
      </c>
      <c r="M872" s="338">
        <f t="shared" si="485"/>
        <v>24598534.760000002</v>
      </c>
      <c r="N872" s="329">
        <f t="shared" si="460"/>
        <v>0</v>
      </c>
      <c r="O872" s="338">
        <f t="shared" si="486"/>
        <v>13300000</v>
      </c>
      <c r="P872" s="329">
        <f t="shared" si="461"/>
        <v>0</v>
      </c>
      <c r="Q872" s="338">
        <f t="shared" si="487"/>
        <v>0</v>
      </c>
      <c r="R872" s="329">
        <f t="shared" si="462"/>
        <v>0</v>
      </c>
      <c r="S872" s="338">
        <f t="shared" si="488"/>
        <v>0</v>
      </c>
      <c r="T872" s="329">
        <f t="shared" si="463"/>
        <v>0</v>
      </c>
      <c r="U872" s="338">
        <f t="shared" si="469"/>
        <v>0</v>
      </c>
      <c r="V872" s="329">
        <f t="shared" si="464"/>
        <v>0</v>
      </c>
      <c r="W872" s="338">
        <f t="shared" si="489"/>
        <v>10400000</v>
      </c>
      <c r="X872" s="35"/>
    </row>
    <row r="873" spans="1:24" x14ac:dyDescent="0.25">
      <c r="A873" s="335">
        <f t="shared" si="473"/>
        <v>44584</v>
      </c>
      <c r="B873" s="49">
        <f t="shared" si="471"/>
        <v>0</v>
      </c>
      <c r="C873" s="338">
        <f t="shared" si="480"/>
        <v>113886095.14309606</v>
      </c>
      <c r="D873" s="329">
        <f t="shared" si="472"/>
        <v>0</v>
      </c>
      <c r="E873" s="338">
        <f t="shared" si="481"/>
        <v>11542022.55807774</v>
      </c>
      <c r="F873" s="329">
        <f t="shared" si="479"/>
        <v>0</v>
      </c>
      <c r="G873" s="338">
        <f t="shared" si="482"/>
        <v>76400000</v>
      </c>
      <c r="H873" s="329">
        <f t="shared" si="457"/>
        <v>0</v>
      </c>
      <c r="I873" s="338">
        <f t="shared" si="483"/>
        <v>46721906</v>
      </c>
      <c r="J873" s="329">
        <f t="shared" si="458"/>
        <v>0</v>
      </c>
      <c r="K873" s="338">
        <f t="shared" si="484"/>
        <v>11500000</v>
      </c>
      <c r="L873" s="329">
        <f t="shared" si="459"/>
        <v>0</v>
      </c>
      <c r="M873" s="338">
        <f t="shared" si="485"/>
        <v>24598534.760000002</v>
      </c>
      <c r="N873" s="329">
        <f t="shared" si="460"/>
        <v>0</v>
      </c>
      <c r="O873" s="338">
        <f t="shared" si="486"/>
        <v>13300000</v>
      </c>
      <c r="P873" s="329">
        <f t="shared" si="461"/>
        <v>0</v>
      </c>
      <c r="Q873" s="338">
        <f t="shared" si="487"/>
        <v>0</v>
      </c>
      <c r="R873" s="329">
        <f t="shared" si="462"/>
        <v>0</v>
      </c>
      <c r="S873" s="338">
        <f t="shared" si="488"/>
        <v>0</v>
      </c>
      <c r="T873" s="329">
        <f t="shared" si="463"/>
        <v>0</v>
      </c>
      <c r="U873" s="338">
        <f t="shared" si="469"/>
        <v>0</v>
      </c>
      <c r="V873" s="329">
        <f t="shared" si="464"/>
        <v>0</v>
      </c>
      <c r="W873" s="338">
        <f t="shared" si="489"/>
        <v>10400000</v>
      </c>
      <c r="X873" s="35"/>
    </row>
    <row r="874" spans="1:24" x14ac:dyDescent="0.25">
      <c r="A874" s="335">
        <f t="shared" si="473"/>
        <v>44585</v>
      </c>
      <c r="B874" s="49">
        <f t="shared" si="471"/>
        <v>0</v>
      </c>
      <c r="C874" s="338">
        <f t="shared" si="480"/>
        <v>113886095.14309606</v>
      </c>
      <c r="D874" s="329">
        <f t="shared" si="472"/>
        <v>0</v>
      </c>
      <c r="E874" s="338">
        <f t="shared" si="481"/>
        <v>11542022.55807774</v>
      </c>
      <c r="F874" s="329">
        <f t="shared" si="479"/>
        <v>0</v>
      </c>
      <c r="G874" s="338">
        <f t="shared" si="482"/>
        <v>76400000</v>
      </c>
      <c r="H874" s="329">
        <f t="shared" si="457"/>
        <v>0</v>
      </c>
      <c r="I874" s="338">
        <f t="shared" si="483"/>
        <v>46721906</v>
      </c>
      <c r="J874" s="329">
        <f t="shared" si="458"/>
        <v>0</v>
      </c>
      <c r="K874" s="338">
        <f t="shared" si="484"/>
        <v>11500000</v>
      </c>
      <c r="L874" s="329">
        <f t="shared" si="459"/>
        <v>0</v>
      </c>
      <c r="M874" s="338">
        <f t="shared" si="485"/>
        <v>24598534.760000002</v>
      </c>
      <c r="N874" s="329">
        <f t="shared" si="460"/>
        <v>0</v>
      </c>
      <c r="O874" s="338">
        <f t="shared" si="486"/>
        <v>13300000</v>
      </c>
      <c r="P874" s="329">
        <f t="shared" si="461"/>
        <v>0</v>
      </c>
      <c r="Q874" s="338">
        <f t="shared" si="487"/>
        <v>0</v>
      </c>
      <c r="R874" s="329">
        <f t="shared" si="462"/>
        <v>0</v>
      </c>
      <c r="S874" s="338">
        <f t="shared" si="488"/>
        <v>0</v>
      </c>
      <c r="T874" s="329">
        <f t="shared" si="463"/>
        <v>0</v>
      </c>
      <c r="U874" s="338">
        <f t="shared" si="469"/>
        <v>0</v>
      </c>
      <c r="V874" s="329">
        <f t="shared" si="464"/>
        <v>0</v>
      </c>
      <c r="W874" s="338">
        <f t="shared" si="489"/>
        <v>10400000</v>
      </c>
      <c r="X874" s="35"/>
    </row>
    <row r="875" spans="1:24" x14ac:dyDescent="0.25">
      <c r="A875" s="335">
        <f t="shared" si="473"/>
        <v>44586</v>
      </c>
      <c r="B875" s="49">
        <f t="shared" si="471"/>
        <v>0</v>
      </c>
      <c r="C875" s="338">
        <f t="shared" si="480"/>
        <v>113886095.14309606</v>
      </c>
      <c r="D875" s="329">
        <f t="shared" si="472"/>
        <v>0</v>
      </c>
      <c r="E875" s="338">
        <f t="shared" si="481"/>
        <v>11542022.55807774</v>
      </c>
      <c r="F875" s="329">
        <f t="shared" si="479"/>
        <v>0</v>
      </c>
      <c r="G875" s="338">
        <f t="shared" si="482"/>
        <v>76400000</v>
      </c>
      <c r="H875" s="329">
        <f t="shared" ref="H875:H938" si="490">SUMIFS(Usage_Main,CF_Dates,$A875,CF_Descriptions,"XS2091648928 Change")</f>
        <v>0</v>
      </c>
      <c r="I875" s="338">
        <f t="shared" si="483"/>
        <v>46721906</v>
      </c>
      <c r="J875" s="329">
        <f t="shared" ref="J875:J938" si="491">SUMIFS(Usage_Main,CF_Dates,$A875,CF_Descriptions,"Southern Apple Change")</f>
        <v>0</v>
      </c>
      <c r="K875" s="338">
        <f t="shared" si="484"/>
        <v>11500000</v>
      </c>
      <c r="L875" s="329">
        <f t="shared" ref="L875:L938" si="492">SUMIFS(Usage_Main,CF_Dates,$A875,CF_Descriptions,"ALMONDUSD Change")</f>
        <v>0</v>
      </c>
      <c r="M875" s="338">
        <f t="shared" si="485"/>
        <v>24598534.760000002</v>
      </c>
      <c r="N875" s="329">
        <f t="shared" ref="N875:N938" si="493">SUMIFS(Usage_Main,CF_Dates,$A875,CF_Descriptions,"ALMONDEUR Change")</f>
        <v>0</v>
      </c>
      <c r="O875" s="338">
        <f t="shared" si="486"/>
        <v>13300000</v>
      </c>
      <c r="P875" s="329">
        <f t="shared" ref="P875:P938" si="494">SUMIFS(Usage_Main,CF_Dates,$A875,CF_Descriptions,"HEXZETA Change")</f>
        <v>0</v>
      </c>
      <c r="Q875" s="338">
        <f t="shared" si="487"/>
        <v>0</v>
      </c>
      <c r="R875" s="329">
        <f t="shared" ref="R875:R938" si="495">SUMIFS(Usage_Main,CF_Dates,$A875,CF_Descriptions,"MNTNCHERRY Change")</f>
        <v>0</v>
      </c>
      <c r="S875" s="338">
        <f t="shared" si="488"/>
        <v>0</v>
      </c>
      <c r="T875" s="329">
        <f t="shared" ref="T875:T938" si="496">SUMIFS(Usage_Main,CF_Dates,$A875,CF_Descriptions,"OLIVEUSD Change")</f>
        <v>0</v>
      </c>
      <c r="U875" s="338">
        <f t="shared" si="469"/>
        <v>0</v>
      </c>
      <c r="V875" s="329">
        <f t="shared" ref="V875:V938" si="497">SUMIFS(Usage_Main,CF_Dates,$A875,CF_Descriptions,"OLIVEEUR Change")</f>
        <v>0</v>
      </c>
      <c r="W875" s="338">
        <f t="shared" si="489"/>
        <v>10400000</v>
      </c>
      <c r="X875" s="35"/>
    </row>
    <row r="876" spans="1:24" x14ac:dyDescent="0.25">
      <c r="A876" s="335">
        <f t="shared" si="473"/>
        <v>44587</v>
      </c>
      <c r="B876" s="49">
        <f t="shared" si="471"/>
        <v>0</v>
      </c>
      <c r="C876" s="338">
        <f t="shared" si="480"/>
        <v>113886095.14309606</v>
      </c>
      <c r="D876" s="329">
        <f t="shared" si="472"/>
        <v>0</v>
      </c>
      <c r="E876" s="338">
        <f t="shared" si="481"/>
        <v>11542022.55807774</v>
      </c>
      <c r="F876" s="329">
        <f t="shared" si="479"/>
        <v>0</v>
      </c>
      <c r="G876" s="338">
        <f t="shared" si="482"/>
        <v>76400000</v>
      </c>
      <c r="H876" s="329">
        <f t="shared" si="490"/>
        <v>0</v>
      </c>
      <c r="I876" s="338">
        <f t="shared" si="483"/>
        <v>46721906</v>
      </c>
      <c r="J876" s="329">
        <f t="shared" si="491"/>
        <v>1300000</v>
      </c>
      <c r="K876" s="338">
        <f t="shared" si="484"/>
        <v>12800000</v>
      </c>
      <c r="L876" s="329">
        <f t="shared" si="492"/>
        <v>0</v>
      </c>
      <c r="M876" s="338">
        <f t="shared" si="485"/>
        <v>24598534.760000002</v>
      </c>
      <c r="N876" s="329">
        <f t="shared" si="493"/>
        <v>0</v>
      </c>
      <c r="O876" s="338">
        <f t="shared" si="486"/>
        <v>13300000</v>
      </c>
      <c r="P876" s="329">
        <f t="shared" si="494"/>
        <v>0</v>
      </c>
      <c r="Q876" s="338">
        <f t="shared" si="487"/>
        <v>0</v>
      </c>
      <c r="R876" s="329">
        <f t="shared" si="495"/>
        <v>0</v>
      </c>
      <c r="S876" s="338">
        <f t="shared" si="488"/>
        <v>0</v>
      </c>
      <c r="T876" s="329">
        <f t="shared" si="496"/>
        <v>0</v>
      </c>
      <c r="U876" s="338">
        <f t="shared" ref="U876:U939" si="498">T876+U875</f>
        <v>0</v>
      </c>
      <c r="V876" s="329">
        <f t="shared" si="497"/>
        <v>0</v>
      </c>
      <c r="W876" s="338">
        <f t="shared" si="489"/>
        <v>10400000</v>
      </c>
      <c r="X876" s="35"/>
    </row>
    <row r="877" spans="1:24" x14ac:dyDescent="0.25">
      <c r="A877" s="335">
        <f t="shared" si="473"/>
        <v>44588</v>
      </c>
      <c r="B877" s="49">
        <f t="shared" si="471"/>
        <v>0</v>
      </c>
      <c r="C877" s="338">
        <f t="shared" si="480"/>
        <v>113886095.14309606</v>
      </c>
      <c r="D877" s="329">
        <f t="shared" si="472"/>
        <v>0</v>
      </c>
      <c r="E877" s="338">
        <f t="shared" si="481"/>
        <v>11542022.55807774</v>
      </c>
      <c r="F877" s="329">
        <f t="shared" si="479"/>
        <v>0</v>
      </c>
      <c r="G877" s="338">
        <f t="shared" si="482"/>
        <v>76400000</v>
      </c>
      <c r="H877" s="329">
        <f t="shared" si="490"/>
        <v>0</v>
      </c>
      <c r="I877" s="338">
        <f t="shared" si="483"/>
        <v>46721906</v>
      </c>
      <c r="J877" s="329">
        <f t="shared" si="491"/>
        <v>0</v>
      </c>
      <c r="K877" s="338">
        <f t="shared" si="484"/>
        <v>12800000</v>
      </c>
      <c r="L877" s="329">
        <f t="shared" si="492"/>
        <v>0</v>
      </c>
      <c r="M877" s="338">
        <f t="shared" si="485"/>
        <v>24598534.760000002</v>
      </c>
      <c r="N877" s="329">
        <f t="shared" si="493"/>
        <v>0</v>
      </c>
      <c r="O877" s="338">
        <f t="shared" si="486"/>
        <v>13300000</v>
      </c>
      <c r="P877" s="329">
        <f t="shared" si="494"/>
        <v>0</v>
      </c>
      <c r="Q877" s="338">
        <f t="shared" si="487"/>
        <v>0</v>
      </c>
      <c r="R877" s="329">
        <f t="shared" si="495"/>
        <v>0</v>
      </c>
      <c r="S877" s="338">
        <f t="shared" si="488"/>
        <v>0</v>
      </c>
      <c r="T877" s="329">
        <f t="shared" si="496"/>
        <v>0</v>
      </c>
      <c r="U877" s="338">
        <f t="shared" si="498"/>
        <v>0</v>
      </c>
      <c r="V877" s="329">
        <f t="shared" si="497"/>
        <v>0</v>
      </c>
      <c r="W877" s="338">
        <f t="shared" si="489"/>
        <v>10400000</v>
      </c>
      <c r="X877" s="35"/>
    </row>
    <row r="878" spans="1:24" x14ac:dyDescent="0.25">
      <c r="A878" s="335">
        <f t="shared" si="473"/>
        <v>44589</v>
      </c>
      <c r="B878" s="49">
        <f t="shared" si="471"/>
        <v>0</v>
      </c>
      <c r="C878" s="338">
        <f t="shared" si="480"/>
        <v>113886095.14309606</v>
      </c>
      <c r="D878" s="329">
        <f t="shared" si="472"/>
        <v>0</v>
      </c>
      <c r="E878" s="338">
        <f t="shared" si="481"/>
        <v>11542022.55807774</v>
      </c>
      <c r="F878" s="329">
        <f t="shared" si="479"/>
        <v>0</v>
      </c>
      <c r="G878" s="338">
        <f t="shared" si="482"/>
        <v>76400000</v>
      </c>
      <c r="H878" s="329">
        <f t="shared" si="490"/>
        <v>0</v>
      </c>
      <c r="I878" s="338">
        <f t="shared" si="483"/>
        <v>46721906</v>
      </c>
      <c r="J878" s="329">
        <f t="shared" si="491"/>
        <v>0</v>
      </c>
      <c r="K878" s="338">
        <f t="shared" si="484"/>
        <v>12800000</v>
      </c>
      <c r="L878" s="329">
        <f t="shared" si="492"/>
        <v>0</v>
      </c>
      <c r="M878" s="338">
        <f t="shared" si="485"/>
        <v>24598534.760000002</v>
      </c>
      <c r="N878" s="329">
        <f t="shared" si="493"/>
        <v>0</v>
      </c>
      <c r="O878" s="338">
        <f t="shared" si="486"/>
        <v>13300000</v>
      </c>
      <c r="P878" s="329">
        <f t="shared" si="494"/>
        <v>0</v>
      </c>
      <c r="Q878" s="338">
        <f t="shared" si="487"/>
        <v>0</v>
      </c>
      <c r="R878" s="329">
        <f t="shared" si="495"/>
        <v>0</v>
      </c>
      <c r="S878" s="338">
        <f t="shared" si="488"/>
        <v>0</v>
      </c>
      <c r="T878" s="329">
        <f t="shared" si="496"/>
        <v>0</v>
      </c>
      <c r="U878" s="338">
        <f t="shared" si="498"/>
        <v>0</v>
      </c>
      <c r="V878" s="329">
        <f t="shared" si="497"/>
        <v>0</v>
      </c>
      <c r="W878" s="338">
        <f t="shared" si="489"/>
        <v>10400000</v>
      </c>
      <c r="X878" s="35"/>
    </row>
    <row r="879" spans="1:24" x14ac:dyDescent="0.25">
      <c r="A879" s="335">
        <f t="shared" si="473"/>
        <v>44590</v>
      </c>
      <c r="B879" s="49">
        <f t="shared" si="471"/>
        <v>0</v>
      </c>
      <c r="C879" s="338">
        <f t="shared" si="480"/>
        <v>113886095.14309606</v>
      </c>
      <c r="D879" s="329">
        <f t="shared" si="472"/>
        <v>0</v>
      </c>
      <c r="E879" s="338">
        <f t="shared" si="481"/>
        <v>11542022.55807774</v>
      </c>
      <c r="F879" s="329">
        <f t="shared" si="479"/>
        <v>0</v>
      </c>
      <c r="G879" s="338">
        <f t="shared" si="482"/>
        <v>76400000</v>
      </c>
      <c r="H879" s="329">
        <f t="shared" si="490"/>
        <v>0</v>
      </c>
      <c r="I879" s="338">
        <f t="shared" si="483"/>
        <v>46721906</v>
      </c>
      <c r="J879" s="329">
        <f t="shared" si="491"/>
        <v>0</v>
      </c>
      <c r="K879" s="338">
        <f t="shared" si="484"/>
        <v>12800000</v>
      </c>
      <c r="L879" s="329">
        <f t="shared" si="492"/>
        <v>0</v>
      </c>
      <c r="M879" s="338">
        <f t="shared" si="485"/>
        <v>24598534.760000002</v>
      </c>
      <c r="N879" s="329">
        <f t="shared" si="493"/>
        <v>0</v>
      </c>
      <c r="O879" s="338">
        <f t="shared" si="486"/>
        <v>13300000</v>
      </c>
      <c r="P879" s="329">
        <f t="shared" si="494"/>
        <v>0</v>
      </c>
      <c r="Q879" s="338">
        <f t="shared" si="487"/>
        <v>0</v>
      </c>
      <c r="R879" s="329">
        <f t="shared" si="495"/>
        <v>0</v>
      </c>
      <c r="S879" s="338">
        <f t="shared" si="488"/>
        <v>0</v>
      </c>
      <c r="T879" s="329">
        <f t="shared" si="496"/>
        <v>0</v>
      </c>
      <c r="U879" s="338">
        <f t="shared" si="498"/>
        <v>0</v>
      </c>
      <c r="V879" s="329">
        <f t="shared" si="497"/>
        <v>0</v>
      </c>
      <c r="W879" s="338">
        <f t="shared" si="489"/>
        <v>10400000</v>
      </c>
      <c r="X879" s="35"/>
    </row>
    <row r="880" spans="1:24" x14ac:dyDescent="0.25">
      <c r="A880" s="335">
        <f t="shared" si="473"/>
        <v>44591</v>
      </c>
      <c r="B880" s="49">
        <f t="shared" si="471"/>
        <v>0</v>
      </c>
      <c r="C880" s="338">
        <f t="shared" si="480"/>
        <v>113886095.14309606</v>
      </c>
      <c r="D880" s="329">
        <f t="shared" si="472"/>
        <v>0</v>
      </c>
      <c r="E880" s="338">
        <f t="shared" si="481"/>
        <v>11542022.55807774</v>
      </c>
      <c r="F880" s="329">
        <f t="shared" si="479"/>
        <v>0</v>
      </c>
      <c r="G880" s="338">
        <f t="shared" si="482"/>
        <v>76400000</v>
      </c>
      <c r="H880" s="329">
        <f t="shared" si="490"/>
        <v>0</v>
      </c>
      <c r="I880" s="338">
        <f t="shared" si="483"/>
        <v>46721906</v>
      </c>
      <c r="J880" s="329">
        <f t="shared" si="491"/>
        <v>0</v>
      </c>
      <c r="K880" s="338">
        <f t="shared" si="484"/>
        <v>12800000</v>
      </c>
      <c r="L880" s="329">
        <f t="shared" si="492"/>
        <v>0</v>
      </c>
      <c r="M880" s="338">
        <f t="shared" si="485"/>
        <v>24598534.760000002</v>
      </c>
      <c r="N880" s="329">
        <f t="shared" si="493"/>
        <v>0</v>
      </c>
      <c r="O880" s="338">
        <f t="shared" si="486"/>
        <v>13300000</v>
      </c>
      <c r="P880" s="329">
        <f t="shared" si="494"/>
        <v>0</v>
      </c>
      <c r="Q880" s="338">
        <f t="shared" si="487"/>
        <v>0</v>
      </c>
      <c r="R880" s="329">
        <f t="shared" si="495"/>
        <v>0</v>
      </c>
      <c r="S880" s="338">
        <f t="shared" si="488"/>
        <v>0</v>
      </c>
      <c r="T880" s="329">
        <f t="shared" si="496"/>
        <v>0</v>
      </c>
      <c r="U880" s="338">
        <f t="shared" si="498"/>
        <v>0</v>
      </c>
      <c r="V880" s="329">
        <f t="shared" si="497"/>
        <v>0</v>
      </c>
      <c r="W880" s="338">
        <f t="shared" si="489"/>
        <v>10400000</v>
      </c>
      <c r="X880" s="35"/>
    </row>
    <row r="881" spans="1:24" x14ac:dyDescent="0.25">
      <c r="A881" s="335">
        <f t="shared" si="473"/>
        <v>44592</v>
      </c>
      <c r="B881" s="49">
        <f t="shared" si="471"/>
        <v>0</v>
      </c>
      <c r="C881" s="338">
        <f t="shared" si="480"/>
        <v>113886095.14309606</v>
      </c>
      <c r="D881" s="329">
        <f t="shared" si="472"/>
        <v>0</v>
      </c>
      <c r="E881" s="338">
        <f t="shared" si="481"/>
        <v>11542022.55807774</v>
      </c>
      <c r="F881" s="329">
        <f t="shared" si="479"/>
        <v>0</v>
      </c>
      <c r="G881" s="338">
        <f t="shared" si="482"/>
        <v>76400000</v>
      </c>
      <c r="H881" s="329">
        <f t="shared" si="490"/>
        <v>0</v>
      </c>
      <c r="I881" s="338">
        <f t="shared" si="483"/>
        <v>46721906</v>
      </c>
      <c r="J881" s="329">
        <f t="shared" si="491"/>
        <v>0</v>
      </c>
      <c r="K881" s="338">
        <f t="shared" si="484"/>
        <v>12800000</v>
      </c>
      <c r="L881" s="329">
        <f t="shared" si="492"/>
        <v>0</v>
      </c>
      <c r="M881" s="338">
        <f t="shared" si="485"/>
        <v>24598534.760000002</v>
      </c>
      <c r="N881" s="329">
        <f t="shared" si="493"/>
        <v>0</v>
      </c>
      <c r="O881" s="338">
        <f t="shared" si="486"/>
        <v>13300000</v>
      </c>
      <c r="P881" s="329">
        <f t="shared" si="494"/>
        <v>0</v>
      </c>
      <c r="Q881" s="338">
        <f t="shared" si="487"/>
        <v>0</v>
      </c>
      <c r="R881" s="329">
        <f t="shared" si="495"/>
        <v>0</v>
      </c>
      <c r="S881" s="338">
        <f t="shared" si="488"/>
        <v>0</v>
      </c>
      <c r="T881" s="329">
        <f t="shared" si="496"/>
        <v>0</v>
      </c>
      <c r="U881" s="338">
        <f t="shared" si="498"/>
        <v>0</v>
      </c>
      <c r="V881" s="329">
        <f t="shared" si="497"/>
        <v>0</v>
      </c>
      <c r="W881" s="338">
        <f t="shared" si="489"/>
        <v>10400000</v>
      </c>
      <c r="X881" s="35"/>
    </row>
    <row r="882" spans="1:24" x14ac:dyDescent="0.25">
      <c r="A882" s="335">
        <f t="shared" si="473"/>
        <v>44593</v>
      </c>
      <c r="B882" s="49">
        <f t="shared" si="471"/>
        <v>0</v>
      </c>
      <c r="C882" s="338">
        <f t="shared" si="480"/>
        <v>113886095.14309606</v>
      </c>
      <c r="D882" s="329">
        <f t="shared" si="472"/>
        <v>0</v>
      </c>
      <c r="E882" s="338">
        <f t="shared" si="481"/>
        <v>11542022.55807774</v>
      </c>
      <c r="F882" s="329">
        <f t="shared" si="479"/>
        <v>0</v>
      </c>
      <c r="G882" s="338">
        <f t="shared" si="482"/>
        <v>76400000</v>
      </c>
      <c r="H882" s="329">
        <f t="shared" si="490"/>
        <v>0</v>
      </c>
      <c r="I882" s="338">
        <f t="shared" si="483"/>
        <v>46721906</v>
      </c>
      <c r="J882" s="329">
        <f t="shared" si="491"/>
        <v>0</v>
      </c>
      <c r="K882" s="338">
        <f t="shared" si="484"/>
        <v>12800000</v>
      </c>
      <c r="L882" s="329">
        <f t="shared" si="492"/>
        <v>0</v>
      </c>
      <c r="M882" s="338">
        <f t="shared" si="485"/>
        <v>24598534.760000002</v>
      </c>
      <c r="N882" s="329">
        <f t="shared" si="493"/>
        <v>0</v>
      </c>
      <c r="O882" s="338">
        <f t="shared" si="486"/>
        <v>13300000</v>
      </c>
      <c r="P882" s="329">
        <f t="shared" si="494"/>
        <v>0</v>
      </c>
      <c r="Q882" s="338">
        <f t="shared" si="487"/>
        <v>0</v>
      </c>
      <c r="R882" s="329">
        <f t="shared" si="495"/>
        <v>0</v>
      </c>
      <c r="S882" s="338">
        <f t="shared" si="488"/>
        <v>0</v>
      </c>
      <c r="T882" s="329">
        <f t="shared" si="496"/>
        <v>0</v>
      </c>
      <c r="U882" s="338">
        <f t="shared" si="498"/>
        <v>0</v>
      </c>
      <c r="V882" s="329">
        <f t="shared" si="497"/>
        <v>0</v>
      </c>
      <c r="W882" s="338">
        <f t="shared" si="489"/>
        <v>10400000</v>
      </c>
      <c r="X882" s="35"/>
    </row>
    <row r="883" spans="1:24" x14ac:dyDescent="0.25">
      <c r="A883" s="335">
        <f t="shared" si="473"/>
        <v>44594</v>
      </c>
      <c r="B883" s="49">
        <f t="shared" ref="B883:B946" si="499">SUMIFS(Usage_Main,CF_Dates,$A883,CF_Descriptions,"XS1951177309 Change")</f>
        <v>0</v>
      </c>
      <c r="C883" s="338">
        <f t="shared" si="480"/>
        <v>113886095.14309606</v>
      </c>
      <c r="D883" s="329">
        <f t="shared" ref="D883:D946" si="500">SUMIFS(Usage_Main,CF_Dates,$A883,CF_Descriptions,"SOSPRUCE1 Change")</f>
        <v>0</v>
      </c>
      <c r="E883" s="338">
        <f t="shared" si="481"/>
        <v>11542022.55807774</v>
      </c>
      <c r="F883" s="329">
        <f t="shared" si="479"/>
        <v>0</v>
      </c>
      <c r="G883" s="338">
        <f t="shared" si="482"/>
        <v>76400000</v>
      </c>
      <c r="H883" s="329">
        <f t="shared" si="490"/>
        <v>0</v>
      </c>
      <c r="I883" s="338">
        <f t="shared" si="483"/>
        <v>46721906</v>
      </c>
      <c r="J883" s="329">
        <f t="shared" si="491"/>
        <v>0</v>
      </c>
      <c r="K883" s="338">
        <f t="shared" si="484"/>
        <v>12800000</v>
      </c>
      <c r="L883" s="329">
        <f t="shared" si="492"/>
        <v>0</v>
      </c>
      <c r="M883" s="338">
        <f t="shared" si="485"/>
        <v>24598534.760000002</v>
      </c>
      <c r="N883" s="329">
        <f t="shared" si="493"/>
        <v>0</v>
      </c>
      <c r="O883" s="338">
        <f t="shared" si="486"/>
        <v>13300000</v>
      </c>
      <c r="P883" s="329">
        <f t="shared" si="494"/>
        <v>0</v>
      </c>
      <c r="Q883" s="338">
        <f t="shared" si="487"/>
        <v>0</v>
      </c>
      <c r="R883" s="329">
        <f t="shared" si="495"/>
        <v>0</v>
      </c>
      <c r="S883" s="338">
        <f t="shared" si="488"/>
        <v>0</v>
      </c>
      <c r="T883" s="329">
        <f t="shared" si="496"/>
        <v>0</v>
      </c>
      <c r="U883" s="338">
        <f t="shared" si="498"/>
        <v>0</v>
      </c>
      <c r="V883" s="329">
        <f t="shared" si="497"/>
        <v>0</v>
      </c>
      <c r="W883" s="338">
        <f t="shared" si="489"/>
        <v>10400000</v>
      </c>
      <c r="X883" s="35"/>
    </row>
    <row r="884" spans="1:24" x14ac:dyDescent="0.25">
      <c r="A884" s="335">
        <f t="shared" si="473"/>
        <v>44595</v>
      </c>
      <c r="B884" s="49">
        <f t="shared" si="499"/>
        <v>0</v>
      </c>
      <c r="C884" s="338">
        <f t="shared" si="480"/>
        <v>113886095.14309606</v>
      </c>
      <c r="D884" s="329">
        <f t="shared" si="500"/>
        <v>0</v>
      </c>
      <c r="E884" s="338">
        <f t="shared" si="481"/>
        <v>11542022.55807774</v>
      </c>
      <c r="F884" s="329">
        <f t="shared" si="479"/>
        <v>0</v>
      </c>
      <c r="G884" s="338">
        <f t="shared" si="482"/>
        <v>76400000</v>
      </c>
      <c r="H884" s="329">
        <f t="shared" si="490"/>
        <v>0</v>
      </c>
      <c r="I884" s="338">
        <f t="shared" si="483"/>
        <v>46721906</v>
      </c>
      <c r="J884" s="329">
        <f t="shared" si="491"/>
        <v>0</v>
      </c>
      <c r="K884" s="338">
        <f t="shared" si="484"/>
        <v>12800000</v>
      </c>
      <c r="L884" s="329">
        <f t="shared" si="492"/>
        <v>0</v>
      </c>
      <c r="M884" s="338">
        <f t="shared" si="485"/>
        <v>24598534.760000002</v>
      </c>
      <c r="N884" s="329">
        <f t="shared" si="493"/>
        <v>0</v>
      </c>
      <c r="O884" s="338">
        <f t="shared" si="486"/>
        <v>13300000</v>
      </c>
      <c r="P884" s="329">
        <f t="shared" si="494"/>
        <v>0</v>
      </c>
      <c r="Q884" s="338">
        <f t="shared" si="487"/>
        <v>0</v>
      </c>
      <c r="R884" s="329">
        <f t="shared" si="495"/>
        <v>10000000</v>
      </c>
      <c r="S884" s="338">
        <f t="shared" si="488"/>
        <v>10000000</v>
      </c>
      <c r="T884" s="329">
        <f t="shared" si="496"/>
        <v>0</v>
      </c>
      <c r="U884" s="338">
        <f t="shared" si="498"/>
        <v>0</v>
      </c>
      <c r="V884" s="329">
        <f t="shared" si="497"/>
        <v>0</v>
      </c>
      <c r="W884" s="338">
        <f t="shared" si="489"/>
        <v>10400000</v>
      </c>
      <c r="X884" s="35"/>
    </row>
    <row r="885" spans="1:24" x14ac:dyDescent="0.25">
      <c r="A885" s="335">
        <f t="shared" si="473"/>
        <v>44596</v>
      </c>
      <c r="B885" s="49">
        <f t="shared" si="499"/>
        <v>0</v>
      </c>
      <c r="C885" s="338">
        <f t="shared" si="480"/>
        <v>113886095.14309606</v>
      </c>
      <c r="D885" s="329">
        <f t="shared" si="500"/>
        <v>0</v>
      </c>
      <c r="E885" s="338">
        <f t="shared" si="481"/>
        <v>11542022.55807774</v>
      </c>
      <c r="F885" s="329">
        <f t="shared" si="479"/>
        <v>0</v>
      </c>
      <c r="G885" s="338">
        <f t="shared" si="482"/>
        <v>76400000</v>
      </c>
      <c r="H885" s="329">
        <f t="shared" si="490"/>
        <v>0</v>
      </c>
      <c r="I885" s="338">
        <f t="shared" si="483"/>
        <v>46721906</v>
      </c>
      <c r="J885" s="329">
        <f t="shared" si="491"/>
        <v>0</v>
      </c>
      <c r="K885" s="338">
        <f t="shared" si="484"/>
        <v>12800000</v>
      </c>
      <c r="L885" s="329">
        <f t="shared" si="492"/>
        <v>0</v>
      </c>
      <c r="M885" s="338">
        <f t="shared" si="485"/>
        <v>24598534.760000002</v>
      </c>
      <c r="N885" s="329">
        <f t="shared" si="493"/>
        <v>0</v>
      </c>
      <c r="O885" s="338">
        <f t="shared" si="486"/>
        <v>13300000</v>
      </c>
      <c r="P885" s="329">
        <f t="shared" si="494"/>
        <v>0</v>
      </c>
      <c r="Q885" s="338">
        <f t="shared" si="487"/>
        <v>0</v>
      </c>
      <c r="R885" s="329">
        <f t="shared" si="495"/>
        <v>0</v>
      </c>
      <c r="S885" s="338">
        <f t="shared" si="488"/>
        <v>10000000</v>
      </c>
      <c r="T885" s="329">
        <f t="shared" si="496"/>
        <v>0</v>
      </c>
      <c r="U885" s="338">
        <f t="shared" si="498"/>
        <v>0</v>
      </c>
      <c r="V885" s="329">
        <f t="shared" si="497"/>
        <v>0</v>
      </c>
      <c r="W885" s="338">
        <f t="shared" si="489"/>
        <v>10400000</v>
      </c>
      <c r="X885" s="35"/>
    </row>
    <row r="886" spans="1:24" x14ac:dyDescent="0.25">
      <c r="A886" s="335">
        <f t="shared" si="473"/>
        <v>44597</v>
      </c>
      <c r="B886" s="49">
        <f t="shared" si="499"/>
        <v>0</v>
      </c>
      <c r="C886" s="338">
        <f t="shared" si="480"/>
        <v>113886095.14309606</v>
      </c>
      <c r="D886" s="329">
        <f t="shared" si="500"/>
        <v>0</v>
      </c>
      <c r="E886" s="338">
        <f t="shared" si="481"/>
        <v>11542022.55807774</v>
      </c>
      <c r="F886" s="329">
        <f t="shared" si="479"/>
        <v>0</v>
      </c>
      <c r="G886" s="338">
        <f t="shared" si="482"/>
        <v>76400000</v>
      </c>
      <c r="H886" s="329">
        <f t="shared" si="490"/>
        <v>0</v>
      </c>
      <c r="I886" s="338">
        <f t="shared" si="483"/>
        <v>46721906</v>
      </c>
      <c r="J886" s="329">
        <f t="shared" si="491"/>
        <v>0</v>
      </c>
      <c r="K886" s="338">
        <f t="shared" si="484"/>
        <v>12800000</v>
      </c>
      <c r="L886" s="329">
        <f t="shared" si="492"/>
        <v>0</v>
      </c>
      <c r="M886" s="338">
        <f t="shared" si="485"/>
        <v>24598534.760000002</v>
      </c>
      <c r="N886" s="329">
        <f t="shared" si="493"/>
        <v>0</v>
      </c>
      <c r="O886" s="338">
        <f t="shared" si="486"/>
        <v>13300000</v>
      </c>
      <c r="P886" s="329">
        <f t="shared" si="494"/>
        <v>0</v>
      </c>
      <c r="Q886" s="338">
        <f t="shared" si="487"/>
        <v>0</v>
      </c>
      <c r="R886" s="329">
        <f t="shared" si="495"/>
        <v>0</v>
      </c>
      <c r="S886" s="338">
        <f t="shared" si="488"/>
        <v>10000000</v>
      </c>
      <c r="T886" s="329">
        <f t="shared" si="496"/>
        <v>0</v>
      </c>
      <c r="U886" s="338">
        <f t="shared" si="498"/>
        <v>0</v>
      </c>
      <c r="V886" s="329">
        <f t="shared" si="497"/>
        <v>0</v>
      </c>
      <c r="W886" s="338">
        <f t="shared" si="489"/>
        <v>10400000</v>
      </c>
      <c r="X886" s="35"/>
    </row>
    <row r="887" spans="1:24" x14ac:dyDescent="0.25">
      <c r="A887" s="335">
        <f t="shared" si="473"/>
        <v>44598</v>
      </c>
      <c r="B887" s="49">
        <f t="shared" si="499"/>
        <v>0</v>
      </c>
      <c r="C887" s="338">
        <f t="shared" si="480"/>
        <v>113886095.14309606</v>
      </c>
      <c r="D887" s="329">
        <f t="shared" si="500"/>
        <v>0</v>
      </c>
      <c r="E887" s="338">
        <f t="shared" si="481"/>
        <v>11542022.55807774</v>
      </c>
      <c r="F887" s="329">
        <f t="shared" si="479"/>
        <v>0</v>
      </c>
      <c r="G887" s="338">
        <f t="shared" si="482"/>
        <v>76400000</v>
      </c>
      <c r="H887" s="329">
        <f t="shared" si="490"/>
        <v>0</v>
      </c>
      <c r="I887" s="338">
        <f t="shared" si="483"/>
        <v>46721906</v>
      </c>
      <c r="J887" s="329">
        <f t="shared" si="491"/>
        <v>0</v>
      </c>
      <c r="K887" s="338">
        <f t="shared" si="484"/>
        <v>12800000</v>
      </c>
      <c r="L887" s="329">
        <f t="shared" si="492"/>
        <v>0</v>
      </c>
      <c r="M887" s="338">
        <f t="shared" si="485"/>
        <v>24598534.760000002</v>
      </c>
      <c r="N887" s="329">
        <f t="shared" si="493"/>
        <v>0</v>
      </c>
      <c r="O887" s="338">
        <f t="shared" si="486"/>
        <v>13300000</v>
      </c>
      <c r="P887" s="329">
        <f t="shared" si="494"/>
        <v>0</v>
      </c>
      <c r="Q887" s="338">
        <f t="shared" si="487"/>
        <v>0</v>
      </c>
      <c r="R887" s="329">
        <f t="shared" si="495"/>
        <v>0</v>
      </c>
      <c r="S887" s="338">
        <f t="shared" si="488"/>
        <v>10000000</v>
      </c>
      <c r="T887" s="329">
        <f t="shared" si="496"/>
        <v>0</v>
      </c>
      <c r="U887" s="338">
        <f t="shared" si="498"/>
        <v>0</v>
      </c>
      <c r="V887" s="329">
        <f t="shared" si="497"/>
        <v>0</v>
      </c>
      <c r="W887" s="338">
        <f t="shared" si="489"/>
        <v>10400000</v>
      </c>
      <c r="X887" s="35"/>
    </row>
    <row r="888" spans="1:24" x14ac:dyDescent="0.25">
      <c r="A888" s="335">
        <f t="shared" si="473"/>
        <v>44599</v>
      </c>
      <c r="B888" s="49">
        <f t="shared" si="499"/>
        <v>0</v>
      </c>
      <c r="C888" s="338">
        <f t="shared" si="480"/>
        <v>113886095.14309606</v>
      </c>
      <c r="D888" s="329">
        <f t="shared" si="500"/>
        <v>0</v>
      </c>
      <c r="E888" s="338">
        <f t="shared" si="481"/>
        <v>11542022.55807774</v>
      </c>
      <c r="F888" s="329">
        <f t="shared" si="479"/>
        <v>0</v>
      </c>
      <c r="G888" s="338">
        <f t="shared" si="482"/>
        <v>76400000</v>
      </c>
      <c r="H888" s="329">
        <f t="shared" si="490"/>
        <v>0</v>
      </c>
      <c r="I888" s="338">
        <f t="shared" si="483"/>
        <v>46721906</v>
      </c>
      <c r="J888" s="329">
        <f t="shared" si="491"/>
        <v>0</v>
      </c>
      <c r="K888" s="338">
        <f t="shared" si="484"/>
        <v>12800000</v>
      </c>
      <c r="L888" s="329">
        <f t="shared" si="492"/>
        <v>0</v>
      </c>
      <c r="M888" s="338">
        <f t="shared" si="485"/>
        <v>24598534.760000002</v>
      </c>
      <c r="N888" s="329">
        <f t="shared" si="493"/>
        <v>0</v>
      </c>
      <c r="O888" s="338">
        <f t="shared" si="486"/>
        <v>13300000</v>
      </c>
      <c r="P888" s="329">
        <f t="shared" si="494"/>
        <v>0</v>
      </c>
      <c r="Q888" s="338">
        <f t="shared" si="487"/>
        <v>0</v>
      </c>
      <c r="R888" s="329">
        <f t="shared" si="495"/>
        <v>0</v>
      </c>
      <c r="S888" s="338">
        <f t="shared" si="488"/>
        <v>10000000</v>
      </c>
      <c r="T888" s="329">
        <f t="shared" si="496"/>
        <v>0</v>
      </c>
      <c r="U888" s="338">
        <f t="shared" si="498"/>
        <v>0</v>
      </c>
      <c r="V888" s="329">
        <f t="shared" si="497"/>
        <v>0</v>
      </c>
      <c r="W888" s="338">
        <f t="shared" si="489"/>
        <v>10400000</v>
      </c>
      <c r="X888" s="35"/>
    </row>
    <row r="889" spans="1:24" x14ac:dyDescent="0.25">
      <c r="A889" s="335">
        <f t="shared" si="473"/>
        <v>44600</v>
      </c>
      <c r="B889" s="49">
        <f t="shared" si="499"/>
        <v>0</v>
      </c>
      <c r="C889" s="338">
        <f t="shared" si="480"/>
        <v>113886095.14309606</v>
      </c>
      <c r="D889" s="329">
        <f t="shared" si="500"/>
        <v>0</v>
      </c>
      <c r="E889" s="338">
        <f t="shared" si="481"/>
        <v>11542022.55807774</v>
      </c>
      <c r="F889" s="329">
        <f t="shared" si="479"/>
        <v>0</v>
      </c>
      <c r="G889" s="338">
        <f t="shared" si="482"/>
        <v>76400000</v>
      </c>
      <c r="H889" s="329">
        <f t="shared" si="490"/>
        <v>0</v>
      </c>
      <c r="I889" s="338">
        <f t="shared" si="483"/>
        <v>46721906</v>
      </c>
      <c r="J889" s="329">
        <f t="shared" si="491"/>
        <v>0</v>
      </c>
      <c r="K889" s="338">
        <f t="shared" si="484"/>
        <v>12800000</v>
      </c>
      <c r="L889" s="329">
        <f t="shared" si="492"/>
        <v>0</v>
      </c>
      <c r="M889" s="338">
        <f t="shared" si="485"/>
        <v>24598534.760000002</v>
      </c>
      <c r="N889" s="329">
        <f t="shared" si="493"/>
        <v>0</v>
      </c>
      <c r="O889" s="338">
        <f t="shared" si="486"/>
        <v>13300000</v>
      </c>
      <c r="P889" s="329">
        <f t="shared" si="494"/>
        <v>0</v>
      </c>
      <c r="Q889" s="338">
        <f t="shared" si="487"/>
        <v>0</v>
      </c>
      <c r="R889" s="329">
        <f t="shared" si="495"/>
        <v>0</v>
      </c>
      <c r="S889" s="338">
        <f t="shared" si="488"/>
        <v>10000000</v>
      </c>
      <c r="T889" s="329">
        <f t="shared" si="496"/>
        <v>0</v>
      </c>
      <c r="U889" s="338">
        <f t="shared" si="498"/>
        <v>0</v>
      </c>
      <c r="V889" s="329">
        <f t="shared" si="497"/>
        <v>1250000</v>
      </c>
      <c r="W889" s="338">
        <f t="shared" si="489"/>
        <v>11650000</v>
      </c>
      <c r="X889" s="35"/>
    </row>
    <row r="890" spans="1:24" x14ac:dyDescent="0.25">
      <c r="A890" s="335">
        <f t="shared" si="473"/>
        <v>44601</v>
      </c>
      <c r="B890" s="49">
        <f t="shared" si="499"/>
        <v>0</v>
      </c>
      <c r="C890" s="338">
        <f t="shared" si="480"/>
        <v>113886095.14309606</v>
      </c>
      <c r="D890" s="329">
        <f t="shared" si="500"/>
        <v>0</v>
      </c>
      <c r="E890" s="338">
        <f t="shared" si="481"/>
        <v>11542022.55807774</v>
      </c>
      <c r="F890" s="329">
        <f t="shared" si="479"/>
        <v>0</v>
      </c>
      <c r="G890" s="338">
        <f t="shared" si="482"/>
        <v>76400000</v>
      </c>
      <c r="H890" s="329">
        <f t="shared" si="490"/>
        <v>0</v>
      </c>
      <c r="I890" s="338">
        <f t="shared" si="483"/>
        <v>46721906</v>
      </c>
      <c r="J890" s="329">
        <f t="shared" si="491"/>
        <v>0</v>
      </c>
      <c r="K890" s="338">
        <f t="shared" si="484"/>
        <v>12800000</v>
      </c>
      <c r="L890" s="329">
        <f t="shared" si="492"/>
        <v>0</v>
      </c>
      <c r="M890" s="338">
        <f t="shared" si="485"/>
        <v>24598534.760000002</v>
      </c>
      <c r="N890" s="329">
        <f t="shared" si="493"/>
        <v>0</v>
      </c>
      <c r="O890" s="338">
        <f t="shared" si="486"/>
        <v>13300000</v>
      </c>
      <c r="P890" s="329">
        <f t="shared" si="494"/>
        <v>0</v>
      </c>
      <c r="Q890" s="338">
        <f t="shared" si="487"/>
        <v>0</v>
      </c>
      <c r="R890" s="329">
        <f t="shared" si="495"/>
        <v>0</v>
      </c>
      <c r="S890" s="338">
        <f t="shared" si="488"/>
        <v>10000000</v>
      </c>
      <c r="T890" s="329">
        <f t="shared" si="496"/>
        <v>0</v>
      </c>
      <c r="U890" s="338">
        <f t="shared" si="498"/>
        <v>0</v>
      </c>
      <c r="V890" s="329">
        <f t="shared" si="497"/>
        <v>0</v>
      </c>
      <c r="W890" s="338">
        <f t="shared" si="489"/>
        <v>11650000</v>
      </c>
      <c r="X890" s="35"/>
    </row>
    <row r="891" spans="1:24" x14ac:dyDescent="0.25">
      <c r="A891" s="335">
        <f t="shared" si="473"/>
        <v>44602</v>
      </c>
      <c r="B891" s="49">
        <f t="shared" si="499"/>
        <v>0</v>
      </c>
      <c r="C891" s="338">
        <f t="shared" si="480"/>
        <v>113886095.14309606</v>
      </c>
      <c r="D891" s="329">
        <f t="shared" si="500"/>
        <v>0</v>
      </c>
      <c r="E891" s="338">
        <f t="shared" si="481"/>
        <v>11542022.55807774</v>
      </c>
      <c r="F891" s="329">
        <f t="shared" si="479"/>
        <v>0</v>
      </c>
      <c r="G891" s="338">
        <f t="shared" si="482"/>
        <v>76400000</v>
      </c>
      <c r="H891" s="329">
        <f t="shared" si="490"/>
        <v>0</v>
      </c>
      <c r="I891" s="338">
        <f t="shared" si="483"/>
        <v>46721906</v>
      </c>
      <c r="J891" s="329">
        <f t="shared" si="491"/>
        <v>0</v>
      </c>
      <c r="K891" s="338">
        <f t="shared" si="484"/>
        <v>12800000</v>
      </c>
      <c r="L891" s="329">
        <f t="shared" si="492"/>
        <v>0</v>
      </c>
      <c r="M891" s="338">
        <f t="shared" si="485"/>
        <v>24598534.760000002</v>
      </c>
      <c r="N891" s="329">
        <f t="shared" si="493"/>
        <v>0</v>
      </c>
      <c r="O891" s="338">
        <f t="shared" si="486"/>
        <v>13300000</v>
      </c>
      <c r="P891" s="329">
        <f t="shared" si="494"/>
        <v>0</v>
      </c>
      <c r="Q891" s="338">
        <f t="shared" si="487"/>
        <v>0</v>
      </c>
      <c r="R891" s="329">
        <f t="shared" si="495"/>
        <v>0</v>
      </c>
      <c r="S891" s="338">
        <f t="shared" si="488"/>
        <v>10000000</v>
      </c>
      <c r="T891" s="329">
        <f t="shared" si="496"/>
        <v>2000000</v>
      </c>
      <c r="U891" s="338">
        <f t="shared" si="498"/>
        <v>2000000</v>
      </c>
      <c r="V891" s="329">
        <f t="shared" si="497"/>
        <v>0</v>
      </c>
      <c r="W891" s="338">
        <f t="shared" si="489"/>
        <v>11650000</v>
      </c>
      <c r="X891" s="35"/>
    </row>
    <row r="892" spans="1:24" x14ac:dyDescent="0.25">
      <c r="A892" s="335">
        <f t="shared" si="473"/>
        <v>44603</v>
      </c>
      <c r="B892" s="49">
        <f t="shared" si="499"/>
        <v>0</v>
      </c>
      <c r="C892" s="338">
        <f t="shared" si="480"/>
        <v>113886095.14309606</v>
      </c>
      <c r="D892" s="329">
        <f t="shared" si="500"/>
        <v>0</v>
      </c>
      <c r="E892" s="338">
        <f t="shared" si="481"/>
        <v>11542022.55807774</v>
      </c>
      <c r="F892" s="329">
        <f t="shared" si="479"/>
        <v>0</v>
      </c>
      <c r="G892" s="338">
        <f t="shared" si="482"/>
        <v>76400000</v>
      </c>
      <c r="H892" s="329">
        <f t="shared" si="490"/>
        <v>0</v>
      </c>
      <c r="I892" s="338">
        <f t="shared" si="483"/>
        <v>46721906</v>
      </c>
      <c r="J892" s="329">
        <f t="shared" si="491"/>
        <v>0</v>
      </c>
      <c r="K892" s="338">
        <f t="shared" si="484"/>
        <v>12800000</v>
      </c>
      <c r="L892" s="329">
        <f t="shared" si="492"/>
        <v>0</v>
      </c>
      <c r="M892" s="338">
        <f t="shared" si="485"/>
        <v>24598534.760000002</v>
      </c>
      <c r="N892" s="329">
        <f t="shared" si="493"/>
        <v>0</v>
      </c>
      <c r="O892" s="338">
        <f t="shared" si="486"/>
        <v>13300000</v>
      </c>
      <c r="P892" s="329">
        <f t="shared" si="494"/>
        <v>0</v>
      </c>
      <c r="Q892" s="338">
        <f t="shared" si="487"/>
        <v>0</v>
      </c>
      <c r="R892" s="329">
        <f t="shared" si="495"/>
        <v>0</v>
      </c>
      <c r="S892" s="338">
        <f t="shared" si="488"/>
        <v>10000000</v>
      </c>
      <c r="T892" s="329">
        <f t="shared" si="496"/>
        <v>0</v>
      </c>
      <c r="U892" s="338">
        <f t="shared" si="498"/>
        <v>2000000</v>
      </c>
      <c r="V892" s="329">
        <f t="shared" si="497"/>
        <v>0</v>
      </c>
      <c r="W892" s="338">
        <f t="shared" si="489"/>
        <v>11650000</v>
      </c>
      <c r="X892" s="35"/>
    </row>
    <row r="893" spans="1:24" x14ac:dyDescent="0.25">
      <c r="A893" s="335">
        <f t="shared" si="473"/>
        <v>44604</v>
      </c>
      <c r="B893" s="49">
        <f t="shared" si="499"/>
        <v>0</v>
      </c>
      <c r="C893" s="338">
        <f t="shared" si="480"/>
        <v>113886095.14309606</v>
      </c>
      <c r="D893" s="329">
        <f t="shared" si="500"/>
        <v>0</v>
      </c>
      <c r="E893" s="338">
        <f t="shared" si="481"/>
        <v>11542022.55807774</v>
      </c>
      <c r="F893" s="329">
        <f t="shared" si="479"/>
        <v>0</v>
      </c>
      <c r="G893" s="338">
        <f t="shared" si="482"/>
        <v>76400000</v>
      </c>
      <c r="H893" s="329">
        <f t="shared" si="490"/>
        <v>0</v>
      </c>
      <c r="I893" s="338">
        <f t="shared" si="483"/>
        <v>46721906</v>
      </c>
      <c r="J893" s="329">
        <f t="shared" si="491"/>
        <v>0</v>
      </c>
      <c r="K893" s="338">
        <f t="shared" si="484"/>
        <v>12800000</v>
      </c>
      <c r="L893" s="329">
        <f t="shared" si="492"/>
        <v>0</v>
      </c>
      <c r="M893" s="338">
        <f t="shared" si="485"/>
        <v>24598534.760000002</v>
      </c>
      <c r="N893" s="329">
        <f t="shared" si="493"/>
        <v>0</v>
      </c>
      <c r="O893" s="338">
        <f t="shared" si="486"/>
        <v>13300000</v>
      </c>
      <c r="P893" s="329">
        <f t="shared" si="494"/>
        <v>0</v>
      </c>
      <c r="Q893" s="338">
        <f t="shared" si="487"/>
        <v>0</v>
      </c>
      <c r="R893" s="329">
        <f t="shared" si="495"/>
        <v>0</v>
      </c>
      <c r="S893" s="338">
        <f t="shared" si="488"/>
        <v>10000000</v>
      </c>
      <c r="T893" s="329">
        <f t="shared" si="496"/>
        <v>0</v>
      </c>
      <c r="U893" s="338">
        <f t="shared" si="498"/>
        <v>2000000</v>
      </c>
      <c r="V893" s="329">
        <f t="shared" si="497"/>
        <v>0</v>
      </c>
      <c r="W893" s="338">
        <f t="shared" si="489"/>
        <v>11650000</v>
      </c>
      <c r="X893" s="35"/>
    </row>
    <row r="894" spans="1:24" x14ac:dyDescent="0.25">
      <c r="A894" s="335">
        <f t="shared" si="473"/>
        <v>44605</v>
      </c>
      <c r="B894" s="49">
        <f t="shared" si="499"/>
        <v>0</v>
      </c>
      <c r="C894" s="338">
        <f t="shared" si="480"/>
        <v>113886095.14309606</v>
      </c>
      <c r="D894" s="329">
        <f t="shared" si="500"/>
        <v>0</v>
      </c>
      <c r="E894" s="338">
        <f t="shared" si="481"/>
        <v>11542022.55807774</v>
      </c>
      <c r="F894" s="329">
        <f t="shared" si="479"/>
        <v>0</v>
      </c>
      <c r="G894" s="338">
        <f t="shared" si="482"/>
        <v>76400000</v>
      </c>
      <c r="H894" s="329">
        <f t="shared" si="490"/>
        <v>0</v>
      </c>
      <c r="I894" s="338">
        <f t="shared" si="483"/>
        <v>46721906</v>
      </c>
      <c r="J894" s="329">
        <f t="shared" si="491"/>
        <v>0</v>
      </c>
      <c r="K894" s="338">
        <f t="shared" si="484"/>
        <v>12800000</v>
      </c>
      <c r="L894" s="329">
        <f t="shared" si="492"/>
        <v>0</v>
      </c>
      <c r="M894" s="338">
        <f t="shared" si="485"/>
        <v>24598534.760000002</v>
      </c>
      <c r="N894" s="329">
        <f t="shared" si="493"/>
        <v>0</v>
      </c>
      <c r="O894" s="338">
        <f t="shared" si="486"/>
        <v>13300000</v>
      </c>
      <c r="P894" s="329">
        <f t="shared" si="494"/>
        <v>0</v>
      </c>
      <c r="Q894" s="338">
        <f t="shared" si="487"/>
        <v>0</v>
      </c>
      <c r="R894" s="329">
        <f t="shared" si="495"/>
        <v>0</v>
      </c>
      <c r="S894" s="338">
        <f t="shared" si="488"/>
        <v>10000000</v>
      </c>
      <c r="T894" s="329">
        <f t="shared" si="496"/>
        <v>0</v>
      </c>
      <c r="U894" s="338">
        <f t="shared" si="498"/>
        <v>2000000</v>
      </c>
      <c r="V894" s="329">
        <f t="shared" si="497"/>
        <v>0</v>
      </c>
      <c r="W894" s="338">
        <f t="shared" si="489"/>
        <v>11650000</v>
      </c>
      <c r="X894" s="35"/>
    </row>
    <row r="895" spans="1:24" x14ac:dyDescent="0.25">
      <c r="A895" s="335">
        <f t="shared" si="473"/>
        <v>44606</v>
      </c>
      <c r="B895" s="49">
        <f t="shared" si="499"/>
        <v>0</v>
      </c>
      <c r="C895" s="338">
        <f t="shared" si="480"/>
        <v>113886095.14309606</v>
      </c>
      <c r="D895" s="329">
        <f t="shared" si="500"/>
        <v>0</v>
      </c>
      <c r="E895" s="338">
        <f t="shared" si="481"/>
        <v>11542022.55807774</v>
      </c>
      <c r="F895" s="329">
        <f t="shared" si="479"/>
        <v>0</v>
      </c>
      <c r="G895" s="338">
        <f t="shared" si="482"/>
        <v>76400000</v>
      </c>
      <c r="H895" s="329">
        <f t="shared" si="490"/>
        <v>0</v>
      </c>
      <c r="I895" s="338">
        <f t="shared" si="483"/>
        <v>46721906</v>
      </c>
      <c r="J895" s="329">
        <f t="shared" si="491"/>
        <v>0</v>
      </c>
      <c r="K895" s="338">
        <f t="shared" si="484"/>
        <v>12800000</v>
      </c>
      <c r="L895" s="329">
        <f t="shared" si="492"/>
        <v>0</v>
      </c>
      <c r="M895" s="338">
        <f t="shared" si="485"/>
        <v>24598534.760000002</v>
      </c>
      <c r="N895" s="329">
        <f t="shared" si="493"/>
        <v>0</v>
      </c>
      <c r="O895" s="338">
        <f t="shared" si="486"/>
        <v>13300000</v>
      </c>
      <c r="P895" s="329">
        <f t="shared" si="494"/>
        <v>0</v>
      </c>
      <c r="Q895" s="338">
        <f t="shared" si="487"/>
        <v>0</v>
      </c>
      <c r="R895" s="329">
        <f t="shared" si="495"/>
        <v>0</v>
      </c>
      <c r="S895" s="338">
        <f t="shared" si="488"/>
        <v>10000000</v>
      </c>
      <c r="T895" s="329">
        <f t="shared" si="496"/>
        <v>0</v>
      </c>
      <c r="U895" s="338">
        <f t="shared" si="498"/>
        <v>2000000</v>
      </c>
      <c r="V895" s="329">
        <f t="shared" si="497"/>
        <v>0</v>
      </c>
      <c r="W895" s="338">
        <f t="shared" si="489"/>
        <v>11650000</v>
      </c>
      <c r="X895" s="35"/>
    </row>
    <row r="896" spans="1:24" x14ac:dyDescent="0.25">
      <c r="A896" s="335">
        <f t="shared" ref="A896:A959" si="501">A895+1</f>
        <v>44607</v>
      </c>
      <c r="B896" s="49">
        <f t="shared" si="499"/>
        <v>0</v>
      </c>
      <c r="C896" s="338">
        <f t="shared" si="480"/>
        <v>113886095.14309606</v>
      </c>
      <c r="D896" s="329">
        <f t="shared" si="500"/>
        <v>0</v>
      </c>
      <c r="E896" s="338">
        <f t="shared" si="481"/>
        <v>11542022.55807774</v>
      </c>
      <c r="F896" s="329">
        <f t="shared" si="479"/>
        <v>0</v>
      </c>
      <c r="G896" s="338">
        <f t="shared" si="482"/>
        <v>76400000</v>
      </c>
      <c r="H896" s="329">
        <f t="shared" si="490"/>
        <v>0</v>
      </c>
      <c r="I896" s="338">
        <f t="shared" si="483"/>
        <v>46721906</v>
      </c>
      <c r="J896" s="329">
        <f t="shared" si="491"/>
        <v>0</v>
      </c>
      <c r="K896" s="338">
        <f t="shared" si="484"/>
        <v>12800000</v>
      </c>
      <c r="L896" s="329">
        <f t="shared" si="492"/>
        <v>0</v>
      </c>
      <c r="M896" s="338">
        <f t="shared" si="485"/>
        <v>24598534.760000002</v>
      </c>
      <c r="N896" s="329">
        <f t="shared" si="493"/>
        <v>0</v>
      </c>
      <c r="O896" s="338">
        <f t="shared" si="486"/>
        <v>13300000</v>
      </c>
      <c r="P896" s="329">
        <f t="shared" si="494"/>
        <v>0</v>
      </c>
      <c r="Q896" s="338">
        <f t="shared" si="487"/>
        <v>0</v>
      </c>
      <c r="R896" s="329">
        <f t="shared" si="495"/>
        <v>0</v>
      </c>
      <c r="S896" s="338">
        <f t="shared" si="488"/>
        <v>10000000</v>
      </c>
      <c r="T896" s="329">
        <f t="shared" si="496"/>
        <v>0</v>
      </c>
      <c r="U896" s="338">
        <f t="shared" si="498"/>
        <v>2000000</v>
      </c>
      <c r="V896" s="329">
        <f t="shared" si="497"/>
        <v>0</v>
      </c>
      <c r="W896" s="338">
        <f t="shared" si="489"/>
        <v>11650000</v>
      </c>
      <c r="X896" s="35"/>
    </row>
    <row r="897" spans="1:24" x14ac:dyDescent="0.25">
      <c r="A897" s="335">
        <f t="shared" si="501"/>
        <v>44608</v>
      </c>
      <c r="B897" s="49">
        <f t="shared" si="499"/>
        <v>0</v>
      </c>
      <c r="C897" s="338">
        <f t="shared" si="480"/>
        <v>113886095.14309606</v>
      </c>
      <c r="D897" s="329">
        <f t="shared" si="500"/>
        <v>0</v>
      </c>
      <c r="E897" s="338">
        <f t="shared" si="481"/>
        <v>11542022.55807774</v>
      </c>
      <c r="F897" s="329">
        <f t="shared" si="479"/>
        <v>0</v>
      </c>
      <c r="G897" s="338">
        <f t="shared" si="482"/>
        <v>76400000</v>
      </c>
      <c r="H897" s="329">
        <f t="shared" si="490"/>
        <v>0</v>
      </c>
      <c r="I897" s="338">
        <f t="shared" si="483"/>
        <v>46721906</v>
      </c>
      <c r="J897" s="329">
        <f t="shared" si="491"/>
        <v>0</v>
      </c>
      <c r="K897" s="338">
        <f t="shared" si="484"/>
        <v>12800000</v>
      </c>
      <c r="L897" s="329">
        <f t="shared" si="492"/>
        <v>0</v>
      </c>
      <c r="M897" s="338">
        <f t="shared" si="485"/>
        <v>24598534.760000002</v>
      </c>
      <c r="N897" s="329">
        <f t="shared" si="493"/>
        <v>0</v>
      </c>
      <c r="O897" s="338">
        <f t="shared" si="486"/>
        <v>13300000</v>
      </c>
      <c r="P897" s="329">
        <f t="shared" si="494"/>
        <v>0</v>
      </c>
      <c r="Q897" s="338">
        <f t="shared" si="487"/>
        <v>0</v>
      </c>
      <c r="R897" s="329">
        <f t="shared" si="495"/>
        <v>0</v>
      </c>
      <c r="S897" s="338">
        <f t="shared" si="488"/>
        <v>10000000</v>
      </c>
      <c r="T897" s="329">
        <f t="shared" si="496"/>
        <v>0</v>
      </c>
      <c r="U897" s="338">
        <f t="shared" si="498"/>
        <v>2000000</v>
      </c>
      <c r="V897" s="329">
        <f t="shared" si="497"/>
        <v>0</v>
      </c>
      <c r="W897" s="338">
        <f t="shared" si="489"/>
        <v>11650000</v>
      </c>
      <c r="X897" s="35"/>
    </row>
    <row r="898" spans="1:24" x14ac:dyDescent="0.25">
      <c r="A898" s="335">
        <f t="shared" si="501"/>
        <v>44609</v>
      </c>
      <c r="B898" s="49">
        <f t="shared" si="499"/>
        <v>0</v>
      </c>
      <c r="C898" s="338">
        <f t="shared" si="480"/>
        <v>113886095.14309606</v>
      </c>
      <c r="D898" s="329">
        <f t="shared" si="500"/>
        <v>0</v>
      </c>
      <c r="E898" s="338">
        <f t="shared" si="481"/>
        <v>11542022.55807774</v>
      </c>
      <c r="F898" s="329">
        <f t="shared" si="479"/>
        <v>0</v>
      </c>
      <c r="G898" s="338">
        <f t="shared" si="482"/>
        <v>76400000</v>
      </c>
      <c r="H898" s="329">
        <f t="shared" si="490"/>
        <v>0</v>
      </c>
      <c r="I898" s="338">
        <f t="shared" si="483"/>
        <v>46721906</v>
      </c>
      <c r="J898" s="329">
        <f t="shared" si="491"/>
        <v>0</v>
      </c>
      <c r="K898" s="338">
        <f t="shared" si="484"/>
        <v>12800000</v>
      </c>
      <c r="L898" s="329">
        <f t="shared" si="492"/>
        <v>0</v>
      </c>
      <c r="M898" s="338">
        <f t="shared" si="485"/>
        <v>24598534.760000002</v>
      </c>
      <c r="N898" s="329">
        <f t="shared" si="493"/>
        <v>0</v>
      </c>
      <c r="O898" s="338">
        <f t="shared" si="486"/>
        <v>13300000</v>
      </c>
      <c r="P898" s="329">
        <f t="shared" si="494"/>
        <v>0</v>
      </c>
      <c r="Q898" s="338">
        <f t="shared" si="487"/>
        <v>0</v>
      </c>
      <c r="R898" s="329">
        <f t="shared" si="495"/>
        <v>0</v>
      </c>
      <c r="S898" s="338">
        <f t="shared" si="488"/>
        <v>10000000</v>
      </c>
      <c r="T898" s="329">
        <f t="shared" si="496"/>
        <v>0</v>
      </c>
      <c r="U898" s="338">
        <f t="shared" si="498"/>
        <v>2000000</v>
      </c>
      <c r="V898" s="329">
        <f t="shared" si="497"/>
        <v>0</v>
      </c>
      <c r="W898" s="338">
        <f t="shared" si="489"/>
        <v>11650000</v>
      </c>
      <c r="X898" s="35"/>
    </row>
    <row r="899" spans="1:24" x14ac:dyDescent="0.25">
      <c r="A899" s="335">
        <f t="shared" si="501"/>
        <v>44610</v>
      </c>
      <c r="B899" s="49">
        <f t="shared" si="499"/>
        <v>0</v>
      </c>
      <c r="C899" s="338">
        <f t="shared" si="480"/>
        <v>113886095.14309606</v>
      </c>
      <c r="D899" s="329">
        <f t="shared" si="500"/>
        <v>0</v>
      </c>
      <c r="E899" s="338">
        <f t="shared" si="481"/>
        <v>11542022.55807774</v>
      </c>
      <c r="F899" s="329">
        <f t="shared" ref="F899:F962" si="502">SUMIFS(Usage_Main,CF_Dates,$A899,CF_Descriptions,"EASTCYPRESS1 Change")</f>
        <v>0</v>
      </c>
      <c r="G899" s="338">
        <f t="shared" si="482"/>
        <v>76400000</v>
      </c>
      <c r="H899" s="329">
        <f t="shared" si="490"/>
        <v>0</v>
      </c>
      <c r="I899" s="338">
        <f t="shared" si="483"/>
        <v>46721906</v>
      </c>
      <c r="J899" s="329">
        <f t="shared" si="491"/>
        <v>0</v>
      </c>
      <c r="K899" s="338">
        <f t="shared" si="484"/>
        <v>12800000</v>
      </c>
      <c r="L899" s="329">
        <f t="shared" si="492"/>
        <v>0</v>
      </c>
      <c r="M899" s="338">
        <f t="shared" si="485"/>
        <v>24598534.760000002</v>
      </c>
      <c r="N899" s="329">
        <f t="shared" si="493"/>
        <v>0</v>
      </c>
      <c r="O899" s="338">
        <f t="shared" si="486"/>
        <v>13300000</v>
      </c>
      <c r="P899" s="329">
        <f t="shared" si="494"/>
        <v>0</v>
      </c>
      <c r="Q899" s="338">
        <f t="shared" si="487"/>
        <v>0</v>
      </c>
      <c r="R899" s="329">
        <f t="shared" si="495"/>
        <v>0</v>
      </c>
      <c r="S899" s="338">
        <f t="shared" si="488"/>
        <v>10000000</v>
      </c>
      <c r="T899" s="329">
        <f t="shared" si="496"/>
        <v>0</v>
      </c>
      <c r="U899" s="338">
        <f t="shared" si="498"/>
        <v>2000000</v>
      </c>
      <c r="V899" s="329">
        <f t="shared" si="497"/>
        <v>0</v>
      </c>
      <c r="W899" s="338">
        <f t="shared" si="489"/>
        <v>11650000</v>
      </c>
      <c r="X899" s="35"/>
    </row>
    <row r="900" spans="1:24" x14ac:dyDescent="0.25">
      <c r="A900" s="335">
        <f t="shared" si="501"/>
        <v>44611</v>
      </c>
      <c r="B900" s="49">
        <f t="shared" si="499"/>
        <v>0</v>
      </c>
      <c r="C900" s="338">
        <f t="shared" si="480"/>
        <v>113886095.14309606</v>
      </c>
      <c r="D900" s="329">
        <f t="shared" si="500"/>
        <v>0</v>
      </c>
      <c r="E900" s="338">
        <f t="shared" si="481"/>
        <v>11542022.55807774</v>
      </c>
      <c r="F900" s="329">
        <f t="shared" si="502"/>
        <v>0</v>
      </c>
      <c r="G900" s="338">
        <f t="shared" si="482"/>
        <v>76400000</v>
      </c>
      <c r="H900" s="329">
        <f t="shared" si="490"/>
        <v>0</v>
      </c>
      <c r="I900" s="338">
        <f t="shared" si="483"/>
        <v>46721906</v>
      </c>
      <c r="J900" s="329">
        <f t="shared" si="491"/>
        <v>0</v>
      </c>
      <c r="K900" s="338">
        <f t="shared" si="484"/>
        <v>12800000</v>
      </c>
      <c r="L900" s="329">
        <f t="shared" si="492"/>
        <v>0</v>
      </c>
      <c r="M900" s="338">
        <f t="shared" si="485"/>
        <v>24598534.760000002</v>
      </c>
      <c r="N900" s="329">
        <f t="shared" si="493"/>
        <v>0</v>
      </c>
      <c r="O900" s="338">
        <f t="shared" si="486"/>
        <v>13300000</v>
      </c>
      <c r="P900" s="329">
        <f t="shared" si="494"/>
        <v>0</v>
      </c>
      <c r="Q900" s="338">
        <f t="shared" si="487"/>
        <v>0</v>
      </c>
      <c r="R900" s="329">
        <f t="shared" si="495"/>
        <v>0</v>
      </c>
      <c r="S900" s="338">
        <f t="shared" si="488"/>
        <v>10000000</v>
      </c>
      <c r="T900" s="329">
        <f t="shared" si="496"/>
        <v>0</v>
      </c>
      <c r="U900" s="338">
        <f t="shared" si="498"/>
        <v>2000000</v>
      </c>
      <c r="V900" s="329">
        <f t="shared" si="497"/>
        <v>0</v>
      </c>
      <c r="W900" s="338">
        <f t="shared" si="489"/>
        <v>11650000</v>
      </c>
      <c r="X900" s="35"/>
    </row>
    <row r="901" spans="1:24" x14ac:dyDescent="0.25">
      <c r="A901" s="335">
        <f t="shared" si="501"/>
        <v>44612</v>
      </c>
      <c r="B901" s="49">
        <f t="shared" si="499"/>
        <v>0</v>
      </c>
      <c r="C901" s="338">
        <f t="shared" si="480"/>
        <v>113886095.14309606</v>
      </c>
      <c r="D901" s="329">
        <f t="shared" si="500"/>
        <v>0</v>
      </c>
      <c r="E901" s="338">
        <f t="shared" si="481"/>
        <v>11542022.55807774</v>
      </c>
      <c r="F901" s="329">
        <f t="shared" si="502"/>
        <v>0</v>
      </c>
      <c r="G901" s="338">
        <f t="shared" si="482"/>
        <v>76400000</v>
      </c>
      <c r="H901" s="329">
        <f t="shared" si="490"/>
        <v>0</v>
      </c>
      <c r="I901" s="338">
        <f t="shared" si="483"/>
        <v>46721906</v>
      </c>
      <c r="J901" s="329">
        <f t="shared" si="491"/>
        <v>0</v>
      </c>
      <c r="K901" s="338">
        <f t="shared" si="484"/>
        <v>12800000</v>
      </c>
      <c r="L901" s="329">
        <f t="shared" si="492"/>
        <v>0</v>
      </c>
      <c r="M901" s="338">
        <f t="shared" si="485"/>
        <v>24598534.760000002</v>
      </c>
      <c r="N901" s="329">
        <f t="shared" si="493"/>
        <v>0</v>
      </c>
      <c r="O901" s="338">
        <f t="shared" si="486"/>
        <v>13300000</v>
      </c>
      <c r="P901" s="329">
        <f t="shared" si="494"/>
        <v>0</v>
      </c>
      <c r="Q901" s="338">
        <f t="shared" si="487"/>
        <v>0</v>
      </c>
      <c r="R901" s="329">
        <f t="shared" si="495"/>
        <v>0</v>
      </c>
      <c r="S901" s="338">
        <f t="shared" si="488"/>
        <v>10000000</v>
      </c>
      <c r="T901" s="329">
        <f t="shared" si="496"/>
        <v>0</v>
      </c>
      <c r="U901" s="338">
        <f t="shared" si="498"/>
        <v>2000000</v>
      </c>
      <c r="V901" s="329">
        <f t="shared" si="497"/>
        <v>0</v>
      </c>
      <c r="W901" s="338">
        <f t="shared" si="489"/>
        <v>11650000</v>
      </c>
      <c r="X901" s="35"/>
    </row>
    <row r="902" spans="1:24" x14ac:dyDescent="0.25">
      <c r="A902" s="335">
        <f t="shared" si="501"/>
        <v>44613</v>
      </c>
      <c r="B902" s="49">
        <f t="shared" si="499"/>
        <v>0</v>
      </c>
      <c r="C902" s="338">
        <f t="shared" si="480"/>
        <v>113886095.14309606</v>
      </c>
      <c r="D902" s="329">
        <f t="shared" si="500"/>
        <v>0</v>
      </c>
      <c r="E902" s="338">
        <f t="shared" si="481"/>
        <v>11542022.55807774</v>
      </c>
      <c r="F902" s="329">
        <f t="shared" si="502"/>
        <v>0</v>
      </c>
      <c r="G902" s="338">
        <f t="shared" si="482"/>
        <v>76400000</v>
      </c>
      <c r="H902" s="329">
        <f t="shared" si="490"/>
        <v>0</v>
      </c>
      <c r="I902" s="338">
        <f t="shared" si="483"/>
        <v>46721906</v>
      </c>
      <c r="J902" s="329">
        <f t="shared" si="491"/>
        <v>0</v>
      </c>
      <c r="K902" s="338">
        <f t="shared" si="484"/>
        <v>12800000</v>
      </c>
      <c r="L902" s="329">
        <f t="shared" si="492"/>
        <v>0</v>
      </c>
      <c r="M902" s="338">
        <f t="shared" si="485"/>
        <v>24598534.760000002</v>
      </c>
      <c r="N902" s="329">
        <f t="shared" si="493"/>
        <v>0</v>
      </c>
      <c r="O902" s="338">
        <f t="shared" si="486"/>
        <v>13300000</v>
      </c>
      <c r="P902" s="329">
        <f t="shared" si="494"/>
        <v>0</v>
      </c>
      <c r="Q902" s="338">
        <f t="shared" si="487"/>
        <v>0</v>
      </c>
      <c r="R902" s="329">
        <f t="shared" si="495"/>
        <v>0</v>
      </c>
      <c r="S902" s="338">
        <f t="shared" si="488"/>
        <v>10000000</v>
      </c>
      <c r="T902" s="329">
        <f t="shared" si="496"/>
        <v>0</v>
      </c>
      <c r="U902" s="338">
        <f t="shared" si="498"/>
        <v>2000000</v>
      </c>
      <c r="V902" s="329">
        <f t="shared" si="497"/>
        <v>0</v>
      </c>
      <c r="W902" s="338">
        <f t="shared" si="489"/>
        <v>11650000</v>
      </c>
      <c r="X902" s="35"/>
    </row>
    <row r="903" spans="1:24" x14ac:dyDescent="0.25">
      <c r="A903" s="335">
        <f t="shared" si="501"/>
        <v>44614</v>
      </c>
      <c r="B903" s="49">
        <f t="shared" si="499"/>
        <v>0</v>
      </c>
      <c r="C903" s="338">
        <f t="shared" si="480"/>
        <v>113886095.14309606</v>
      </c>
      <c r="D903" s="329">
        <f t="shared" si="500"/>
        <v>0</v>
      </c>
      <c r="E903" s="338">
        <f t="shared" si="481"/>
        <v>11542022.55807774</v>
      </c>
      <c r="F903" s="329">
        <f t="shared" si="502"/>
        <v>0</v>
      </c>
      <c r="G903" s="338">
        <f t="shared" si="482"/>
        <v>76400000</v>
      </c>
      <c r="H903" s="329">
        <f t="shared" si="490"/>
        <v>0</v>
      </c>
      <c r="I903" s="338">
        <f t="shared" si="483"/>
        <v>46721906</v>
      </c>
      <c r="J903" s="329">
        <f t="shared" si="491"/>
        <v>0</v>
      </c>
      <c r="K903" s="338">
        <f t="shared" si="484"/>
        <v>12800000</v>
      </c>
      <c r="L903" s="329">
        <f t="shared" si="492"/>
        <v>0</v>
      </c>
      <c r="M903" s="338">
        <f t="shared" si="485"/>
        <v>24598534.760000002</v>
      </c>
      <c r="N903" s="329">
        <f t="shared" si="493"/>
        <v>0</v>
      </c>
      <c r="O903" s="338">
        <f t="shared" si="486"/>
        <v>13300000</v>
      </c>
      <c r="P903" s="329">
        <f t="shared" si="494"/>
        <v>0</v>
      </c>
      <c r="Q903" s="338">
        <f t="shared" si="487"/>
        <v>0</v>
      </c>
      <c r="R903" s="329">
        <f t="shared" si="495"/>
        <v>0</v>
      </c>
      <c r="S903" s="338">
        <f t="shared" si="488"/>
        <v>10000000</v>
      </c>
      <c r="T903" s="329">
        <f t="shared" si="496"/>
        <v>0</v>
      </c>
      <c r="U903" s="338">
        <f t="shared" si="498"/>
        <v>2000000</v>
      </c>
      <c r="V903" s="329">
        <f t="shared" si="497"/>
        <v>0</v>
      </c>
      <c r="W903" s="338">
        <f t="shared" si="489"/>
        <v>11650000</v>
      </c>
      <c r="X903" s="35"/>
    </row>
    <row r="904" spans="1:24" x14ac:dyDescent="0.25">
      <c r="A904" s="335">
        <f t="shared" si="501"/>
        <v>44615</v>
      </c>
      <c r="B904" s="49">
        <f t="shared" si="499"/>
        <v>0</v>
      </c>
      <c r="C904" s="338">
        <f t="shared" si="480"/>
        <v>113886095.14309606</v>
      </c>
      <c r="D904" s="329">
        <f t="shared" si="500"/>
        <v>0</v>
      </c>
      <c r="E904" s="338">
        <f t="shared" si="481"/>
        <v>11542022.55807774</v>
      </c>
      <c r="F904" s="329">
        <f t="shared" si="502"/>
        <v>0</v>
      </c>
      <c r="G904" s="338">
        <f t="shared" si="482"/>
        <v>76400000</v>
      </c>
      <c r="H904" s="329">
        <f t="shared" si="490"/>
        <v>0</v>
      </c>
      <c r="I904" s="338">
        <f t="shared" si="483"/>
        <v>46721906</v>
      </c>
      <c r="J904" s="329">
        <f t="shared" si="491"/>
        <v>0</v>
      </c>
      <c r="K904" s="338">
        <f t="shared" si="484"/>
        <v>12800000</v>
      </c>
      <c r="L904" s="329">
        <f t="shared" si="492"/>
        <v>0</v>
      </c>
      <c r="M904" s="338">
        <f t="shared" si="485"/>
        <v>24598534.760000002</v>
      </c>
      <c r="N904" s="329">
        <f t="shared" si="493"/>
        <v>0</v>
      </c>
      <c r="O904" s="338">
        <f t="shared" si="486"/>
        <v>13300000</v>
      </c>
      <c r="P904" s="329">
        <f t="shared" si="494"/>
        <v>0</v>
      </c>
      <c r="Q904" s="338">
        <f t="shared" si="487"/>
        <v>0</v>
      </c>
      <c r="R904" s="329">
        <f t="shared" si="495"/>
        <v>0</v>
      </c>
      <c r="S904" s="338">
        <f t="shared" si="488"/>
        <v>10000000</v>
      </c>
      <c r="T904" s="329">
        <f t="shared" si="496"/>
        <v>0</v>
      </c>
      <c r="U904" s="338">
        <f t="shared" si="498"/>
        <v>2000000</v>
      </c>
      <c r="V904" s="329">
        <f t="shared" si="497"/>
        <v>0</v>
      </c>
      <c r="W904" s="338">
        <f t="shared" si="489"/>
        <v>11650000</v>
      </c>
      <c r="X904" s="35"/>
    </row>
    <row r="905" spans="1:24" x14ac:dyDescent="0.25">
      <c r="A905" s="335">
        <f t="shared" si="501"/>
        <v>44616</v>
      </c>
      <c r="B905" s="49">
        <f t="shared" si="499"/>
        <v>0</v>
      </c>
      <c r="C905" s="338">
        <f t="shared" si="480"/>
        <v>113886095.14309606</v>
      </c>
      <c r="D905" s="329">
        <f t="shared" si="500"/>
        <v>0</v>
      </c>
      <c r="E905" s="338">
        <f t="shared" si="481"/>
        <v>11542022.55807774</v>
      </c>
      <c r="F905" s="329">
        <f t="shared" si="502"/>
        <v>0</v>
      </c>
      <c r="G905" s="338">
        <f t="shared" si="482"/>
        <v>76400000</v>
      </c>
      <c r="H905" s="329">
        <f t="shared" si="490"/>
        <v>0</v>
      </c>
      <c r="I905" s="338">
        <f t="shared" si="483"/>
        <v>46721906</v>
      </c>
      <c r="J905" s="329">
        <f t="shared" si="491"/>
        <v>0</v>
      </c>
      <c r="K905" s="338">
        <f t="shared" si="484"/>
        <v>12800000</v>
      </c>
      <c r="L905" s="329">
        <f t="shared" si="492"/>
        <v>0</v>
      </c>
      <c r="M905" s="338">
        <f t="shared" si="485"/>
        <v>24598534.760000002</v>
      </c>
      <c r="N905" s="329">
        <f t="shared" si="493"/>
        <v>0</v>
      </c>
      <c r="O905" s="338">
        <f t="shared" si="486"/>
        <v>13300000</v>
      </c>
      <c r="P905" s="329">
        <f t="shared" si="494"/>
        <v>0</v>
      </c>
      <c r="Q905" s="338">
        <f t="shared" si="487"/>
        <v>0</v>
      </c>
      <c r="R905" s="329">
        <f t="shared" si="495"/>
        <v>0</v>
      </c>
      <c r="S905" s="338">
        <f t="shared" si="488"/>
        <v>10000000</v>
      </c>
      <c r="T905" s="329">
        <f t="shared" si="496"/>
        <v>0</v>
      </c>
      <c r="U905" s="338">
        <f t="shared" si="498"/>
        <v>2000000</v>
      </c>
      <c r="V905" s="329">
        <f t="shared" si="497"/>
        <v>0</v>
      </c>
      <c r="W905" s="338">
        <f t="shared" si="489"/>
        <v>11650000</v>
      </c>
      <c r="X905" s="35"/>
    </row>
    <row r="906" spans="1:24" x14ac:dyDescent="0.25">
      <c r="A906" s="335">
        <f t="shared" si="501"/>
        <v>44617</v>
      </c>
      <c r="B906" s="49">
        <f t="shared" si="499"/>
        <v>0</v>
      </c>
      <c r="C906" s="338">
        <f t="shared" si="480"/>
        <v>113886095.14309606</v>
      </c>
      <c r="D906" s="329">
        <f t="shared" si="500"/>
        <v>0</v>
      </c>
      <c r="E906" s="338">
        <f t="shared" si="481"/>
        <v>11542022.55807774</v>
      </c>
      <c r="F906" s="329">
        <f t="shared" si="502"/>
        <v>0</v>
      </c>
      <c r="G906" s="338">
        <f t="shared" si="482"/>
        <v>76400000</v>
      </c>
      <c r="H906" s="329">
        <f t="shared" si="490"/>
        <v>0</v>
      </c>
      <c r="I906" s="338">
        <f t="shared" si="483"/>
        <v>46721906</v>
      </c>
      <c r="J906" s="329">
        <f t="shared" si="491"/>
        <v>0</v>
      </c>
      <c r="K906" s="338">
        <f t="shared" si="484"/>
        <v>12800000</v>
      </c>
      <c r="L906" s="329">
        <f t="shared" si="492"/>
        <v>0</v>
      </c>
      <c r="M906" s="338">
        <f t="shared" si="485"/>
        <v>24598534.760000002</v>
      </c>
      <c r="N906" s="329">
        <f t="shared" si="493"/>
        <v>0</v>
      </c>
      <c r="O906" s="338">
        <f t="shared" si="486"/>
        <v>13300000</v>
      </c>
      <c r="P906" s="329">
        <f t="shared" si="494"/>
        <v>0</v>
      </c>
      <c r="Q906" s="338">
        <f t="shared" si="487"/>
        <v>0</v>
      </c>
      <c r="R906" s="329">
        <f t="shared" si="495"/>
        <v>0</v>
      </c>
      <c r="S906" s="338">
        <f t="shared" si="488"/>
        <v>10000000</v>
      </c>
      <c r="T906" s="329">
        <f t="shared" si="496"/>
        <v>0</v>
      </c>
      <c r="U906" s="338">
        <f t="shared" si="498"/>
        <v>2000000</v>
      </c>
      <c r="V906" s="329">
        <f t="shared" si="497"/>
        <v>0</v>
      </c>
      <c r="W906" s="338">
        <f t="shared" si="489"/>
        <v>11650000</v>
      </c>
      <c r="X906" s="35"/>
    </row>
    <row r="907" spans="1:24" x14ac:dyDescent="0.25">
      <c r="A907" s="335">
        <f t="shared" si="501"/>
        <v>44618</v>
      </c>
      <c r="B907" s="49">
        <f t="shared" si="499"/>
        <v>0</v>
      </c>
      <c r="C907" s="338">
        <f t="shared" si="480"/>
        <v>113886095.14309606</v>
      </c>
      <c r="D907" s="329">
        <f t="shared" si="500"/>
        <v>0</v>
      </c>
      <c r="E907" s="338">
        <f t="shared" si="481"/>
        <v>11542022.55807774</v>
      </c>
      <c r="F907" s="329">
        <f t="shared" si="502"/>
        <v>0</v>
      </c>
      <c r="G907" s="338">
        <f t="shared" si="482"/>
        <v>76400000</v>
      </c>
      <c r="H907" s="329">
        <f t="shared" si="490"/>
        <v>0</v>
      </c>
      <c r="I907" s="338">
        <f t="shared" si="483"/>
        <v>46721906</v>
      </c>
      <c r="J907" s="329">
        <f t="shared" si="491"/>
        <v>0</v>
      </c>
      <c r="K907" s="338">
        <f t="shared" si="484"/>
        <v>12800000</v>
      </c>
      <c r="L907" s="329">
        <f t="shared" si="492"/>
        <v>0</v>
      </c>
      <c r="M907" s="338">
        <f t="shared" si="485"/>
        <v>24598534.760000002</v>
      </c>
      <c r="N907" s="329">
        <f t="shared" si="493"/>
        <v>0</v>
      </c>
      <c r="O907" s="338">
        <f t="shared" si="486"/>
        <v>13300000</v>
      </c>
      <c r="P907" s="329">
        <f t="shared" si="494"/>
        <v>0</v>
      </c>
      <c r="Q907" s="338">
        <f t="shared" si="487"/>
        <v>0</v>
      </c>
      <c r="R907" s="329">
        <f t="shared" si="495"/>
        <v>0</v>
      </c>
      <c r="S907" s="338">
        <f t="shared" si="488"/>
        <v>10000000</v>
      </c>
      <c r="T907" s="329">
        <f t="shared" si="496"/>
        <v>0</v>
      </c>
      <c r="U907" s="338">
        <f t="shared" si="498"/>
        <v>2000000</v>
      </c>
      <c r="V907" s="329">
        <f t="shared" si="497"/>
        <v>0</v>
      </c>
      <c r="W907" s="338">
        <f t="shared" si="489"/>
        <v>11650000</v>
      </c>
      <c r="X907" s="35"/>
    </row>
    <row r="908" spans="1:24" x14ac:dyDescent="0.25">
      <c r="A908" s="335">
        <f t="shared" si="501"/>
        <v>44619</v>
      </c>
      <c r="B908" s="49">
        <f t="shared" si="499"/>
        <v>0</v>
      </c>
      <c r="C908" s="338">
        <f t="shared" si="480"/>
        <v>113886095.14309606</v>
      </c>
      <c r="D908" s="329">
        <f t="shared" si="500"/>
        <v>0</v>
      </c>
      <c r="E908" s="338">
        <f t="shared" si="481"/>
        <v>11542022.55807774</v>
      </c>
      <c r="F908" s="329">
        <f t="shared" si="502"/>
        <v>0</v>
      </c>
      <c r="G908" s="338">
        <f t="shared" si="482"/>
        <v>76400000</v>
      </c>
      <c r="H908" s="329">
        <f t="shared" si="490"/>
        <v>0</v>
      </c>
      <c r="I908" s="338">
        <f t="shared" si="483"/>
        <v>46721906</v>
      </c>
      <c r="J908" s="329">
        <f t="shared" si="491"/>
        <v>0</v>
      </c>
      <c r="K908" s="338">
        <f t="shared" si="484"/>
        <v>12800000</v>
      </c>
      <c r="L908" s="329">
        <f t="shared" si="492"/>
        <v>0</v>
      </c>
      <c r="M908" s="338">
        <f t="shared" si="485"/>
        <v>24598534.760000002</v>
      </c>
      <c r="N908" s="329">
        <f t="shared" si="493"/>
        <v>0</v>
      </c>
      <c r="O908" s="338">
        <f t="shared" si="486"/>
        <v>13300000</v>
      </c>
      <c r="P908" s="329">
        <f t="shared" si="494"/>
        <v>0</v>
      </c>
      <c r="Q908" s="338">
        <f t="shared" si="487"/>
        <v>0</v>
      </c>
      <c r="R908" s="329">
        <f t="shared" si="495"/>
        <v>0</v>
      </c>
      <c r="S908" s="338">
        <f t="shared" si="488"/>
        <v>10000000</v>
      </c>
      <c r="T908" s="329">
        <f t="shared" si="496"/>
        <v>0</v>
      </c>
      <c r="U908" s="338">
        <f t="shared" si="498"/>
        <v>2000000</v>
      </c>
      <c r="V908" s="329">
        <f t="shared" si="497"/>
        <v>0</v>
      </c>
      <c r="W908" s="338">
        <f t="shared" si="489"/>
        <v>11650000</v>
      </c>
      <c r="X908" s="35"/>
    </row>
    <row r="909" spans="1:24" x14ac:dyDescent="0.25">
      <c r="A909" s="335">
        <f t="shared" si="501"/>
        <v>44620</v>
      </c>
      <c r="B909" s="49">
        <f t="shared" si="499"/>
        <v>0</v>
      </c>
      <c r="C909" s="338">
        <f t="shared" si="480"/>
        <v>113886095.14309606</v>
      </c>
      <c r="D909" s="329">
        <f t="shared" si="500"/>
        <v>0</v>
      </c>
      <c r="E909" s="338">
        <f t="shared" si="481"/>
        <v>11542022.55807774</v>
      </c>
      <c r="F909" s="329">
        <f t="shared" si="502"/>
        <v>0</v>
      </c>
      <c r="G909" s="338">
        <f t="shared" si="482"/>
        <v>76400000</v>
      </c>
      <c r="H909" s="329">
        <f t="shared" si="490"/>
        <v>0</v>
      </c>
      <c r="I909" s="338">
        <f t="shared" si="483"/>
        <v>46721906</v>
      </c>
      <c r="J909" s="329">
        <f t="shared" si="491"/>
        <v>0</v>
      </c>
      <c r="K909" s="338">
        <f t="shared" si="484"/>
        <v>12800000</v>
      </c>
      <c r="L909" s="329">
        <f t="shared" si="492"/>
        <v>0</v>
      </c>
      <c r="M909" s="338">
        <f t="shared" si="485"/>
        <v>24598534.760000002</v>
      </c>
      <c r="N909" s="329">
        <f t="shared" si="493"/>
        <v>0</v>
      </c>
      <c r="O909" s="338">
        <f t="shared" si="486"/>
        <v>13300000</v>
      </c>
      <c r="P909" s="329">
        <f t="shared" si="494"/>
        <v>0</v>
      </c>
      <c r="Q909" s="338">
        <f t="shared" si="487"/>
        <v>0</v>
      </c>
      <c r="R909" s="329">
        <f t="shared" si="495"/>
        <v>0</v>
      </c>
      <c r="S909" s="338">
        <f t="shared" si="488"/>
        <v>10000000</v>
      </c>
      <c r="T909" s="329">
        <f t="shared" si="496"/>
        <v>0</v>
      </c>
      <c r="U909" s="338">
        <f t="shared" si="498"/>
        <v>2000000</v>
      </c>
      <c r="V909" s="329">
        <f t="shared" si="497"/>
        <v>0</v>
      </c>
      <c r="W909" s="338">
        <f t="shared" si="489"/>
        <v>11650000</v>
      </c>
      <c r="X909" s="35"/>
    </row>
    <row r="910" spans="1:24" x14ac:dyDescent="0.25">
      <c r="A910" s="335">
        <f t="shared" si="501"/>
        <v>44621</v>
      </c>
      <c r="B910" s="49">
        <f t="shared" si="499"/>
        <v>0</v>
      </c>
      <c r="C910" s="338">
        <f t="shared" si="480"/>
        <v>113886095.14309606</v>
      </c>
      <c r="D910" s="329">
        <f t="shared" si="500"/>
        <v>0</v>
      </c>
      <c r="E910" s="338">
        <f t="shared" si="481"/>
        <v>11542022.55807774</v>
      </c>
      <c r="F910" s="329">
        <f t="shared" si="502"/>
        <v>0</v>
      </c>
      <c r="G910" s="338">
        <f t="shared" si="482"/>
        <v>76400000</v>
      </c>
      <c r="H910" s="329">
        <f t="shared" si="490"/>
        <v>0</v>
      </c>
      <c r="I910" s="338">
        <f t="shared" si="483"/>
        <v>46721906</v>
      </c>
      <c r="J910" s="329">
        <f t="shared" si="491"/>
        <v>0</v>
      </c>
      <c r="K910" s="338">
        <f t="shared" si="484"/>
        <v>12800000</v>
      </c>
      <c r="L910" s="329">
        <f t="shared" si="492"/>
        <v>0</v>
      </c>
      <c r="M910" s="338">
        <f t="shared" si="485"/>
        <v>24598534.760000002</v>
      </c>
      <c r="N910" s="329">
        <f t="shared" si="493"/>
        <v>0</v>
      </c>
      <c r="O910" s="338">
        <f t="shared" si="486"/>
        <v>13300000</v>
      </c>
      <c r="P910" s="329">
        <f t="shared" si="494"/>
        <v>0</v>
      </c>
      <c r="Q910" s="338">
        <f t="shared" si="487"/>
        <v>0</v>
      </c>
      <c r="R910" s="329">
        <f t="shared" si="495"/>
        <v>0</v>
      </c>
      <c r="S910" s="338">
        <f t="shared" si="488"/>
        <v>10000000</v>
      </c>
      <c r="T910" s="329">
        <f t="shared" si="496"/>
        <v>0</v>
      </c>
      <c r="U910" s="338">
        <f t="shared" si="498"/>
        <v>2000000</v>
      </c>
      <c r="V910" s="329">
        <f t="shared" si="497"/>
        <v>0</v>
      </c>
      <c r="W910" s="338">
        <f t="shared" si="489"/>
        <v>11650000</v>
      </c>
      <c r="X910" s="35"/>
    </row>
    <row r="911" spans="1:24" x14ac:dyDescent="0.25">
      <c r="A911" s="335">
        <f t="shared" si="501"/>
        <v>44622</v>
      </c>
      <c r="B911" s="49">
        <f t="shared" si="499"/>
        <v>0</v>
      </c>
      <c r="C911" s="338">
        <f t="shared" si="480"/>
        <v>113886095.14309606</v>
      </c>
      <c r="D911" s="329">
        <f t="shared" si="500"/>
        <v>0</v>
      </c>
      <c r="E911" s="338">
        <f t="shared" si="481"/>
        <v>11542022.55807774</v>
      </c>
      <c r="F911" s="329">
        <f t="shared" si="502"/>
        <v>0</v>
      </c>
      <c r="G911" s="338">
        <f t="shared" si="482"/>
        <v>76400000</v>
      </c>
      <c r="H911" s="329">
        <f t="shared" si="490"/>
        <v>0</v>
      </c>
      <c r="I911" s="338">
        <f t="shared" si="483"/>
        <v>46721906</v>
      </c>
      <c r="J911" s="329">
        <f t="shared" si="491"/>
        <v>0</v>
      </c>
      <c r="K911" s="338">
        <f t="shared" si="484"/>
        <v>12800000</v>
      </c>
      <c r="L911" s="329">
        <f t="shared" si="492"/>
        <v>0</v>
      </c>
      <c r="M911" s="338">
        <f t="shared" si="485"/>
        <v>24598534.760000002</v>
      </c>
      <c r="N911" s="329">
        <f t="shared" si="493"/>
        <v>0</v>
      </c>
      <c r="O911" s="338">
        <f t="shared" si="486"/>
        <v>13300000</v>
      </c>
      <c r="P911" s="329">
        <f t="shared" si="494"/>
        <v>0</v>
      </c>
      <c r="Q911" s="338">
        <f t="shared" si="487"/>
        <v>0</v>
      </c>
      <c r="R911" s="329">
        <f t="shared" si="495"/>
        <v>0</v>
      </c>
      <c r="S911" s="338">
        <f t="shared" si="488"/>
        <v>10000000</v>
      </c>
      <c r="T911" s="329">
        <f t="shared" si="496"/>
        <v>0</v>
      </c>
      <c r="U911" s="338">
        <f t="shared" si="498"/>
        <v>2000000</v>
      </c>
      <c r="V911" s="329">
        <f t="shared" si="497"/>
        <v>0</v>
      </c>
      <c r="W911" s="338">
        <f t="shared" si="489"/>
        <v>11650000</v>
      </c>
      <c r="X911" s="35"/>
    </row>
    <row r="912" spans="1:24" x14ac:dyDescent="0.25">
      <c r="A912" s="335">
        <f t="shared" si="501"/>
        <v>44623</v>
      </c>
      <c r="B912" s="49">
        <f t="shared" si="499"/>
        <v>0</v>
      </c>
      <c r="C912" s="338">
        <f t="shared" si="480"/>
        <v>113886095.14309606</v>
      </c>
      <c r="D912" s="329">
        <f t="shared" si="500"/>
        <v>0</v>
      </c>
      <c r="E912" s="338">
        <f t="shared" si="481"/>
        <v>11542022.55807774</v>
      </c>
      <c r="F912" s="329">
        <f t="shared" si="502"/>
        <v>0</v>
      </c>
      <c r="G912" s="338">
        <f t="shared" si="482"/>
        <v>76400000</v>
      </c>
      <c r="H912" s="329">
        <f t="shared" si="490"/>
        <v>0</v>
      </c>
      <c r="I912" s="338">
        <f t="shared" si="483"/>
        <v>46721906</v>
      </c>
      <c r="J912" s="329">
        <f t="shared" si="491"/>
        <v>0</v>
      </c>
      <c r="K912" s="338">
        <f t="shared" si="484"/>
        <v>12800000</v>
      </c>
      <c r="L912" s="329">
        <f t="shared" si="492"/>
        <v>0</v>
      </c>
      <c r="M912" s="338">
        <f t="shared" si="485"/>
        <v>24598534.760000002</v>
      </c>
      <c r="N912" s="329">
        <f t="shared" si="493"/>
        <v>0</v>
      </c>
      <c r="O912" s="338">
        <f t="shared" si="486"/>
        <v>13300000</v>
      </c>
      <c r="P912" s="329">
        <f t="shared" si="494"/>
        <v>0</v>
      </c>
      <c r="Q912" s="338">
        <f t="shared" si="487"/>
        <v>0</v>
      </c>
      <c r="R912" s="329">
        <f t="shared" si="495"/>
        <v>0</v>
      </c>
      <c r="S912" s="338">
        <f t="shared" si="488"/>
        <v>10000000</v>
      </c>
      <c r="T912" s="329">
        <f t="shared" si="496"/>
        <v>0</v>
      </c>
      <c r="U912" s="338">
        <f t="shared" si="498"/>
        <v>2000000</v>
      </c>
      <c r="V912" s="329">
        <f t="shared" si="497"/>
        <v>0</v>
      </c>
      <c r="W912" s="338">
        <f t="shared" si="489"/>
        <v>11650000</v>
      </c>
      <c r="X912" s="35"/>
    </row>
    <row r="913" spans="1:24" x14ac:dyDescent="0.25">
      <c r="A913" s="335">
        <f t="shared" si="501"/>
        <v>44624</v>
      </c>
      <c r="B913" s="49">
        <f t="shared" si="499"/>
        <v>0</v>
      </c>
      <c r="C913" s="338">
        <f t="shared" si="480"/>
        <v>113886095.14309606</v>
      </c>
      <c r="D913" s="329">
        <f t="shared" si="500"/>
        <v>0</v>
      </c>
      <c r="E913" s="338">
        <f t="shared" si="481"/>
        <v>11542022.55807774</v>
      </c>
      <c r="F913" s="329">
        <f t="shared" si="502"/>
        <v>0</v>
      </c>
      <c r="G913" s="338">
        <f t="shared" si="482"/>
        <v>76400000</v>
      </c>
      <c r="H913" s="329">
        <f t="shared" si="490"/>
        <v>0</v>
      </c>
      <c r="I913" s="338">
        <f t="shared" si="483"/>
        <v>46721906</v>
      </c>
      <c r="J913" s="329">
        <f t="shared" si="491"/>
        <v>0</v>
      </c>
      <c r="K913" s="338">
        <f t="shared" si="484"/>
        <v>12800000</v>
      </c>
      <c r="L913" s="329">
        <f t="shared" si="492"/>
        <v>0</v>
      </c>
      <c r="M913" s="338">
        <f t="shared" si="485"/>
        <v>24598534.760000002</v>
      </c>
      <c r="N913" s="329">
        <f t="shared" si="493"/>
        <v>0</v>
      </c>
      <c r="O913" s="338">
        <f t="shared" si="486"/>
        <v>13300000</v>
      </c>
      <c r="P913" s="329">
        <f t="shared" si="494"/>
        <v>0</v>
      </c>
      <c r="Q913" s="338">
        <f t="shared" si="487"/>
        <v>0</v>
      </c>
      <c r="R913" s="329">
        <f t="shared" si="495"/>
        <v>0</v>
      </c>
      <c r="S913" s="338">
        <f t="shared" si="488"/>
        <v>10000000</v>
      </c>
      <c r="T913" s="329">
        <f t="shared" si="496"/>
        <v>0</v>
      </c>
      <c r="U913" s="338">
        <f t="shared" si="498"/>
        <v>2000000</v>
      </c>
      <c r="V913" s="329">
        <f t="shared" si="497"/>
        <v>0</v>
      </c>
      <c r="W913" s="338">
        <f t="shared" si="489"/>
        <v>11650000</v>
      </c>
      <c r="X913" s="35"/>
    </row>
    <row r="914" spans="1:24" x14ac:dyDescent="0.25">
      <c r="A914" s="335">
        <f t="shared" si="501"/>
        <v>44625</v>
      </c>
      <c r="B914" s="49">
        <f t="shared" si="499"/>
        <v>0</v>
      </c>
      <c r="C914" s="338">
        <f t="shared" si="480"/>
        <v>113886095.14309606</v>
      </c>
      <c r="D914" s="329">
        <f t="shared" si="500"/>
        <v>0</v>
      </c>
      <c r="E914" s="338">
        <f t="shared" si="481"/>
        <v>11542022.55807774</v>
      </c>
      <c r="F914" s="329">
        <f t="shared" si="502"/>
        <v>0</v>
      </c>
      <c r="G914" s="338">
        <f t="shared" si="482"/>
        <v>76400000</v>
      </c>
      <c r="H914" s="329">
        <f t="shared" si="490"/>
        <v>0</v>
      </c>
      <c r="I914" s="338">
        <f t="shared" si="483"/>
        <v>46721906</v>
      </c>
      <c r="J914" s="329">
        <f t="shared" si="491"/>
        <v>0</v>
      </c>
      <c r="K914" s="338">
        <f t="shared" si="484"/>
        <v>12800000</v>
      </c>
      <c r="L914" s="329">
        <f t="shared" si="492"/>
        <v>0</v>
      </c>
      <c r="M914" s="338">
        <f t="shared" si="485"/>
        <v>24598534.760000002</v>
      </c>
      <c r="N914" s="329">
        <f t="shared" si="493"/>
        <v>0</v>
      </c>
      <c r="O914" s="338">
        <f t="shared" si="486"/>
        <v>13300000</v>
      </c>
      <c r="P914" s="329">
        <f t="shared" si="494"/>
        <v>0</v>
      </c>
      <c r="Q914" s="338">
        <f t="shared" si="487"/>
        <v>0</v>
      </c>
      <c r="R914" s="329">
        <f t="shared" si="495"/>
        <v>0</v>
      </c>
      <c r="S914" s="338">
        <f t="shared" si="488"/>
        <v>10000000</v>
      </c>
      <c r="T914" s="329">
        <f t="shared" si="496"/>
        <v>0</v>
      </c>
      <c r="U914" s="338">
        <f t="shared" si="498"/>
        <v>2000000</v>
      </c>
      <c r="V914" s="329">
        <f t="shared" si="497"/>
        <v>0</v>
      </c>
      <c r="W914" s="338">
        <f t="shared" si="489"/>
        <v>11650000</v>
      </c>
      <c r="X914" s="35"/>
    </row>
    <row r="915" spans="1:24" x14ac:dyDescent="0.25">
      <c r="A915" s="335">
        <f t="shared" si="501"/>
        <v>44626</v>
      </c>
      <c r="B915" s="49">
        <f t="shared" si="499"/>
        <v>0</v>
      </c>
      <c r="C915" s="338">
        <f t="shared" si="480"/>
        <v>113886095.14309606</v>
      </c>
      <c r="D915" s="329">
        <f t="shared" si="500"/>
        <v>0</v>
      </c>
      <c r="E915" s="338">
        <f t="shared" si="481"/>
        <v>11542022.55807774</v>
      </c>
      <c r="F915" s="329">
        <f t="shared" si="502"/>
        <v>0</v>
      </c>
      <c r="G915" s="338">
        <f t="shared" si="482"/>
        <v>76400000</v>
      </c>
      <c r="H915" s="329">
        <f t="shared" si="490"/>
        <v>0</v>
      </c>
      <c r="I915" s="338">
        <f t="shared" si="483"/>
        <v>46721906</v>
      </c>
      <c r="J915" s="329">
        <f t="shared" si="491"/>
        <v>0</v>
      </c>
      <c r="K915" s="338">
        <f t="shared" si="484"/>
        <v>12800000</v>
      </c>
      <c r="L915" s="329">
        <f t="shared" si="492"/>
        <v>0</v>
      </c>
      <c r="M915" s="338">
        <f t="shared" si="485"/>
        <v>24598534.760000002</v>
      </c>
      <c r="N915" s="329">
        <f t="shared" si="493"/>
        <v>0</v>
      </c>
      <c r="O915" s="338">
        <f t="shared" si="486"/>
        <v>13300000</v>
      </c>
      <c r="P915" s="329">
        <f t="shared" si="494"/>
        <v>0</v>
      </c>
      <c r="Q915" s="338">
        <f t="shared" si="487"/>
        <v>0</v>
      </c>
      <c r="R915" s="329">
        <f t="shared" si="495"/>
        <v>0</v>
      </c>
      <c r="S915" s="338">
        <f t="shared" si="488"/>
        <v>10000000</v>
      </c>
      <c r="T915" s="329">
        <f t="shared" si="496"/>
        <v>0</v>
      </c>
      <c r="U915" s="338">
        <f t="shared" si="498"/>
        <v>2000000</v>
      </c>
      <c r="V915" s="329">
        <f t="shared" si="497"/>
        <v>0</v>
      </c>
      <c r="W915" s="338">
        <f t="shared" si="489"/>
        <v>11650000</v>
      </c>
      <c r="X915" s="35"/>
    </row>
    <row r="916" spans="1:24" x14ac:dyDescent="0.25">
      <c r="A916" s="335">
        <f t="shared" si="501"/>
        <v>44627</v>
      </c>
      <c r="B916" s="49">
        <f t="shared" si="499"/>
        <v>0</v>
      </c>
      <c r="C916" s="338">
        <f t="shared" si="480"/>
        <v>113886095.14309606</v>
      </c>
      <c r="D916" s="329">
        <f t="shared" si="500"/>
        <v>0</v>
      </c>
      <c r="E916" s="338">
        <f t="shared" si="481"/>
        <v>11542022.55807774</v>
      </c>
      <c r="F916" s="329">
        <f t="shared" si="502"/>
        <v>0</v>
      </c>
      <c r="G916" s="338">
        <f t="shared" si="482"/>
        <v>76400000</v>
      </c>
      <c r="H916" s="329">
        <f t="shared" si="490"/>
        <v>0</v>
      </c>
      <c r="I916" s="338">
        <f t="shared" si="483"/>
        <v>46721906</v>
      </c>
      <c r="J916" s="329">
        <f t="shared" si="491"/>
        <v>0</v>
      </c>
      <c r="K916" s="338">
        <f t="shared" si="484"/>
        <v>12800000</v>
      </c>
      <c r="L916" s="329">
        <f t="shared" si="492"/>
        <v>0</v>
      </c>
      <c r="M916" s="338">
        <f t="shared" si="485"/>
        <v>24598534.760000002</v>
      </c>
      <c r="N916" s="329">
        <f t="shared" si="493"/>
        <v>1000000</v>
      </c>
      <c r="O916" s="338">
        <f t="shared" si="486"/>
        <v>14300000</v>
      </c>
      <c r="P916" s="329">
        <f t="shared" si="494"/>
        <v>0</v>
      </c>
      <c r="Q916" s="338">
        <f t="shared" si="487"/>
        <v>0</v>
      </c>
      <c r="R916" s="329">
        <f t="shared" si="495"/>
        <v>0</v>
      </c>
      <c r="S916" s="338">
        <f t="shared" si="488"/>
        <v>10000000</v>
      </c>
      <c r="T916" s="329">
        <f t="shared" si="496"/>
        <v>0</v>
      </c>
      <c r="U916" s="338">
        <f t="shared" si="498"/>
        <v>2000000</v>
      </c>
      <c r="V916" s="329">
        <f t="shared" si="497"/>
        <v>0</v>
      </c>
      <c r="W916" s="338">
        <f t="shared" si="489"/>
        <v>11650000</v>
      </c>
      <c r="X916" s="35"/>
    </row>
    <row r="917" spans="1:24" x14ac:dyDescent="0.25">
      <c r="A917" s="335">
        <f t="shared" si="501"/>
        <v>44628</v>
      </c>
      <c r="B917" s="49">
        <f t="shared" si="499"/>
        <v>0</v>
      </c>
      <c r="C917" s="338">
        <f t="shared" si="480"/>
        <v>113886095.14309606</v>
      </c>
      <c r="D917" s="329">
        <f t="shared" si="500"/>
        <v>0</v>
      </c>
      <c r="E917" s="338">
        <f t="shared" si="481"/>
        <v>11542022.55807774</v>
      </c>
      <c r="F917" s="329">
        <f t="shared" si="502"/>
        <v>0</v>
      </c>
      <c r="G917" s="338">
        <f t="shared" si="482"/>
        <v>76400000</v>
      </c>
      <c r="H917" s="329">
        <f t="shared" si="490"/>
        <v>0</v>
      </c>
      <c r="I917" s="338">
        <f t="shared" si="483"/>
        <v>46721906</v>
      </c>
      <c r="J917" s="329">
        <f t="shared" si="491"/>
        <v>0</v>
      </c>
      <c r="K917" s="338">
        <f t="shared" si="484"/>
        <v>12800000</v>
      </c>
      <c r="L917" s="329">
        <f t="shared" si="492"/>
        <v>0</v>
      </c>
      <c r="M917" s="338">
        <f t="shared" si="485"/>
        <v>24598534.760000002</v>
      </c>
      <c r="N917" s="329">
        <f t="shared" si="493"/>
        <v>0</v>
      </c>
      <c r="O917" s="338">
        <f t="shared" si="486"/>
        <v>14300000</v>
      </c>
      <c r="P917" s="329">
        <f t="shared" si="494"/>
        <v>0</v>
      </c>
      <c r="Q917" s="338">
        <f t="shared" si="487"/>
        <v>0</v>
      </c>
      <c r="R917" s="329">
        <f t="shared" si="495"/>
        <v>0</v>
      </c>
      <c r="S917" s="338">
        <f t="shared" si="488"/>
        <v>10000000</v>
      </c>
      <c r="T917" s="329">
        <f t="shared" si="496"/>
        <v>0</v>
      </c>
      <c r="U917" s="338">
        <f t="shared" si="498"/>
        <v>2000000</v>
      </c>
      <c r="V917" s="329">
        <f t="shared" si="497"/>
        <v>0</v>
      </c>
      <c r="W917" s="338">
        <f t="shared" si="489"/>
        <v>11650000</v>
      </c>
      <c r="X917" s="35"/>
    </row>
    <row r="918" spans="1:24" x14ac:dyDescent="0.25">
      <c r="A918" s="335">
        <f t="shared" si="501"/>
        <v>44629</v>
      </c>
      <c r="B918" s="49">
        <f t="shared" si="499"/>
        <v>0</v>
      </c>
      <c r="C918" s="338">
        <f t="shared" si="480"/>
        <v>113886095.14309606</v>
      </c>
      <c r="D918" s="329">
        <f t="shared" si="500"/>
        <v>0</v>
      </c>
      <c r="E918" s="338">
        <f t="shared" si="481"/>
        <v>11542022.55807774</v>
      </c>
      <c r="F918" s="329">
        <f t="shared" si="502"/>
        <v>0</v>
      </c>
      <c r="G918" s="338">
        <f t="shared" si="482"/>
        <v>76400000</v>
      </c>
      <c r="H918" s="329">
        <f t="shared" si="490"/>
        <v>0</v>
      </c>
      <c r="I918" s="338">
        <f t="shared" si="483"/>
        <v>46721906</v>
      </c>
      <c r="J918" s="329">
        <f t="shared" si="491"/>
        <v>0</v>
      </c>
      <c r="K918" s="338">
        <f t="shared" si="484"/>
        <v>12800000</v>
      </c>
      <c r="L918" s="329">
        <f t="shared" si="492"/>
        <v>0</v>
      </c>
      <c r="M918" s="338">
        <f t="shared" si="485"/>
        <v>24598534.760000002</v>
      </c>
      <c r="N918" s="329">
        <f t="shared" si="493"/>
        <v>0</v>
      </c>
      <c r="O918" s="338">
        <f t="shared" si="486"/>
        <v>14300000</v>
      </c>
      <c r="P918" s="329">
        <f t="shared" si="494"/>
        <v>0</v>
      </c>
      <c r="Q918" s="338">
        <f t="shared" si="487"/>
        <v>0</v>
      </c>
      <c r="R918" s="329">
        <f t="shared" si="495"/>
        <v>0</v>
      </c>
      <c r="S918" s="338">
        <f t="shared" si="488"/>
        <v>10000000</v>
      </c>
      <c r="T918" s="329">
        <f t="shared" si="496"/>
        <v>0</v>
      </c>
      <c r="U918" s="338">
        <f t="shared" si="498"/>
        <v>2000000</v>
      </c>
      <c r="V918" s="329">
        <f t="shared" si="497"/>
        <v>0</v>
      </c>
      <c r="W918" s="338">
        <f t="shared" si="489"/>
        <v>11650000</v>
      </c>
      <c r="X918" s="35"/>
    </row>
    <row r="919" spans="1:24" x14ac:dyDescent="0.25">
      <c r="A919" s="335">
        <f t="shared" si="501"/>
        <v>44630</v>
      </c>
      <c r="B919" s="49">
        <f t="shared" si="499"/>
        <v>0</v>
      </c>
      <c r="C919" s="338">
        <f t="shared" si="480"/>
        <v>113886095.14309606</v>
      </c>
      <c r="D919" s="329">
        <f t="shared" si="500"/>
        <v>0</v>
      </c>
      <c r="E919" s="338">
        <f t="shared" si="481"/>
        <v>11542022.55807774</v>
      </c>
      <c r="F919" s="329">
        <f t="shared" si="502"/>
        <v>0</v>
      </c>
      <c r="G919" s="338">
        <f t="shared" si="482"/>
        <v>76400000</v>
      </c>
      <c r="H919" s="329">
        <f t="shared" si="490"/>
        <v>0</v>
      </c>
      <c r="I919" s="338">
        <f t="shared" si="483"/>
        <v>46721906</v>
      </c>
      <c r="J919" s="329">
        <f t="shared" si="491"/>
        <v>0</v>
      </c>
      <c r="K919" s="338">
        <f t="shared" si="484"/>
        <v>12800000</v>
      </c>
      <c r="L919" s="329">
        <f t="shared" si="492"/>
        <v>0</v>
      </c>
      <c r="M919" s="338">
        <f t="shared" si="485"/>
        <v>24598534.760000002</v>
      </c>
      <c r="N919" s="329">
        <f t="shared" si="493"/>
        <v>0</v>
      </c>
      <c r="O919" s="338">
        <f t="shared" si="486"/>
        <v>14300000</v>
      </c>
      <c r="P919" s="329">
        <f t="shared" si="494"/>
        <v>0</v>
      </c>
      <c r="Q919" s="338">
        <f t="shared" si="487"/>
        <v>0</v>
      </c>
      <c r="R919" s="329">
        <f t="shared" si="495"/>
        <v>0</v>
      </c>
      <c r="S919" s="338">
        <f t="shared" si="488"/>
        <v>10000000</v>
      </c>
      <c r="T919" s="329">
        <f t="shared" si="496"/>
        <v>0</v>
      </c>
      <c r="U919" s="338">
        <f t="shared" si="498"/>
        <v>2000000</v>
      </c>
      <c r="V919" s="329">
        <f t="shared" si="497"/>
        <v>0</v>
      </c>
      <c r="W919" s="338">
        <f t="shared" si="489"/>
        <v>11650000</v>
      </c>
      <c r="X919" s="35"/>
    </row>
    <row r="920" spans="1:24" x14ac:dyDescent="0.25">
      <c r="A920" s="335">
        <f t="shared" si="501"/>
        <v>44631</v>
      </c>
      <c r="B920" s="49">
        <f t="shared" si="499"/>
        <v>0</v>
      </c>
      <c r="C920" s="338">
        <f t="shared" si="480"/>
        <v>113886095.14309606</v>
      </c>
      <c r="D920" s="329">
        <f t="shared" si="500"/>
        <v>0</v>
      </c>
      <c r="E920" s="338">
        <f t="shared" si="481"/>
        <v>11542022.55807774</v>
      </c>
      <c r="F920" s="329">
        <f t="shared" si="502"/>
        <v>0</v>
      </c>
      <c r="G920" s="338">
        <f t="shared" si="482"/>
        <v>76400000</v>
      </c>
      <c r="H920" s="329">
        <f t="shared" si="490"/>
        <v>0</v>
      </c>
      <c r="I920" s="338">
        <f t="shared" si="483"/>
        <v>46721906</v>
      </c>
      <c r="J920" s="329">
        <f t="shared" si="491"/>
        <v>0</v>
      </c>
      <c r="K920" s="338">
        <f t="shared" si="484"/>
        <v>12800000</v>
      </c>
      <c r="L920" s="329">
        <f t="shared" si="492"/>
        <v>0</v>
      </c>
      <c r="M920" s="338">
        <f t="shared" si="485"/>
        <v>24598534.760000002</v>
      </c>
      <c r="N920" s="329">
        <f t="shared" si="493"/>
        <v>0</v>
      </c>
      <c r="O920" s="338">
        <f t="shared" si="486"/>
        <v>14300000</v>
      </c>
      <c r="P920" s="329">
        <f t="shared" si="494"/>
        <v>0</v>
      </c>
      <c r="Q920" s="338">
        <f t="shared" si="487"/>
        <v>0</v>
      </c>
      <c r="R920" s="329">
        <f t="shared" si="495"/>
        <v>0</v>
      </c>
      <c r="S920" s="338">
        <f t="shared" si="488"/>
        <v>10000000</v>
      </c>
      <c r="T920" s="329">
        <f t="shared" si="496"/>
        <v>0</v>
      </c>
      <c r="U920" s="338">
        <f t="shared" si="498"/>
        <v>2000000</v>
      </c>
      <c r="V920" s="329">
        <f t="shared" si="497"/>
        <v>0</v>
      </c>
      <c r="W920" s="338">
        <f t="shared" si="489"/>
        <v>11650000</v>
      </c>
      <c r="X920" s="35"/>
    </row>
    <row r="921" spans="1:24" x14ac:dyDescent="0.25">
      <c r="A921" s="335">
        <f t="shared" si="501"/>
        <v>44632</v>
      </c>
      <c r="B921" s="49">
        <f t="shared" si="499"/>
        <v>0</v>
      </c>
      <c r="C921" s="338">
        <f t="shared" si="480"/>
        <v>113886095.14309606</v>
      </c>
      <c r="D921" s="329">
        <f t="shared" si="500"/>
        <v>0</v>
      </c>
      <c r="E921" s="338">
        <f t="shared" si="481"/>
        <v>11542022.55807774</v>
      </c>
      <c r="F921" s="329">
        <f t="shared" si="502"/>
        <v>0</v>
      </c>
      <c r="G921" s="338">
        <f t="shared" si="482"/>
        <v>76400000</v>
      </c>
      <c r="H921" s="329">
        <f t="shared" si="490"/>
        <v>0</v>
      </c>
      <c r="I921" s="338">
        <f t="shared" si="483"/>
        <v>46721906</v>
      </c>
      <c r="J921" s="329">
        <f t="shared" si="491"/>
        <v>0</v>
      </c>
      <c r="K921" s="338">
        <f t="shared" si="484"/>
        <v>12800000</v>
      </c>
      <c r="L921" s="329">
        <f t="shared" si="492"/>
        <v>0</v>
      </c>
      <c r="M921" s="338">
        <f t="shared" si="485"/>
        <v>24598534.760000002</v>
      </c>
      <c r="N921" s="329">
        <f t="shared" si="493"/>
        <v>0</v>
      </c>
      <c r="O921" s="338">
        <f t="shared" si="486"/>
        <v>14300000</v>
      </c>
      <c r="P921" s="329">
        <f t="shared" si="494"/>
        <v>0</v>
      </c>
      <c r="Q921" s="338">
        <f t="shared" si="487"/>
        <v>0</v>
      </c>
      <c r="R921" s="329">
        <f t="shared" si="495"/>
        <v>0</v>
      </c>
      <c r="S921" s="338">
        <f t="shared" si="488"/>
        <v>10000000</v>
      </c>
      <c r="T921" s="329">
        <f t="shared" si="496"/>
        <v>0</v>
      </c>
      <c r="U921" s="338">
        <f t="shared" si="498"/>
        <v>2000000</v>
      </c>
      <c r="V921" s="329">
        <f t="shared" si="497"/>
        <v>0</v>
      </c>
      <c r="W921" s="338">
        <f t="shared" si="489"/>
        <v>11650000</v>
      </c>
      <c r="X921" s="35"/>
    </row>
    <row r="922" spans="1:24" x14ac:dyDescent="0.25">
      <c r="A922" s="335">
        <f t="shared" si="501"/>
        <v>44633</v>
      </c>
      <c r="B922" s="49">
        <f t="shared" si="499"/>
        <v>0</v>
      </c>
      <c r="C922" s="338">
        <f t="shared" si="480"/>
        <v>113886095.14309606</v>
      </c>
      <c r="D922" s="329">
        <f t="shared" si="500"/>
        <v>0</v>
      </c>
      <c r="E922" s="338">
        <f t="shared" si="481"/>
        <v>11542022.55807774</v>
      </c>
      <c r="F922" s="329">
        <f t="shared" si="502"/>
        <v>0</v>
      </c>
      <c r="G922" s="338">
        <f t="shared" si="482"/>
        <v>76400000</v>
      </c>
      <c r="H922" s="329">
        <f t="shared" si="490"/>
        <v>0</v>
      </c>
      <c r="I922" s="338">
        <f t="shared" si="483"/>
        <v>46721906</v>
      </c>
      <c r="J922" s="329">
        <f t="shared" si="491"/>
        <v>0</v>
      </c>
      <c r="K922" s="338">
        <f t="shared" si="484"/>
        <v>12800000</v>
      </c>
      <c r="L922" s="329">
        <f t="shared" si="492"/>
        <v>0</v>
      </c>
      <c r="M922" s="338">
        <f t="shared" si="485"/>
        <v>24598534.760000002</v>
      </c>
      <c r="N922" s="329">
        <f t="shared" si="493"/>
        <v>0</v>
      </c>
      <c r="O922" s="338">
        <f t="shared" si="486"/>
        <v>14300000</v>
      </c>
      <c r="P922" s="329">
        <f t="shared" si="494"/>
        <v>0</v>
      </c>
      <c r="Q922" s="338">
        <f t="shared" si="487"/>
        <v>0</v>
      </c>
      <c r="R922" s="329">
        <f t="shared" si="495"/>
        <v>0</v>
      </c>
      <c r="S922" s="338">
        <f t="shared" si="488"/>
        <v>10000000</v>
      </c>
      <c r="T922" s="329">
        <f t="shared" si="496"/>
        <v>0</v>
      </c>
      <c r="U922" s="338">
        <f t="shared" si="498"/>
        <v>2000000</v>
      </c>
      <c r="V922" s="329">
        <f t="shared" si="497"/>
        <v>0</v>
      </c>
      <c r="W922" s="338">
        <f t="shared" si="489"/>
        <v>11650000</v>
      </c>
      <c r="X922" s="35"/>
    </row>
    <row r="923" spans="1:24" x14ac:dyDescent="0.25">
      <c r="A923" s="335">
        <f t="shared" si="501"/>
        <v>44634</v>
      </c>
      <c r="B923" s="49">
        <f t="shared" si="499"/>
        <v>0</v>
      </c>
      <c r="C923" s="338">
        <f t="shared" si="480"/>
        <v>113886095.14309606</v>
      </c>
      <c r="D923" s="329">
        <f t="shared" si="500"/>
        <v>0</v>
      </c>
      <c r="E923" s="338">
        <f t="shared" si="481"/>
        <v>11542022.55807774</v>
      </c>
      <c r="F923" s="329">
        <f t="shared" si="502"/>
        <v>0</v>
      </c>
      <c r="G923" s="338">
        <f t="shared" si="482"/>
        <v>76400000</v>
      </c>
      <c r="H923" s="329">
        <f t="shared" si="490"/>
        <v>0</v>
      </c>
      <c r="I923" s="338">
        <f t="shared" si="483"/>
        <v>46721906</v>
      </c>
      <c r="J923" s="329">
        <f t="shared" si="491"/>
        <v>600000</v>
      </c>
      <c r="K923" s="338">
        <f t="shared" si="484"/>
        <v>13400000</v>
      </c>
      <c r="L923" s="329">
        <f t="shared" si="492"/>
        <v>0</v>
      </c>
      <c r="M923" s="338">
        <f t="shared" si="485"/>
        <v>24598534.760000002</v>
      </c>
      <c r="N923" s="329">
        <f t="shared" si="493"/>
        <v>0</v>
      </c>
      <c r="O923" s="338">
        <f t="shared" si="486"/>
        <v>14300000</v>
      </c>
      <c r="P923" s="329">
        <f t="shared" si="494"/>
        <v>0</v>
      </c>
      <c r="Q923" s="338">
        <f t="shared" si="487"/>
        <v>0</v>
      </c>
      <c r="R923" s="329">
        <f t="shared" si="495"/>
        <v>0</v>
      </c>
      <c r="S923" s="338">
        <f t="shared" si="488"/>
        <v>10000000</v>
      </c>
      <c r="T923" s="329">
        <f t="shared" si="496"/>
        <v>0</v>
      </c>
      <c r="U923" s="338">
        <f t="shared" si="498"/>
        <v>2000000</v>
      </c>
      <c r="V923" s="329">
        <f t="shared" si="497"/>
        <v>0</v>
      </c>
      <c r="W923" s="338">
        <f t="shared" si="489"/>
        <v>11650000</v>
      </c>
      <c r="X923" s="35"/>
    </row>
    <row r="924" spans="1:24" x14ac:dyDescent="0.25">
      <c r="A924" s="335">
        <f t="shared" si="501"/>
        <v>44635</v>
      </c>
      <c r="B924" s="49">
        <f t="shared" si="499"/>
        <v>4999993.8569039404</v>
      </c>
      <c r="C924" s="338">
        <f t="shared" si="480"/>
        <v>118886089</v>
      </c>
      <c r="D924" s="329">
        <f t="shared" si="500"/>
        <v>-1772456.5580777396</v>
      </c>
      <c r="E924" s="338">
        <f t="shared" si="481"/>
        <v>9769566</v>
      </c>
      <c r="F924" s="329">
        <f t="shared" si="502"/>
        <v>0</v>
      </c>
      <c r="G924" s="338">
        <f t="shared" si="482"/>
        <v>76400000</v>
      </c>
      <c r="H924" s="329">
        <f t="shared" si="490"/>
        <v>-2371756</v>
      </c>
      <c r="I924" s="338">
        <f t="shared" si="483"/>
        <v>44350150</v>
      </c>
      <c r="J924" s="329">
        <f t="shared" si="491"/>
        <v>0</v>
      </c>
      <c r="K924" s="338">
        <f t="shared" si="484"/>
        <v>13400000</v>
      </c>
      <c r="L924" s="329">
        <f t="shared" si="492"/>
        <v>-165558.76000000164</v>
      </c>
      <c r="M924" s="338">
        <f t="shared" si="485"/>
        <v>24432976</v>
      </c>
      <c r="N924" s="329">
        <f t="shared" si="493"/>
        <v>0</v>
      </c>
      <c r="O924" s="338">
        <f t="shared" si="486"/>
        <v>14300000</v>
      </c>
      <c r="P924" s="329">
        <f t="shared" si="494"/>
        <v>0</v>
      </c>
      <c r="Q924" s="338">
        <f t="shared" si="487"/>
        <v>0</v>
      </c>
      <c r="R924" s="329">
        <f t="shared" si="495"/>
        <v>0</v>
      </c>
      <c r="S924" s="338">
        <f t="shared" si="488"/>
        <v>10000000</v>
      </c>
      <c r="T924" s="329">
        <f t="shared" si="496"/>
        <v>200000</v>
      </c>
      <c r="U924" s="338">
        <f t="shared" si="498"/>
        <v>2200000</v>
      </c>
      <c r="V924" s="329">
        <f t="shared" si="497"/>
        <v>574694.8900000006</v>
      </c>
      <c r="W924" s="338">
        <f t="shared" si="489"/>
        <v>12224694.890000001</v>
      </c>
      <c r="X924" s="35"/>
    </row>
    <row r="925" spans="1:24" x14ac:dyDescent="0.25">
      <c r="A925" s="335">
        <f t="shared" si="501"/>
        <v>44636</v>
      </c>
      <c r="B925" s="49">
        <f t="shared" si="499"/>
        <v>0</v>
      </c>
      <c r="C925" s="338">
        <f t="shared" si="480"/>
        <v>118886089</v>
      </c>
      <c r="D925" s="329">
        <f t="shared" si="500"/>
        <v>0</v>
      </c>
      <c r="E925" s="338">
        <f t="shared" si="481"/>
        <v>9769566</v>
      </c>
      <c r="F925" s="329">
        <f t="shared" si="502"/>
        <v>0</v>
      </c>
      <c r="G925" s="338">
        <f t="shared" si="482"/>
        <v>76400000</v>
      </c>
      <c r="H925" s="329">
        <f t="shared" si="490"/>
        <v>0</v>
      </c>
      <c r="I925" s="338">
        <f t="shared" si="483"/>
        <v>44350150</v>
      </c>
      <c r="J925" s="329">
        <f t="shared" si="491"/>
        <v>0</v>
      </c>
      <c r="K925" s="338">
        <f t="shared" si="484"/>
        <v>13400000</v>
      </c>
      <c r="L925" s="329">
        <f t="shared" si="492"/>
        <v>0</v>
      </c>
      <c r="M925" s="338">
        <f t="shared" si="485"/>
        <v>24432976</v>
      </c>
      <c r="N925" s="329">
        <f t="shared" si="493"/>
        <v>0</v>
      </c>
      <c r="O925" s="338">
        <f t="shared" si="486"/>
        <v>14300000</v>
      </c>
      <c r="P925" s="329">
        <f t="shared" si="494"/>
        <v>0</v>
      </c>
      <c r="Q925" s="338">
        <f t="shared" si="487"/>
        <v>0</v>
      </c>
      <c r="R925" s="329">
        <f t="shared" si="495"/>
        <v>0</v>
      </c>
      <c r="S925" s="338">
        <f t="shared" si="488"/>
        <v>10000000</v>
      </c>
      <c r="T925" s="329">
        <f t="shared" si="496"/>
        <v>0</v>
      </c>
      <c r="U925" s="338">
        <f t="shared" si="498"/>
        <v>2200000</v>
      </c>
      <c r="V925" s="329">
        <f t="shared" si="497"/>
        <v>0</v>
      </c>
      <c r="W925" s="338">
        <f t="shared" si="489"/>
        <v>12224694.890000001</v>
      </c>
      <c r="X925" s="35"/>
    </row>
    <row r="926" spans="1:24" x14ac:dyDescent="0.25">
      <c r="A926" s="335">
        <f t="shared" si="501"/>
        <v>44637</v>
      </c>
      <c r="B926" s="49">
        <f t="shared" si="499"/>
        <v>0</v>
      </c>
      <c r="C926" s="338">
        <f t="shared" si="480"/>
        <v>118886089</v>
      </c>
      <c r="D926" s="329">
        <f t="shared" si="500"/>
        <v>0</v>
      </c>
      <c r="E926" s="338">
        <f t="shared" si="481"/>
        <v>9769566</v>
      </c>
      <c r="F926" s="329">
        <f t="shared" si="502"/>
        <v>0</v>
      </c>
      <c r="G926" s="338">
        <f t="shared" si="482"/>
        <v>76400000</v>
      </c>
      <c r="H926" s="329">
        <f t="shared" si="490"/>
        <v>0</v>
      </c>
      <c r="I926" s="338">
        <f t="shared" si="483"/>
        <v>44350150</v>
      </c>
      <c r="J926" s="329">
        <f t="shared" si="491"/>
        <v>0</v>
      </c>
      <c r="K926" s="338">
        <f t="shared" si="484"/>
        <v>13400000</v>
      </c>
      <c r="L926" s="329">
        <f t="shared" si="492"/>
        <v>0</v>
      </c>
      <c r="M926" s="338">
        <f t="shared" si="485"/>
        <v>24432976</v>
      </c>
      <c r="N926" s="329">
        <f t="shared" si="493"/>
        <v>0</v>
      </c>
      <c r="O926" s="338">
        <f t="shared" si="486"/>
        <v>14300000</v>
      </c>
      <c r="P926" s="329">
        <f t="shared" si="494"/>
        <v>0</v>
      </c>
      <c r="Q926" s="338">
        <f t="shared" si="487"/>
        <v>0</v>
      </c>
      <c r="R926" s="329">
        <f t="shared" si="495"/>
        <v>0</v>
      </c>
      <c r="S926" s="338">
        <f t="shared" si="488"/>
        <v>10000000</v>
      </c>
      <c r="T926" s="329">
        <f t="shared" si="496"/>
        <v>0</v>
      </c>
      <c r="U926" s="338">
        <f t="shared" si="498"/>
        <v>2200000</v>
      </c>
      <c r="V926" s="329">
        <f t="shared" si="497"/>
        <v>0</v>
      </c>
      <c r="W926" s="338">
        <f t="shared" si="489"/>
        <v>12224694.890000001</v>
      </c>
      <c r="X926" s="35"/>
    </row>
    <row r="927" spans="1:24" x14ac:dyDescent="0.25">
      <c r="A927" s="335">
        <f t="shared" si="501"/>
        <v>44638</v>
      </c>
      <c r="B927" s="49">
        <f t="shared" si="499"/>
        <v>0</v>
      </c>
      <c r="C927" s="338">
        <f t="shared" si="480"/>
        <v>118886089</v>
      </c>
      <c r="D927" s="329">
        <f t="shared" si="500"/>
        <v>0</v>
      </c>
      <c r="E927" s="338">
        <f t="shared" si="481"/>
        <v>9769566</v>
      </c>
      <c r="F927" s="329">
        <f t="shared" si="502"/>
        <v>0</v>
      </c>
      <c r="G927" s="338">
        <f t="shared" si="482"/>
        <v>76400000</v>
      </c>
      <c r="H927" s="329">
        <f t="shared" si="490"/>
        <v>0</v>
      </c>
      <c r="I927" s="338">
        <f t="shared" si="483"/>
        <v>44350150</v>
      </c>
      <c r="J927" s="329">
        <f t="shared" si="491"/>
        <v>0</v>
      </c>
      <c r="K927" s="338">
        <f t="shared" si="484"/>
        <v>13400000</v>
      </c>
      <c r="L927" s="329">
        <f t="shared" si="492"/>
        <v>0</v>
      </c>
      <c r="M927" s="338">
        <f t="shared" si="485"/>
        <v>24432976</v>
      </c>
      <c r="N927" s="329">
        <f t="shared" si="493"/>
        <v>0</v>
      </c>
      <c r="O927" s="338">
        <f t="shared" si="486"/>
        <v>14300000</v>
      </c>
      <c r="P927" s="329">
        <f t="shared" si="494"/>
        <v>0</v>
      </c>
      <c r="Q927" s="338">
        <f t="shared" si="487"/>
        <v>0</v>
      </c>
      <c r="R927" s="329">
        <f t="shared" si="495"/>
        <v>0</v>
      </c>
      <c r="S927" s="338">
        <f t="shared" si="488"/>
        <v>10000000</v>
      </c>
      <c r="T927" s="329">
        <f t="shared" si="496"/>
        <v>0</v>
      </c>
      <c r="U927" s="338">
        <f t="shared" si="498"/>
        <v>2200000</v>
      </c>
      <c r="V927" s="329">
        <f t="shared" si="497"/>
        <v>0</v>
      </c>
      <c r="W927" s="338">
        <f t="shared" si="489"/>
        <v>12224694.890000001</v>
      </c>
      <c r="X927" s="35"/>
    </row>
    <row r="928" spans="1:24" x14ac:dyDescent="0.25">
      <c r="A928" s="335">
        <f t="shared" si="501"/>
        <v>44639</v>
      </c>
      <c r="B928" s="49">
        <f t="shared" si="499"/>
        <v>0</v>
      </c>
      <c r="C928" s="338">
        <f t="shared" ref="C928:C965" si="503">B928+C927</f>
        <v>118886089</v>
      </c>
      <c r="D928" s="329">
        <f t="shared" si="500"/>
        <v>0</v>
      </c>
      <c r="E928" s="338">
        <f t="shared" ref="E928:E965" si="504">D928+E927</f>
        <v>9769566</v>
      </c>
      <c r="F928" s="329">
        <f t="shared" si="502"/>
        <v>0</v>
      </c>
      <c r="G928" s="338">
        <f t="shared" ref="G928:G965" si="505">F928+G927</f>
        <v>76400000</v>
      </c>
      <c r="H928" s="329">
        <f t="shared" si="490"/>
        <v>0</v>
      </c>
      <c r="I928" s="338">
        <f t="shared" ref="I928:I965" si="506">H928+I927</f>
        <v>44350150</v>
      </c>
      <c r="J928" s="329">
        <f t="shared" si="491"/>
        <v>0</v>
      </c>
      <c r="K928" s="338">
        <f t="shared" ref="K928:K965" si="507">J928+K927</f>
        <v>13400000</v>
      </c>
      <c r="L928" s="329">
        <f t="shared" si="492"/>
        <v>0</v>
      </c>
      <c r="M928" s="338">
        <f t="shared" ref="M928:M965" si="508">L928+M927</f>
        <v>24432976</v>
      </c>
      <c r="N928" s="329">
        <f t="shared" si="493"/>
        <v>0</v>
      </c>
      <c r="O928" s="338">
        <f t="shared" ref="O928:O965" si="509">N928+O927</f>
        <v>14300000</v>
      </c>
      <c r="P928" s="329">
        <f t="shared" si="494"/>
        <v>0</v>
      </c>
      <c r="Q928" s="338">
        <f t="shared" ref="Q928:Q965" si="510">P928+Q927</f>
        <v>0</v>
      </c>
      <c r="R928" s="329">
        <f t="shared" si="495"/>
        <v>0</v>
      </c>
      <c r="S928" s="338">
        <f t="shared" ref="S928:S965" si="511">R928+S927</f>
        <v>10000000</v>
      </c>
      <c r="T928" s="329">
        <f t="shared" si="496"/>
        <v>0</v>
      </c>
      <c r="U928" s="338">
        <f t="shared" si="498"/>
        <v>2200000</v>
      </c>
      <c r="V928" s="329">
        <f t="shared" si="497"/>
        <v>0</v>
      </c>
      <c r="W928" s="338">
        <f t="shared" ref="W928:W965" si="512">V928+W927</f>
        <v>12224694.890000001</v>
      </c>
      <c r="X928" s="35"/>
    </row>
    <row r="929" spans="1:24" x14ac:dyDescent="0.25">
      <c r="A929" s="335">
        <f t="shared" si="501"/>
        <v>44640</v>
      </c>
      <c r="B929" s="49">
        <f t="shared" si="499"/>
        <v>0</v>
      </c>
      <c r="C929" s="338">
        <f t="shared" si="503"/>
        <v>118886089</v>
      </c>
      <c r="D929" s="329">
        <f t="shared" si="500"/>
        <v>0</v>
      </c>
      <c r="E929" s="338">
        <f t="shared" si="504"/>
        <v>9769566</v>
      </c>
      <c r="F929" s="329">
        <f t="shared" si="502"/>
        <v>0</v>
      </c>
      <c r="G929" s="338">
        <f t="shared" si="505"/>
        <v>76400000</v>
      </c>
      <c r="H929" s="329">
        <f t="shared" si="490"/>
        <v>0</v>
      </c>
      <c r="I929" s="338">
        <f t="shared" si="506"/>
        <v>44350150</v>
      </c>
      <c r="J929" s="329">
        <f t="shared" si="491"/>
        <v>0</v>
      </c>
      <c r="K929" s="338">
        <f t="shared" si="507"/>
        <v>13400000</v>
      </c>
      <c r="L929" s="329">
        <f t="shared" si="492"/>
        <v>0</v>
      </c>
      <c r="M929" s="338">
        <f t="shared" si="508"/>
        <v>24432976</v>
      </c>
      <c r="N929" s="329">
        <f t="shared" si="493"/>
        <v>0</v>
      </c>
      <c r="O929" s="338">
        <f t="shared" si="509"/>
        <v>14300000</v>
      </c>
      <c r="P929" s="329">
        <f t="shared" si="494"/>
        <v>0</v>
      </c>
      <c r="Q929" s="338">
        <f t="shared" si="510"/>
        <v>0</v>
      </c>
      <c r="R929" s="329">
        <f t="shared" si="495"/>
        <v>0</v>
      </c>
      <c r="S929" s="338">
        <f t="shared" si="511"/>
        <v>10000000</v>
      </c>
      <c r="T929" s="329">
        <f t="shared" si="496"/>
        <v>0</v>
      </c>
      <c r="U929" s="338">
        <f t="shared" si="498"/>
        <v>2200000</v>
      </c>
      <c r="V929" s="329">
        <f t="shared" si="497"/>
        <v>0</v>
      </c>
      <c r="W929" s="338">
        <f t="shared" si="512"/>
        <v>12224694.890000001</v>
      </c>
      <c r="X929" s="35"/>
    </row>
    <row r="930" spans="1:24" x14ac:dyDescent="0.25">
      <c r="A930" s="335">
        <f t="shared" si="501"/>
        <v>44641</v>
      </c>
      <c r="B930" s="49">
        <f t="shared" si="499"/>
        <v>0</v>
      </c>
      <c r="C930" s="338">
        <f t="shared" si="503"/>
        <v>118886089</v>
      </c>
      <c r="D930" s="329">
        <f t="shared" si="500"/>
        <v>0</v>
      </c>
      <c r="E930" s="338">
        <f t="shared" si="504"/>
        <v>9769566</v>
      </c>
      <c r="F930" s="329">
        <f t="shared" si="502"/>
        <v>0</v>
      </c>
      <c r="G930" s="338">
        <f t="shared" si="505"/>
        <v>76400000</v>
      </c>
      <c r="H930" s="329">
        <f t="shared" si="490"/>
        <v>0</v>
      </c>
      <c r="I930" s="338">
        <f t="shared" si="506"/>
        <v>44350150</v>
      </c>
      <c r="J930" s="329">
        <f t="shared" si="491"/>
        <v>0</v>
      </c>
      <c r="K930" s="338">
        <f t="shared" si="507"/>
        <v>13400000</v>
      </c>
      <c r="L930" s="329">
        <f t="shared" si="492"/>
        <v>0</v>
      </c>
      <c r="M930" s="338">
        <f t="shared" si="508"/>
        <v>24432976</v>
      </c>
      <c r="N930" s="329">
        <f t="shared" si="493"/>
        <v>0</v>
      </c>
      <c r="O930" s="338">
        <f t="shared" si="509"/>
        <v>14300000</v>
      </c>
      <c r="P930" s="329">
        <f t="shared" si="494"/>
        <v>0</v>
      </c>
      <c r="Q930" s="338">
        <f t="shared" si="510"/>
        <v>0</v>
      </c>
      <c r="R930" s="329">
        <f t="shared" si="495"/>
        <v>0</v>
      </c>
      <c r="S930" s="338">
        <f t="shared" si="511"/>
        <v>10000000</v>
      </c>
      <c r="T930" s="329">
        <f t="shared" si="496"/>
        <v>0</v>
      </c>
      <c r="U930" s="338">
        <f t="shared" si="498"/>
        <v>2200000</v>
      </c>
      <c r="V930" s="329">
        <f t="shared" si="497"/>
        <v>0</v>
      </c>
      <c r="W930" s="338">
        <f t="shared" si="512"/>
        <v>12224694.890000001</v>
      </c>
      <c r="X930" s="35"/>
    </row>
    <row r="931" spans="1:24" x14ac:dyDescent="0.25">
      <c r="A931" s="335">
        <f t="shared" si="501"/>
        <v>44642</v>
      </c>
      <c r="B931" s="49">
        <f t="shared" si="499"/>
        <v>0</v>
      </c>
      <c r="C931" s="338">
        <f t="shared" si="503"/>
        <v>118886089</v>
      </c>
      <c r="D931" s="329">
        <f t="shared" si="500"/>
        <v>0</v>
      </c>
      <c r="E931" s="338">
        <f t="shared" si="504"/>
        <v>9769566</v>
      </c>
      <c r="F931" s="329">
        <f t="shared" si="502"/>
        <v>0</v>
      </c>
      <c r="G931" s="338">
        <f t="shared" si="505"/>
        <v>76400000</v>
      </c>
      <c r="H931" s="329">
        <f t="shared" si="490"/>
        <v>0</v>
      </c>
      <c r="I931" s="338">
        <f t="shared" si="506"/>
        <v>44350150</v>
      </c>
      <c r="J931" s="329">
        <f t="shared" si="491"/>
        <v>1700000</v>
      </c>
      <c r="K931" s="338">
        <f t="shared" si="507"/>
        <v>15100000</v>
      </c>
      <c r="L931" s="329">
        <f t="shared" si="492"/>
        <v>0</v>
      </c>
      <c r="M931" s="338">
        <f t="shared" si="508"/>
        <v>24432976</v>
      </c>
      <c r="N931" s="329">
        <f t="shared" si="493"/>
        <v>0</v>
      </c>
      <c r="O931" s="338">
        <f t="shared" si="509"/>
        <v>14300000</v>
      </c>
      <c r="P931" s="329">
        <f t="shared" si="494"/>
        <v>0</v>
      </c>
      <c r="Q931" s="338">
        <f t="shared" si="510"/>
        <v>0</v>
      </c>
      <c r="R931" s="329">
        <f t="shared" si="495"/>
        <v>0</v>
      </c>
      <c r="S931" s="338">
        <f t="shared" si="511"/>
        <v>10000000</v>
      </c>
      <c r="T931" s="329">
        <f t="shared" si="496"/>
        <v>0</v>
      </c>
      <c r="U931" s="338">
        <f t="shared" si="498"/>
        <v>2200000</v>
      </c>
      <c r="V931" s="329">
        <f t="shared" si="497"/>
        <v>0</v>
      </c>
      <c r="W931" s="338">
        <f t="shared" si="512"/>
        <v>12224694.890000001</v>
      </c>
      <c r="X931" s="35"/>
    </row>
    <row r="932" spans="1:24" x14ac:dyDescent="0.25">
      <c r="A932" s="335">
        <f t="shared" si="501"/>
        <v>44643</v>
      </c>
      <c r="B932" s="49">
        <f t="shared" si="499"/>
        <v>0</v>
      </c>
      <c r="C932" s="338">
        <f t="shared" si="503"/>
        <v>118886089</v>
      </c>
      <c r="D932" s="329">
        <f t="shared" si="500"/>
        <v>0</v>
      </c>
      <c r="E932" s="338">
        <f t="shared" si="504"/>
        <v>9769566</v>
      </c>
      <c r="F932" s="329">
        <f t="shared" si="502"/>
        <v>0</v>
      </c>
      <c r="G932" s="338">
        <f t="shared" si="505"/>
        <v>76400000</v>
      </c>
      <c r="H932" s="329">
        <f t="shared" si="490"/>
        <v>0</v>
      </c>
      <c r="I932" s="338">
        <f t="shared" si="506"/>
        <v>44350150</v>
      </c>
      <c r="J932" s="329">
        <f t="shared" si="491"/>
        <v>0</v>
      </c>
      <c r="K932" s="338">
        <f t="shared" si="507"/>
        <v>15100000</v>
      </c>
      <c r="L932" s="329">
        <f t="shared" si="492"/>
        <v>0</v>
      </c>
      <c r="M932" s="338">
        <f t="shared" si="508"/>
        <v>24432976</v>
      </c>
      <c r="N932" s="329">
        <f t="shared" si="493"/>
        <v>0</v>
      </c>
      <c r="O932" s="338">
        <f t="shared" si="509"/>
        <v>14300000</v>
      </c>
      <c r="P932" s="329">
        <f t="shared" si="494"/>
        <v>0</v>
      </c>
      <c r="Q932" s="338">
        <f t="shared" si="510"/>
        <v>0</v>
      </c>
      <c r="R932" s="329">
        <f t="shared" si="495"/>
        <v>0</v>
      </c>
      <c r="S932" s="338">
        <f t="shared" si="511"/>
        <v>10000000</v>
      </c>
      <c r="T932" s="329">
        <f t="shared" si="496"/>
        <v>0</v>
      </c>
      <c r="U932" s="338">
        <f t="shared" si="498"/>
        <v>2200000</v>
      </c>
      <c r="V932" s="329">
        <f t="shared" si="497"/>
        <v>0</v>
      </c>
      <c r="W932" s="338">
        <f t="shared" si="512"/>
        <v>12224694.890000001</v>
      </c>
      <c r="X932" s="35"/>
    </row>
    <row r="933" spans="1:24" x14ac:dyDescent="0.25">
      <c r="A933" s="335">
        <f t="shared" si="501"/>
        <v>44644</v>
      </c>
      <c r="B933" s="49">
        <f t="shared" si="499"/>
        <v>0</v>
      </c>
      <c r="C933" s="338">
        <f t="shared" si="503"/>
        <v>118886089</v>
      </c>
      <c r="D933" s="329">
        <f t="shared" si="500"/>
        <v>0</v>
      </c>
      <c r="E933" s="338">
        <f t="shared" si="504"/>
        <v>9769566</v>
      </c>
      <c r="F933" s="329">
        <f t="shared" si="502"/>
        <v>0</v>
      </c>
      <c r="G933" s="338">
        <f t="shared" si="505"/>
        <v>76400000</v>
      </c>
      <c r="H933" s="329">
        <f t="shared" si="490"/>
        <v>0</v>
      </c>
      <c r="I933" s="338">
        <f t="shared" si="506"/>
        <v>44350150</v>
      </c>
      <c r="J933" s="329">
        <f t="shared" si="491"/>
        <v>0</v>
      </c>
      <c r="K933" s="338">
        <f t="shared" si="507"/>
        <v>15100000</v>
      </c>
      <c r="L933" s="329">
        <f t="shared" si="492"/>
        <v>0</v>
      </c>
      <c r="M933" s="338">
        <f t="shared" si="508"/>
        <v>24432976</v>
      </c>
      <c r="N933" s="329">
        <f t="shared" si="493"/>
        <v>0</v>
      </c>
      <c r="O933" s="338">
        <f t="shared" si="509"/>
        <v>14300000</v>
      </c>
      <c r="P933" s="329">
        <f t="shared" si="494"/>
        <v>0</v>
      </c>
      <c r="Q933" s="338">
        <f t="shared" si="510"/>
        <v>0</v>
      </c>
      <c r="R933" s="329">
        <f t="shared" si="495"/>
        <v>0</v>
      </c>
      <c r="S933" s="338">
        <f t="shared" si="511"/>
        <v>10000000</v>
      </c>
      <c r="T933" s="329">
        <f t="shared" si="496"/>
        <v>0</v>
      </c>
      <c r="U933" s="338">
        <f t="shared" si="498"/>
        <v>2200000</v>
      </c>
      <c r="V933" s="329">
        <f t="shared" si="497"/>
        <v>0</v>
      </c>
      <c r="W933" s="338">
        <f t="shared" si="512"/>
        <v>12224694.890000001</v>
      </c>
      <c r="X933" s="35"/>
    </row>
    <row r="934" spans="1:24" x14ac:dyDescent="0.25">
      <c r="A934" s="335">
        <f t="shared" si="501"/>
        <v>44645</v>
      </c>
      <c r="B934" s="49">
        <f t="shared" si="499"/>
        <v>0</v>
      </c>
      <c r="C934" s="338">
        <f t="shared" si="503"/>
        <v>118886089</v>
      </c>
      <c r="D934" s="329">
        <f t="shared" si="500"/>
        <v>0</v>
      </c>
      <c r="E934" s="338">
        <f t="shared" si="504"/>
        <v>9769566</v>
      </c>
      <c r="F934" s="329">
        <f t="shared" si="502"/>
        <v>0</v>
      </c>
      <c r="G934" s="338">
        <f t="shared" si="505"/>
        <v>76400000</v>
      </c>
      <c r="H934" s="329">
        <f t="shared" si="490"/>
        <v>0</v>
      </c>
      <c r="I934" s="338">
        <f t="shared" si="506"/>
        <v>44350150</v>
      </c>
      <c r="J934" s="329">
        <f t="shared" si="491"/>
        <v>0</v>
      </c>
      <c r="K934" s="338">
        <f t="shared" si="507"/>
        <v>15100000</v>
      </c>
      <c r="L934" s="329">
        <f t="shared" si="492"/>
        <v>300000</v>
      </c>
      <c r="M934" s="338">
        <f t="shared" si="508"/>
        <v>24732976</v>
      </c>
      <c r="N934" s="329">
        <f t="shared" si="493"/>
        <v>0</v>
      </c>
      <c r="O934" s="338">
        <f t="shared" si="509"/>
        <v>14300000</v>
      </c>
      <c r="P934" s="329">
        <f t="shared" si="494"/>
        <v>0</v>
      </c>
      <c r="Q934" s="338">
        <f t="shared" si="510"/>
        <v>0</v>
      </c>
      <c r="R934" s="329">
        <f t="shared" si="495"/>
        <v>0</v>
      </c>
      <c r="S934" s="338">
        <f t="shared" si="511"/>
        <v>10000000</v>
      </c>
      <c r="T934" s="329">
        <f t="shared" si="496"/>
        <v>0</v>
      </c>
      <c r="U934" s="338">
        <f t="shared" si="498"/>
        <v>2200000</v>
      </c>
      <c r="V934" s="329">
        <f t="shared" si="497"/>
        <v>0</v>
      </c>
      <c r="W934" s="338">
        <f t="shared" si="512"/>
        <v>12224694.890000001</v>
      </c>
      <c r="X934" s="35"/>
    </row>
    <row r="935" spans="1:24" x14ac:dyDescent="0.25">
      <c r="A935" s="335">
        <f t="shared" si="501"/>
        <v>44646</v>
      </c>
      <c r="B935" s="49">
        <f t="shared" si="499"/>
        <v>0</v>
      </c>
      <c r="C935" s="338">
        <f t="shared" si="503"/>
        <v>118886089</v>
      </c>
      <c r="D935" s="329">
        <f t="shared" si="500"/>
        <v>0</v>
      </c>
      <c r="E935" s="338">
        <f t="shared" si="504"/>
        <v>9769566</v>
      </c>
      <c r="F935" s="329">
        <f t="shared" si="502"/>
        <v>0</v>
      </c>
      <c r="G935" s="338">
        <f t="shared" si="505"/>
        <v>76400000</v>
      </c>
      <c r="H935" s="329">
        <f t="shared" si="490"/>
        <v>0</v>
      </c>
      <c r="I935" s="338">
        <f t="shared" si="506"/>
        <v>44350150</v>
      </c>
      <c r="J935" s="329">
        <f t="shared" si="491"/>
        <v>0</v>
      </c>
      <c r="K935" s="338">
        <f t="shared" si="507"/>
        <v>15100000</v>
      </c>
      <c r="L935" s="329">
        <f t="shared" si="492"/>
        <v>0</v>
      </c>
      <c r="M935" s="338">
        <f t="shared" si="508"/>
        <v>24732976</v>
      </c>
      <c r="N935" s="329">
        <f t="shared" si="493"/>
        <v>0</v>
      </c>
      <c r="O935" s="338">
        <f t="shared" si="509"/>
        <v>14300000</v>
      </c>
      <c r="P935" s="329">
        <f t="shared" si="494"/>
        <v>0</v>
      </c>
      <c r="Q935" s="338">
        <f t="shared" si="510"/>
        <v>0</v>
      </c>
      <c r="R935" s="329">
        <f t="shared" si="495"/>
        <v>0</v>
      </c>
      <c r="S935" s="338">
        <f t="shared" si="511"/>
        <v>10000000</v>
      </c>
      <c r="T935" s="329">
        <f t="shared" si="496"/>
        <v>0</v>
      </c>
      <c r="U935" s="338">
        <f t="shared" si="498"/>
        <v>2200000</v>
      </c>
      <c r="V935" s="329">
        <f t="shared" si="497"/>
        <v>0</v>
      </c>
      <c r="W935" s="338">
        <f t="shared" si="512"/>
        <v>12224694.890000001</v>
      </c>
      <c r="X935" s="35"/>
    </row>
    <row r="936" spans="1:24" x14ac:dyDescent="0.25">
      <c r="A936" s="335">
        <f t="shared" si="501"/>
        <v>44647</v>
      </c>
      <c r="B936" s="49">
        <f t="shared" si="499"/>
        <v>0</v>
      </c>
      <c r="C936" s="338">
        <f t="shared" si="503"/>
        <v>118886089</v>
      </c>
      <c r="D936" s="329">
        <f t="shared" si="500"/>
        <v>0</v>
      </c>
      <c r="E936" s="338">
        <f t="shared" si="504"/>
        <v>9769566</v>
      </c>
      <c r="F936" s="329">
        <f t="shared" si="502"/>
        <v>0</v>
      </c>
      <c r="G936" s="338">
        <f t="shared" si="505"/>
        <v>76400000</v>
      </c>
      <c r="H936" s="329">
        <f t="shared" si="490"/>
        <v>0</v>
      </c>
      <c r="I936" s="338">
        <f t="shared" si="506"/>
        <v>44350150</v>
      </c>
      <c r="J936" s="329">
        <f t="shared" si="491"/>
        <v>0</v>
      </c>
      <c r="K936" s="338">
        <f t="shared" si="507"/>
        <v>15100000</v>
      </c>
      <c r="L936" s="329">
        <f t="shared" si="492"/>
        <v>0</v>
      </c>
      <c r="M936" s="338">
        <f t="shared" si="508"/>
        <v>24732976</v>
      </c>
      <c r="N936" s="329">
        <f t="shared" si="493"/>
        <v>0</v>
      </c>
      <c r="O936" s="338">
        <f t="shared" si="509"/>
        <v>14300000</v>
      </c>
      <c r="P936" s="329">
        <f t="shared" si="494"/>
        <v>0</v>
      </c>
      <c r="Q936" s="338">
        <f t="shared" si="510"/>
        <v>0</v>
      </c>
      <c r="R936" s="329">
        <f t="shared" si="495"/>
        <v>0</v>
      </c>
      <c r="S936" s="338">
        <f t="shared" si="511"/>
        <v>10000000</v>
      </c>
      <c r="T936" s="329">
        <f t="shared" si="496"/>
        <v>0</v>
      </c>
      <c r="U936" s="338">
        <f t="shared" si="498"/>
        <v>2200000</v>
      </c>
      <c r="V936" s="329">
        <f t="shared" si="497"/>
        <v>0</v>
      </c>
      <c r="W936" s="338">
        <f t="shared" si="512"/>
        <v>12224694.890000001</v>
      </c>
      <c r="X936" s="35"/>
    </row>
    <row r="937" spans="1:24" x14ac:dyDescent="0.25">
      <c r="A937" s="335">
        <f t="shared" si="501"/>
        <v>44648</v>
      </c>
      <c r="B937" s="49">
        <f t="shared" si="499"/>
        <v>0</v>
      </c>
      <c r="C937" s="338">
        <f t="shared" si="503"/>
        <v>118886089</v>
      </c>
      <c r="D937" s="329">
        <f t="shared" si="500"/>
        <v>0</v>
      </c>
      <c r="E937" s="338">
        <f t="shared" si="504"/>
        <v>9769566</v>
      </c>
      <c r="F937" s="329">
        <f t="shared" si="502"/>
        <v>0</v>
      </c>
      <c r="G937" s="338">
        <f t="shared" si="505"/>
        <v>76400000</v>
      </c>
      <c r="H937" s="329">
        <f t="shared" si="490"/>
        <v>0</v>
      </c>
      <c r="I937" s="338">
        <f t="shared" si="506"/>
        <v>44350150</v>
      </c>
      <c r="J937" s="329">
        <f t="shared" si="491"/>
        <v>0</v>
      </c>
      <c r="K937" s="338">
        <f t="shared" si="507"/>
        <v>15100000</v>
      </c>
      <c r="L937" s="329">
        <f t="shared" si="492"/>
        <v>600000</v>
      </c>
      <c r="M937" s="338">
        <f t="shared" si="508"/>
        <v>25332976</v>
      </c>
      <c r="N937" s="329">
        <f t="shared" si="493"/>
        <v>0</v>
      </c>
      <c r="O937" s="338">
        <f t="shared" si="509"/>
        <v>14300000</v>
      </c>
      <c r="P937" s="329">
        <f t="shared" si="494"/>
        <v>0</v>
      </c>
      <c r="Q937" s="338">
        <f t="shared" si="510"/>
        <v>0</v>
      </c>
      <c r="R937" s="329">
        <f t="shared" si="495"/>
        <v>0</v>
      </c>
      <c r="S937" s="338">
        <f t="shared" si="511"/>
        <v>10000000</v>
      </c>
      <c r="T937" s="329">
        <f t="shared" si="496"/>
        <v>0</v>
      </c>
      <c r="U937" s="338">
        <f t="shared" si="498"/>
        <v>2200000</v>
      </c>
      <c r="V937" s="329">
        <f t="shared" si="497"/>
        <v>0</v>
      </c>
      <c r="W937" s="338">
        <f t="shared" si="512"/>
        <v>12224694.890000001</v>
      </c>
      <c r="X937" s="35"/>
    </row>
    <row r="938" spans="1:24" x14ac:dyDescent="0.25">
      <c r="A938" s="335">
        <f t="shared" si="501"/>
        <v>44649</v>
      </c>
      <c r="B938" s="49">
        <f t="shared" si="499"/>
        <v>0</v>
      </c>
      <c r="C938" s="338">
        <f t="shared" si="503"/>
        <v>118886089</v>
      </c>
      <c r="D938" s="329">
        <f t="shared" si="500"/>
        <v>0</v>
      </c>
      <c r="E938" s="338">
        <f t="shared" si="504"/>
        <v>9769566</v>
      </c>
      <c r="F938" s="329">
        <f t="shared" si="502"/>
        <v>0</v>
      </c>
      <c r="G938" s="338">
        <f t="shared" si="505"/>
        <v>76400000</v>
      </c>
      <c r="H938" s="329">
        <f t="shared" si="490"/>
        <v>0</v>
      </c>
      <c r="I938" s="338">
        <f t="shared" si="506"/>
        <v>44350150</v>
      </c>
      <c r="J938" s="329">
        <f t="shared" si="491"/>
        <v>0</v>
      </c>
      <c r="K938" s="338">
        <f t="shared" si="507"/>
        <v>15100000</v>
      </c>
      <c r="L938" s="329">
        <f t="shared" si="492"/>
        <v>0</v>
      </c>
      <c r="M938" s="338">
        <f t="shared" si="508"/>
        <v>25332976</v>
      </c>
      <c r="N938" s="329">
        <f t="shared" si="493"/>
        <v>0</v>
      </c>
      <c r="O938" s="338">
        <f t="shared" si="509"/>
        <v>14300000</v>
      </c>
      <c r="P938" s="329">
        <f t="shared" si="494"/>
        <v>0</v>
      </c>
      <c r="Q938" s="338">
        <f t="shared" si="510"/>
        <v>0</v>
      </c>
      <c r="R938" s="329">
        <f t="shared" si="495"/>
        <v>0</v>
      </c>
      <c r="S938" s="338">
        <f t="shared" si="511"/>
        <v>10000000</v>
      </c>
      <c r="T938" s="329">
        <f t="shared" si="496"/>
        <v>0</v>
      </c>
      <c r="U938" s="338">
        <f t="shared" si="498"/>
        <v>2200000</v>
      </c>
      <c r="V938" s="329">
        <f t="shared" si="497"/>
        <v>0</v>
      </c>
      <c r="W938" s="338">
        <f t="shared" si="512"/>
        <v>12224694.890000001</v>
      </c>
      <c r="X938" s="35"/>
    </row>
    <row r="939" spans="1:24" x14ac:dyDescent="0.25">
      <c r="A939" s="335">
        <f t="shared" si="501"/>
        <v>44650</v>
      </c>
      <c r="B939" s="49">
        <f t="shared" si="499"/>
        <v>0</v>
      </c>
      <c r="C939" s="338">
        <f t="shared" si="503"/>
        <v>118886089</v>
      </c>
      <c r="D939" s="329">
        <f t="shared" si="500"/>
        <v>0</v>
      </c>
      <c r="E939" s="338">
        <f t="shared" si="504"/>
        <v>9769566</v>
      </c>
      <c r="F939" s="329">
        <f t="shared" si="502"/>
        <v>0</v>
      </c>
      <c r="G939" s="338">
        <f t="shared" si="505"/>
        <v>76400000</v>
      </c>
      <c r="H939" s="329">
        <f t="shared" ref="H939:H1002" si="513">SUMIFS(Usage_Main,CF_Dates,$A939,CF_Descriptions,"XS2091648928 Change")</f>
        <v>0</v>
      </c>
      <c r="I939" s="338">
        <f t="shared" si="506"/>
        <v>44350150</v>
      </c>
      <c r="J939" s="329">
        <f t="shared" ref="J939:J1002" si="514">SUMIFS(Usage_Main,CF_Dates,$A939,CF_Descriptions,"Southern Apple Change")</f>
        <v>0</v>
      </c>
      <c r="K939" s="338">
        <f t="shared" si="507"/>
        <v>15100000</v>
      </c>
      <c r="L939" s="329">
        <f t="shared" ref="L939:L1002" si="515">SUMIFS(Usage_Main,CF_Dates,$A939,CF_Descriptions,"ALMONDUSD Change")</f>
        <v>0</v>
      </c>
      <c r="M939" s="338">
        <f t="shared" si="508"/>
        <v>25332976</v>
      </c>
      <c r="N939" s="329">
        <f t="shared" ref="N939:N1002" si="516">SUMIFS(Usage_Main,CF_Dates,$A939,CF_Descriptions,"ALMONDEUR Change")</f>
        <v>0</v>
      </c>
      <c r="O939" s="338">
        <f t="shared" si="509"/>
        <v>14300000</v>
      </c>
      <c r="P939" s="329">
        <f t="shared" ref="P939:P1002" si="517">SUMIFS(Usage_Main,CF_Dates,$A939,CF_Descriptions,"HEXZETA Change")</f>
        <v>0</v>
      </c>
      <c r="Q939" s="338">
        <f t="shared" si="510"/>
        <v>0</v>
      </c>
      <c r="R939" s="329">
        <f t="shared" ref="R939:R1002" si="518">SUMIFS(Usage_Main,CF_Dates,$A939,CF_Descriptions,"MNTNCHERRY Change")</f>
        <v>0</v>
      </c>
      <c r="S939" s="338">
        <f t="shared" si="511"/>
        <v>10000000</v>
      </c>
      <c r="T939" s="329">
        <f t="shared" ref="T939:T1002" si="519">SUMIFS(Usage_Main,CF_Dates,$A939,CF_Descriptions,"OLIVEUSD Change")</f>
        <v>0</v>
      </c>
      <c r="U939" s="338">
        <f t="shared" si="498"/>
        <v>2200000</v>
      </c>
      <c r="V939" s="329">
        <f t="shared" ref="V939:V1002" si="520">SUMIFS(Usage_Main,CF_Dates,$A939,CF_Descriptions,"OLIVEEUR Change")</f>
        <v>0</v>
      </c>
      <c r="W939" s="338">
        <f t="shared" si="512"/>
        <v>12224694.890000001</v>
      </c>
      <c r="X939" s="35"/>
    </row>
    <row r="940" spans="1:24" x14ac:dyDescent="0.25">
      <c r="A940" s="335">
        <f t="shared" si="501"/>
        <v>44651</v>
      </c>
      <c r="B940" s="49">
        <f t="shared" si="499"/>
        <v>0</v>
      </c>
      <c r="C940" s="338">
        <f t="shared" si="503"/>
        <v>118886089</v>
      </c>
      <c r="D940" s="329">
        <f t="shared" si="500"/>
        <v>0</v>
      </c>
      <c r="E940" s="338">
        <f t="shared" si="504"/>
        <v>9769566</v>
      </c>
      <c r="F940" s="329">
        <f t="shared" si="502"/>
        <v>0</v>
      </c>
      <c r="G940" s="338">
        <f t="shared" si="505"/>
        <v>76400000</v>
      </c>
      <c r="H940" s="329">
        <f t="shared" si="513"/>
        <v>0</v>
      </c>
      <c r="I940" s="338">
        <f t="shared" si="506"/>
        <v>44350150</v>
      </c>
      <c r="J940" s="329">
        <f t="shared" si="514"/>
        <v>0</v>
      </c>
      <c r="K940" s="338">
        <f t="shared" si="507"/>
        <v>15100000</v>
      </c>
      <c r="L940" s="329">
        <f t="shared" si="515"/>
        <v>0</v>
      </c>
      <c r="M940" s="338">
        <f t="shared" si="508"/>
        <v>25332976</v>
      </c>
      <c r="N940" s="329">
        <f t="shared" si="516"/>
        <v>0</v>
      </c>
      <c r="O940" s="338">
        <f t="shared" si="509"/>
        <v>14300000</v>
      </c>
      <c r="P940" s="329">
        <f t="shared" si="517"/>
        <v>0</v>
      </c>
      <c r="Q940" s="338">
        <f t="shared" si="510"/>
        <v>0</v>
      </c>
      <c r="R940" s="329">
        <f t="shared" si="518"/>
        <v>0</v>
      </c>
      <c r="S940" s="338">
        <f t="shared" si="511"/>
        <v>10000000</v>
      </c>
      <c r="T940" s="329">
        <f t="shared" si="519"/>
        <v>0</v>
      </c>
      <c r="U940" s="338">
        <f t="shared" ref="U940:U1003" si="521">T940+U939</f>
        <v>2200000</v>
      </c>
      <c r="V940" s="329">
        <f t="shared" si="520"/>
        <v>0</v>
      </c>
      <c r="W940" s="338">
        <f t="shared" si="512"/>
        <v>12224694.890000001</v>
      </c>
      <c r="X940" s="35"/>
    </row>
    <row r="941" spans="1:24" x14ac:dyDescent="0.25">
      <c r="A941" s="335">
        <f t="shared" si="501"/>
        <v>44652</v>
      </c>
      <c r="B941" s="49">
        <f t="shared" si="499"/>
        <v>0</v>
      </c>
      <c r="C941" s="338">
        <f t="shared" si="503"/>
        <v>118886089</v>
      </c>
      <c r="D941" s="329">
        <f t="shared" si="500"/>
        <v>0</v>
      </c>
      <c r="E941" s="338">
        <f t="shared" si="504"/>
        <v>9769566</v>
      </c>
      <c r="F941" s="329">
        <f t="shared" si="502"/>
        <v>0</v>
      </c>
      <c r="G941" s="338">
        <f t="shared" si="505"/>
        <v>76400000</v>
      </c>
      <c r="H941" s="329">
        <f t="shared" si="513"/>
        <v>0</v>
      </c>
      <c r="I941" s="338">
        <f t="shared" si="506"/>
        <v>44350150</v>
      </c>
      <c r="J941" s="329">
        <f t="shared" si="514"/>
        <v>0</v>
      </c>
      <c r="K941" s="338">
        <f t="shared" si="507"/>
        <v>15100000</v>
      </c>
      <c r="L941" s="329">
        <f t="shared" si="515"/>
        <v>0</v>
      </c>
      <c r="M941" s="338">
        <f t="shared" si="508"/>
        <v>25332976</v>
      </c>
      <c r="N941" s="329">
        <f t="shared" si="516"/>
        <v>0</v>
      </c>
      <c r="O941" s="338">
        <f t="shared" si="509"/>
        <v>14300000</v>
      </c>
      <c r="P941" s="329">
        <f t="shared" si="517"/>
        <v>0</v>
      </c>
      <c r="Q941" s="338">
        <f t="shared" si="510"/>
        <v>0</v>
      </c>
      <c r="R941" s="329">
        <f t="shared" si="518"/>
        <v>0</v>
      </c>
      <c r="S941" s="338">
        <f t="shared" si="511"/>
        <v>10000000</v>
      </c>
      <c r="T941" s="329">
        <f t="shared" si="519"/>
        <v>0</v>
      </c>
      <c r="U941" s="338">
        <f t="shared" si="521"/>
        <v>2200000</v>
      </c>
      <c r="V941" s="329">
        <f t="shared" si="520"/>
        <v>0</v>
      </c>
      <c r="W941" s="338">
        <f t="shared" si="512"/>
        <v>12224694.890000001</v>
      </c>
      <c r="X941" s="35"/>
    </row>
    <row r="942" spans="1:24" x14ac:dyDescent="0.25">
      <c r="A942" s="335">
        <f t="shared" si="501"/>
        <v>44653</v>
      </c>
      <c r="B942" s="49">
        <f t="shared" si="499"/>
        <v>0</v>
      </c>
      <c r="C942" s="338">
        <f t="shared" si="503"/>
        <v>118886089</v>
      </c>
      <c r="D942" s="329">
        <f t="shared" si="500"/>
        <v>0</v>
      </c>
      <c r="E942" s="338">
        <f t="shared" si="504"/>
        <v>9769566</v>
      </c>
      <c r="F942" s="329">
        <f t="shared" si="502"/>
        <v>0</v>
      </c>
      <c r="G942" s="338">
        <f t="shared" si="505"/>
        <v>76400000</v>
      </c>
      <c r="H942" s="329">
        <f t="shared" si="513"/>
        <v>0</v>
      </c>
      <c r="I942" s="338">
        <f t="shared" si="506"/>
        <v>44350150</v>
      </c>
      <c r="J942" s="329">
        <f t="shared" si="514"/>
        <v>0</v>
      </c>
      <c r="K942" s="338">
        <f t="shared" si="507"/>
        <v>15100000</v>
      </c>
      <c r="L942" s="329">
        <f t="shared" si="515"/>
        <v>0</v>
      </c>
      <c r="M942" s="338">
        <f t="shared" si="508"/>
        <v>25332976</v>
      </c>
      <c r="N942" s="329">
        <f t="shared" si="516"/>
        <v>0</v>
      </c>
      <c r="O942" s="338">
        <f t="shared" si="509"/>
        <v>14300000</v>
      </c>
      <c r="P942" s="329">
        <f t="shared" si="517"/>
        <v>0</v>
      </c>
      <c r="Q942" s="338">
        <f t="shared" si="510"/>
        <v>0</v>
      </c>
      <c r="R942" s="329">
        <f t="shared" si="518"/>
        <v>0</v>
      </c>
      <c r="S942" s="338">
        <f t="shared" si="511"/>
        <v>10000000</v>
      </c>
      <c r="T942" s="329">
        <f t="shared" si="519"/>
        <v>0</v>
      </c>
      <c r="U942" s="338">
        <f t="shared" si="521"/>
        <v>2200000</v>
      </c>
      <c r="V942" s="329">
        <f t="shared" si="520"/>
        <v>0</v>
      </c>
      <c r="W942" s="338">
        <f t="shared" si="512"/>
        <v>12224694.890000001</v>
      </c>
      <c r="X942" s="35"/>
    </row>
    <row r="943" spans="1:24" x14ac:dyDescent="0.25">
      <c r="A943" s="335">
        <f t="shared" si="501"/>
        <v>44654</v>
      </c>
      <c r="B943" s="49">
        <f t="shared" si="499"/>
        <v>0</v>
      </c>
      <c r="C943" s="338">
        <f t="shared" si="503"/>
        <v>118886089</v>
      </c>
      <c r="D943" s="329">
        <f t="shared" si="500"/>
        <v>0</v>
      </c>
      <c r="E943" s="338">
        <f t="shared" si="504"/>
        <v>9769566</v>
      </c>
      <c r="F943" s="329">
        <f t="shared" si="502"/>
        <v>0</v>
      </c>
      <c r="G943" s="338">
        <f t="shared" si="505"/>
        <v>76400000</v>
      </c>
      <c r="H943" s="329">
        <f t="shared" si="513"/>
        <v>0</v>
      </c>
      <c r="I943" s="338">
        <f t="shared" si="506"/>
        <v>44350150</v>
      </c>
      <c r="J943" s="329">
        <f t="shared" si="514"/>
        <v>0</v>
      </c>
      <c r="K943" s="338">
        <f t="shared" si="507"/>
        <v>15100000</v>
      </c>
      <c r="L943" s="329">
        <f t="shared" si="515"/>
        <v>0</v>
      </c>
      <c r="M943" s="338">
        <f t="shared" si="508"/>
        <v>25332976</v>
      </c>
      <c r="N943" s="329">
        <f t="shared" si="516"/>
        <v>0</v>
      </c>
      <c r="O943" s="338">
        <f t="shared" si="509"/>
        <v>14300000</v>
      </c>
      <c r="P943" s="329">
        <f t="shared" si="517"/>
        <v>0</v>
      </c>
      <c r="Q943" s="338">
        <f t="shared" si="510"/>
        <v>0</v>
      </c>
      <c r="R943" s="329">
        <f t="shared" si="518"/>
        <v>0</v>
      </c>
      <c r="S943" s="338">
        <f t="shared" si="511"/>
        <v>10000000</v>
      </c>
      <c r="T943" s="329">
        <f t="shared" si="519"/>
        <v>0</v>
      </c>
      <c r="U943" s="338">
        <f t="shared" si="521"/>
        <v>2200000</v>
      </c>
      <c r="V943" s="329">
        <f t="shared" si="520"/>
        <v>0</v>
      </c>
      <c r="W943" s="338">
        <f t="shared" si="512"/>
        <v>12224694.890000001</v>
      </c>
      <c r="X943" s="35"/>
    </row>
    <row r="944" spans="1:24" x14ac:dyDescent="0.25">
      <c r="A944" s="335">
        <f t="shared" si="501"/>
        <v>44655</v>
      </c>
      <c r="B944" s="49">
        <f t="shared" si="499"/>
        <v>0</v>
      </c>
      <c r="C944" s="338">
        <f t="shared" si="503"/>
        <v>118886089</v>
      </c>
      <c r="D944" s="329">
        <f t="shared" si="500"/>
        <v>0</v>
      </c>
      <c r="E944" s="338">
        <f t="shared" si="504"/>
        <v>9769566</v>
      </c>
      <c r="F944" s="329">
        <f t="shared" si="502"/>
        <v>0</v>
      </c>
      <c r="G944" s="338">
        <f t="shared" si="505"/>
        <v>76400000</v>
      </c>
      <c r="H944" s="329">
        <f t="shared" si="513"/>
        <v>0</v>
      </c>
      <c r="I944" s="338">
        <f t="shared" si="506"/>
        <v>44350150</v>
      </c>
      <c r="J944" s="329">
        <f t="shared" si="514"/>
        <v>0</v>
      </c>
      <c r="K944" s="338">
        <f t="shared" si="507"/>
        <v>15100000</v>
      </c>
      <c r="L944" s="329">
        <f t="shared" si="515"/>
        <v>0</v>
      </c>
      <c r="M944" s="338">
        <f t="shared" si="508"/>
        <v>25332976</v>
      </c>
      <c r="N944" s="329">
        <f t="shared" si="516"/>
        <v>0</v>
      </c>
      <c r="O944" s="338">
        <f t="shared" si="509"/>
        <v>14300000</v>
      </c>
      <c r="P944" s="329">
        <f t="shared" si="517"/>
        <v>0</v>
      </c>
      <c r="Q944" s="338">
        <f t="shared" si="510"/>
        <v>0</v>
      </c>
      <c r="R944" s="329">
        <f t="shared" si="518"/>
        <v>0</v>
      </c>
      <c r="S944" s="338">
        <f t="shared" si="511"/>
        <v>10000000</v>
      </c>
      <c r="T944" s="329">
        <f t="shared" si="519"/>
        <v>0</v>
      </c>
      <c r="U944" s="338">
        <f t="shared" si="521"/>
        <v>2200000</v>
      </c>
      <c r="V944" s="329">
        <f t="shared" si="520"/>
        <v>0</v>
      </c>
      <c r="W944" s="338">
        <f t="shared" si="512"/>
        <v>12224694.890000001</v>
      </c>
      <c r="X944" s="35"/>
    </row>
    <row r="945" spans="1:24" x14ac:dyDescent="0.25">
      <c r="A945" s="335">
        <f t="shared" si="501"/>
        <v>44656</v>
      </c>
      <c r="B945" s="49">
        <f t="shared" si="499"/>
        <v>0</v>
      </c>
      <c r="C945" s="338">
        <f t="shared" si="503"/>
        <v>118886089</v>
      </c>
      <c r="D945" s="329">
        <f t="shared" si="500"/>
        <v>0</v>
      </c>
      <c r="E945" s="338">
        <f t="shared" si="504"/>
        <v>9769566</v>
      </c>
      <c r="F945" s="329">
        <f t="shared" si="502"/>
        <v>0</v>
      </c>
      <c r="G945" s="338">
        <f t="shared" si="505"/>
        <v>76400000</v>
      </c>
      <c r="H945" s="329">
        <f t="shared" si="513"/>
        <v>0</v>
      </c>
      <c r="I945" s="338">
        <f t="shared" si="506"/>
        <v>44350150</v>
      </c>
      <c r="J945" s="329">
        <f t="shared" si="514"/>
        <v>0</v>
      </c>
      <c r="K945" s="338">
        <f t="shared" si="507"/>
        <v>15100000</v>
      </c>
      <c r="L945" s="329">
        <f t="shared" si="515"/>
        <v>0</v>
      </c>
      <c r="M945" s="338">
        <f t="shared" si="508"/>
        <v>25332976</v>
      </c>
      <c r="N945" s="329">
        <f t="shared" si="516"/>
        <v>0</v>
      </c>
      <c r="O945" s="338">
        <f t="shared" si="509"/>
        <v>14300000</v>
      </c>
      <c r="P945" s="329">
        <f t="shared" si="517"/>
        <v>0</v>
      </c>
      <c r="Q945" s="338">
        <f t="shared" si="510"/>
        <v>0</v>
      </c>
      <c r="R945" s="329">
        <f t="shared" si="518"/>
        <v>0</v>
      </c>
      <c r="S945" s="338">
        <f t="shared" si="511"/>
        <v>10000000</v>
      </c>
      <c r="T945" s="329">
        <f t="shared" si="519"/>
        <v>0</v>
      </c>
      <c r="U945" s="338">
        <f t="shared" si="521"/>
        <v>2200000</v>
      </c>
      <c r="V945" s="329">
        <f t="shared" si="520"/>
        <v>0</v>
      </c>
      <c r="W945" s="338">
        <f t="shared" si="512"/>
        <v>12224694.890000001</v>
      </c>
      <c r="X945" s="35"/>
    </row>
    <row r="946" spans="1:24" x14ac:dyDescent="0.25">
      <c r="A946" s="335">
        <f t="shared" si="501"/>
        <v>44657</v>
      </c>
      <c r="B946" s="49">
        <f t="shared" si="499"/>
        <v>0</v>
      </c>
      <c r="C946" s="338">
        <f t="shared" si="503"/>
        <v>118886089</v>
      </c>
      <c r="D946" s="329">
        <f t="shared" si="500"/>
        <v>0</v>
      </c>
      <c r="E946" s="338">
        <f t="shared" si="504"/>
        <v>9769566</v>
      </c>
      <c r="F946" s="329">
        <f t="shared" si="502"/>
        <v>0</v>
      </c>
      <c r="G946" s="338">
        <f t="shared" si="505"/>
        <v>76400000</v>
      </c>
      <c r="H946" s="329">
        <f t="shared" si="513"/>
        <v>0</v>
      </c>
      <c r="I946" s="338">
        <f t="shared" si="506"/>
        <v>44350150</v>
      </c>
      <c r="J946" s="329">
        <f t="shared" si="514"/>
        <v>0</v>
      </c>
      <c r="K946" s="338">
        <f t="shared" si="507"/>
        <v>15100000</v>
      </c>
      <c r="L946" s="329">
        <f t="shared" si="515"/>
        <v>0</v>
      </c>
      <c r="M946" s="338">
        <f t="shared" si="508"/>
        <v>25332976</v>
      </c>
      <c r="N946" s="329">
        <f t="shared" si="516"/>
        <v>0</v>
      </c>
      <c r="O946" s="338">
        <f t="shared" si="509"/>
        <v>14300000</v>
      </c>
      <c r="P946" s="329">
        <f t="shared" si="517"/>
        <v>0</v>
      </c>
      <c r="Q946" s="338">
        <f t="shared" si="510"/>
        <v>0</v>
      </c>
      <c r="R946" s="329">
        <f t="shared" si="518"/>
        <v>0</v>
      </c>
      <c r="S946" s="338">
        <f t="shared" si="511"/>
        <v>10000000</v>
      </c>
      <c r="T946" s="329">
        <f t="shared" si="519"/>
        <v>0</v>
      </c>
      <c r="U946" s="338">
        <f t="shared" si="521"/>
        <v>2200000</v>
      </c>
      <c r="V946" s="329">
        <f t="shared" si="520"/>
        <v>0</v>
      </c>
      <c r="W946" s="338">
        <f t="shared" si="512"/>
        <v>12224694.890000001</v>
      </c>
      <c r="X946" s="35"/>
    </row>
    <row r="947" spans="1:24" x14ac:dyDescent="0.25">
      <c r="A947" s="335">
        <f t="shared" si="501"/>
        <v>44658</v>
      </c>
      <c r="B947" s="49">
        <f t="shared" ref="B947:B1010" si="522">SUMIFS(Usage_Main,CF_Dates,$A947,CF_Descriptions,"XS1951177309 Change")</f>
        <v>0</v>
      </c>
      <c r="C947" s="338">
        <f t="shared" si="503"/>
        <v>118886089</v>
      </c>
      <c r="D947" s="329">
        <f t="shared" ref="D947:D1010" si="523">SUMIFS(Usage_Main,CF_Dates,$A947,CF_Descriptions,"SOSPRUCE1 Change")</f>
        <v>0</v>
      </c>
      <c r="E947" s="338">
        <f t="shared" si="504"/>
        <v>9769566</v>
      </c>
      <c r="F947" s="329">
        <f t="shared" si="502"/>
        <v>0</v>
      </c>
      <c r="G947" s="338">
        <f t="shared" si="505"/>
        <v>76400000</v>
      </c>
      <c r="H947" s="329">
        <f t="shared" si="513"/>
        <v>0</v>
      </c>
      <c r="I947" s="338">
        <f t="shared" si="506"/>
        <v>44350150</v>
      </c>
      <c r="J947" s="329">
        <f t="shared" si="514"/>
        <v>0</v>
      </c>
      <c r="K947" s="338">
        <f t="shared" si="507"/>
        <v>15100000</v>
      </c>
      <c r="L947" s="329">
        <f t="shared" si="515"/>
        <v>0</v>
      </c>
      <c r="M947" s="338">
        <f t="shared" si="508"/>
        <v>25332976</v>
      </c>
      <c r="N947" s="329">
        <f t="shared" si="516"/>
        <v>0</v>
      </c>
      <c r="O947" s="338">
        <f t="shared" si="509"/>
        <v>14300000</v>
      </c>
      <c r="P947" s="329">
        <f t="shared" si="517"/>
        <v>0</v>
      </c>
      <c r="Q947" s="338">
        <f t="shared" si="510"/>
        <v>0</v>
      </c>
      <c r="R947" s="329">
        <f t="shared" si="518"/>
        <v>0</v>
      </c>
      <c r="S947" s="338">
        <f t="shared" si="511"/>
        <v>10000000</v>
      </c>
      <c r="T947" s="329">
        <f t="shared" si="519"/>
        <v>0</v>
      </c>
      <c r="U947" s="338">
        <f t="shared" si="521"/>
        <v>2200000</v>
      </c>
      <c r="V947" s="329">
        <f t="shared" si="520"/>
        <v>0</v>
      </c>
      <c r="W947" s="338">
        <f t="shared" si="512"/>
        <v>12224694.890000001</v>
      </c>
      <c r="X947" s="35"/>
    </row>
    <row r="948" spans="1:24" x14ac:dyDescent="0.25">
      <c r="A948" s="335">
        <f t="shared" si="501"/>
        <v>44659</v>
      </c>
      <c r="B948" s="49">
        <f t="shared" si="522"/>
        <v>0</v>
      </c>
      <c r="C948" s="338">
        <f t="shared" si="503"/>
        <v>118886089</v>
      </c>
      <c r="D948" s="329">
        <f t="shared" si="523"/>
        <v>0</v>
      </c>
      <c r="E948" s="338">
        <f t="shared" si="504"/>
        <v>9769566</v>
      </c>
      <c r="F948" s="329">
        <f t="shared" si="502"/>
        <v>0</v>
      </c>
      <c r="G948" s="338">
        <f t="shared" si="505"/>
        <v>76400000</v>
      </c>
      <c r="H948" s="329">
        <f t="shared" si="513"/>
        <v>0</v>
      </c>
      <c r="I948" s="338">
        <f t="shared" si="506"/>
        <v>44350150</v>
      </c>
      <c r="J948" s="329">
        <f t="shared" si="514"/>
        <v>0</v>
      </c>
      <c r="K948" s="338">
        <f t="shared" si="507"/>
        <v>15100000</v>
      </c>
      <c r="L948" s="329">
        <f t="shared" si="515"/>
        <v>0</v>
      </c>
      <c r="M948" s="338">
        <f t="shared" si="508"/>
        <v>25332976</v>
      </c>
      <c r="N948" s="329">
        <f t="shared" si="516"/>
        <v>0</v>
      </c>
      <c r="O948" s="338">
        <f t="shared" si="509"/>
        <v>14300000</v>
      </c>
      <c r="P948" s="329">
        <f t="shared" si="517"/>
        <v>0</v>
      </c>
      <c r="Q948" s="338">
        <f t="shared" si="510"/>
        <v>0</v>
      </c>
      <c r="R948" s="329">
        <f t="shared" si="518"/>
        <v>0</v>
      </c>
      <c r="S948" s="338">
        <f t="shared" si="511"/>
        <v>10000000</v>
      </c>
      <c r="T948" s="329">
        <f t="shared" si="519"/>
        <v>0</v>
      </c>
      <c r="U948" s="338">
        <f t="shared" si="521"/>
        <v>2200000</v>
      </c>
      <c r="V948" s="329">
        <f t="shared" si="520"/>
        <v>0</v>
      </c>
      <c r="W948" s="338">
        <f t="shared" si="512"/>
        <v>12224694.890000001</v>
      </c>
      <c r="X948" s="35"/>
    </row>
    <row r="949" spans="1:24" x14ac:dyDescent="0.25">
      <c r="A949" s="335">
        <f t="shared" si="501"/>
        <v>44660</v>
      </c>
      <c r="B949" s="49">
        <f t="shared" si="522"/>
        <v>0</v>
      </c>
      <c r="C949" s="338">
        <f t="shared" si="503"/>
        <v>118886089</v>
      </c>
      <c r="D949" s="329">
        <f t="shared" si="523"/>
        <v>0</v>
      </c>
      <c r="E949" s="338">
        <f t="shared" si="504"/>
        <v>9769566</v>
      </c>
      <c r="F949" s="329">
        <f t="shared" si="502"/>
        <v>0</v>
      </c>
      <c r="G949" s="338">
        <f t="shared" si="505"/>
        <v>76400000</v>
      </c>
      <c r="H949" s="329">
        <f t="shared" si="513"/>
        <v>0</v>
      </c>
      <c r="I949" s="338">
        <f t="shared" si="506"/>
        <v>44350150</v>
      </c>
      <c r="J949" s="329">
        <f t="shared" si="514"/>
        <v>0</v>
      </c>
      <c r="K949" s="338">
        <f t="shared" si="507"/>
        <v>15100000</v>
      </c>
      <c r="L949" s="329">
        <f t="shared" si="515"/>
        <v>0</v>
      </c>
      <c r="M949" s="338">
        <f t="shared" si="508"/>
        <v>25332976</v>
      </c>
      <c r="N949" s="329">
        <f t="shared" si="516"/>
        <v>0</v>
      </c>
      <c r="O949" s="338">
        <f t="shared" si="509"/>
        <v>14300000</v>
      </c>
      <c r="P949" s="329">
        <f t="shared" si="517"/>
        <v>0</v>
      </c>
      <c r="Q949" s="338">
        <f t="shared" si="510"/>
        <v>0</v>
      </c>
      <c r="R949" s="329">
        <f t="shared" si="518"/>
        <v>0</v>
      </c>
      <c r="S949" s="338">
        <f t="shared" si="511"/>
        <v>10000000</v>
      </c>
      <c r="T949" s="329">
        <f t="shared" si="519"/>
        <v>0</v>
      </c>
      <c r="U949" s="338">
        <f t="shared" si="521"/>
        <v>2200000</v>
      </c>
      <c r="V949" s="329">
        <f t="shared" si="520"/>
        <v>0</v>
      </c>
      <c r="W949" s="338">
        <f t="shared" si="512"/>
        <v>12224694.890000001</v>
      </c>
      <c r="X949" s="35"/>
    </row>
    <row r="950" spans="1:24" x14ac:dyDescent="0.25">
      <c r="A950" s="335">
        <f t="shared" si="501"/>
        <v>44661</v>
      </c>
      <c r="B950" s="49">
        <f t="shared" si="522"/>
        <v>0</v>
      </c>
      <c r="C950" s="338">
        <f t="shared" si="503"/>
        <v>118886089</v>
      </c>
      <c r="D950" s="329">
        <f t="shared" si="523"/>
        <v>0</v>
      </c>
      <c r="E950" s="338">
        <f t="shared" si="504"/>
        <v>9769566</v>
      </c>
      <c r="F950" s="329">
        <f t="shared" si="502"/>
        <v>0</v>
      </c>
      <c r="G950" s="338">
        <f t="shared" si="505"/>
        <v>76400000</v>
      </c>
      <c r="H950" s="329">
        <f t="shared" si="513"/>
        <v>0</v>
      </c>
      <c r="I950" s="338">
        <f t="shared" si="506"/>
        <v>44350150</v>
      </c>
      <c r="J950" s="329">
        <f t="shared" si="514"/>
        <v>0</v>
      </c>
      <c r="K950" s="338">
        <f t="shared" si="507"/>
        <v>15100000</v>
      </c>
      <c r="L950" s="329">
        <f t="shared" si="515"/>
        <v>0</v>
      </c>
      <c r="M950" s="338">
        <f t="shared" si="508"/>
        <v>25332976</v>
      </c>
      <c r="N950" s="329">
        <f t="shared" si="516"/>
        <v>0</v>
      </c>
      <c r="O950" s="338">
        <f t="shared" si="509"/>
        <v>14300000</v>
      </c>
      <c r="P950" s="329">
        <f t="shared" si="517"/>
        <v>0</v>
      </c>
      <c r="Q950" s="338">
        <f t="shared" si="510"/>
        <v>0</v>
      </c>
      <c r="R950" s="329">
        <f t="shared" si="518"/>
        <v>0</v>
      </c>
      <c r="S950" s="338">
        <f t="shared" si="511"/>
        <v>10000000</v>
      </c>
      <c r="T950" s="329">
        <f t="shared" si="519"/>
        <v>0</v>
      </c>
      <c r="U950" s="338">
        <f t="shared" si="521"/>
        <v>2200000</v>
      </c>
      <c r="V950" s="329">
        <f t="shared" si="520"/>
        <v>0</v>
      </c>
      <c r="W950" s="338">
        <f t="shared" si="512"/>
        <v>12224694.890000001</v>
      </c>
      <c r="X950" s="35"/>
    </row>
    <row r="951" spans="1:24" x14ac:dyDescent="0.25">
      <c r="A951" s="335">
        <f t="shared" si="501"/>
        <v>44662</v>
      </c>
      <c r="B951" s="49">
        <f t="shared" si="522"/>
        <v>0</v>
      </c>
      <c r="C951" s="338">
        <f t="shared" si="503"/>
        <v>118886089</v>
      </c>
      <c r="D951" s="329">
        <f t="shared" si="523"/>
        <v>0</v>
      </c>
      <c r="E951" s="338">
        <f t="shared" si="504"/>
        <v>9769566</v>
      </c>
      <c r="F951" s="329">
        <f t="shared" si="502"/>
        <v>0</v>
      </c>
      <c r="G951" s="338">
        <f t="shared" si="505"/>
        <v>76400000</v>
      </c>
      <c r="H951" s="329">
        <f t="shared" si="513"/>
        <v>0</v>
      </c>
      <c r="I951" s="338">
        <f t="shared" si="506"/>
        <v>44350150</v>
      </c>
      <c r="J951" s="329">
        <f t="shared" si="514"/>
        <v>0</v>
      </c>
      <c r="K951" s="338">
        <f t="shared" si="507"/>
        <v>15100000</v>
      </c>
      <c r="L951" s="329">
        <f t="shared" si="515"/>
        <v>0</v>
      </c>
      <c r="M951" s="338">
        <f t="shared" si="508"/>
        <v>25332976</v>
      </c>
      <c r="N951" s="329">
        <f t="shared" si="516"/>
        <v>0</v>
      </c>
      <c r="O951" s="338">
        <f t="shared" si="509"/>
        <v>14300000</v>
      </c>
      <c r="P951" s="329">
        <f t="shared" si="517"/>
        <v>0</v>
      </c>
      <c r="Q951" s="338">
        <f t="shared" si="510"/>
        <v>0</v>
      </c>
      <c r="R951" s="329">
        <f t="shared" si="518"/>
        <v>0</v>
      </c>
      <c r="S951" s="338">
        <f t="shared" si="511"/>
        <v>10000000</v>
      </c>
      <c r="T951" s="329">
        <f t="shared" si="519"/>
        <v>0</v>
      </c>
      <c r="U951" s="338">
        <f t="shared" si="521"/>
        <v>2200000</v>
      </c>
      <c r="V951" s="329">
        <f t="shared" si="520"/>
        <v>0</v>
      </c>
      <c r="W951" s="338">
        <f t="shared" si="512"/>
        <v>12224694.890000001</v>
      </c>
      <c r="X951" s="35"/>
    </row>
    <row r="952" spans="1:24" x14ac:dyDescent="0.25">
      <c r="A952" s="335">
        <f t="shared" si="501"/>
        <v>44663</v>
      </c>
      <c r="B952" s="49">
        <f t="shared" si="522"/>
        <v>0</v>
      </c>
      <c r="C952" s="338">
        <f t="shared" si="503"/>
        <v>118886089</v>
      </c>
      <c r="D952" s="329">
        <f t="shared" si="523"/>
        <v>0</v>
      </c>
      <c r="E952" s="338">
        <f t="shared" si="504"/>
        <v>9769566</v>
      </c>
      <c r="F952" s="329">
        <f t="shared" si="502"/>
        <v>0</v>
      </c>
      <c r="G952" s="338">
        <f t="shared" si="505"/>
        <v>76400000</v>
      </c>
      <c r="H952" s="329">
        <f t="shared" si="513"/>
        <v>0</v>
      </c>
      <c r="I952" s="338">
        <f t="shared" si="506"/>
        <v>44350150</v>
      </c>
      <c r="J952" s="329">
        <f t="shared" si="514"/>
        <v>0</v>
      </c>
      <c r="K952" s="338">
        <f t="shared" si="507"/>
        <v>15100000</v>
      </c>
      <c r="L952" s="329">
        <f t="shared" si="515"/>
        <v>0</v>
      </c>
      <c r="M952" s="338">
        <f t="shared" si="508"/>
        <v>25332976</v>
      </c>
      <c r="N952" s="329">
        <f t="shared" si="516"/>
        <v>0</v>
      </c>
      <c r="O952" s="338">
        <f t="shared" si="509"/>
        <v>14300000</v>
      </c>
      <c r="P952" s="329">
        <f t="shared" si="517"/>
        <v>0</v>
      </c>
      <c r="Q952" s="338">
        <f t="shared" si="510"/>
        <v>0</v>
      </c>
      <c r="R952" s="329">
        <f t="shared" si="518"/>
        <v>0</v>
      </c>
      <c r="S952" s="338">
        <f t="shared" si="511"/>
        <v>10000000</v>
      </c>
      <c r="T952" s="329">
        <f t="shared" si="519"/>
        <v>0</v>
      </c>
      <c r="U952" s="338">
        <f t="shared" si="521"/>
        <v>2200000</v>
      </c>
      <c r="V952" s="329">
        <f t="shared" si="520"/>
        <v>0</v>
      </c>
      <c r="W952" s="338">
        <f t="shared" si="512"/>
        <v>12224694.890000001</v>
      </c>
      <c r="X952" s="35"/>
    </row>
    <row r="953" spans="1:24" x14ac:dyDescent="0.25">
      <c r="A953" s="335">
        <f t="shared" si="501"/>
        <v>44664</v>
      </c>
      <c r="B953" s="49">
        <f t="shared" si="522"/>
        <v>0</v>
      </c>
      <c r="C953" s="338">
        <f t="shared" si="503"/>
        <v>118886089</v>
      </c>
      <c r="D953" s="329">
        <f t="shared" si="523"/>
        <v>0</v>
      </c>
      <c r="E953" s="338">
        <f t="shared" si="504"/>
        <v>9769566</v>
      </c>
      <c r="F953" s="329">
        <f t="shared" si="502"/>
        <v>0</v>
      </c>
      <c r="G953" s="338">
        <f t="shared" si="505"/>
        <v>76400000</v>
      </c>
      <c r="H953" s="329">
        <f t="shared" si="513"/>
        <v>0</v>
      </c>
      <c r="I953" s="338">
        <f t="shared" si="506"/>
        <v>44350150</v>
      </c>
      <c r="J953" s="329">
        <f t="shared" si="514"/>
        <v>0</v>
      </c>
      <c r="K953" s="338">
        <f t="shared" si="507"/>
        <v>15100000</v>
      </c>
      <c r="L953" s="329">
        <f t="shared" si="515"/>
        <v>0</v>
      </c>
      <c r="M953" s="338">
        <f t="shared" si="508"/>
        <v>25332976</v>
      </c>
      <c r="N953" s="329">
        <f t="shared" si="516"/>
        <v>0</v>
      </c>
      <c r="O953" s="338">
        <f t="shared" si="509"/>
        <v>14300000</v>
      </c>
      <c r="P953" s="329">
        <f t="shared" si="517"/>
        <v>0</v>
      </c>
      <c r="Q953" s="338">
        <f t="shared" si="510"/>
        <v>0</v>
      </c>
      <c r="R953" s="329">
        <f t="shared" si="518"/>
        <v>0</v>
      </c>
      <c r="S953" s="338">
        <f t="shared" si="511"/>
        <v>10000000</v>
      </c>
      <c r="T953" s="329">
        <f t="shared" si="519"/>
        <v>0</v>
      </c>
      <c r="U953" s="338">
        <f t="shared" si="521"/>
        <v>2200000</v>
      </c>
      <c r="V953" s="329">
        <f t="shared" si="520"/>
        <v>0</v>
      </c>
      <c r="W953" s="338">
        <f t="shared" si="512"/>
        <v>12224694.890000001</v>
      </c>
      <c r="X953" s="35"/>
    </row>
    <row r="954" spans="1:24" x14ac:dyDescent="0.25">
      <c r="A954" s="335">
        <f t="shared" si="501"/>
        <v>44665</v>
      </c>
      <c r="B954" s="49">
        <f t="shared" si="522"/>
        <v>0</v>
      </c>
      <c r="C954" s="338">
        <f t="shared" si="503"/>
        <v>118886089</v>
      </c>
      <c r="D954" s="329">
        <f t="shared" si="523"/>
        <v>0</v>
      </c>
      <c r="E954" s="338">
        <f t="shared" si="504"/>
        <v>9769566</v>
      </c>
      <c r="F954" s="329">
        <f t="shared" si="502"/>
        <v>0</v>
      </c>
      <c r="G954" s="338">
        <f t="shared" si="505"/>
        <v>76400000</v>
      </c>
      <c r="H954" s="329">
        <f t="shared" si="513"/>
        <v>0</v>
      </c>
      <c r="I954" s="338">
        <f t="shared" si="506"/>
        <v>44350150</v>
      </c>
      <c r="J954" s="329">
        <f t="shared" si="514"/>
        <v>0</v>
      </c>
      <c r="K954" s="338">
        <f t="shared" si="507"/>
        <v>15100000</v>
      </c>
      <c r="L954" s="329">
        <f t="shared" si="515"/>
        <v>0</v>
      </c>
      <c r="M954" s="338">
        <f t="shared" si="508"/>
        <v>25332976</v>
      </c>
      <c r="N954" s="329">
        <f t="shared" si="516"/>
        <v>0</v>
      </c>
      <c r="O954" s="338">
        <f t="shared" si="509"/>
        <v>14300000</v>
      </c>
      <c r="P954" s="329">
        <f t="shared" si="517"/>
        <v>0</v>
      </c>
      <c r="Q954" s="338">
        <f t="shared" si="510"/>
        <v>0</v>
      </c>
      <c r="R954" s="329">
        <f t="shared" si="518"/>
        <v>0</v>
      </c>
      <c r="S954" s="338">
        <f t="shared" si="511"/>
        <v>10000000</v>
      </c>
      <c r="T954" s="329">
        <f t="shared" si="519"/>
        <v>0</v>
      </c>
      <c r="U954" s="338">
        <f t="shared" si="521"/>
        <v>2200000</v>
      </c>
      <c r="V954" s="329">
        <f t="shared" si="520"/>
        <v>0</v>
      </c>
      <c r="W954" s="338">
        <f t="shared" si="512"/>
        <v>12224694.890000001</v>
      </c>
      <c r="X954" s="35"/>
    </row>
    <row r="955" spans="1:24" x14ac:dyDescent="0.25">
      <c r="A955" s="335">
        <f t="shared" si="501"/>
        <v>44666</v>
      </c>
      <c r="B955" s="49">
        <f t="shared" si="522"/>
        <v>0</v>
      </c>
      <c r="C955" s="338">
        <f t="shared" si="503"/>
        <v>118886089</v>
      </c>
      <c r="D955" s="329">
        <f t="shared" si="523"/>
        <v>0</v>
      </c>
      <c r="E955" s="338">
        <f t="shared" si="504"/>
        <v>9769566</v>
      </c>
      <c r="F955" s="329">
        <f t="shared" si="502"/>
        <v>0</v>
      </c>
      <c r="G955" s="338">
        <f t="shared" si="505"/>
        <v>76400000</v>
      </c>
      <c r="H955" s="329">
        <f t="shared" si="513"/>
        <v>0</v>
      </c>
      <c r="I955" s="338">
        <f t="shared" si="506"/>
        <v>44350150</v>
      </c>
      <c r="J955" s="329">
        <f t="shared" si="514"/>
        <v>0</v>
      </c>
      <c r="K955" s="338">
        <f t="shared" si="507"/>
        <v>15100000</v>
      </c>
      <c r="L955" s="329">
        <f t="shared" si="515"/>
        <v>0</v>
      </c>
      <c r="M955" s="338">
        <f t="shared" si="508"/>
        <v>25332976</v>
      </c>
      <c r="N955" s="329">
        <f t="shared" si="516"/>
        <v>0</v>
      </c>
      <c r="O955" s="338">
        <f t="shared" si="509"/>
        <v>14300000</v>
      </c>
      <c r="P955" s="329">
        <f t="shared" si="517"/>
        <v>0</v>
      </c>
      <c r="Q955" s="338">
        <f t="shared" si="510"/>
        <v>0</v>
      </c>
      <c r="R955" s="329">
        <f t="shared" si="518"/>
        <v>0</v>
      </c>
      <c r="S955" s="338">
        <f t="shared" si="511"/>
        <v>10000000</v>
      </c>
      <c r="T955" s="329">
        <f t="shared" si="519"/>
        <v>0</v>
      </c>
      <c r="U955" s="338">
        <f t="shared" si="521"/>
        <v>2200000</v>
      </c>
      <c r="V955" s="329">
        <f t="shared" si="520"/>
        <v>0</v>
      </c>
      <c r="W955" s="338">
        <f t="shared" si="512"/>
        <v>12224694.890000001</v>
      </c>
      <c r="X955" s="35"/>
    </row>
    <row r="956" spans="1:24" x14ac:dyDescent="0.25">
      <c r="A956" s="335">
        <f t="shared" si="501"/>
        <v>44667</v>
      </c>
      <c r="B956" s="49">
        <f t="shared" si="522"/>
        <v>0</v>
      </c>
      <c r="C956" s="338">
        <f t="shared" si="503"/>
        <v>118886089</v>
      </c>
      <c r="D956" s="329">
        <f t="shared" si="523"/>
        <v>0</v>
      </c>
      <c r="E956" s="338">
        <f t="shared" si="504"/>
        <v>9769566</v>
      </c>
      <c r="F956" s="329">
        <f t="shared" si="502"/>
        <v>0</v>
      </c>
      <c r="G956" s="338">
        <f t="shared" si="505"/>
        <v>76400000</v>
      </c>
      <c r="H956" s="329">
        <f t="shared" si="513"/>
        <v>0</v>
      </c>
      <c r="I956" s="338">
        <f t="shared" si="506"/>
        <v>44350150</v>
      </c>
      <c r="J956" s="329">
        <f t="shared" si="514"/>
        <v>0</v>
      </c>
      <c r="K956" s="338">
        <f t="shared" si="507"/>
        <v>15100000</v>
      </c>
      <c r="L956" s="329">
        <f t="shared" si="515"/>
        <v>0</v>
      </c>
      <c r="M956" s="338">
        <f t="shared" si="508"/>
        <v>25332976</v>
      </c>
      <c r="N956" s="329">
        <f t="shared" si="516"/>
        <v>0</v>
      </c>
      <c r="O956" s="338">
        <f t="shared" si="509"/>
        <v>14300000</v>
      </c>
      <c r="P956" s="329">
        <f t="shared" si="517"/>
        <v>0</v>
      </c>
      <c r="Q956" s="338">
        <f t="shared" si="510"/>
        <v>0</v>
      </c>
      <c r="R956" s="329">
        <f t="shared" si="518"/>
        <v>0</v>
      </c>
      <c r="S956" s="338">
        <f t="shared" si="511"/>
        <v>10000000</v>
      </c>
      <c r="T956" s="329">
        <f t="shared" si="519"/>
        <v>0</v>
      </c>
      <c r="U956" s="338">
        <f t="shared" si="521"/>
        <v>2200000</v>
      </c>
      <c r="V956" s="329">
        <f t="shared" si="520"/>
        <v>0</v>
      </c>
      <c r="W956" s="338">
        <f t="shared" si="512"/>
        <v>12224694.890000001</v>
      </c>
      <c r="X956" s="35"/>
    </row>
    <row r="957" spans="1:24" x14ac:dyDescent="0.25">
      <c r="A957" s="335">
        <f t="shared" si="501"/>
        <v>44668</v>
      </c>
      <c r="B957" s="49">
        <f t="shared" si="522"/>
        <v>0</v>
      </c>
      <c r="C957" s="338">
        <f t="shared" si="503"/>
        <v>118886089</v>
      </c>
      <c r="D957" s="329">
        <f t="shared" si="523"/>
        <v>0</v>
      </c>
      <c r="E957" s="338">
        <f t="shared" si="504"/>
        <v>9769566</v>
      </c>
      <c r="F957" s="329">
        <f t="shared" si="502"/>
        <v>0</v>
      </c>
      <c r="G957" s="338">
        <f t="shared" si="505"/>
        <v>76400000</v>
      </c>
      <c r="H957" s="329">
        <f t="shared" si="513"/>
        <v>0</v>
      </c>
      <c r="I957" s="338">
        <f t="shared" si="506"/>
        <v>44350150</v>
      </c>
      <c r="J957" s="329">
        <f t="shared" si="514"/>
        <v>0</v>
      </c>
      <c r="K957" s="338">
        <f t="shared" si="507"/>
        <v>15100000</v>
      </c>
      <c r="L957" s="329">
        <f t="shared" si="515"/>
        <v>0</v>
      </c>
      <c r="M957" s="338">
        <f t="shared" si="508"/>
        <v>25332976</v>
      </c>
      <c r="N957" s="329">
        <f t="shared" si="516"/>
        <v>0</v>
      </c>
      <c r="O957" s="338">
        <f t="shared" si="509"/>
        <v>14300000</v>
      </c>
      <c r="P957" s="329">
        <f t="shared" si="517"/>
        <v>0</v>
      </c>
      <c r="Q957" s="338">
        <f t="shared" si="510"/>
        <v>0</v>
      </c>
      <c r="R957" s="329">
        <f t="shared" si="518"/>
        <v>0</v>
      </c>
      <c r="S957" s="338">
        <f t="shared" si="511"/>
        <v>10000000</v>
      </c>
      <c r="T957" s="329">
        <f t="shared" si="519"/>
        <v>0</v>
      </c>
      <c r="U957" s="338">
        <f t="shared" si="521"/>
        <v>2200000</v>
      </c>
      <c r="V957" s="329">
        <f t="shared" si="520"/>
        <v>0</v>
      </c>
      <c r="W957" s="338">
        <f t="shared" si="512"/>
        <v>12224694.890000001</v>
      </c>
      <c r="X957" s="35"/>
    </row>
    <row r="958" spans="1:24" x14ac:dyDescent="0.25">
      <c r="A958" s="335">
        <f t="shared" si="501"/>
        <v>44669</v>
      </c>
      <c r="B958" s="49">
        <f t="shared" si="522"/>
        <v>0</v>
      </c>
      <c r="C958" s="338">
        <f t="shared" si="503"/>
        <v>118886089</v>
      </c>
      <c r="D958" s="329">
        <f t="shared" si="523"/>
        <v>0</v>
      </c>
      <c r="E958" s="338">
        <f t="shared" si="504"/>
        <v>9769566</v>
      </c>
      <c r="F958" s="329">
        <f t="shared" si="502"/>
        <v>0</v>
      </c>
      <c r="G958" s="338">
        <f t="shared" si="505"/>
        <v>76400000</v>
      </c>
      <c r="H958" s="329">
        <f t="shared" si="513"/>
        <v>0</v>
      </c>
      <c r="I958" s="338">
        <f t="shared" si="506"/>
        <v>44350150</v>
      </c>
      <c r="J958" s="329">
        <f t="shared" si="514"/>
        <v>0</v>
      </c>
      <c r="K958" s="338">
        <f t="shared" si="507"/>
        <v>15100000</v>
      </c>
      <c r="L958" s="329">
        <f t="shared" si="515"/>
        <v>0</v>
      </c>
      <c r="M958" s="338">
        <f t="shared" si="508"/>
        <v>25332976</v>
      </c>
      <c r="N958" s="329">
        <f t="shared" si="516"/>
        <v>0</v>
      </c>
      <c r="O958" s="338">
        <f t="shared" si="509"/>
        <v>14300000</v>
      </c>
      <c r="P958" s="329">
        <f t="shared" si="517"/>
        <v>0</v>
      </c>
      <c r="Q958" s="338">
        <f t="shared" si="510"/>
        <v>0</v>
      </c>
      <c r="R958" s="329">
        <f t="shared" si="518"/>
        <v>0</v>
      </c>
      <c r="S958" s="338">
        <f t="shared" si="511"/>
        <v>10000000</v>
      </c>
      <c r="T958" s="329">
        <f t="shared" si="519"/>
        <v>0</v>
      </c>
      <c r="U958" s="338">
        <f t="shared" si="521"/>
        <v>2200000</v>
      </c>
      <c r="V958" s="329">
        <f t="shared" si="520"/>
        <v>0</v>
      </c>
      <c r="W958" s="338">
        <f t="shared" si="512"/>
        <v>12224694.890000001</v>
      </c>
      <c r="X958" s="35"/>
    </row>
    <row r="959" spans="1:24" x14ac:dyDescent="0.25">
      <c r="A959" s="335">
        <f t="shared" si="501"/>
        <v>44670</v>
      </c>
      <c r="B959" s="49">
        <f t="shared" si="522"/>
        <v>0</v>
      </c>
      <c r="C959" s="338">
        <f t="shared" si="503"/>
        <v>118886089</v>
      </c>
      <c r="D959" s="329">
        <f t="shared" si="523"/>
        <v>0</v>
      </c>
      <c r="E959" s="338">
        <f t="shared" si="504"/>
        <v>9769566</v>
      </c>
      <c r="F959" s="329">
        <f t="shared" si="502"/>
        <v>0</v>
      </c>
      <c r="G959" s="338">
        <f t="shared" si="505"/>
        <v>76400000</v>
      </c>
      <c r="H959" s="329">
        <f t="shared" si="513"/>
        <v>0</v>
      </c>
      <c r="I959" s="338">
        <f t="shared" si="506"/>
        <v>44350150</v>
      </c>
      <c r="J959" s="329">
        <f t="shared" si="514"/>
        <v>0</v>
      </c>
      <c r="K959" s="338">
        <f t="shared" si="507"/>
        <v>15100000</v>
      </c>
      <c r="L959" s="329">
        <f t="shared" si="515"/>
        <v>0</v>
      </c>
      <c r="M959" s="338">
        <f t="shared" si="508"/>
        <v>25332976</v>
      </c>
      <c r="N959" s="329">
        <f t="shared" si="516"/>
        <v>0</v>
      </c>
      <c r="O959" s="338">
        <f t="shared" si="509"/>
        <v>14300000</v>
      </c>
      <c r="P959" s="329">
        <f t="shared" si="517"/>
        <v>0</v>
      </c>
      <c r="Q959" s="338">
        <f t="shared" si="510"/>
        <v>0</v>
      </c>
      <c r="R959" s="329">
        <f t="shared" si="518"/>
        <v>0</v>
      </c>
      <c r="S959" s="338">
        <f t="shared" si="511"/>
        <v>10000000</v>
      </c>
      <c r="T959" s="329">
        <f t="shared" si="519"/>
        <v>0</v>
      </c>
      <c r="U959" s="338">
        <f t="shared" si="521"/>
        <v>2200000</v>
      </c>
      <c r="V959" s="329">
        <f t="shared" si="520"/>
        <v>0</v>
      </c>
      <c r="W959" s="338">
        <f t="shared" si="512"/>
        <v>12224694.890000001</v>
      </c>
      <c r="X959" s="35"/>
    </row>
    <row r="960" spans="1:24" x14ac:dyDescent="0.25">
      <c r="A960" s="335">
        <f t="shared" ref="A960:A1023" si="524">A959+1</f>
        <v>44671</v>
      </c>
      <c r="B960" s="49">
        <f t="shared" si="522"/>
        <v>0</v>
      </c>
      <c r="C960" s="338">
        <f t="shared" si="503"/>
        <v>118886089</v>
      </c>
      <c r="D960" s="329">
        <f t="shared" si="523"/>
        <v>0</v>
      </c>
      <c r="E960" s="338">
        <f t="shared" si="504"/>
        <v>9769566</v>
      </c>
      <c r="F960" s="329">
        <f t="shared" si="502"/>
        <v>0</v>
      </c>
      <c r="G960" s="338">
        <f t="shared" si="505"/>
        <v>76400000</v>
      </c>
      <c r="H960" s="329">
        <f t="shared" si="513"/>
        <v>0</v>
      </c>
      <c r="I960" s="338">
        <f t="shared" si="506"/>
        <v>44350150</v>
      </c>
      <c r="J960" s="329">
        <f t="shared" si="514"/>
        <v>0</v>
      </c>
      <c r="K960" s="338">
        <f t="shared" si="507"/>
        <v>15100000</v>
      </c>
      <c r="L960" s="329">
        <f t="shared" si="515"/>
        <v>0</v>
      </c>
      <c r="M960" s="338">
        <f t="shared" si="508"/>
        <v>25332976</v>
      </c>
      <c r="N960" s="329">
        <f t="shared" si="516"/>
        <v>0</v>
      </c>
      <c r="O960" s="338">
        <f t="shared" si="509"/>
        <v>14300000</v>
      </c>
      <c r="P960" s="329">
        <f t="shared" si="517"/>
        <v>0</v>
      </c>
      <c r="Q960" s="338">
        <f t="shared" si="510"/>
        <v>0</v>
      </c>
      <c r="R960" s="329">
        <f t="shared" si="518"/>
        <v>0</v>
      </c>
      <c r="S960" s="338">
        <f t="shared" si="511"/>
        <v>10000000</v>
      </c>
      <c r="T960" s="329">
        <f t="shared" si="519"/>
        <v>0</v>
      </c>
      <c r="U960" s="338">
        <f t="shared" si="521"/>
        <v>2200000</v>
      </c>
      <c r="V960" s="329">
        <f t="shared" si="520"/>
        <v>0</v>
      </c>
      <c r="W960" s="338">
        <f t="shared" si="512"/>
        <v>12224694.890000001</v>
      </c>
      <c r="X960" s="35"/>
    </row>
    <row r="961" spans="1:24" x14ac:dyDescent="0.25">
      <c r="A961" s="335">
        <f t="shared" si="524"/>
        <v>44672</v>
      </c>
      <c r="B961" s="49">
        <f t="shared" si="522"/>
        <v>0</v>
      </c>
      <c r="C961" s="338">
        <f t="shared" si="503"/>
        <v>118886089</v>
      </c>
      <c r="D961" s="329">
        <f t="shared" si="523"/>
        <v>0</v>
      </c>
      <c r="E961" s="338">
        <f t="shared" si="504"/>
        <v>9769566</v>
      </c>
      <c r="F961" s="329">
        <f t="shared" si="502"/>
        <v>0</v>
      </c>
      <c r="G961" s="338">
        <f t="shared" si="505"/>
        <v>76400000</v>
      </c>
      <c r="H961" s="329">
        <f t="shared" si="513"/>
        <v>0</v>
      </c>
      <c r="I961" s="338">
        <f t="shared" si="506"/>
        <v>44350150</v>
      </c>
      <c r="J961" s="329">
        <f t="shared" si="514"/>
        <v>0</v>
      </c>
      <c r="K961" s="338">
        <f t="shared" si="507"/>
        <v>15100000</v>
      </c>
      <c r="L961" s="329">
        <f t="shared" si="515"/>
        <v>0</v>
      </c>
      <c r="M961" s="338">
        <f t="shared" si="508"/>
        <v>25332976</v>
      </c>
      <c r="N961" s="329">
        <f t="shared" si="516"/>
        <v>0</v>
      </c>
      <c r="O961" s="338">
        <f t="shared" si="509"/>
        <v>14300000</v>
      </c>
      <c r="P961" s="329">
        <f t="shared" si="517"/>
        <v>0</v>
      </c>
      <c r="Q961" s="338">
        <f t="shared" si="510"/>
        <v>0</v>
      </c>
      <c r="R961" s="329">
        <f t="shared" si="518"/>
        <v>0</v>
      </c>
      <c r="S961" s="338">
        <f t="shared" si="511"/>
        <v>10000000</v>
      </c>
      <c r="T961" s="329">
        <f t="shared" si="519"/>
        <v>0</v>
      </c>
      <c r="U961" s="338">
        <f t="shared" si="521"/>
        <v>2200000</v>
      </c>
      <c r="V961" s="329">
        <f t="shared" si="520"/>
        <v>0</v>
      </c>
      <c r="W961" s="338">
        <f t="shared" si="512"/>
        <v>12224694.890000001</v>
      </c>
      <c r="X961" s="35"/>
    </row>
    <row r="962" spans="1:24" x14ac:dyDescent="0.25">
      <c r="A962" s="335">
        <f t="shared" si="524"/>
        <v>44673</v>
      </c>
      <c r="B962" s="49">
        <f t="shared" si="522"/>
        <v>0</v>
      </c>
      <c r="C962" s="338">
        <f t="shared" si="503"/>
        <v>118886089</v>
      </c>
      <c r="D962" s="329">
        <f t="shared" si="523"/>
        <v>0</v>
      </c>
      <c r="E962" s="338">
        <f t="shared" si="504"/>
        <v>9769566</v>
      </c>
      <c r="F962" s="329">
        <f t="shared" si="502"/>
        <v>0</v>
      </c>
      <c r="G962" s="338">
        <f t="shared" si="505"/>
        <v>76400000</v>
      </c>
      <c r="H962" s="329">
        <f t="shared" si="513"/>
        <v>0</v>
      </c>
      <c r="I962" s="338">
        <f t="shared" si="506"/>
        <v>44350150</v>
      </c>
      <c r="J962" s="329">
        <f t="shared" si="514"/>
        <v>0</v>
      </c>
      <c r="K962" s="338">
        <f t="shared" si="507"/>
        <v>15100000</v>
      </c>
      <c r="L962" s="329">
        <f t="shared" si="515"/>
        <v>0</v>
      </c>
      <c r="M962" s="338">
        <f t="shared" si="508"/>
        <v>25332976</v>
      </c>
      <c r="N962" s="329">
        <f t="shared" si="516"/>
        <v>0</v>
      </c>
      <c r="O962" s="338">
        <f t="shared" si="509"/>
        <v>14300000</v>
      </c>
      <c r="P962" s="329">
        <f t="shared" si="517"/>
        <v>0</v>
      </c>
      <c r="Q962" s="338">
        <f t="shared" si="510"/>
        <v>0</v>
      </c>
      <c r="R962" s="329">
        <f t="shared" si="518"/>
        <v>0</v>
      </c>
      <c r="S962" s="338">
        <f t="shared" si="511"/>
        <v>10000000</v>
      </c>
      <c r="T962" s="329">
        <f t="shared" si="519"/>
        <v>0</v>
      </c>
      <c r="U962" s="338">
        <f t="shared" si="521"/>
        <v>2200000</v>
      </c>
      <c r="V962" s="329">
        <f t="shared" si="520"/>
        <v>0</v>
      </c>
      <c r="W962" s="338">
        <f t="shared" si="512"/>
        <v>12224694.890000001</v>
      </c>
      <c r="X962" s="35"/>
    </row>
    <row r="963" spans="1:24" x14ac:dyDescent="0.25">
      <c r="A963" s="335">
        <f t="shared" si="524"/>
        <v>44674</v>
      </c>
      <c r="B963" s="49">
        <f t="shared" si="522"/>
        <v>0</v>
      </c>
      <c r="C963" s="338">
        <f t="shared" si="503"/>
        <v>118886089</v>
      </c>
      <c r="D963" s="329">
        <f t="shared" si="523"/>
        <v>0</v>
      </c>
      <c r="E963" s="338">
        <f t="shared" si="504"/>
        <v>9769566</v>
      </c>
      <c r="F963" s="329">
        <f t="shared" ref="F963:F1026" si="525">SUMIFS(Usage_Main,CF_Dates,$A963,CF_Descriptions,"EASTCYPRESS1 Change")</f>
        <v>0</v>
      </c>
      <c r="G963" s="338">
        <f t="shared" si="505"/>
        <v>76400000</v>
      </c>
      <c r="H963" s="329">
        <f t="shared" si="513"/>
        <v>0</v>
      </c>
      <c r="I963" s="338">
        <f t="shared" si="506"/>
        <v>44350150</v>
      </c>
      <c r="J963" s="329">
        <f t="shared" si="514"/>
        <v>0</v>
      </c>
      <c r="K963" s="338">
        <f t="shared" si="507"/>
        <v>15100000</v>
      </c>
      <c r="L963" s="329">
        <f t="shared" si="515"/>
        <v>0</v>
      </c>
      <c r="M963" s="338">
        <f t="shared" si="508"/>
        <v>25332976</v>
      </c>
      <c r="N963" s="329">
        <f t="shared" si="516"/>
        <v>0</v>
      </c>
      <c r="O963" s="338">
        <f t="shared" si="509"/>
        <v>14300000</v>
      </c>
      <c r="P963" s="329">
        <f t="shared" si="517"/>
        <v>0</v>
      </c>
      <c r="Q963" s="338">
        <f t="shared" si="510"/>
        <v>0</v>
      </c>
      <c r="R963" s="329">
        <f t="shared" si="518"/>
        <v>0</v>
      </c>
      <c r="S963" s="338">
        <f t="shared" si="511"/>
        <v>10000000</v>
      </c>
      <c r="T963" s="329">
        <f t="shared" si="519"/>
        <v>0</v>
      </c>
      <c r="U963" s="338">
        <f t="shared" si="521"/>
        <v>2200000</v>
      </c>
      <c r="V963" s="329">
        <f t="shared" si="520"/>
        <v>0</v>
      </c>
      <c r="W963" s="338">
        <f t="shared" si="512"/>
        <v>12224694.890000001</v>
      </c>
      <c r="X963" s="35"/>
    </row>
    <row r="964" spans="1:24" x14ac:dyDescent="0.25">
      <c r="A964" s="335">
        <f t="shared" si="524"/>
        <v>44675</v>
      </c>
      <c r="B964" s="49">
        <f t="shared" si="522"/>
        <v>0</v>
      </c>
      <c r="C964" s="338">
        <f t="shared" si="503"/>
        <v>118886089</v>
      </c>
      <c r="D964" s="329">
        <f t="shared" si="523"/>
        <v>0</v>
      </c>
      <c r="E964" s="338">
        <f t="shared" si="504"/>
        <v>9769566</v>
      </c>
      <c r="F964" s="329">
        <f t="shared" si="525"/>
        <v>0</v>
      </c>
      <c r="G964" s="338">
        <f t="shared" si="505"/>
        <v>76400000</v>
      </c>
      <c r="H964" s="329">
        <f t="shared" si="513"/>
        <v>0</v>
      </c>
      <c r="I964" s="338">
        <f t="shared" si="506"/>
        <v>44350150</v>
      </c>
      <c r="J964" s="329">
        <f t="shared" si="514"/>
        <v>0</v>
      </c>
      <c r="K964" s="338">
        <f t="shared" si="507"/>
        <v>15100000</v>
      </c>
      <c r="L964" s="329">
        <f t="shared" si="515"/>
        <v>0</v>
      </c>
      <c r="M964" s="338">
        <f t="shared" si="508"/>
        <v>25332976</v>
      </c>
      <c r="N964" s="329">
        <f t="shared" si="516"/>
        <v>0</v>
      </c>
      <c r="O964" s="338">
        <f t="shared" si="509"/>
        <v>14300000</v>
      </c>
      <c r="P964" s="329">
        <f t="shared" si="517"/>
        <v>0</v>
      </c>
      <c r="Q964" s="338">
        <f t="shared" si="510"/>
        <v>0</v>
      </c>
      <c r="R964" s="329">
        <f t="shared" si="518"/>
        <v>0</v>
      </c>
      <c r="S964" s="338">
        <f t="shared" si="511"/>
        <v>10000000</v>
      </c>
      <c r="T964" s="329">
        <f t="shared" si="519"/>
        <v>0</v>
      </c>
      <c r="U964" s="338">
        <f t="shared" si="521"/>
        <v>2200000</v>
      </c>
      <c r="V964" s="329">
        <f t="shared" si="520"/>
        <v>0</v>
      </c>
      <c r="W964" s="338">
        <f t="shared" si="512"/>
        <v>12224694.890000001</v>
      </c>
      <c r="X964" s="35"/>
    </row>
    <row r="965" spans="1:24" x14ac:dyDescent="0.25">
      <c r="A965" s="335">
        <f t="shared" si="524"/>
        <v>44676</v>
      </c>
      <c r="B965" s="49">
        <f t="shared" si="522"/>
        <v>0</v>
      </c>
      <c r="C965" s="338">
        <f t="shared" si="503"/>
        <v>118886089</v>
      </c>
      <c r="D965" s="329">
        <f t="shared" si="523"/>
        <v>0</v>
      </c>
      <c r="E965" s="338">
        <f t="shared" si="504"/>
        <v>9769566</v>
      </c>
      <c r="F965" s="329">
        <f t="shared" si="525"/>
        <v>0</v>
      </c>
      <c r="G965" s="338">
        <f t="shared" si="505"/>
        <v>76400000</v>
      </c>
      <c r="H965" s="329">
        <f t="shared" si="513"/>
        <v>0</v>
      </c>
      <c r="I965" s="338">
        <f t="shared" si="506"/>
        <v>44350150</v>
      </c>
      <c r="J965" s="329">
        <f t="shared" si="514"/>
        <v>0</v>
      </c>
      <c r="K965" s="338">
        <f t="shared" si="507"/>
        <v>15100000</v>
      </c>
      <c r="L965" s="329">
        <f t="shared" si="515"/>
        <v>0</v>
      </c>
      <c r="M965" s="338">
        <f t="shared" si="508"/>
        <v>25332976</v>
      </c>
      <c r="N965" s="329">
        <f t="shared" si="516"/>
        <v>0</v>
      </c>
      <c r="O965" s="338">
        <f t="shared" si="509"/>
        <v>14300000</v>
      </c>
      <c r="P965" s="329">
        <f t="shared" si="517"/>
        <v>0</v>
      </c>
      <c r="Q965" s="338">
        <f t="shared" si="510"/>
        <v>0</v>
      </c>
      <c r="R965" s="329">
        <f t="shared" si="518"/>
        <v>0</v>
      </c>
      <c r="S965" s="338">
        <f t="shared" si="511"/>
        <v>10000000</v>
      </c>
      <c r="T965" s="329">
        <f t="shared" si="519"/>
        <v>0</v>
      </c>
      <c r="U965" s="338">
        <f t="shared" si="521"/>
        <v>2200000</v>
      </c>
      <c r="V965" s="329">
        <f t="shared" si="520"/>
        <v>0</v>
      </c>
      <c r="W965" s="338">
        <f t="shared" si="512"/>
        <v>12224694.890000001</v>
      </c>
      <c r="X965" s="35"/>
    </row>
    <row r="966" spans="1:24" x14ac:dyDescent="0.25">
      <c r="A966" s="335">
        <f t="shared" si="524"/>
        <v>44677</v>
      </c>
      <c r="B966" s="49">
        <f t="shared" si="522"/>
        <v>0</v>
      </c>
      <c r="C966" s="338">
        <f t="shared" ref="C966:C1029" si="526">B966+C965</f>
        <v>118886089</v>
      </c>
      <c r="D966" s="329">
        <f t="shared" si="523"/>
        <v>0</v>
      </c>
      <c r="E966" s="338">
        <f t="shared" ref="E966:E1029" si="527">D966+E965</f>
        <v>9769566</v>
      </c>
      <c r="F966" s="329">
        <f t="shared" si="525"/>
        <v>0</v>
      </c>
      <c r="G966" s="338">
        <f t="shared" ref="G966:G1029" si="528">F966+G965</f>
        <v>76400000</v>
      </c>
      <c r="H966" s="329">
        <f t="shared" si="513"/>
        <v>0</v>
      </c>
      <c r="I966" s="338">
        <f t="shared" ref="I966:I1029" si="529">H966+I965</f>
        <v>44350150</v>
      </c>
      <c r="J966" s="329">
        <f t="shared" si="514"/>
        <v>0</v>
      </c>
      <c r="K966" s="338">
        <f t="shared" ref="K966:K1029" si="530">J966+K965</f>
        <v>15100000</v>
      </c>
      <c r="L966" s="329">
        <f t="shared" si="515"/>
        <v>0</v>
      </c>
      <c r="M966" s="338">
        <f t="shared" ref="M966:M1029" si="531">L966+M965</f>
        <v>25332976</v>
      </c>
      <c r="N966" s="329">
        <f t="shared" si="516"/>
        <v>0</v>
      </c>
      <c r="O966" s="338">
        <f t="shared" ref="O966:O1029" si="532">N966+O965</f>
        <v>14300000</v>
      </c>
      <c r="P966" s="329">
        <f t="shared" si="517"/>
        <v>0</v>
      </c>
      <c r="Q966" s="338">
        <f t="shared" ref="Q966:Q1029" si="533">P966+Q965</f>
        <v>0</v>
      </c>
      <c r="R966" s="329">
        <f t="shared" si="518"/>
        <v>0</v>
      </c>
      <c r="S966" s="338">
        <f t="shared" ref="S966:S1029" si="534">R966+S965</f>
        <v>10000000</v>
      </c>
      <c r="T966" s="329">
        <f t="shared" si="519"/>
        <v>0</v>
      </c>
      <c r="U966" s="338">
        <f t="shared" si="521"/>
        <v>2200000</v>
      </c>
      <c r="V966" s="329">
        <f t="shared" si="520"/>
        <v>0</v>
      </c>
      <c r="W966" s="338">
        <f t="shared" ref="W966:W1029" si="535">V966+W965</f>
        <v>12224694.890000001</v>
      </c>
      <c r="X966" s="35"/>
    </row>
    <row r="967" spans="1:24" x14ac:dyDescent="0.25">
      <c r="A967" s="335">
        <f t="shared" si="524"/>
        <v>44678</v>
      </c>
      <c r="B967" s="49">
        <f t="shared" si="522"/>
        <v>0</v>
      </c>
      <c r="C967" s="338">
        <f t="shared" si="526"/>
        <v>118886089</v>
      </c>
      <c r="D967" s="329">
        <f t="shared" si="523"/>
        <v>0</v>
      </c>
      <c r="E967" s="338">
        <f t="shared" si="527"/>
        <v>9769566</v>
      </c>
      <c r="F967" s="329">
        <f t="shared" si="525"/>
        <v>0</v>
      </c>
      <c r="G967" s="338">
        <f t="shared" si="528"/>
        <v>76400000</v>
      </c>
      <c r="H967" s="329">
        <f t="shared" si="513"/>
        <v>0</v>
      </c>
      <c r="I967" s="338">
        <f t="shared" si="529"/>
        <v>44350150</v>
      </c>
      <c r="J967" s="329">
        <f t="shared" si="514"/>
        <v>0</v>
      </c>
      <c r="K967" s="338">
        <f t="shared" si="530"/>
        <v>15100000</v>
      </c>
      <c r="L967" s="329">
        <f t="shared" si="515"/>
        <v>0</v>
      </c>
      <c r="M967" s="338">
        <f t="shared" si="531"/>
        <v>25332976</v>
      </c>
      <c r="N967" s="329">
        <f t="shared" si="516"/>
        <v>0</v>
      </c>
      <c r="O967" s="338">
        <f t="shared" si="532"/>
        <v>14300000</v>
      </c>
      <c r="P967" s="329">
        <f t="shared" si="517"/>
        <v>0</v>
      </c>
      <c r="Q967" s="338">
        <f t="shared" si="533"/>
        <v>0</v>
      </c>
      <c r="R967" s="329">
        <f t="shared" si="518"/>
        <v>0</v>
      </c>
      <c r="S967" s="338">
        <f t="shared" si="534"/>
        <v>10000000</v>
      </c>
      <c r="T967" s="329">
        <f t="shared" si="519"/>
        <v>0</v>
      </c>
      <c r="U967" s="338">
        <f t="shared" si="521"/>
        <v>2200000</v>
      </c>
      <c r="V967" s="329">
        <f t="shared" si="520"/>
        <v>0</v>
      </c>
      <c r="W967" s="338">
        <f t="shared" si="535"/>
        <v>12224694.890000001</v>
      </c>
      <c r="X967" s="35"/>
    </row>
    <row r="968" spans="1:24" x14ac:dyDescent="0.25">
      <c r="A968" s="335">
        <f t="shared" si="524"/>
        <v>44679</v>
      </c>
      <c r="B968" s="49">
        <f t="shared" si="522"/>
        <v>0</v>
      </c>
      <c r="C968" s="338">
        <f t="shared" si="526"/>
        <v>118886089</v>
      </c>
      <c r="D968" s="329">
        <f t="shared" si="523"/>
        <v>0</v>
      </c>
      <c r="E968" s="338">
        <f t="shared" si="527"/>
        <v>9769566</v>
      </c>
      <c r="F968" s="329">
        <f t="shared" si="525"/>
        <v>0</v>
      </c>
      <c r="G968" s="338">
        <f t="shared" si="528"/>
        <v>76400000</v>
      </c>
      <c r="H968" s="329">
        <f t="shared" si="513"/>
        <v>0</v>
      </c>
      <c r="I968" s="338">
        <f t="shared" si="529"/>
        <v>44350150</v>
      </c>
      <c r="J968" s="329">
        <f t="shared" si="514"/>
        <v>0</v>
      </c>
      <c r="K968" s="338">
        <f t="shared" si="530"/>
        <v>15100000</v>
      </c>
      <c r="L968" s="329">
        <f t="shared" si="515"/>
        <v>0</v>
      </c>
      <c r="M968" s="338">
        <f t="shared" si="531"/>
        <v>25332976</v>
      </c>
      <c r="N968" s="329">
        <f t="shared" si="516"/>
        <v>0</v>
      </c>
      <c r="O968" s="338">
        <f t="shared" si="532"/>
        <v>14300000</v>
      </c>
      <c r="P968" s="329">
        <f t="shared" si="517"/>
        <v>0</v>
      </c>
      <c r="Q968" s="338">
        <f t="shared" si="533"/>
        <v>0</v>
      </c>
      <c r="R968" s="329">
        <f t="shared" si="518"/>
        <v>0</v>
      </c>
      <c r="S968" s="338">
        <f t="shared" si="534"/>
        <v>10000000</v>
      </c>
      <c r="T968" s="329">
        <f t="shared" si="519"/>
        <v>0</v>
      </c>
      <c r="U968" s="338">
        <f t="shared" si="521"/>
        <v>2200000</v>
      </c>
      <c r="V968" s="329">
        <f t="shared" si="520"/>
        <v>0</v>
      </c>
      <c r="W968" s="338">
        <f t="shared" si="535"/>
        <v>12224694.890000001</v>
      </c>
      <c r="X968" s="35"/>
    </row>
    <row r="969" spans="1:24" x14ac:dyDescent="0.25">
      <c r="A969" s="335">
        <f t="shared" si="524"/>
        <v>44680</v>
      </c>
      <c r="B969" s="49">
        <f t="shared" si="522"/>
        <v>0</v>
      </c>
      <c r="C969" s="338">
        <f t="shared" si="526"/>
        <v>118886089</v>
      </c>
      <c r="D969" s="329">
        <f t="shared" si="523"/>
        <v>0</v>
      </c>
      <c r="E969" s="338">
        <f t="shared" si="527"/>
        <v>9769566</v>
      </c>
      <c r="F969" s="329">
        <f t="shared" si="525"/>
        <v>0</v>
      </c>
      <c r="G969" s="338">
        <f t="shared" si="528"/>
        <v>76400000</v>
      </c>
      <c r="H969" s="329">
        <f t="shared" si="513"/>
        <v>0</v>
      </c>
      <c r="I969" s="338">
        <f t="shared" si="529"/>
        <v>44350150</v>
      </c>
      <c r="J969" s="329">
        <f t="shared" si="514"/>
        <v>0</v>
      </c>
      <c r="K969" s="338">
        <f t="shared" si="530"/>
        <v>15100000</v>
      </c>
      <c r="L969" s="329">
        <f t="shared" si="515"/>
        <v>0</v>
      </c>
      <c r="M969" s="338">
        <f t="shared" si="531"/>
        <v>25332976</v>
      </c>
      <c r="N969" s="329">
        <f t="shared" si="516"/>
        <v>0</v>
      </c>
      <c r="O969" s="338">
        <f t="shared" si="532"/>
        <v>14300000</v>
      </c>
      <c r="P969" s="329">
        <f t="shared" si="517"/>
        <v>0</v>
      </c>
      <c r="Q969" s="338">
        <f t="shared" si="533"/>
        <v>0</v>
      </c>
      <c r="R969" s="329">
        <f t="shared" si="518"/>
        <v>0</v>
      </c>
      <c r="S969" s="338">
        <f t="shared" si="534"/>
        <v>10000000</v>
      </c>
      <c r="T969" s="329">
        <f t="shared" si="519"/>
        <v>0</v>
      </c>
      <c r="U969" s="338">
        <f t="shared" si="521"/>
        <v>2200000</v>
      </c>
      <c r="V969" s="329">
        <f t="shared" si="520"/>
        <v>0</v>
      </c>
      <c r="W969" s="338">
        <f t="shared" si="535"/>
        <v>12224694.890000001</v>
      </c>
      <c r="X969" s="35"/>
    </row>
    <row r="970" spans="1:24" x14ac:dyDescent="0.25">
      <c r="A970" s="335">
        <f t="shared" si="524"/>
        <v>44681</v>
      </c>
      <c r="B970" s="49">
        <f t="shared" si="522"/>
        <v>0</v>
      </c>
      <c r="C970" s="338">
        <f t="shared" si="526"/>
        <v>118886089</v>
      </c>
      <c r="D970" s="329">
        <f t="shared" si="523"/>
        <v>0</v>
      </c>
      <c r="E970" s="338">
        <f t="shared" si="527"/>
        <v>9769566</v>
      </c>
      <c r="F970" s="329">
        <f t="shared" si="525"/>
        <v>0</v>
      </c>
      <c r="G970" s="338">
        <f t="shared" si="528"/>
        <v>76400000</v>
      </c>
      <c r="H970" s="329">
        <f t="shared" si="513"/>
        <v>0</v>
      </c>
      <c r="I970" s="338">
        <f t="shared" si="529"/>
        <v>44350150</v>
      </c>
      <c r="J970" s="329">
        <f t="shared" si="514"/>
        <v>0</v>
      </c>
      <c r="K970" s="338">
        <f t="shared" si="530"/>
        <v>15100000</v>
      </c>
      <c r="L970" s="329">
        <f t="shared" si="515"/>
        <v>0</v>
      </c>
      <c r="M970" s="338">
        <f t="shared" si="531"/>
        <v>25332976</v>
      </c>
      <c r="N970" s="329">
        <f t="shared" si="516"/>
        <v>0</v>
      </c>
      <c r="O970" s="338">
        <f t="shared" si="532"/>
        <v>14300000</v>
      </c>
      <c r="P970" s="329">
        <f t="shared" si="517"/>
        <v>0</v>
      </c>
      <c r="Q970" s="338">
        <f t="shared" si="533"/>
        <v>0</v>
      </c>
      <c r="R970" s="329">
        <f t="shared" si="518"/>
        <v>0</v>
      </c>
      <c r="S970" s="338">
        <f t="shared" si="534"/>
        <v>10000000</v>
      </c>
      <c r="T970" s="329">
        <f t="shared" si="519"/>
        <v>0</v>
      </c>
      <c r="U970" s="338">
        <f t="shared" si="521"/>
        <v>2200000</v>
      </c>
      <c r="V970" s="329">
        <f t="shared" si="520"/>
        <v>0</v>
      </c>
      <c r="W970" s="338">
        <f t="shared" si="535"/>
        <v>12224694.890000001</v>
      </c>
      <c r="X970" s="35"/>
    </row>
    <row r="971" spans="1:24" x14ac:dyDescent="0.25">
      <c r="A971" s="335">
        <f t="shared" si="524"/>
        <v>44682</v>
      </c>
      <c r="B971" s="49">
        <f t="shared" si="522"/>
        <v>0</v>
      </c>
      <c r="C971" s="338">
        <f t="shared" si="526"/>
        <v>118886089</v>
      </c>
      <c r="D971" s="329">
        <f t="shared" si="523"/>
        <v>0</v>
      </c>
      <c r="E971" s="338">
        <f t="shared" si="527"/>
        <v>9769566</v>
      </c>
      <c r="F971" s="329">
        <f t="shared" si="525"/>
        <v>0</v>
      </c>
      <c r="G971" s="338">
        <f t="shared" si="528"/>
        <v>76400000</v>
      </c>
      <c r="H971" s="329">
        <f t="shared" si="513"/>
        <v>0</v>
      </c>
      <c r="I971" s="338">
        <f t="shared" si="529"/>
        <v>44350150</v>
      </c>
      <c r="J971" s="329">
        <f t="shared" si="514"/>
        <v>0</v>
      </c>
      <c r="K971" s="338">
        <f t="shared" si="530"/>
        <v>15100000</v>
      </c>
      <c r="L971" s="329">
        <f t="shared" si="515"/>
        <v>0</v>
      </c>
      <c r="M971" s="338">
        <f t="shared" si="531"/>
        <v>25332976</v>
      </c>
      <c r="N971" s="329">
        <f t="shared" si="516"/>
        <v>0</v>
      </c>
      <c r="O971" s="338">
        <f t="shared" si="532"/>
        <v>14300000</v>
      </c>
      <c r="P971" s="329">
        <f t="shared" si="517"/>
        <v>0</v>
      </c>
      <c r="Q971" s="338">
        <f t="shared" si="533"/>
        <v>0</v>
      </c>
      <c r="R971" s="329">
        <f t="shared" si="518"/>
        <v>0</v>
      </c>
      <c r="S971" s="338">
        <f t="shared" si="534"/>
        <v>10000000</v>
      </c>
      <c r="T971" s="329">
        <f t="shared" si="519"/>
        <v>0</v>
      </c>
      <c r="U971" s="338">
        <f t="shared" si="521"/>
        <v>2200000</v>
      </c>
      <c r="V971" s="329">
        <f t="shared" si="520"/>
        <v>0</v>
      </c>
      <c r="W971" s="338">
        <f t="shared" si="535"/>
        <v>12224694.890000001</v>
      </c>
      <c r="X971" s="35"/>
    </row>
    <row r="972" spans="1:24" x14ac:dyDescent="0.25">
      <c r="A972" s="335">
        <f t="shared" si="524"/>
        <v>44683</v>
      </c>
      <c r="B972" s="49">
        <f t="shared" si="522"/>
        <v>0</v>
      </c>
      <c r="C972" s="338">
        <f t="shared" si="526"/>
        <v>118886089</v>
      </c>
      <c r="D972" s="329">
        <f t="shared" si="523"/>
        <v>0</v>
      </c>
      <c r="E972" s="338">
        <f t="shared" si="527"/>
        <v>9769566</v>
      </c>
      <c r="F972" s="329">
        <f t="shared" si="525"/>
        <v>0</v>
      </c>
      <c r="G972" s="338">
        <f t="shared" si="528"/>
        <v>76400000</v>
      </c>
      <c r="H972" s="329">
        <f t="shared" si="513"/>
        <v>0</v>
      </c>
      <c r="I972" s="338">
        <f t="shared" si="529"/>
        <v>44350150</v>
      </c>
      <c r="J972" s="329">
        <f t="shared" si="514"/>
        <v>0</v>
      </c>
      <c r="K972" s="338">
        <f t="shared" si="530"/>
        <v>15100000</v>
      </c>
      <c r="L972" s="329">
        <f t="shared" si="515"/>
        <v>0</v>
      </c>
      <c r="M972" s="338">
        <f t="shared" si="531"/>
        <v>25332976</v>
      </c>
      <c r="N972" s="329">
        <f t="shared" si="516"/>
        <v>0</v>
      </c>
      <c r="O972" s="338">
        <f t="shared" si="532"/>
        <v>14300000</v>
      </c>
      <c r="P972" s="329">
        <f t="shared" si="517"/>
        <v>0</v>
      </c>
      <c r="Q972" s="338">
        <f t="shared" si="533"/>
        <v>0</v>
      </c>
      <c r="R972" s="329">
        <f t="shared" si="518"/>
        <v>0</v>
      </c>
      <c r="S972" s="338">
        <f t="shared" si="534"/>
        <v>10000000</v>
      </c>
      <c r="T972" s="329">
        <f t="shared" si="519"/>
        <v>0</v>
      </c>
      <c r="U972" s="338">
        <f t="shared" si="521"/>
        <v>2200000</v>
      </c>
      <c r="V972" s="329">
        <f t="shared" si="520"/>
        <v>0</v>
      </c>
      <c r="W972" s="338">
        <f t="shared" si="535"/>
        <v>12224694.890000001</v>
      </c>
      <c r="X972" s="35"/>
    </row>
    <row r="973" spans="1:24" x14ac:dyDescent="0.25">
      <c r="A973" s="335">
        <f t="shared" si="524"/>
        <v>44684</v>
      </c>
      <c r="B973" s="49">
        <f t="shared" si="522"/>
        <v>0</v>
      </c>
      <c r="C973" s="338">
        <f t="shared" si="526"/>
        <v>118886089</v>
      </c>
      <c r="D973" s="329">
        <f t="shared" si="523"/>
        <v>0</v>
      </c>
      <c r="E973" s="338">
        <f t="shared" si="527"/>
        <v>9769566</v>
      </c>
      <c r="F973" s="329">
        <f t="shared" si="525"/>
        <v>0</v>
      </c>
      <c r="G973" s="338">
        <f t="shared" si="528"/>
        <v>76400000</v>
      </c>
      <c r="H973" s="329">
        <f t="shared" si="513"/>
        <v>0</v>
      </c>
      <c r="I973" s="338">
        <f t="shared" si="529"/>
        <v>44350150</v>
      </c>
      <c r="J973" s="329">
        <f t="shared" si="514"/>
        <v>0</v>
      </c>
      <c r="K973" s="338">
        <f t="shared" si="530"/>
        <v>15100000</v>
      </c>
      <c r="L973" s="329">
        <f t="shared" si="515"/>
        <v>0</v>
      </c>
      <c r="M973" s="338">
        <f t="shared" si="531"/>
        <v>25332976</v>
      </c>
      <c r="N973" s="329">
        <f t="shared" si="516"/>
        <v>0</v>
      </c>
      <c r="O973" s="338">
        <f t="shared" si="532"/>
        <v>14300000</v>
      </c>
      <c r="P973" s="329">
        <f t="shared" si="517"/>
        <v>0</v>
      </c>
      <c r="Q973" s="338">
        <f t="shared" si="533"/>
        <v>0</v>
      </c>
      <c r="R973" s="329">
        <f t="shared" si="518"/>
        <v>0</v>
      </c>
      <c r="S973" s="338">
        <f t="shared" si="534"/>
        <v>10000000</v>
      </c>
      <c r="T973" s="329">
        <f t="shared" si="519"/>
        <v>0</v>
      </c>
      <c r="U973" s="338">
        <f t="shared" si="521"/>
        <v>2200000</v>
      </c>
      <c r="V973" s="329">
        <f t="shared" si="520"/>
        <v>0</v>
      </c>
      <c r="W973" s="338">
        <f t="shared" si="535"/>
        <v>12224694.890000001</v>
      </c>
      <c r="X973" s="35"/>
    </row>
    <row r="974" spans="1:24" x14ac:dyDescent="0.25">
      <c r="A974" s="335">
        <f t="shared" si="524"/>
        <v>44685</v>
      </c>
      <c r="B974" s="49">
        <f t="shared" si="522"/>
        <v>0</v>
      </c>
      <c r="C974" s="338">
        <f t="shared" si="526"/>
        <v>118886089</v>
      </c>
      <c r="D974" s="329">
        <f t="shared" si="523"/>
        <v>0</v>
      </c>
      <c r="E974" s="338">
        <f t="shared" si="527"/>
        <v>9769566</v>
      </c>
      <c r="F974" s="329">
        <f t="shared" si="525"/>
        <v>0</v>
      </c>
      <c r="G974" s="338">
        <f t="shared" si="528"/>
        <v>76400000</v>
      </c>
      <c r="H974" s="329">
        <f t="shared" si="513"/>
        <v>0</v>
      </c>
      <c r="I974" s="338">
        <f t="shared" si="529"/>
        <v>44350150</v>
      </c>
      <c r="J974" s="329">
        <f t="shared" si="514"/>
        <v>0</v>
      </c>
      <c r="K974" s="338">
        <f t="shared" si="530"/>
        <v>15100000</v>
      </c>
      <c r="L974" s="329">
        <f t="shared" si="515"/>
        <v>0</v>
      </c>
      <c r="M974" s="338">
        <f t="shared" si="531"/>
        <v>25332976</v>
      </c>
      <c r="N974" s="329">
        <f t="shared" si="516"/>
        <v>0</v>
      </c>
      <c r="O974" s="338">
        <f t="shared" si="532"/>
        <v>14300000</v>
      </c>
      <c r="P974" s="329">
        <f t="shared" si="517"/>
        <v>0</v>
      </c>
      <c r="Q974" s="338">
        <f t="shared" si="533"/>
        <v>0</v>
      </c>
      <c r="R974" s="329">
        <f t="shared" si="518"/>
        <v>0</v>
      </c>
      <c r="S974" s="338">
        <f t="shared" si="534"/>
        <v>10000000</v>
      </c>
      <c r="T974" s="329">
        <f t="shared" si="519"/>
        <v>0</v>
      </c>
      <c r="U974" s="338">
        <f t="shared" si="521"/>
        <v>2200000</v>
      </c>
      <c r="V974" s="329">
        <f t="shared" si="520"/>
        <v>0</v>
      </c>
      <c r="W974" s="338">
        <f t="shared" si="535"/>
        <v>12224694.890000001</v>
      </c>
      <c r="X974" s="35"/>
    </row>
    <row r="975" spans="1:24" x14ac:dyDescent="0.25">
      <c r="A975" s="335">
        <f t="shared" si="524"/>
        <v>44686</v>
      </c>
      <c r="B975" s="49">
        <f t="shared" si="522"/>
        <v>0</v>
      </c>
      <c r="C975" s="338">
        <f t="shared" si="526"/>
        <v>118886089</v>
      </c>
      <c r="D975" s="329">
        <f t="shared" si="523"/>
        <v>0</v>
      </c>
      <c r="E975" s="338">
        <f t="shared" si="527"/>
        <v>9769566</v>
      </c>
      <c r="F975" s="329">
        <f t="shared" si="525"/>
        <v>0</v>
      </c>
      <c r="G975" s="338">
        <f t="shared" si="528"/>
        <v>76400000</v>
      </c>
      <c r="H975" s="329">
        <f t="shared" si="513"/>
        <v>0</v>
      </c>
      <c r="I975" s="338">
        <f t="shared" si="529"/>
        <v>44350150</v>
      </c>
      <c r="J975" s="329">
        <f t="shared" si="514"/>
        <v>0</v>
      </c>
      <c r="K975" s="338">
        <f t="shared" si="530"/>
        <v>15100000</v>
      </c>
      <c r="L975" s="329">
        <f t="shared" si="515"/>
        <v>0</v>
      </c>
      <c r="M975" s="338">
        <f t="shared" si="531"/>
        <v>25332976</v>
      </c>
      <c r="N975" s="329">
        <f t="shared" si="516"/>
        <v>0</v>
      </c>
      <c r="O975" s="338">
        <f t="shared" si="532"/>
        <v>14300000</v>
      </c>
      <c r="P975" s="329">
        <f t="shared" si="517"/>
        <v>0</v>
      </c>
      <c r="Q975" s="338">
        <f t="shared" si="533"/>
        <v>0</v>
      </c>
      <c r="R975" s="329">
        <f t="shared" si="518"/>
        <v>0</v>
      </c>
      <c r="S975" s="338">
        <f t="shared" si="534"/>
        <v>10000000</v>
      </c>
      <c r="T975" s="329">
        <f t="shared" si="519"/>
        <v>0</v>
      </c>
      <c r="U975" s="338">
        <f t="shared" si="521"/>
        <v>2200000</v>
      </c>
      <c r="V975" s="329">
        <f t="shared" si="520"/>
        <v>0</v>
      </c>
      <c r="W975" s="338">
        <f t="shared" si="535"/>
        <v>12224694.890000001</v>
      </c>
      <c r="X975" s="35"/>
    </row>
    <row r="976" spans="1:24" x14ac:dyDescent="0.25">
      <c r="A976" s="335">
        <f t="shared" si="524"/>
        <v>44687</v>
      </c>
      <c r="B976" s="49">
        <f t="shared" si="522"/>
        <v>0</v>
      </c>
      <c r="C976" s="338">
        <f t="shared" si="526"/>
        <v>118886089</v>
      </c>
      <c r="D976" s="329">
        <f t="shared" si="523"/>
        <v>0</v>
      </c>
      <c r="E976" s="338">
        <f t="shared" si="527"/>
        <v>9769566</v>
      </c>
      <c r="F976" s="329">
        <f t="shared" si="525"/>
        <v>0</v>
      </c>
      <c r="G976" s="338">
        <f t="shared" si="528"/>
        <v>76400000</v>
      </c>
      <c r="H976" s="329">
        <f t="shared" si="513"/>
        <v>0</v>
      </c>
      <c r="I976" s="338">
        <f t="shared" si="529"/>
        <v>44350150</v>
      </c>
      <c r="J976" s="329">
        <f t="shared" si="514"/>
        <v>0</v>
      </c>
      <c r="K976" s="338">
        <f t="shared" si="530"/>
        <v>15100000</v>
      </c>
      <c r="L976" s="329">
        <f t="shared" si="515"/>
        <v>0</v>
      </c>
      <c r="M976" s="338">
        <f t="shared" si="531"/>
        <v>25332976</v>
      </c>
      <c r="N976" s="329">
        <f t="shared" si="516"/>
        <v>0</v>
      </c>
      <c r="O976" s="338">
        <f t="shared" si="532"/>
        <v>14300000</v>
      </c>
      <c r="P976" s="329">
        <f t="shared" si="517"/>
        <v>0</v>
      </c>
      <c r="Q976" s="338">
        <f t="shared" si="533"/>
        <v>0</v>
      </c>
      <c r="R976" s="329">
        <f t="shared" si="518"/>
        <v>0</v>
      </c>
      <c r="S976" s="338">
        <f t="shared" si="534"/>
        <v>10000000</v>
      </c>
      <c r="T976" s="329">
        <f t="shared" si="519"/>
        <v>0</v>
      </c>
      <c r="U976" s="338">
        <f t="shared" si="521"/>
        <v>2200000</v>
      </c>
      <c r="V976" s="329">
        <f t="shared" si="520"/>
        <v>0</v>
      </c>
      <c r="W976" s="338">
        <f t="shared" si="535"/>
        <v>12224694.890000001</v>
      </c>
      <c r="X976" s="35"/>
    </row>
    <row r="977" spans="1:24" x14ac:dyDescent="0.25">
      <c r="A977" s="335">
        <f t="shared" si="524"/>
        <v>44688</v>
      </c>
      <c r="B977" s="49">
        <f t="shared" si="522"/>
        <v>0</v>
      </c>
      <c r="C977" s="338">
        <f t="shared" si="526"/>
        <v>118886089</v>
      </c>
      <c r="D977" s="329">
        <f t="shared" si="523"/>
        <v>0</v>
      </c>
      <c r="E977" s="338">
        <f t="shared" si="527"/>
        <v>9769566</v>
      </c>
      <c r="F977" s="329">
        <f t="shared" si="525"/>
        <v>0</v>
      </c>
      <c r="G977" s="338">
        <f t="shared" si="528"/>
        <v>76400000</v>
      </c>
      <c r="H977" s="329">
        <f t="shared" si="513"/>
        <v>0</v>
      </c>
      <c r="I977" s="338">
        <f t="shared" si="529"/>
        <v>44350150</v>
      </c>
      <c r="J977" s="329">
        <f t="shared" si="514"/>
        <v>0</v>
      </c>
      <c r="K977" s="338">
        <f t="shared" si="530"/>
        <v>15100000</v>
      </c>
      <c r="L977" s="329">
        <f t="shared" si="515"/>
        <v>0</v>
      </c>
      <c r="M977" s="338">
        <f t="shared" si="531"/>
        <v>25332976</v>
      </c>
      <c r="N977" s="329">
        <f t="shared" si="516"/>
        <v>0</v>
      </c>
      <c r="O977" s="338">
        <f t="shared" si="532"/>
        <v>14300000</v>
      </c>
      <c r="P977" s="329">
        <f t="shared" si="517"/>
        <v>0</v>
      </c>
      <c r="Q977" s="338">
        <f t="shared" si="533"/>
        <v>0</v>
      </c>
      <c r="R977" s="329">
        <f t="shared" si="518"/>
        <v>0</v>
      </c>
      <c r="S977" s="338">
        <f t="shared" si="534"/>
        <v>10000000</v>
      </c>
      <c r="T977" s="329">
        <f t="shared" si="519"/>
        <v>0</v>
      </c>
      <c r="U977" s="338">
        <f t="shared" si="521"/>
        <v>2200000</v>
      </c>
      <c r="V977" s="329">
        <f t="shared" si="520"/>
        <v>0</v>
      </c>
      <c r="W977" s="338">
        <f t="shared" si="535"/>
        <v>12224694.890000001</v>
      </c>
      <c r="X977" s="35"/>
    </row>
    <row r="978" spans="1:24" x14ac:dyDescent="0.25">
      <c r="A978" s="335">
        <f t="shared" si="524"/>
        <v>44689</v>
      </c>
      <c r="B978" s="49">
        <f t="shared" si="522"/>
        <v>0</v>
      </c>
      <c r="C978" s="338">
        <f t="shared" si="526"/>
        <v>118886089</v>
      </c>
      <c r="D978" s="329">
        <f t="shared" si="523"/>
        <v>0</v>
      </c>
      <c r="E978" s="338">
        <f t="shared" si="527"/>
        <v>9769566</v>
      </c>
      <c r="F978" s="329">
        <f t="shared" si="525"/>
        <v>0</v>
      </c>
      <c r="G978" s="338">
        <f t="shared" si="528"/>
        <v>76400000</v>
      </c>
      <c r="H978" s="329">
        <f t="shared" si="513"/>
        <v>0</v>
      </c>
      <c r="I978" s="338">
        <f t="shared" si="529"/>
        <v>44350150</v>
      </c>
      <c r="J978" s="329">
        <f t="shared" si="514"/>
        <v>0</v>
      </c>
      <c r="K978" s="338">
        <f t="shared" si="530"/>
        <v>15100000</v>
      </c>
      <c r="L978" s="329">
        <f t="shared" si="515"/>
        <v>0</v>
      </c>
      <c r="M978" s="338">
        <f t="shared" si="531"/>
        <v>25332976</v>
      </c>
      <c r="N978" s="329">
        <f t="shared" si="516"/>
        <v>0</v>
      </c>
      <c r="O978" s="338">
        <f t="shared" si="532"/>
        <v>14300000</v>
      </c>
      <c r="P978" s="329">
        <f t="shared" si="517"/>
        <v>0</v>
      </c>
      <c r="Q978" s="338">
        <f t="shared" si="533"/>
        <v>0</v>
      </c>
      <c r="R978" s="329">
        <f t="shared" si="518"/>
        <v>0</v>
      </c>
      <c r="S978" s="338">
        <f t="shared" si="534"/>
        <v>10000000</v>
      </c>
      <c r="T978" s="329">
        <f t="shared" si="519"/>
        <v>0</v>
      </c>
      <c r="U978" s="338">
        <f t="shared" si="521"/>
        <v>2200000</v>
      </c>
      <c r="V978" s="329">
        <f t="shared" si="520"/>
        <v>0</v>
      </c>
      <c r="W978" s="338">
        <f t="shared" si="535"/>
        <v>12224694.890000001</v>
      </c>
      <c r="X978" s="35"/>
    </row>
    <row r="979" spans="1:24" x14ac:dyDescent="0.25">
      <c r="A979" s="335">
        <f t="shared" si="524"/>
        <v>44690</v>
      </c>
      <c r="B979" s="49">
        <f t="shared" si="522"/>
        <v>0</v>
      </c>
      <c r="C979" s="338">
        <f t="shared" si="526"/>
        <v>118886089</v>
      </c>
      <c r="D979" s="329">
        <f t="shared" si="523"/>
        <v>0</v>
      </c>
      <c r="E979" s="338">
        <f t="shared" si="527"/>
        <v>9769566</v>
      </c>
      <c r="F979" s="329">
        <f t="shared" si="525"/>
        <v>0</v>
      </c>
      <c r="G979" s="338">
        <f t="shared" si="528"/>
        <v>76400000</v>
      </c>
      <c r="H979" s="329">
        <f t="shared" si="513"/>
        <v>0</v>
      </c>
      <c r="I979" s="338">
        <f t="shared" si="529"/>
        <v>44350150</v>
      </c>
      <c r="J979" s="329">
        <f t="shared" si="514"/>
        <v>0</v>
      </c>
      <c r="K979" s="338">
        <f t="shared" si="530"/>
        <v>15100000</v>
      </c>
      <c r="L979" s="329">
        <f t="shared" si="515"/>
        <v>0</v>
      </c>
      <c r="M979" s="338">
        <f t="shared" si="531"/>
        <v>25332976</v>
      </c>
      <c r="N979" s="329">
        <f t="shared" si="516"/>
        <v>0</v>
      </c>
      <c r="O979" s="338">
        <f t="shared" si="532"/>
        <v>14300000</v>
      </c>
      <c r="P979" s="329">
        <f t="shared" si="517"/>
        <v>0</v>
      </c>
      <c r="Q979" s="338">
        <f t="shared" si="533"/>
        <v>0</v>
      </c>
      <c r="R979" s="329">
        <f t="shared" si="518"/>
        <v>0</v>
      </c>
      <c r="S979" s="338">
        <f t="shared" si="534"/>
        <v>10000000</v>
      </c>
      <c r="T979" s="329">
        <f t="shared" si="519"/>
        <v>0</v>
      </c>
      <c r="U979" s="338">
        <f t="shared" si="521"/>
        <v>2200000</v>
      </c>
      <c r="V979" s="329">
        <f t="shared" si="520"/>
        <v>0</v>
      </c>
      <c r="W979" s="338">
        <f t="shared" si="535"/>
        <v>12224694.890000001</v>
      </c>
      <c r="X979" s="35"/>
    </row>
    <row r="980" spans="1:24" x14ac:dyDescent="0.25">
      <c r="A980" s="335">
        <f t="shared" si="524"/>
        <v>44691</v>
      </c>
      <c r="B980" s="49">
        <f t="shared" si="522"/>
        <v>0</v>
      </c>
      <c r="C980" s="338">
        <f t="shared" si="526"/>
        <v>118886089</v>
      </c>
      <c r="D980" s="329">
        <f t="shared" si="523"/>
        <v>0</v>
      </c>
      <c r="E980" s="338">
        <f t="shared" si="527"/>
        <v>9769566</v>
      </c>
      <c r="F980" s="329">
        <f t="shared" si="525"/>
        <v>0</v>
      </c>
      <c r="G980" s="338">
        <f t="shared" si="528"/>
        <v>76400000</v>
      </c>
      <c r="H980" s="329">
        <f t="shared" si="513"/>
        <v>0</v>
      </c>
      <c r="I980" s="338">
        <f t="shared" si="529"/>
        <v>44350150</v>
      </c>
      <c r="J980" s="329">
        <f t="shared" si="514"/>
        <v>0</v>
      </c>
      <c r="K980" s="338">
        <f t="shared" si="530"/>
        <v>15100000</v>
      </c>
      <c r="L980" s="329">
        <f t="shared" si="515"/>
        <v>0</v>
      </c>
      <c r="M980" s="338">
        <f t="shared" si="531"/>
        <v>25332976</v>
      </c>
      <c r="N980" s="329">
        <f t="shared" si="516"/>
        <v>0</v>
      </c>
      <c r="O980" s="338">
        <f t="shared" si="532"/>
        <v>14300000</v>
      </c>
      <c r="P980" s="329">
        <f t="shared" si="517"/>
        <v>0</v>
      </c>
      <c r="Q980" s="338">
        <f t="shared" si="533"/>
        <v>0</v>
      </c>
      <c r="R980" s="329">
        <f t="shared" si="518"/>
        <v>0</v>
      </c>
      <c r="S980" s="338">
        <f t="shared" si="534"/>
        <v>10000000</v>
      </c>
      <c r="T980" s="329">
        <f t="shared" si="519"/>
        <v>0</v>
      </c>
      <c r="U980" s="338">
        <f t="shared" si="521"/>
        <v>2200000</v>
      </c>
      <c r="V980" s="329">
        <f t="shared" si="520"/>
        <v>0</v>
      </c>
      <c r="W980" s="338">
        <f t="shared" si="535"/>
        <v>12224694.890000001</v>
      </c>
      <c r="X980" s="35"/>
    </row>
    <row r="981" spans="1:24" x14ac:dyDescent="0.25">
      <c r="A981" s="335">
        <f t="shared" si="524"/>
        <v>44692</v>
      </c>
      <c r="B981" s="49">
        <f t="shared" si="522"/>
        <v>0</v>
      </c>
      <c r="C981" s="338">
        <f t="shared" si="526"/>
        <v>118886089</v>
      </c>
      <c r="D981" s="329">
        <f t="shared" si="523"/>
        <v>0</v>
      </c>
      <c r="E981" s="338">
        <f t="shared" si="527"/>
        <v>9769566</v>
      </c>
      <c r="F981" s="329">
        <f t="shared" si="525"/>
        <v>0</v>
      </c>
      <c r="G981" s="338">
        <f t="shared" si="528"/>
        <v>76400000</v>
      </c>
      <c r="H981" s="329">
        <f t="shared" si="513"/>
        <v>0</v>
      </c>
      <c r="I981" s="338">
        <f t="shared" si="529"/>
        <v>44350150</v>
      </c>
      <c r="J981" s="329">
        <f t="shared" si="514"/>
        <v>0</v>
      </c>
      <c r="K981" s="338">
        <f t="shared" si="530"/>
        <v>15100000</v>
      </c>
      <c r="L981" s="329">
        <f t="shared" si="515"/>
        <v>0</v>
      </c>
      <c r="M981" s="338">
        <f t="shared" si="531"/>
        <v>25332976</v>
      </c>
      <c r="N981" s="329">
        <f t="shared" si="516"/>
        <v>0</v>
      </c>
      <c r="O981" s="338">
        <f t="shared" si="532"/>
        <v>14300000</v>
      </c>
      <c r="P981" s="329">
        <f t="shared" si="517"/>
        <v>0</v>
      </c>
      <c r="Q981" s="338">
        <f t="shared" si="533"/>
        <v>0</v>
      </c>
      <c r="R981" s="329">
        <f t="shared" si="518"/>
        <v>0</v>
      </c>
      <c r="S981" s="338">
        <f t="shared" si="534"/>
        <v>10000000</v>
      </c>
      <c r="T981" s="329">
        <f t="shared" si="519"/>
        <v>0</v>
      </c>
      <c r="U981" s="338">
        <f t="shared" si="521"/>
        <v>2200000</v>
      </c>
      <c r="V981" s="329">
        <f t="shared" si="520"/>
        <v>0</v>
      </c>
      <c r="W981" s="338">
        <f t="shared" si="535"/>
        <v>12224694.890000001</v>
      </c>
      <c r="X981" s="35"/>
    </row>
    <row r="982" spans="1:24" x14ac:dyDescent="0.25">
      <c r="A982" s="335">
        <f t="shared" si="524"/>
        <v>44693</v>
      </c>
      <c r="B982" s="49">
        <f t="shared" si="522"/>
        <v>0</v>
      </c>
      <c r="C982" s="338">
        <f t="shared" si="526"/>
        <v>118886089</v>
      </c>
      <c r="D982" s="329">
        <f t="shared" si="523"/>
        <v>0</v>
      </c>
      <c r="E982" s="338">
        <f t="shared" si="527"/>
        <v>9769566</v>
      </c>
      <c r="F982" s="329">
        <f t="shared" si="525"/>
        <v>0</v>
      </c>
      <c r="G982" s="338">
        <f t="shared" si="528"/>
        <v>76400000</v>
      </c>
      <c r="H982" s="329">
        <f t="shared" si="513"/>
        <v>0</v>
      </c>
      <c r="I982" s="338">
        <f t="shared" si="529"/>
        <v>44350150</v>
      </c>
      <c r="J982" s="329">
        <f t="shared" si="514"/>
        <v>0</v>
      </c>
      <c r="K982" s="338">
        <f t="shared" si="530"/>
        <v>15100000</v>
      </c>
      <c r="L982" s="329">
        <f t="shared" si="515"/>
        <v>0</v>
      </c>
      <c r="M982" s="338">
        <f t="shared" si="531"/>
        <v>25332976</v>
      </c>
      <c r="N982" s="329">
        <f t="shared" si="516"/>
        <v>0</v>
      </c>
      <c r="O982" s="338">
        <f t="shared" si="532"/>
        <v>14300000</v>
      </c>
      <c r="P982" s="329">
        <f t="shared" si="517"/>
        <v>0</v>
      </c>
      <c r="Q982" s="338">
        <f t="shared" si="533"/>
        <v>0</v>
      </c>
      <c r="R982" s="329">
        <f t="shared" si="518"/>
        <v>0</v>
      </c>
      <c r="S982" s="338">
        <f t="shared" si="534"/>
        <v>10000000</v>
      </c>
      <c r="T982" s="329">
        <f t="shared" si="519"/>
        <v>0</v>
      </c>
      <c r="U982" s="338">
        <f t="shared" si="521"/>
        <v>2200000</v>
      </c>
      <c r="V982" s="329">
        <f t="shared" si="520"/>
        <v>0</v>
      </c>
      <c r="W982" s="338">
        <f t="shared" si="535"/>
        <v>12224694.890000001</v>
      </c>
      <c r="X982" s="35"/>
    </row>
    <row r="983" spans="1:24" x14ac:dyDescent="0.25">
      <c r="A983" s="335">
        <f t="shared" si="524"/>
        <v>44694</v>
      </c>
      <c r="B983" s="49">
        <f t="shared" si="522"/>
        <v>0</v>
      </c>
      <c r="C983" s="338">
        <f t="shared" si="526"/>
        <v>118886089</v>
      </c>
      <c r="D983" s="329">
        <f t="shared" si="523"/>
        <v>0</v>
      </c>
      <c r="E983" s="338">
        <f t="shared" si="527"/>
        <v>9769566</v>
      </c>
      <c r="F983" s="329">
        <f t="shared" si="525"/>
        <v>0</v>
      </c>
      <c r="G983" s="338">
        <f t="shared" si="528"/>
        <v>76400000</v>
      </c>
      <c r="H983" s="329">
        <f t="shared" si="513"/>
        <v>0</v>
      </c>
      <c r="I983" s="338">
        <f t="shared" si="529"/>
        <v>44350150</v>
      </c>
      <c r="J983" s="329">
        <f t="shared" si="514"/>
        <v>0</v>
      </c>
      <c r="K983" s="338">
        <f t="shared" si="530"/>
        <v>15100000</v>
      </c>
      <c r="L983" s="329">
        <f t="shared" si="515"/>
        <v>0</v>
      </c>
      <c r="M983" s="338">
        <f t="shared" si="531"/>
        <v>25332976</v>
      </c>
      <c r="N983" s="329">
        <f t="shared" si="516"/>
        <v>0</v>
      </c>
      <c r="O983" s="338">
        <f t="shared" si="532"/>
        <v>14300000</v>
      </c>
      <c r="P983" s="329">
        <f t="shared" si="517"/>
        <v>0</v>
      </c>
      <c r="Q983" s="338">
        <f t="shared" si="533"/>
        <v>0</v>
      </c>
      <c r="R983" s="329">
        <f t="shared" si="518"/>
        <v>0</v>
      </c>
      <c r="S983" s="338">
        <f t="shared" si="534"/>
        <v>10000000</v>
      </c>
      <c r="T983" s="329">
        <f t="shared" si="519"/>
        <v>0</v>
      </c>
      <c r="U983" s="338">
        <f t="shared" si="521"/>
        <v>2200000</v>
      </c>
      <c r="V983" s="329">
        <f t="shared" si="520"/>
        <v>0</v>
      </c>
      <c r="W983" s="338">
        <f t="shared" si="535"/>
        <v>12224694.890000001</v>
      </c>
      <c r="X983" s="35"/>
    </row>
    <row r="984" spans="1:24" x14ac:dyDescent="0.25">
      <c r="A984" s="335">
        <f t="shared" si="524"/>
        <v>44695</v>
      </c>
      <c r="B984" s="49">
        <f t="shared" si="522"/>
        <v>0</v>
      </c>
      <c r="C984" s="338">
        <f t="shared" si="526"/>
        <v>118886089</v>
      </c>
      <c r="D984" s="329">
        <f t="shared" si="523"/>
        <v>0</v>
      </c>
      <c r="E984" s="338">
        <f t="shared" si="527"/>
        <v>9769566</v>
      </c>
      <c r="F984" s="329">
        <f t="shared" si="525"/>
        <v>0</v>
      </c>
      <c r="G984" s="338">
        <f t="shared" si="528"/>
        <v>76400000</v>
      </c>
      <c r="H984" s="329">
        <f t="shared" si="513"/>
        <v>0</v>
      </c>
      <c r="I984" s="338">
        <f t="shared" si="529"/>
        <v>44350150</v>
      </c>
      <c r="J984" s="329">
        <f t="shared" si="514"/>
        <v>0</v>
      </c>
      <c r="K984" s="338">
        <f t="shared" si="530"/>
        <v>15100000</v>
      </c>
      <c r="L984" s="329">
        <f t="shared" si="515"/>
        <v>0</v>
      </c>
      <c r="M984" s="338">
        <f t="shared" si="531"/>
        <v>25332976</v>
      </c>
      <c r="N984" s="329">
        <f t="shared" si="516"/>
        <v>0</v>
      </c>
      <c r="O984" s="338">
        <f t="shared" si="532"/>
        <v>14300000</v>
      </c>
      <c r="P984" s="329">
        <f t="shared" si="517"/>
        <v>0</v>
      </c>
      <c r="Q984" s="338">
        <f t="shared" si="533"/>
        <v>0</v>
      </c>
      <c r="R984" s="329">
        <f t="shared" si="518"/>
        <v>0</v>
      </c>
      <c r="S984" s="338">
        <f t="shared" si="534"/>
        <v>10000000</v>
      </c>
      <c r="T984" s="329">
        <f t="shared" si="519"/>
        <v>0</v>
      </c>
      <c r="U984" s="338">
        <f t="shared" si="521"/>
        <v>2200000</v>
      </c>
      <c r="V984" s="329">
        <f t="shared" si="520"/>
        <v>0</v>
      </c>
      <c r="W984" s="338">
        <f t="shared" si="535"/>
        <v>12224694.890000001</v>
      </c>
      <c r="X984" s="35"/>
    </row>
    <row r="985" spans="1:24" x14ac:dyDescent="0.25">
      <c r="A985" s="335">
        <f t="shared" si="524"/>
        <v>44696</v>
      </c>
      <c r="B985" s="49">
        <f t="shared" si="522"/>
        <v>0</v>
      </c>
      <c r="C985" s="338">
        <f t="shared" si="526"/>
        <v>118886089</v>
      </c>
      <c r="D985" s="329">
        <f t="shared" si="523"/>
        <v>0</v>
      </c>
      <c r="E985" s="338">
        <f t="shared" si="527"/>
        <v>9769566</v>
      </c>
      <c r="F985" s="329">
        <f t="shared" si="525"/>
        <v>0</v>
      </c>
      <c r="G985" s="338">
        <f t="shared" si="528"/>
        <v>76400000</v>
      </c>
      <c r="H985" s="329">
        <f t="shared" si="513"/>
        <v>0</v>
      </c>
      <c r="I985" s="338">
        <f t="shared" si="529"/>
        <v>44350150</v>
      </c>
      <c r="J985" s="329">
        <f t="shared" si="514"/>
        <v>0</v>
      </c>
      <c r="K985" s="338">
        <f t="shared" si="530"/>
        <v>15100000</v>
      </c>
      <c r="L985" s="329">
        <f t="shared" si="515"/>
        <v>0</v>
      </c>
      <c r="M985" s="338">
        <f t="shared" si="531"/>
        <v>25332976</v>
      </c>
      <c r="N985" s="329">
        <f t="shared" si="516"/>
        <v>0</v>
      </c>
      <c r="O985" s="338">
        <f t="shared" si="532"/>
        <v>14300000</v>
      </c>
      <c r="P985" s="329">
        <f t="shared" si="517"/>
        <v>0</v>
      </c>
      <c r="Q985" s="338">
        <f t="shared" si="533"/>
        <v>0</v>
      </c>
      <c r="R985" s="329">
        <f t="shared" si="518"/>
        <v>0</v>
      </c>
      <c r="S985" s="338">
        <f t="shared" si="534"/>
        <v>10000000</v>
      </c>
      <c r="T985" s="329">
        <f t="shared" si="519"/>
        <v>0</v>
      </c>
      <c r="U985" s="338">
        <f t="shared" si="521"/>
        <v>2200000</v>
      </c>
      <c r="V985" s="329">
        <f t="shared" si="520"/>
        <v>0</v>
      </c>
      <c r="W985" s="338">
        <f t="shared" si="535"/>
        <v>12224694.890000001</v>
      </c>
      <c r="X985" s="35"/>
    </row>
    <row r="986" spans="1:24" x14ac:dyDescent="0.25">
      <c r="A986" s="335">
        <f t="shared" si="524"/>
        <v>44697</v>
      </c>
      <c r="B986" s="49">
        <f t="shared" si="522"/>
        <v>0</v>
      </c>
      <c r="C986" s="338">
        <f t="shared" si="526"/>
        <v>118886089</v>
      </c>
      <c r="D986" s="329">
        <f t="shared" si="523"/>
        <v>0</v>
      </c>
      <c r="E986" s="338">
        <f t="shared" si="527"/>
        <v>9769566</v>
      </c>
      <c r="F986" s="329">
        <f t="shared" si="525"/>
        <v>0</v>
      </c>
      <c r="G986" s="338">
        <f t="shared" si="528"/>
        <v>76400000</v>
      </c>
      <c r="H986" s="329">
        <f t="shared" si="513"/>
        <v>0</v>
      </c>
      <c r="I986" s="338">
        <f t="shared" si="529"/>
        <v>44350150</v>
      </c>
      <c r="J986" s="329">
        <f t="shared" si="514"/>
        <v>0</v>
      </c>
      <c r="K986" s="338">
        <f t="shared" si="530"/>
        <v>15100000</v>
      </c>
      <c r="L986" s="329">
        <f t="shared" si="515"/>
        <v>0</v>
      </c>
      <c r="M986" s="338">
        <f t="shared" si="531"/>
        <v>25332976</v>
      </c>
      <c r="N986" s="329">
        <f t="shared" si="516"/>
        <v>0</v>
      </c>
      <c r="O986" s="338">
        <f t="shared" si="532"/>
        <v>14300000</v>
      </c>
      <c r="P986" s="329">
        <f t="shared" si="517"/>
        <v>0</v>
      </c>
      <c r="Q986" s="338">
        <f t="shared" si="533"/>
        <v>0</v>
      </c>
      <c r="R986" s="329">
        <f t="shared" si="518"/>
        <v>0</v>
      </c>
      <c r="S986" s="338">
        <f t="shared" si="534"/>
        <v>10000000</v>
      </c>
      <c r="T986" s="329">
        <f t="shared" si="519"/>
        <v>0</v>
      </c>
      <c r="U986" s="338">
        <f t="shared" si="521"/>
        <v>2200000</v>
      </c>
      <c r="V986" s="329">
        <f t="shared" si="520"/>
        <v>0</v>
      </c>
      <c r="W986" s="338">
        <f t="shared" si="535"/>
        <v>12224694.890000001</v>
      </c>
      <c r="X986" s="35"/>
    </row>
    <row r="987" spans="1:24" x14ac:dyDescent="0.25">
      <c r="A987" s="335">
        <f t="shared" si="524"/>
        <v>44698</v>
      </c>
      <c r="B987" s="49">
        <f t="shared" si="522"/>
        <v>0</v>
      </c>
      <c r="C987" s="338">
        <f t="shared" si="526"/>
        <v>118886089</v>
      </c>
      <c r="D987" s="329">
        <f t="shared" si="523"/>
        <v>0</v>
      </c>
      <c r="E987" s="338">
        <f t="shared" si="527"/>
        <v>9769566</v>
      </c>
      <c r="F987" s="329">
        <f t="shared" si="525"/>
        <v>0</v>
      </c>
      <c r="G987" s="338">
        <f t="shared" si="528"/>
        <v>76400000</v>
      </c>
      <c r="H987" s="329">
        <f t="shared" si="513"/>
        <v>0</v>
      </c>
      <c r="I987" s="338">
        <f t="shared" si="529"/>
        <v>44350150</v>
      </c>
      <c r="J987" s="329">
        <f t="shared" si="514"/>
        <v>0</v>
      </c>
      <c r="K987" s="338">
        <f t="shared" si="530"/>
        <v>15100000</v>
      </c>
      <c r="L987" s="329">
        <f t="shared" si="515"/>
        <v>0</v>
      </c>
      <c r="M987" s="338">
        <f t="shared" si="531"/>
        <v>25332976</v>
      </c>
      <c r="N987" s="329">
        <f t="shared" si="516"/>
        <v>0</v>
      </c>
      <c r="O987" s="338">
        <f t="shared" si="532"/>
        <v>14300000</v>
      </c>
      <c r="P987" s="329">
        <f t="shared" si="517"/>
        <v>0</v>
      </c>
      <c r="Q987" s="338">
        <f t="shared" si="533"/>
        <v>0</v>
      </c>
      <c r="R987" s="329">
        <f t="shared" si="518"/>
        <v>0</v>
      </c>
      <c r="S987" s="338">
        <f t="shared" si="534"/>
        <v>10000000</v>
      </c>
      <c r="T987" s="329">
        <f t="shared" si="519"/>
        <v>0</v>
      </c>
      <c r="U987" s="338">
        <f t="shared" si="521"/>
        <v>2200000</v>
      </c>
      <c r="V987" s="329">
        <f t="shared" si="520"/>
        <v>0</v>
      </c>
      <c r="W987" s="338">
        <f t="shared" si="535"/>
        <v>12224694.890000001</v>
      </c>
      <c r="X987" s="35"/>
    </row>
    <row r="988" spans="1:24" x14ac:dyDescent="0.25">
      <c r="A988" s="335">
        <f t="shared" si="524"/>
        <v>44699</v>
      </c>
      <c r="B988" s="49">
        <f t="shared" si="522"/>
        <v>0</v>
      </c>
      <c r="C988" s="338">
        <f t="shared" si="526"/>
        <v>118886089</v>
      </c>
      <c r="D988" s="329">
        <f t="shared" si="523"/>
        <v>0</v>
      </c>
      <c r="E988" s="338">
        <f t="shared" si="527"/>
        <v>9769566</v>
      </c>
      <c r="F988" s="329">
        <f t="shared" si="525"/>
        <v>0</v>
      </c>
      <c r="G988" s="338">
        <f t="shared" si="528"/>
        <v>76400000</v>
      </c>
      <c r="H988" s="329">
        <f t="shared" si="513"/>
        <v>0</v>
      </c>
      <c r="I988" s="338">
        <f t="shared" si="529"/>
        <v>44350150</v>
      </c>
      <c r="J988" s="329">
        <f t="shared" si="514"/>
        <v>0</v>
      </c>
      <c r="K988" s="338">
        <f t="shared" si="530"/>
        <v>15100000</v>
      </c>
      <c r="L988" s="329">
        <f t="shared" si="515"/>
        <v>0</v>
      </c>
      <c r="M988" s="338">
        <f t="shared" si="531"/>
        <v>25332976</v>
      </c>
      <c r="N988" s="329">
        <f t="shared" si="516"/>
        <v>0</v>
      </c>
      <c r="O988" s="338">
        <f t="shared" si="532"/>
        <v>14300000</v>
      </c>
      <c r="P988" s="329">
        <f t="shared" si="517"/>
        <v>0</v>
      </c>
      <c r="Q988" s="338">
        <f t="shared" si="533"/>
        <v>0</v>
      </c>
      <c r="R988" s="329">
        <f t="shared" si="518"/>
        <v>0</v>
      </c>
      <c r="S988" s="338">
        <f t="shared" si="534"/>
        <v>10000000</v>
      </c>
      <c r="T988" s="329">
        <f t="shared" si="519"/>
        <v>0</v>
      </c>
      <c r="U988" s="338">
        <f t="shared" si="521"/>
        <v>2200000</v>
      </c>
      <c r="V988" s="329">
        <f t="shared" si="520"/>
        <v>0</v>
      </c>
      <c r="W988" s="338">
        <f t="shared" si="535"/>
        <v>12224694.890000001</v>
      </c>
      <c r="X988" s="35"/>
    </row>
    <row r="989" spans="1:24" x14ac:dyDescent="0.25">
      <c r="A989" s="335">
        <f t="shared" si="524"/>
        <v>44700</v>
      </c>
      <c r="B989" s="49">
        <f t="shared" si="522"/>
        <v>0</v>
      </c>
      <c r="C989" s="338">
        <f t="shared" si="526"/>
        <v>118886089</v>
      </c>
      <c r="D989" s="329">
        <f t="shared" si="523"/>
        <v>0</v>
      </c>
      <c r="E989" s="338">
        <f t="shared" si="527"/>
        <v>9769566</v>
      </c>
      <c r="F989" s="329">
        <f t="shared" si="525"/>
        <v>0</v>
      </c>
      <c r="G989" s="338">
        <f t="shared" si="528"/>
        <v>76400000</v>
      </c>
      <c r="H989" s="329">
        <f t="shared" si="513"/>
        <v>0</v>
      </c>
      <c r="I989" s="338">
        <f t="shared" si="529"/>
        <v>44350150</v>
      </c>
      <c r="J989" s="329">
        <f t="shared" si="514"/>
        <v>0</v>
      </c>
      <c r="K989" s="338">
        <f t="shared" si="530"/>
        <v>15100000</v>
      </c>
      <c r="L989" s="329">
        <f t="shared" si="515"/>
        <v>0</v>
      </c>
      <c r="M989" s="338">
        <f t="shared" si="531"/>
        <v>25332976</v>
      </c>
      <c r="N989" s="329">
        <f t="shared" si="516"/>
        <v>0</v>
      </c>
      <c r="O989" s="338">
        <f t="shared" si="532"/>
        <v>14300000</v>
      </c>
      <c r="P989" s="329">
        <f t="shared" si="517"/>
        <v>0</v>
      </c>
      <c r="Q989" s="338">
        <f t="shared" si="533"/>
        <v>0</v>
      </c>
      <c r="R989" s="329">
        <f t="shared" si="518"/>
        <v>0</v>
      </c>
      <c r="S989" s="338">
        <f t="shared" si="534"/>
        <v>10000000</v>
      </c>
      <c r="T989" s="329">
        <f t="shared" si="519"/>
        <v>0</v>
      </c>
      <c r="U989" s="338">
        <f t="shared" si="521"/>
        <v>2200000</v>
      </c>
      <c r="V989" s="329">
        <f t="shared" si="520"/>
        <v>0</v>
      </c>
      <c r="W989" s="338">
        <f t="shared" si="535"/>
        <v>12224694.890000001</v>
      </c>
      <c r="X989" s="35"/>
    </row>
    <row r="990" spans="1:24" x14ac:dyDescent="0.25">
      <c r="A990" s="335">
        <f t="shared" si="524"/>
        <v>44701</v>
      </c>
      <c r="B990" s="49">
        <f t="shared" si="522"/>
        <v>0</v>
      </c>
      <c r="C990" s="338">
        <f t="shared" si="526"/>
        <v>118886089</v>
      </c>
      <c r="D990" s="329">
        <f t="shared" si="523"/>
        <v>0</v>
      </c>
      <c r="E990" s="338">
        <f t="shared" si="527"/>
        <v>9769566</v>
      </c>
      <c r="F990" s="329">
        <f t="shared" si="525"/>
        <v>0</v>
      </c>
      <c r="G990" s="338">
        <f t="shared" si="528"/>
        <v>76400000</v>
      </c>
      <c r="H990" s="329">
        <f t="shared" si="513"/>
        <v>0</v>
      </c>
      <c r="I990" s="338">
        <f t="shared" si="529"/>
        <v>44350150</v>
      </c>
      <c r="J990" s="329">
        <f t="shared" si="514"/>
        <v>0</v>
      </c>
      <c r="K990" s="338">
        <f t="shared" si="530"/>
        <v>15100000</v>
      </c>
      <c r="L990" s="329">
        <f t="shared" si="515"/>
        <v>0</v>
      </c>
      <c r="M990" s="338">
        <f t="shared" si="531"/>
        <v>25332976</v>
      </c>
      <c r="N990" s="329">
        <f t="shared" si="516"/>
        <v>0</v>
      </c>
      <c r="O990" s="338">
        <f t="shared" si="532"/>
        <v>14300000</v>
      </c>
      <c r="P990" s="329">
        <f t="shared" si="517"/>
        <v>0</v>
      </c>
      <c r="Q990" s="338">
        <f t="shared" si="533"/>
        <v>0</v>
      </c>
      <c r="R990" s="329">
        <f t="shared" si="518"/>
        <v>0</v>
      </c>
      <c r="S990" s="338">
        <f t="shared" si="534"/>
        <v>10000000</v>
      </c>
      <c r="T990" s="329">
        <f t="shared" si="519"/>
        <v>0</v>
      </c>
      <c r="U990" s="338">
        <f t="shared" si="521"/>
        <v>2200000</v>
      </c>
      <c r="V990" s="329">
        <f t="shared" si="520"/>
        <v>0</v>
      </c>
      <c r="W990" s="338">
        <f t="shared" si="535"/>
        <v>12224694.890000001</v>
      </c>
      <c r="X990" s="35"/>
    </row>
    <row r="991" spans="1:24" x14ac:dyDescent="0.25">
      <c r="A991" s="335">
        <f t="shared" si="524"/>
        <v>44702</v>
      </c>
      <c r="B991" s="49">
        <f t="shared" si="522"/>
        <v>0</v>
      </c>
      <c r="C991" s="338">
        <f t="shared" si="526"/>
        <v>118886089</v>
      </c>
      <c r="D991" s="329">
        <f t="shared" si="523"/>
        <v>0</v>
      </c>
      <c r="E991" s="338">
        <f t="shared" si="527"/>
        <v>9769566</v>
      </c>
      <c r="F991" s="329">
        <f t="shared" si="525"/>
        <v>0</v>
      </c>
      <c r="G991" s="338">
        <f t="shared" si="528"/>
        <v>76400000</v>
      </c>
      <c r="H991" s="329">
        <f t="shared" si="513"/>
        <v>0</v>
      </c>
      <c r="I991" s="338">
        <f t="shared" si="529"/>
        <v>44350150</v>
      </c>
      <c r="J991" s="329">
        <f t="shared" si="514"/>
        <v>0</v>
      </c>
      <c r="K991" s="338">
        <f t="shared" si="530"/>
        <v>15100000</v>
      </c>
      <c r="L991" s="329">
        <f t="shared" si="515"/>
        <v>0</v>
      </c>
      <c r="M991" s="338">
        <f t="shared" si="531"/>
        <v>25332976</v>
      </c>
      <c r="N991" s="329">
        <f t="shared" si="516"/>
        <v>0</v>
      </c>
      <c r="O991" s="338">
        <f t="shared" si="532"/>
        <v>14300000</v>
      </c>
      <c r="P991" s="329">
        <f t="shared" si="517"/>
        <v>0</v>
      </c>
      <c r="Q991" s="338">
        <f t="shared" si="533"/>
        <v>0</v>
      </c>
      <c r="R991" s="329">
        <f t="shared" si="518"/>
        <v>0</v>
      </c>
      <c r="S991" s="338">
        <f t="shared" si="534"/>
        <v>10000000</v>
      </c>
      <c r="T991" s="329">
        <f t="shared" si="519"/>
        <v>0</v>
      </c>
      <c r="U991" s="338">
        <f t="shared" si="521"/>
        <v>2200000</v>
      </c>
      <c r="V991" s="329">
        <f t="shared" si="520"/>
        <v>0</v>
      </c>
      <c r="W991" s="338">
        <f t="shared" si="535"/>
        <v>12224694.890000001</v>
      </c>
      <c r="X991" s="35"/>
    </row>
    <row r="992" spans="1:24" x14ac:dyDescent="0.25">
      <c r="A992" s="335">
        <f t="shared" si="524"/>
        <v>44703</v>
      </c>
      <c r="B992" s="49">
        <f t="shared" si="522"/>
        <v>0</v>
      </c>
      <c r="C992" s="338">
        <f t="shared" si="526"/>
        <v>118886089</v>
      </c>
      <c r="D992" s="329">
        <f t="shared" si="523"/>
        <v>0</v>
      </c>
      <c r="E992" s="338">
        <f t="shared" si="527"/>
        <v>9769566</v>
      </c>
      <c r="F992" s="329">
        <f t="shared" si="525"/>
        <v>0</v>
      </c>
      <c r="G992" s="338">
        <f t="shared" si="528"/>
        <v>76400000</v>
      </c>
      <c r="H992" s="329">
        <f t="shared" si="513"/>
        <v>0</v>
      </c>
      <c r="I992" s="338">
        <f t="shared" si="529"/>
        <v>44350150</v>
      </c>
      <c r="J992" s="329">
        <f t="shared" si="514"/>
        <v>0</v>
      </c>
      <c r="K992" s="338">
        <f t="shared" si="530"/>
        <v>15100000</v>
      </c>
      <c r="L992" s="329">
        <f t="shared" si="515"/>
        <v>0</v>
      </c>
      <c r="M992" s="338">
        <f t="shared" si="531"/>
        <v>25332976</v>
      </c>
      <c r="N992" s="329">
        <f t="shared" si="516"/>
        <v>0</v>
      </c>
      <c r="O992" s="338">
        <f t="shared" si="532"/>
        <v>14300000</v>
      </c>
      <c r="P992" s="329">
        <f t="shared" si="517"/>
        <v>0</v>
      </c>
      <c r="Q992" s="338">
        <f t="shared" si="533"/>
        <v>0</v>
      </c>
      <c r="R992" s="329">
        <f t="shared" si="518"/>
        <v>0</v>
      </c>
      <c r="S992" s="338">
        <f t="shared" si="534"/>
        <v>10000000</v>
      </c>
      <c r="T992" s="329">
        <f t="shared" si="519"/>
        <v>0</v>
      </c>
      <c r="U992" s="338">
        <f t="shared" si="521"/>
        <v>2200000</v>
      </c>
      <c r="V992" s="329">
        <f t="shared" si="520"/>
        <v>0</v>
      </c>
      <c r="W992" s="338">
        <f t="shared" si="535"/>
        <v>12224694.890000001</v>
      </c>
      <c r="X992" s="35"/>
    </row>
    <row r="993" spans="1:24" x14ac:dyDescent="0.25">
      <c r="A993" s="335">
        <f t="shared" si="524"/>
        <v>44704</v>
      </c>
      <c r="B993" s="49">
        <f t="shared" si="522"/>
        <v>0</v>
      </c>
      <c r="C993" s="338">
        <f t="shared" si="526"/>
        <v>118886089</v>
      </c>
      <c r="D993" s="329">
        <f t="shared" si="523"/>
        <v>0</v>
      </c>
      <c r="E993" s="338">
        <f t="shared" si="527"/>
        <v>9769566</v>
      </c>
      <c r="F993" s="329">
        <f t="shared" si="525"/>
        <v>0</v>
      </c>
      <c r="G993" s="338">
        <f t="shared" si="528"/>
        <v>76400000</v>
      </c>
      <c r="H993" s="329">
        <f t="shared" si="513"/>
        <v>0</v>
      </c>
      <c r="I993" s="338">
        <f t="shared" si="529"/>
        <v>44350150</v>
      </c>
      <c r="J993" s="329">
        <f t="shared" si="514"/>
        <v>0</v>
      </c>
      <c r="K993" s="338">
        <f t="shared" si="530"/>
        <v>15100000</v>
      </c>
      <c r="L993" s="329">
        <f t="shared" si="515"/>
        <v>0</v>
      </c>
      <c r="M993" s="338">
        <f t="shared" si="531"/>
        <v>25332976</v>
      </c>
      <c r="N993" s="329">
        <f t="shared" si="516"/>
        <v>0</v>
      </c>
      <c r="O993" s="338">
        <f t="shared" si="532"/>
        <v>14300000</v>
      </c>
      <c r="P993" s="329">
        <f t="shared" si="517"/>
        <v>0</v>
      </c>
      <c r="Q993" s="338">
        <f t="shared" si="533"/>
        <v>0</v>
      </c>
      <c r="R993" s="329">
        <f t="shared" si="518"/>
        <v>0</v>
      </c>
      <c r="S993" s="338">
        <f t="shared" si="534"/>
        <v>10000000</v>
      </c>
      <c r="T993" s="329">
        <f t="shared" si="519"/>
        <v>0</v>
      </c>
      <c r="U993" s="338">
        <f t="shared" si="521"/>
        <v>2200000</v>
      </c>
      <c r="V993" s="329">
        <f t="shared" si="520"/>
        <v>0</v>
      </c>
      <c r="W993" s="338">
        <f t="shared" si="535"/>
        <v>12224694.890000001</v>
      </c>
      <c r="X993" s="35"/>
    </row>
    <row r="994" spans="1:24" x14ac:dyDescent="0.25">
      <c r="A994" s="335">
        <f t="shared" si="524"/>
        <v>44705</v>
      </c>
      <c r="B994" s="49">
        <f t="shared" si="522"/>
        <v>0</v>
      </c>
      <c r="C994" s="338">
        <f t="shared" si="526"/>
        <v>118886089</v>
      </c>
      <c r="D994" s="329">
        <f t="shared" si="523"/>
        <v>0</v>
      </c>
      <c r="E994" s="338">
        <f t="shared" si="527"/>
        <v>9769566</v>
      </c>
      <c r="F994" s="329">
        <f t="shared" si="525"/>
        <v>0</v>
      </c>
      <c r="G994" s="338">
        <f t="shared" si="528"/>
        <v>76400000</v>
      </c>
      <c r="H994" s="329">
        <f t="shared" si="513"/>
        <v>0</v>
      </c>
      <c r="I994" s="338">
        <f t="shared" si="529"/>
        <v>44350150</v>
      </c>
      <c r="J994" s="329">
        <f t="shared" si="514"/>
        <v>0</v>
      </c>
      <c r="K994" s="338">
        <f t="shared" si="530"/>
        <v>15100000</v>
      </c>
      <c r="L994" s="329">
        <f t="shared" si="515"/>
        <v>0</v>
      </c>
      <c r="M994" s="338">
        <f t="shared" si="531"/>
        <v>25332976</v>
      </c>
      <c r="N994" s="329">
        <f t="shared" si="516"/>
        <v>0</v>
      </c>
      <c r="O994" s="338">
        <f t="shared" si="532"/>
        <v>14300000</v>
      </c>
      <c r="P994" s="329">
        <f t="shared" si="517"/>
        <v>0</v>
      </c>
      <c r="Q994" s="338">
        <f t="shared" si="533"/>
        <v>0</v>
      </c>
      <c r="R994" s="329">
        <f t="shared" si="518"/>
        <v>0</v>
      </c>
      <c r="S994" s="338">
        <f t="shared" si="534"/>
        <v>10000000</v>
      </c>
      <c r="T994" s="329">
        <f t="shared" si="519"/>
        <v>0</v>
      </c>
      <c r="U994" s="338">
        <f t="shared" si="521"/>
        <v>2200000</v>
      </c>
      <c r="V994" s="329">
        <f t="shared" si="520"/>
        <v>0</v>
      </c>
      <c r="W994" s="338">
        <f t="shared" si="535"/>
        <v>12224694.890000001</v>
      </c>
      <c r="X994" s="35"/>
    </row>
    <row r="995" spans="1:24" x14ac:dyDescent="0.25">
      <c r="A995" s="335">
        <f t="shared" si="524"/>
        <v>44706</v>
      </c>
      <c r="B995" s="49">
        <f t="shared" si="522"/>
        <v>0</v>
      </c>
      <c r="C995" s="338">
        <f t="shared" si="526"/>
        <v>118886089</v>
      </c>
      <c r="D995" s="329">
        <f t="shared" si="523"/>
        <v>0</v>
      </c>
      <c r="E995" s="338">
        <f t="shared" si="527"/>
        <v>9769566</v>
      </c>
      <c r="F995" s="329">
        <f t="shared" si="525"/>
        <v>0</v>
      </c>
      <c r="G995" s="338">
        <f t="shared" si="528"/>
        <v>76400000</v>
      </c>
      <c r="H995" s="329">
        <f t="shared" si="513"/>
        <v>0</v>
      </c>
      <c r="I995" s="338">
        <f t="shared" si="529"/>
        <v>44350150</v>
      </c>
      <c r="J995" s="329">
        <f t="shared" si="514"/>
        <v>0</v>
      </c>
      <c r="K995" s="338">
        <f t="shared" si="530"/>
        <v>15100000</v>
      </c>
      <c r="L995" s="329">
        <f t="shared" si="515"/>
        <v>0</v>
      </c>
      <c r="M995" s="338">
        <f t="shared" si="531"/>
        <v>25332976</v>
      </c>
      <c r="N995" s="329">
        <f t="shared" si="516"/>
        <v>0</v>
      </c>
      <c r="O995" s="338">
        <f t="shared" si="532"/>
        <v>14300000</v>
      </c>
      <c r="P995" s="329">
        <f t="shared" si="517"/>
        <v>0</v>
      </c>
      <c r="Q995" s="338">
        <f t="shared" si="533"/>
        <v>0</v>
      </c>
      <c r="R995" s="329">
        <f t="shared" si="518"/>
        <v>0</v>
      </c>
      <c r="S995" s="338">
        <f t="shared" si="534"/>
        <v>10000000</v>
      </c>
      <c r="T995" s="329">
        <f t="shared" si="519"/>
        <v>0</v>
      </c>
      <c r="U995" s="338">
        <f t="shared" si="521"/>
        <v>2200000</v>
      </c>
      <c r="V995" s="329">
        <f t="shared" si="520"/>
        <v>0</v>
      </c>
      <c r="W995" s="338">
        <f t="shared" si="535"/>
        <v>12224694.890000001</v>
      </c>
      <c r="X995" s="35"/>
    </row>
    <row r="996" spans="1:24" x14ac:dyDescent="0.25">
      <c r="A996" s="335">
        <f t="shared" si="524"/>
        <v>44707</v>
      </c>
      <c r="B996" s="49">
        <f t="shared" si="522"/>
        <v>0</v>
      </c>
      <c r="C996" s="338">
        <f t="shared" si="526"/>
        <v>118886089</v>
      </c>
      <c r="D996" s="329">
        <f t="shared" si="523"/>
        <v>0</v>
      </c>
      <c r="E996" s="338">
        <f t="shared" si="527"/>
        <v>9769566</v>
      </c>
      <c r="F996" s="329">
        <f t="shared" si="525"/>
        <v>0</v>
      </c>
      <c r="G996" s="338">
        <f t="shared" si="528"/>
        <v>76400000</v>
      </c>
      <c r="H996" s="329">
        <f t="shared" si="513"/>
        <v>0</v>
      </c>
      <c r="I996" s="338">
        <f t="shared" si="529"/>
        <v>44350150</v>
      </c>
      <c r="J996" s="329">
        <f t="shared" si="514"/>
        <v>0</v>
      </c>
      <c r="K996" s="338">
        <f t="shared" si="530"/>
        <v>15100000</v>
      </c>
      <c r="L996" s="329">
        <f t="shared" si="515"/>
        <v>0</v>
      </c>
      <c r="M996" s="338">
        <f t="shared" si="531"/>
        <v>25332976</v>
      </c>
      <c r="N996" s="329">
        <f t="shared" si="516"/>
        <v>0</v>
      </c>
      <c r="O996" s="338">
        <f t="shared" si="532"/>
        <v>14300000</v>
      </c>
      <c r="P996" s="329">
        <f t="shared" si="517"/>
        <v>0</v>
      </c>
      <c r="Q996" s="338">
        <f t="shared" si="533"/>
        <v>0</v>
      </c>
      <c r="R996" s="329">
        <f t="shared" si="518"/>
        <v>0</v>
      </c>
      <c r="S996" s="338">
        <f t="shared" si="534"/>
        <v>10000000</v>
      </c>
      <c r="T996" s="329">
        <f t="shared" si="519"/>
        <v>0</v>
      </c>
      <c r="U996" s="338">
        <f t="shared" si="521"/>
        <v>2200000</v>
      </c>
      <c r="V996" s="329">
        <f t="shared" si="520"/>
        <v>0</v>
      </c>
      <c r="W996" s="338">
        <f t="shared" si="535"/>
        <v>12224694.890000001</v>
      </c>
      <c r="X996" s="35"/>
    </row>
    <row r="997" spans="1:24" x14ac:dyDescent="0.25">
      <c r="A997" s="335">
        <f t="shared" si="524"/>
        <v>44708</v>
      </c>
      <c r="B997" s="49">
        <f t="shared" si="522"/>
        <v>0</v>
      </c>
      <c r="C997" s="338">
        <f t="shared" si="526"/>
        <v>118886089</v>
      </c>
      <c r="D997" s="329">
        <f t="shared" si="523"/>
        <v>0</v>
      </c>
      <c r="E997" s="338">
        <f t="shared" si="527"/>
        <v>9769566</v>
      </c>
      <c r="F997" s="329">
        <f t="shared" si="525"/>
        <v>0</v>
      </c>
      <c r="G997" s="338">
        <f t="shared" si="528"/>
        <v>76400000</v>
      </c>
      <c r="H997" s="329">
        <f t="shared" si="513"/>
        <v>0</v>
      </c>
      <c r="I997" s="338">
        <f t="shared" si="529"/>
        <v>44350150</v>
      </c>
      <c r="J997" s="329">
        <f t="shared" si="514"/>
        <v>0</v>
      </c>
      <c r="K997" s="338">
        <f t="shared" si="530"/>
        <v>15100000</v>
      </c>
      <c r="L997" s="329">
        <f t="shared" si="515"/>
        <v>0</v>
      </c>
      <c r="M997" s="338">
        <f t="shared" si="531"/>
        <v>25332976</v>
      </c>
      <c r="N997" s="329">
        <f t="shared" si="516"/>
        <v>0</v>
      </c>
      <c r="O997" s="338">
        <f t="shared" si="532"/>
        <v>14300000</v>
      </c>
      <c r="P997" s="329">
        <f t="shared" si="517"/>
        <v>0</v>
      </c>
      <c r="Q997" s="338">
        <f t="shared" si="533"/>
        <v>0</v>
      </c>
      <c r="R997" s="329">
        <f t="shared" si="518"/>
        <v>0</v>
      </c>
      <c r="S997" s="338">
        <f t="shared" si="534"/>
        <v>10000000</v>
      </c>
      <c r="T997" s="329">
        <f t="shared" si="519"/>
        <v>0</v>
      </c>
      <c r="U997" s="338">
        <f t="shared" si="521"/>
        <v>2200000</v>
      </c>
      <c r="V997" s="329">
        <f t="shared" si="520"/>
        <v>0</v>
      </c>
      <c r="W997" s="338">
        <f t="shared" si="535"/>
        <v>12224694.890000001</v>
      </c>
      <c r="X997" s="35"/>
    </row>
    <row r="998" spans="1:24" x14ac:dyDescent="0.25">
      <c r="A998" s="335">
        <f t="shared" si="524"/>
        <v>44709</v>
      </c>
      <c r="B998" s="49">
        <f t="shared" si="522"/>
        <v>0</v>
      </c>
      <c r="C998" s="338">
        <f t="shared" si="526"/>
        <v>118886089</v>
      </c>
      <c r="D998" s="329">
        <f t="shared" si="523"/>
        <v>0</v>
      </c>
      <c r="E998" s="338">
        <f t="shared" si="527"/>
        <v>9769566</v>
      </c>
      <c r="F998" s="329">
        <f t="shared" si="525"/>
        <v>0</v>
      </c>
      <c r="G998" s="338">
        <f t="shared" si="528"/>
        <v>76400000</v>
      </c>
      <c r="H998" s="329">
        <f t="shared" si="513"/>
        <v>0</v>
      </c>
      <c r="I998" s="338">
        <f t="shared" si="529"/>
        <v>44350150</v>
      </c>
      <c r="J998" s="329">
        <f t="shared" si="514"/>
        <v>0</v>
      </c>
      <c r="K998" s="338">
        <f t="shared" si="530"/>
        <v>15100000</v>
      </c>
      <c r="L998" s="329">
        <f t="shared" si="515"/>
        <v>0</v>
      </c>
      <c r="M998" s="338">
        <f t="shared" si="531"/>
        <v>25332976</v>
      </c>
      <c r="N998" s="329">
        <f t="shared" si="516"/>
        <v>0</v>
      </c>
      <c r="O998" s="338">
        <f t="shared" si="532"/>
        <v>14300000</v>
      </c>
      <c r="P998" s="329">
        <f t="shared" si="517"/>
        <v>0</v>
      </c>
      <c r="Q998" s="338">
        <f t="shared" si="533"/>
        <v>0</v>
      </c>
      <c r="R998" s="329">
        <f t="shared" si="518"/>
        <v>0</v>
      </c>
      <c r="S998" s="338">
        <f t="shared" si="534"/>
        <v>10000000</v>
      </c>
      <c r="T998" s="329">
        <f t="shared" si="519"/>
        <v>0</v>
      </c>
      <c r="U998" s="338">
        <f t="shared" si="521"/>
        <v>2200000</v>
      </c>
      <c r="V998" s="329">
        <f t="shared" si="520"/>
        <v>0</v>
      </c>
      <c r="W998" s="338">
        <f t="shared" si="535"/>
        <v>12224694.890000001</v>
      </c>
      <c r="X998" s="35"/>
    </row>
    <row r="999" spans="1:24" x14ac:dyDescent="0.25">
      <c r="A999" s="335">
        <f t="shared" si="524"/>
        <v>44710</v>
      </c>
      <c r="B999" s="49">
        <f t="shared" si="522"/>
        <v>0</v>
      </c>
      <c r="C999" s="338">
        <f t="shared" si="526"/>
        <v>118886089</v>
      </c>
      <c r="D999" s="329">
        <f t="shared" si="523"/>
        <v>0</v>
      </c>
      <c r="E999" s="338">
        <f t="shared" si="527"/>
        <v>9769566</v>
      </c>
      <c r="F999" s="329">
        <f t="shared" si="525"/>
        <v>0</v>
      </c>
      <c r="G999" s="338">
        <f t="shared" si="528"/>
        <v>76400000</v>
      </c>
      <c r="H999" s="329">
        <f t="shared" si="513"/>
        <v>0</v>
      </c>
      <c r="I999" s="338">
        <f t="shared" si="529"/>
        <v>44350150</v>
      </c>
      <c r="J999" s="329">
        <f t="shared" si="514"/>
        <v>0</v>
      </c>
      <c r="K999" s="338">
        <f t="shared" si="530"/>
        <v>15100000</v>
      </c>
      <c r="L999" s="329">
        <f t="shared" si="515"/>
        <v>0</v>
      </c>
      <c r="M999" s="338">
        <f t="shared" si="531"/>
        <v>25332976</v>
      </c>
      <c r="N999" s="329">
        <f t="shared" si="516"/>
        <v>0</v>
      </c>
      <c r="O999" s="338">
        <f t="shared" si="532"/>
        <v>14300000</v>
      </c>
      <c r="P999" s="329">
        <f t="shared" si="517"/>
        <v>0</v>
      </c>
      <c r="Q999" s="338">
        <f t="shared" si="533"/>
        <v>0</v>
      </c>
      <c r="R999" s="329">
        <f t="shared" si="518"/>
        <v>0</v>
      </c>
      <c r="S999" s="338">
        <f t="shared" si="534"/>
        <v>10000000</v>
      </c>
      <c r="T999" s="329">
        <f t="shared" si="519"/>
        <v>0</v>
      </c>
      <c r="U999" s="338">
        <f t="shared" si="521"/>
        <v>2200000</v>
      </c>
      <c r="V999" s="329">
        <f t="shared" si="520"/>
        <v>0</v>
      </c>
      <c r="W999" s="338">
        <f t="shared" si="535"/>
        <v>12224694.890000001</v>
      </c>
      <c r="X999" s="35"/>
    </row>
    <row r="1000" spans="1:24" x14ac:dyDescent="0.25">
      <c r="A1000" s="335">
        <f t="shared" si="524"/>
        <v>44711</v>
      </c>
      <c r="B1000" s="49">
        <f t="shared" si="522"/>
        <v>0</v>
      </c>
      <c r="C1000" s="338">
        <f t="shared" si="526"/>
        <v>118886089</v>
      </c>
      <c r="D1000" s="329">
        <f t="shared" si="523"/>
        <v>0</v>
      </c>
      <c r="E1000" s="338">
        <f t="shared" si="527"/>
        <v>9769566</v>
      </c>
      <c r="F1000" s="329">
        <f t="shared" si="525"/>
        <v>0</v>
      </c>
      <c r="G1000" s="338">
        <f t="shared" si="528"/>
        <v>76400000</v>
      </c>
      <c r="H1000" s="329">
        <f t="shared" si="513"/>
        <v>0</v>
      </c>
      <c r="I1000" s="338">
        <f t="shared" si="529"/>
        <v>44350150</v>
      </c>
      <c r="J1000" s="329">
        <f t="shared" si="514"/>
        <v>0</v>
      </c>
      <c r="K1000" s="338">
        <f t="shared" si="530"/>
        <v>15100000</v>
      </c>
      <c r="L1000" s="329">
        <f t="shared" si="515"/>
        <v>0</v>
      </c>
      <c r="M1000" s="338">
        <f t="shared" si="531"/>
        <v>25332976</v>
      </c>
      <c r="N1000" s="329">
        <f t="shared" si="516"/>
        <v>0</v>
      </c>
      <c r="O1000" s="338">
        <f t="shared" si="532"/>
        <v>14300000</v>
      </c>
      <c r="P1000" s="329">
        <f t="shared" si="517"/>
        <v>0</v>
      </c>
      <c r="Q1000" s="338">
        <f t="shared" si="533"/>
        <v>0</v>
      </c>
      <c r="R1000" s="329">
        <f t="shared" si="518"/>
        <v>0</v>
      </c>
      <c r="S1000" s="338">
        <f t="shared" si="534"/>
        <v>10000000</v>
      </c>
      <c r="T1000" s="329">
        <f t="shared" si="519"/>
        <v>0</v>
      </c>
      <c r="U1000" s="338">
        <f t="shared" si="521"/>
        <v>2200000</v>
      </c>
      <c r="V1000" s="329">
        <f t="shared" si="520"/>
        <v>0</v>
      </c>
      <c r="W1000" s="338">
        <f t="shared" si="535"/>
        <v>12224694.890000001</v>
      </c>
      <c r="X1000" s="35"/>
    </row>
    <row r="1001" spans="1:24" x14ac:dyDescent="0.25">
      <c r="A1001" s="335">
        <f t="shared" si="524"/>
        <v>44712</v>
      </c>
      <c r="B1001" s="49">
        <f t="shared" si="522"/>
        <v>0</v>
      </c>
      <c r="C1001" s="338">
        <f t="shared" si="526"/>
        <v>118886089</v>
      </c>
      <c r="D1001" s="329">
        <f t="shared" si="523"/>
        <v>0</v>
      </c>
      <c r="E1001" s="338">
        <f t="shared" si="527"/>
        <v>9769566</v>
      </c>
      <c r="F1001" s="329">
        <f t="shared" si="525"/>
        <v>0</v>
      </c>
      <c r="G1001" s="338">
        <f t="shared" si="528"/>
        <v>76400000</v>
      </c>
      <c r="H1001" s="329">
        <f t="shared" si="513"/>
        <v>0</v>
      </c>
      <c r="I1001" s="338">
        <f t="shared" si="529"/>
        <v>44350150</v>
      </c>
      <c r="J1001" s="329">
        <f t="shared" si="514"/>
        <v>0</v>
      </c>
      <c r="K1001" s="338">
        <f t="shared" si="530"/>
        <v>15100000</v>
      </c>
      <c r="L1001" s="329">
        <f t="shared" si="515"/>
        <v>0</v>
      </c>
      <c r="M1001" s="338">
        <f t="shared" si="531"/>
        <v>25332976</v>
      </c>
      <c r="N1001" s="329">
        <f t="shared" si="516"/>
        <v>0</v>
      </c>
      <c r="O1001" s="338">
        <f t="shared" si="532"/>
        <v>14300000</v>
      </c>
      <c r="P1001" s="329">
        <f t="shared" si="517"/>
        <v>0</v>
      </c>
      <c r="Q1001" s="338">
        <f t="shared" si="533"/>
        <v>0</v>
      </c>
      <c r="R1001" s="329">
        <f t="shared" si="518"/>
        <v>0</v>
      </c>
      <c r="S1001" s="338">
        <f t="shared" si="534"/>
        <v>10000000</v>
      </c>
      <c r="T1001" s="329">
        <f t="shared" si="519"/>
        <v>0</v>
      </c>
      <c r="U1001" s="338">
        <f t="shared" si="521"/>
        <v>2200000</v>
      </c>
      <c r="V1001" s="329">
        <f t="shared" si="520"/>
        <v>0</v>
      </c>
      <c r="W1001" s="338">
        <f t="shared" si="535"/>
        <v>12224694.890000001</v>
      </c>
      <c r="X1001" s="35"/>
    </row>
    <row r="1002" spans="1:24" x14ac:dyDescent="0.25">
      <c r="A1002" s="335">
        <f t="shared" si="524"/>
        <v>44713</v>
      </c>
      <c r="B1002" s="49">
        <f t="shared" si="522"/>
        <v>0</v>
      </c>
      <c r="C1002" s="338">
        <f t="shared" si="526"/>
        <v>118886089</v>
      </c>
      <c r="D1002" s="329">
        <f t="shared" si="523"/>
        <v>0</v>
      </c>
      <c r="E1002" s="338">
        <f t="shared" si="527"/>
        <v>9769566</v>
      </c>
      <c r="F1002" s="329">
        <f t="shared" si="525"/>
        <v>0</v>
      </c>
      <c r="G1002" s="338">
        <f t="shared" si="528"/>
        <v>76400000</v>
      </c>
      <c r="H1002" s="329">
        <f t="shared" si="513"/>
        <v>0</v>
      </c>
      <c r="I1002" s="338">
        <f t="shared" si="529"/>
        <v>44350150</v>
      </c>
      <c r="J1002" s="329">
        <f t="shared" si="514"/>
        <v>0</v>
      </c>
      <c r="K1002" s="338">
        <f t="shared" si="530"/>
        <v>15100000</v>
      </c>
      <c r="L1002" s="329">
        <f t="shared" si="515"/>
        <v>0</v>
      </c>
      <c r="M1002" s="338">
        <f t="shared" si="531"/>
        <v>25332976</v>
      </c>
      <c r="N1002" s="329">
        <f t="shared" si="516"/>
        <v>0</v>
      </c>
      <c r="O1002" s="338">
        <f t="shared" si="532"/>
        <v>14300000</v>
      </c>
      <c r="P1002" s="329">
        <f t="shared" si="517"/>
        <v>0</v>
      </c>
      <c r="Q1002" s="338">
        <f t="shared" si="533"/>
        <v>0</v>
      </c>
      <c r="R1002" s="329">
        <f t="shared" si="518"/>
        <v>0</v>
      </c>
      <c r="S1002" s="338">
        <f t="shared" si="534"/>
        <v>10000000</v>
      </c>
      <c r="T1002" s="329">
        <f t="shared" si="519"/>
        <v>0</v>
      </c>
      <c r="U1002" s="338">
        <f t="shared" si="521"/>
        <v>2200000</v>
      </c>
      <c r="V1002" s="329">
        <f t="shared" si="520"/>
        <v>0</v>
      </c>
      <c r="W1002" s="338">
        <f t="shared" si="535"/>
        <v>12224694.890000001</v>
      </c>
      <c r="X1002" s="35"/>
    </row>
    <row r="1003" spans="1:24" x14ac:dyDescent="0.25">
      <c r="A1003" s="335">
        <f t="shared" si="524"/>
        <v>44714</v>
      </c>
      <c r="B1003" s="49">
        <f t="shared" si="522"/>
        <v>0</v>
      </c>
      <c r="C1003" s="338">
        <f t="shared" si="526"/>
        <v>118886089</v>
      </c>
      <c r="D1003" s="329">
        <f t="shared" si="523"/>
        <v>0</v>
      </c>
      <c r="E1003" s="338">
        <f t="shared" si="527"/>
        <v>9769566</v>
      </c>
      <c r="F1003" s="329">
        <f t="shared" si="525"/>
        <v>0</v>
      </c>
      <c r="G1003" s="338">
        <f t="shared" si="528"/>
        <v>76400000</v>
      </c>
      <c r="H1003" s="329">
        <f t="shared" ref="H1003:H1066" si="536">SUMIFS(Usage_Main,CF_Dates,$A1003,CF_Descriptions,"XS2091648928 Change")</f>
        <v>0</v>
      </c>
      <c r="I1003" s="338">
        <f t="shared" si="529"/>
        <v>44350150</v>
      </c>
      <c r="J1003" s="329">
        <f t="shared" ref="J1003:J1066" si="537">SUMIFS(Usage_Main,CF_Dates,$A1003,CF_Descriptions,"Southern Apple Change")</f>
        <v>0</v>
      </c>
      <c r="K1003" s="338">
        <f t="shared" si="530"/>
        <v>15100000</v>
      </c>
      <c r="L1003" s="329">
        <f t="shared" ref="L1003:L1066" si="538">SUMIFS(Usage_Main,CF_Dates,$A1003,CF_Descriptions,"ALMONDUSD Change")</f>
        <v>0</v>
      </c>
      <c r="M1003" s="338">
        <f t="shared" si="531"/>
        <v>25332976</v>
      </c>
      <c r="N1003" s="329">
        <f t="shared" ref="N1003:N1066" si="539">SUMIFS(Usage_Main,CF_Dates,$A1003,CF_Descriptions,"ALMONDEUR Change")</f>
        <v>0</v>
      </c>
      <c r="O1003" s="338">
        <f t="shared" si="532"/>
        <v>14300000</v>
      </c>
      <c r="P1003" s="329">
        <f t="shared" ref="P1003:P1066" si="540">SUMIFS(Usage_Main,CF_Dates,$A1003,CF_Descriptions,"HEXZETA Change")</f>
        <v>0</v>
      </c>
      <c r="Q1003" s="338">
        <f t="shared" si="533"/>
        <v>0</v>
      </c>
      <c r="R1003" s="329">
        <f t="shared" ref="R1003:R1066" si="541">SUMIFS(Usage_Main,CF_Dates,$A1003,CF_Descriptions,"MNTNCHERRY Change")</f>
        <v>0</v>
      </c>
      <c r="S1003" s="338">
        <f t="shared" si="534"/>
        <v>10000000</v>
      </c>
      <c r="T1003" s="329">
        <f t="shared" ref="T1003:T1066" si="542">SUMIFS(Usage_Main,CF_Dates,$A1003,CF_Descriptions,"OLIVEUSD Change")</f>
        <v>0</v>
      </c>
      <c r="U1003" s="338">
        <f t="shared" si="521"/>
        <v>2200000</v>
      </c>
      <c r="V1003" s="329">
        <f t="shared" ref="V1003:V1066" si="543">SUMIFS(Usage_Main,CF_Dates,$A1003,CF_Descriptions,"OLIVEEUR Change")</f>
        <v>0</v>
      </c>
      <c r="W1003" s="338">
        <f t="shared" si="535"/>
        <v>12224694.890000001</v>
      </c>
      <c r="X1003" s="35"/>
    </row>
    <row r="1004" spans="1:24" x14ac:dyDescent="0.25">
      <c r="A1004" s="335">
        <f t="shared" si="524"/>
        <v>44715</v>
      </c>
      <c r="B1004" s="49">
        <f t="shared" si="522"/>
        <v>0</v>
      </c>
      <c r="C1004" s="338">
        <f t="shared" si="526"/>
        <v>118886089</v>
      </c>
      <c r="D1004" s="329">
        <f t="shared" si="523"/>
        <v>0</v>
      </c>
      <c r="E1004" s="338">
        <f t="shared" si="527"/>
        <v>9769566</v>
      </c>
      <c r="F1004" s="329">
        <f t="shared" si="525"/>
        <v>0</v>
      </c>
      <c r="G1004" s="338">
        <f t="shared" si="528"/>
        <v>76400000</v>
      </c>
      <c r="H1004" s="329">
        <f t="shared" si="536"/>
        <v>0</v>
      </c>
      <c r="I1004" s="338">
        <f t="shared" si="529"/>
        <v>44350150</v>
      </c>
      <c r="J1004" s="329">
        <f t="shared" si="537"/>
        <v>0</v>
      </c>
      <c r="K1004" s="338">
        <f t="shared" si="530"/>
        <v>15100000</v>
      </c>
      <c r="L1004" s="329">
        <f t="shared" si="538"/>
        <v>0</v>
      </c>
      <c r="M1004" s="338">
        <f t="shared" si="531"/>
        <v>25332976</v>
      </c>
      <c r="N1004" s="329">
        <f t="shared" si="539"/>
        <v>0</v>
      </c>
      <c r="O1004" s="338">
        <f t="shared" si="532"/>
        <v>14300000</v>
      </c>
      <c r="P1004" s="329">
        <f t="shared" si="540"/>
        <v>0</v>
      </c>
      <c r="Q1004" s="338">
        <f t="shared" si="533"/>
        <v>0</v>
      </c>
      <c r="R1004" s="329">
        <f t="shared" si="541"/>
        <v>0</v>
      </c>
      <c r="S1004" s="338">
        <f t="shared" si="534"/>
        <v>10000000</v>
      </c>
      <c r="T1004" s="329">
        <f t="shared" si="542"/>
        <v>0</v>
      </c>
      <c r="U1004" s="338">
        <f t="shared" ref="U1004:U1067" si="544">T1004+U1003</f>
        <v>2200000</v>
      </c>
      <c r="V1004" s="329">
        <f t="shared" si="543"/>
        <v>0</v>
      </c>
      <c r="W1004" s="338">
        <f t="shared" si="535"/>
        <v>12224694.890000001</v>
      </c>
      <c r="X1004" s="35"/>
    </row>
    <row r="1005" spans="1:24" x14ac:dyDescent="0.25">
      <c r="A1005" s="335">
        <f t="shared" si="524"/>
        <v>44716</v>
      </c>
      <c r="B1005" s="49">
        <f t="shared" si="522"/>
        <v>0</v>
      </c>
      <c r="C1005" s="338">
        <f t="shared" si="526"/>
        <v>118886089</v>
      </c>
      <c r="D1005" s="329">
        <f t="shared" si="523"/>
        <v>0</v>
      </c>
      <c r="E1005" s="338">
        <f t="shared" si="527"/>
        <v>9769566</v>
      </c>
      <c r="F1005" s="329">
        <f t="shared" si="525"/>
        <v>0</v>
      </c>
      <c r="G1005" s="338">
        <f t="shared" si="528"/>
        <v>76400000</v>
      </c>
      <c r="H1005" s="329">
        <f t="shared" si="536"/>
        <v>0</v>
      </c>
      <c r="I1005" s="338">
        <f t="shared" si="529"/>
        <v>44350150</v>
      </c>
      <c r="J1005" s="329">
        <f t="shared" si="537"/>
        <v>0</v>
      </c>
      <c r="K1005" s="338">
        <f t="shared" si="530"/>
        <v>15100000</v>
      </c>
      <c r="L1005" s="329">
        <f t="shared" si="538"/>
        <v>0</v>
      </c>
      <c r="M1005" s="338">
        <f t="shared" si="531"/>
        <v>25332976</v>
      </c>
      <c r="N1005" s="329">
        <f t="shared" si="539"/>
        <v>0</v>
      </c>
      <c r="O1005" s="338">
        <f t="shared" si="532"/>
        <v>14300000</v>
      </c>
      <c r="P1005" s="329">
        <f t="shared" si="540"/>
        <v>0</v>
      </c>
      <c r="Q1005" s="338">
        <f t="shared" si="533"/>
        <v>0</v>
      </c>
      <c r="R1005" s="329">
        <f t="shared" si="541"/>
        <v>0</v>
      </c>
      <c r="S1005" s="338">
        <f t="shared" si="534"/>
        <v>10000000</v>
      </c>
      <c r="T1005" s="329">
        <f t="shared" si="542"/>
        <v>0</v>
      </c>
      <c r="U1005" s="338">
        <f t="shared" si="544"/>
        <v>2200000</v>
      </c>
      <c r="V1005" s="329">
        <f t="shared" si="543"/>
        <v>0</v>
      </c>
      <c r="W1005" s="338">
        <f t="shared" si="535"/>
        <v>12224694.890000001</v>
      </c>
      <c r="X1005" s="35"/>
    </row>
    <row r="1006" spans="1:24" x14ac:dyDescent="0.25">
      <c r="A1006" s="335">
        <f t="shared" si="524"/>
        <v>44717</v>
      </c>
      <c r="B1006" s="49">
        <f t="shared" si="522"/>
        <v>0</v>
      </c>
      <c r="C1006" s="338">
        <f t="shared" si="526"/>
        <v>118886089</v>
      </c>
      <c r="D1006" s="329">
        <f t="shared" si="523"/>
        <v>0</v>
      </c>
      <c r="E1006" s="338">
        <f t="shared" si="527"/>
        <v>9769566</v>
      </c>
      <c r="F1006" s="329">
        <f t="shared" si="525"/>
        <v>0</v>
      </c>
      <c r="G1006" s="338">
        <f t="shared" si="528"/>
        <v>76400000</v>
      </c>
      <c r="H1006" s="329">
        <f t="shared" si="536"/>
        <v>0</v>
      </c>
      <c r="I1006" s="338">
        <f t="shared" si="529"/>
        <v>44350150</v>
      </c>
      <c r="J1006" s="329">
        <f t="shared" si="537"/>
        <v>0</v>
      </c>
      <c r="K1006" s="338">
        <f t="shared" si="530"/>
        <v>15100000</v>
      </c>
      <c r="L1006" s="329">
        <f t="shared" si="538"/>
        <v>0</v>
      </c>
      <c r="M1006" s="338">
        <f t="shared" si="531"/>
        <v>25332976</v>
      </c>
      <c r="N1006" s="329">
        <f t="shared" si="539"/>
        <v>0</v>
      </c>
      <c r="O1006" s="338">
        <f t="shared" si="532"/>
        <v>14300000</v>
      </c>
      <c r="P1006" s="329">
        <f t="shared" si="540"/>
        <v>0</v>
      </c>
      <c r="Q1006" s="338">
        <f t="shared" si="533"/>
        <v>0</v>
      </c>
      <c r="R1006" s="329">
        <f t="shared" si="541"/>
        <v>0</v>
      </c>
      <c r="S1006" s="338">
        <f t="shared" si="534"/>
        <v>10000000</v>
      </c>
      <c r="T1006" s="329">
        <f t="shared" si="542"/>
        <v>0</v>
      </c>
      <c r="U1006" s="338">
        <f t="shared" si="544"/>
        <v>2200000</v>
      </c>
      <c r="V1006" s="329">
        <f t="shared" si="543"/>
        <v>0</v>
      </c>
      <c r="W1006" s="338">
        <f t="shared" si="535"/>
        <v>12224694.890000001</v>
      </c>
      <c r="X1006" s="35"/>
    </row>
    <row r="1007" spans="1:24" x14ac:dyDescent="0.25">
      <c r="A1007" s="335">
        <f t="shared" si="524"/>
        <v>44718</v>
      </c>
      <c r="B1007" s="49">
        <f t="shared" si="522"/>
        <v>0</v>
      </c>
      <c r="C1007" s="338">
        <f t="shared" si="526"/>
        <v>118886089</v>
      </c>
      <c r="D1007" s="329">
        <f t="shared" si="523"/>
        <v>0</v>
      </c>
      <c r="E1007" s="338">
        <f t="shared" si="527"/>
        <v>9769566</v>
      </c>
      <c r="F1007" s="329">
        <f t="shared" si="525"/>
        <v>0</v>
      </c>
      <c r="G1007" s="338">
        <f t="shared" si="528"/>
        <v>76400000</v>
      </c>
      <c r="H1007" s="329">
        <f t="shared" si="536"/>
        <v>0</v>
      </c>
      <c r="I1007" s="338">
        <f t="shared" si="529"/>
        <v>44350150</v>
      </c>
      <c r="J1007" s="329">
        <f t="shared" si="537"/>
        <v>0</v>
      </c>
      <c r="K1007" s="338">
        <f t="shared" si="530"/>
        <v>15100000</v>
      </c>
      <c r="L1007" s="329">
        <f t="shared" si="538"/>
        <v>0</v>
      </c>
      <c r="M1007" s="338">
        <f t="shared" si="531"/>
        <v>25332976</v>
      </c>
      <c r="N1007" s="329">
        <f t="shared" si="539"/>
        <v>0</v>
      </c>
      <c r="O1007" s="338">
        <f t="shared" si="532"/>
        <v>14300000</v>
      </c>
      <c r="P1007" s="329">
        <f t="shared" si="540"/>
        <v>0</v>
      </c>
      <c r="Q1007" s="338">
        <f t="shared" si="533"/>
        <v>0</v>
      </c>
      <c r="R1007" s="329">
        <f t="shared" si="541"/>
        <v>0</v>
      </c>
      <c r="S1007" s="338">
        <f t="shared" si="534"/>
        <v>10000000</v>
      </c>
      <c r="T1007" s="329">
        <f t="shared" si="542"/>
        <v>0</v>
      </c>
      <c r="U1007" s="338">
        <f t="shared" si="544"/>
        <v>2200000</v>
      </c>
      <c r="V1007" s="329">
        <f t="shared" si="543"/>
        <v>0</v>
      </c>
      <c r="W1007" s="338">
        <f t="shared" si="535"/>
        <v>12224694.890000001</v>
      </c>
      <c r="X1007" s="35"/>
    </row>
    <row r="1008" spans="1:24" x14ac:dyDescent="0.25">
      <c r="A1008" s="335">
        <f t="shared" si="524"/>
        <v>44719</v>
      </c>
      <c r="B1008" s="49">
        <f t="shared" si="522"/>
        <v>0</v>
      </c>
      <c r="C1008" s="338">
        <f t="shared" si="526"/>
        <v>118886089</v>
      </c>
      <c r="D1008" s="329">
        <f t="shared" si="523"/>
        <v>0</v>
      </c>
      <c r="E1008" s="338">
        <f t="shared" si="527"/>
        <v>9769566</v>
      </c>
      <c r="F1008" s="329">
        <f t="shared" si="525"/>
        <v>0</v>
      </c>
      <c r="G1008" s="338">
        <f t="shared" si="528"/>
        <v>76400000</v>
      </c>
      <c r="H1008" s="329">
        <f t="shared" si="536"/>
        <v>0</v>
      </c>
      <c r="I1008" s="338">
        <f t="shared" si="529"/>
        <v>44350150</v>
      </c>
      <c r="J1008" s="329">
        <f t="shared" si="537"/>
        <v>0</v>
      </c>
      <c r="K1008" s="338">
        <f t="shared" si="530"/>
        <v>15100000</v>
      </c>
      <c r="L1008" s="329">
        <f t="shared" si="538"/>
        <v>0</v>
      </c>
      <c r="M1008" s="338">
        <f t="shared" si="531"/>
        <v>25332976</v>
      </c>
      <c r="N1008" s="329">
        <f t="shared" si="539"/>
        <v>0</v>
      </c>
      <c r="O1008" s="338">
        <f t="shared" si="532"/>
        <v>14300000</v>
      </c>
      <c r="P1008" s="329">
        <f t="shared" si="540"/>
        <v>0</v>
      </c>
      <c r="Q1008" s="338">
        <f t="shared" si="533"/>
        <v>0</v>
      </c>
      <c r="R1008" s="329">
        <f t="shared" si="541"/>
        <v>0</v>
      </c>
      <c r="S1008" s="338">
        <f t="shared" si="534"/>
        <v>10000000</v>
      </c>
      <c r="T1008" s="329">
        <f t="shared" si="542"/>
        <v>0</v>
      </c>
      <c r="U1008" s="338">
        <f t="shared" si="544"/>
        <v>2200000</v>
      </c>
      <c r="V1008" s="329">
        <f t="shared" si="543"/>
        <v>0</v>
      </c>
      <c r="W1008" s="338">
        <f t="shared" si="535"/>
        <v>12224694.890000001</v>
      </c>
      <c r="X1008" s="35"/>
    </row>
    <row r="1009" spans="1:24" x14ac:dyDescent="0.25">
      <c r="A1009" s="335">
        <f t="shared" si="524"/>
        <v>44720</v>
      </c>
      <c r="B1009" s="49">
        <f t="shared" si="522"/>
        <v>0</v>
      </c>
      <c r="C1009" s="338">
        <f t="shared" si="526"/>
        <v>118886089</v>
      </c>
      <c r="D1009" s="329">
        <f t="shared" si="523"/>
        <v>0</v>
      </c>
      <c r="E1009" s="338">
        <f t="shared" si="527"/>
        <v>9769566</v>
      </c>
      <c r="F1009" s="329">
        <f t="shared" si="525"/>
        <v>0</v>
      </c>
      <c r="G1009" s="338">
        <f t="shared" si="528"/>
        <v>76400000</v>
      </c>
      <c r="H1009" s="329">
        <f t="shared" si="536"/>
        <v>0</v>
      </c>
      <c r="I1009" s="338">
        <f t="shared" si="529"/>
        <v>44350150</v>
      </c>
      <c r="J1009" s="329">
        <f t="shared" si="537"/>
        <v>0</v>
      </c>
      <c r="K1009" s="338">
        <f t="shared" si="530"/>
        <v>15100000</v>
      </c>
      <c r="L1009" s="329">
        <f t="shared" si="538"/>
        <v>0</v>
      </c>
      <c r="M1009" s="338">
        <f t="shared" si="531"/>
        <v>25332976</v>
      </c>
      <c r="N1009" s="329">
        <f t="shared" si="539"/>
        <v>0</v>
      </c>
      <c r="O1009" s="338">
        <f t="shared" si="532"/>
        <v>14300000</v>
      </c>
      <c r="P1009" s="329">
        <f t="shared" si="540"/>
        <v>0</v>
      </c>
      <c r="Q1009" s="338">
        <f t="shared" si="533"/>
        <v>0</v>
      </c>
      <c r="R1009" s="329">
        <f t="shared" si="541"/>
        <v>0</v>
      </c>
      <c r="S1009" s="338">
        <f t="shared" si="534"/>
        <v>10000000</v>
      </c>
      <c r="T1009" s="329">
        <f t="shared" si="542"/>
        <v>0</v>
      </c>
      <c r="U1009" s="338">
        <f t="shared" si="544"/>
        <v>2200000</v>
      </c>
      <c r="V1009" s="329">
        <f t="shared" si="543"/>
        <v>0</v>
      </c>
      <c r="W1009" s="338">
        <f t="shared" si="535"/>
        <v>12224694.890000001</v>
      </c>
      <c r="X1009" s="35"/>
    </row>
    <row r="1010" spans="1:24" x14ac:dyDescent="0.25">
      <c r="A1010" s="335">
        <f t="shared" si="524"/>
        <v>44721</v>
      </c>
      <c r="B1010" s="49">
        <f t="shared" si="522"/>
        <v>0</v>
      </c>
      <c r="C1010" s="338">
        <f t="shared" si="526"/>
        <v>118886089</v>
      </c>
      <c r="D1010" s="329">
        <f t="shared" si="523"/>
        <v>0</v>
      </c>
      <c r="E1010" s="338">
        <f t="shared" si="527"/>
        <v>9769566</v>
      </c>
      <c r="F1010" s="329">
        <f t="shared" si="525"/>
        <v>0</v>
      </c>
      <c r="G1010" s="338">
        <f t="shared" si="528"/>
        <v>76400000</v>
      </c>
      <c r="H1010" s="329">
        <f t="shared" si="536"/>
        <v>0</v>
      </c>
      <c r="I1010" s="338">
        <f t="shared" si="529"/>
        <v>44350150</v>
      </c>
      <c r="J1010" s="329">
        <f t="shared" si="537"/>
        <v>0</v>
      </c>
      <c r="K1010" s="338">
        <f t="shared" si="530"/>
        <v>15100000</v>
      </c>
      <c r="L1010" s="329">
        <f t="shared" si="538"/>
        <v>0</v>
      </c>
      <c r="M1010" s="338">
        <f t="shared" si="531"/>
        <v>25332976</v>
      </c>
      <c r="N1010" s="329">
        <f t="shared" si="539"/>
        <v>0</v>
      </c>
      <c r="O1010" s="338">
        <f t="shared" si="532"/>
        <v>14300000</v>
      </c>
      <c r="P1010" s="329">
        <f t="shared" si="540"/>
        <v>0</v>
      </c>
      <c r="Q1010" s="338">
        <f t="shared" si="533"/>
        <v>0</v>
      </c>
      <c r="R1010" s="329">
        <f t="shared" si="541"/>
        <v>0</v>
      </c>
      <c r="S1010" s="338">
        <f t="shared" si="534"/>
        <v>10000000</v>
      </c>
      <c r="T1010" s="329">
        <f t="shared" si="542"/>
        <v>0</v>
      </c>
      <c r="U1010" s="338">
        <f t="shared" si="544"/>
        <v>2200000</v>
      </c>
      <c r="V1010" s="329">
        <f t="shared" si="543"/>
        <v>0</v>
      </c>
      <c r="W1010" s="338">
        <f t="shared" si="535"/>
        <v>12224694.890000001</v>
      </c>
      <c r="X1010" s="35"/>
    </row>
    <row r="1011" spans="1:24" x14ac:dyDescent="0.25">
      <c r="A1011" s="335">
        <f t="shared" si="524"/>
        <v>44722</v>
      </c>
      <c r="B1011" s="49">
        <f t="shared" ref="B1011:B1074" si="545">SUMIFS(Usage_Main,CF_Dates,$A1011,CF_Descriptions,"XS1951177309 Change")</f>
        <v>0</v>
      </c>
      <c r="C1011" s="338">
        <f t="shared" si="526"/>
        <v>118886089</v>
      </c>
      <c r="D1011" s="329">
        <f t="shared" ref="D1011:D1074" si="546">SUMIFS(Usage_Main,CF_Dates,$A1011,CF_Descriptions,"SOSPRUCE1 Change")</f>
        <v>0</v>
      </c>
      <c r="E1011" s="338">
        <f t="shared" si="527"/>
        <v>9769566</v>
      </c>
      <c r="F1011" s="329">
        <f t="shared" si="525"/>
        <v>0</v>
      </c>
      <c r="G1011" s="338">
        <f t="shared" si="528"/>
        <v>76400000</v>
      </c>
      <c r="H1011" s="329">
        <f t="shared" si="536"/>
        <v>0</v>
      </c>
      <c r="I1011" s="338">
        <f t="shared" si="529"/>
        <v>44350150</v>
      </c>
      <c r="J1011" s="329">
        <f t="shared" si="537"/>
        <v>0</v>
      </c>
      <c r="K1011" s="338">
        <f t="shared" si="530"/>
        <v>15100000</v>
      </c>
      <c r="L1011" s="329">
        <f t="shared" si="538"/>
        <v>0</v>
      </c>
      <c r="M1011" s="338">
        <f t="shared" si="531"/>
        <v>25332976</v>
      </c>
      <c r="N1011" s="329">
        <f t="shared" si="539"/>
        <v>0</v>
      </c>
      <c r="O1011" s="338">
        <f t="shared" si="532"/>
        <v>14300000</v>
      </c>
      <c r="P1011" s="329">
        <f t="shared" si="540"/>
        <v>0</v>
      </c>
      <c r="Q1011" s="338">
        <f t="shared" si="533"/>
        <v>0</v>
      </c>
      <c r="R1011" s="329">
        <f t="shared" si="541"/>
        <v>0</v>
      </c>
      <c r="S1011" s="338">
        <f t="shared" si="534"/>
        <v>10000000</v>
      </c>
      <c r="T1011" s="329">
        <f t="shared" si="542"/>
        <v>0</v>
      </c>
      <c r="U1011" s="338">
        <f t="shared" si="544"/>
        <v>2200000</v>
      </c>
      <c r="V1011" s="329">
        <f t="shared" si="543"/>
        <v>0</v>
      </c>
      <c r="W1011" s="338">
        <f t="shared" si="535"/>
        <v>12224694.890000001</v>
      </c>
      <c r="X1011" s="35"/>
    </row>
    <row r="1012" spans="1:24" x14ac:dyDescent="0.25">
      <c r="A1012" s="335">
        <f t="shared" si="524"/>
        <v>44723</v>
      </c>
      <c r="B1012" s="49">
        <f t="shared" si="545"/>
        <v>0</v>
      </c>
      <c r="C1012" s="338">
        <f t="shared" si="526"/>
        <v>118886089</v>
      </c>
      <c r="D1012" s="329">
        <f t="shared" si="546"/>
        <v>0</v>
      </c>
      <c r="E1012" s="338">
        <f t="shared" si="527"/>
        <v>9769566</v>
      </c>
      <c r="F1012" s="329">
        <f t="shared" si="525"/>
        <v>0</v>
      </c>
      <c r="G1012" s="338">
        <f t="shared" si="528"/>
        <v>76400000</v>
      </c>
      <c r="H1012" s="329">
        <f t="shared" si="536"/>
        <v>0</v>
      </c>
      <c r="I1012" s="338">
        <f t="shared" si="529"/>
        <v>44350150</v>
      </c>
      <c r="J1012" s="329">
        <f t="shared" si="537"/>
        <v>0</v>
      </c>
      <c r="K1012" s="338">
        <f t="shared" si="530"/>
        <v>15100000</v>
      </c>
      <c r="L1012" s="329">
        <f t="shared" si="538"/>
        <v>0</v>
      </c>
      <c r="M1012" s="338">
        <f t="shared" si="531"/>
        <v>25332976</v>
      </c>
      <c r="N1012" s="329">
        <f t="shared" si="539"/>
        <v>0</v>
      </c>
      <c r="O1012" s="338">
        <f t="shared" si="532"/>
        <v>14300000</v>
      </c>
      <c r="P1012" s="329">
        <f t="shared" si="540"/>
        <v>0</v>
      </c>
      <c r="Q1012" s="338">
        <f t="shared" si="533"/>
        <v>0</v>
      </c>
      <c r="R1012" s="329">
        <f t="shared" si="541"/>
        <v>0</v>
      </c>
      <c r="S1012" s="338">
        <f t="shared" si="534"/>
        <v>10000000</v>
      </c>
      <c r="T1012" s="329">
        <f t="shared" si="542"/>
        <v>0</v>
      </c>
      <c r="U1012" s="338">
        <f t="shared" si="544"/>
        <v>2200000</v>
      </c>
      <c r="V1012" s="329">
        <f t="shared" si="543"/>
        <v>0</v>
      </c>
      <c r="W1012" s="338">
        <f t="shared" si="535"/>
        <v>12224694.890000001</v>
      </c>
      <c r="X1012" s="35"/>
    </row>
    <row r="1013" spans="1:24" x14ac:dyDescent="0.25">
      <c r="A1013" s="335">
        <f t="shared" si="524"/>
        <v>44724</v>
      </c>
      <c r="B1013" s="49">
        <f t="shared" si="545"/>
        <v>0</v>
      </c>
      <c r="C1013" s="338">
        <f t="shared" si="526"/>
        <v>118886089</v>
      </c>
      <c r="D1013" s="329">
        <f t="shared" si="546"/>
        <v>0</v>
      </c>
      <c r="E1013" s="338">
        <f t="shared" si="527"/>
        <v>9769566</v>
      </c>
      <c r="F1013" s="329">
        <f t="shared" si="525"/>
        <v>0</v>
      </c>
      <c r="G1013" s="338">
        <f t="shared" si="528"/>
        <v>76400000</v>
      </c>
      <c r="H1013" s="329">
        <f t="shared" si="536"/>
        <v>0</v>
      </c>
      <c r="I1013" s="338">
        <f t="shared" si="529"/>
        <v>44350150</v>
      </c>
      <c r="J1013" s="329">
        <f t="shared" si="537"/>
        <v>0</v>
      </c>
      <c r="K1013" s="338">
        <f t="shared" si="530"/>
        <v>15100000</v>
      </c>
      <c r="L1013" s="329">
        <f t="shared" si="538"/>
        <v>0</v>
      </c>
      <c r="M1013" s="338">
        <f t="shared" si="531"/>
        <v>25332976</v>
      </c>
      <c r="N1013" s="329">
        <f t="shared" si="539"/>
        <v>0</v>
      </c>
      <c r="O1013" s="338">
        <f t="shared" si="532"/>
        <v>14300000</v>
      </c>
      <c r="P1013" s="329">
        <f t="shared" si="540"/>
        <v>0</v>
      </c>
      <c r="Q1013" s="338">
        <f t="shared" si="533"/>
        <v>0</v>
      </c>
      <c r="R1013" s="329">
        <f t="shared" si="541"/>
        <v>0</v>
      </c>
      <c r="S1013" s="338">
        <f t="shared" si="534"/>
        <v>10000000</v>
      </c>
      <c r="T1013" s="329">
        <f t="shared" si="542"/>
        <v>0</v>
      </c>
      <c r="U1013" s="338">
        <f t="shared" si="544"/>
        <v>2200000</v>
      </c>
      <c r="V1013" s="329">
        <f t="shared" si="543"/>
        <v>0</v>
      </c>
      <c r="W1013" s="338">
        <f t="shared" si="535"/>
        <v>12224694.890000001</v>
      </c>
      <c r="X1013" s="35"/>
    </row>
    <row r="1014" spans="1:24" x14ac:dyDescent="0.25">
      <c r="A1014" s="335">
        <f t="shared" si="524"/>
        <v>44725</v>
      </c>
      <c r="B1014" s="49">
        <f t="shared" si="545"/>
        <v>0</v>
      </c>
      <c r="C1014" s="338">
        <f t="shared" si="526"/>
        <v>118886089</v>
      </c>
      <c r="D1014" s="329">
        <f t="shared" si="546"/>
        <v>0</v>
      </c>
      <c r="E1014" s="338">
        <f t="shared" si="527"/>
        <v>9769566</v>
      </c>
      <c r="F1014" s="329">
        <f t="shared" si="525"/>
        <v>0</v>
      </c>
      <c r="G1014" s="338">
        <f t="shared" si="528"/>
        <v>76400000</v>
      </c>
      <c r="H1014" s="329">
        <f t="shared" si="536"/>
        <v>0</v>
      </c>
      <c r="I1014" s="338">
        <f t="shared" si="529"/>
        <v>44350150</v>
      </c>
      <c r="J1014" s="329">
        <f t="shared" si="537"/>
        <v>0</v>
      </c>
      <c r="K1014" s="338">
        <f t="shared" si="530"/>
        <v>15100000</v>
      </c>
      <c r="L1014" s="329">
        <f t="shared" si="538"/>
        <v>0</v>
      </c>
      <c r="M1014" s="338">
        <f t="shared" si="531"/>
        <v>25332976</v>
      </c>
      <c r="N1014" s="329">
        <f t="shared" si="539"/>
        <v>0</v>
      </c>
      <c r="O1014" s="338">
        <f t="shared" si="532"/>
        <v>14300000</v>
      </c>
      <c r="P1014" s="329">
        <f t="shared" si="540"/>
        <v>0</v>
      </c>
      <c r="Q1014" s="338">
        <f t="shared" si="533"/>
        <v>0</v>
      </c>
      <c r="R1014" s="329">
        <f t="shared" si="541"/>
        <v>0</v>
      </c>
      <c r="S1014" s="338">
        <f t="shared" si="534"/>
        <v>10000000</v>
      </c>
      <c r="T1014" s="329">
        <f t="shared" si="542"/>
        <v>0</v>
      </c>
      <c r="U1014" s="338">
        <f t="shared" si="544"/>
        <v>2200000</v>
      </c>
      <c r="V1014" s="329">
        <f t="shared" si="543"/>
        <v>0</v>
      </c>
      <c r="W1014" s="338">
        <f t="shared" si="535"/>
        <v>12224694.890000001</v>
      </c>
      <c r="X1014" s="35"/>
    </row>
    <row r="1015" spans="1:24" x14ac:dyDescent="0.25">
      <c r="A1015" s="335">
        <f t="shared" si="524"/>
        <v>44726</v>
      </c>
      <c r="B1015" s="49">
        <f t="shared" si="545"/>
        <v>0</v>
      </c>
      <c r="C1015" s="338">
        <f t="shared" si="526"/>
        <v>118886089</v>
      </c>
      <c r="D1015" s="329">
        <f t="shared" si="546"/>
        <v>0</v>
      </c>
      <c r="E1015" s="338">
        <f t="shared" si="527"/>
        <v>9769566</v>
      </c>
      <c r="F1015" s="329">
        <f t="shared" si="525"/>
        <v>0</v>
      </c>
      <c r="G1015" s="338">
        <f t="shared" si="528"/>
        <v>76400000</v>
      </c>
      <c r="H1015" s="329">
        <f t="shared" si="536"/>
        <v>0</v>
      </c>
      <c r="I1015" s="338">
        <f t="shared" si="529"/>
        <v>44350150</v>
      </c>
      <c r="J1015" s="329">
        <f t="shared" si="537"/>
        <v>0</v>
      </c>
      <c r="K1015" s="338">
        <f t="shared" si="530"/>
        <v>15100000</v>
      </c>
      <c r="L1015" s="329">
        <f t="shared" si="538"/>
        <v>0</v>
      </c>
      <c r="M1015" s="338">
        <f t="shared" si="531"/>
        <v>25332976</v>
      </c>
      <c r="N1015" s="329">
        <f t="shared" si="539"/>
        <v>0</v>
      </c>
      <c r="O1015" s="338">
        <f t="shared" si="532"/>
        <v>14300000</v>
      </c>
      <c r="P1015" s="329">
        <f t="shared" si="540"/>
        <v>0</v>
      </c>
      <c r="Q1015" s="338">
        <f t="shared" si="533"/>
        <v>0</v>
      </c>
      <c r="R1015" s="329">
        <f t="shared" si="541"/>
        <v>0</v>
      </c>
      <c r="S1015" s="338">
        <f t="shared" si="534"/>
        <v>10000000</v>
      </c>
      <c r="T1015" s="329">
        <f t="shared" si="542"/>
        <v>0</v>
      </c>
      <c r="U1015" s="338">
        <f t="shared" si="544"/>
        <v>2200000</v>
      </c>
      <c r="V1015" s="329">
        <f t="shared" si="543"/>
        <v>0</v>
      </c>
      <c r="W1015" s="338">
        <f t="shared" si="535"/>
        <v>12224694.890000001</v>
      </c>
      <c r="X1015" s="35"/>
    </row>
    <row r="1016" spans="1:24" x14ac:dyDescent="0.25">
      <c r="A1016" s="335">
        <f t="shared" si="524"/>
        <v>44727</v>
      </c>
      <c r="B1016" s="49">
        <f t="shared" si="545"/>
        <v>0</v>
      </c>
      <c r="C1016" s="338">
        <f t="shared" si="526"/>
        <v>118886089</v>
      </c>
      <c r="D1016" s="329">
        <f t="shared" si="546"/>
        <v>0</v>
      </c>
      <c r="E1016" s="338">
        <f t="shared" si="527"/>
        <v>9769566</v>
      </c>
      <c r="F1016" s="329">
        <f t="shared" si="525"/>
        <v>0</v>
      </c>
      <c r="G1016" s="338">
        <f t="shared" si="528"/>
        <v>76400000</v>
      </c>
      <c r="H1016" s="329">
        <f t="shared" si="536"/>
        <v>0</v>
      </c>
      <c r="I1016" s="338">
        <f t="shared" si="529"/>
        <v>44350150</v>
      </c>
      <c r="J1016" s="329">
        <f t="shared" si="537"/>
        <v>0</v>
      </c>
      <c r="K1016" s="338">
        <f t="shared" si="530"/>
        <v>15100000</v>
      </c>
      <c r="L1016" s="329">
        <f t="shared" si="538"/>
        <v>0</v>
      </c>
      <c r="M1016" s="338">
        <f t="shared" si="531"/>
        <v>25332976</v>
      </c>
      <c r="N1016" s="329">
        <f t="shared" si="539"/>
        <v>0</v>
      </c>
      <c r="O1016" s="338">
        <f t="shared" si="532"/>
        <v>14300000</v>
      </c>
      <c r="P1016" s="329">
        <f t="shared" si="540"/>
        <v>0</v>
      </c>
      <c r="Q1016" s="338">
        <f t="shared" si="533"/>
        <v>0</v>
      </c>
      <c r="R1016" s="329">
        <f t="shared" si="541"/>
        <v>0</v>
      </c>
      <c r="S1016" s="338">
        <f t="shared" si="534"/>
        <v>10000000</v>
      </c>
      <c r="T1016" s="329">
        <f t="shared" si="542"/>
        <v>0</v>
      </c>
      <c r="U1016" s="338">
        <f t="shared" si="544"/>
        <v>2200000</v>
      </c>
      <c r="V1016" s="329">
        <f t="shared" si="543"/>
        <v>0</v>
      </c>
      <c r="W1016" s="338">
        <f t="shared" si="535"/>
        <v>12224694.890000001</v>
      </c>
      <c r="X1016" s="35"/>
    </row>
    <row r="1017" spans="1:24" x14ac:dyDescent="0.25">
      <c r="A1017" s="335">
        <f t="shared" si="524"/>
        <v>44728</v>
      </c>
      <c r="B1017" s="49">
        <f t="shared" si="545"/>
        <v>0</v>
      </c>
      <c r="C1017" s="338">
        <f t="shared" si="526"/>
        <v>118886089</v>
      </c>
      <c r="D1017" s="329">
        <f t="shared" si="546"/>
        <v>0</v>
      </c>
      <c r="E1017" s="338">
        <f t="shared" si="527"/>
        <v>9769566</v>
      </c>
      <c r="F1017" s="329">
        <f t="shared" si="525"/>
        <v>0</v>
      </c>
      <c r="G1017" s="338">
        <f t="shared" si="528"/>
        <v>76400000</v>
      </c>
      <c r="H1017" s="329">
        <f t="shared" si="536"/>
        <v>0</v>
      </c>
      <c r="I1017" s="338">
        <f t="shared" si="529"/>
        <v>44350150</v>
      </c>
      <c r="J1017" s="329">
        <f t="shared" si="537"/>
        <v>0</v>
      </c>
      <c r="K1017" s="338">
        <f t="shared" si="530"/>
        <v>15100000</v>
      </c>
      <c r="L1017" s="329">
        <f t="shared" si="538"/>
        <v>0</v>
      </c>
      <c r="M1017" s="338">
        <f t="shared" si="531"/>
        <v>25332976</v>
      </c>
      <c r="N1017" s="329">
        <f t="shared" si="539"/>
        <v>0</v>
      </c>
      <c r="O1017" s="338">
        <f t="shared" si="532"/>
        <v>14300000</v>
      </c>
      <c r="P1017" s="329">
        <f t="shared" si="540"/>
        <v>0</v>
      </c>
      <c r="Q1017" s="338">
        <f t="shared" si="533"/>
        <v>0</v>
      </c>
      <c r="R1017" s="329">
        <f t="shared" si="541"/>
        <v>0</v>
      </c>
      <c r="S1017" s="338">
        <f t="shared" si="534"/>
        <v>10000000</v>
      </c>
      <c r="T1017" s="329">
        <f t="shared" si="542"/>
        <v>0</v>
      </c>
      <c r="U1017" s="338">
        <f t="shared" si="544"/>
        <v>2200000</v>
      </c>
      <c r="V1017" s="329">
        <f t="shared" si="543"/>
        <v>0</v>
      </c>
      <c r="W1017" s="338">
        <f t="shared" si="535"/>
        <v>12224694.890000001</v>
      </c>
      <c r="X1017" s="35"/>
    </row>
    <row r="1018" spans="1:24" x14ac:dyDescent="0.25">
      <c r="A1018" s="335">
        <f t="shared" si="524"/>
        <v>44729</v>
      </c>
      <c r="B1018" s="49">
        <f t="shared" si="545"/>
        <v>0</v>
      </c>
      <c r="C1018" s="338">
        <f t="shared" si="526"/>
        <v>118886089</v>
      </c>
      <c r="D1018" s="329">
        <f t="shared" si="546"/>
        <v>0</v>
      </c>
      <c r="E1018" s="338">
        <f t="shared" si="527"/>
        <v>9769566</v>
      </c>
      <c r="F1018" s="329">
        <f t="shared" si="525"/>
        <v>0</v>
      </c>
      <c r="G1018" s="338">
        <f t="shared" si="528"/>
        <v>76400000</v>
      </c>
      <c r="H1018" s="329">
        <f t="shared" si="536"/>
        <v>0</v>
      </c>
      <c r="I1018" s="338">
        <f t="shared" si="529"/>
        <v>44350150</v>
      </c>
      <c r="J1018" s="329">
        <f t="shared" si="537"/>
        <v>0</v>
      </c>
      <c r="K1018" s="338">
        <f t="shared" si="530"/>
        <v>15100000</v>
      </c>
      <c r="L1018" s="329">
        <f t="shared" si="538"/>
        <v>0</v>
      </c>
      <c r="M1018" s="338">
        <f t="shared" si="531"/>
        <v>25332976</v>
      </c>
      <c r="N1018" s="329">
        <f t="shared" si="539"/>
        <v>0</v>
      </c>
      <c r="O1018" s="338">
        <f t="shared" si="532"/>
        <v>14300000</v>
      </c>
      <c r="P1018" s="329">
        <f t="shared" si="540"/>
        <v>0</v>
      </c>
      <c r="Q1018" s="338">
        <f t="shared" si="533"/>
        <v>0</v>
      </c>
      <c r="R1018" s="329">
        <f t="shared" si="541"/>
        <v>0</v>
      </c>
      <c r="S1018" s="338">
        <f t="shared" si="534"/>
        <v>10000000</v>
      </c>
      <c r="T1018" s="329">
        <f t="shared" si="542"/>
        <v>0</v>
      </c>
      <c r="U1018" s="338">
        <f t="shared" si="544"/>
        <v>2200000</v>
      </c>
      <c r="V1018" s="329">
        <f t="shared" si="543"/>
        <v>0</v>
      </c>
      <c r="W1018" s="338">
        <f t="shared" si="535"/>
        <v>12224694.890000001</v>
      </c>
      <c r="X1018" s="35"/>
    </row>
    <row r="1019" spans="1:24" x14ac:dyDescent="0.25">
      <c r="A1019" s="335">
        <f t="shared" si="524"/>
        <v>44730</v>
      </c>
      <c r="B1019" s="49">
        <f t="shared" si="545"/>
        <v>0</v>
      </c>
      <c r="C1019" s="338">
        <f t="shared" si="526"/>
        <v>118886089</v>
      </c>
      <c r="D1019" s="329">
        <f t="shared" si="546"/>
        <v>0</v>
      </c>
      <c r="E1019" s="338">
        <f t="shared" si="527"/>
        <v>9769566</v>
      </c>
      <c r="F1019" s="329">
        <f t="shared" si="525"/>
        <v>0</v>
      </c>
      <c r="G1019" s="338">
        <f t="shared" si="528"/>
        <v>76400000</v>
      </c>
      <c r="H1019" s="329">
        <f t="shared" si="536"/>
        <v>0</v>
      </c>
      <c r="I1019" s="338">
        <f t="shared" si="529"/>
        <v>44350150</v>
      </c>
      <c r="J1019" s="329">
        <f t="shared" si="537"/>
        <v>0</v>
      </c>
      <c r="K1019" s="338">
        <f t="shared" si="530"/>
        <v>15100000</v>
      </c>
      <c r="L1019" s="329">
        <f t="shared" si="538"/>
        <v>0</v>
      </c>
      <c r="M1019" s="338">
        <f t="shared" si="531"/>
        <v>25332976</v>
      </c>
      <c r="N1019" s="329">
        <f t="shared" si="539"/>
        <v>0</v>
      </c>
      <c r="O1019" s="338">
        <f t="shared" si="532"/>
        <v>14300000</v>
      </c>
      <c r="P1019" s="329">
        <f t="shared" si="540"/>
        <v>0</v>
      </c>
      <c r="Q1019" s="338">
        <f t="shared" si="533"/>
        <v>0</v>
      </c>
      <c r="R1019" s="329">
        <f t="shared" si="541"/>
        <v>0</v>
      </c>
      <c r="S1019" s="338">
        <f t="shared" si="534"/>
        <v>10000000</v>
      </c>
      <c r="T1019" s="329">
        <f t="shared" si="542"/>
        <v>0</v>
      </c>
      <c r="U1019" s="338">
        <f t="shared" si="544"/>
        <v>2200000</v>
      </c>
      <c r="V1019" s="329">
        <f t="shared" si="543"/>
        <v>0</v>
      </c>
      <c r="W1019" s="338">
        <f t="shared" si="535"/>
        <v>12224694.890000001</v>
      </c>
      <c r="X1019" s="35"/>
    </row>
    <row r="1020" spans="1:24" x14ac:dyDescent="0.25">
      <c r="A1020" s="335">
        <f t="shared" si="524"/>
        <v>44731</v>
      </c>
      <c r="B1020" s="49">
        <f t="shared" si="545"/>
        <v>0</v>
      </c>
      <c r="C1020" s="338">
        <f t="shared" si="526"/>
        <v>118886089</v>
      </c>
      <c r="D1020" s="329">
        <f t="shared" si="546"/>
        <v>0</v>
      </c>
      <c r="E1020" s="338">
        <f t="shared" si="527"/>
        <v>9769566</v>
      </c>
      <c r="F1020" s="329">
        <f t="shared" si="525"/>
        <v>0</v>
      </c>
      <c r="G1020" s="338">
        <f t="shared" si="528"/>
        <v>76400000</v>
      </c>
      <c r="H1020" s="329">
        <f t="shared" si="536"/>
        <v>0</v>
      </c>
      <c r="I1020" s="338">
        <f t="shared" si="529"/>
        <v>44350150</v>
      </c>
      <c r="J1020" s="329">
        <f t="shared" si="537"/>
        <v>0</v>
      </c>
      <c r="K1020" s="338">
        <f t="shared" si="530"/>
        <v>15100000</v>
      </c>
      <c r="L1020" s="329">
        <f t="shared" si="538"/>
        <v>0</v>
      </c>
      <c r="M1020" s="338">
        <f t="shared" si="531"/>
        <v>25332976</v>
      </c>
      <c r="N1020" s="329">
        <f t="shared" si="539"/>
        <v>0</v>
      </c>
      <c r="O1020" s="338">
        <f t="shared" si="532"/>
        <v>14300000</v>
      </c>
      <c r="P1020" s="329">
        <f t="shared" si="540"/>
        <v>0</v>
      </c>
      <c r="Q1020" s="338">
        <f t="shared" si="533"/>
        <v>0</v>
      </c>
      <c r="R1020" s="329">
        <f t="shared" si="541"/>
        <v>0</v>
      </c>
      <c r="S1020" s="338">
        <f t="shared" si="534"/>
        <v>10000000</v>
      </c>
      <c r="T1020" s="329">
        <f t="shared" si="542"/>
        <v>0</v>
      </c>
      <c r="U1020" s="338">
        <f t="shared" si="544"/>
        <v>2200000</v>
      </c>
      <c r="V1020" s="329">
        <f t="shared" si="543"/>
        <v>0</v>
      </c>
      <c r="W1020" s="338">
        <f t="shared" si="535"/>
        <v>12224694.890000001</v>
      </c>
      <c r="X1020" s="35"/>
    </row>
    <row r="1021" spans="1:24" x14ac:dyDescent="0.25">
      <c r="A1021" s="335">
        <f t="shared" si="524"/>
        <v>44732</v>
      </c>
      <c r="B1021" s="49">
        <f t="shared" si="545"/>
        <v>0</v>
      </c>
      <c r="C1021" s="338">
        <f t="shared" si="526"/>
        <v>118886089</v>
      </c>
      <c r="D1021" s="329">
        <f t="shared" si="546"/>
        <v>0</v>
      </c>
      <c r="E1021" s="338">
        <f t="shared" si="527"/>
        <v>9769566</v>
      </c>
      <c r="F1021" s="329">
        <f t="shared" si="525"/>
        <v>0</v>
      </c>
      <c r="G1021" s="338">
        <f t="shared" si="528"/>
        <v>76400000</v>
      </c>
      <c r="H1021" s="329">
        <f t="shared" si="536"/>
        <v>0</v>
      </c>
      <c r="I1021" s="338">
        <f t="shared" si="529"/>
        <v>44350150</v>
      </c>
      <c r="J1021" s="329">
        <f t="shared" si="537"/>
        <v>0</v>
      </c>
      <c r="K1021" s="338">
        <f t="shared" si="530"/>
        <v>15100000</v>
      </c>
      <c r="L1021" s="329">
        <f t="shared" si="538"/>
        <v>0</v>
      </c>
      <c r="M1021" s="338">
        <f t="shared" si="531"/>
        <v>25332976</v>
      </c>
      <c r="N1021" s="329">
        <f t="shared" si="539"/>
        <v>0</v>
      </c>
      <c r="O1021" s="338">
        <f t="shared" si="532"/>
        <v>14300000</v>
      </c>
      <c r="P1021" s="329">
        <f t="shared" si="540"/>
        <v>0</v>
      </c>
      <c r="Q1021" s="338">
        <f t="shared" si="533"/>
        <v>0</v>
      </c>
      <c r="R1021" s="329">
        <f t="shared" si="541"/>
        <v>0</v>
      </c>
      <c r="S1021" s="338">
        <f t="shared" si="534"/>
        <v>10000000</v>
      </c>
      <c r="T1021" s="329">
        <f t="shared" si="542"/>
        <v>0</v>
      </c>
      <c r="U1021" s="338">
        <f t="shared" si="544"/>
        <v>2200000</v>
      </c>
      <c r="V1021" s="329">
        <f t="shared" si="543"/>
        <v>0</v>
      </c>
      <c r="W1021" s="338">
        <f t="shared" si="535"/>
        <v>12224694.890000001</v>
      </c>
      <c r="X1021" s="35"/>
    </row>
    <row r="1022" spans="1:24" x14ac:dyDescent="0.25">
      <c r="A1022" s="335">
        <f t="shared" si="524"/>
        <v>44733</v>
      </c>
      <c r="B1022" s="49">
        <f t="shared" si="545"/>
        <v>0</v>
      </c>
      <c r="C1022" s="338">
        <f t="shared" si="526"/>
        <v>118886089</v>
      </c>
      <c r="D1022" s="329">
        <f t="shared" si="546"/>
        <v>0</v>
      </c>
      <c r="E1022" s="338">
        <f t="shared" si="527"/>
        <v>9769566</v>
      </c>
      <c r="F1022" s="329">
        <f t="shared" si="525"/>
        <v>0</v>
      </c>
      <c r="G1022" s="338">
        <f t="shared" si="528"/>
        <v>76400000</v>
      </c>
      <c r="H1022" s="329">
        <f t="shared" si="536"/>
        <v>0</v>
      </c>
      <c r="I1022" s="338">
        <f t="shared" si="529"/>
        <v>44350150</v>
      </c>
      <c r="J1022" s="329">
        <f t="shared" si="537"/>
        <v>0</v>
      </c>
      <c r="K1022" s="338">
        <f t="shared" si="530"/>
        <v>15100000</v>
      </c>
      <c r="L1022" s="329">
        <f t="shared" si="538"/>
        <v>0</v>
      </c>
      <c r="M1022" s="338">
        <f t="shared" si="531"/>
        <v>25332976</v>
      </c>
      <c r="N1022" s="329">
        <f t="shared" si="539"/>
        <v>0</v>
      </c>
      <c r="O1022" s="338">
        <f t="shared" si="532"/>
        <v>14300000</v>
      </c>
      <c r="P1022" s="329">
        <f t="shared" si="540"/>
        <v>0</v>
      </c>
      <c r="Q1022" s="338">
        <f t="shared" si="533"/>
        <v>0</v>
      </c>
      <c r="R1022" s="329">
        <f t="shared" si="541"/>
        <v>0</v>
      </c>
      <c r="S1022" s="338">
        <f t="shared" si="534"/>
        <v>10000000</v>
      </c>
      <c r="T1022" s="329">
        <f t="shared" si="542"/>
        <v>0</v>
      </c>
      <c r="U1022" s="338">
        <f t="shared" si="544"/>
        <v>2200000</v>
      </c>
      <c r="V1022" s="329">
        <f t="shared" si="543"/>
        <v>0</v>
      </c>
      <c r="W1022" s="338">
        <f t="shared" si="535"/>
        <v>12224694.890000001</v>
      </c>
      <c r="X1022" s="35"/>
    </row>
    <row r="1023" spans="1:24" x14ac:dyDescent="0.25">
      <c r="A1023" s="335">
        <f t="shared" si="524"/>
        <v>44734</v>
      </c>
      <c r="B1023" s="49">
        <f t="shared" si="545"/>
        <v>0</v>
      </c>
      <c r="C1023" s="338">
        <f t="shared" si="526"/>
        <v>118886089</v>
      </c>
      <c r="D1023" s="329">
        <f t="shared" si="546"/>
        <v>0</v>
      </c>
      <c r="E1023" s="338">
        <f t="shared" si="527"/>
        <v>9769566</v>
      </c>
      <c r="F1023" s="329">
        <f t="shared" si="525"/>
        <v>0</v>
      </c>
      <c r="G1023" s="338">
        <f t="shared" si="528"/>
        <v>76400000</v>
      </c>
      <c r="H1023" s="329">
        <f t="shared" si="536"/>
        <v>0</v>
      </c>
      <c r="I1023" s="338">
        <f t="shared" si="529"/>
        <v>44350150</v>
      </c>
      <c r="J1023" s="329">
        <f t="shared" si="537"/>
        <v>0</v>
      </c>
      <c r="K1023" s="338">
        <f t="shared" si="530"/>
        <v>15100000</v>
      </c>
      <c r="L1023" s="329">
        <f t="shared" si="538"/>
        <v>0</v>
      </c>
      <c r="M1023" s="338">
        <f t="shared" si="531"/>
        <v>25332976</v>
      </c>
      <c r="N1023" s="329">
        <f t="shared" si="539"/>
        <v>0</v>
      </c>
      <c r="O1023" s="338">
        <f t="shared" si="532"/>
        <v>14300000</v>
      </c>
      <c r="P1023" s="329">
        <f t="shared" si="540"/>
        <v>0</v>
      </c>
      <c r="Q1023" s="338">
        <f t="shared" si="533"/>
        <v>0</v>
      </c>
      <c r="R1023" s="329">
        <f t="shared" si="541"/>
        <v>0</v>
      </c>
      <c r="S1023" s="338">
        <f t="shared" si="534"/>
        <v>10000000</v>
      </c>
      <c r="T1023" s="329">
        <f t="shared" si="542"/>
        <v>0</v>
      </c>
      <c r="U1023" s="338">
        <f t="shared" si="544"/>
        <v>2200000</v>
      </c>
      <c r="V1023" s="329">
        <f t="shared" si="543"/>
        <v>0</v>
      </c>
      <c r="W1023" s="338">
        <f t="shared" si="535"/>
        <v>12224694.890000001</v>
      </c>
      <c r="X1023" s="35"/>
    </row>
    <row r="1024" spans="1:24" x14ac:dyDescent="0.25">
      <c r="A1024" s="335">
        <f t="shared" ref="A1024:A1087" si="547">A1023+1</f>
        <v>44735</v>
      </c>
      <c r="B1024" s="49">
        <f t="shared" si="545"/>
        <v>0</v>
      </c>
      <c r="C1024" s="338">
        <f t="shared" si="526"/>
        <v>118886089</v>
      </c>
      <c r="D1024" s="329">
        <f t="shared" si="546"/>
        <v>0</v>
      </c>
      <c r="E1024" s="338">
        <f t="shared" si="527"/>
        <v>9769566</v>
      </c>
      <c r="F1024" s="329">
        <f t="shared" si="525"/>
        <v>0</v>
      </c>
      <c r="G1024" s="338">
        <f t="shared" si="528"/>
        <v>76400000</v>
      </c>
      <c r="H1024" s="329">
        <f t="shared" si="536"/>
        <v>0</v>
      </c>
      <c r="I1024" s="338">
        <f t="shared" si="529"/>
        <v>44350150</v>
      </c>
      <c r="J1024" s="329">
        <f t="shared" si="537"/>
        <v>0</v>
      </c>
      <c r="K1024" s="338">
        <f t="shared" si="530"/>
        <v>15100000</v>
      </c>
      <c r="L1024" s="329">
        <f t="shared" si="538"/>
        <v>0</v>
      </c>
      <c r="M1024" s="338">
        <f t="shared" si="531"/>
        <v>25332976</v>
      </c>
      <c r="N1024" s="329">
        <f t="shared" si="539"/>
        <v>0</v>
      </c>
      <c r="O1024" s="338">
        <f t="shared" si="532"/>
        <v>14300000</v>
      </c>
      <c r="P1024" s="329">
        <f t="shared" si="540"/>
        <v>0</v>
      </c>
      <c r="Q1024" s="338">
        <f t="shared" si="533"/>
        <v>0</v>
      </c>
      <c r="R1024" s="329">
        <f t="shared" si="541"/>
        <v>0</v>
      </c>
      <c r="S1024" s="338">
        <f t="shared" si="534"/>
        <v>10000000</v>
      </c>
      <c r="T1024" s="329">
        <f t="shared" si="542"/>
        <v>0</v>
      </c>
      <c r="U1024" s="338">
        <f t="shared" si="544"/>
        <v>2200000</v>
      </c>
      <c r="V1024" s="329">
        <f t="shared" si="543"/>
        <v>0</v>
      </c>
      <c r="W1024" s="338">
        <f t="shared" si="535"/>
        <v>12224694.890000001</v>
      </c>
      <c r="X1024" s="35"/>
    </row>
    <row r="1025" spans="1:24" x14ac:dyDescent="0.25">
      <c r="A1025" s="335">
        <f t="shared" si="547"/>
        <v>44736</v>
      </c>
      <c r="B1025" s="49">
        <f t="shared" si="545"/>
        <v>0</v>
      </c>
      <c r="C1025" s="338">
        <f t="shared" si="526"/>
        <v>118886089</v>
      </c>
      <c r="D1025" s="329">
        <f t="shared" si="546"/>
        <v>0</v>
      </c>
      <c r="E1025" s="338">
        <f t="shared" si="527"/>
        <v>9769566</v>
      </c>
      <c r="F1025" s="329">
        <f t="shared" si="525"/>
        <v>0</v>
      </c>
      <c r="G1025" s="338">
        <f t="shared" si="528"/>
        <v>76400000</v>
      </c>
      <c r="H1025" s="329">
        <f t="shared" si="536"/>
        <v>0</v>
      </c>
      <c r="I1025" s="338">
        <f t="shared" si="529"/>
        <v>44350150</v>
      </c>
      <c r="J1025" s="329">
        <f t="shared" si="537"/>
        <v>0</v>
      </c>
      <c r="K1025" s="338">
        <f t="shared" si="530"/>
        <v>15100000</v>
      </c>
      <c r="L1025" s="329">
        <f t="shared" si="538"/>
        <v>0</v>
      </c>
      <c r="M1025" s="338">
        <f t="shared" si="531"/>
        <v>25332976</v>
      </c>
      <c r="N1025" s="329">
        <f t="shared" si="539"/>
        <v>0</v>
      </c>
      <c r="O1025" s="338">
        <f t="shared" si="532"/>
        <v>14300000</v>
      </c>
      <c r="P1025" s="329">
        <f t="shared" si="540"/>
        <v>0</v>
      </c>
      <c r="Q1025" s="338">
        <f t="shared" si="533"/>
        <v>0</v>
      </c>
      <c r="R1025" s="329">
        <f t="shared" si="541"/>
        <v>0</v>
      </c>
      <c r="S1025" s="338">
        <f t="shared" si="534"/>
        <v>10000000</v>
      </c>
      <c r="T1025" s="329">
        <f t="shared" si="542"/>
        <v>0</v>
      </c>
      <c r="U1025" s="338">
        <f t="shared" si="544"/>
        <v>2200000</v>
      </c>
      <c r="V1025" s="329">
        <f t="shared" si="543"/>
        <v>0</v>
      </c>
      <c r="W1025" s="338">
        <f t="shared" si="535"/>
        <v>12224694.890000001</v>
      </c>
      <c r="X1025" s="35"/>
    </row>
    <row r="1026" spans="1:24" x14ac:dyDescent="0.25">
      <c r="A1026" s="335">
        <f t="shared" si="547"/>
        <v>44737</v>
      </c>
      <c r="B1026" s="49">
        <f t="shared" si="545"/>
        <v>0</v>
      </c>
      <c r="C1026" s="338">
        <f t="shared" si="526"/>
        <v>118886089</v>
      </c>
      <c r="D1026" s="329">
        <f t="shared" si="546"/>
        <v>0</v>
      </c>
      <c r="E1026" s="338">
        <f t="shared" si="527"/>
        <v>9769566</v>
      </c>
      <c r="F1026" s="329">
        <f t="shared" si="525"/>
        <v>0</v>
      </c>
      <c r="G1026" s="338">
        <f t="shared" si="528"/>
        <v>76400000</v>
      </c>
      <c r="H1026" s="329">
        <f t="shared" si="536"/>
        <v>0</v>
      </c>
      <c r="I1026" s="338">
        <f t="shared" si="529"/>
        <v>44350150</v>
      </c>
      <c r="J1026" s="329">
        <f t="shared" si="537"/>
        <v>0</v>
      </c>
      <c r="K1026" s="338">
        <f t="shared" si="530"/>
        <v>15100000</v>
      </c>
      <c r="L1026" s="329">
        <f t="shared" si="538"/>
        <v>0</v>
      </c>
      <c r="M1026" s="338">
        <f t="shared" si="531"/>
        <v>25332976</v>
      </c>
      <c r="N1026" s="329">
        <f t="shared" si="539"/>
        <v>0</v>
      </c>
      <c r="O1026" s="338">
        <f t="shared" si="532"/>
        <v>14300000</v>
      </c>
      <c r="P1026" s="329">
        <f t="shared" si="540"/>
        <v>0</v>
      </c>
      <c r="Q1026" s="338">
        <f t="shared" si="533"/>
        <v>0</v>
      </c>
      <c r="R1026" s="329">
        <f t="shared" si="541"/>
        <v>0</v>
      </c>
      <c r="S1026" s="338">
        <f t="shared" si="534"/>
        <v>10000000</v>
      </c>
      <c r="T1026" s="329">
        <f t="shared" si="542"/>
        <v>0</v>
      </c>
      <c r="U1026" s="338">
        <f t="shared" si="544"/>
        <v>2200000</v>
      </c>
      <c r="V1026" s="329">
        <f t="shared" si="543"/>
        <v>0</v>
      </c>
      <c r="W1026" s="338">
        <f t="shared" si="535"/>
        <v>12224694.890000001</v>
      </c>
      <c r="X1026" s="35"/>
    </row>
    <row r="1027" spans="1:24" x14ac:dyDescent="0.25">
      <c r="A1027" s="335">
        <f t="shared" si="547"/>
        <v>44738</v>
      </c>
      <c r="B1027" s="49">
        <f t="shared" si="545"/>
        <v>0</v>
      </c>
      <c r="C1027" s="338">
        <f t="shared" si="526"/>
        <v>118886089</v>
      </c>
      <c r="D1027" s="329">
        <f t="shared" si="546"/>
        <v>0</v>
      </c>
      <c r="E1027" s="338">
        <f t="shared" si="527"/>
        <v>9769566</v>
      </c>
      <c r="F1027" s="329">
        <f t="shared" ref="F1027:F1090" si="548">SUMIFS(Usage_Main,CF_Dates,$A1027,CF_Descriptions,"EASTCYPRESS1 Change")</f>
        <v>0</v>
      </c>
      <c r="G1027" s="338">
        <f t="shared" si="528"/>
        <v>76400000</v>
      </c>
      <c r="H1027" s="329">
        <f t="shared" si="536"/>
        <v>0</v>
      </c>
      <c r="I1027" s="338">
        <f t="shared" si="529"/>
        <v>44350150</v>
      </c>
      <c r="J1027" s="329">
        <f t="shared" si="537"/>
        <v>0</v>
      </c>
      <c r="K1027" s="338">
        <f t="shared" si="530"/>
        <v>15100000</v>
      </c>
      <c r="L1027" s="329">
        <f t="shared" si="538"/>
        <v>0</v>
      </c>
      <c r="M1027" s="338">
        <f t="shared" si="531"/>
        <v>25332976</v>
      </c>
      <c r="N1027" s="329">
        <f t="shared" si="539"/>
        <v>0</v>
      </c>
      <c r="O1027" s="338">
        <f t="shared" si="532"/>
        <v>14300000</v>
      </c>
      <c r="P1027" s="329">
        <f t="shared" si="540"/>
        <v>0</v>
      </c>
      <c r="Q1027" s="338">
        <f t="shared" si="533"/>
        <v>0</v>
      </c>
      <c r="R1027" s="329">
        <f t="shared" si="541"/>
        <v>0</v>
      </c>
      <c r="S1027" s="338">
        <f t="shared" si="534"/>
        <v>10000000</v>
      </c>
      <c r="T1027" s="329">
        <f t="shared" si="542"/>
        <v>0</v>
      </c>
      <c r="U1027" s="338">
        <f t="shared" si="544"/>
        <v>2200000</v>
      </c>
      <c r="V1027" s="329">
        <f t="shared" si="543"/>
        <v>0</v>
      </c>
      <c r="W1027" s="338">
        <f t="shared" si="535"/>
        <v>12224694.890000001</v>
      </c>
      <c r="X1027" s="35"/>
    </row>
    <row r="1028" spans="1:24" x14ac:dyDescent="0.25">
      <c r="A1028" s="335">
        <f t="shared" si="547"/>
        <v>44739</v>
      </c>
      <c r="B1028" s="49">
        <f t="shared" si="545"/>
        <v>0</v>
      </c>
      <c r="C1028" s="338">
        <f t="shared" si="526"/>
        <v>118886089</v>
      </c>
      <c r="D1028" s="329">
        <f t="shared" si="546"/>
        <v>0</v>
      </c>
      <c r="E1028" s="338">
        <f t="shared" si="527"/>
        <v>9769566</v>
      </c>
      <c r="F1028" s="329">
        <f t="shared" si="548"/>
        <v>0</v>
      </c>
      <c r="G1028" s="338">
        <f t="shared" si="528"/>
        <v>76400000</v>
      </c>
      <c r="H1028" s="329">
        <f t="shared" si="536"/>
        <v>0</v>
      </c>
      <c r="I1028" s="338">
        <f t="shared" si="529"/>
        <v>44350150</v>
      </c>
      <c r="J1028" s="329">
        <f t="shared" si="537"/>
        <v>0</v>
      </c>
      <c r="K1028" s="338">
        <f t="shared" si="530"/>
        <v>15100000</v>
      </c>
      <c r="L1028" s="329">
        <f t="shared" si="538"/>
        <v>0</v>
      </c>
      <c r="M1028" s="338">
        <f t="shared" si="531"/>
        <v>25332976</v>
      </c>
      <c r="N1028" s="329">
        <f t="shared" si="539"/>
        <v>0</v>
      </c>
      <c r="O1028" s="338">
        <f t="shared" si="532"/>
        <v>14300000</v>
      </c>
      <c r="P1028" s="329">
        <f t="shared" si="540"/>
        <v>0</v>
      </c>
      <c r="Q1028" s="338">
        <f t="shared" si="533"/>
        <v>0</v>
      </c>
      <c r="R1028" s="329">
        <f t="shared" si="541"/>
        <v>0</v>
      </c>
      <c r="S1028" s="338">
        <f t="shared" si="534"/>
        <v>10000000</v>
      </c>
      <c r="T1028" s="329">
        <f t="shared" si="542"/>
        <v>0</v>
      </c>
      <c r="U1028" s="338">
        <f t="shared" si="544"/>
        <v>2200000</v>
      </c>
      <c r="V1028" s="329">
        <f t="shared" si="543"/>
        <v>0</v>
      </c>
      <c r="W1028" s="338">
        <f t="shared" si="535"/>
        <v>12224694.890000001</v>
      </c>
      <c r="X1028" s="35"/>
    </row>
    <row r="1029" spans="1:24" x14ac:dyDescent="0.25">
      <c r="A1029" s="335">
        <f t="shared" si="547"/>
        <v>44740</v>
      </c>
      <c r="B1029" s="49">
        <f t="shared" si="545"/>
        <v>0</v>
      </c>
      <c r="C1029" s="338">
        <f t="shared" si="526"/>
        <v>118886089</v>
      </c>
      <c r="D1029" s="329">
        <f t="shared" si="546"/>
        <v>0</v>
      </c>
      <c r="E1029" s="338">
        <f t="shared" si="527"/>
        <v>9769566</v>
      </c>
      <c r="F1029" s="329">
        <f t="shared" si="548"/>
        <v>0</v>
      </c>
      <c r="G1029" s="338">
        <f t="shared" si="528"/>
        <v>76400000</v>
      </c>
      <c r="H1029" s="329">
        <f t="shared" si="536"/>
        <v>0</v>
      </c>
      <c r="I1029" s="338">
        <f t="shared" si="529"/>
        <v>44350150</v>
      </c>
      <c r="J1029" s="329">
        <f t="shared" si="537"/>
        <v>0</v>
      </c>
      <c r="K1029" s="338">
        <f t="shared" si="530"/>
        <v>15100000</v>
      </c>
      <c r="L1029" s="329">
        <f t="shared" si="538"/>
        <v>0</v>
      </c>
      <c r="M1029" s="338">
        <f t="shared" si="531"/>
        <v>25332976</v>
      </c>
      <c r="N1029" s="329">
        <f t="shared" si="539"/>
        <v>0</v>
      </c>
      <c r="O1029" s="338">
        <f t="shared" si="532"/>
        <v>14300000</v>
      </c>
      <c r="P1029" s="329">
        <f t="shared" si="540"/>
        <v>0</v>
      </c>
      <c r="Q1029" s="338">
        <f t="shared" si="533"/>
        <v>0</v>
      </c>
      <c r="R1029" s="329">
        <f t="shared" si="541"/>
        <v>0</v>
      </c>
      <c r="S1029" s="338">
        <f t="shared" si="534"/>
        <v>10000000</v>
      </c>
      <c r="T1029" s="329">
        <f t="shared" si="542"/>
        <v>0</v>
      </c>
      <c r="U1029" s="338">
        <f t="shared" si="544"/>
        <v>2200000</v>
      </c>
      <c r="V1029" s="329">
        <f t="shared" si="543"/>
        <v>0</v>
      </c>
      <c r="W1029" s="338">
        <f t="shared" si="535"/>
        <v>12224694.890000001</v>
      </c>
      <c r="X1029" s="35"/>
    </row>
    <row r="1030" spans="1:24" x14ac:dyDescent="0.25">
      <c r="A1030" s="335">
        <f t="shared" si="547"/>
        <v>44741</v>
      </c>
      <c r="B1030" s="49">
        <f t="shared" si="545"/>
        <v>0</v>
      </c>
      <c r="C1030" s="338">
        <f t="shared" ref="C1030:C1093" si="549">B1030+C1029</f>
        <v>118886089</v>
      </c>
      <c r="D1030" s="329">
        <f t="shared" si="546"/>
        <v>0</v>
      </c>
      <c r="E1030" s="338">
        <f t="shared" ref="E1030:E1093" si="550">D1030+E1029</f>
        <v>9769566</v>
      </c>
      <c r="F1030" s="329">
        <f t="shared" si="548"/>
        <v>0</v>
      </c>
      <c r="G1030" s="338">
        <f t="shared" ref="G1030:G1093" si="551">F1030+G1029</f>
        <v>76400000</v>
      </c>
      <c r="H1030" s="329">
        <f t="shared" si="536"/>
        <v>0</v>
      </c>
      <c r="I1030" s="338">
        <f t="shared" ref="I1030:I1093" si="552">H1030+I1029</f>
        <v>44350150</v>
      </c>
      <c r="J1030" s="329">
        <f t="shared" si="537"/>
        <v>0</v>
      </c>
      <c r="K1030" s="338">
        <f t="shared" ref="K1030:K1093" si="553">J1030+K1029</f>
        <v>15100000</v>
      </c>
      <c r="L1030" s="329">
        <f t="shared" si="538"/>
        <v>0</v>
      </c>
      <c r="M1030" s="338">
        <f t="shared" ref="M1030:M1093" si="554">L1030+M1029</f>
        <v>25332976</v>
      </c>
      <c r="N1030" s="329">
        <f t="shared" si="539"/>
        <v>0</v>
      </c>
      <c r="O1030" s="338">
        <f t="shared" ref="O1030:O1093" si="555">N1030+O1029</f>
        <v>14300000</v>
      </c>
      <c r="P1030" s="329">
        <f t="shared" si="540"/>
        <v>0</v>
      </c>
      <c r="Q1030" s="338">
        <f t="shared" ref="Q1030:Q1093" si="556">P1030+Q1029</f>
        <v>0</v>
      </c>
      <c r="R1030" s="329">
        <f t="shared" si="541"/>
        <v>0</v>
      </c>
      <c r="S1030" s="338">
        <f t="shared" ref="S1030:S1093" si="557">R1030+S1029</f>
        <v>10000000</v>
      </c>
      <c r="T1030" s="329">
        <f t="shared" si="542"/>
        <v>0</v>
      </c>
      <c r="U1030" s="338">
        <f t="shared" si="544"/>
        <v>2200000</v>
      </c>
      <c r="V1030" s="329">
        <f t="shared" si="543"/>
        <v>0</v>
      </c>
      <c r="W1030" s="338">
        <f t="shared" ref="W1030:W1093" si="558">V1030+W1029</f>
        <v>12224694.890000001</v>
      </c>
      <c r="X1030" s="35"/>
    </row>
    <row r="1031" spans="1:24" x14ac:dyDescent="0.25">
      <c r="A1031" s="335">
        <f t="shared" si="547"/>
        <v>44742</v>
      </c>
      <c r="B1031" s="49">
        <f t="shared" si="545"/>
        <v>0</v>
      </c>
      <c r="C1031" s="338">
        <f t="shared" si="549"/>
        <v>118886089</v>
      </c>
      <c r="D1031" s="329">
        <f t="shared" si="546"/>
        <v>0</v>
      </c>
      <c r="E1031" s="338">
        <f t="shared" si="550"/>
        <v>9769566</v>
      </c>
      <c r="F1031" s="329">
        <f t="shared" si="548"/>
        <v>0</v>
      </c>
      <c r="G1031" s="338">
        <f t="shared" si="551"/>
        <v>76400000</v>
      </c>
      <c r="H1031" s="329">
        <f t="shared" si="536"/>
        <v>0</v>
      </c>
      <c r="I1031" s="338">
        <f t="shared" si="552"/>
        <v>44350150</v>
      </c>
      <c r="J1031" s="329">
        <f t="shared" si="537"/>
        <v>0</v>
      </c>
      <c r="K1031" s="338">
        <f t="shared" si="553"/>
        <v>15100000</v>
      </c>
      <c r="L1031" s="329">
        <f t="shared" si="538"/>
        <v>0</v>
      </c>
      <c r="M1031" s="338">
        <f t="shared" si="554"/>
        <v>25332976</v>
      </c>
      <c r="N1031" s="329">
        <f t="shared" si="539"/>
        <v>0</v>
      </c>
      <c r="O1031" s="338">
        <f t="shared" si="555"/>
        <v>14300000</v>
      </c>
      <c r="P1031" s="329">
        <f t="shared" si="540"/>
        <v>0</v>
      </c>
      <c r="Q1031" s="338">
        <f t="shared" si="556"/>
        <v>0</v>
      </c>
      <c r="R1031" s="329">
        <f t="shared" si="541"/>
        <v>0</v>
      </c>
      <c r="S1031" s="338">
        <f t="shared" si="557"/>
        <v>10000000</v>
      </c>
      <c r="T1031" s="329">
        <f t="shared" si="542"/>
        <v>0</v>
      </c>
      <c r="U1031" s="338">
        <f t="shared" si="544"/>
        <v>2200000</v>
      </c>
      <c r="V1031" s="329">
        <f t="shared" si="543"/>
        <v>0</v>
      </c>
      <c r="W1031" s="338">
        <f t="shared" si="558"/>
        <v>12224694.890000001</v>
      </c>
      <c r="X1031" s="35"/>
    </row>
    <row r="1032" spans="1:24" x14ac:dyDescent="0.25">
      <c r="A1032" s="335">
        <f t="shared" si="547"/>
        <v>44743</v>
      </c>
      <c r="B1032" s="49">
        <f t="shared" si="545"/>
        <v>0</v>
      </c>
      <c r="C1032" s="338">
        <f t="shared" si="549"/>
        <v>118886089</v>
      </c>
      <c r="D1032" s="329">
        <f t="shared" si="546"/>
        <v>0</v>
      </c>
      <c r="E1032" s="338">
        <f t="shared" si="550"/>
        <v>9769566</v>
      </c>
      <c r="F1032" s="329">
        <f t="shared" si="548"/>
        <v>0</v>
      </c>
      <c r="G1032" s="338">
        <f t="shared" si="551"/>
        <v>76400000</v>
      </c>
      <c r="H1032" s="329">
        <f t="shared" si="536"/>
        <v>0</v>
      </c>
      <c r="I1032" s="338">
        <f t="shared" si="552"/>
        <v>44350150</v>
      </c>
      <c r="J1032" s="329">
        <f t="shared" si="537"/>
        <v>0</v>
      </c>
      <c r="K1032" s="338">
        <f t="shared" si="553"/>
        <v>15100000</v>
      </c>
      <c r="L1032" s="329">
        <f t="shared" si="538"/>
        <v>0</v>
      </c>
      <c r="M1032" s="338">
        <f t="shared" si="554"/>
        <v>25332976</v>
      </c>
      <c r="N1032" s="329">
        <f t="shared" si="539"/>
        <v>0</v>
      </c>
      <c r="O1032" s="338">
        <f t="shared" si="555"/>
        <v>14300000</v>
      </c>
      <c r="P1032" s="329">
        <f t="shared" si="540"/>
        <v>0</v>
      </c>
      <c r="Q1032" s="338">
        <f t="shared" si="556"/>
        <v>0</v>
      </c>
      <c r="R1032" s="329">
        <f t="shared" si="541"/>
        <v>0</v>
      </c>
      <c r="S1032" s="338">
        <f t="shared" si="557"/>
        <v>10000000</v>
      </c>
      <c r="T1032" s="329">
        <f t="shared" si="542"/>
        <v>0</v>
      </c>
      <c r="U1032" s="338">
        <f t="shared" si="544"/>
        <v>2200000</v>
      </c>
      <c r="V1032" s="329">
        <f t="shared" si="543"/>
        <v>0</v>
      </c>
      <c r="W1032" s="338">
        <f t="shared" si="558"/>
        <v>12224694.890000001</v>
      </c>
      <c r="X1032" s="35"/>
    </row>
    <row r="1033" spans="1:24" x14ac:dyDescent="0.25">
      <c r="A1033" s="335">
        <f t="shared" si="547"/>
        <v>44744</v>
      </c>
      <c r="B1033" s="49">
        <f t="shared" si="545"/>
        <v>0</v>
      </c>
      <c r="C1033" s="338">
        <f t="shared" si="549"/>
        <v>118886089</v>
      </c>
      <c r="D1033" s="329">
        <f t="shared" si="546"/>
        <v>0</v>
      </c>
      <c r="E1033" s="338">
        <f t="shared" si="550"/>
        <v>9769566</v>
      </c>
      <c r="F1033" s="329">
        <f t="shared" si="548"/>
        <v>0</v>
      </c>
      <c r="G1033" s="338">
        <f t="shared" si="551"/>
        <v>76400000</v>
      </c>
      <c r="H1033" s="329">
        <f t="shared" si="536"/>
        <v>0</v>
      </c>
      <c r="I1033" s="338">
        <f t="shared" si="552"/>
        <v>44350150</v>
      </c>
      <c r="J1033" s="329">
        <f t="shared" si="537"/>
        <v>0</v>
      </c>
      <c r="K1033" s="338">
        <f t="shared" si="553"/>
        <v>15100000</v>
      </c>
      <c r="L1033" s="329">
        <f t="shared" si="538"/>
        <v>0</v>
      </c>
      <c r="M1033" s="338">
        <f t="shared" si="554"/>
        <v>25332976</v>
      </c>
      <c r="N1033" s="329">
        <f t="shared" si="539"/>
        <v>0</v>
      </c>
      <c r="O1033" s="338">
        <f t="shared" si="555"/>
        <v>14300000</v>
      </c>
      <c r="P1033" s="329">
        <f t="shared" si="540"/>
        <v>0</v>
      </c>
      <c r="Q1033" s="338">
        <f t="shared" si="556"/>
        <v>0</v>
      </c>
      <c r="R1033" s="329">
        <f t="shared" si="541"/>
        <v>0</v>
      </c>
      <c r="S1033" s="338">
        <f t="shared" si="557"/>
        <v>10000000</v>
      </c>
      <c r="T1033" s="329">
        <f t="shared" si="542"/>
        <v>0</v>
      </c>
      <c r="U1033" s="338">
        <f t="shared" si="544"/>
        <v>2200000</v>
      </c>
      <c r="V1033" s="329">
        <f t="shared" si="543"/>
        <v>0</v>
      </c>
      <c r="W1033" s="338">
        <f t="shared" si="558"/>
        <v>12224694.890000001</v>
      </c>
      <c r="X1033" s="35"/>
    </row>
    <row r="1034" spans="1:24" x14ac:dyDescent="0.25">
      <c r="A1034" s="335">
        <f t="shared" si="547"/>
        <v>44745</v>
      </c>
      <c r="B1034" s="49">
        <f t="shared" si="545"/>
        <v>0</v>
      </c>
      <c r="C1034" s="338">
        <f t="shared" si="549"/>
        <v>118886089</v>
      </c>
      <c r="D1034" s="329">
        <f t="shared" si="546"/>
        <v>0</v>
      </c>
      <c r="E1034" s="338">
        <f t="shared" si="550"/>
        <v>9769566</v>
      </c>
      <c r="F1034" s="329">
        <f t="shared" si="548"/>
        <v>0</v>
      </c>
      <c r="G1034" s="338">
        <f t="shared" si="551"/>
        <v>76400000</v>
      </c>
      <c r="H1034" s="329">
        <f t="shared" si="536"/>
        <v>0</v>
      </c>
      <c r="I1034" s="338">
        <f t="shared" si="552"/>
        <v>44350150</v>
      </c>
      <c r="J1034" s="329">
        <f t="shared" si="537"/>
        <v>0</v>
      </c>
      <c r="K1034" s="338">
        <f t="shared" si="553"/>
        <v>15100000</v>
      </c>
      <c r="L1034" s="329">
        <f t="shared" si="538"/>
        <v>0</v>
      </c>
      <c r="M1034" s="338">
        <f t="shared" si="554"/>
        <v>25332976</v>
      </c>
      <c r="N1034" s="329">
        <f t="shared" si="539"/>
        <v>0</v>
      </c>
      <c r="O1034" s="338">
        <f t="shared" si="555"/>
        <v>14300000</v>
      </c>
      <c r="P1034" s="329">
        <f t="shared" si="540"/>
        <v>0</v>
      </c>
      <c r="Q1034" s="338">
        <f t="shared" si="556"/>
        <v>0</v>
      </c>
      <c r="R1034" s="329">
        <f t="shared" si="541"/>
        <v>0</v>
      </c>
      <c r="S1034" s="338">
        <f t="shared" si="557"/>
        <v>10000000</v>
      </c>
      <c r="T1034" s="329">
        <f t="shared" si="542"/>
        <v>0</v>
      </c>
      <c r="U1034" s="338">
        <f t="shared" si="544"/>
        <v>2200000</v>
      </c>
      <c r="V1034" s="329">
        <f t="shared" si="543"/>
        <v>0</v>
      </c>
      <c r="W1034" s="338">
        <f t="shared" si="558"/>
        <v>12224694.890000001</v>
      </c>
      <c r="X1034" s="35"/>
    </row>
    <row r="1035" spans="1:24" x14ac:dyDescent="0.25">
      <c r="A1035" s="335">
        <f t="shared" si="547"/>
        <v>44746</v>
      </c>
      <c r="B1035" s="49">
        <f t="shared" si="545"/>
        <v>0</v>
      </c>
      <c r="C1035" s="338">
        <f t="shared" si="549"/>
        <v>118886089</v>
      </c>
      <c r="D1035" s="329">
        <f t="shared" si="546"/>
        <v>0</v>
      </c>
      <c r="E1035" s="338">
        <f t="shared" si="550"/>
        <v>9769566</v>
      </c>
      <c r="F1035" s="329">
        <f t="shared" si="548"/>
        <v>0</v>
      </c>
      <c r="G1035" s="338">
        <f t="shared" si="551"/>
        <v>76400000</v>
      </c>
      <c r="H1035" s="329">
        <f t="shared" si="536"/>
        <v>0</v>
      </c>
      <c r="I1035" s="338">
        <f t="shared" si="552"/>
        <v>44350150</v>
      </c>
      <c r="J1035" s="329">
        <f t="shared" si="537"/>
        <v>0</v>
      </c>
      <c r="K1035" s="338">
        <f t="shared" si="553"/>
        <v>15100000</v>
      </c>
      <c r="L1035" s="329">
        <f t="shared" si="538"/>
        <v>0</v>
      </c>
      <c r="M1035" s="338">
        <f t="shared" si="554"/>
        <v>25332976</v>
      </c>
      <c r="N1035" s="329">
        <f t="shared" si="539"/>
        <v>0</v>
      </c>
      <c r="O1035" s="338">
        <f t="shared" si="555"/>
        <v>14300000</v>
      </c>
      <c r="P1035" s="329">
        <f t="shared" si="540"/>
        <v>0</v>
      </c>
      <c r="Q1035" s="338">
        <f t="shared" si="556"/>
        <v>0</v>
      </c>
      <c r="R1035" s="329">
        <f t="shared" si="541"/>
        <v>0</v>
      </c>
      <c r="S1035" s="338">
        <f t="shared" si="557"/>
        <v>10000000</v>
      </c>
      <c r="T1035" s="329">
        <f t="shared" si="542"/>
        <v>0</v>
      </c>
      <c r="U1035" s="338">
        <f t="shared" si="544"/>
        <v>2200000</v>
      </c>
      <c r="V1035" s="329">
        <f t="shared" si="543"/>
        <v>0</v>
      </c>
      <c r="W1035" s="338">
        <f t="shared" si="558"/>
        <v>12224694.890000001</v>
      </c>
      <c r="X1035" s="35"/>
    </row>
    <row r="1036" spans="1:24" x14ac:dyDescent="0.25">
      <c r="A1036" s="335">
        <f t="shared" si="547"/>
        <v>44747</v>
      </c>
      <c r="B1036" s="49">
        <f t="shared" si="545"/>
        <v>0</v>
      </c>
      <c r="C1036" s="338">
        <f t="shared" si="549"/>
        <v>118886089</v>
      </c>
      <c r="D1036" s="329">
        <f t="shared" si="546"/>
        <v>0</v>
      </c>
      <c r="E1036" s="338">
        <f t="shared" si="550"/>
        <v>9769566</v>
      </c>
      <c r="F1036" s="329">
        <f t="shared" si="548"/>
        <v>0</v>
      </c>
      <c r="G1036" s="338">
        <f t="shared" si="551"/>
        <v>76400000</v>
      </c>
      <c r="H1036" s="329">
        <f t="shared" si="536"/>
        <v>0</v>
      </c>
      <c r="I1036" s="338">
        <f t="shared" si="552"/>
        <v>44350150</v>
      </c>
      <c r="J1036" s="329">
        <f t="shared" si="537"/>
        <v>0</v>
      </c>
      <c r="K1036" s="338">
        <f t="shared" si="553"/>
        <v>15100000</v>
      </c>
      <c r="L1036" s="329">
        <f t="shared" si="538"/>
        <v>0</v>
      </c>
      <c r="M1036" s="338">
        <f t="shared" si="554"/>
        <v>25332976</v>
      </c>
      <c r="N1036" s="329">
        <f t="shared" si="539"/>
        <v>0</v>
      </c>
      <c r="O1036" s="338">
        <f t="shared" si="555"/>
        <v>14300000</v>
      </c>
      <c r="P1036" s="329">
        <f t="shared" si="540"/>
        <v>0</v>
      </c>
      <c r="Q1036" s="338">
        <f t="shared" si="556"/>
        <v>0</v>
      </c>
      <c r="R1036" s="329">
        <f t="shared" si="541"/>
        <v>0</v>
      </c>
      <c r="S1036" s="338">
        <f t="shared" si="557"/>
        <v>10000000</v>
      </c>
      <c r="T1036" s="329">
        <f t="shared" si="542"/>
        <v>0</v>
      </c>
      <c r="U1036" s="338">
        <f t="shared" si="544"/>
        <v>2200000</v>
      </c>
      <c r="V1036" s="329">
        <f t="shared" si="543"/>
        <v>0</v>
      </c>
      <c r="W1036" s="338">
        <f t="shared" si="558"/>
        <v>12224694.890000001</v>
      </c>
      <c r="X1036" s="35"/>
    </row>
    <row r="1037" spans="1:24" x14ac:dyDescent="0.25">
      <c r="A1037" s="335">
        <f t="shared" si="547"/>
        <v>44748</v>
      </c>
      <c r="B1037" s="49">
        <f t="shared" si="545"/>
        <v>0</v>
      </c>
      <c r="C1037" s="338">
        <f t="shared" si="549"/>
        <v>118886089</v>
      </c>
      <c r="D1037" s="329">
        <f t="shared" si="546"/>
        <v>0</v>
      </c>
      <c r="E1037" s="338">
        <f t="shared" si="550"/>
        <v>9769566</v>
      </c>
      <c r="F1037" s="329">
        <f t="shared" si="548"/>
        <v>0</v>
      </c>
      <c r="G1037" s="338">
        <f t="shared" si="551"/>
        <v>76400000</v>
      </c>
      <c r="H1037" s="329">
        <f t="shared" si="536"/>
        <v>0</v>
      </c>
      <c r="I1037" s="338">
        <f t="shared" si="552"/>
        <v>44350150</v>
      </c>
      <c r="J1037" s="329">
        <f t="shared" si="537"/>
        <v>0</v>
      </c>
      <c r="K1037" s="338">
        <f t="shared" si="553"/>
        <v>15100000</v>
      </c>
      <c r="L1037" s="329">
        <f t="shared" si="538"/>
        <v>0</v>
      </c>
      <c r="M1037" s="338">
        <f t="shared" si="554"/>
        <v>25332976</v>
      </c>
      <c r="N1037" s="329">
        <f t="shared" si="539"/>
        <v>0</v>
      </c>
      <c r="O1037" s="338">
        <f t="shared" si="555"/>
        <v>14300000</v>
      </c>
      <c r="P1037" s="329">
        <f t="shared" si="540"/>
        <v>0</v>
      </c>
      <c r="Q1037" s="338">
        <f t="shared" si="556"/>
        <v>0</v>
      </c>
      <c r="R1037" s="329">
        <f t="shared" si="541"/>
        <v>0</v>
      </c>
      <c r="S1037" s="338">
        <f t="shared" si="557"/>
        <v>10000000</v>
      </c>
      <c r="T1037" s="329">
        <f t="shared" si="542"/>
        <v>0</v>
      </c>
      <c r="U1037" s="338">
        <f t="shared" si="544"/>
        <v>2200000</v>
      </c>
      <c r="V1037" s="329">
        <f t="shared" si="543"/>
        <v>0</v>
      </c>
      <c r="W1037" s="338">
        <f t="shared" si="558"/>
        <v>12224694.890000001</v>
      </c>
      <c r="X1037" s="35"/>
    </row>
    <row r="1038" spans="1:24" x14ac:dyDescent="0.25">
      <c r="A1038" s="335">
        <f t="shared" si="547"/>
        <v>44749</v>
      </c>
      <c r="B1038" s="49">
        <f t="shared" si="545"/>
        <v>0</v>
      </c>
      <c r="C1038" s="338">
        <f t="shared" si="549"/>
        <v>118886089</v>
      </c>
      <c r="D1038" s="329">
        <f t="shared" si="546"/>
        <v>0</v>
      </c>
      <c r="E1038" s="338">
        <f t="shared" si="550"/>
        <v>9769566</v>
      </c>
      <c r="F1038" s="329">
        <f t="shared" si="548"/>
        <v>0</v>
      </c>
      <c r="G1038" s="338">
        <f t="shared" si="551"/>
        <v>76400000</v>
      </c>
      <c r="H1038" s="329">
        <f t="shared" si="536"/>
        <v>0</v>
      </c>
      <c r="I1038" s="338">
        <f t="shared" si="552"/>
        <v>44350150</v>
      </c>
      <c r="J1038" s="329">
        <f t="shared" si="537"/>
        <v>0</v>
      </c>
      <c r="K1038" s="338">
        <f t="shared" si="553"/>
        <v>15100000</v>
      </c>
      <c r="L1038" s="329">
        <f t="shared" si="538"/>
        <v>0</v>
      </c>
      <c r="M1038" s="338">
        <f t="shared" si="554"/>
        <v>25332976</v>
      </c>
      <c r="N1038" s="329">
        <f t="shared" si="539"/>
        <v>0</v>
      </c>
      <c r="O1038" s="338">
        <f t="shared" si="555"/>
        <v>14300000</v>
      </c>
      <c r="P1038" s="329">
        <f t="shared" si="540"/>
        <v>0</v>
      </c>
      <c r="Q1038" s="338">
        <f t="shared" si="556"/>
        <v>0</v>
      </c>
      <c r="R1038" s="329">
        <f t="shared" si="541"/>
        <v>0</v>
      </c>
      <c r="S1038" s="338">
        <f t="shared" si="557"/>
        <v>10000000</v>
      </c>
      <c r="T1038" s="329">
        <f t="shared" si="542"/>
        <v>0</v>
      </c>
      <c r="U1038" s="338">
        <f t="shared" si="544"/>
        <v>2200000</v>
      </c>
      <c r="V1038" s="329">
        <f t="shared" si="543"/>
        <v>0</v>
      </c>
      <c r="W1038" s="338">
        <f t="shared" si="558"/>
        <v>12224694.890000001</v>
      </c>
      <c r="X1038" s="35"/>
    </row>
    <row r="1039" spans="1:24" x14ac:dyDescent="0.25">
      <c r="A1039" s="335">
        <f t="shared" si="547"/>
        <v>44750</v>
      </c>
      <c r="B1039" s="49">
        <f t="shared" si="545"/>
        <v>0</v>
      </c>
      <c r="C1039" s="338">
        <f t="shared" si="549"/>
        <v>118886089</v>
      </c>
      <c r="D1039" s="329">
        <f t="shared" si="546"/>
        <v>0</v>
      </c>
      <c r="E1039" s="338">
        <f t="shared" si="550"/>
        <v>9769566</v>
      </c>
      <c r="F1039" s="329">
        <f t="shared" si="548"/>
        <v>0</v>
      </c>
      <c r="G1039" s="338">
        <f t="shared" si="551"/>
        <v>76400000</v>
      </c>
      <c r="H1039" s="329">
        <f t="shared" si="536"/>
        <v>0</v>
      </c>
      <c r="I1039" s="338">
        <f t="shared" si="552"/>
        <v>44350150</v>
      </c>
      <c r="J1039" s="329">
        <f t="shared" si="537"/>
        <v>0</v>
      </c>
      <c r="K1039" s="338">
        <f t="shared" si="553"/>
        <v>15100000</v>
      </c>
      <c r="L1039" s="329">
        <f t="shared" si="538"/>
        <v>0</v>
      </c>
      <c r="M1039" s="338">
        <f t="shared" si="554"/>
        <v>25332976</v>
      </c>
      <c r="N1039" s="329">
        <f t="shared" si="539"/>
        <v>0</v>
      </c>
      <c r="O1039" s="338">
        <f t="shared" si="555"/>
        <v>14300000</v>
      </c>
      <c r="P1039" s="329">
        <f t="shared" si="540"/>
        <v>0</v>
      </c>
      <c r="Q1039" s="338">
        <f t="shared" si="556"/>
        <v>0</v>
      </c>
      <c r="R1039" s="329">
        <f t="shared" si="541"/>
        <v>0</v>
      </c>
      <c r="S1039" s="338">
        <f t="shared" si="557"/>
        <v>10000000</v>
      </c>
      <c r="T1039" s="329">
        <f t="shared" si="542"/>
        <v>0</v>
      </c>
      <c r="U1039" s="338">
        <f t="shared" si="544"/>
        <v>2200000</v>
      </c>
      <c r="V1039" s="329">
        <f t="shared" si="543"/>
        <v>0</v>
      </c>
      <c r="W1039" s="338">
        <f t="shared" si="558"/>
        <v>12224694.890000001</v>
      </c>
      <c r="X1039" s="35"/>
    </row>
    <row r="1040" spans="1:24" x14ac:dyDescent="0.25">
      <c r="A1040" s="335">
        <f t="shared" si="547"/>
        <v>44751</v>
      </c>
      <c r="B1040" s="49">
        <f t="shared" si="545"/>
        <v>0</v>
      </c>
      <c r="C1040" s="338">
        <f t="shared" si="549"/>
        <v>118886089</v>
      </c>
      <c r="D1040" s="329">
        <f t="shared" si="546"/>
        <v>0</v>
      </c>
      <c r="E1040" s="338">
        <f t="shared" si="550"/>
        <v>9769566</v>
      </c>
      <c r="F1040" s="329">
        <f t="shared" si="548"/>
        <v>0</v>
      </c>
      <c r="G1040" s="338">
        <f t="shared" si="551"/>
        <v>76400000</v>
      </c>
      <c r="H1040" s="329">
        <f t="shared" si="536"/>
        <v>0</v>
      </c>
      <c r="I1040" s="338">
        <f t="shared" si="552"/>
        <v>44350150</v>
      </c>
      <c r="J1040" s="329">
        <f t="shared" si="537"/>
        <v>0</v>
      </c>
      <c r="K1040" s="338">
        <f t="shared" si="553"/>
        <v>15100000</v>
      </c>
      <c r="L1040" s="329">
        <f t="shared" si="538"/>
        <v>0</v>
      </c>
      <c r="M1040" s="338">
        <f t="shared" si="554"/>
        <v>25332976</v>
      </c>
      <c r="N1040" s="329">
        <f t="shared" si="539"/>
        <v>0</v>
      </c>
      <c r="O1040" s="338">
        <f t="shared" si="555"/>
        <v>14300000</v>
      </c>
      <c r="P1040" s="329">
        <f t="shared" si="540"/>
        <v>0</v>
      </c>
      <c r="Q1040" s="338">
        <f t="shared" si="556"/>
        <v>0</v>
      </c>
      <c r="R1040" s="329">
        <f t="shared" si="541"/>
        <v>0</v>
      </c>
      <c r="S1040" s="338">
        <f t="shared" si="557"/>
        <v>10000000</v>
      </c>
      <c r="T1040" s="329">
        <f t="shared" si="542"/>
        <v>0</v>
      </c>
      <c r="U1040" s="338">
        <f t="shared" si="544"/>
        <v>2200000</v>
      </c>
      <c r="V1040" s="329">
        <f t="shared" si="543"/>
        <v>0</v>
      </c>
      <c r="W1040" s="338">
        <f t="shared" si="558"/>
        <v>12224694.890000001</v>
      </c>
      <c r="X1040" s="35"/>
    </row>
    <row r="1041" spans="1:24" x14ac:dyDescent="0.25">
      <c r="A1041" s="335">
        <f t="shared" si="547"/>
        <v>44752</v>
      </c>
      <c r="B1041" s="49">
        <f t="shared" si="545"/>
        <v>0</v>
      </c>
      <c r="C1041" s="338">
        <f t="shared" si="549"/>
        <v>118886089</v>
      </c>
      <c r="D1041" s="329">
        <f t="shared" si="546"/>
        <v>0</v>
      </c>
      <c r="E1041" s="338">
        <f t="shared" si="550"/>
        <v>9769566</v>
      </c>
      <c r="F1041" s="329">
        <f t="shared" si="548"/>
        <v>0</v>
      </c>
      <c r="G1041" s="338">
        <f t="shared" si="551"/>
        <v>76400000</v>
      </c>
      <c r="H1041" s="329">
        <f t="shared" si="536"/>
        <v>0</v>
      </c>
      <c r="I1041" s="338">
        <f t="shared" si="552"/>
        <v>44350150</v>
      </c>
      <c r="J1041" s="329">
        <f t="shared" si="537"/>
        <v>0</v>
      </c>
      <c r="K1041" s="338">
        <f t="shared" si="553"/>
        <v>15100000</v>
      </c>
      <c r="L1041" s="329">
        <f t="shared" si="538"/>
        <v>0</v>
      </c>
      <c r="M1041" s="338">
        <f t="shared" si="554"/>
        <v>25332976</v>
      </c>
      <c r="N1041" s="329">
        <f t="shared" si="539"/>
        <v>0</v>
      </c>
      <c r="O1041" s="338">
        <f t="shared" si="555"/>
        <v>14300000</v>
      </c>
      <c r="P1041" s="329">
        <f t="shared" si="540"/>
        <v>0</v>
      </c>
      <c r="Q1041" s="338">
        <f t="shared" si="556"/>
        <v>0</v>
      </c>
      <c r="R1041" s="329">
        <f t="shared" si="541"/>
        <v>0</v>
      </c>
      <c r="S1041" s="338">
        <f t="shared" si="557"/>
        <v>10000000</v>
      </c>
      <c r="T1041" s="329">
        <f t="shared" si="542"/>
        <v>0</v>
      </c>
      <c r="U1041" s="338">
        <f t="shared" si="544"/>
        <v>2200000</v>
      </c>
      <c r="V1041" s="329">
        <f t="shared" si="543"/>
        <v>0</v>
      </c>
      <c r="W1041" s="338">
        <f t="shared" si="558"/>
        <v>12224694.890000001</v>
      </c>
      <c r="X1041" s="35"/>
    </row>
    <row r="1042" spans="1:24" x14ac:dyDescent="0.25">
      <c r="A1042" s="335">
        <f t="shared" si="547"/>
        <v>44753</v>
      </c>
      <c r="B1042" s="49">
        <f t="shared" si="545"/>
        <v>0</v>
      </c>
      <c r="C1042" s="338">
        <f t="shared" si="549"/>
        <v>118886089</v>
      </c>
      <c r="D1042" s="329">
        <f t="shared" si="546"/>
        <v>0</v>
      </c>
      <c r="E1042" s="338">
        <f t="shared" si="550"/>
        <v>9769566</v>
      </c>
      <c r="F1042" s="329">
        <f t="shared" si="548"/>
        <v>0</v>
      </c>
      <c r="G1042" s="338">
        <f t="shared" si="551"/>
        <v>76400000</v>
      </c>
      <c r="H1042" s="329">
        <f t="shared" si="536"/>
        <v>0</v>
      </c>
      <c r="I1042" s="338">
        <f t="shared" si="552"/>
        <v>44350150</v>
      </c>
      <c r="J1042" s="329">
        <f t="shared" si="537"/>
        <v>0</v>
      </c>
      <c r="K1042" s="338">
        <f t="shared" si="553"/>
        <v>15100000</v>
      </c>
      <c r="L1042" s="329">
        <f t="shared" si="538"/>
        <v>0</v>
      </c>
      <c r="M1042" s="338">
        <f t="shared" si="554"/>
        <v>25332976</v>
      </c>
      <c r="N1042" s="329">
        <f t="shared" si="539"/>
        <v>0</v>
      </c>
      <c r="O1042" s="338">
        <f t="shared" si="555"/>
        <v>14300000</v>
      </c>
      <c r="P1042" s="329">
        <f t="shared" si="540"/>
        <v>0</v>
      </c>
      <c r="Q1042" s="338">
        <f t="shared" si="556"/>
        <v>0</v>
      </c>
      <c r="R1042" s="329">
        <f t="shared" si="541"/>
        <v>0</v>
      </c>
      <c r="S1042" s="338">
        <f t="shared" si="557"/>
        <v>10000000</v>
      </c>
      <c r="T1042" s="329">
        <f t="shared" si="542"/>
        <v>0</v>
      </c>
      <c r="U1042" s="338">
        <f t="shared" si="544"/>
        <v>2200000</v>
      </c>
      <c r="V1042" s="329">
        <f t="shared" si="543"/>
        <v>0</v>
      </c>
      <c r="W1042" s="338">
        <f t="shared" si="558"/>
        <v>12224694.890000001</v>
      </c>
      <c r="X1042" s="35"/>
    </row>
    <row r="1043" spans="1:24" x14ac:dyDescent="0.25">
      <c r="A1043" s="335">
        <f t="shared" si="547"/>
        <v>44754</v>
      </c>
      <c r="B1043" s="49">
        <f t="shared" si="545"/>
        <v>0</v>
      </c>
      <c r="C1043" s="338">
        <f t="shared" si="549"/>
        <v>118886089</v>
      </c>
      <c r="D1043" s="329">
        <f t="shared" si="546"/>
        <v>0</v>
      </c>
      <c r="E1043" s="338">
        <f t="shared" si="550"/>
        <v>9769566</v>
      </c>
      <c r="F1043" s="329">
        <f t="shared" si="548"/>
        <v>0</v>
      </c>
      <c r="G1043" s="338">
        <f t="shared" si="551"/>
        <v>76400000</v>
      </c>
      <c r="H1043" s="329">
        <f t="shared" si="536"/>
        <v>0</v>
      </c>
      <c r="I1043" s="338">
        <f t="shared" si="552"/>
        <v>44350150</v>
      </c>
      <c r="J1043" s="329">
        <f t="shared" si="537"/>
        <v>0</v>
      </c>
      <c r="K1043" s="338">
        <f t="shared" si="553"/>
        <v>15100000</v>
      </c>
      <c r="L1043" s="329">
        <f t="shared" si="538"/>
        <v>0</v>
      </c>
      <c r="M1043" s="338">
        <f t="shared" si="554"/>
        <v>25332976</v>
      </c>
      <c r="N1043" s="329">
        <f t="shared" si="539"/>
        <v>0</v>
      </c>
      <c r="O1043" s="338">
        <f t="shared" si="555"/>
        <v>14300000</v>
      </c>
      <c r="P1043" s="329">
        <f t="shared" si="540"/>
        <v>0</v>
      </c>
      <c r="Q1043" s="338">
        <f t="shared" si="556"/>
        <v>0</v>
      </c>
      <c r="R1043" s="329">
        <f t="shared" si="541"/>
        <v>0</v>
      </c>
      <c r="S1043" s="338">
        <f t="shared" si="557"/>
        <v>10000000</v>
      </c>
      <c r="T1043" s="329">
        <f t="shared" si="542"/>
        <v>0</v>
      </c>
      <c r="U1043" s="338">
        <f t="shared" si="544"/>
        <v>2200000</v>
      </c>
      <c r="V1043" s="329">
        <f t="shared" si="543"/>
        <v>0</v>
      </c>
      <c r="W1043" s="338">
        <f t="shared" si="558"/>
        <v>12224694.890000001</v>
      </c>
      <c r="X1043" s="35"/>
    </row>
    <row r="1044" spans="1:24" x14ac:dyDescent="0.25">
      <c r="A1044" s="335">
        <f t="shared" si="547"/>
        <v>44755</v>
      </c>
      <c r="B1044" s="49">
        <f t="shared" si="545"/>
        <v>0</v>
      </c>
      <c r="C1044" s="338">
        <f t="shared" si="549"/>
        <v>118886089</v>
      </c>
      <c r="D1044" s="329">
        <f t="shared" si="546"/>
        <v>0</v>
      </c>
      <c r="E1044" s="338">
        <f t="shared" si="550"/>
        <v>9769566</v>
      </c>
      <c r="F1044" s="329">
        <f t="shared" si="548"/>
        <v>0</v>
      </c>
      <c r="G1044" s="338">
        <f t="shared" si="551"/>
        <v>76400000</v>
      </c>
      <c r="H1044" s="329">
        <f t="shared" si="536"/>
        <v>0</v>
      </c>
      <c r="I1044" s="338">
        <f t="shared" si="552"/>
        <v>44350150</v>
      </c>
      <c r="J1044" s="329">
        <f t="shared" si="537"/>
        <v>0</v>
      </c>
      <c r="K1044" s="338">
        <f t="shared" si="553"/>
        <v>15100000</v>
      </c>
      <c r="L1044" s="329">
        <f t="shared" si="538"/>
        <v>0</v>
      </c>
      <c r="M1044" s="338">
        <f t="shared" si="554"/>
        <v>25332976</v>
      </c>
      <c r="N1044" s="329">
        <f t="shared" si="539"/>
        <v>0</v>
      </c>
      <c r="O1044" s="338">
        <f t="shared" si="555"/>
        <v>14300000</v>
      </c>
      <c r="P1044" s="329">
        <f t="shared" si="540"/>
        <v>0</v>
      </c>
      <c r="Q1044" s="338">
        <f t="shared" si="556"/>
        <v>0</v>
      </c>
      <c r="R1044" s="329">
        <f t="shared" si="541"/>
        <v>0</v>
      </c>
      <c r="S1044" s="338">
        <f t="shared" si="557"/>
        <v>10000000</v>
      </c>
      <c r="T1044" s="329">
        <f t="shared" si="542"/>
        <v>0</v>
      </c>
      <c r="U1044" s="338">
        <f t="shared" si="544"/>
        <v>2200000</v>
      </c>
      <c r="V1044" s="329">
        <f t="shared" si="543"/>
        <v>0</v>
      </c>
      <c r="W1044" s="338">
        <f t="shared" si="558"/>
        <v>12224694.890000001</v>
      </c>
      <c r="X1044" s="35"/>
    </row>
    <row r="1045" spans="1:24" x14ac:dyDescent="0.25">
      <c r="A1045" s="335">
        <f t="shared" si="547"/>
        <v>44756</v>
      </c>
      <c r="B1045" s="49">
        <f t="shared" si="545"/>
        <v>0</v>
      </c>
      <c r="C1045" s="338">
        <f t="shared" si="549"/>
        <v>118886089</v>
      </c>
      <c r="D1045" s="329">
        <f t="shared" si="546"/>
        <v>0</v>
      </c>
      <c r="E1045" s="338">
        <f t="shared" si="550"/>
        <v>9769566</v>
      </c>
      <c r="F1045" s="329">
        <f t="shared" si="548"/>
        <v>0</v>
      </c>
      <c r="G1045" s="338">
        <f t="shared" si="551"/>
        <v>76400000</v>
      </c>
      <c r="H1045" s="329">
        <f t="shared" si="536"/>
        <v>0</v>
      </c>
      <c r="I1045" s="338">
        <f t="shared" si="552"/>
        <v>44350150</v>
      </c>
      <c r="J1045" s="329">
        <f t="shared" si="537"/>
        <v>0</v>
      </c>
      <c r="K1045" s="338">
        <f t="shared" si="553"/>
        <v>15100000</v>
      </c>
      <c r="L1045" s="329">
        <f t="shared" si="538"/>
        <v>0</v>
      </c>
      <c r="M1045" s="338">
        <f t="shared" si="554"/>
        <v>25332976</v>
      </c>
      <c r="N1045" s="329">
        <f t="shared" si="539"/>
        <v>0</v>
      </c>
      <c r="O1045" s="338">
        <f t="shared" si="555"/>
        <v>14300000</v>
      </c>
      <c r="P1045" s="329">
        <f t="shared" si="540"/>
        <v>0</v>
      </c>
      <c r="Q1045" s="338">
        <f t="shared" si="556"/>
        <v>0</v>
      </c>
      <c r="R1045" s="329">
        <f t="shared" si="541"/>
        <v>0</v>
      </c>
      <c r="S1045" s="338">
        <f t="shared" si="557"/>
        <v>10000000</v>
      </c>
      <c r="T1045" s="329">
        <f t="shared" si="542"/>
        <v>0</v>
      </c>
      <c r="U1045" s="338">
        <f t="shared" si="544"/>
        <v>2200000</v>
      </c>
      <c r="V1045" s="329">
        <f t="shared" si="543"/>
        <v>0</v>
      </c>
      <c r="W1045" s="338">
        <f t="shared" si="558"/>
        <v>12224694.890000001</v>
      </c>
      <c r="X1045" s="35"/>
    </row>
    <row r="1046" spans="1:24" x14ac:dyDescent="0.25">
      <c r="A1046" s="335">
        <f t="shared" si="547"/>
        <v>44757</v>
      </c>
      <c r="B1046" s="49">
        <f t="shared" si="545"/>
        <v>0</v>
      </c>
      <c r="C1046" s="338">
        <f t="shared" si="549"/>
        <v>118886089</v>
      </c>
      <c r="D1046" s="329">
        <f t="shared" si="546"/>
        <v>0</v>
      </c>
      <c r="E1046" s="338">
        <f t="shared" si="550"/>
        <v>9769566</v>
      </c>
      <c r="F1046" s="329">
        <f t="shared" si="548"/>
        <v>0</v>
      </c>
      <c r="G1046" s="338">
        <f t="shared" si="551"/>
        <v>76400000</v>
      </c>
      <c r="H1046" s="329">
        <f t="shared" si="536"/>
        <v>0</v>
      </c>
      <c r="I1046" s="338">
        <f t="shared" si="552"/>
        <v>44350150</v>
      </c>
      <c r="J1046" s="329">
        <f t="shared" si="537"/>
        <v>0</v>
      </c>
      <c r="K1046" s="338">
        <f t="shared" si="553"/>
        <v>15100000</v>
      </c>
      <c r="L1046" s="329">
        <f t="shared" si="538"/>
        <v>0</v>
      </c>
      <c r="M1046" s="338">
        <f t="shared" si="554"/>
        <v>25332976</v>
      </c>
      <c r="N1046" s="329">
        <f t="shared" si="539"/>
        <v>0</v>
      </c>
      <c r="O1046" s="338">
        <f t="shared" si="555"/>
        <v>14300000</v>
      </c>
      <c r="P1046" s="329">
        <f t="shared" si="540"/>
        <v>0</v>
      </c>
      <c r="Q1046" s="338">
        <f t="shared" si="556"/>
        <v>0</v>
      </c>
      <c r="R1046" s="329">
        <f t="shared" si="541"/>
        <v>0</v>
      </c>
      <c r="S1046" s="338">
        <f t="shared" si="557"/>
        <v>10000000</v>
      </c>
      <c r="T1046" s="329">
        <f t="shared" si="542"/>
        <v>0</v>
      </c>
      <c r="U1046" s="338">
        <f t="shared" si="544"/>
        <v>2200000</v>
      </c>
      <c r="V1046" s="329">
        <f t="shared" si="543"/>
        <v>0</v>
      </c>
      <c r="W1046" s="338">
        <f t="shared" si="558"/>
        <v>12224694.890000001</v>
      </c>
      <c r="X1046" s="35"/>
    </row>
    <row r="1047" spans="1:24" x14ac:dyDescent="0.25">
      <c r="A1047" s="335">
        <f t="shared" si="547"/>
        <v>44758</v>
      </c>
      <c r="B1047" s="49">
        <f t="shared" si="545"/>
        <v>0</v>
      </c>
      <c r="C1047" s="338">
        <f t="shared" si="549"/>
        <v>118886089</v>
      </c>
      <c r="D1047" s="329">
        <f t="shared" si="546"/>
        <v>0</v>
      </c>
      <c r="E1047" s="338">
        <f t="shared" si="550"/>
        <v>9769566</v>
      </c>
      <c r="F1047" s="329">
        <f t="shared" si="548"/>
        <v>0</v>
      </c>
      <c r="G1047" s="338">
        <f t="shared" si="551"/>
        <v>76400000</v>
      </c>
      <c r="H1047" s="329">
        <f t="shared" si="536"/>
        <v>0</v>
      </c>
      <c r="I1047" s="338">
        <f t="shared" si="552"/>
        <v>44350150</v>
      </c>
      <c r="J1047" s="329">
        <f t="shared" si="537"/>
        <v>0</v>
      </c>
      <c r="K1047" s="338">
        <f t="shared" si="553"/>
        <v>15100000</v>
      </c>
      <c r="L1047" s="329">
        <f t="shared" si="538"/>
        <v>0</v>
      </c>
      <c r="M1047" s="338">
        <f t="shared" si="554"/>
        <v>25332976</v>
      </c>
      <c r="N1047" s="329">
        <f t="shared" si="539"/>
        <v>0</v>
      </c>
      <c r="O1047" s="338">
        <f t="shared" si="555"/>
        <v>14300000</v>
      </c>
      <c r="P1047" s="329">
        <f t="shared" si="540"/>
        <v>0</v>
      </c>
      <c r="Q1047" s="338">
        <f t="shared" si="556"/>
        <v>0</v>
      </c>
      <c r="R1047" s="329">
        <f t="shared" si="541"/>
        <v>0</v>
      </c>
      <c r="S1047" s="338">
        <f t="shared" si="557"/>
        <v>10000000</v>
      </c>
      <c r="T1047" s="329">
        <f t="shared" si="542"/>
        <v>0</v>
      </c>
      <c r="U1047" s="338">
        <f t="shared" si="544"/>
        <v>2200000</v>
      </c>
      <c r="V1047" s="329">
        <f t="shared" si="543"/>
        <v>0</v>
      </c>
      <c r="W1047" s="338">
        <f t="shared" si="558"/>
        <v>12224694.890000001</v>
      </c>
      <c r="X1047" s="35"/>
    </row>
    <row r="1048" spans="1:24" x14ac:dyDescent="0.25">
      <c r="A1048" s="335">
        <f t="shared" si="547"/>
        <v>44759</v>
      </c>
      <c r="B1048" s="49">
        <f t="shared" si="545"/>
        <v>0</v>
      </c>
      <c r="C1048" s="338">
        <f t="shared" si="549"/>
        <v>118886089</v>
      </c>
      <c r="D1048" s="329">
        <f t="shared" si="546"/>
        <v>0</v>
      </c>
      <c r="E1048" s="338">
        <f t="shared" si="550"/>
        <v>9769566</v>
      </c>
      <c r="F1048" s="329">
        <f t="shared" si="548"/>
        <v>0</v>
      </c>
      <c r="G1048" s="338">
        <f t="shared" si="551"/>
        <v>76400000</v>
      </c>
      <c r="H1048" s="329">
        <f t="shared" si="536"/>
        <v>0</v>
      </c>
      <c r="I1048" s="338">
        <f t="shared" si="552"/>
        <v>44350150</v>
      </c>
      <c r="J1048" s="329">
        <f t="shared" si="537"/>
        <v>0</v>
      </c>
      <c r="K1048" s="338">
        <f t="shared" si="553"/>
        <v>15100000</v>
      </c>
      <c r="L1048" s="329">
        <f t="shared" si="538"/>
        <v>0</v>
      </c>
      <c r="M1048" s="338">
        <f t="shared" si="554"/>
        <v>25332976</v>
      </c>
      <c r="N1048" s="329">
        <f t="shared" si="539"/>
        <v>0</v>
      </c>
      <c r="O1048" s="338">
        <f t="shared" si="555"/>
        <v>14300000</v>
      </c>
      <c r="P1048" s="329">
        <f t="shared" si="540"/>
        <v>0</v>
      </c>
      <c r="Q1048" s="338">
        <f t="shared" si="556"/>
        <v>0</v>
      </c>
      <c r="R1048" s="329">
        <f t="shared" si="541"/>
        <v>0</v>
      </c>
      <c r="S1048" s="338">
        <f t="shared" si="557"/>
        <v>10000000</v>
      </c>
      <c r="T1048" s="329">
        <f t="shared" si="542"/>
        <v>0</v>
      </c>
      <c r="U1048" s="338">
        <f t="shared" si="544"/>
        <v>2200000</v>
      </c>
      <c r="V1048" s="329">
        <f t="shared" si="543"/>
        <v>0</v>
      </c>
      <c r="W1048" s="338">
        <f t="shared" si="558"/>
        <v>12224694.890000001</v>
      </c>
      <c r="X1048" s="35"/>
    </row>
    <row r="1049" spans="1:24" x14ac:dyDescent="0.25">
      <c r="A1049" s="335">
        <f t="shared" si="547"/>
        <v>44760</v>
      </c>
      <c r="B1049" s="49">
        <f t="shared" si="545"/>
        <v>0</v>
      </c>
      <c r="C1049" s="338">
        <f t="shared" si="549"/>
        <v>118886089</v>
      </c>
      <c r="D1049" s="329">
        <f t="shared" si="546"/>
        <v>0</v>
      </c>
      <c r="E1049" s="338">
        <f t="shared" si="550"/>
        <v>9769566</v>
      </c>
      <c r="F1049" s="329">
        <f t="shared" si="548"/>
        <v>0</v>
      </c>
      <c r="G1049" s="338">
        <f t="shared" si="551"/>
        <v>76400000</v>
      </c>
      <c r="H1049" s="329">
        <f t="shared" si="536"/>
        <v>0</v>
      </c>
      <c r="I1049" s="338">
        <f t="shared" si="552"/>
        <v>44350150</v>
      </c>
      <c r="J1049" s="329">
        <f t="shared" si="537"/>
        <v>0</v>
      </c>
      <c r="K1049" s="338">
        <f t="shared" si="553"/>
        <v>15100000</v>
      </c>
      <c r="L1049" s="329">
        <f t="shared" si="538"/>
        <v>0</v>
      </c>
      <c r="M1049" s="338">
        <f t="shared" si="554"/>
        <v>25332976</v>
      </c>
      <c r="N1049" s="329">
        <f t="shared" si="539"/>
        <v>0</v>
      </c>
      <c r="O1049" s="338">
        <f t="shared" si="555"/>
        <v>14300000</v>
      </c>
      <c r="P1049" s="329">
        <f t="shared" si="540"/>
        <v>0</v>
      </c>
      <c r="Q1049" s="338">
        <f t="shared" si="556"/>
        <v>0</v>
      </c>
      <c r="R1049" s="329">
        <f t="shared" si="541"/>
        <v>0</v>
      </c>
      <c r="S1049" s="338">
        <f t="shared" si="557"/>
        <v>10000000</v>
      </c>
      <c r="T1049" s="329">
        <f t="shared" si="542"/>
        <v>0</v>
      </c>
      <c r="U1049" s="338">
        <f t="shared" si="544"/>
        <v>2200000</v>
      </c>
      <c r="V1049" s="329">
        <f t="shared" si="543"/>
        <v>0</v>
      </c>
      <c r="W1049" s="338">
        <f t="shared" si="558"/>
        <v>12224694.890000001</v>
      </c>
      <c r="X1049" s="35"/>
    </row>
    <row r="1050" spans="1:24" x14ac:dyDescent="0.25">
      <c r="A1050" s="335">
        <f t="shared" si="547"/>
        <v>44761</v>
      </c>
      <c r="B1050" s="49">
        <f t="shared" si="545"/>
        <v>0</v>
      </c>
      <c r="C1050" s="338">
        <f t="shared" si="549"/>
        <v>118886089</v>
      </c>
      <c r="D1050" s="329">
        <f t="shared" si="546"/>
        <v>0</v>
      </c>
      <c r="E1050" s="338">
        <f t="shared" si="550"/>
        <v>9769566</v>
      </c>
      <c r="F1050" s="329">
        <f t="shared" si="548"/>
        <v>0</v>
      </c>
      <c r="G1050" s="338">
        <f t="shared" si="551"/>
        <v>76400000</v>
      </c>
      <c r="H1050" s="329">
        <f t="shared" si="536"/>
        <v>0</v>
      </c>
      <c r="I1050" s="338">
        <f t="shared" si="552"/>
        <v>44350150</v>
      </c>
      <c r="J1050" s="329">
        <f t="shared" si="537"/>
        <v>0</v>
      </c>
      <c r="K1050" s="338">
        <f t="shared" si="553"/>
        <v>15100000</v>
      </c>
      <c r="L1050" s="329">
        <f t="shared" si="538"/>
        <v>0</v>
      </c>
      <c r="M1050" s="338">
        <f t="shared" si="554"/>
        <v>25332976</v>
      </c>
      <c r="N1050" s="329">
        <f t="shared" si="539"/>
        <v>0</v>
      </c>
      <c r="O1050" s="338">
        <f t="shared" si="555"/>
        <v>14300000</v>
      </c>
      <c r="P1050" s="329">
        <f t="shared" si="540"/>
        <v>0</v>
      </c>
      <c r="Q1050" s="338">
        <f t="shared" si="556"/>
        <v>0</v>
      </c>
      <c r="R1050" s="329">
        <f t="shared" si="541"/>
        <v>0</v>
      </c>
      <c r="S1050" s="338">
        <f t="shared" si="557"/>
        <v>10000000</v>
      </c>
      <c r="T1050" s="329">
        <f t="shared" si="542"/>
        <v>0</v>
      </c>
      <c r="U1050" s="338">
        <f t="shared" si="544"/>
        <v>2200000</v>
      </c>
      <c r="V1050" s="329">
        <f t="shared" si="543"/>
        <v>0</v>
      </c>
      <c r="W1050" s="338">
        <f t="shared" si="558"/>
        <v>12224694.890000001</v>
      </c>
      <c r="X1050" s="35"/>
    </row>
    <row r="1051" spans="1:24" x14ac:dyDescent="0.25">
      <c r="A1051" s="335">
        <f t="shared" si="547"/>
        <v>44762</v>
      </c>
      <c r="B1051" s="49">
        <f t="shared" si="545"/>
        <v>0</v>
      </c>
      <c r="C1051" s="338">
        <f t="shared" si="549"/>
        <v>118886089</v>
      </c>
      <c r="D1051" s="329">
        <f t="shared" si="546"/>
        <v>0</v>
      </c>
      <c r="E1051" s="338">
        <f t="shared" si="550"/>
        <v>9769566</v>
      </c>
      <c r="F1051" s="329">
        <f t="shared" si="548"/>
        <v>0</v>
      </c>
      <c r="G1051" s="338">
        <f t="shared" si="551"/>
        <v>76400000</v>
      </c>
      <c r="H1051" s="329">
        <f t="shared" si="536"/>
        <v>0</v>
      </c>
      <c r="I1051" s="338">
        <f t="shared" si="552"/>
        <v>44350150</v>
      </c>
      <c r="J1051" s="329">
        <f t="shared" si="537"/>
        <v>0</v>
      </c>
      <c r="K1051" s="338">
        <f t="shared" si="553"/>
        <v>15100000</v>
      </c>
      <c r="L1051" s="329">
        <f t="shared" si="538"/>
        <v>0</v>
      </c>
      <c r="M1051" s="338">
        <f t="shared" si="554"/>
        <v>25332976</v>
      </c>
      <c r="N1051" s="329">
        <f t="shared" si="539"/>
        <v>0</v>
      </c>
      <c r="O1051" s="338">
        <f t="shared" si="555"/>
        <v>14300000</v>
      </c>
      <c r="P1051" s="329">
        <f t="shared" si="540"/>
        <v>0</v>
      </c>
      <c r="Q1051" s="338">
        <f t="shared" si="556"/>
        <v>0</v>
      </c>
      <c r="R1051" s="329">
        <f t="shared" si="541"/>
        <v>0</v>
      </c>
      <c r="S1051" s="338">
        <f t="shared" si="557"/>
        <v>10000000</v>
      </c>
      <c r="T1051" s="329">
        <f t="shared" si="542"/>
        <v>0</v>
      </c>
      <c r="U1051" s="338">
        <f t="shared" si="544"/>
        <v>2200000</v>
      </c>
      <c r="V1051" s="329">
        <f t="shared" si="543"/>
        <v>0</v>
      </c>
      <c r="W1051" s="338">
        <f t="shared" si="558"/>
        <v>12224694.890000001</v>
      </c>
      <c r="X1051" s="35"/>
    </row>
    <row r="1052" spans="1:24" x14ac:dyDescent="0.25">
      <c r="A1052" s="335">
        <f t="shared" si="547"/>
        <v>44763</v>
      </c>
      <c r="B1052" s="49">
        <f t="shared" si="545"/>
        <v>0</v>
      </c>
      <c r="C1052" s="338">
        <f t="shared" si="549"/>
        <v>118886089</v>
      </c>
      <c r="D1052" s="329">
        <f t="shared" si="546"/>
        <v>0</v>
      </c>
      <c r="E1052" s="338">
        <f t="shared" si="550"/>
        <v>9769566</v>
      </c>
      <c r="F1052" s="329">
        <f t="shared" si="548"/>
        <v>0</v>
      </c>
      <c r="G1052" s="338">
        <f t="shared" si="551"/>
        <v>76400000</v>
      </c>
      <c r="H1052" s="329">
        <f t="shared" si="536"/>
        <v>0</v>
      </c>
      <c r="I1052" s="338">
        <f t="shared" si="552"/>
        <v>44350150</v>
      </c>
      <c r="J1052" s="329">
        <f t="shared" si="537"/>
        <v>0</v>
      </c>
      <c r="K1052" s="338">
        <f t="shared" si="553"/>
        <v>15100000</v>
      </c>
      <c r="L1052" s="329">
        <f t="shared" si="538"/>
        <v>0</v>
      </c>
      <c r="M1052" s="338">
        <f t="shared" si="554"/>
        <v>25332976</v>
      </c>
      <c r="N1052" s="329">
        <f t="shared" si="539"/>
        <v>0</v>
      </c>
      <c r="O1052" s="338">
        <f t="shared" si="555"/>
        <v>14300000</v>
      </c>
      <c r="P1052" s="329">
        <f t="shared" si="540"/>
        <v>0</v>
      </c>
      <c r="Q1052" s="338">
        <f t="shared" si="556"/>
        <v>0</v>
      </c>
      <c r="R1052" s="329">
        <f t="shared" si="541"/>
        <v>0</v>
      </c>
      <c r="S1052" s="338">
        <f t="shared" si="557"/>
        <v>10000000</v>
      </c>
      <c r="T1052" s="329">
        <f t="shared" si="542"/>
        <v>0</v>
      </c>
      <c r="U1052" s="338">
        <f t="shared" si="544"/>
        <v>2200000</v>
      </c>
      <c r="V1052" s="329">
        <f t="shared" si="543"/>
        <v>0</v>
      </c>
      <c r="W1052" s="338">
        <f t="shared" si="558"/>
        <v>12224694.890000001</v>
      </c>
      <c r="X1052" s="35"/>
    </row>
    <row r="1053" spans="1:24" x14ac:dyDescent="0.25">
      <c r="A1053" s="335">
        <f t="shared" si="547"/>
        <v>44764</v>
      </c>
      <c r="B1053" s="49">
        <f t="shared" si="545"/>
        <v>0</v>
      </c>
      <c r="C1053" s="338">
        <f t="shared" si="549"/>
        <v>118886089</v>
      </c>
      <c r="D1053" s="329">
        <f t="shared" si="546"/>
        <v>0</v>
      </c>
      <c r="E1053" s="338">
        <f t="shared" si="550"/>
        <v>9769566</v>
      </c>
      <c r="F1053" s="329">
        <f t="shared" si="548"/>
        <v>0</v>
      </c>
      <c r="G1053" s="338">
        <f t="shared" si="551"/>
        <v>76400000</v>
      </c>
      <c r="H1053" s="329">
        <f t="shared" si="536"/>
        <v>0</v>
      </c>
      <c r="I1053" s="338">
        <f t="shared" si="552"/>
        <v>44350150</v>
      </c>
      <c r="J1053" s="329">
        <f t="shared" si="537"/>
        <v>0</v>
      </c>
      <c r="K1053" s="338">
        <f t="shared" si="553"/>
        <v>15100000</v>
      </c>
      <c r="L1053" s="329">
        <f t="shared" si="538"/>
        <v>0</v>
      </c>
      <c r="M1053" s="338">
        <f t="shared" si="554"/>
        <v>25332976</v>
      </c>
      <c r="N1053" s="329">
        <f t="shared" si="539"/>
        <v>0</v>
      </c>
      <c r="O1053" s="338">
        <f t="shared" si="555"/>
        <v>14300000</v>
      </c>
      <c r="P1053" s="329">
        <f t="shared" si="540"/>
        <v>0</v>
      </c>
      <c r="Q1053" s="338">
        <f t="shared" si="556"/>
        <v>0</v>
      </c>
      <c r="R1053" s="329">
        <f t="shared" si="541"/>
        <v>0</v>
      </c>
      <c r="S1053" s="338">
        <f t="shared" si="557"/>
        <v>10000000</v>
      </c>
      <c r="T1053" s="329">
        <f t="shared" si="542"/>
        <v>0</v>
      </c>
      <c r="U1053" s="338">
        <f t="shared" si="544"/>
        <v>2200000</v>
      </c>
      <c r="V1053" s="329">
        <f t="shared" si="543"/>
        <v>0</v>
      </c>
      <c r="W1053" s="338">
        <f t="shared" si="558"/>
        <v>12224694.890000001</v>
      </c>
      <c r="X1053" s="35"/>
    </row>
    <row r="1054" spans="1:24" x14ac:dyDescent="0.25">
      <c r="A1054" s="335">
        <f t="shared" si="547"/>
        <v>44765</v>
      </c>
      <c r="B1054" s="49">
        <f t="shared" si="545"/>
        <v>0</v>
      </c>
      <c r="C1054" s="338">
        <f t="shared" si="549"/>
        <v>118886089</v>
      </c>
      <c r="D1054" s="329">
        <f t="shared" si="546"/>
        <v>0</v>
      </c>
      <c r="E1054" s="338">
        <f t="shared" si="550"/>
        <v>9769566</v>
      </c>
      <c r="F1054" s="329">
        <f t="shared" si="548"/>
        <v>0</v>
      </c>
      <c r="G1054" s="338">
        <f t="shared" si="551"/>
        <v>76400000</v>
      </c>
      <c r="H1054" s="329">
        <f t="shared" si="536"/>
        <v>0</v>
      </c>
      <c r="I1054" s="338">
        <f t="shared" si="552"/>
        <v>44350150</v>
      </c>
      <c r="J1054" s="329">
        <f t="shared" si="537"/>
        <v>0</v>
      </c>
      <c r="K1054" s="338">
        <f t="shared" si="553"/>
        <v>15100000</v>
      </c>
      <c r="L1054" s="329">
        <f t="shared" si="538"/>
        <v>0</v>
      </c>
      <c r="M1054" s="338">
        <f t="shared" si="554"/>
        <v>25332976</v>
      </c>
      <c r="N1054" s="329">
        <f t="shared" si="539"/>
        <v>0</v>
      </c>
      <c r="O1054" s="338">
        <f t="shared" si="555"/>
        <v>14300000</v>
      </c>
      <c r="P1054" s="329">
        <f t="shared" si="540"/>
        <v>0</v>
      </c>
      <c r="Q1054" s="338">
        <f t="shared" si="556"/>
        <v>0</v>
      </c>
      <c r="R1054" s="329">
        <f t="shared" si="541"/>
        <v>0</v>
      </c>
      <c r="S1054" s="338">
        <f t="shared" si="557"/>
        <v>10000000</v>
      </c>
      <c r="T1054" s="329">
        <f t="shared" si="542"/>
        <v>0</v>
      </c>
      <c r="U1054" s="338">
        <f t="shared" si="544"/>
        <v>2200000</v>
      </c>
      <c r="V1054" s="329">
        <f t="shared" si="543"/>
        <v>0</v>
      </c>
      <c r="W1054" s="338">
        <f t="shared" si="558"/>
        <v>12224694.890000001</v>
      </c>
      <c r="X1054" s="35"/>
    </row>
    <row r="1055" spans="1:24" x14ac:dyDescent="0.25">
      <c r="A1055" s="335">
        <f t="shared" si="547"/>
        <v>44766</v>
      </c>
      <c r="B1055" s="49">
        <f t="shared" si="545"/>
        <v>0</v>
      </c>
      <c r="C1055" s="338">
        <f t="shared" si="549"/>
        <v>118886089</v>
      </c>
      <c r="D1055" s="329">
        <f t="shared" si="546"/>
        <v>0</v>
      </c>
      <c r="E1055" s="338">
        <f t="shared" si="550"/>
        <v>9769566</v>
      </c>
      <c r="F1055" s="329">
        <f t="shared" si="548"/>
        <v>0</v>
      </c>
      <c r="G1055" s="338">
        <f t="shared" si="551"/>
        <v>76400000</v>
      </c>
      <c r="H1055" s="329">
        <f t="shared" si="536"/>
        <v>0</v>
      </c>
      <c r="I1055" s="338">
        <f t="shared" si="552"/>
        <v>44350150</v>
      </c>
      <c r="J1055" s="329">
        <f t="shared" si="537"/>
        <v>0</v>
      </c>
      <c r="K1055" s="338">
        <f t="shared" si="553"/>
        <v>15100000</v>
      </c>
      <c r="L1055" s="329">
        <f t="shared" si="538"/>
        <v>0</v>
      </c>
      <c r="M1055" s="338">
        <f t="shared" si="554"/>
        <v>25332976</v>
      </c>
      <c r="N1055" s="329">
        <f t="shared" si="539"/>
        <v>0</v>
      </c>
      <c r="O1055" s="338">
        <f t="shared" si="555"/>
        <v>14300000</v>
      </c>
      <c r="P1055" s="329">
        <f t="shared" si="540"/>
        <v>0</v>
      </c>
      <c r="Q1055" s="338">
        <f t="shared" si="556"/>
        <v>0</v>
      </c>
      <c r="R1055" s="329">
        <f t="shared" si="541"/>
        <v>0</v>
      </c>
      <c r="S1055" s="338">
        <f t="shared" si="557"/>
        <v>10000000</v>
      </c>
      <c r="T1055" s="329">
        <f t="shared" si="542"/>
        <v>0</v>
      </c>
      <c r="U1055" s="338">
        <f t="shared" si="544"/>
        <v>2200000</v>
      </c>
      <c r="V1055" s="329">
        <f t="shared" si="543"/>
        <v>0</v>
      </c>
      <c r="W1055" s="338">
        <f t="shared" si="558"/>
        <v>12224694.890000001</v>
      </c>
      <c r="X1055" s="35"/>
    </row>
    <row r="1056" spans="1:24" x14ac:dyDescent="0.25">
      <c r="A1056" s="335">
        <f t="shared" si="547"/>
        <v>44767</v>
      </c>
      <c r="B1056" s="49">
        <f t="shared" si="545"/>
        <v>0</v>
      </c>
      <c r="C1056" s="338">
        <f t="shared" si="549"/>
        <v>118886089</v>
      </c>
      <c r="D1056" s="329">
        <f t="shared" si="546"/>
        <v>0</v>
      </c>
      <c r="E1056" s="338">
        <f t="shared" si="550"/>
        <v>9769566</v>
      </c>
      <c r="F1056" s="329">
        <f t="shared" si="548"/>
        <v>0</v>
      </c>
      <c r="G1056" s="338">
        <f t="shared" si="551"/>
        <v>76400000</v>
      </c>
      <c r="H1056" s="329">
        <f t="shared" si="536"/>
        <v>0</v>
      </c>
      <c r="I1056" s="338">
        <f t="shared" si="552"/>
        <v>44350150</v>
      </c>
      <c r="J1056" s="329">
        <f t="shared" si="537"/>
        <v>0</v>
      </c>
      <c r="K1056" s="338">
        <f t="shared" si="553"/>
        <v>15100000</v>
      </c>
      <c r="L1056" s="329">
        <f t="shared" si="538"/>
        <v>0</v>
      </c>
      <c r="M1056" s="338">
        <f t="shared" si="554"/>
        <v>25332976</v>
      </c>
      <c r="N1056" s="329">
        <f t="shared" si="539"/>
        <v>0</v>
      </c>
      <c r="O1056" s="338">
        <f t="shared" si="555"/>
        <v>14300000</v>
      </c>
      <c r="P1056" s="329">
        <f t="shared" si="540"/>
        <v>0</v>
      </c>
      <c r="Q1056" s="338">
        <f t="shared" si="556"/>
        <v>0</v>
      </c>
      <c r="R1056" s="329">
        <f t="shared" si="541"/>
        <v>0</v>
      </c>
      <c r="S1056" s="338">
        <f t="shared" si="557"/>
        <v>10000000</v>
      </c>
      <c r="T1056" s="329">
        <f t="shared" si="542"/>
        <v>0</v>
      </c>
      <c r="U1056" s="338">
        <f t="shared" si="544"/>
        <v>2200000</v>
      </c>
      <c r="V1056" s="329">
        <f t="shared" si="543"/>
        <v>0</v>
      </c>
      <c r="W1056" s="338">
        <f t="shared" si="558"/>
        <v>12224694.890000001</v>
      </c>
      <c r="X1056" s="35"/>
    </row>
    <row r="1057" spans="1:24" x14ac:dyDescent="0.25">
      <c r="A1057" s="335">
        <f t="shared" si="547"/>
        <v>44768</v>
      </c>
      <c r="B1057" s="49">
        <f t="shared" si="545"/>
        <v>0</v>
      </c>
      <c r="C1057" s="338">
        <f t="shared" si="549"/>
        <v>118886089</v>
      </c>
      <c r="D1057" s="329">
        <f t="shared" si="546"/>
        <v>0</v>
      </c>
      <c r="E1057" s="338">
        <f t="shared" si="550"/>
        <v>9769566</v>
      </c>
      <c r="F1057" s="329">
        <f t="shared" si="548"/>
        <v>0</v>
      </c>
      <c r="G1057" s="338">
        <f t="shared" si="551"/>
        <v>76400000</v>
      </c>
      <c r="H1057" s="329">
        <f t="shared" si="536"/>
        <v>0</v>
      </c>
      <c r="I1057" s="338">
        <f t="shared" si="552"/>
        <v>44350150</v>
      </c>
      <c r="J1057" s="329">
        <f t="shared" si="537"/>
        <v>0</v>
      </c>
      <c r="K1057" s="338">
        <f t="shared" si="553"/>
        <v>15100000</v>
      </c>
      <c r="L1057" s="329">
        <f t="shared" si="538"/>
        <v>0</v>
      </c>
      <c r="M1057" s="338">
        <f t="shared" si="554"/>
        <v>25332976</v>
      </c>
      <c r="N1057" s="329">
        <f t="shared" si="539"/>
        <v>0</v>
      </c>
      <c r="O1057" s="338">
        <f t="shared" si="555"/>
        <v>14300000</v>
      </c>
      <c r="P1057" s="329">
        <f t="shared" si="540"/>
        <v>0</v>
      </c>
      <c r="Q1057" s="338">
        <f t="shared" si="556"/>
        <v>0</v>
      </c>
      <c r="R1057" s="329">
        <f t="shared" si="541"/>
        <v>0</v>
      </c>
      <c r="S1057" s="338">
        <f t="shared" si="557"/>
        <v>10000000</v>
      </c>
      <c r="T1057" s="329">
        <f t="shared" si="542"/>
        <v>0</v>
      </c>
      <c r="U1057" s="338">
        <f t="shared" si="544"/>
        <v>2200000</v>
      </c>
      <c r="V1057" s="329">
        <f t="shared" si="543"/>
        <v>0</v>
      </c>
      <c r="W1057" s="338">
        <f t="shared" si="558"/>
        <v>12224694.890000001</v>
      </c>
      <c r="X1057" s="35"/>
    </row>
    <row r="1058" spans="1:24" x14ac:dyDescent="0.25">
      <c r="A1058" s="335">
        <f t="shared" si="547"/>
        <v>44769</v>
      </c>
      <c r="B1058" s="49">
        <f t="shared" si="545"/>
        <v>0</v>
      </c>
      <c r="C1058" s="338">
        <f t="shared" si="549"/>
        <v>118886089</v>
      </c>
      <c r="D1058" s="329">
        <f t="shared" si="546"/>
        <v>0</v>
      </c>
      <c r="E1058" s="338">
        <f t="shared" si="550"/>
        <v>9769566</v>
      </c>
      <c r="F1058" s="329">
        <f t="shared" si="548"/>
        <v>0</v>
      </c>
      <c r="G1058" s="338">
        <f t="shared" si="551"/>
        <v>76400000</v>
      </c>
      <c r="H1058" s="329">
        <f t="shared" si="536"/>
        <v>0</v>
      </c>
      <c r="I1058" s="338">
        <f t="shared" si="552"/>
        <v>44350150</v>
      </c>
      <c r="J1058" s="329">
        <f t="shared" si="537"/>
        <v>0</v>
      </c>
      <c r="K1058" s="338">
        <f t="shared" si="553"/>
        <v>15100000</v>
      </c>
      <c r="L1058" s="329">
        <f t="shared" si="538"/>
        <v>0</v>
      </c>
      <c r="M1058" s="338">
        <f t="shared" si="554"/>
        <v>25332976</v>
      </c>
      <c r="N1058" s="329">
        <f t="shared" si="539"/>
        <v>0</v>
      </c>
      <c r="O1058" s="338">
        <f t="shared" si="555"/>
        <v>14300000</v>
      </c>
      <c r="P1058" s="329">
        <f t="shared" si="540"/>
        <v>0</v>
      </c>
      <c r="Q1058" s="338">
        <f t="shared" si="556"/>
        <v>0</v>
      </c>
      <c r="R1058" s="329">
        <f t="shared" si="541"/>
        <v>0</v>
      </c>
      <c r="S1058" s="338">
        <f t="shared" si="557"/>
        <v>10000000</v>
      </c>
      <c r="T1058" s="329">
        <f t="shared" si="542"/>
        <v>0</v>
      </c>
      <c r="U1058" s="338">
        <f t="shared" si="544"/>
        <v>2200000</v>
      </c>
      <c r="V1058" s="329">
        <f t="shared" si="543"/>
        <v>0</v>
      </c>
      <c r="W1058" s="338">
        <f t="shared" si="558"/>
        <v>12224694.890000001</v>
      </c>
      <c r="X1058" s="35"/>
    </row>
    <row r="1059" spans="1:24" x14ac:dyDescent="0.25">
      <c r="A1059" s="335">
        <f t="shared" si="547"/>
        <v>44770</v>
      </c>
      <c r="B1059" s="49">
        <f t="shared" si="545"/>
        <v>0</v>
      </c>
      <c r="C1059" s="338">
        <f t="shared" si="549"/>
        <v>118886089</v>
      </c>
      <c r="D1059" s="329">
        <f t="shared" si="546"/>
        <v>0</v>
      </c>
      <c r="E1059" s="338">
        <f t="shared" si="550"/>
        <v>9769566</v>
      </c>
      <c r="F1059" s="329">
        <f t="shared" si="548"/>
        <v>0</v>
      </c>
      <c r="G1059" s="338">
        <f t="shared" si="551"/>
        <v>76400000</v>
      </c>
      <c r="H1059" s="329">
        <f t="shared" si="536"/>
        <v>0</v>
      </c>
      <c r="I1059" s="338">
        <f t="shared" si="552"/>
        <v>44350150</v>
      </c>
      <c r="J1059" s="329">
        <f t="shared" si="537"/>
        <v>0</v>
      </c>
      <c r="K1059" s="338">
        <f t="shared" si="553"/>
        <v>15100000</v>
      </c>
      <c r="L1059" s="329">
        <f t="shared" si="538"/>
        <v>0</v>
      </c>
      <c r="M1059" s="338">
        <f t="shared" si="554"/>
        <v>25332976</v>
      </c>
      <c r="N1059" s="329">
        <f t="shared" si="539"/>
        <v>0</v>
      </c>
      <c r="O1059" s="338">
        <f t="shared" si="555"/>
        <v>14300000</v>
      </c>
      <c r="P1059" s="329">
        <f t="shared" si="540"/>
        <v>0</v>
      </c>
      <c r="Q1059" s="338">
        <f t="shared" si="556"/>
        <v>0</v>
      </c>
      <c r="R1059" s="329">
        <f t="shared" si="541"/>
        <v>0</v>
      </c>
      <c r="S1059" s="338">
        <f t="shared" si="557"/>
        <v>10000000</v>
      </c>
      <c r="T1059" s="329">
        <f t="shared" si="542"/>
        <v>0</v>
      </c>
      <c r="U1059" s="338">
        <f t="shared" si="544"/>
        <v>2200000</v>
      </c>
      <c r="V1059" s="329">
        <f t="shared" si="543"/>
        <v>0</v>
      </c>
      <c r="W1059" s="338">
        <f t="shared" si="558"/>
        <v>12224694.890000001</v>
      </c>
      <c r="X1059" s="35"/>
    </row>
    <row r="1060" spans="1:24" x14ac:dyDescent="0.25">
      <c r="A1060" s="335">
        <f t="shared" si="547"/>
        <v>44771</v>
      </c>
      <c r="B1060" s="49">
        <f t="shared" si="545"/>
        <v>0</v>
      </c>
      <c r="C1060" s="338">
        <f t="shared" si="549"/>
        <v>118886089</v>
      </c>
      <c r="D1060" s="329">
        <f t="shared" si="546"/>
        <v>0</v>
      </c>
      <c r="E1060" s="338">
        <f t="shared" si="550"/>
        <v>9769566</v>
      </c>
      <c r="F1060" s="329">
        <f t="shared" si="548"/>
        <v>0</v>
      </c>
      <c r="G1060" s="338">
        <f t="shared" si="551"/>
        <v>76400000</v>
      </c>
      <c r="H1060" s="329">
        <f t="shared" si="536"/>
        <v>0</v>
      </c>
      <c r="I1060" s="338">
        <f t="shared" si="552"/>
        <v>44350150</v>
      </c>
      <c r="J1060" s="329">
        <f t="shared" si="537"/>
        <v>0</v>
      </c>
      <c r="K1060" s="338">
        <f t="shared" si="553"/>
        <v>15100000</v>
      </c>
      <c r="L1060" s="329">
        <f t="shared" si="538"/>
        <v>0</v>
      </c>
      <c r="M1060" s="338">
        <f t="shared" si="554"/>
        <v>25332976</v>
      </c>
      <c r="N1060" s="329">
        <f t="shared" si="539"/>
        <v>0</v>
      </c>
      <c r="O1060" s="338">
        <f t="shared" si="555"/>
        <v>14300000</v>
      </c>
      <c r="P1060" s="329">
        <f t="shared" si="540"/>
        <v>0</v>
      </c>
      <c r="Q1060" s="338">
        <f t="shared" si="556"/>
        <v>0</v>
      </c>
      <c r="R1060" s="329">
        <f t="shared" si="541"/>
        <v>0</v>
      </c>
      <c r="S1060" s="338">
        <f t="shared" si="557"/>
        <v>10000000</v>
      </c>
      <c r="T1060" s="329">
        <f t="shared" si="542"/>
        <v>0</v>
      </c>
      <c r="U1060" s="338">
        <f t="shared" si="544"/>
        <v>2200000</v>
      </c>
      <c r="V1060" s="329">
        <f t="shared" si="543"/>
        <v>0</v>
      </c>
      <c r="W1060" s="338">
        <f t="shared" si="558"/>
        <v>12224694.890000001</v>
      </c>
      <c r="X1060" s="35"/>
    </row>
    <row r="1061" spans="1:24" x14ac:dyDescent="0.25">
      <c r="A1061" s="335">
        <f t="shared" si="547"/>
        <v>44772</v>
      </c>
      <c r="B1061" s="49">
        <f t="shared" si="545"/>
        <v>0</v>
      </c>
      <c r="C1061" s="338">
        <f t="shared" si="549"/>
        <v>118886089</v>
      </c>
      <c r="D1061" s="329">
        <f t="shared" si="546"/>
        <v>0</v>
      </c>
      <c r="E1061" s="338">
        <f t="shared" si="550"/>
        <v>9769566</v>
      </c>
      <c r="F1061" s="329">
        <f t="shared" si="548"/>
        <v>0</v>
      </c>
      <c r="G1061" s="338">
        <f t="shared" si="551"/>
        <v>76400000</v>
      </c>
      <c r="H1061" s="329">
        <f t="shared" si="536"/>
        <v>0</v>
      </c>
      <c r="I1061" s="338">
        <f t="shared" si="552"/>
        <v>44350150</v>
      </c>
      <c r="J1061" s="329">
        <f t="shared" si="537"/>
        <v>0</v>
      </c>
      <c r="K1061" s="338">
        <f t="shared" si="553"/>
        <v>15100000</v>
      </c>
      <c r="L1061" s="329">
        <f t="shared" si="538"/>
        <v>0</v>
      </c>
      <c r="M1061" s="338">
        <f t="shared" si="554"/>
        <v>25332976</v>
      </c>
      <c r="N1061" s="329">
        <f t="shared" si="539"/>
        <v>0</v>
      </c>
      <c r="O1061" s="338">
        <f t="shared" si="555"/>
        <v>14300000</v>
      </c>
      <c r="P1061" s="329">
        <f t="shared" si="540"/>
        <v>0</v>
      </c>
      <c r="Q1061" s="338">
        <f t="shared" si="556"/>
        <v>0</v>
      </c>
      <c r="R1061" s="329">
        <f t="shared" si="541"/>
        <v>0</v>
      </c>
      <c r="S1061" s="338">
        <f t="shared" si="557"/>
        <v>10000000</v>
      </c>
      <c r="T1061" s="329">
        <f t="shared" si="542"/>
        <v>0</v>
      </c>
      <c r="U1061" s="338">
        <f t="shared" si="544"/>
        <v>2200000</v>
      </c>
      <c r="V1061" s="329">
        <f t="shared" si="543"/>
        <v>0</v>
      </c>
      <c r="W1061" s="338">
        <f t="shared" si="558"/>
        <v>12224694.890000001</v>
      </c>
      <c r="X1061" s="35"/>
    </row>
    <row r="1062" spans="1:24" x14ac:dyDescent="0.25">
      <c r="A1062" s="335">
        <f t="shared" si="547"/>
        <v>44773</v>
      </c>
      <c r="B1062" s="49">
        <f t="shared" si="545"/>
        <v>0</v>
      </c>
      <c r="C1062" s="338">
        <f t="shared" si="549"/>
        <v>118886089</v>
      </c>
      <c r="D1062" s="329">
        <f t="shared" si="546"/>
        <v>0</v>
      </c>
      <c r="E1062" s="338">
        <f t="shared" si="550"/>
        <v>9769566</v>
      </c>
      <c r="F1062" s="329">
        <f t="shared" si="548"/>
        <v>0</v>
      </c>
      <c r="G1062" s="338">
        <f t="shared" si="551"/>
        <v>76400000</v>
      </c>
      <c r="H1062" s="329">
        <f t="shared" si="536"/>
        <v>0</v>
      </c>
      <c r="I1062" s="338">
        <f t="shared" si="552"/>
        <v>44350150</v>
      </c>
      <c r="J1062" s="329">
        <f t="shared" si="537"/>
        <v>0</v>
      </c>
      <c r="K1062" s="338">
        <f t="shared" si="553"/>
        <v>15100000</v>
      </c>
      <c r="L1062" s="329">
        <f t="shared" si="538"/>
        <v>0</v>
      </c>
      <c r="M1062" s="338">
        <f t="shared" si="554"/>
        <v>25332976</v>
      </c>
      <c r="N1062" s="329">
        <f t="shared" si="539"/>
        <v>0</v>
      </c>
      <c r="O1062" s="338">
        <f t="shared" si="555"/>
        <v>14300000</v>
      </c>
      <c r="P1062" s="329">
        <f t="shared" si="540"/>
        <v>0</v>
      </c>
      <c r="Q1062" s="338">
        <f t="shared" si="556"/>
        <v>0</v>
      </c>
      <c r="R1062" s="329">
        <f t="shared" si="541"/>
        <v>0</v>
      </c>
      <c r="S1062" s="338">
        <f t="shared" si="557"/>
        <v>10000000</v>
      </c>
      <c r="T1062" s="329">
        <f t="shared" si="542"/>
        <v>0</v>
      </c>
      <c r="U1062" s="338">
        <f t="shared" si="544"/>
        <v>2200000</v>
      </c>
      <c r="V1062" s="329">
        <f t="shared" si="543"/>
        <v>0</v>
      </c>
      <c r="W1062" s="338">
        <f t="shared" si="558"/>
        <v>12224694.890000001</v>
      </c>
      <c r="X1062" s="35"/>
    </row>
    <row r="1063" spans="1:24" x14ac:dyDescent="0.25">
      <c r="A1063" s="335">
        <f t="shared" si="547"/>
        <v>44774</v>
      </c>
      <c r="B1063" s="49">
        <f t="shared" si="545"/>
        <v>0</v>
      </c>
      <c r="C1063" s="338">
        <f t="shared" si="549"/>
        <v>118886089</v>
      </c>
      <c r="D1063" s="329">
        <f t="shared" si="546"/>
        <v>0</v>
      </c>
      <c r="E1063" s="338">
        <f t="shared" si="550"/>
        <v>9769566</v>
      </c>
      <c r="F1063" s="329">
        <f t="shared" si="548"/>
        <v>0</v>
      </c>
      <c r="G1063" s="338">
        <f t="shared" si="551"/>
        <v>76400000</v>
      </c>
      <c r="H1063" s="329">
        <f t="shared" si="536"/>
        <v>0</v>
      </c>
      <c r="I1063" s="338">
        <f t="shared" si="552"/>
        <v>44350150</v>
      </c>
      <c r="J1063" s="329">
        <f t="shared" si="537"/>
        <v>0</v>
      </c>
      <c r="K1063" s="338">
        <f t="shared" si="553"/>
        <v>15100000</v>
      </c>
      <c r="L1063" s="329">
        <f t="shared" si="538"/>
        <v>0</v>
      </c>
      <c r="M1063" s="338">
        <f t="shared" si="554"/>
        <v>25332976</v>
      </c>
      <c r="N1063" s="329">
        <f t="shared" si="539"/>
        <v>0</v>
      </c>
      <c r="O1063" s="338">
        <f t="shared" si="555"/>
        <v>14300000</v>
      </c>
      <c r="P1063" s="329">
        <f t="shared" si="540"/>
        <v>0</v>
      </c>
      <c r="Q1063" s="338">
        <f t="shared" si="556"/>
        <v>0</v>
      </c>
      <c r="R1063" s="329">
        <f t="shared" si="541"/>
        <v>0</v>
      </c>
      <c r="S1063" s="338">
        <f t="shared" si="557"/>
        <v>10000000</v>
      </c>
      <c r="T1063" s="329">
        <f t="shared" si="542"/>
        <v>0</v>
      </c>
      <c r="U1063" s="338">
        <f t="shared" si="544"/>
        <v>2200000</v>
      </c>
      <c r="V1063" s="329">
        <f t="shared" si="543"/>
        <v>0</v>
      </c>
      <c r="W1063" s="338">
        <f t="shared" si="558"/>
        <v>12224694.890000001</v>
      </c>
      <c r="X1063" s="35"/>
    </row>
    <row r="1064" spans="1:24" x14ac:dyDescent="0.25">
      <c r="A1064" s="335">
        <f t="shared" si="547"/>
        <v>44775</v>
      </c>
      <c r="B1064" s="49">
        <f t="shared" si="545"/>
        <v>0</v>
      </c>
      <c r="C1064" s="338">
        <f t="shared" si="549"/>
        <v>118886089</v>
      </c>
      <c r="D1064" s="329">
        <f t="shared" si="546"/>
        <v>0</v>
      </c>
      <c r="E1064" s="338">
        <f t="shared" si="550"/>
        <v>9769566</v>
      </c>
      <c r="F1064" s="329">
        <f t="shared" si="548"/>
        <v>0</v>
      </c>
      <c r="G1064" s="338">
        <f t="shared" si="551"/>
        <v>76400000</v>
      </c>
      <c r="H1064" s="329">
        <f t="shared" si="536"/>
        <v>0</v>
      </c>
      <c r="I1064" s="338">
        <f t="shared" si="552"/>
        <v>44350150</v>
      </c>
      <c r="J1064" s="329">
        <f t="shared" si="537"/>
        <v>0</v>
      </c>
      <c r="K1064" s="338">
        <f t="shared" si="553"/>
        <v>15100000</v>
      </c>
      <c r="L1064" s="329">
        <f t="shared" si="538"/>
        <v>0</v>
      </c>
      <c r="M1064" s="338">
        <f t="shared" si="554"/>
        <v>25332976</v>
      </c>
      <c r="N1064" s="329">
        <f t="shared" si="539"/>
        <v>0</v>
      </c>
      <c r="O1064" s="338">
        <f t="shared" si="555"/>
        <v>14300000</v>
      </c>
      <c r="P1064" s="329">
        <f t="shared" si="540"/>
        <v>0</v>
      </c>
      <c r="Q1064" s="338">
        <f t="shared" si="556"/>
        <v>0</v>
      </c>
      <c r="R1064" s="329">
        <f t="shared" si="541"/>
        <v>0</v>
      </c>
      <c r="S1064" s="338">
        <f t="shared" si="557"/>
        <v>10000000</v>
      </c>
      <c r="T1064" s="329">
        <f t="shared" si="542"/>
        <v>0</v>
      </c>
      <c r="U1064" s="338">
        <f t="shared" si="544"/>
        <v>2200000</v>
      </c>
      <c r="V1064" s="329">
        <f t="shared" si="543"/>
        <v>0</v>
      </c>
      <c r="W1064" s="338">
        <f t="shared" si="558"/>
        <v>12224694.890000001</v>
      </c>
      <c r="X1064" s="35"/>
    </row>
    <row r="1065" spans="1:24" x14ac:dyDescent="0.25">
      <c r="A1065" s="335">
        <f t="shared" si="547"/>
        <v>44776</v>
      </c>
      <c r="B1065" s="49">
        <f t="shared" si="545"/>
        <v>0</v>
      </c>
      <c r="C1065" s="338">
        <f t="shared" si="549"/>
        <v>118886089</v>
      </c>
      <c r="D1065" s="329">
        <f t="shared" si="546"/>
        <v>0</v>
      </c>
      <c r="E1065" s="338">
        <f t="shared" si="550"/>
        <v>9769566</v>
      </c>
      <c r="F1065" s="329">
        <f t="shared" si="548"/>
        <v>0</v>
      </c>
      <c r="G1065" s="338">
        <f t="shared" si="551"/>
        <v>76400000</v>
      </c>
      <c r="H1065" s="329">
        <f t="shared" si="536"/>
        <v>0</v>
      </c>
      <c r="I1065" s="338">
        <f t="shared" si="552"/>
        <v>44350150</v>
      </c>
      <c r="J1065" s="329">
        <f t="shared" si="537"/>
        <v>0</v>
      </c>
      <c r="K1065" s="338">
        <f t="shared" si="553"/>
        <v>15100000</v>
      </c>
      <c r="L1065" s="329">
        <f t="shared" si="538"/>
        <v>0</v>
      </c>
      <c r="M1065" s="338">
        <f t="shared" si="554"/>
        <v>25332976</v>
      </c>
      <c r="N1065" s="329">
        <f t="shared" si="539"/>
        <v>0</v>
      </c>
      <c r="O1065" s="338">
        <f t="shared" si="555"/>
        <v>14300000</v>
      </c>
      <c r="P1065" s="329">
        <f t="shared" si="540"/>
        <v>0</v>
      </c>
      <c r="Q1065" s="338">
        <f t="shared" si="556"/>
        <v>0</v>
      </c>
      <c r="R1065" s="329">
        <f t="shared" si="541"/>
        <v>0</v>
      </c>
      <c r="S1065" s="338">
        <f t="shared" si="557"/>
        <v>10000000</v>
      </c>
      <c r="T1065" s="329">
        <f t="shared" si="542"/>
        <v>0</v>
      </c>
      <c r="U1065" s="338">
        <f t="shared" si="544"/>
        <v>2200000</v>
      </c>
      <c r="V1065" s="329">
        <f t="shared" si="543"/>
        <v>0</v>
      </c>
      <c r="W1065" s="338">
        <f t="shared" si="558"/>
        <v>12224694.890000001</v>
      </c>
      <c r="X1065" s="35"/>
    </row>
    <row r="1066" spans="1:24" x14ac:dyDescent="0.25">
      <c r="A1066" s="335">
        <f t="shared" si="547"/>
        <v>44777</v>
      </c>
      <c r="B1066" s="49">
        <f t="shared" si="545"/>
        <v>0</v>
      </c>
      <c r="C1066" s="338">
        <f t="shared" si="549"/>
        <v>118886089</v>
      </c>
      <c r="D1066" s="329">
        <f t="shared" si="546"/>
        <v>0</v>
      </c>
      <c r="E1066" s="338">
        <f t="shared" si="550"/>
        <v>9769566</v>
      </c>
      <c r="F1066" s="329">
        <f t="shared" si="548"/>
        <v>0</v>
      </c>
      <c r="G1066" s="338">
        <f t="shared" si="551"/>
        <v>76400000</v>
      </c>
      <c r="H1066" s="329">
        <f t="shared" si="536"/>
        <v>0</v>
      </c>
      <c r="I1066" s="338">
        <f t="shared" si="552"/>
        <v>44350150</v>
      </c>
      <c r="J1066" s="329">
        <f t="shared" si="537"/>
        <v>0</v>
      </c>
      <c r="K1066" s="338">
        <f t="shared" si="553"/>
        <v>15100000</v>
      </c>
      <c r="L1066" s="329">
        <f t="shared" si="538"/>
        <v>0</v>
      </c>
      <c r="M1066" s="338">
        <f t="shared" si="554"/>
        <v>25332976</v>
      </c>
      <c r="N1066" s="329">
        <f t="shared" si="539"/>
        <v>0</v>
      </c>
      <c r="O1066" s="338">
        <f t="shared" si="555"/>
        <v>14300000</v>
      </c>
      <c r="P1066" s="329">
        <f t="shared" si="540"/>
        <v>0</v>
      </c>
      <c r="Q1066" s="338">
        <f t="shared" si="556"/>
        <v>0</v>
      </c>
      <c r="R1066" s="329">
        <f t="shared" si="541"/>
        <v>0</v>
      </c>
      <c r="S1066" s="338">
        <f t="shared" si="557"/>
        <v>10000000</v>
      </c>
      <c r="T1066" s="329">
        <f t="shared" si="542"/>
        <v>0</v>
      </c>
      <c r="U1066" s="338">
        <f t="shared" si="544"/>
        <v>2200000</v>
      </c>
      <c r="V1066" s="329">
        <f t="shared" si="543"/>
        <v>0</v>
      </c>
      <c r="W1066" s="338">
        <f t="shared" si="558"/>
        <v>12224694.890000001</v>
      </c>
      <c r="X1066" s="35"/>
    </row>
    <row r="1067" spans="1:24" x14ac:dyDescent="0.25">
      <c r="A1067" s="335">
        <f t="shared" si="547"/>
        <v>44778</v>
      </c>
      <c r="B1067" s="49">
        <f t="shared" si="545"/>
        <v>0</v>
      </c>
      <c r="C1067" s="338">
        <f t="shared" si="549"/>
        <v>118886089</v>
      </c>
      <c r="D1067" s="329">
        <f t="shared" si="546"/>
        <v>0</v>
      </c>
      <c r="E1067" s="338">
        <f t="shared" si="550"/>
        <v>9769566</v>
      </c>
      <c r="F1067" s="329">
        <f t="shared" si="548"/>
        <v>0</v>
      </c>
      <c r="G1067" s="338">
        <f t="shared" si="551"/>
        <v>76400000</v>
      </c>
      <c r="H1067" s="329">
        <f t="shared" ref="H1067:H1130" si="559">SUMIFS(Usage_Main,CF_Dates,$A1067,CF_Descriptions,"XS2091648928 Change")</f>
        <v>0</v>
      </c>
      <c r="I1067" s="338">
        <f t="shared" si="552"/>
        <v>44350150</v>
      </c>
      <c r="J1067" s="329">
        <f t="shared" ref="J1067:J1130" si="560">SUMIFS(Usage_Main,CF_Dates,$A1067,CF_Descriptions,"Southern Apple Change")</f>
        <v>0</v>
      </c>
      <c r="K1067" s="338">
        <f t="shared" si="553"/>
        <v>15100000</v>
      </c>
      <c r="L1067" s="329">
        <f t="shared" ref="L1067:L1130" si="561">SUMIFS(Usage_Main,CF_Dates,$A1067,CF_Descriptions,"ALMONDUSD Change")</f>
        <v>0</v>
      </c>
      <c r="M1067" s="338">
        <f t="shared" si="554"/>
        <v>25332976</v>
      </c>
      <c r="N1067" s="329">
        <f t="shared" ref="N1067:N1130" si="562">SUMIFS(Usage_Main,CF_Dates,$A1067,CF_Descriptions,"ALMONDEUR Change")</f>
        <v>0</v>
      </c>
      <c r="O1067" s="338">
        <f t="shared" si="555"/>
        <v>14300000</v>
      </c>
      <c r="P1067" s="329">
        <f t="shared" ref="P1067:P1130" si="563">SUMIFS(Usage_Main,CF_Dates,$A1067,CF_Descriptions,"HEXZETA Change")</f>
        <v>0</v>
      </c>
      <c r="Q1067" s="338">
        <f t="shared" si="556"/>
        <v>0</v>
      </c>
      <c r="R1067" s="329">
        <f t="shared" ref="R1067:R1130" si="564">SUMIFS(Usage_Main,CF_Dates,$A1067,CF_Descriptions,"MNTNCHERRY Change")</f>
        <v>0</v>
      </c>
      <c r="S1067" s="338">
        <f t="shared" si="557"/>
        <v>10000000</v>
      </c>
      <c r="T1067" s="329">
        <f t="shared" ref="T1067:T1130" si="565">SUMIFS(Usage_Main,CF_Dates,$A1067,CF_Descriptions,"OLIVEUSD Change")</f>
        <v>0</v>
      </c>
      <c r="U1067" s="338">
        <f t="shared" si="544"/>
        <v>2200000</v>
      </c>
      <c r="V1067" s="329">
        <f t="shared" ref="V1067:V1130" si="566">SUMIFS(Usage_Main,CF_Dates,$A1067,CF_Descriptions,"OLIVEEUR Change")</f>
        <v>0</v>
      </c>
      <c r="W1067" s="338">
        <f t="shared" si="558"/>
        <v>12224694.890000001</v>
      </c>
      <c r="X1067" s="35"/>
    </row>
    <row r="1068" spans="1:24" x14ac:dyDescent="0.25">
      <c r="A1068" s="335">
        <f t="shared" si="547"/>
        <v>44779</v>
      </c>
      <c r="B1068" s="49">
        <f t="shared" si="545"/>
        <v>0</v>
      </c>
      <c r="C1068" s="338">
        <f t="shared" si="549"/>
        <v>118886089</v>
      </c>
      <c r="D1068" s="329">
        <f t="shared" si="546"/>
        <v>0</v>
      </c>
      <c r="E1068" s="338">
        <f t="shared" si="550"/>
        <v>9769566</v>
      </c>
      <c r="F1068" s="329">
        <f t="shared" si="548"/>
        <v>0</v>
      </c>
      <c r="G1068" s="338">
        <f t="shared" si="551"/>
        <v>76400000</v>
      </c>
      <c r="H1068" s="329">
        <f t="shared" si="559"/>
        <v>0</v>
      </c>
      <c r="I1068" s="338">
        <f t="shared" si="552"/>
        <v>44350150</v>
      </c>
      <c r="J1068" s="329">
        <f t="shared" si="560"/>
        <v>0</v>
      </c>
      <c r="K1068" s="338">
        <f t="shared" si="553"/>
        <v>15100000</v>
      </c>
      <c r="L1068" s="329">
        <f t="shared" si="561"/>
        <v>0</v>
      </c>
      <c r="M1068" s="338">
        <f t="shared" si="554"/>
        <v>25332976</v>
      </c>
      <c r="N1068" s="329">
        <f t="shared" si="562"/>
        <v>0</v>
      </c>
      <c r="O1068" s="338">
        <f t="shared" si="555"/>
        <v>14300000</v>
      </c>
      <c r="P1068" s="329">
        <f t="shared" si="563"/>
        <v>0</v>
      </c>
      <c r="Q1068" s="338">
        <f t="shared" si="556"/>
        <v>0</v>
      </c>
      <c r="R1068" s="329">
        <f t="shared" si="564"/>
        <v>0</v>
      </c>
      <c r="S1068" s="338">
        <f t="shared" si="557"/>
        <v>10000000</v>
      </c>
      <c r="T1068" s="329">
        <f t="shared" si="565"/>
        <v>0</v>
      </c>
      <c r="U1068" s="338">
        <f t="shared" ref="U1068:U1131" si="567">T1068+U1067</f>
        <v>2200000</v>
      </c>
      <c r="V1068" s="329">
        <f t="shared" si="566"/>
        <v>0</v>
      </c>
      <c r="W1068" s="338">
        <f t="shared" si="558"/>
        <v>12224694.890000001</v>
      </c>
      <c r="X1068" s="35"/>
    </row>
    <row r="1069" spans="1:24" x14ac:dyDescent="0.25">
      <c r="A1069" s="335">
        <f t="shared" si="547"/>
        <v>44780</v>
      </c>
      <c r="B1069" s="49">
        <f t="shared" si="545"/>
        <v>0</v>
      </c>
      <c r="C1069" s="338">
        <f t="shared" si="549"/>
        <v>118886089</v>
      </c>
      <c r="D1069" s="329">
        <f t="shared" si="546"/>
        <v>0</v>
      </c>
      <c r="E1069" s="338">
        <f t="shared" si="550"/>
        <v>9769566</v>
      </c>
      <c r="F1069" s="329">
        <f t="shared" si="548"/>
        <v>0</v>
      </c>
      <c r="G1069" s="338">
        <f t="shared" si="551"/>
        <v>76400000</v>
      </c>
      <c r="H1069" s="329">
        <f t="shared" si="559"/>
        <v>0</v>
      </c>
      <c r="I1069" s="338">
        <f t="shared" si="552"/>
        <v>44350150</v>
      </c>
      <c r="J1069" s="329">
        <f t="shared" si="560"/>
        <v>0</v>
      </c>
      <c r="K1069" s="338">
        <f t="shared" si="553"/>
        <v>15100000</v>
      </c>
      <c r="L1069" s="329">
        <f t="shared" si="561"/>
        <v>0</v>
      </c>
      <c r="M1069" s="338">
        <f t="shared" si="554"/>
        <v>25332976</v>
      </c>
      <c r="N1069" s="329">
        <f t="shared" si="562"/>
        <v>0</v>
      </c>
      <c r="O1069" s="338">
        <f t="shared" si="555"/>
        <v>14300000</v>
      </c>
      <c r="P1069" s="329">
        <f t="shared" si="563"/>
        <v>0</v>
      </c>
      <c r="Q1069" s="338">
        <f t="shared" si="556"/>
        <v>0</v>
      </c>
      <c r="R1069" s="329">
        <f t="shared" si="564"/>
        <v>0</v>
      </c>
      <c r="S1069" s="338">
        <f t="shared" si="557"/>
        <v>10000000</v>
      </c>
      <c r="T1069" s="329">
        <f t="shared" si="565"/>
        <v>0</v>
      </c>
      <c r="U1069" s="338">
        <f t="shared" si="567"/>
        <v>2200000</v>
      </c>
      <c r="V1069" s="329">
        <f t="shared" si="566"/>
        <v>0</v>
      </c>
      <c r="W1069" s="338">
        <f t="shared" si="558"/>
        <v>12224694.890000001</v>
      </c>
      <c r="X1069" s="35"/>
    </row>
    <row r="1070" spans="1:24" x14ac:dyDescent="0.25">
      <c r="A1070" s="335">
        <f t="shared" si="547"/>
        <v>44781</v>
      </c>
      <c r="B1070" s="49">
        <f t="shared" si="545"/>
        <v>0</v>
      </c>
      <c r="C1070" s="338">
        <f t="shared" si="549"/>
        <v>118886089</v>
      </c>
      <c r="D1070" s="329">
        <f t="shared" si="546"/>
        <v>0</v>
      </c>
      <c r="E1070" s="338">
        <f t="shared" si="550"/>
        <v>9769566</v>
      </c>
      <c r="F1070" s="329">
        <f t="shared" si="548"/>
        <v>0</v>
      </c>
      <c r="G1070" s="338">
        <f t="shared" si="551"/>
        <v>76400000</v>
      </c>
      <c r="H1070" s="329">
        <f t="shared" si="559"/>
        <v>0</v>
      </c>
      <c r="I1070" s="338">
        <f t="shared" si="552"/>
        <v>44350150</v>
      </c>
      <c r="J1070" s="329">
        <f t="shared" si="560"/>
        <v>0</v>
      </c>
      <c r="K1070" s="338">
        <f t="shared" si="553"/>
        <v>15100000</v>
      </c>
      <c r="L1070" s="329">
        <f t="shared" si="561"/>
        <v>0</v>
      </c>
      <c r="M1070" s="338">
        <f t="shared" si="554"/>
        <v>25332976</v>
      </c>
      <c r="N1070" s="329">
        <f t="shared" si="562"/>
        <v>0</v>
      </c>
      <c r="O1070" s="338">
        <f t="shared" si="555"/>
        <v>14300000</v>
      </c>
      <c r="P1070" s="329">
        <f t="shared" si="563"/>
        <v>0</v>
      </c>
      <c r="Q1070" s="338">
        <f t="shared" si="556"/>
        <v>0</v>
      </c>
      <c r="R1070" s="329">
        <f t="shared" si="564"/>
        <v>0</v>
      </c>
      <c r="S1070" s="338">
        <f t="shared" si="557"/>
        <v>10000000</v>
      </c>
      <c r="T1070" s="329">
        <f t="shared" si="565"/>
        <v>0</v>
      </c>
      <c r="U1070" s="338">
        <f t="shared" si="567"/>
        <v>2200000</v>
      </c>
      <c r="V1070" s="329">
        <f t="shared" si="566"/>
        <v>0</v>
      </c>
      <c r="W1070" s="338">
        <f t="shared" si="558"/>
        <v>12224694.890000001</v>
      </c>
      <c r="X1070" s="35"/>
    </row>
    <row r="1071" spans="1:24" x14ac:dyDescent="0.25">
      <c r="A1071" s="335">
        <f t="shared" si="547"/>
        <v>44782</v>
      </c>
      <c r="B1071" s="49">
        <f t="shared" si="545"/>
        <v>0</v>
      </c>
      <c r="C1071" s="338">
        <f t="shared" si="549"/>
        <v>118886089</v>
      </c>
      <c r="D1071" s="329">
        <f t="shared" si="546"/>
        <v>0</v>
      </c>
      <c r="E1071" s="338">
        <f t="shared" si="550"/>
        <v>9769566</v>
      </c>
      <c r="F1071" s="329">
        <f t="shared" si="548"/>
        <v>0</v>
      </c>
      <c r="G1071" s="338">
        <f t="shared" si="551"/>
        <v>76400000</v>
      </c>
      <c r="H1071" s="329">
        <f t="shared" si="559"/>
        <v>0</v>
      </c>
      <c r="I1071" s="338">
        <f t="shared" si="552"/>
        <v>44350150</v>
      </c>
      <c r="J1071" s="329">
        <f t="shared" si="560"/>
        <v>0</v>
      </c>
      <c r="K1071" s="338">
        <f t="shared" si="553"/>
        <v>15100000</v>
      </c>
      <c r="L1071" s="329">
        <f t="shared" si="561"/>
        <v>0</v>
      </c>
      <c r="M1071" s="338">
        <f t="shared" si="554"/>
        <v>25332976</v>
      </c>
      <c r="N1071" s="329">
        <f t="shared" si="562"/>
        <v>0</v>
      </c>
      <c r="O1071" s="338">
        <f t="shared" si="555"/>
        <v>14300000</v>
      </c>
      <c r="P1071" s="329">
        <f t="shared" si="563"/>
        <v>0</v>
      </c>
      <c r="Q1071" s="338">
        <f t="shared" si="556"/>
        <v>0</v>
      </c>
      <c r="R1071" s="329">
        <f t="shared" si="564"/>
        <v>0</v>
      </c>
      <c r="S1071" s="338">
        <f t="shared" si="557"/>
        <v>10000000</v>
      </c>
      <c r="T1071" s="329">
        <f t="shared" si="565"/>
        <v>0</v>
      </c>
      <c r="U1071" s="338">
        <f t="shared" si="567"/>
        <v>2200000</v>
      </c>
      <c r="V1071" s="329">
        <f t="shared" si="566"/>
        <v>0</v>
      </c>
      <c r="W1071" s="338">
        <f t="shared" si="558"/>
        <v>12224694.890000001</v>
      </c>
      <c r="X1071" s="35"/>
    </row>
    <row r="1072" spans="1:24" x14ac:dyDescent="0.25">
      <c r="A1072" s="335">
        <f t="shared" si="547"/>
        <v>44783</v>
      </c>
      <c r="B1072" s="49">
        <f t="shared" si="545"/>
        <v>0</v>
      </c>
      <c r="C1072" s="338">
        <f t="shared" si="549"/>
        <v>118886089</v>
      </c>
      <c r="D1072" s="329">
        <f t="shared" si="546"/>
        <v>0</v>
      </c>
      <c r="E1072" s="338">
        <f t="shared" si="550"/>
        <v>9769566</v>
      </c>
      <c r="F1072" s="329">
        <f t="shared" si="548"/>
        <v>0</v>
      </c>
      <c r="G1072" s="338">
        <f t="shared" si="551"/>
        <v>76400000</v>
      </c>
      <c r="H1072" s="329">
        <f t="shared" si="559"/>
        <v>0</v>
      </c>
      <c r="I1072" s="338">
        <f t="shared" si="552"/>
        <v>44350150</v>
      </c>
      <c r="J1072" s="329">
        <f t="shared" si="560"/>
        <v>0</v>
      </c>
      <c r="K1072" s="338">
        <f t="shared" si="553"/>
        <v>15100000</v>
      </c>
      <c r="L1072" s="329">
        <f t="shared" si="561"/>
        <v>0</v>
      </c>
      <c r="M1072" s="338">
        <f t="shared" si="554"/>
        <v>25332976</v>
      </c>
      <c r="N1072" s="329">
        <f t="shared" si="562"/>
        <v>0</v>
      </c>
      <c r="O1072" s="338">
        <f t="shared" si="555"/>
        <v>14300000</v>
      </c>
      <c r="P1072" s="329">
        <f t="shared" si="563"/>
        <v>0</v>
      </c>
      <c r="Q1072" s="338">
        <f t="shared" si="556"/>
        <v>0</v>
      </c>
      <c r="R1072" s="329">
        <f t="shared" si="564"/>
        <v>0</v>
      </c>
      <c r="S1072" s="338">
        <f t="shared" si="557"/>
        <v>10000000</v>
      </c>
      <c r="T1072" s="329">
        <f t="shared" si="565"/>
        <v>0</v>
      </c>
      <c r="U1072" s="338">
        <f t="shared" si="567"/>
        <v>2200000</v>
      </c>
      <c r="V1072" s="329">
        <f t="shared" si="566"/>
        <v>0</v>
      </c>
      <c r="W1072" s="338">
        <f t="shared" si="558"/>
        <v>12224694.890000001</v>
      </c>
      <c r="X1072" s="35"/>
    </row>
    <row r="1073" spans="1:24" x14ac:dyDescent="0.25">
      <c r="A1073" s="335">
        <f t="shared" si="547"/>
        <v>44784</v>
      </c>
      <c r="B1073" s="49">
        <f t="shared" si="545"/>
        <v>0</v>
      </c>
      <c r="C1073" s="338">
        <f t="shared" si="549"/>
        <v>118886089</v>
      </c>
      <c r="D1073" s="329">
        <f t="shared" si="546"/>
        <v>0</v>
      </c>
      <c r="E1073" s="338">
        <f t="shared" si="550"/>
        <v>9769566</v>
      </c>
      <c r="F1073" s="329">
        <f t="shared" si="548"/>
        <v>0</v>
      </c>
      <c r="G1073" s="338">
        <f t="shared" si="551"/>
        <v>76400000</v>
      </c>
      <c r="H1073" s="329">
        <f t="shared" si="559"/>
        <v>0</v>
      </c>
      <c r="I1073" s="338">
        <f t="shared" si="552"/>
        <v>44350150</v>
      </c>
      <c r="J1073" s="329">
        <f t="shared" si="560"/>
        <v>0</v>
      </c>
      <c r="K1073" s="338">
        <f t="shared" si="553"/>
        <v>15100000</v>
      </c>
      <c r="L1073" s="329">
        <f t="shared" si="561"/>
        <v>0</v>
      </c>
      <c r="M1073" s="338">
        <f t="shared" si="554"/>
        <v>25332976</v>
      </c>
      <c r="N1073" s="329">
        <f t="shared" si="562"/>
        <v>0</v>
      </c>
      <c r="O1073" s="338">
        <f t="shared" si="555"/>
        <v>14300000</v>
      </c>
      <c r="P1073" s="329">
        <f t="shared" si="563"/>
        <v>0</v>
      </c>
      <c r="Q1073" s="338">
        <f t="shared" si="556"/>
        <v>0</v>
      </c>
      <c r="R1073" s="329">
        <f t="shared" si="564"/>
        <v>0</v>
      </c>
      <c r="S1073" s="338">
        <f t="shared" si="557"/>
        <v>10000000</v>
      </c>
      <c r="T1073" s="329">
        <f t="shared" si="565"/>
        <v>0</v>
      </c>
      <c r="U1073" s="338">
        <f t="shared" si="567"/>
        <v>2200000</v>
      </c>
      <c r="V1073" s="329">
        <f t="shared" si="566"/>
        <v>0</v>
      </c>
      <c r="W1073" s="338">
        <f t="shared" si="558"/>
        <v>12224694.890000001</v>
      </c>
      <c r="X1073" s="35"/>
    </row>
    <row r="1074" spans="1:24" x14ac:dyDescent="0.25">
      <c r="A1074" s="335">
        <f t="shared" si="547"/>
        <v>44785</v>
      </c>
      <c r="B1074" s="49">
        <f t="shared" si="545"/>
        <v>0</v>
      </c>
      <c r="C1074" s="338">
        <f t="shared" si="549"/>
        <v>118886089</v>
      </c>
      <c r="D1074" s="329">
        <f t="shared" si="546"/>
        <v>0</v>
      </c>
      <c r="E1074" s="338">
        <f t="shared" si="550"/>
        <v>9769566</v>
      </c>
      <c r="F1074" s="329">
        <f t="shared" si="548"/>
        <v>0</v>
      </c>
      <c r="G1074" s="338">
        <f t="shared" si="551"/>
        <v>76400000</v>
      </c>
      <c r="H1074" s="329">
        <f t="shared" si="559"/>
        <v>0</v>
      </c>
      <c r="I1074" s="338">
        <f t="shared" si="552"/>
        <v>44350150</v>
      </c>
      <c r="J1074" s="329">
        <f t="shared" si="560"/>
        <v>0</v>
      </c>
      <c r="K1074" s="338">
        <f t="shared" si="553"/>
        <v>15100000</v>
      </c>
      <c r="L1074" s="329">
        <f t="shared" si="561"/>
        <v>0</v>
      </c>
      <c r="M1074" s="338">
        <f t="shared" si="554"/>
        <v>25332976</v>
      </c>
      <c r="N1074" s="329">
        <f t="shared" si="562"/>
        <v>0</v>
      </c>
      <c r="O1074" s="338">
        <f t="shared" si="555"/>
        <v>14300000</v>
      </c>
      <c r="P1074" s="329">
        <f t="shared" si="563"/>
        <v>0</v>
      </c>
      <c r="Q1074" s="338">
        <f t="shared" si="556"/>
        <v>0</v>
      </c>
      <c r="R1074" s="329">
        <f t="shared" si="564"/>
        <v>0</v>
      </c>
      <c r="S1074" s="338">
        <f t="shared" si="557"/>
        <v>10000000</v>
      </c>
      <c r="T1074" s="329">
        <f t="shared" si="565"/>
        <v>0</v>
      </c>
      <c r="U1074" s="338">
        <f t="shared" si="567"/>
        <v>2200000</v>
      </c>
      <c r="V1074" s="329">
        <f t="shared" si="566"/>
        <v>0</v>
      </c>
      <c r="W1074" s="338">
        <f t="shared" si="558"/>
        <v>12224694.890000001</v>
      </c>
      <c r="X1074" s="35"/>
    </row>
    <row r="1075" spans="1:24" x14ac:dyDescent="0.25">
      <c r="A1075" s="335">
        <f t="shared" si="547"/>
        <v>44786</v>
      </c>
      <c r="B1075" s="49">
        <f t="shared" ref="B1075:B1138" si="568">SUMIFS(Usage_Main,CF_Dates,$A1075,CF_Descriptions,"XS1951177309 Change")</f>
        <v>0</v>
      </c>
      <c r="C1075" s="338">
        <f t="shared" si="549"/>
        <v>118886089</v>
      </c>
      <c r="D1075" s="329">
        <f t="shared" ref="D1075:D1138" si="569">SUMIFS(Usage_Main,CF_Dates,$A1075,CF_Descriptions,"SOSPRUCE1 Change")</f>
        <v>0</v>
      </c>
      <c r="E1075" s="338">
        <f t="shared" si="550"/>
        <v>9769566</v>
      </c>
      <c r="F1075" s="329">
        <f t="shared" si="548"/>
        <v>0</v>
      </c>
      <c r="G1075" s="338">
        <f t="shared" si="551"/>
        <v>76400000</v>
      </c>
      <c r="H1075" s="329">
        <f t="shared" si="559"/>
        <v>0</v>
      </c>
      <c r="I1075" s="338">
        <f t="shared" si="552"/>
        <v>44350150</v>
      </c>
      <c r="J1075" s="329">
        <f t="shared" si="560"/>
        <v>0</v>
      </c>
      <c r="K1075" s="338">
        <f t="shared" si="553"/>
        <v>15100000</v>
      </c>
      <c r="L1075" s="329">
        <f t="shared" si="561"/>
        <v>0</v>
      </c>
      <c r="M1075" s="338">
        <f t="shared" si="554"/>
        <v>25332976</v>
      </c>
      <c r="N1075" s="329">
        <f t="shared" si="562"/>
        <v>0</v>
      </c>
      <c r="O1075" s="338">
        <f t="shared" si="555"/>
        <v>14300000</v>
      </c>
      <c r="P1075" s="329">
        <f t="shared" si="563"/>
        <v>0</v>
      </c>
      <c r="Q1075" s="338">
        <f t="shared" si="556"/>
        <v>0</v>
      </c>
      <c r="R1075" s="329">
        <f t="shared" si="564"/>
        <v>0</v>
      </c>
      <c r="S1075" s="338">
        <f t="shared" si="557"/>
        <v>10000000</v>
      </c>
      <c r="T1075" s="329">
        <f t="shared" si="565"/>
        <v>0</v>
      </c>
      <c r="U1075" s="338">
        <f t="shared" si="567"/>
        <v>2200000</v>
      </c>
      <c r="V1075" s="329">
        <f t="shared" si="566"/>
        <v>0</v>
      </c>
      <c r="W1075" s="338">
        <f t="shared" si="558"/>
        <v>12224694.890000001</v>
      </c>
      <c r="X1075" s="35"/>
    </row>
    <row r="1076" spans="1:24" x14ac:dyDescent="0.25">
      <c r="A1076" s="335">
        <f t="shared" si="547"/>
        <v>44787</v>
      </c>
      <c r="B1076" s="49">
        <f t="shared" si="568"/>
        <v>0</v>
      </c>
      <c r="C1076" s="338">
        <f t="shared" si="549"/>
        <v>118886089</v>
      </c>
      <c r="D1076" s="329">
        <f t="shared" si="569"/>
        <v>0</v>
      </c>
      <c r="E1076" s="338">
        <f t="shared" si="550"/>
        <v>9769566</v>
      </c>
      <c r="F1076" s="329">
        <f t="shared" si="548"/>
        <v>0</v>
      </c>
      <c r="G1076" s="338">
        <f t="shared" si="551"/>
        <v>76400000</v>
      </c>
      <c r="H1076" s="329">
        <f t="shared" si="559"/>
        <v>0</v>
      </c>
      <c r="I1076" s="338">
        <f t="shared" si="552"/>
        <v>44350150</v>
      </c>
      <c r="J1076" s="329">
        <f t="shared" si="560"/>
        <v>0</v>
      </c>
      <c r="K1076" s="338">
        <f t="shared" si="553"/>
        <v>15100000</v>
      </c>
      <c r="L1076" s="329">
        <f t="shared" si="561"/>
        <v>0</v>
      </c>
      <c r="M1076" s="338">
        <f t="shared" si="554"/>
        <v>25332976</v>
      </c>
      <c r="N1076" s="329">
        <f t="shared" si="562"/>
        <v>0</v>
      </c>
      <c r="O1076" s="338">
        <f t="shared" si="555"/>
        <v>14300000</v>
      </c>
      <c r="P1076" s="329">
        <f t="shared" si="563"/>
        <v>0</v>
      </c>
      <c r="Q1076" s="338">
        <f t="shared" si="556"/>
        <v>0</v>
      </c>
      <c r="R1076" s="329">
        <f t="shared" si="564"/>
        <v>0</v>
      </c>
      <c r="S1076" s="338">
        <f t="shared" si="557"/>
        <v>10000000</v>
      </c>
      <c r="T1076" s="329">
        <f t="shared" si="565"/>
        <v>0</v>
      </c>
      <c r="U1076" s="338">
        <f t="shared" si="567"/>
        <v>2200000</v>
      </c>
      <c r="V1076" s="329">
        <f t="shared" si="566"/>
        <v>0</v>
      </c>
      <c r="W1076" s="338">
        <f t="shared" si="558"/>
        <v>12224694.890000001</v>
      </c>
      <c r="X1076" s="35"/>
    </row>
    <row r="1077" spans="1:24" x14ac:dyDescent="0.25">
      <c r="A1077" s="335">
        <f t="shared" si="547"/>
        <v>44788</v>
      </c>
      <c r="B1077" s="49">
        <f t="shared" si="568"/>
        <v>0</v>
      </c>
      <c r="C1077" s="338">
        <f t="shared" si="549"/>
        <v>118886089</v>
      </c>
      <c r="D1077" s="329">
        <f t="shared" si="569"/>
        <v>0</v>
      </c>
      <c r="E1077" s="338">
        <f t="shared" si="550"/>
        <v>9769566</v>
      </c>
      <c r="F1077" s="329">
        <f t="shared" si="548"/>
        <v>0</v>
      </c>
      <c r="G1077" s="338">
        <f t="shared" si="551"/>
        <v>76400000</v>
      </c>
      <c r="H1077" s="329">
        <f t="shared" si="559"/>
        <v>0</v>
      </c>
      <c r="I1077" s="338">
        <f t="shared" si="552"/>
        <v>44350150</v>
      </c>
      <c r="J1077" s="329">
        <f t="shared" si="560"/>
        <v>0</v>
      </c>
      <c r="K1077" s="338">
        <f t="shared" si="553"/>
        <v>15100000</v>
      </c>
      <c r="L1077" s="329">
        <f t="shared" si="561"/>
        <v>0</v>
      </c>
      <c r="M1077" s="338">
        <f t="shared" si="554"/>
        <v>25332976</v>
      </c>
      <c r="N1077" s="329">
        <f t="shared" si="562"/>
        <v>0</v>
      </c>
      <c r="O1077" s="338">
        <f t="shared" si="555"/>
        <v>14300000</v>
      </c>
      <c r="P1077" s="329">
        <f t="shared" si="563"/>
        <v>0</v>
      </c>
      <c r="Q1077" s="338">
        <f t="shared" si="556"/>
        <v>0</v>
      </c>
      <c r="R1077" s="329">
        <f t="shared" si="564"/>
        <v>0</v>
      </c>
      <c r="S1077" s="338">
        <f t="shared" si="557"/>
        <v>10000000</v>
      </c>
      <c r="T1077" s="329">
        <f t="shared" si="565"/>
        <v>0</v>
      </c>
      <c r="U1077" s="338">
        <f t="shared" si="567"/>
        <v>2200000</v>
      </c>
      <c r="V1077" s="329">
        <f t="shared" si="566"/>
        <v>0</v>
      </c>
      <c r="W1077" s="338">
        <f t="shared" si="558"/>
        <v>12224694.890000001</v>
      </c>
      <c r="X1077" s="35"/>
    </row>
    <row r="1078" spans="1:24" x14ac:dyDescent="0.25">
      <c r="A1078" s="335">
        <f t="shared" si="547"/>
        <v>44789</v>
      </c>
      <c r="B1078" s="49">
        <f t="shared" si="568"/>
        <v>0</v>
      </c>
      <c r="C1078" s="338">
        <f t="shared" si="549"/>
        <v>118886089</v>
      </c>
      <c r="D1078" s="329">
        <f t="shared" si="569"/>
        <v>0</v>
      </c>
      <c r="E1078" s="338">
        <f t="shared" si="550"/>
        <v>9769566</v>
      </c>
      <c r="F1078" s="329">
        <f t="shared" si="548"/>
        <v>0</v>
      </c>
      <c r="G1078" s="338">
        <f t="shared" si="551"/>
        <v>76400000</v>
      </c>
      <c r="H1078" s="329">
        <f t="shared" si="559"/>
        <v>0</v>
      </c>
      <c r="I1078" s="338">
        <f t="shared" si="552"/>
        <v>44350150</v>
      </c>
      <c r="J1078" s="329">
        <f t="shared" si="560"/>
        <v>0</v>
      </c>
      <c r="K1078" s="338">
        <f t="shared" si="553"/>
        <v>15100000</v>
      </c>
      <c r="L1078" s="329">
        <f t="shared" si="561"/>
        <v>0</v>
      </c>
      <c r="M1078" s="338">
        <f t="shared" si="554"/>
        <v>25332976</v>
      </c>
      <c r="N1078" s="329">
        <f t="shared" si="562"/>
        <v>0</v>
      </c>
      <c r="O1078" s="338">
        <f t="shared" si="555"/>
        <v>14300000</v>
      </c>
      <c r="P1078" s="329">
        <f t="shared" si="563"/>
        <v>0</v>
      </c>
      <c r="Q1078" s="338">
        <f t="shared" si="556"/>
        <v>0</v>
      </c>
      <c r="R1078" s="329">
        <f t="shared" si="564"/>
        <v>0</v>
      </c>
      <c r="S1078" s="338">
        <f t="shared" si="557"/>
        <v>10000000</v>
      </c>
      <c r="T1078" s="329">
        <f t="shared" si="565"/>
        <v>0</v>
      </c>
      <c r="U1078" s="338">
        <f t="shared" si="567"/>
        <v>2200000</v>
      </c>
      <c r="V1078" s="329">
        <f t="shared" si="566"/>
        <v>0</v>
      </c>
      <c r="W1078" s="338">
        <f t="shared" si="558"/>
        <v>12224694.890000001</v>
      </c>
      <c r="X1078" s="35"/>
    </row>
    <row r="1079" spans="1:24" x14ac:dyDescent="0.25">
      <c r="A1079" s="335">
        <f t="shared" si="547"/>
        <v>44790</v>
      </c>
      <c r="B1079" s="49">
        <f t="shared" si="568"/>
        <v>0</v>
      </c>
      <c r="C1079" s="338">
        <f t="shared" si="549"/>
        <v>118886089</v>
      </c>
      <c r="D1079" s="329">
        <f t="shared" si="569"/>
        <v>0</v>
      </c>
      <c r="E1079" s="338">
        <f t="shared" si="550"/>
        <v>9769566</v>
      </c>
      <c r="F1079" s="329">
        <f t="shared" si="548"/>
        <v>0</v>
      </c>
      <c r="G1079" s="338">
        <f t="shared" si="551"/>
        <v>76400000</v>
      </c>
      <c r="H1079" s="329">
        <f t="shared" si="559"/>
        <v>0</v>
      </c>
      <c r="I1079" s="338">
        <f t="shared" si="552"/>
        <v>44350150</v>
      </c>
      <c r="J1079" s="329">
        <f t="shared" si="560"/>
        <v>0</v>
      </c>
      <c r="K1079" s="338">
        <f t="shared" si="553"/>
        <v>15100000</v>
      </c>
      <c r="L1079" s="329">
        <f t="shared" si="561"/>
        <v>0</v>
      </c>
      <c r="M1079" s="338">
        <f t="shared" si="554"/>
        <v>25332976</v>
      </c>
      <c r="N1079" s="329">
        <f t="shared" si="562"/>
        <v>0</v>
      </c>
      <c r="O1079" s="338">
        <f t="shared" si="555"/>
        <v>14300000</v>
      </c>
      <c r="P1079" s="329">
        <f t="shared" si="563"/>
        <v>0</v>
      </c>
      <c r="Q1079" s="338">
        <f t="shared" si="556"/>
        <v>0</v>
      </c>
      <c r="R1079" s="329">
        <f t="shared" si="564"/>
        <v>0</v>
      </c>
      <c r="S1079" s="338">
        <f t="shared" si="557"/>
        <v>10000000</v>
      </c>
      <c r="T1079" s="329">
        <f t="shared" si="565"/>
        <v>0</v>
      </c>
      <c r="U1079" s="338">
        <f t="shared" si="567"/>
        <v>2200000</v>
      </c>
      <c r="V1079" s="329">
        <f t="shared" si="566"/>
        <v>0</v>
      </c>
      <c r="W1079" s="338">
        <f t="shared" si="558"/>
        <v>12224694.890000001</v>
      </c>
      <c r="X1079" s="35"/>
    </row>
    <row r="1080" spans="1:24" x14ac:dyDescent="0.25">
      <c r="A1080" s="335">
        <f t="shared" si="547"/>
        <v>44791</v>
      </c>
      <c r="B1080" s="49">
        <f t="shared" si="568"/>
        <v>0</v>
      </c>
      <c r="C1080" s="338">
        <f t="shared" si="549"/>
        <v>118886089</v>
      </c>
      <c r="D1080" s="329">
        <f t="shared" si="569"/>
        <v>0</v>
      </c>
      <c r="E1080" s="338">
        <f t="shared" si="550"/>
        <v>9769566</v>
      </c>
      <c r="F1080" s="329">
        <f t="shared" si="548"/>
        <v>0</v>
      </c>
      <c r="G1080" s="338">
        <f t="shared" si="551"/>
        <v>76400000</v>
      </c>
      <c r="H1080" s="329">
        <f t="shared" si="559"/>
        <v>0</v>
      </c>
      <c r="I1080" s="338">
        <f t="shared" si="552"/>
        <v>44350150</v>
      </c>
      <c r="J1080" s="329">
        <f t="shared" si="560"/>
        <v>0</v>
      </c>
      <c r="K1080" s="338">
        <f t="shared" si="553"/>
        <v>15100000</v>
      </c>
      <c r="L1080" s="329">
        <f t="shared" si="561"/>
        <v>0</v>
      </c>
      <c r="M1080" s="338">
        <f t="shared" si="554"/>
        <v>25332976</v>
      </c>
      <c r="N1080" s="329">
        <f t="shared" si="562"/>
        <v>0</v>
      </c>
      <c r="O1080" s="338">
        <f t="shared" si="555"/>
        <v>14300000</v>
      </c>
      <c r="P1080" s="329">
        <f t="shared" si="563"/>
        <v>0</v>
      </c>
      <c r="Q1080" s="338">
        <f t="shared" si="556"/>
        <v>0</v>
      </c>
      <c r="R1080" s="329">
        <f t="shared" si="564"/>
        <v>0</v>
      </c>
      <c r="S1080" s="338">
        <f t="shared" si="557"/>
        <v>10000000</v>
      </c>
      <c r="T1080" s="329">
        <f t="shared" si="565"/>
        <v>0</v>
      </c>
      <c r="U1080" s="338">
        <f t="shared" si="567"/>
        <v>2200000</v>
      </c>
      <c r="V1080" s="329">
        <f t="shared" si="566"/>
        <v>0</v>
      </c>
      <c r="W1080" s="338">
        <f t="shared" si="558"/>
        <v>12224694.890000001</v>
      </c>
      <c r="X1080" s="35"/>
    </row>
    <row r="1081" spans="1:24" x14ac:dyDescent="0.25">
      <c r="A1081" s="335">
        <f t="shared" si="547"/>
        <v>44792</v>
      </c>
      <c r="B1081" s="49">
        <f t="shared" si="568"/>
        <v>0</v>
      </c>
      <c r="C1081" s="338">
        <f t="shared" si="549"/>
        <v>118886089</v>
      </c>
      <c r="D1081" s="329">
        <f t="shared" si="569"/>
        <v>0</v>
      </c>
      <c r="E1081" s="338">
        <f t="shared" si="550"/>
        <v>9769566</v>
      </c>
      <c r="F1081" s="329">
        <f t="shared" si="548"/>
        <v>0</v>
      </c>
      <c r="G1081" s="338">
        <f t="shared" si="551"/>
        <v>76400000</v>
      </c>
      <c r="H1081" s="329">
        <f t="shared" si="559"/>
        <v>0</v>
      </c>
      <c r="I1081" s="338">
        <f t="shared" si="552"/>
        <v>44350150</v>
      </c>
      <c r="J1081" s="329">
        <f t="shared" si="560"/>
        <v>0</v>
      </c>
      <c r="K1081" s="338">
        <f t="shared" si="553"/>
        <v>15100000</v>
      </c>
      <c r="L1081" s="329">
        <f t="shared" si="561"/>
        <v>0</v>
      </c>
      <c r="M1081" s="338">
        <f t="shared" si="554"/>
        <v>25332976</v>
      </c>
      <c r="N1081" s="329">
        <f t="shared" si="562"/>
        <v>0</v>
      </c>
      <c r="O1081" s="338">
        <f t="shared" si="555"/>
        <v>14300000</v>
      </c>
      <c r="P1081" s="329">
        <f t="shared" si="563"/>
        <v>0</v>
      </c>
      <c r="Q1081" s="338">
        <f t="shared" si="556"/>
        <v>0</v>
      </c>
      <c r="R1081" s="329">
        <f t="shared" si="564"/>
        <v>0</v>
      </c>
      <c r="S1081" s="338">
        <f t="shared" si="557"/>
        <v>10000000</v>
      </c>
      <c r="T1081" s="329">
        <f t="shared" si="565"/>
        <v>0</v>
      </c>
      <c r="U1081" s="338">
        <f t="shared" si="567"/>
        <v>2200000</v>
      </c>
      <c r="V1081" s="329">
        <f t="shared" si="566"/>
        <v>0</v>
      </c>
      <c r="W1081" s="338">
        <f t="shared" si="558"/>
        <v>12224694.890000001</v>
      </c>
      <c r="X1081" s="35"/>
    </row>
    <row r="1082" spans="1:24" x14ac:dyDescent="0.25">
      <c r="A1082" s="335">
        <f t="shared" si="547"/>
        <v>44793</v>
      </c>
      <c r="B1082" s="49">
        <f t="shared" si="568"/>
        <v>0</v>
      </c>
      <c r="C1082" s="338">
        <f t="shared" si="549"/>
        <v>118886089</v>
      </c>
      <c r="D1082" s="329">
        <f t="shared" si="569"/>
        <v>0</v>
      </c>
      <c r="E1082" s="338">
        <f t="shared" si="550"/>
        <v>9769566</v>
      </c>
      <c r="F1082" s="329">
        <f t="shared" si="548"/>
        <v>0</v>
      </c>
      <c r="G1082" s="338">
        <f t="shared" si="551"/>
        <v>76400000</v>
      </c>
      <c r="H1082" s="329">
        <f t="shared" si="559"/>
        <v>0</v>
      </c>
      <c r="I1082" s="338">
        <f t="shared" si="552"/>
        <v>44350150</v>
      </c>
      <c r="J1082" s="329">
        <f t="shared" si="560"/>
        <v>0</v>
      </c>
      <c r="K1082" s="338">
        <f t="shared" si="553"/>
        <v>15100000</v>
      </c>
      <c r="L1082" s="329">
        <f t="shared" si="561"/>
        <v>0</v>
      </c>
      <c r="M1082" s="338">
        <f t="shared" si="554"/>
        <v>25332976</v>
      </c>
      <c r="N1082" s="329">
        <f t="shared" si="562"/>
        <v>0</v>
      </c>
      <c r="O1082" s="338">
        <f t="shared" si="555"/>
        <v>14300000</v>
      </c>
      <c r="P1082" s="329">
        <f t="shared" si="563"/>
        <v>0</v>
      </c>
      <c r="Q1082" s="338">
        <f t="shared" si="556"/>
        <v>0</v>
      </c>
      <c r="R1082" s="329">
        <f t="shared" si="564"/>
        <v>0</v>
      </c>
      <c r="S1082" s="338">
        <f t="shared" si="557"/>
        <v>10000000</v>
      </c>
      <c r="T1082" s="329">
        <f t="shared" si="565"/>
        <v>0</v>
      </c>
      <c r="U1082" s="338">
        <f t="shared" si="567"/>
        <v>2200000</v>
      </c>
      <c r="V1082" s="329">
        <f t="shared" si="566"/>
        <v>0</v>
      </c>
      <c r="W1082" s="338">
        <f t="shared" si="558"/>
        <v>12224694.890000001</v>
      </c>
      <c r="X1082" s="35"/>
    </row>
    <row r="1083" spans="1:24" x14ac:dyDescent="0.25">
      <c r="A1083" s="335">
        <f t="shared" si="547"/>
        <v>44794</v>
      </c>
      <c r="B1083" s="49">
        <f t="shared" si="568"/>
        <v>0</v>
      </c>
      <c r="C1083" s="338">
        <f t="shared" si="549"/>
        <v>118886089</v>
      </c>
      <c r="D1083" s="329">
        <f t="shared" si="569"/>
        <v>0</v>
      </c>
      <c r="E1083" s="338">
        <f t="shared" si="550"/>
        <v>9769566</v>
      </c>
      <c r="F1083" s="329">
        <f t="shared" si="548"/>
        <v>0</v>
      </c>
      <c r="G1083" s="338">
        <f t="shared" si="551"/>
        <v>76400000</v>
      </c>
      <c r="H1083" s="329">
        <f t="shared" si="559"/>
        <v>0</v>
      </c>
      <c r="I1083" s="338">
        <f t="shared" si="552"/>
        <v>44350150</v>
      </c>
      <c r="J1083" s="329">
        <f t="shared" si="560"/>
        <v>0</v>
      </c>
      <c r="K1083" s="338">
        <f t="shared" si="553"/>
        <v>15100000</v>
      </c>
      <c r="L1083" s="329">
        <f t="shared" si="561"/>
        <v>0</v>
      </c>
      <c r="M1083" s="338">
        <f t="shared" si="554"/>
        <v>25332976</v>
      </c>
      <c r="N1083" s="329">
        <f t="shared" si="562"/>
        <v>0</v>
      </c>
      <c r="O1083" s="338">
        <f t="shared" si="555"/>
        <v>14300000</v>
      </c>
      <c r="P1083" s="329">
        <f t="shared" si="563"/>
        <v>0</v>
      </c>
      <c r="Q1083" s="338">
        <f t="shared" si="556"/>
        <v>0</v>
      </c>
      <c r="R1083" s="329">
        <f t="shared" si="564"/>
        <v>0</v>
      </c>
      <c r="S1083" s="338">
        <f t="shared" si="557"/>
        <v>10000000</v>
      </c>
      <c r="T1083" s="329">
        <f t="shared" si="565"/>
        <v>0</v>
      </c>
      <c r="U1083" s="338">
        <f t="shared" si="567"/>
        <v>2200000</v>
      </c>
      <c r="V1083" s="329">
        <f t="shared" si="566"/>
        <v>0</v>
      </c>
      <c r="W1083" s="338">
        <f t="shared" si="558"/>
        <v>12224694.890000001</v>
      </c>
      <c r="X1083" s="35"/>
    </row>
    <row r="1084" spans="1:24" x14ac:dyDescent="0.25">
      <c r="A1084" s="335">
        <f t="shared" si="547"/>
        <v>44795</v>
      </c>
      <c r="B1084" s="49">
        <f t="shared" si="568"/>
        <v>0</v>
      </c>
      <c r="C1084" s="338">
        <f t="shared" si="549"/>
        <v>118886089</v>
      </c>
      <c r="D1084" s="329">
        <f t="shared" si="569"/>
        <v>0</v>
      </c>
      <c r="E1084" s="338">
        <f t="shared" si="550"/>
        <v>9769566</v>
      </c>
      <c r="F1084" s="329">
        <f t="shared" si="548"/>
        <v>0</v>
      </c>
      <c r="G1084" s="338">
        <f t="shared" si="551"/>
        <v>76400000</v>
      </c>
      <c r="H1084" s="329">
        <f t="shared" si="559"/>
        <v>0</v>
      </c>
      <c r="I1084" s="338">
        <f t="shared" si="552"/>
        <v>44350150</v>
      </c>
      <c r="J1084" s="329">
        <f t="shared" si="560"/>
        <v>0</v>
      </c>
      <c r="K1084" s="338">
        <f t="shared" si="553"/>
        <v>15100000</v>
      </c>
      <c r="L1084" s="329">
        <f t="shared" si="561"/>
        <v>0</v>
      </c>
      <c r="M1084" s="338">
        <f t="shared" si="554"/>
        <v>25332976</v>
      </c>
      <c r="N1084" s="329">
        <f t="shared" si="562"/>
        <v>0</v>
      </c>
      <c r="O1084" s="338">
        <f t="shared" si="555"/>
        <v>14300000</v>
      </c>
      <c r="P1084" s="329">
        <f t="shared" si="563"/>
        <v>0</v>
      </c>
      <c r="Q1084" s="338">
        <f t="shared" si="556"/>
        <v>0</v>
      </c>
      <c r="R1084" s="329">
        <f t="shared" si="564"/>
        <v>0</v>
      </c>
      <c r="S1084" s="338">
        <f t="shared" si="557"/>
        <v>10000000</v>
      </c>
      <c r="T1084" s="329">
        <f t="shared" si="565"/>
        <v>0</v>
      </c>
      <c r="U1084" s="338">
        <f t="shared" si="567"/>
        <v>2200000</v>
      </c>
      <c r="V1084" s="329">
        <f t="shared" si="566"/>
        <v>0</v>
      </c>
      <c r="W1084" s="338">
        <f t="shared" si="558"/>
        <v>12224694.890000001</v>
      </c>
      <c r="X1084" s="35"/>
    </row>
    <row r="1085" spans="1:24" x14ac:dyDescent="0.25">
      <c r="A1085" s="335">
        <f t="shared" si="547"/>
        <v>44796</v>
      </c>
      <c r="B1085" s="49">
        <f t="shared" si="568"/>
        <v>0</v>
      </c>
      <c r="C1085" s="338">
        <f t="shared" si="549"/>
        <v>118886089</v>
      </c>
      <c r="D1085" s="329">
        <f t="shared" si="569"/>
        <v>0</v>
      </c>
      <c r="E1085" s="338">
        <f t="shared" si="550"/>
        <v>9769566</v>
      </c>
      <c r="F1085" s="329">
        <f t="shared" si="548"/>
        <v>0</v>
      </c>
      <c r="G1085" s="338">
        <f t="shared" si="551"/>
        <v>76400000</v>
      </c>
      <c r="H1085" s="329">
        <f t="shared" si="559"/>
        <v>0</v>
      </c>
      <c r="I1085" s="338">
        <f t="shared" si="552"/>
        <v>44350150</v>
      </c>
      <c r="J1085" s="329">
        <f t="shared" si="560"/>
        <v>0</v>
      </c>
      <c r="K1085" s="338">
        <f t="shared" si="553"/>
        <v>15100000</v>
      </c>
      <c r="L1085" s="329">
        <f t="shared" si="561"/>
        <v>0</v>
      </c>
      <c r="M1085" s="338">
        <f t="shared" si="554"/>
        <v>25332976</v>
      </c>
      <c r="N1085" s="329">
        <f t="shared" si="562"/>
        <v>0</v>
      </c>
      <c r="O1085" s="338">
        <f t="shared" si="555"/>
        <v>14300000</v>
      </c>
      <c r="P1085" s="329">
        <f t="shared" si="563"/>
        <v>0</v>
      </c>
      <c r="Q1085" s="338">
        <f t="shared" si="556"/>
        <v>0</v>
      </c>
      <c r="R1085" s="329">
        <f t="shared" si="564"/>
        <v>0</v>
      </c>
      <c r="S1085" s="338">
        <f t="shared" si="557"/>
        <v>10000000</v>
      </c>
      <c r="T1085" s="329">
        <f t="shared" si="565"/>
        <v>0</v>
      </c>
      <c r="U1085" s="338">
        <f t="shared" si="567"/>
        <v>2200000</v>
      </c>
      <c r="V1085" s="329">
        <f t="shared" si="566"/>
        <v>0</v>
      </c>
      <c r="W1085" s="338">
        <f t="shared" si="558"/>
        <v>12224694.890000001</v>
      </c>
      <c r="X1085" s="35"/>
    </row>
    <row r="1086" spans="1:24" x14ac:dyDescent="0.25">
      <c r="A1086" s="335">
        <f t="shared" si="547"/>
        <v>44797</v>
      </c>
      <c r="B1086" s="49">
        <f t="shared" si="568"/>
        <v>0</v>
      </c>
      <c r="C1086" s="338">
        <f t="shared" si="549"/>
        <v>118886089</v>
      </c>
      <c r="D1086" s="329">
        <f t="shared" si="569"/>
        <v>0</v>
      </c>
      <c r="E1086" s="338">
        <f t="shared" si="550"/>
        <v>9769566</v>
      </c>
      <c r="F1086" s="329">
        <f t="shared" si="548"/>
        <v>0</v>
      </c>
      <c r="G1086" s="338">
        <f t="shared" si="551"/>
        <v>76400000</v>
      </c>
      <c r="H1086" s="329">
        <f t="shared" si="559"/>
        <v>0</v>
      </c>
      <c r="I1086" s="338">
        <f t="shared" si="552"/>
        <v>44350150</v>
      </c>
      <c r="J1086" s="329">
        <f t="shared" si="560"/>
        <v>0</v>
      </c>
      <c r="K1086" s="338">
        <f t="shared" si="553"/>
        <v>15100000</v>
      </c>
      <c r="L1086" s="329">
        <f t="shared" si="561"/>
        <v>0</v>
      </c>
      <c r="M1086" s="338">
        <f t="shared" si="554"/>
        <v>25332976</v>
      </c>
      <c r="N1086" s="329">
        <f t="shared" si="562"/>
        <v>0</v>
      </c>
      <c r="O1086" s="338">
        <f t="shared" si="555"/>
        <v>14300000</v>
      </c>
      <c r="P1086" s="329">
        <f t="shared" si="563"/>
        <v>0</v>
      </c>
      <c r="Q1086" s="338">
        <f t="shared" si="556"/>
        <v>0</v>
      </c>
      <c r="R1086" s="329">
        <f t="shared" si="564"/>
        <v>0</v>
      </c>
      <c r="S1086" s="338">
        <f t="shared" si="557"/>
        <v>10000000</v>
      </c>
      <c r="T1086" s="329">
        <f t="shared" si="565"/>
        <v>0</v>
      </c>
      <c r="U1086" s="338">
        <f t="shared" si="567"/>
        <v>2200000</v>
      </c>
      <c r="V1086" s="329">
        <f t="shared" si="566"/>
        <v>0</v>
      </c>
      <c r="W1086" s="338">
        <f t="shared" si="558"/>
        <v>12224694.890000001</v>
      </c>
      <c r="X1086" s="35"/>
    </row>
    <row r="1087" spans="1:24" x14ac:dyDescent="0.25">
      <c r="A1087" s="335">
        <f t="shared" si="547"/>
        <v>44798</v>
      </c>
      <c r="B1087" s="49">
        <f t="shared" si="568"/>
        <v>0</v>
      </c>
      <c r="C1087" s="338">
        <f t="shared" si="549"/>
        <v>118886089</v>
      </c>
      <c r="D1087" s="329">
        <f t="shared" si="569"/>
        <v>0</v>
      </c>
      <c r="E1087" s="338">
        <f t="shared" si="550"/>
        <v>9769566</v>
      </c>
      <c r="F1087" s="329">
        <f t="shared" si="548"/>
        <v>0</v>
      </c>
      <c r="G1087" s="338">
        <f t="shared" si="551"/>
        <v>76400000</v>
      </c>
      <c r="H1087" s="329">
        <f t="shared" si="559"/>
        <v>0</v>
      </c>
      <c r="I1087" s="338">
        <f t="shared" si="552"/>
        <v>44350150</v>
      </c>
      <c r="J1087" s="329">
        <f t="shared" si="560"/>
        <v>0</v>
      </c>
      <c r="K1087" s="338">
        <f t="shared" si="553"/>
        <v>15100000</v>
      </c>
      <c r="L1087" s="329">
        <f t="shared" si="561"/>
        <v>0</v>
      </c>
      <c r="M1087" s="338">
        <f t="shared" si="554"/>
        <v>25332976</v>
      </c>
      <c r="N1087" s="329">
        <f t="shared" si="562"/>
        <v>0</v>
      </c>
      <c r="O1087" s="338">
        <f t="shared" si="555"/>
        <v>14300000</v>
      </c>
      <c r="P1087" s="329">
        <f t="shared" si="563"/>
        <v>0</v>
      </c>
      <c r="Q1087" s="338">
        <f t="shared" si="556"/>
        <v>0</v>
      </c>
      <c r="R1087" s="329">
        <f t="shared" si="564"/>
        <v>0</v>
      </c>
      <c r="S1087" s="338">
        <f t="shared" si="557"/>
        <v>10000000</v>
      </c>
      <c r="T1087" s="329">
        <f t="shared" si="565"/>
        <v>0</v>
      </c>
      <c r="U1087" s="338">
        <f t="shared" si="567"/>
        <v>2200000</v>
      </c>
      <c r="V1087" s="329">
        <f t="shared" si="566"/>
        <v>0</v>
      </c>
      <c r="W1087" s="338">
        <f t="shared" si="558"/>
        <v>12224694.890000001</v>
      </c>
      <c r="X1087" s="35"/>
    </row>
    <row r="1088" spans="1:24" x14ac:dyDescent="0.25">
      <c r="A1088" s="335">
        <f t="shared" ref="A1088:A1151" si="570">A1087+1</f>
        <v>44799</v>
      </c>
      <c r="B1088" s="49">
        <f t="shared" si="568"/>
        <v>0</v>
      </c>
      <c r="C1088" s="338">
        <f t="shared" si="549"/>
        <v>118886089</v>
      </c>
      <c r="D1088" s="329">
        <f t="shared" si="569"/>
        <v>0</v>
      </c>
      <c r="E1088" s="338">
        <f t="shared" si="550"/>
        <v>9769566</v>
      </c>
      <c r="F1088" s="329">
        <f t="shared" si="548"/>
        <v>0</v>
      </c>
      <c r="G1088" s="338">
        <f t="shared" si="551"/>
        <v>76400000</v>
      </c>
      <c r="H1088" s="329">
        <f t="shared" si="559"/>
        <v>0</v>
      </c>
      <c r="I1088" s="338">
        <f t="shared" si="552"/>
        <v>44350150</v>
      </c>
      <c r="J1088" s="329">
        <f t="shared" si="560"/>
        <v>0</v>
      </c>
      <c r="K1088" s="338">
        <f t="shared" si="553"/>
        <v>15100000</v>
      </c>
      <c r="L1088" s="329">
        <f t="shared" si="561"/>
        <v>0</v>
      </c>
      <c r="M1088" s="338">
        <f t="shared" si="554"/>
        <v>25332976</v>
      </c>
      <c r="N1088" s="329">
        <f t="shared" si="562"/>
        <v>0</v>
      </c>
      <c r="O1088" s="338">
        <f t="shared" si="555"/>
        <v>14300000</v>
      </c>
      <c r="P1088" s="329">
        <f t="shared" si="563"/>
        <v>0</v>
      </c>
      <c r="Q1088" s="338">
        <f t="shared" si="556"/>
        <v>0</v>
      </c>
      <c r="R1088" s="329">
        <f t="shared" si="564"/>
        <v>0</v>
      </c>
      <c r="S1088" s="338">
        <f t="shared" si="557"/>
        <v>10000000</v>
      </c>
      <c r="T1088" s="329">
        <f t="shared" si="565"/>
        <v>0</v>
      </c>
      <c r="U1088" s="338">
        <f t="shared" si="567"/>
        <v>2200000</v>
      </c>
      <c r="V1088" s="329">
        <f t="shared" si="566"/>
        <v>0</v>
      </c>
      <c r="W1088" s="338">
        <f t="shared" si="558"/>
        <v>12224694.890000001</v>
      </c>
      <c r="X1088" s="35"/>
    </row>
    <row r="1089" spans="1:24" x14ac:dyDescent="0.25">
      <c r="A1089" s="335">
        <f t="shared" si="570"/>
        <v>44800</v>
      </c>
      <c r="B1089" s="49">
        <f t="shared" si="568"/>
        <v>0</v>
      </c>
      <c r="C1089" s="338">
        <f t="shared" si="549"/>
        <v>118886089</v>
      </c>
      <c r="D1089" s="329">
        <f t="shared" si="569"/>
        <v>0</v>
      </c>
      <c r="E1089" s="338">
        <f t="shared" si="550"/>
        <v>9769566</v>
      </c>
      <c r="F1089" s="329">
        <f t="shared" si="548"/>
        <v>0</v>
      </c>
      <c r="G1089" s="338">
        <f t="shared" si="551"/>
        <v>76400000</v>
      </c>
      <c r="H1089" s="329">
        <f t="shared" si="559"/>
        <v>0</v>
      </c>
      <c r="I1089" s="338">
        <f t="shared" si="552"/>
        <v>44350150</v>
      </c>
      <c r="J1089" s="329">
        <f t="shared" si="560"/>
        <v>0</v>
      </c>
      <c r="K1089" s="338">
        <f t="shared" si="553"/>
        <v>15100000</v>
      </c>
      <c r="L1089" s="329">
        <f t="shared" si="561"/>
        <v>0</v>
      </c>
      <c r="M1089" s="338">
        <f t="shared" si="554"/>
        <v>25332976</v>
      </c>
      <c r="N1089" s="329">
        <f t="shared" si="562"/>
        <v>0</v>
      </c>
      <c r="O1089" s="338">
        <f t="shared" si="555"/>
        <v>14300000</v>
      </c>
      <c r="P1089" s="329">
        <f t="shared" si="563"/>
        <v>0</v>
      </c>
      <c r="Q1089" s="338">
        <f t="shared" si="556"/>
        <v>0</v>
      </c>
      <c r="R1089" s="329">
        <f t="shared" si="564"/>
        <v>0</v>
      </c>
      <c r="S1089" s="338">
        <f t="shared" si="557"/>
        <v>10000000</v>
      </c>
      <c r="T1089" s="329">
        <f t="shared" si="565"/>
        <v>0</v>
      </c>
      <c r="U1089" s="338">
        <f t="shared" si="567"/>
        <v>2200000</v>
      </c>
      <c r="V1089" s="329">
        <f t="shared" si="566"/>
        <v>0</v>
      </c>
      <c r="W1089" s="338">
        <f t="shared" si="558"/>
        <v>12224694.890000001</v>
      </c>
      <c r="X1089" s="35"/>
    </row>
    <row r="1090" spans="1:24" x14ac:dyDescent="0.25">
      <c r="A1090" s="335">
        <f t="shared" si="570"/>
        <v>44801</v>
      </c>
      <c r="B1090" s="49">
        <f t="shared" si="568"/>
        <v>0</v>
      </c>
      <c r="C1090" s="338">
        <f t="shared" si="549"/>
        <v>118886089</v>
      </c>
      <c r="D1090" s="329">
        <f t="shared" si="569"/>
        <v>0</v>
      </c>
      <c r="E1090" s="338">
        <f t="shared" si="550"/>
        <v>9769566</v>
      </c>
      <c r="F1090" s="329">
        <f t="shared" si="548"/>
        <v>0</v>
      </c>
      <c r="G1090" s="338">
        <f t="shared" si="551"/>
        <v>76400000</v>
      </c>
      <c r="H1090" s="329">
        <f t="shared" si="559"/>
        <v>0</v>
      </c>
      <c r="I1090" s="338">
        <f t="shared" si="552"/>
        <v>44350150</v>
      </c>
      <c r="J1090" s="329">
        <f t="shared" si="560"/>
        <v>0</v>
      </c>
      <c r="K1090" s="338">
        <f t="shared" si="553"/>
        <v>15100000</v>
      </c>
      <c r="L1090" s="329">
        <f t="shared" si="561"/>
        <v>0</v>
      </c>
      <c r="M1090" s="338">
        <f t="shared" si="554"/>
        <v>25332976</v>
      </c>
      <c r="N1090" s="329">
        <f t="shared" si="562"/>
        <v>0</v>
      </c>
      <c r="O1090" s="338">
        <f t="shared" si="555"/>
        <v>14300000</v>
      </c>
      <c r="P1090" s="329">
        <f t="shared" si="563"/>
        <v>0</v>
      </c>
      <c r="Q1090" s="338">
        <f t="shared" si="556"/>
        <v>0</v>
      </c>
      <c r="R1090" s="329">
        <f t="shared" si="564"/>
        <v>0</v>
      </c>
      <c r="S1090" s="338">
        <f t="shared" si="557"/>
        <v>10000000</v>
      </c>
      <c r="T1090" s="329">
        <f t="shared" si="565"/>
        <v>0</v>
      </c>
      <c r="U1090" s="338">
        <f t="shared" si="567"/>
        <v>2200000</v>
      </c>
      <c r="V1090" s="329">
        <f t="shared" si="566"/>
        <v>0</v>
      </c>
      <c r="W1090" s="338">
        <f t="shared" si="558"/>
        <v>12224694.890000001</v>
      </c>
      <c r="X1090" s="35"/>
    </row>
    <row r="1091" spans="1:24" x14ac:dyDescent="0.25">
      <c r="A1091" s="335">
        <f t="shared" si="570"/>
        <v>44802</v>
      </c>
      <c r="B1091" s="49">
        <f t="shared" si="568"/>
        <v>0</v>
      </c>
      <c r="C1091" s="338">
        <f t="shared" si="549"/>
        <v>118886089</v>
      </c>
      <c r="D1091" s="329">
        <f t="shared" si="569"/>
        <v>0</v>
      </c>
      <c r="E1091" s="338">
        <f t="shared" si="550"/>
        <v>9769566</v>
      </c>
      <c r="F1091" s="329">
        <f t="shared" ref="F1091:F1154" si="571">SUMIFS(Usage_Main,CF_Dates,$A1091,CF_Descriptions,"EASTCYPRESS1 Change")</f>
        <v>0</v>
      </c>
      <c r="G1091" s="338">
        <f t="shared" si="551"/>
        <v>76400000</v>
      </c>
      <c r="H1091" s="329">
        <f t="shared" si="559"/>
        <v>0</v>
      </c>
      <c r="I1091" s="338">
        <f t="shared" si="552"/>
        <v>44350150</v>
      </c>
      <c r="J1091" s="329">
        <f t="shared" si="560"/>
        <v>0</v>
      </c>
      <c r="K1091" s="338">
        <f t="shared" si="553"/>
        <v>15100000</v>
      </c>
      <c r="L1091" s="329">
        <f t="shared" si="561"/>
        <v>0</v>
      </c>
      <c r="M1091" s="338">
        <f t="shared" si="554"/>
        <v>25332976</v>
      </c>
      <c r="N1091" s="329">
        <f t="shared" si="562"/>
        <v>0</v>
      </c>
      <c r="O1091" s="338">
        <f t="shared" si="555"/>
        <v>14300000</v>
      </c>
      <c r="P1091" s="329">
        <f t="shared" si="563"/>
        <v>0</v>
      </c>
      <c r="Q1091" s="338">
        <f t="shared" si="556"/>
        <v>0</v>
      </c>
      <c r="R1091" s="329">
        <f t="shared" si="564"/>
        <v>0</v>
      </c>
      <c r="S1091" s="338">
        <f t="shared" si="557"/>
        <v>10000000</v>
      </c>
      <c r="T1091" s="329">
        <f t="shared" si="565"/>
        <v>0</v>
      </c>
      <c r="U1091" s="338">
        <f t="shared" si="567"/>
        <v>2200000</v>
      </c>
      <c r="V1091" s="329">
        <f t="shared" si="566"/>
        <v>0</v>
      </c>
      <c r="W1091" s="338">
        <f t="shared" si="558"/>
        <v>12224694.890000001</v>
      </c>
      <c r="X1091" s="35"/>
    </row>
    <row r="1092" spans="1:24" x14ac:dyDescent="0.25">
      <c r="A1092" s="335">
        <f t="shared" si="570"/>
        <v>44803</v>
      </c>
      <c r="B1092" s="49">
        <f t="shared" si="568"/>
        <v>0</v>
      </c>
      <c r="C1092" s="338">
        <f t="shared" si="549"/>
        <v>118886089</v>
      </c>
      <c r="D1092" s="329">
        <f t="shared" si="569"/>
        <v>0</v>
      </c>
      <c r="E1092" s="338">
        <f t="shared" si="550"/>
        <v>9769566</v>
      </c>
      <c r="F1092" s="329">
        <f t="shared" si="571"/>
        <v>0</v>
      </c>
      <c r="G1092" s="338">
        <f t="shared" si="551"/>
        <v>76400000</v>
      </c>
      <c r="H1092" s="329">
        <f t="shared" si="559"/>
        <v>0</v>
      </c>
      <c r="I1092" s="338">
        <f t="shared" si="552"/>
        <v>44350150</v>
      </c>
      <c r="J1092" s="329">
        <f t="shared" si="560"/>
        <v>0</v>
      </c>
      <c r="K1092" s="338">
        <f t="shared" si="553"/>
        <v>15100000</v>
      </c>
      <c r="L1092" s="329">
        <f t="shared" si="561"/>
        <v>0</v>
      </c>
      <c r="M1092" s="338">
        <f t="shared" si="554"/>
        <v>25332976</v>
      </c>
      <c r="N1092" s="329">
        <f t="shared" si="562"/>
        <v>0</v>
      </c>
      <c r="O1092" s="338">
        <f t="shared" si="555"/>
        <v>14300000</v>
      </c>
      <c r="P1092" s="329">
        <f t="shared" si="563"/>
        <v>0</v>
      </c>
      <c r="Q1092" s="338">
        <f t="shared" si="556"/>
        <v>0</v>
      </c>
      <c r="R1092" s="329">
        <f t="shared" si="564"/>
        <v>0</v>
      </c>
      <c r="S1092" s="338">
        <f t="shared" si="557"/>
        <v>10000000</v>
      </c>
      <c r="T1092" s="329">
        <f t="shared" si="565"/>
        <v>0</v>
      </c>
      <c r="U1092" s="338">
        <f t="shared" si="567"/>
        <v>2200000</v>
      </c>
      <c r="V1092" s="329">
        <f t="shared" si="566"/>
        <v>0</v>
      </c>
      <c r="W1092" s="338">
        <f t="shared" si="558"/>
        <v>12224694.890000001</v>
      </c>
      <c r="X1092" s="35"/>
    </row>
    <row r="1093" spans="1:24" x14ac:dyDescent="0.25">
      <c r="A1093" s="335">
        <f t="shared" si="570"/>
        <v>44804</v>
      </c>
      <c r="B1093" s="49">
        <f t="shared" si="568"/>
        <v>0</v>
      </c>
      <c r="C1093" s="338">
        <f t="shared" si="549"/>
        <v>118886089</v>
      </c>
      <c r="D1093" s="329">
        <f t="shared" si="569"/>
        <v>0</v>
      </c>
      <c r="E1093" s="338">
        <f t="shared" si="550"/>
        <v>9769566</v>
      </c>
      <c r="F1093" s="329">
        <f t="shared" si="571"/>
        <v>0</v>
      </c>
      <c r="G1093" s="338">
        <f t="shared" si="551"/>
        <v>76400000</v>
      </c>
      <c r="H1093" s="329">
        <f t="shared" si="559"/>
        <v>0</v>
      </c>
      <c r="I1093" s="338">
        <f t="shared" si="552"/>
        <v>44350150</v>
      </c>
      <c r="J1093" s="329">
        <f t="shared" si="560"/>
        <v>0</v>
      </c>
      <c r="K1093" s="338">
        <f t="shared" si="553"/>
        <v>15100000</v>
      </c>
      <c r="L1093" s="329">
        <f t="shared" si="561"/>
        <v>0</v>
      </c>
      <c r="M1093" s="338">
        <f t="shared" si="554"/>
        <v>25332976</v>
      </c>
      <c r="N1093" s="329">
        <f t="shared" si="562"/>
        <v>0</v>
      </c>
      <c r="O1093" s="338">
        <f t="shared" si="555"/>
        <v>14300000</v>
      </c>
      <c r="P1093" s="329">
        <f t="shared" si="563"/>
        <v>0</v>
      </c>
      <c r="Q1093" s="338">
        <f t="shared" si="556"/>
        <v>0</v>
      </c>
      <c r="R1093" s="329">
        <f t="shared" si="564"/>
        <v>0</v>
      </c>
      <c r="S1093" s="338">
        <f t="shared" si="557"/>
        <v>10000000</v>
      </c>
      <c r="T1093" s="329">
        <f t="shared" si="565"/>
        <v>0</v>
      </c>
      <c r="U1093" s="338">
        <f t="shared" si="567"/>
        <v>2200000</v>
      </c>
      <c r="V1093" s="329">
        <f t="shared" si="566"/>
        <v>0</v>
      </c>
      <c r="W1093" s="338">
        <f t="shared" si="558"/>
        <v>12224694.890000001</v>
      </c>
      <c r="X1093" s="35"/>
    </row>
    <row r="1094" spans="1:24" x14ac:dyDescent="0.25">
      <c r="A1094" s="335">
        <f t="shared" si="570"/>
        <v>44805</v>
      </c>
      <c r="B1094" s="49">
        <f t="shared" si="568"/>
        <v>0</v>
      </c>
      <c r="C1094" s="338">
        <f t="shared" ref="C1094:C1157" si="572">B1094+C1093</f>
        <v>118886089</v>
      </c>
      <c r="D1094" s="329">
        <f t="shared" si="569"/>
        <v>0</v>
      </c>
      <c r="E1094" s="338">
        <f t="shared" ref="E1094:E1157" si="573">D1094+E1093</f>
        <v>9769566</v>
      </c>
      <c r="F1094" s="329">
        <f t="shared" si="571"/>
        <v>0</v>
      </c>
      <c r="G1094" s="338">
        <f t="shared" ref="G1094:G1157" si="574">F1094+G1093</f>
        <v>76400000</v>
      </c>
      <c r="H1094" s="329">
        <f t="shared" si="559"/>
        <v>0</v>
      </c>
      <c r="I1094" s="338">
        <f t="shared" ref="I1094:I1157" si="575">H1094+I1093</f>
        <v>44350150</v>
      </c>
      <c r="J1094" s="329">
        <f t="shared" si="560"/>
        <v>0</v>
      </c>
      <c r="K1094" s="338">
        <f t="shared" ref="K1094:K1157" si="576">J1094+K1093</f>
        <v>15100000</v>
      </c>
      <c r="L1094" s="329">
        <f t="shared" si="561"/>
        <v>0</v>
      </c>
      <c r="M1094" s="338">
        <f t="shared" ref="M1094:M1157" si="577">L1094+M1093</f>
        <v>25332976</v>
      </c>
      <c r="N1094" s="329">
        <f t="shared" si="562"/>
        <v>0</v>
      </c>
      <c r="O1094" s="338">
        <f t="shared" ref="O1094:O1157" si="578">N1094+O1093</f>
        <v>14300000</v>
      </c>
      <c r="P1094" s="329">
        <f t="shared" si="563"/>
        <v>0</v>
      </c>
      <c r="Q1094" s="338">
        <f t="shared" ref="Q1094:Q1157" si="579">P1094+Q1093</f>
        <v>0</v>
      </c>
      <c r="R1094" s="329">
        <f t="shared" si="564"/>
        <v>0</v>
      </c>
      <c r="S1094" s="338">
        <f t="shared" ref="S1094:S1157" si="580">R1094+S1093</f>
        <v>10000000</v>
      </c>
      <c r="T1094" s="329">
        <f t="shared" si="565"/>
        <v>0</v>
      </c>
      <c r="U1094" s="338">
        <f t="shared" si="567"/>
        <v>2200000</v>
      </c>
      <c r="V1094" s="329">
        <f t="shared" si="566"/>
        <v>0</v>
      </c>
      <c r="W1094" s="338">
        <f t="shared" ref="W1094:W1157" si="581">V1094+W1093</f>
        <v>12224694.890000001</v>
      </c>
      <c r="X1094" s="35"/>
    </row>
    <row r="1095" spans="1:24" x14ac:dyDescent="0.25">
      <c r="A1095" s="335">
        <f t="shared" si="570"/>
        <v>44806</v>
      </c>
      <c r="B1095" s="49">
        <f t="shared" si="568"/>
        <v>0</v>
      </c>
      <c r="C1095" s="338">
        <f t="shared" si="572"/>
        <v>118886089</v>
      </c>
      <c r="D1095" s="329">
        <f t="shared" si="569"/>
        <v>0</v>
      </c>
      <c r="E1095" s="338">
        <f t="shared" si="573"/>
        <v>9769566</v>
      </c>
      <c r="F1095" s="329">
        <f t="shared" si="571"/>
        <v>0</v>
      </c>
      <c r="G1095" s="338">
        <f t="shared" si="574"/>
        <v>76400000</v>
      </c>
      <c r="H1095" s="329">
        <f t="shared" si="559"/>
        <v>0</v>
      </c>
      <c r="I1095" s="338">
        <f t="shared" si="575"/>
        <v>44350150</v>
      </c>
      <c r="J1095" s="329">
        <f t="shared" si="560"/>
        <v>0</v>
      </c>
      <c r="K1095" s="338">
        <f t="shared" si="576"/>
        <v>15100000</v>
      </c>
      <c r="L1095" s="329">
        <f t="shared" si="561"/>
        <v>0</v>
      </c>
      <c r="M1095" s="338">
        <f t="shared" si="577"/>
        <v>25332976</v>
      </c>
      <c r="N1095" s="329">
        <f t="shared" si="562"/>
        <v>0</v>
      </c>
      <c r="O1095" s="338">
        <f t="shared" si="578"/>
        <v>14300000</v>
      </c>
      <c r="P1095" s="329">
        <f t="shared" si="563"/>
        <v>0</v>
      </c>
      <c r="Q1095" s="338">
        <f t="shared" si="579"/>
        <v>0</v>
      </c>
      <c r="R1095" s="329">
        <f t="shared" si="564"/>
        <v>0</v>
      </c>
      <c r="S1095" s="338">
        <f t="shared" si="580"/>
        <v>10000000</v>
      </c>
      <c r="T1095" s="329">
        <f t="shared" si="565"/>
        <v>0</v>
      </c>
      <c r="U1095" s="338">
        <f t="shared" si="567"/>
        <v>2200000</v>
      </c>
      <c r="V1095" s="329">
        <f t="shared" si="566"/>
        <v>0</v>
      </c>
      <c r="W1095" s="338">
        <f t="shared" si="581"/>
        <v>12224694.890000001</v>
      </c>
      <c r="X1095" s="35"/>
    </row>
    <row r="1096" spans="1:24" x14ac:dyDescent="0.25">
      <c r="A1096" s="335">
        <f t="shared" si="570"/>
        <v>44807</v>
      </c>
      <c r="B1096" s="49">
        <f t="shared" si="568"/>
        <v>0</v>
      </c>
      <c r="C1096" s="338">
        <f t="shared" si="572"/>
        <v>118886089</v>
      </c>
      <c r="D1096" s="329">
        <f t="shared" si="569"/>
        <v>0</v>
      </c>
      <c r="E1096" s="338">
        <f t="shared" si="573"/>
        <v>9769566</v>
      </c>
      <c r="F1096" s="329">
        <f t="shared" si="571"/>
        <v>0</v>
      </c>
      <c r="G1096" s="338">
        <f t="shared" si="574"/>
        <v>76400000</v>
      </c>
      <c r="H1096" s="329">
        <f t="shared" si="559"/>
        <v>0</v>
      </c>
      <c r="I1096" s="338">
        <f t="shared" si="575"/>
        <v>44350150</v>
      </c>
      <c r="J1096" s="329">
        <f t="shared" si="560"/>
        <v>0</v>
      </c>
      <c r="K1096" s="338">
        <f t="shared" si="576"/>
        <v>15100000</v>
      </c>
      <c r="L1096" s="329">
        <f t="shared" si="561"/>
        <v>0</v>
      </c>
      <c r="M1096" s="338">
        <f t="shared" si="577"/>
        <v>25332976</v>
      </c>
      <c r="N1096" s="329">
        <f t="shared" si="562"/>
        <v>0</v>
      </c>
      <c r="O1096" s="338">
        <f t="shared" si="578"/>
        <v>14300000</v>
      </c>
      <c r="P1096" s="329">
        <f t="shared" si="563"/>
        <v>0</v>
      </c>
      <c r="Q1096" s="338">
        <f t="shared" si="579"/>
        <v>0</v>
      </c>
      <c r="R1096" s="329">
        <f t="shared" si="564"/>
        <v>0</v>
      </c>
      <c r="S1096" s="338">
        <f t="shared" si="580"/>
        <v>10000000</v>
      </c>
      <c r="T1096" s="329">
        <f t="shared" si="565"/>
        <v>0</v>
      </c>
      <c r="U1096" s="338">
        <f t="shared" si="567"/>
        <v>2200000</v>
      </c>
      <c r="V1096" s="329">
        <f t="shared" si="566"/>
        <v>0</v>
      </c>
      <c r="W1096" s="338">
        <f t="shared" si="581"/>
        <v>12224694.890000001</v>
      </c>
      <c r="X1096" s="35"/>
    </row>
    <row r="1097" spans="1:24" x14ac:dyDescent="0.25">
      <c r="A1097" s="335">
        <f t="shared" si="570"/>
        <v>44808</v>
      </c>
      <c r="B1097" s="49">
        <f t="shared" si="568"/>
        <v>0</v>
      </c>
      <c r="C1097" s="338">
        <f t="shared" si="572"/>
        <v>118886089</v>
      </c>
      <c r="D1097" s="329">
        <f t="shared" si="569"/>
        <v>0</v>
      </c>
      <c r="E1097" s="338">
        <f t="shared" si="573"/>
        <v>9769566</v>
      </c>
      <c r="F1097" s="329">
        <f t="shared" si="571"/>
        <v>0</v>
      </c>
      <c r="G1097" s="338">
        <f t="shared" si="574"/>
        <v>76400000</v>
      </c>
      <c r="H1097" s="329">
        <f t="shared" si="559"/>
        <v>0</v>
      </c>
      <c r="I1097" s="338">
        <f t="shared" si="575"/>
        <v>44350150</v>
      </c>
      <c r="J1097" s="329">
        <f t="shared" si="560"/>
        <v>0</v>
      </c>
      <c r="K1097" s="338">
        <f t="shared" si="576"/>
        <v>15100000</v>
      </c>
      <c r="L1097" s="329">
        <f t="shared" si="561"/>
        <v>0</v>
      </c>
      <c r="M1097" s="338">
        <f t="shared" si="577"/>
        <v>25332976</v>
      </c>
      <c r="N1097" s="329">
        <f t="shared" si="562"/>
        <v>0</v>
      </c>
      <c r="O1097" s="338">
        <f t="shared" si="578"/>
        <v>14300000</v>
      </c>
      <c r="P1097" s="329">
        <f t="shared" si="563"/>
        <v>0</v>
      </c>
      <c r="Q1097" s="338">
        <f t="shared" si="579"/>
        <v>0</v>
      </c>
      <c r="R1097" s="329">
        <f t="shared" si="564"/>
        <v>0</v>
      </c>
      <c r="S1097" s="338">
        <f t="shared" si="580"/>
        <v>10000000</v>
      </c>
      <c r="T1097" s="329">
        <f t="shared" si="565"/>
        <v>0</v>
      </c>
      <c r="U1097" s="338">
        <f t="shared" si="567"/>
        <v>2200000</v>
      </c>
      <c r="V1097" s="329">
        <f t="shared" si="566"/>
        <v>0</v>
      </c>
      <c r="W1097" s="338">
        <f t="shared" si="581"/>
        <v>12224694.890000001</v>
      </c>
      <c r="X1097" s="35"/>
    </row>
    <row r="1098" spans="1:24" x14ac:dyDescent="0.25">
      <c r="A1098" s="335">
        <f t="shared" si="570"/>
        <v>44809</v>
      </c>
      <c r="B1098" s="49">
        <f t="shared" si="568"/>
        <v>0</v>
      </c>
      <c r="C1098" s="338">
        <f t="shared" si="572"/>
        <v>118886089</v>
      </c>
      <c r="D1098" s="329">
        <f t="shared" si="569"/>
        <v>0</v>
      </c>
      <c r="E1098" s="338">
        <f t="shared" si="573"/>
        <v>9769566</v>
      </c>
      <c r="F1098" s="329">
        <f t="shared" si="571"/>
        <v>0</v>
      </c>
      <c r="G1098" s="338">
        <f t="shared" si="574"/>
        <v>76400000</v>
      </c>
      <c r="H1098" s="329">
        <f t="shared" si="559"/>
        <v>0</v>
      </c>
      <c r="I1098" s="338">
        <f t="shared" si="575"/>
        <v>44350150</v>
      </c>
      <c r="J1098" s="329">
        <f t="shared" si="560"/>
        <v>0</v>
      </c>
      <c r="K1098" s="338">
        <f t="shared" si="576"/>
        <v>15100000</v>
      </c>
      <c r="L1098" s="329">
        <f t="shared" si="561"/>
        <v>0</v>
      </c>
      <c r="M1098" s="338">
        <f t="shared" si="577"/>
        <v>25332976</v>
      </c>
      <c r="N1098" s="329">
        <f t="shared" si="562"/>
        <v>0</v>
      </c>
      <c r="O1098" s="338">
        <f t="shared" si="578"/>
        <v>14300000</v>
      </c>
      <c r="P1098" s="329">
        <f t="shared" si="563"/>
        <v>0</v>
      </c>
      <c r="Q1098" s="338">
        <f t="shared" si="579"/>
        <v>0</v>
      </c>
      <c r="R1098" s="329">
        <f t="shared" si="564"/>
        <v>0</v>
      </c>
      <c r="S1098" s="338">
        <f t="shared" si="580"/>
        <v>10000000</v>
      </c>
      <c r="T1098" s="329">
        <f t="shared" si="565"/>
        <v>0</v>
      </c>
      <c r="U1098" s="338">
        <f t="shared" si="567"/>
        <v>2200000</v>
      </c>
      <c r="V1098" s="329">
        <f t="shared" si="566"/>
        <v>0</v>
      </c>
      <c r="W1098" s="338">
        <f t="shared" si="581"/>
        <v>12224694.890000001</v>
      </c>
      <c r="X1098" s="35"/>
    </row>
    <row r="1099" spans="1:24" x14ac:dyDescent="0.25">
      <c r="A1099" s="335">
        <f t="shared" si="570"/>
        <v>44810</v>
      </c>
      <c r="B1099" s="49">
        <f t="shared" si="568"/>
        <v>0</v>
      </c>
      <c r="C1099" s="338">
        <f t="shared" si="572"/>
        <v>118886089</v>
      </c>
      <c r="D1099" s="329">
        <f t="shared" si="569"/>
        <v>0</v>
      </c>
      <c r="E1099" s="338">
        <f t="shared" si="573"/>
        <v>9769566</v>
      </c>
      <c r="F1099" s="329">
        <f t="shared" si="571"/>
        <v>0</v>
      </c>
      <c r="G1099" s="338">
        <f t="shared" si="574"/>
        <v>76400000</v>
      </c>
      <c r="H1099" s="329">
        <f t="shared" si="559"/>
        <v>0</v>
      </c>
      <c r="I1099" s="338">
        <f t="shared" si="575"/>
        <v>44350150</v>
      </c>
      <c r="J1099" s="329">
        <f t="shared" si="560"/>
        <v>0</v>
      </c>
      <c r="K1099" s="338">
        <f t="shared" si="576"/>
        <v>15100000</v>
      </c>
      <c r="L1099" s="329">
        <f t="shared" si="561"/>
        <v>0</v>
      </c>
      <c r="M1099" s="338">
        <f t="shared" si="577"/>
        <v>25332976</v>
      </c>
      <c r="N1099" s="329">
        <f t="shared" si="562"/>
        <v>0</v>
      </c>
      <c r="O1099" s="338">
        <f t="shared" si="578"/>
        <v>14300000</v>
      </c>
      <c r="P1099" s="329">
        <f t="shared" si="563"/>
        <v>0</v>
      </c>
      <c r="Q1099" s="338">
        <f t="shared" si="579"/>
        <v>0</v>
      </c>
      <c r="R1099" s="329">
        <f t="shared" si="564"/>
        <v>0</v>
      </c>
      <c r="S1099" s="338">
        <f t="shared" si="580"/>
        <v>10000000</v>
      </c>
      <c r="T1099" s="329">
        <f t="shared" si="565"/>
        <v>0</v>
      </c>
      <c r="U1099" s="338">
        <f t="shared" si="567"/>
        <v>2200000</v>
      </c>
      <c r="V1099" s="329">
        <f t="shared" si="566"/>
        <v>0</v>
      </c>
      <c r="W1099" s="338">
        <f t="shared" si="581"/>
        <v>12224694.890000001</v>
      </c>
      <c r="X1099" s="35"/>
    </row>
    <row r="1100" spans="1:24" x14ac:dyDescent="0.25">
      <c r="A1100" s="335">
        <f t="shared" si="570"/>
        <v>44811</v>
      </c>
      <c r="B1100" s="49">
        <f t="shared" si="568"/>
        <v>0</v>
      </c>
      <c r="C1100" s="338">
        <f t="shared" si="572"/>
        <v>118886089</v>
      </c>
      <c r="D1100" s="329">
        <f t="shared" si="569"/>
        <v>0</v>
      </c>
      <c r="E1100" s="338">
        <f t="shared" si="573"/>
        <v>9769566</v>
      </c>
      <c r="F1100" s="329">
        <f t="shared" si="571"/>
        <v>0</v>
      </c>
      <c r="G1100" s="338">
        <f t="shared" si="574"/>
        <v>76400000</v>
      </c>
      <c r="H1100" s="329">
        <f t="shared" si="559"/>
        <v>0</v>
      </c>
      <c r="I1100" s="338">
        <f t="shared" si="575"/>
        <v>44350150</v>
      </c>
      <c r="J1100" s="329">
        <f t="shared" si="560"/>
        <v>0</v>
      </c>
      <c r="K1100" s="338">
        <f t="shared" si="576"/>
        <v>15100000</v>
      </c>
      <c r="L1100" s="329">
        <f t="shared" si="561"/>
        <v>0</v>
      </c>
      <c r="M1100" s="338">
        <f t="shared" si="577"/>
        <v>25332976</v>
      </c>
      <c r="N1100" s="329">
        <f t="shared" si="562"/>
        <v>0</v>
      </c>
      <c r="O1100" s="338">
        <f t="shared" si="578"/>
        <v>14300000</v>
      </c>
      <c r="P1100" s="329">
        <f t="shared" si="563"/>
        <v>0</v>
      </c>
      <c r="Q1100" s="338">
        <f t="shared" si="579"/>
        <v>0</v>
      </c>
      <c r="R1100" s="329">
        <f t="shared" si="564"/>
        <v>0</v>
      </c>
      <c r="S1100" s="338">
        <f t="shared" si="580"/>
        <v>10000000</v>
      </c>
      <c r="T1100" s="329">
        <f t="shared" si="565"/>
        <v>0</v>
      </c>
      <c r="U1100" s="338">
        <f t="shared" si="567"/>
        <v>2200000</v>
      </c>
      <c r="V1100" s="329">
        <f t="shared" si="566"/>
        <v>0</v>
      </c>
      <c r="W1100" s="338">
        <f t="shared" si="581"/>
        <v>12224694.890000001</v>
      </c>
      <c r="X1100" s="35"/>
    </row>
    <row r="1101" spans="1:24" x14ac:dyDescent="0.25">
      <c r="A1101" s="335">
        <f t="shared" si="570"/>
        <v>44812</v>
      </c>
      <c r="B1101" s="49">
        <f t="shared" si="568"/>
        <v>0</v>
      </c>
      <c r="C1101" s="338">
        <f t="shared" si="572"/>
        <v>118886089</v>
      </c>
      <c r="D1101" s="329">
        <f t="shared" si="569"/>
        <v>0</v>
      </c>
      <c r="E1101" s="338">
        <f t="shared" si="573"/>
        <v>9769566</v>
      </c>
      <c r="F1101" s="329">
        <f t="shared" si="571"/>
        <v>0</v>
      </c>
      <c r="G1101" s="338">
        <f t="shared" si="574"/>
        <v>76400000</v>
      </c>
      <c r="H1101" s="329">
        <f t="shared" si="559"/>
        <v>0</v>
      </c>
      <c r="I1101" s="338">
        <f t="shared" si="575"/>
        <v>44350150</v>
      </c>
      <c r="J1101" s="329">
        <f t="shared" si="560"/>
        <v>0</v>
      </c>
      <c r="K1101" s="338">
        <f t="shared" si="576"/>
        <v>15100000</v>
      </c>
      <c r="L1101" s="329">
        <f t="shared" si="561"/>
        <v>0</v>
      </c>
      <c r="M1101" s="338">
        <f t="shared" si="577"/>
        <v>25332976</v>
      </c>
      <c r="N1101" s="329">
        <f t="shared" si="562"/>
        <v>0</v>
      </c>
      <c r="O1101" s="338">
        <f t="shared" si="578"/>
        <v>14300000</v>
      </c>
      <c r="P1101" s="329">
        <f t="shared" si="563"/>
        <v>0</v>
      </c>
      <c r="Q1101" s="338">
        <f t="shared" si="579"/>
        <v>0</v>
      </c>
      <c r="R1101" s="329">
        <f t="shared" si="564"/>
        <v>0</v>
      </c>
      <c r="S1101" s="338">
        <f t="shared" si="580"/>
        <v>10000000</v>
      </c>
      <c r="T1101" s="329">
        <f t="shared" si="565"/>
        <v>0</v>
      </c>
      <c r="U1101" s="338">
        <f t="shared" si="567"/>
        <v>2200000</v>
      </c>
      <c r="V1101" s="329">
        <f t="shared" si="566"/>
        <v>0</v>
      </c>
      <c r="W1101" s="338">
        <f t="shared" si="581"/>
        <v>12224694.890000001</v>
      </c>
      <c r="X1101" s="35"/>
    </row>
    <row r="1102" spans="1:24" x14ac:dyDescent="0.25">
      <c r="A1102" s="335">
        <f t="shared" si="570"/>
        <v>44813</v>
      </c>
      <c r="B1102" s="49">
        <f t="shared" si="568"/>
        <v>0</v>
      </c>
      <c r="C1102" s="338">
        <f t="shared" si="572"/>
        <v>118886089</v>
      </c>
      <c r="D1102" s="329">
        <f t="shared" si="569"/>
        <v>0</v>
      </c>
      <c r="E1102" s="338">
        <f t="shared" si="573"/>
        <v>9769566</v>
      </c>
      <c r="F1102" s="329">
        <f t="shared" si="571"/>
        <v>0</v>
      </c>
      <c r="G1102" s="338">
        <f t="shared" si="574"/>
        <v>76400000</v>
      </c>
      <c r="H1102" s="329">
        <f t="shared" si="559"/>
        <v>0</v>
      </c>
      <c r="I1102" s="338">
        <f t="shared" si="575"/>
        <v>44350150</v>
      </c>
      <c r="J1102" s="329">
        <f t="shared" si="560"/>
        <v>0</v>
      </c>
      <c r="K1102" s="338">
        <f t="shared" si="576"/>
        <v>15100000</v>
      </c>
      <c r="L1102" s="329">
        <f t="shared" si="561"/>
        <v>0</v>
      </c>
      <c r="M1102" s="338">
        <f t="shared" si="577"/>
        <v>25332976</v>
      </c>
      <c r="N1102" s="329">
        <f t="shared" si="562"/>
        <v>0</v>
      </c>
      <c r="O1102" s="338">
        <f t="shared" si="578"/>
        <v>14300000</v>
      </c>
      <c r="P1102" s="329">
        <f t="shared" si="563"/>
        <v>0</v>
      </c>
      <c r="Q1102" s="338">
        <f t="shared" si="579"/>
        <v>0</v>
      </c>
      <c r="R1102" s="329">
        <f t="shared" si="564"/>
        <v>0</v>
      </c>
      <c r="S1102" s="338">
        <f t="shared" si="580"/>
        <v>10000000</v>
      </c>
      <c r="T1102" s="329">
        <f t="shared" si="565"/>
        <v>0</v>
      </c>
      <c r="U1102" s="338">
        <f t="shared" si="567"/>
        <v>2200000</v>
      </c>
      <c r="V1102" s="329">
        <f t="shared" si="566"/>
        <v>0</v>
      </c>
      <c r="W1102" s="338">
        <f t="shared" si="581"/>
        <v>12224694.890000001</v>
      </c>
      <c r="X1102" s="35"/>
    </row>
    <row r="1103" spans="1:24" x14ac:dyDescent="0.25">
      <c r="A1103" s="335">
        <f t="shared" si="570"/>
        <v>44814</v>
      </c>
      <c r="B1103" s="49">
        <f t="shared" si="568"/>
        <v>0</v>
      </c>
      <c r="C1103" s="338">
        <f t="shared" si="572"/>
        <v>118886089</v>
      </c>
      <c r="D1103" s="329">
        <f t="shared" si="569"/>
        <v>0</v>
      </c>
      <c r="E1103" s="338">
        <f t="shared" si="573"/>
        <v>9769566</v>
      </c>
      <c r="F1103" s="329">
        <f t="shared" si="571"/>
        <v>0</v>
      </c>
      <c r="G1103" s="338">
        <f t="shared" si="574"/>
        <v>76400000</v>
      </c>
      <c r="H1103" s="329">
        <f t="shared" si="559"/>
        <v>0</v>
      </c>
      <c r="I1103" s="338">
        <f t="shared" si="575"/>
        <v>44350150</v>
      </c>
      <c r="J1103" s="329">
        <f t="shared" si="560"/>
        <v>0</v>
      </c>
      <c r="K1103" s="338">
        <f t="shared" si="576"/>
        <v>15100000</v>
      </c>
      <c r="L1103" s="329">
        <f t="shared" si="561"/>
        <v>0</v>
      </c>
      <c r="M1103" s="338">
        <f t="shared" si="577"/>
        <v>25332976</v>
      </c>
      <c r="N1103" s="329">
        <f t="shared" si="562"/>
        <v>0</v>
      </c>
      <c r="O1103" s="338">
        <f t="shared" si="578"/>
        <v>14300000</v>
      </c>
      <c r="P1103" s="329">
        <f t="shared" si="563"/>
        <v>0</v>
      </c>
      <c r="Q1103" s="338">
        <f t="shared" si="579"/>
        <v>0</v>
      </c>
      <c r="R1103" s="329">
        <f t="shared" si="564"/>
        <v>0</v>
      </c>
      <c r="S1103" s="338">
        <f t="shared" si="580"/>
        <v>10000000</v>
      </c>
      <c r="T1103" s="329">
        <f t="shared" si="565"/>
        <v>0</v>
      </c>
      <c r="U1103" s="338">
        <f t="shared" si="567"/>
        <v>2200000</v>
      </c>
      <c r="V1103" s="329">
        <f t="shared" si="566"/>
        <v>0</v>
      </c>
      <c r="W1103" s="338">
        <f t="shared" si="581"/>
        <v>12224694.890000001</v>
      </c>
      <c r="X1103" s="35"/>
    </row>
    <row r="1104" spans="1:24" x14ac:dyDescent="0.25">
      <c r="A1104" s="335">
        <f t="shared" si="570"/>
        <v>44815</v>
      </c>
      <c r="B1104" s="49">
        <f t="shared" si="568"/>
        <v>0</v>
      </c>
      <c r="C1104" s="338">
        <f t="shared" si="572"/>
        <v>118886089</v>
      </c>
      <c r="D1104" s="329">
        <f t="shared" si="569"/>
        <v>0</v>
      </c>
      <c r="E1104" s="338">
        <f t="shared" si="573"/>
        <v>9769566</v>
      </c>
      <c r="F1104" s="329">
        <f t="shared" si="571"/>
        <v>0</v>
      </c>
      <c r="G1104" s="338">
        <f t="shared" si="574"/>
        <v>76400000</v>
      </c>
      <c r="H1104" s="329">
        <f t="shared" si="559"/>
        <v>0</v>
      </c>
      <c r="I1104" s="338">
        <f t="shared" si="575"/>
        <v>44350150</v>
      </c>
      <c r="J1104" s="329">
        <f t="shared" si="560"/>
        <v>0</v>
      </c>
      <c r="K1104" s="338">
        <f t="shared" si="576"/>
        <v>15100000</v>
      </c>
      <c r="L1104" s="329">
        <f t="shared" si="561"/>
        <v>0</v>
      </c>
      <c r="M1104" s="338">
        <f t="shared" si="577"/>
        <v>25332976</v>
      </c>
      <c r="N1104" s="329">
        <f t="shared" si="562"/>
        <v>0</v>
      </c>
      <c r="O1104" s="338">
        <f t="shared" si="578"/>
        <v>14300000</v>
      </c>
      <c r="P1104" s="329">
        <f t="shared" si="563"/>
        <v>0</v>
      </c>
      <c r="Q1104" s="338">
        <f t="shared" si="579"/>
        <v>0</v>
      </c>
      <c r="R1104" s="329">
        <f t="shared" si="564"/>
        <v>0</v>
      </c>
      <c r="S1104" s="338">
        <f t="shared" si="580"/>
        <v>10000000</v>
      </c>
      <c r="T1104" s="329">
        <f t="shared" si="565"/>
        <v>0</v>
      </c>
      <c r="U1104" s="338">
        <f t="shared" si="567"/>
        <v>2200000</v>
      </c>
      <c r="V1104" s="329">
        <f t="shared" si="566"/>
        <v>0</v>
      </c>
      <c r="W1104" s="338">
        <f t="shared" si="581"/>
        <v>12224694.890000001</v>
      </c>
      <c r="X1104" s="35"/>
    </row>
    <row r="1105" spans="1:24" x14ac:dyDescent="0.25">
      <c r="A1105" s="335">
        <f t="shared" si="570"/>
        <v>44816</v>
      </c>
      <c r="B1105" s="49">
        <f t="shared" si="568"/>
        <v>0</v>
      </c>
      <c r="C1105" s="338">
        <f t="shared" si="572"/>
        <v>118886089</v>
      </c>
      <c r="D1105" s="329">
        <f t="shared" si="569"/>
        <v>0</v>
      </c>
      <c r="E1105" s="338">
        <f t="shared" si="573"/>
        <v>9769566</v>
      </c>
      <c r="F1105" s="329">
        <f t="shared" si="571"/>
        <v>0</v>
      </c>
      <c r="G1105" s="338">
        <f t="shared" si="574"/>
        <v>76400000</v>
      </c>
      <c r="H1105" s="329">
        <f t="shared" si="559"/>
        <v>0</v>
      </c>
      <c r="I1105" s="338">
        <f t="shared" si="575"/>
        <v>44350150</v>
      </c>
      <c r="J1105" s="329">
        <f t="shared" si="560"/>
        <v>0</v>
      </c>
      <c r="K1105" s="338">
        <f t="shared" si="576"/>
        <v>15100000</v>
      </c>
      <c r="L1105" s="329">
        <f t="shared" si="561"/>
        <v>0</v>
      </c>
      <c r="M1105" s="338">
        <f t="shared" si="577"/>
        <v>25332976</v>
      </c>
      <c r="N1105" s="329">
        <f t="shared" si="562"/>
        <v>0</v>
      </c>
      <c r="O1105" s="338">
        <f t="shared" si="578"/>
        <v>14300000</v>
      </c>
      <c r="P1105" s="329">
        <f t="shared" si="563"/>
        <v>0</v>
      </c>
      <c r="Q1105" s="338">
        <f t="shared" si="579"/>
        <v>0</v>
      </c>
      <c r="R1105" s="329">
        <f t="shared" si="564"/>
        <v>0</v>
      </c>
      <c r="S1105" s="338">
        <f t="shared" si="580"/>
        <v>10000000</v>
      </c>
      <c r="T1105" s="329">
        <f t="shared" si="565"/>
        <v>0</v>
      </c>
      <c r="U1105" s="338">
        <f t="shared" si="567"/>
        <v>2200000</v>
      </c>
      <c r="V1105" s="329">
        <f t="shared" si="566"/>
        <v>0</v>
      </c>
      <c r="W1105" s="338">
        <f t="shared" si="581"/>
        <v>12224694.890000001</v>
      </c>
      <c r="X1105" s="35"/>
    </row>
    <row r="1106" spans="1:24" x14ac:dyDescent="0.25">
      <c r="A1106" s="335">
        <f t="shared" si="570"/>
        <v>44817</v>
      </c>
      <c r="B1106" s="49">
        <f t="shared" si="568"/>
        <v>0</v>
      </c>
      <c r="C1106" s="338">
        <f t="shared" si="572"/>
        <v>118886089</v>
      </c>
      <c r="D1106" s="329">
        <f t="shared" si="569"/>
        <v>0</v>
      </c>
      <c r="E1106" s="338">
        <f t="shared" si="573"/>
        <v>9769566</v>
      </c>
      <c r="F1106" s="329">
        <f t="shared" si="571"/>
        <v>0</v>
      </c>
      <c r="G1106" s="338">
        <f t="shared" si="574"/>
        <v>76400000</v>
      </c>
      <c r="H1106" s="329">
        <f t="shared" si="559"/>
        <v>0</v>
      </c>
      <c r="I1106" s="338">
        <f t="shared" si="575"/>
        <v>44350150</v>
      </c>
      <c r="J1106" s="329">
        <f t="shared" si="560"/>
        <v>0</v>
      </c>
      <c r="K1106" s="338">
        <f t="shared" si="576"/>
        <v>15100000</v>
      </c>
      <c r="L1106" s="329">
        <f t="shared" si="561"/>
        <v>0</v>
      </c>
      <c r="M1106" s="338">
        <f t="shared" si="577"/>
        <v>25332976</v>
      </c>
      <c r="N1106" s="329">
        <f t="shared" si="562"/>
        <v>0</v>
      </c>
      <c r="O1106" s="338">
        <f t="shared" si="578"/>
        <v>14300000</v>
      </c>
      <c r="P1106" s="329">
        <f t="shared" si="563"/>
        <v>0</v>
      </c>
      <c r="Q1106" s="338">
        <f t="shared" si="579"/>
        <v>0</v>
      </c>
      <c r="R1106" s="329">
        <f t="shared" si="564"/>
        <v>0</v>
      </c>
      <c r="S1106" s="338">
        <f t="shared" si="580"/>
        <v>10000000</v>
      </c>
      <c r="T1106" s="329">
        <f t="shared" si="565"/>
        <v>0</v>
      </c>
      <c r="U1106" s="338">
        <f t="shared" si="567"/>
        <v>2200000</v>
      </c>
      <c r="V1106" s="329">
        <f t="shared" si="566"/>
        <v>0</v>
      </c>
      <c r="W1106" s="338">
        <f t="shared" si="581"/>
        <v>12224694.890000001</v>
      </c>
      <c r="X1106" s="35"/>
    </row>
    <row r="1107" spans="1:24" x14ac:dyDescent="0.25">
      <c r="A1107" s="335">
        <f t="shared" si="570"/>
        <v>44818</v>
      </c>
      <c r="B1107" s="49">
        <f t="shared" si="568"/>
        <v>0</v>
      </c>
      <c r="C1107" s="338">
        <f t="shared" si="572"/>
        <v>118886089</v>
      </c>
      <c r="D1107" s="329">
        <f t="shared" si="569"/>
        <v>0</v>
      </c>
      <c r="E1107" s="338">
        <f t="shared" si="573"/>
        <v>9769566</v>
      </c>
      <c r="F1107" s="329">
        <f t="shared" si="571"/>
        <v>0</v>
      </c>
      <c r="G1107" s="338">
        <f t="shared" si="574"/>
        <v>76400000</v>
      </c>
      <c r="H1107" s="329">
        <f t="shared" si="559"/>
        <v>0</v>
      </c>
      <c r="I1107" s="338">
        <f t="shared" si="575"/>
        <v>44350150</v>
      </c>
      <c r="J1107" s="329">
        <f t="shared" si="560"/>
        <v>0</v>
      </c>
      <c r="K1107" s="338">
        <f t="shared" si="576"/>
        <v>15100000</v>
      </c>
      <c r="L1107" s="329">
        <f t="shared" si="561"/>
        <v>0</v>
      </c>
      <c r="M1107" s="338">
        <f t="shared" si="577"/>
        <v>25332976</v>
      </c>
      <c r="N1107" s="329">
        <f t="shared" si="562"/>
        <v>0</v>
      </c>
      <c r="O1107" s="338">
        <f t="shared" si="578"/>
        <v>14300000</v>
      </c>
      <c r="P1107" s="329">
        <f t="shared" si="563"/>
        <v>0</v>
      </c>
      <c r="Q1107" s="338">
        <f t="shared" si="579"/>
        <v>0</v>
      </c>
      <c r="R1107" s="329">
        <f t="shared" si="564"/>
        <v>0</v>
      </c>
      <c r="S1107" s="338">
        <f t="shared" si="580"/>
        <v>10000000</v>
      </c>
      <c r="T1107" s="329">
        <f t="shared" si="565"/>
        <v>0</v>
      </c>
      <c r="U1107" s="338">
        <f t="shared" si="567"/>
        <v>2200000</v>
      </c>
      <c r="V1107" s="329">
        <f t="shared" si="566"/>
        <v>0</v>
      </c>
      <c r="W1107" s="338">
        <f t="shared" si="581"/>
        <v>12224694.890000001</v>
      </c>
      <c r="X1107" s="35"/>
    </row>
    <row r="1108" spans="1:24" x14ac:dyDescent="0.25">
      <c r="A1108" s="335">
        <f t="shared" si="570"/>
        <v>44819</v>
      </c>
      <c r="B1108" s="49">
        <f t="shared" si="568"/>
        <v>0</v>
      </c>
      <c r="C1108" s="338">
        <f t="shared" si="572"/>
        <v>118886089</v>
      </c>
      <c r="D1108" s="329">
        <f t="shared" si="569"/>
        <v>0</v>
      </c>
      <c r="E1108" s="338">
        <f t="shared" si="573"/>
        <v>9769566</v>
      </c>
      <c r="F1108" s="329">
        <f t="shared" si="571"/>
        <v>0</v>
      </c>
      <c r="G1108" s="338">
        <f t="shared" si="574"/>
        <v>76400000</v>
      </c>
      <c r="H1108" s="329">
        <f t="shared" si="559"/>
        <v>0</v>
      </c>
      <c r="I1108" s="338">
        <f t="shared" si="575"/>
        <v>44350150</v>
      </c>
      <c r="J1108" s="329">
        <f t="shared" si="560"/>
        <v>0</v>
      </c>
      <c r="K1108" s="338">
        <f t="shared" si="576"/>
        <v>15100000</v>
      </c>
      <c r="L1108" s="329">
        <f t="shared" si="561"/>
        <v>0</v>
      </c>
      <c r="M1108" s="338">
        <f t="shared" si="577"/>
        <v>25332976</v>
      </c>
      <c r="N1108" s="329">
        <f t="shared" si="562"/>
        <v>0</v>
      </c>
      <c r="O1108" s="338">
        <f t="shared" si="578"/>
        <v>14300000</v>
      </c>
      <c r="P1108" s="329">
        <f t="shared" si="563"/>
        <v>0</v>
      </c>
      <c r="Q1108" s="338">
        <f t="shared" si="579"/>
        <v>0</v>
      </c>
      <c r="R1108" s="329">
        <f t="shared" si="564"/>
        <v>0</v>
      </c>
      <c r="S1108" s="338">
        <f t="shared" si="580"/>
        <v>10000000</v>
      </c>
      <c r="T1108" s="329">
        <f t="shared" si="565"/>
        <v>0</v>
      </c>
      <c r="U1108" s="338">
        <f t="shared" si="567"/>
        <v>2200000</v>
      </c>
      <c r="V1108" s="329">
        <f t="shared" si="566"/>
        <v>0</v>
      </c>
      <c r="W1108" s="338">
        <f t="shared" si="581"/>
        <v>12224694.890000001</v>
      </c>
      <c r="X1108" s="35"/>
    </row>
    <row r="1109" spans="1:24" x14ac:dyDescent="0.25">
      <c r="A1109" s="335">
        <f t="shared" si="570"/>
        <v>44820</v>
      </c>
      <c r="B1109" s="49">
        <f t="shared" si="568"/>
        <v>0</v>
      </c>
      <c r="C1109" s="338">
        <f t="shared" si="572"/>
        <v>118886089</v>
      </c>
      <c r="D1109" s="329">
        <f t="shared" si="569"/>
        <v>0</v>
      </c>
      <c r="E1109" s="338">
        <f t="shared" si="573"/>
        <v>9769566</v>
      </c>
      <c r="F1109" s="329">
        <f t="shared" si="571"/>
        <v>0</v>
      </c>
      <c r="G1109" s="338">
        <f t="shared" si="574"/>
        <v>76400000</v>
      </c>
      <c r="H1109" s="329">
        <f t="shared" si="559"/>
        <v>0</v>
      </c>
      <c r="I1109" s="338">
        <f t="shared" si="575"/>
        <v>44350150</v>
      </c>
      <c r="J1109" s="329">
        <f t="shared" si="560"/>
        <v>0</v>
      </c>
      <c r="K1109" s="338">
        <f t="shared" si="576"/>
        <v>15100000</v>
      </c>
      <c r="L1109" s="329">
        <f t="shared" si="561"/>
        <v>0</v>
      </c>
      <c r="M1109" s="338">
        <f t="shared" si="577"/>
        <v>25332976</v>
      </c>
      <c r="N1109" s="329">
        <f t="shared" si="562"/>
        <v>0</v>
      </c>
      <c r="O1109" s="338">
        <f t="shared" si="578"/>
        <v>14300000</v>
      </c>
      <c r="P1109" s="329">
        <f t="shared" si="563"/>
        <v>0</v>
      </c>
      <c r="Q1109" s="338">
        <f t="shared" si="579"/>
        <v>0</v>
      </c>
      <c r="R1109" s="329">
        <f t="shared" si="564"/>
        <v>0</v>
      </c>
      <c r="S1109" s="338">
        <f t="shared" si="580"/>
        <v>10000000</v>
      </c>
      <c r="T1109" s="329">
        <f t="shared" si="565"/>
        <v>0</v>
      </c>
      <c r="U1109" s="338">
        <f t="shared" si="567"/>
        <v>2200000</v>
      </c>
      <c r="V1109" s="329">
        <f t="shared" si="566"/>
        <v>0</v>
      </c>
      <c r="W1109" s="338">
        <f t="shared" si="581"/>
        <v>12224694.890000001</v>
      </c>
      <c r="X1109" s="35"/>
    </row>
    <row r="1110" spans="1:24" x14ac:dyDescent="0.25">
      <c r="A1110" s="335">
        <f t="shared" si="570"/>
        <v>44821</v>
      </c>
      <c r="B1110" s="49">
        <f t="shared" si="568"/>
        <v>0</v>
      </c>
      <c r="C1110" s="338">
        <f t="shared" si="572"/>
        <v>118886089</v>
      </c>
      <c r="D1110" s="329">
        <f t="shared" si="569"/>
        <v>0</v>
      </c>
      <c r="E1110" s="338">
        <f t="shared" si="573"/>
        <v>9769566</v>
      </c>
      <c r="F1110" s="329">
        <f t="shared" si="571"/>
        <v>0</v>
      </c>
      <c r="G1110" s="338">
        <f t="shared" si="574"/>
        <v>76400000</v>
      </c>
      <c r="H1110" s="329">
        <f t="shared" si="559"/>
        <v>0</v>
      </c>
      <c r="I1110" s="338">
        <f t="shared" si="575"/>
        <v>44350150</v>
      </c>
      <c r="J1110" s="329">
        <f t="shared" si="560"/>
        <v>0</v>
      </c>
      <c r="K1110" s="338">
        <f t="shared" si="576"/>
        <v>15100000</v>
      </c>
      <c r="L1110" s="329">
        <f t="shared" si="561"/>
        <v>0</v>
      </c>
      <c r="M1110" s="338">
        <f t="shared" si="577"/>
        <v>25332976</v>
      </c>
      <c r="N1110" s="329">
        <f t="shared" si="562"/>
        <v>0</v>
      </c>
      <c r="O1110" s="338">
        <f t="shared" si="578"/>
        <v>14300000</v>
      </c>
      <c r="P1110" s="329">
        <f t="shared" si="563"/>
        <v>0</v>
      </c>
      <c r="Q1110" s="338">
        <f t="shared" si="579"/>
        <v>0</v>
      </c>
      <c r="R1110" s="329">
        <f t="shared" si="564"/>
        <v>0</v>
      </c>
      <c r="S1110" s="338">
        <f t="shared" si="580"/>
        <v>10000000</v>
      </c>
      <c r="T1110" s="329">
        <f t="shared" si="565"/>
        <v>0</v>
      </c>
      <c r="U1110" s="338">
        <f t="shared" si="567"/>
        <v>2200000</v>
      </c>
      <c r="V1110" s="329">
        <f t="shared" si="566"/>
        <v>0</v>
      </c>
      <c r="W1110" s="338">
        <f t="shared" si="581"/>
        <v>12224694.890000001</v>
      </c>
      <c r="X1110" s="35"/>
    </row>
    <row r="1111" spans="1:24" x14ac:dyDescent="0.25">
      <c r="A1111" s="335">
        <f t="shared" si="570"/>
        <v>44822</v>
      </c>
      <c r="B1111" s="49">
        <f t="shared" si="568"/>
        <v>0</v>
      </c>
      <c r="C1111" s="338">
        <f t="shared" si="572"/>
        <v>118886089</v>
      </c>
      <c r="D1111" s="329">
        <f t="shared" si="569"/>
        <v>0</v>
      </c>
      <c r="E1111" s="338">
        <f t="shared" si="573"/>
        <v>9769566</v>
      </c>
      <c r="F1111" s="329">
        <f t="shared" si="571"/>
        <v>0</v>
      </c>
      <c r="G1111" s="338">
        <f t="shared" si="574"/>
        <v>76400000</v>
      </c>
      <c r="H1111" s="329">
        <f t="shared" si="559"/>
        <v>0</v>
      </c>
      <c r="I1111" s="338">
        <f t="shared" si="575"/>
        <v>44350150</v>
      </c>
      <c r="J1111" s="329">
        <f t="shared" si="560"/>
        <v>0</v>
      </c>
      <c r="K1111" s="338">
        <f t="shared" si="576"/>
        <v>15100000</v>
      </c>
      <c r="L1111" s="329">
        <f t="shared" si="561"/>
        <v>0</v>
      </c>
      <c r="M1111" s="338">
        <f t="shared" si="577"/>
        <v>25332976</v>
      </c>
      <c r="N1111" s="329">
        <f t="shared" si="562"/>
        <v>0</v>
      </c>
      <c r="O1111" s="338">
        <f t="shared" si="578"/>
        <v>14300000</v>
      </c>
      <c r="P1111" s="329">
        <f t="shared" si="563"/>
        <v>0</v>
      </c>
      <c r="Q1111" s="338">
        <f t="shared" si="579"/>
        <v>0</v>
      </c>
      <c r="R1111" s="329">
        <f t="shared" si="564"/>
        <v>0</v>
      </c>
      <c r="S1111" s="338">
        <f t="shared" si="580"/>
        <v>10000000</v>
      </c>
      <c r="T1111" s="329">
        <f t="shared" si="565"/>
        <v>0</v>
      </c>
      <c r="U1111" s="338">
        <f t="shared" si="567"/>
        <v>2200000</v>
      </c>
      <c r="V1111" s="329">
        <f t="shared" si="566"/>
        <v>0</v>
      </c>
      <c r="W1111" s="338">
        <f t="shared" si="581"/>
        <v>12224694.890000001</v>
      </c>
      <c r="X1111" s="35"/>
    </row>
    <row r="1112" spans="1:24" x14ac:dyDescent="0.25">
      <c r="A1112" s="335">
        <f t="shared" si="570"/>
        <v>44823</v>
      </c>
      <c r="B1112" s="49">
        <f t="shared" si="568"/>
        <v>0</v>
      </c>
      <c r="C1112" s="338">
        <f t="shared" si="572"/>
        <v>118886089</v>
      </c>
      <c r="D1112" s="329">
        <f t="shared" si="569"/>
        <v>0</v>
      </c>
      <c r="E1112" s="338">
        <f t="shared" si="573"/>
        <v>9769566</v>
      </c>
      <c r="F1112" s="329">
        <f t="shared" si="571"/>
        <v>0</v>
      </c>
      <c r="G1112" s="338">
        <f t="shared" si="574"/>
        <v>76400000</v>
      </c>
      <c r="H1112" s="329">
        <f t="shared" si="559"/>
        <v>0</v>
      </c>
      <c r="I1112" s="338">
        <f t="shared" si="575"/>
        <v>44350150</v>
      </c>
      <c r="J1112" s="329">
        <f t="shared" si="560"/>
        <v>0</v>
      </c>
      <c r="K1112" s="338">
        <f t="shared" si="576"/>
        <v>15100000</v>
      </c>
      <c r="L1112" s="329">
        <f t="shared" si="561"/>
        <v>0</v>
      </c>
      <c r="M1112" s="338">
        <f t="shared" si="577"/>
        <v>25332976</v>
      </c>
      <c r="N1112" s="329">
        <f t="shared" si="562"/>
        <v>0</v>
      </c>
      <c r="O1112" s="338">
        <f t="shared" si="578"/>
        <v>14300000</v>
      </c>
      <c r="P1112" s="329">
        <f t="shared" si="563"/>
        <v>0</v>
      </c>
      <c r="Q1112" s="338">
        <f t="shared" si="579"/>
        <v>0</v>
      </c>
      <c r="R1112" s="329">
        <f t="shared" si="564"/>
        <v>0</v>
      </c>
      <c r="S1112" s="338">
        <f t="shared" si="580"/>
        <v>10000000</v>
      </c>
      <c r="T1112" s="329">
        <f t="shared" si="565"/>
        <v>0</v>
      </c>
      <c r="U1112" s="338">
        <f t="shared" si="567"/>
        <v>2200000</v>
      </c>
      <c r="V1112" s="329">
        <f t="shared" si="566"/>
        <v>0</v>
      </c>
      <c r="W1112" s="338">
        <f t="shared" si="581"/>
        <v>12224694.890000001</v>
      </c>
      <c r="X1112" s="35"/>
    </row>
    <row r="1113" spans="1:24" x14ac:dyDescent="0.25">
      <c r="A1113" s="335">
        <f t="shared" si="570"/>
        <v>44824</v>
      </c>
      <c r="B1113" s="49">
        <f t="shared" si="568"/>
        <v>0</v>
      </c>
      <c r="C1113" s="338">
        <f t="shared" si="572"/>
        <v>118886089</v>
      </c>
      <c r="D1113" s="329">
        <f t="shared" si="569"/>
        <v>0</v>
      </c>
      <c r="E1113" s="338">
        <f t="shared" si="573"/>
        <v>9769566</v>
      </c>
      <c r="F1113" s="329">
        <f t="shared" si="571"/>
        <v>0</v>
      </c>
      <c r="G1113" s="338">
        <f t="shared" si="574"/>
        <v>76400000</v>
      </c>
      <c r="H1113" s="329">
        <f t="shared" si="559"/>
        <v>0</v>
      </c>
      <c r="I1113" s="338">
        <f t="shared" si="575"/>
        <v>44350150</v>
      </c>
      <c r="J1113" s="329">
        <f t="shared" si="560"/>
        <v>0</v>
      </c>
      <c r="K1113" s="338">
        <f t="shared" si="576"/>
        <v>15100000</v>
      </c>
      <c r="L1113" s="329">
        <f t="shared" si="561"/>
        <v>0</v>
      </c>
      <c r="M1113" s="338">
        <f t="shared" si="577"/>
        <v>25332976</v>
      </c>
      <c r="N1113" s="329">
        <f t="shared" si="562"/>
        <v>0</v>
      </c>
      <c r="O1113" s="338">
        <f t="shared" si="578"/>
        <v>14300000</v>
      </c>
      <c r="P1113" s="329">
        <f t="shared" si="563"/>
        <v>0</v>
      </c>
      <c r="Q1113" s="338">
        <f t="shared" si="579"/>
        <v>0</v>
      </c>
      <c r="R1113" s="329">
        <f t="shared" si="564"/>
        <v>0</v>
      </c>
      <c r="S1113" s="338">
        <f t="shared" si="580"/>
        <v>10000000</v>
      </c>
      <c r="T1113" s="329">
        <f t="shared" si="565"/>
        <v>0</v>
      </c>
      <c r="U1113" s="338">
        <f t="shared" si="567"/>
        <v>2200000</v>
      </c>
      <c r="V1113" s="329">
        <f t="shared" si="566"/>
        <v>0</v>
      </c>
      <c r="W1113" s="338">
        <f t="shared" si="581"/>
        <v>12224694.890000001</v>
      </c>
      <c r="X1113" s="35"/>
    </row>
    <row r="1114" spans="1:24" x14ac:dyDescent="0.25">
      <c r="A1114" s="335">
        <f t="shared" si="570"/>
        <v>44825</v>
      </c>
      <c r="B1114" s="49">
        <f t="shared" si="568"/>
        <v>0</v>
      </c>
      <c r="C1114" s="338">
        <f t="shared" si="572"/>
        <v>118886089</v>
      </c>
      <c r="D1114" s="329">
        <f t="shared" si="569"/>
        <v>0</v>
      </c>
      <c r="E1114" s="338">
        <f t="shared" si="573"/>
        <v>9769566</v>
      </c>
      <c r="F1114" s="329">
        <f t="shared" si="571"/>
        <v>0</v>
      </c>
      <c r="G1114" s="338">
        <f t="shared" si="574"/>
        <v>76400000</v>
      </c>
      <c r="H1114" s="329">
        <f t="shared" si="559"/>
        <v>0</v>
      </c>
      <c r="I1114" s="338">
        <f t="shared" si="575"/>
        <v>44350150</v>
      </c>
      <c r="J1114" s="329">
        <f t="shared" si="560"/>
        <v>0</v>
      </c>
      <c r="K1114" s="338">
        <f t="shared" si="576"/>
        <v>15100000</v>
      </c>
      <c r="L1114" s="329">
        <f t="shared" si="561"/>
        <v>0</v>
      </c>
      <c r="M1114" s="338">
        <f t="shared" si="577"/>
        <v>25332976</v>
      </c>
      <c r="N1114" s="329">
        <f t="shared" si="562"/>
        <v>0</v>
      </c>
      <c r="O1114" s="338">
        <f t="shared" si="578"/>
        <v>14300000</v>
      </c>
      <c r="P1114" s="329">
        <f t="shared" si="563"/>
        <v>0</v>
      </c>
      <c r="Q1114" s="338">
        <f t="shared" si="579"/>
        <v>0</v>
      </c>
      <c r="R1114" s="329">
        <f t="shared" si="564"/>
        <v>0</v>
      </c>
      <c r="S1114" s="338">
        <f t="shared" si="580"/>
        <v>10000000</v>
      </c>
      <c r="T1114" s="329">
        <f t="shared" si="565"/>
        <v>0</v>
      </c>
      <c r="U1114" s="338">
        <f t="shared" si="567"/>
        <v>2200000</v>
      </c>
      <c r="V1114" s="329">
        <f t="shared" si="566"/>
        <v>0</v>
      </c>
      <c r="W1114" s="338">
        <f t="shared" si="581"/>
        <v>12224694.890000001</v>
      </c>
      <c r="X1114" s="35"/>
    </row>
    <row r="1115" spans="1:24" x14ac:dyDescent="0.25">
      <c r="A1115" s="335">
        <f t="shared" si="570"/>
        <v>44826</v>
      </c>
      <c r="B1115" s="49">
        <f t="shared" si="568"/>
        <v>0</v>
      </c>
      <c r="C1115" s="338">
        <f t="shared" si="572"/>
        <v>118886089</v>
      </c>
      <c r="D1115" s="329">
        <f t="shared" si="569"/>
        <v>0</v>
      </c>
      <c r="E1115" s="338">
        <f t="shared" si="573"/>
        <v>9769566</v>
      </c>
      <c r="F1115" s="329">
        <f t="shared" si="571"/>
        <v>0</v>
      </c>
      <c r="G1115" s="338">
        <f t="shared" si="574"/>
        <v>76400000</v>
      </c>
      <c r="H1115" s="329">
        <f t="shared" si="559"/>
        <v>0</v>
      </c>
      <c r="I1115" s="338">
        <f t="shared" si="575"/>
        <v>44350150</v>
      </c>
      <c r="J1115" s="329">
        <f t="shared" si="560"/>
        <v>0</v>
      </c>
      <c r="K1115" s="338">
        <f t="shared" si="576"/>
        <v>15100000</v>
      </c>
      <c r="L1115" s="329">
        <f t="shared" si="561"/>
        <v>0</v>
      </c>
      <c r="M1115" s="338">
        <f t="shared" si="577"/>
        <v>25332976</v>
      </c>
      <c r="N1115" s="329">
        <f t="shared" si="562"/>
        <v>0</v>
      </c>
      <c r="O1115" s="338">
        <f t="shared" si="578"/>
        <v>14300000</v>
      </c>
      <c r="P1115" s="329">
        <f t="shared" si="563"/>
        <v>0</v>
      </c>
      <c r="Q1115" s="338">
        <f t="shared" si="579"/>
        <v>0</v>
      </c>
      <c r="R1115" s="329">
        <f t="shared" si="564"/>
        <v>0</v>
      </c>
      <c r="S1115" s="338">
        <f t="shared" si="580"/>
        <v>10000000</v>
      </c>
      <c r="T1115" s="329">
        <f t="shared" si="565"/>
        <v>0</v>
      </c>
      <c r="U1115" s="338">
        <f t="shared" si="567"/>
        <v>2200000</v>
      </c>
      <c r="V1115" s="329">
        <f t="shared" si="566"/>
        <v>0</v>
      </c>
      <c r="W1115" s="338">
        <f t="shared" si="581"/>
        <v>12224694.890000001</v>
      </c>
      <c r="X1115" s="35"/>
    </row>
    <row r="1116" spans="1:24" x14ac:dyDescent="0.25">
      <c r="A1116" s="335">
        <f t="shared" si="570"/>
        <v>44827</v>
      </c>
      <c r="B1116" s="49">
        <f t="shared" si="568"/>
        <v>0</v>
      </c>
      <c r="C1116" s="338">
        <f t="shared" si="572"/>
        <v>118886089</v>
      </c>
      <c r="D1116" s="329">
        <f t="shared" si="569"/>
        <v>0</v>
      </c>
      <c r="E1116" s="338">
        <f t="shared" si="573"/>
        <v>9769566</v>
      </c>
      <c r="F1116" s="329">
        <f t="shared" si="571"/>
        <v>0</v>
      </c>
      <c r="G1116" s="338">
        <f t="shared" si="574"/>
        <v>76400000</v>
      </c>
      <c r="H1116" s="329">
        <f t="shared" si="559"/>
        <v>0</v>
      </c>
      <c r="I1116" s="338">
        <f t="shared" si="575"/>
        <v>44350150</v>
      </c>
      <c r="J1116" s="329">
        <f t="shared" si="560"/>
        <v>0</v>
      </c>
      <c r="K1116" s="338">
        <f t="shared" si="576"/>
        <v>15100000</v>
      </c>
      <c r="L1116" s="329">
        <f t="shared" si="561"/>
        <v>0</v>
      </c>
      <c r="M1116" s="338">
        <f t="shared" si="577"/>
        <v>25332976</v>
      </c>
      <c r="N1116" s="329">
        <f t="shared" si="562"/>
        <v>0</v>
      </c>
      <c r="O1116" s="338">
        <f t="shared" si="578"/>
        <v>14300000</v>
      </c>
      <c r="P1116" s="329">
        <f t="shared" si="563"/>
        <v>0</v>
      </c>
      <c r="Q1116" s="338">
        <f t="shared" si="579"/>
        <v>0</v>
      </c>
      <c r="R1116" s="329">
        <f t="shared" si="564"/>
        <v>0</v>
      </c>
      <c r="S1116" s="338">
        <f t="shared" si="580"/>
        <v>10000000</v>
      </c>
      <c r="T1116" s="329">
        <f t="shared" si="565"/>
        <v>0</v>
      </c>
      <c r="U1116" s="338">
        <f t="shared" si="567"/>
        <v>2200000</v>
      </c>
      <c r="V1116" s="329">
        <f t="shared" si="566"/>
        <v>0</v>
      </c>
      <c r="W1116" s="338">
        <f t="shared" si="581"/>
        <v>12224694.890000001</v>
      </c>
      <c r="X1116" s="35"/>
    </row>
    <row r="1117" spans="1:24" x14ac:dyDescent="0.25">
      <c r="A1117" s="335">
        <f t="shared" si="570"/>
        <v>44828</v>
      </c>
      <c r="B1117" s="49">
        <f t="shared" si="568"/>
        <v>0</v>
      </c>
      <c r="C1117" s="338">
        <f t="shared" si="572"/>
        <v>118886089</v>
      </c>
      <c r="D1117" s="329">
        <f t="shared" si="569"/>
        <v>0</v>
      </c>
      <c r="E1117" s="338">
        <f t="shared" si="573"/>
        <v>9769566</v>
      </c>
      <c r="F1117" s="329">
        <f t="shared" si="571"/>
        <v>0</v>
      </c>
      <c r="G1117" s="338">
        <f t="shared" si="574"/>
        <v>76400000</v>
      </c>
      <c r="H1117" s="329">
        <f t="shared" si="559"/>
        <v>0</v>
      </c>
      <c r="I1117" s="338">
        <f t="shared" si="575"/>
        <v>44350150</v>
      </c>
      <c r="J1117" s="329">
        <f t="shared" si="560"/>
        <v>0</v>
      </c>
      <c r="K1117" s="338">
        <f t="shared" si="576"/>
        <v>15100000</v>
      </c>
      <c r="L1117" s="329">
        <f t="shared" si="561"/>
        <v>0</v>
      </c>
      <c r="M1117" s="338">
        <f t="shared" si="577"/>
        <v>25332976</v>
      </c>
      <c r="N1117" s="329">
        <f t="shared" si="562"/>
        <v>0</v>
      </c>
      <c r="O1117" s="338">
        <f t="shared" si="578"/>
        <v>14300000</v>
      </c>
      <c r="P1117" s="329">
        <f t="shared" si="563"/>
        <v>0</v>
      </c>
      <c r="Q1117" s="338">
        <f t="shared" si="579"/>
        <v>0</v>
      </c>
      <c r="R1117" s="329">
        <f t="shared" si="564"/>
        <v>0</v>
      </c>
      <c r="S1117" s="338">
        <f t="shared" si="580"/>
        <v>10000000</v>
      </c>
      <c r="T1117" s="329">
        <f t="shared" si="565"/>
        <v>0</v>
      </c>
      <c r="U1117" s="338">
        <f t="shared" si="567"/>
        <v>2200000</v>
      </c>
      <c r="V1117" s="329">
        <f t="shared" si="566"/>
        <v>0</v>
      </c>
      <c r="W1117" s="338">
        <f t="shared" si="581"/>
        <v>12224694.890000001</v>
      </c>
      <c r="X1117" s="35"/>
    </row>
    <row r="1118" spans="1:24" x14ac:dyDescent="0.25">
      <c r="A1118" s="335">
        <f t="shared" si="570"/>
        <v>44829</v>
      </c>
      <c r="B1118" s="49">
        <f t="shared" si="568"/>
        <v>0</v>
      </c>
      <c r="C1118" s="338">
        <f t="shared" si="572"/>
        <v>118886089</v>
      </c>
      <c r="D1118" s="329">
        <f t="shared" si="569"/>
        <v>0</v>
      </c>
      <c r="E1118" s="338">
        <f t="shared" si="573"/>
        <v>9769566</v>
      </c>
      <c r="F1118" s="329">
        <f t="shared" si="571"/>
        <v>0</v>
      </c>
      <c r="G1118" s="338">
        <f t="shared" si="574"/>
        <v>76400000</v>
      </c>
      <c r="H1118" s="329">
        <f t="shared" si="559"/>
        <v>0</v>
      </c>
      <c r="I1118" s="338">
        <f t="shared" si="575"/>
        <v>44350150</v>
      </c>
      <c r="J1118" s="329">
        <f t="shared" si="560"/>
        <v>0</v>
      </c>
      <c r="K1118" s="338">
        <f t="shared" si="576"/>
        <v>15100000</v>
      </c>
      <c r="L1118" s="329">
        <f t="shared" si="561"/>
        <v>0</v>
      </c>
      <c r="M1118" s="338">
        <f t="shared" si="577"/>
        <v>25332976</v>
      </c>
      <c r="N1118" s="329">
        <f t="shared" si="562"/>
        <v>0</v>
      </c>
      <c r="O1118" s="338">
        <f t="shared" si="578"/>
        <v>14300000</v>
      </c>
      <c r="P1118" s="329">
        <f t="shared" si="563"/>
        <v>0</v>
      </c>
      <c r="Q1118" s="338">
        <f t="shared" si="579"/>
        <v>0</v>
      </c>
      <c r="R1118" s="329">
        <f t="shared" si="564"/>
        <v>0</v>
      </c>
      <c r="S1118" s="338">
        <f t="shared" si="580"/>
        <v>10000000</v>
      </c>
      <c r="T1118" s="329">
        <f t="shared" si="565"/>
        <v>0</v>
      </c>
      <c r="U1118" s="338">
        <f t="shared" si="567"/>
        <v>2200000</v>
      </c>
      <c r="V1118" s="329">
        <f t="shared" si="566"/>
        <v>0</v>
      </c>
      <c r="W1118" s="338">
        <f t="shared" si="581"/>
        <v>12224694.890000001</v>
      </c>
      <c r="X1118" s="35"/>
    </row>
    <row r="1119" spans="1:24" x14ac:dyDescent="0.25">
      <c r="A1119" s="335">
        <f t="shared" si="570"/>
        <v>44830</v>
      </c>
      <c r="B1119" s="49">
        <f t="shared" si="568"/>
        <v>0</v>
      </c>
      <c r="C1119" s="338">
        <f t="shared" si="572"/>
        <v>118886089</v>
      </c>
      <c r="D1119" s="329">
        <f t="shared" si="569"/>
        <v>0</v>
      </c>
      <c r="E1119" s="338">
        <f t="shared" si="573"/>
        <v>9769566</v>
      </c>
      <c r="F1119" s="329">
        <f t="shared" si="571"/>
        <v>0</v>
      </c>
      <c r="G1119" s="338">
        <f t="shared" si="574"/>
        <v>76400000</v>
      </c>
      <c r="H1119" s="329">
        <f t="shared" si="559"/>
        <v>0</v>
      </c>
      <c r="I1119" s="338">
        <f t="shared" si="575"/>
        <v>44350150</v>
      </c>
      <c r="J1119" s="329">
        <f t="shared" si="560"/>
        <v>0</v>
      </c>
      <c r="K1119" s="338">
        <f t="shared" si="576"/>
        <v>15100000</v>
      </c>
      <c r="L1119" s="329">
        <f t="shared" si="561"/>
        <v>0</v>
      </c>
      <c r="M1119" s="338">
        <f t="shared" si="577"/>
        <v>25332976</v>
      </c>
      <c r="N1119" s="329">
        <f t="shared" si="562"/>
        <v>0</v>
      </c>
      <c r="O1119" s="338">
        <f t="shared" si="578"/>
        <v>14300000</v>
      </c>
      <c r="P1119" s="329">
        <f t="shared" si="563"/>
        <v>0</v>
      </c>
      <c r="Q1119" s="338">
        <f t="shared" si="579"/>
        <v>0</v>
      </c>
      <c r="R1119" s="329">
        <f t="shared" si="564"/>
        <v>0</v>
      </c>
      <c r="S1119" s="338">
        <f t="shared" si="580"/>
        <v>10000000</v>
      </c>
      <c r="T1119" s="329">
        <f t="shared" si="565"/>
        <v>0</v>
      </c>
      <c r="U1119" s="338">
        <f t="shared" si="567"/>
        <v>2200000</v>
      </c>
      <c r="V1119" s="329">
        <f t="shared" si="566"/>
        <v>0</v>
      </c>
      <c r="W1119" s="338">
        <f t="shared" si="581"/>
        <v>12224694.890000001</v>
      </c>
      <c r="X1119" s="35"/>
    </row>
    <row r="1120" spans="1:24" x14ac:dyDescent="0.25">
      <c r="A1120" s="335">
        <f t="shared" si="570"/>
        <v>44831</v>
      </c>
      <c r="B1120" s="49">
        <f t="shared" si="568"/>
        <v>0</v>
      </c>
      <c r="C1120" s="338">
        <f t="shared" si="572"/>
        <v>118886089</v>
      </c>
      <c r="D1120" s="329">
        <f t="shared" si="569"/>
        <v>0</v>
      </c>
      <c r="E1120" s="338">
        <f t="shared" si="573"/>
        <v>9769566</v>
      </c>
      <c r="F1120" s="329">
        <f t="shared" si="571"/>
        <v>0</v>
      </c>
      <c r="G1120" s="338">
        <f t="shared" si="574"/>
        <v>76400000</v>
      </c>
      <c r="H1120" s="329">
        <f t="shared" si="559"/>
        <v>0</v>
      </c>
      <c r="I1120" s="338">
        <f t="shared" si="575"/>
        <v>44350150</v>
      </c>
      <c r="J1120" s="329">
        <f t="shared" si="560"/>
        <v>0</v>
      </c>
      <c r="K1120" s="338">
        <f t="shared" si="576"/>
        <v>15100000</v>
      </c>
      <c r="L1120" s="329">
        <f t="shared" si="561"/>
        <v>0</v>
      </c>
      <c r="M1120" s="338">
        <f t="shared" si="577"/>
        <v>25332976</v>
      </c>
      <c r="N1120" s="329">
        <f t="shared" si="562"/>
        <v>0</v>
      </c>
      <c r="O1120" s="338">
        <f t="shared" si="578"/>
        <v>14300000</v>
      </c>
      <c r="P1120" s="329">
        <f t="shared" si="563"/>
        <v>0</v>
      </c>
      <c r="Q1120" s="338">
        <f t="shared" si="579"/>
        <v>0</v>
      </c>
      <c r="R1120" s="329">
        <f t="shared" si="564"/>
        <v>0</v>
      </c>
      <c r="S1120" s="338">
        <f t="shared" si="580"/>
        <v>10000000</v>
      </c>
      <c r="T1120" s="329">
        <f t="shared" si="565"/>
        <v>0</v>
      </c>
      <c r="U1120" s="338">
        <f t="shared" si="567"/>
        <v>2200000</v>
      </c>
      <c r="V1120" s="329">
        <f t="shared" si="566"/>
        <v>0</v>
      </c>
      <c r="W1120" s="338">
        <f t="shared" si="581"/>
        <v>12224694.890000001</v>
      </c>
      <c r="X1120" s="35"/>
    </row>
    <row r="1121" spans="1:24" x14ac:dyDescent="0.25">
      <c r="A1121" s="335">
        <f t="shared" si="570"/>
        <v>44832</v>
      </c>
      <c r="B1121" s="49">
        <f t="shared" si="568"/>
        <v>0</v>
      </c>
      <c r="C1121" s="338">
        <f t="shared" si="572"/>
        <v>118886089</v>
      </c>
      <c r="D1121" s="329">
        <f t="shared" si="569"/>
        <v>0</v>
      </c>
      <c r="E1121" s="338">
        <f t="shared" si="573"/>
        <v>9769566</v>
      </c>
      <c r="F1121" s="329">
        <f t="shared" si="571"/>
        <v>0</v>
      </c>
      <c r="G1121" s="338">
        <f t="shared" si="574"/>
        <v>76400000</v>
      </c>
      <c r="H1121" s="329">
        <f t="shared" si="559"/>
        <v>0</v>
      </c>
      <c r="I1121" s="338">
        <f t="shared" si="575"/>
        <v>44350150</v>
      </c>
      <c r="J1121" s="329">
        <f t="shared" si="560"/>
        <v>0</v>
      </c>
      <c r="K1121" s="338">
        <f t="shared" si="576"/>
        <v>15100000</v>
      </c>
      <c r="L1121" s="329">
        <f t="shared" si="561"/>
        <v>0</v>
      </c>
      <c r="M1121" s="338">
        <f t="shared" si="577"/>
        <v>25332976</v>
      </c>
      <c r="N1121" s="329">
        <f t="shared" si="562"/>
        <v>0</v>
      </c>
      <c r="O1121" s="338">
        <f t="shared" si="578"/>
        <v>14300000</v>
      </c>
      <c r="P1121" s="329">
        <f t="shared" si="563"/>
        <v>0</v>
      </c>
      <c r="Q1121" s="338">
        <f t="shared" si="579"/>
        <v>0</v>
      </c>
      <c r="R1121" s="329">
        <f t="shared" si="564"/>
        <v>0</v>
      </c>
      <c r="S1121" s="338">
        <f t="shared" si="580"/>
        <v>10000000</v>
      </c>
      <c r="T1121" s="329">
        <f t="shared" si="565"/>
        <v>0</v>
      </c>
      <c r="U1121" s="338">
        <f t="shared" si="567"/>
        <v>2200000</v>
      </c>
      <c r="V1121" s="329">
        <f t="shared" si="566"/>
        <v>0</v>
      </c>
      <c r="W1121" s="338">
        <f t="shared" si="581"/>
        <v>12224694.890000001</v>
      </c>
      <c r="X1121" s="35"/>
    </row>
    <row r="1122" spans="1:24" x14ac:dyDescent="0.25">
      <c r="A1122" s="335">
        <f t="shared" si="570"/>
        <v>44833</v>
      </c>
      <c r="B1122" s="49">
        <f t="shared" si="568"/>
        <v>0</v>
      </c>
      <c r="C1122" s="338">
        <f t="shared" si="572"/>
        <v>118886089</v>
      </c>
      <c r="D1122" s="329">
        <f t="shared" si="569"/>
        <v>0</v>
      </c>
      <c r="E1122" s="338">
        <f t="shared" si="573"/>
        <v>9769566</v>
      </c>
      <c r="F1122" s="329">
        <f t="shared" si="571"/>
        <v>0</v>
      </c>
      <c r="G1122" s="338">
        <f t="shared" si="574"/>
        <v>76400000</v>
      </c>
      <c r="H1122" s="329">
        <f t="shared" si="559"/>
        <v>0</v>
      </c>
      <c r="I1122" s="338">
        <f t="shared" si="575"/>
        <v>44350150</v>
      </c>
      <c r="J1122" s="329">
        <f t="shared" si="560"/>
        <v>0</v>
      </c>
      <c r="K1122" s="338">
        <f t="shared" si="576"/>
        <v>15100000</v>
      </c>
      <c r="L1122" s="329">
        <f t="shared" si="561"/>
        <v>0</v>
      </c>
      <c r="M1122" s="338">
        <f t="shared" si="577"/>
        <v>25332976</v>
      </c>
      <c r="N1122" s="329">
        <f t="shared" si="562"/>
        <v>0</v>
      </c>
      <c r="O1122" s="338">
        <f t="shared" si="578"/>
        <v>14300000</v>
      </c>
      <c r="P1122" s="329">
        <f t="shared" si="563"/>
        <v>0</v>
      </c>
      <c r="Q1122" s="338">
        <f t="shared" si="579"/>
        <v>0</v>
      </c>
      <c r="R1122" s="329">
        <f t="shared" si="564"/>
        <v>0</v>
      </c>
      <c r="S1122" s="338">
        <f t="shared" si="580"/>
        <v>10000000</v>
      </c>
      <c r="T1122" s="329">
        <f t="shared" si="565"/>
        <v>0</v>
      </c>
      <c r="U1122" s="338">
        <f t="shared" si="567"/>
        <v>2200000</v>
      </c>
      <c r="V1122" s="329">
        <f t="shared" si="566"/>
        <v>0</v>
      </c>
      <c r="W1122" s="338">
        <f t="shared" si="581"/>
        <v>12224694.890000001</v>
      </c>
      <c r="X1122" s="35"/>
    </row>
    <row r="1123" spans="1:24" x14ac:dyDescent="0.25">
      <c r="A1123" s="335">
        <f t="shared" si="570"/>
        <v>44834</v>
      </c>
      <c r="B1123" s="49">
        <f t="shared" si="568"/>
        <v>0</v>
      </c>
      <c r="C1123" s="338">
        <f t="shared" si="572"/>
        <v>118886089</v>
      </c>
      <c r="D1123" s="329">
        <f t="shared" si="569"/>
        <v>0</v>
      </c>
      <c r="E1123" s="338">
        <f t="shared" si="573"/>
        <v>9769566</v>
      </c>
      <c r="F1123" s="329">
        <f t="shared" si="571"/>
        <v>0</v>
      </c>
      <c r="G1123" s="338">
        <f t="shared" si="574"/>
        <v>76400000</v>
      </c>
      <c r="H1123" s="329">
        <f t="shared" si="559"/>
        <v>0</v>
      </c>
      <c r="I1123" s="338">
        <f t="shared" si="575"/>
        <v>44350150</v>
      </c>
      <c r="J1123" s="329">
        <f t="shared" si="560"/>
        <v>0</v>
      </c>
      <c r="K1123" s="338">
        <f t="shared" si="576"/>
        <v>15100000</v>
      </c>
      <c r="L1123" s="329">
        <f t="shared" si="561"/>
        <v>0</v>
      </c>
      <c r="M1123" s="338">
        <f t="shared" si="577"/>
        <v>25332976</v>
      </c>
      <c r="N1123" s="329">
        <f t="shared" si="562"/>
        <v>0</v>
      </c>
      <c r="O1123" s="338">
        <f t="shared" si="578"/>
        <v>14300000</v>
      </c>
      <c r="P1123" s="329">
        <f t="shared" si="563"/>
        <v>0</v>
      </c>
      <c r="Q1123" s="338">
        <f t="shared" si="579"/>
        <v>0</v>
      </c>
      <c r="R1123" s="329">
        <f t="shared" si="564"/>
        <v>0</v>
      </c>
      <c r="S1123" s="338">
        <f t="shared" si="580"/>
        <v>10000000</v>
      </c>
      <c r="T1123" s="329">
        <f t="shared" si="565"/>
        <v>0</v>
      </c>
      <c r="U1123" s="338">
        <f t="shared" si="567"/>
        <v>2200000</v>
      </c>
      <c r="V1123" s="329">
        <f t="shared" si="566"/>
        <v>0</v>
      </c>
      <c r="W1123" s="338">
        <f t="shared" si="581"/>
        <v>12224694.890000001</v>
      </c>
      <c r="X1123" s="35"/>
    </row>
    <row r="1124" spans="1:24" x14ac:dyDescent="0.25">
      <c r="A1124" s="335">
        <f t="shared" si="570"/>
        <v>44835</v>
      </c>
      <c r="B1124" s="49">
        <f t="shared" si="568"/>
        <v>0</v>
      </c>
      <c r="C1124" s="338">
        <f t="shared" si="572"/>
        <v>118886089</v>
      </c>
      <c r="D1124" s="329">
        <f t="shared" si="569"/>
        <v>0</v>
      </c>
      <c r="E1124" s="338">
        <f t="shared" si="573"/>
        <v>9769566</v>
      </c>
      <c r="F1124" s="329">
        <f t="shared" si="571"/>
        <v>0</v>
      </c>
      <c r="G1124" s="338">
        <f t="shared" si="574"/>
        <v>76400000</v>
      </c>
      <c r="H1124" s="329">
        <f t="shared" si="559"/>
        <v>0</v>
      </c>
      <c r="I1124" s="338">
        <f t="shared" si="575"/>
        <v>44350150</v>
      </c>
      <c r="J1124" s="329">
        <f t="shared" si="560"/>
        <v>0</v>
      </c>
      <c r="K1124" s="338">
        <f t="shared" si="576"/>
        <v>15100000</v>
      </c>
      <c r="L1124" s="329">
        <f t="shared" si="561"/>
        <v>0</v>
      </c>
      <c r="M1124" s="338">
        <f t="shared" si="577"/>
        <v>25332976</v>
      </c>
      <c r="N1124" s="329">
        <f t="shared" si="562"/>
        <v>0</v>
      </c>
      <c r="O1124" s="338">
        <f t="shared" si="578"/>
        <v>14300000</v>
      </c>
      <c r="P1124" s="329">
        <f t="shared" si="563"/>
        <v>0</v>
      </c>
      <c r="Q1124" s="338">
        <f t="shared" si="579"/>
        <v>0</v>
      </c>
      <c r="R1124" s="329">
        <f t="shared" si="564"/>
        <v>0</v>
      </c>
      <c r="S1124" s="338">
        <f t="shared" si="580"/>
        <v>10000000</v>
      </c>
      <c r="T1124" s="329">
        <f t="shared" si="565"/>
        <v>0</v>
      </c>
      <c r="U1124" s="338">
        <f t="shared" si="567"/>
        <v>2200000</v>
      </c>
      <c r="V1124" s="329">
        <f t="shared" si="566"/>
        <v>0</v>
      </c>
      <c r="W1124" s="338">
        <f t="shared" si="581"/>
        <v>12224694.890000001</v>
      </c>
      <c r="X1124" s="35"/>
    </row>
    <row r="1125" spans="1:24" x14ac:dyDescent="0.25">
      <c r="A1125" s="335">
        <f t="shared" si="570"/>
        <v>44836</v>
      </c>
      <c r="B1125" s="49">
        <f t="shared" si="568"/>
        <v>0</v>
      </c>
      <c r="C1125" s="338">
        <f t="shared" si="572"/>
        <v>118886089</v>
      </c>
      <c r="D1125" s="329">
        <f t="shared" si="569"/>
        <v>0</v>
      </c>
      <c r="E1125" s="338">
        <f t="shared" si="573"/>
        <v>9769566</v>
      </c>
      <c r="F1125" s="329">
        <f t="shared" si="571"/>
        <v>0</v>
      </c>
      <c r="G1125" s="338">
        <f t="shared" si="574"/>
        <v>76400000</v>
      </c>
      <c r="H1125" s="329">
        <f t="shared" si="559"/>
        <v>0</v>
      </c>
      <c r="I1125" s="338">
        <f t="shared" si="575"/>
        <v>44350150</v>
      </c>
      <c r="J1125" s="329">
        <f t="shared" si="560"/>
        <v>0</v>
      </c>
      <c r="K1125" s="338">
        <f t="shared" si="576"/>
        <v>15100000</v>
      </c>
      <c r="L1125" s="329">
        <f t="shared" si="561"/>
        <v>0</v>
      </c>
      <c r="M1125" s="338">
        <f t="shared" si="577"/>
        <v>25332976</v>
      </c>
      <c r="N1125" s="329">
        <f t="shared" si="562"/>
        <v>0</v>
      </c>
      <c r="O1125" s="338">
        <f t="shared" si="578"/>
        <v>14300000</v>
      </c>
      <c r="P1125" s="329">
        <f t="shared" si="563"/>
        <v>0</v>
      </c>
      <c r="Q1125" s="338">
        <f t="shared" si="579"/>
        <v>0</v>
      </c>
      <c r="R1125" s="329">
        <f t="shared" si="564"/>
        <v>0</v>
      </c>
      <c r="S1125" s="338">
        <f t="shared" si="580"/>
        <v>10000000</v>
      </c>
      <c r="T1125" s="329">
        <f t="shared" si="565"/>
        <v>0</v>
      </c>
      <c r="U1125" s="338">
        <f t="shared" si="567"/>
        <v>2200000</v>
      </c>
      <c r="V1125" s="329">
        <f t="shared" si="566"/>
        <v>0</v>
      </c>
      <c r="W1125" s="338">
        <f t="shared" si="581"/>
        <v>12224694.890000001</v>
      </c>
      <c r="X1125" s="35"/>
    </row>
    <row r="1126" spans="1:24" x14ac:dyDescent="0.25">
      <c r="A1126" s="335">
        <f t="shared" si="570"/>
        <v>44837</v>
      </c>
      <c r="B1126" s="49">
        <f t="shared" si="568"/>
        <v>0</v>
      </c>
      <c r="C1126" s="338">
        <f t="shared" si="572"/>
        <v>118886089</v>
      </c>
      <c r="D1126" s="329">
        <f t="shared" si="569"/>
        <v>0</v>
      </c>
      <c r="E1126" s="338">
        <f t="shared" si="573"/>
        <v>9769566</v>
      </c>
      <c r="F1126" s="329">
        <f t="shared" si="571"/>
        <v>0</v>
      </c>
      <c r="G1126" s="338">
        <f t="shared" si="574"/>
        <v>76400000</v>
      </c>
      <c r="H1126" s="329">
        <f t="shared" si="559"/>
        <v>0</v>
      </c>
      <c r="I1126" s="338">
        <f t="shared" si="575"/>
        <v>44350150</v>
      </c>
      <c r="J1126" s="329">
        <f t="shared" si="560"/>
        <v>0</v>
      </c>
      <c r="K1126" s="338">
        <f t="shared" si="576"/>
        <v>15100000</v>
      </c>
      <c r="L1126" s="329">
        <f t="shared" si="561"/>
        <v>0</v>
      </c>
      <c r="M1126" s="338">
        <f t="shared" si="577"/>
        <v>25332976</v>
      </c>
      <c r="N1126" s="329">
        <f t="shared" si="562"/>
        <v>0</v>
      </c>
      <c r="O1126" s="338">
        <f t="shared" si="578"/>
        <v>14300000</v>
      </c>
      <c r="P1126" s="329">
        <f t="shared" si="563"/>
        <v>0</v>
      </c>
      <c r="Q1126" s="338">
        <f t="shared" si="579"/>
        <v>0</v>
      </c>
      <c r="R1126" s="329">
        <f t="shared" si="564"/>
        <v>0</v>
      </c>
      <c r="S1126" s="338">
        <f t="shared" si="580"/>
        <v>10000000</v>
      </c>
      <c r="T1126" s="329">
        <f t="shared" si="565"/>
        <v>0</v>
      </c>
      <c r="U1126" s="338">
        <f t="shared" si="567"/>
        <v>2200000</v>
      </c>
      <c r="V1126" s="329">
        <f t="shared" si="566"/>
        <v>0</v>
      </c>
      <c r="W1126" s="338">
        <f t="shared" si="581"/>
        <v>12224694.890000001</v>
      </c>
      <c r="X1126" s="35"/>
    </row>
    <row r="1127" spans="1:24" x14ac:dyDescent="0.25">
      <c r="A1127" s="335">
        <f t="shared" si="570"/>
        <v>44838</v>
      </c>
      <c r="B1127" s="49">
        <f t="shared" si="568"/>
        <v>0</v>
      </c>
      <c r="C1127" s="338">
        <f t="shared" si="572"/>
        <v>118886089</v>
      </c>
      <c r="D1127" s="329">
        <f t="shared" si="569"/>
        <v>0</v>
      </c>
      <c r="E1127" s="338">
        <f t="shared" si="573"/>
        <v>9769566</v>
      </c>
      <c r="F1127" s="329">
        <f t="shared" si="571"/>
        <v>0</v>
      </c>
      <c r="G1127" s="338">
        <f t="shared" si="574"/>
        <v>76400000</v>
      </c>
      <c r="H1127" s="329">
        <f t="shared" si="559"/>
        <v>0</v>
      </c>
      <c r="I1127" s="338">
        <f t="shared" si="575"/>
        <v>44350150</v>
      </c>
      <c r="J1127" s="329">
        <f t="shared" si="560"/>
        <v>0</v>
      </c>
      <c r="K1127" s="338">
        <f t="shared" si="576"/>
        <v>15100000</v>
      </c>
      <c r="L1127" s="329">
        <f t="shared" si="561"/>
        <v>0</v>
      </c>
      <c r="M1127" s="338">
        <f t="shared" si="577"/>
        <v>25332976</v>
      </c>
      <c r="N1127" s="329">
        <f t="shared" si="562"/>
        <v>0</v>
      </c>
      <c r="O1127" s="338">
        <f t="shared" si="578"/>
        <v>14300000</v>
      </c>
      <c r="P1127" s="329">
        <f t="shared" si="563"/>
        <v>0</v>
      </c>
      <c r="Q1127" s="338">
        <f t="shared" si="579"/>
        <v>0</v>
      </c>
      <c r="R1127" s="329">
        <f t="shared" si="564"/>
        <v>0</v>
      </c>
      <c r="S1127" s="338">
        <f t="shared" si="580"/>
        <v>10000000</v>
      </c>
      <c r="T1127" s="329">
        <f t="shared" si="565"/>
        <v>0</v>
      </c>
      <c r="U1127" s="338">
        <f t="shared" si="567"/>
        <v>2200000</v>
      </c>
      <c r="V1127" s="329">
        <f t="shared" si="566"/>
        <v>0</v>
      </c>
      <c r="W1127" s="338">
        <f t="shared" si="581"/>
        <v>12224694.890000001</v>
      </c>
      <c r="X1127" s="35"/>
    </row>
    <row r="1128" spans="1:24" x14ac:dyDescent="0.25">
      <c r="A1128" s="335">
        <f t="shared" si="570"/>
        <v>44839</v>
      </c>
      <c r="B1128" s="49">
        <f t="shared" si="568"/>
        <v>0</v>
      </c>
      <c r="C1128" s="338">
        <f t="shared" si="572"/>
        <v>118886089</v>
      </c>
      <c r="D1128" s="329">
        <f t="shared" si="569"/>
        <v>0</v>
      </c>
      <c r="E1128" s="338">
        <f t="shared" si="573"/>
        <v>9769566</v>
      </c>
      <c r="F1128" s="329">
        <f t="shared" si="571"/>
        <v>0</v>
      </c>
      <c r="G1128" s="338">
        <f t="shared" si="574"/>
        <v>76400000</v>
      </c>
      <c r="H1128" s="329">
        <f t="shared" si="559"/>
        <v>0</v>
      </c>
      <c r="I1128" s="338">
        <f t="shared" si="575"/>
        <v>44350150</v>
      </c>
      <c r="J1128" s="329">
        <f t="shared" si="560"/>
        <v>0</v>
      </c>
      <c r="K1128" s="338">
        <f t="shared" si="576"/>
        <v>15100000</v>
      </c>
      <c r="L1128" s="329">
        <f t="shared" si="561"/>
        <v>0</v>
      </c>
      <c r="M1128" s="338">
        <f t="shared" si="577"/>
        <v>25332976</v>
      </c>
      <c r="N1128" s="329">
        <f t="shared" si="562"/>
        <v>0</v>
      </c>
      <c r="O1128" s="338">
        <f t="shared" si="578"/>
        <v>14300000</v>
      </c>
      <c r="P1128" s="329">
        <f t="shared" si="563"/>
        <v>0</v>
      </c>
      <c r="Q1128" s="338">
        <f t="shared" si="579"/>
        <v>0</v>
      </c>
      <c r="R1128" s="329">
        <f t="shared" si="564"/>
        <v>0</v>
      </c>
      <c r="S1128" s="338">
        <f t="shared" si="580"/>
        <v>10000000</v>
      </c>
      <c r="T1128" s="329">
        <f t="shared" si="565"/>
        <v>0</v>
      </c>
      <c r="U1128" s="338">
        <f t="shared" si="567"/>
        <v>2200000</v>
      </c>
      <c r="V1128" s="329">
        <f t="shared" si="566"/>
        <v>0</v>
      </c>
      <c r="W1128" s="338">
        <f t="shared" si="581"/>
        <v>12224694.890000001</v>
      </c>
      <c r="X1128" s="35"/>
    </row>
    <row r="1129" spans="1:24" x14ac:dyDescent="0.25">
      <c r="A1129" s="335">
        <f t="shared" si="570"/>
        <v>44840</v>
      </c>
      <c r="B1129" s="49">
        <f t="shared" si="568"/>
        <v>0</v>
      </c>
      <c r="C1129" s="338">
        <f t="shared" si="572"/>
        <v>118886089</v>
      </c>
      <c r="D1129" s="329">
        <f t="shared" si="569"/>
        <v>0</v>
      </c>
      <c r="E1129" s="338">
        <f t="shared" si="573"/>
        <v>9769566</v>
      </c>
      <c r="F1129" s="329">
        <f t="shared" si="571"/>
        <v>0</v>
      </c>
      <c r="G1129" s="338">
        <f t="shared" si="574"/>
        <v>76400000</v>
      </c>
      <c r="H1129" s="329">
        <f t="shared" si="559"/>
        <v>0</v>
      </c>
      <c r="I1129" s="338">
        <f t="shared" si="575"/>
        <v>44350150</v>
      </c>
      <c r="J1129" s="329">
        <f t="shared" si="560"/>
        <v>0</v>
      </c>
      <c r="K1129" s="338">
        <f t="shared" si="576"/>
        <v>15100000</v>
      </c>
      <c r="L1129" s="329">
        <f t="shared" si="561"/>
        <v>0</v>
      </c>
      <c r="M1129" s="338">
        <f t="shared" si="577"/>
        <v>25332976</v>
      </c>
      <c r="N1129" s="329">
        <f t="shared" si="562"/>
        <v>0</v>
      </c>
      <c r="O1129" s="338">
        <f t="shared" si="578"/>
        <v>14300000</v>
      </c>
      <c r="P1129" s="329">
        <f t="shared" si="563"/>
        <v>0</v>
      </c>
      <c r="Q1129" s="338">
        <f t="shared" si="579"/>
        <v>0</v>
      </c>
      <c r="R1129" s="329">
        <f t="shared" si="564"/>
        <v>0</v>
      </c>
      <c r="S1129" s="338">
        <f t="shared" si="580"/>
        <v>10000000</v>
      </c>
      <c r="T1129" s="329">
        <f t="shared" si="565"/>
        <v>0</v>
      </c>
      <c r="U1129" s="338">
        <f t="shared" si="567"/>
        <v>2200000</v>
      </c>
      <c r="V1129" s="329">
        <f t="shared" si="566"/>
        <v>0</v>
      </c>
      <c r="W1129" s="338">
        <f t="shared" si="581"/>
        <v>12224694.890000001</v>
      </c>
      <c r="X1129" s="35"/>
    </row>
    <row r="1130" spans="1:24" x14ac:dyDescent="0.25">
      <c r="A1130" s="335">
        <f t="shared" si="570"/>
        <v>44841</v>
      </c>
      <c r="B1130" s="49">
        <f t="shared" si="568"/>
        <v>0</v>
      </c>
      <c r="C1130" s="338">
        <f t="shared" si="572"/>
        <v>118886089</v>
      </c>
      <c r="D1130" s="329">
        <f t="shared" si="569"/>
        <v>0</v>
      </c>
      <c r="E1130" s="338">
        <f t="shared" si="573"/>
        <v>9769566</v>
      </c>
      <c r="F1130" s="329">
        <f t="shared" si="571"/>
        <v>0</v>
      </c>
      <c r="G1130" s="338">
        <f t="shared" si="574"/>
        <v>76400000</v>
      </c>
      <c r="H1130" s="329">
        <f t="shared" si="559"/>
        <v>0</v>
      </c>
      <c r="I1130" s="338">
        <f t="shared" si="575"/>
        <v>44350150</v>
      </c>
      <c r="J1130" s="329">
        <f t="shared" si="560"/>
        <v>0</v>
      </c>
      <c r="K1130" s="338">
        <f t="shared" si="576"/>
        <v>15100000</v>
      </c>
      <c r="L1130" s="329">
        <f t="shared" si="561"/>
        <v>0</v>
      </c>
      <c r="M1130" s="338">
        <f t="shared" si="577"/>
        <v>25332976</v>
      </c>
      <c r="N1130" s="329">
        <f t="shared" si="562"/>
        <v>0</v>
      </c>
      <c r="O1130" s="338">
        <f t="shared" si="578"/>
        <v>14300000</v>
      </c>
      <c r="P1130" s="329">
        <f t="shared" si="563"/>
        <v>0</v>
      </c>
      <c r="Q1130" s="338">
        <f t="shared" si="579"/>
        <v>0</v>
      </c>
      <c r="R1130" s="329">
        <f t="shared" si="564"/>
        <v>0</v>
      </c>
      <c r="S1130" s="338">
        <f t="shared" si="580"/>
        <v>10000000</v>
      </c>
      <c r="T1130" s="329">
        <f t="shared" si="565"/>
        <v>0</v>
      </c>
      <c r="U1130" s="338">
        <f t="shared" si="567"/>
        <v>2200000</v>
      </c>
      <c r="V1130" s="329">
        <f t="shared" si="566"/>
        <v>0</v>
      </c>
      <c r="W1130" s="338">
        <f t="shared" si="581"/>
        <v>12224694.890000001</v>
      </c>
      <c r="X1130" s="35"/>
    </row>
    <row r="1131" spans="1:24" x14ac:dyDescent="0.25">
      <c r="A1131" s="335">
        <f t="shared" si="570"/>
        <v>44842</v>
      </c>
      <c r="B1131" s="49">
        <f t="shared" si="568"/>
        <v>0</v>
      </c>
      <c r="C1131" s="338">
        <f t="shared" si="572"/>
        <v>118886089</v>
      </c>
      <c r="D1131" s="329">
        <f t="shared" si="569"/>
        <v>0</v>
      </c>
      <c r="E1131" s="338">
        <f t="shared" si="573"/>
        <v>9769566</v>
      </c>
      <c r="F1131" s="329">
        <f t="shared" si="571"/>
        <v>0</v>
      </c>
      <c r="G1131" s="338">
        <f t="shared" si="574"/>
        <v>76400000</v>
      </c>
      <c r="H1131" s="329">
        <f t="shared" ref="H1131:H1194" si="582">SUMIFS(Usage_Main,CF_Dates,$A1131,CF_Descriptions,"XS2091648928 Change")</f>
        <v>0</v>
      </c>
      <c r="I1131" s="338">
        <f t="shared" si="575"/>
        <v>44350150</v>
      </c>
      <c r="J1131" s="329">
        <f t="shared" ref="J1131:J1194" si="583">SUMIFS(Usage_Main,CF_Dates,$A1131,CF_Descriptions,"Southern Apple Change")</f>
        <v>0</v>
      </c>
      <c r="K1131" s="338">
        <f t="shared" si="576"/>
        <v>15100000</v>
      </c>
      <c r="L1131" s="329">
        <f t="shared" ref="L1131:L1194" si="584">SUMIFS(Usage_Main,CF_Dates,$A1131,CF_Descriptions,"ALMONDUSD Change")</f>
        <v>0</v>
      </c>
      <c r="M1131" s="338">
        <f t="shared" si="577"/>
        <v>25332976</v>
      </c>
      <c r="N1131" s="329">
        <f t="shared" ref="N1131:N1194" si="585">SUMIFS(Usage_Main,CF_Dates,$A1131,CF_Descriptions,"ALMONDEUR Change")</f>
        <v>0</v>
      </c>
      <c r="O1131" s="338">
        <f t="shared" si="578"/>
        <v>14300000</v>
      </c>
      <c r="P1131" s="329">
        <f t="shared" ref="P1131:P1194" si="586">SUMIFS(Usage_Main,CF_Dates,$A1131,CF_Descriptions,"HEXZETA Change")</f>
        <v>0</v>
      </c>
      <c r="Q1131" s="338">
        <f t="shared" si="579"/>
        <v>0</v>
      </c>
      <c r="R1131" s="329">
        <f t="shared" ref="R1131:R1194" si="587">SUMIFS(Usage_Main,CF_Dates,$A1131,CF_Descriptions,"MNTNCHERRY Change")</f>
        <v>0</v>
      </c>
      <c r="S1131" s="338">
        <f t="shared" si="580"/>
        <v>10000000</v>
      </c>
      <c r="T1131" s="329">
        <f t="shared" ref="T1131:T1194" si="588">SUMIFS(Usage_Main,CF_Dates,$A1131,CF_Descriptions,"OLIVEUSD Change")</f>
        <v>0</v>
      </c>
      <c r="U1131" s="338">
        <f t="shared" si="567"/>
        <v>2200000</v>
      </c>
      <c r="V1131" s="329">
        <f t="shared" ref="V1131:V1194" si="589">SUMIFS(Usage_Main,CF_Dates,$A1131,CF_Descriptions,"OLIVEEUR Change")</f>
        <v>0</v>
      </c>
      <c r="W1131" s="338">
        <f t="shared" si="581"/>
        <v>12224694.890000001</v>
      </c>
      <c r="X1131" s="35"/>
    </row>
    <row r="1132" spans="1:24" x14ac:dyDescent="0.25">
      <c r="A1132" s="335">
        <f t="shared" si="570"/>
        <v>44843</v>
      </c>
      <c r="B1132" s="49">
        <f t="shared" si="568"/>
        <v>0</v>
      </c>
      <c r="C1132" s="338">
        <f t="shared" si="572"/>
        <v>118886089</v>
      </c>
      <c r="D1132" s="329">
        <f t="shared" si="569"/>
        <v>0</v>
      </c>
      <c r="E1132" s="338">
        <f t="shared" si="573"/>
        <v>9769566</v>
      </c>
      <c r="F1132" s="329">
        <f t="shared" si="571"/>
        <v>0</v>
      </c>
      <c r="G1132" s="338">
        <f t="shared" si="574"/>
        <v>76400000</v>
      </c>
      <c r="H1132" s="329">
        <f t="shared" si="582"/>
        <v>0</v>
      </c>
      <c r="I1132" s="338">
        <f t="shared" si="575"/>
        <v>44350150</v>
      </c>
      <c r="J1132" s="329">
        <f t="shared" si="583"/>
        <v>0</v>
      </c>
      <c r="K1132" s="338">
        <f t="shared" si="576"/>
        <v>15100000</v>
      </c>
      <c r="L1132" s="329">
        <f t="shared" si="584"/>
        <v>0</v>
      </c>
      <c r="M1132" s="338">
        <f t="shared" si="577"/>
        <v>25332976</v>
      </c>
      <c r="N1132" s="329">
        <f t="shared" si="585"/>
        <v>0</v>
      </c>
      <c r="O1132" s="338">
        <f t="shared" si="578"/>
        <v>14300000</v>
      </c>
      <c r="P1132" s="329">
        <f t="shared" si="586"/>
        <v>0</v>
      </c>
      <c r="Q1132" s="338">
        <f t="shared" si="579"/>
        <v>0</v>
      </c>
      <c r="R1132" s="329">
        <f t="shared" si="587"/>
        <v>0</v>
      </c>
      <c r="S1132" s="338">
        <f t="shared" si="580"/>
        <v>10000000</v>
      </c>
      <c r="T1132" s="329">
        <f t="shared" si="588"/>
        <v>0</v>
      </c>
      <c r="U1132" s="338">
        <f t="shared" ref="U1132:U1195" si="590">T1132+U1131</f>
        <v>2200000</v>
      </c>
      <c r="V1132" s="329">
        <f t="shared" si="589"/>
        <v>0</v>
      </c>
      <c r="W1132" s="338">
        <f t="shared" si="581"/>
        <v>12224694.890000001</v>
      </c>
      <c r="X1132" s="35"/>
    </row>
    <row r="1133" spans="1:24" x14ac:dyDescent="0.25">
      <c r="A1133" s="335">
        <f t="shared" si="570"/>
        <v>44844</v>
      </c>
      <c r="B1133" s="49">
        <f t="shared" si="568"/>
        <v>0</v>
      </c>
      <c r="C1133" s="338">
        <f t="shared" si="572"/>
        <v>118886089</v>
      </c>
      <c r="D1133" s="329">
        <f t="shared" si="569"/>
        <v>0</v>
      </c>
      <c r="E1133" s="338">
        <f t="shared" si="573"/>
        <v>9769566</v>
      </c>
      <c r="F1133" s="329">
        <f t="shared" si="571"/>
        <v>0</v>
      </c>
      <c r="G1133" s="338">
        <f t="shared" si="574"/>
        <v>76400000</v>
      </c>
      <c r="H1133" s="329">
        <f t="shared" si="582"/>
        <v>0</v>
      </c>
      <c r="I1133" s="338">
        <f t="shared" si="575"/>
        <v>44350150</v>
      </c>
      <c r="J1133" s="329">
        <f t="shared" si="583"/>
        <v>0</v>
      </c>
      <c r="K1133" s="338">
        <f t="shared" si="576"/>
        <v>15100000</v>
      </c>
      <c r="L1133" s="329">
        <f t="shared" si="584"/>
        <v>0</v>
      </c>
      <c r="M1133" s="338">
        <f t="shared" si="577"/>
        <v>25332976</v>
      </c>
      <c r="N1133" s="329">
        <f t="shared" si="585"/>
        <v>0</v>
      </c>
      <c r="O1133" s="338">
        <f t="shared" si="578"/>
        <v>14300000</v>
      </c>
      <c r="P1133" s="329">
        <f t="shared" si="586"/>
        <v>0</v>
      </c>
      <c r="Q1133" s="338">
        <f t="shared" si="579"/>
        <v>0</v>
      </c>
      <c r="R1133" s="329">
        <f t="shared" si="587"/>
        <v>0</v>
      </c>
      <c r="S1133" s="338">
        <f t="shared" si="580"/>
        <v>10000000</v>
      </c>
      <c r="T1133" s="329">
        <f t="shared" si="588"/>
        <v>0</v>
      </c>
      <c r="U1133" s="338">
        <f t="shared" si="590"/>
        <v>2200000</v>
      </c>
      <c r="V1133" s="329">
        <f t="shared" si="589"/>
        <v>0</v>
      </c>
      <c r="W1133" s="338">
        <f t="shared" si="581"/>
        <v>12224694.890000001</v>
      </c>
      <c r="X1133" s="35"/>
    </row>
    <row r="1134" spans="1:24" x14ac:dyDescent="0.25">
      <c r="A1134" s="335">
        <f t="shared" si="570"/>
        <v>44845</v>
      </c>
      <c r="B1134" s="49">
        <f t="shared" si="568"/>
        <v>0</v>
      </c>
      <c r="C1134" s="338">
        <f t="shared" si="572"/>
        <v>118886089</v>
      </c>
      <c r="D1134" s="329">
        <f t="shared" si="569"/>
        <v>0</v>
      </c>
      <c r="E1134" s="338">
        <f t="shared" si="573"/>
        <v>9769566</v>
      </c>
      <c r="F1134" s="329">
        <f t="shared" si="571"/>
        <v>0</v>
      </c>
      <c r="G1134" s="338">
        <f t="shared" si="574"/>
        <v>76400000</v>
      </c>
      <c r="H1134" s="329">
        <f t="shared" si="582"/>
        <v>0</v>
      </c>
      <c r="I1134" s="338">
        <f t="shared" si="575"/>
        <v>44350150</v>
      </c>
      <c r="J1134" s="329">
        <f t="shared" si="583"/>
        <v>0</v>
      </c>
      <c r="K1134" s="338">
        <f t="shared" si="576"/>
        <v>15100000</v>
      </c>
      <c r="L1134" s="329">
        <f t="shared" si="584"/>
        <v>0</v>
      </c>
      <c r="M1134" s="338">
        <f t="shared" si="577"/>
        <v>25332976</v>
      </c>
      <c r="N1134" s="329">
        <f t="shared" si="585"/>
        <v>0</v>
      </c>
      <c r="O1134" s="338">
        <f t="shared" si="578"/>
        <v>14300000</v>
      </c>
      <c r="P1134" s="329">
        <f t="shared" si="586"/>
        <v>0</v>
      </c>
      <c r="Q1134" s="338">
        <f t="shared" si="579"/>
        <v>0</v>
      </c>
      <c r="R1134" s="329">
        <f t="shared" si="587"/>
        <v>0</v>
      </c>
      <c r="S1134" s="338">
        <f t="shared" si="580"/>
        <v>10000000</v>
      </c>
      <c r="T1134" s="329">
        <f t="shared" si="588"/>
        <v>0</v>
      </c>
      <c r="U1134" s="338">
        <f t="shared" si="590"/>
        <v>2200000</v>
      </c>
      <c r="V1134" s="329">
        <f t="shared" si="589"/>
        <v>0</v>
      </c>
      <c r="W1134" s="338">
        <f t="shared" si="581"/>
        <v>12224694.890000001</v>
      </c>
      <c r="X1134" s="35"/>
    </row>
    <row r="1135" spans="1:24" x14ac:dyDescent="0.25">
      <c r="A1135" s="335">
        <f t="shared" si="570"/>
        <v>44846</v>
      </c>
      <c r="B1135" s="49">
        <f t="shared" si="568"/>
        <v>0</v>
      </c>
      <c r="C1135" s="338">
        <f t="shared" si="572"/>
        <v>118886089</v>
      </c>
      <c r="D1135" s="329">
        <f t="shared" si="569"/>
        <v>0</v>
      </c>
      <c r="E1135" s="338">
        <f t="shared" si="573"/>
        <v>9769566</v>
      </c>
      <c r="F1135" s="329">
        <f t="shared" si="571"/>
        <v>0</v>
      </c>
      <c r="G1135" s="338">
        <f t="shared" si="574"/>
        <v>76400000</v>
      </c>
      <c r="H1135" s="329">
        <f t="shared" si="582"/>
        <v>0</v>
      </c>
      <c r="I1135" s="338">
        <f t="shared" si="575"/>
        <v>44350150</v>
      </c>
      <c r="J1135" s="329">
        <f t="shared" si="583"/>
        <v>0</v>
      </c>
      <c r="K1135" s="338">
        <f t="shared" si="576"/>
        <v>15100000</v>
      </c>
      <c r="L1135" s="329">
        <f t="shared" si="584"/>
        <v>0</v>
      </c>
      <c r="M1135" s="338">
        <f t="shared" si="577"/>
        <v>25332976</v>
      </c>
      <c r="N1135" s="329">
        <f t="shared" si="585"/>
        <v>0</v>
      </c>
      <c r="O1135" s="338">
        <f t="shared" si="578"/>
        <v>14300000</v>
      </c>
      <c r="P1135" s="329">
        <f t="shared" si="586"/>
        <v>0</v>
      </c>
      <c r="Q1135" s="338">
        <f t="shared" si="579"/>
        <v>0</v>
      </c>
      <c r="R1135" s="329">
        <f t="shared" si="587"/>
        <v>0</v>
      </c>
      <c r="S1135" s="338">
        <f t="shared" si="580"/>
        <v>10000000</v>
      </c>
      <c r="T1135" s="329">
        <f t="shared" si="588"/>
        <v>0</v>
      </c>
      <c r="U1135" s="338">
        <f t="shared" si="590"/>
        <v>2200000</v>
      </c>
      <c r="V1135" s="329">
        <f t="shared" si="589"/>
        <v>0</v>
      </c>
      <c r="W1135" s="338">
        <f t="shared" si="581"/>
        <v>12224694.890000001</v>
      </c>
      <c r="X1135" s="35"/>
    </row>
    <row r="1136" spans="1:24" x14ac:dyDescent="0.25">
      <c r="A1136" s="335">
        <f t="shared" si="570"/>
        <v>44847</v>
      </c>
      <c r="B1136" s="49">
        <f t="shared" si="568"/>
        <v>0</v>
      </c>
      <c r="C1136" s="338">
        <f t="shared" si="572"/>
        <v>118886089</v>
      </c>
      <c r="D1136" s="329">
        <f t="shared" si="569"/>
        <v>0</v>
      </c>
      <c r="E1136" s="338">
        <f t="shared" si="573"/>
        <v>9769566</v>
      </c>
      <c r="F1136" s="329">
        <f t="shared" si="571"/>
        <v>0</v>
      </c>
      <c r="G1136" s="338">
        <f t="shared" si="574"/>
        <v>76400000</v>
      </c>
      <c r="H1136" s="329">
        <f t="shared" si="582"/>
        <v>0</v>
      </c>
      <c r="I1136" s="338">
        <f t="shared" si="575"/>
        <v>44350150</v>
      </c>
      <c r="J1136" s="329">
        <f t="shared" si="583"/>
        <v>0</v>
      </c>
      <c r="K1136" s="338">
        <f t="shared" si="576"/>
        <v>15100000</v>
      </c>
      <c r="L1136" s="329">
        <f t="shared" si="584"/>
        <v>0</v>
      </c>
      <c r="M1136" s="338">
        <f t="shared" si="577"/>
        <v>25332976</v>
      </c>
      <c r="N1136" s="329">
        <f t="shared" si="585"/>
        <v>0</v>
      </c>
      <c r="O1136" s="338">
        <f t="shared" si="578"/>
        <v>14300000</v>
      </c>
      <c r="P1136" s="329">
        <f t="shared" si="586"/>
        <v>0</v>
      </c>
      <c r="Q1136" s="338">
        <f t="shared" si="579"/>
        <v>0</v>
      </c>
      <c r="R1136" s="329">
        <f t="shared" si="587"/>
        <v>0</v>
      </c>
      <c r="S1136" s="338">
        <f t="shared" si="580"/>
        <v>10000000</v>
      </c>
      <c r="T1136" s="329">
        <f t="shared" si="588"/>
        <v>0</v>
      </c>
      <c r="U1136" s="338">
        <f t="shared" si="590"/>
        <v>2200000</v>
      </c>
      <c r="V1136" s="329">
        <f t="shared" si="589"/>
        <v>0</v>
      </c>
      <c r="W1136" s="338">
        <f t="shared" si="581"/>
        <v>12224694.890000001</v>
      </c>
      <c r="X1136" s="35"/>
    </row>
    <row r="1137" spans="1:24" x14ac:dyDescent="0.25">
      <c r="A1137" s="335">
        <f t="shared" si="570"/>
        <v>44848</v>
      </c>
      <c r="B1137" s="49">
        <f t="shared" si="568"/>
        <v>0</v>
      </c>
      <c r="C1137" s="338">
        <f t="shared" si="572"/>
        <v>118886089</v>
      </c>
      <c r="D1137" s="329">
        <f t="shared" si="569"/>
        <v>0</v>
      </c>
      <c r="E1137" s="338">
        <f t="shared" si="573"/>
        <v>9769566</v>
      </c>
      <c r="F1137" s="329">
        <f t="shared" si="571"/>
        <v>0</v>
      </c>
      <c r="G1137" s="338">
        <f t="shared" si="574"/>
        <v>76400000</v>
      </c>
      <c r="H1137" s="329">
        <f t="shared" si="582"/>
        <v>0</v>
      </c>
      <c r="I1137" s="338">
        <f t="shared" si="575"/>
        <v>44350150</v>
      </c>
      <c r="J1137" s="329">
        <f t="shared" si="583"/>
        <v>0</v>
      </c>
      <c r="K1137" s="338">
        <f t="shared" si="576"/>
        <v>15100000</v>
      </c>
      <c r="L1137" s="329">
        <f t="shared" si="584"/>
        <v>0</v>
      </c>
      <c r="M1137" s="338">
        <f t="shared" si="577"/>
        <v>25332976</v>
      </c>
      <c r="N1137" s="329">
        <f t="shared" si="585"/>
        <v>0</v>
      </c>
      <c r="O1137" s="338">
        <f t="shared" si="578"/>
        <v>14300000</v>
      </c>
      <c r="P1137" s="329">
        <f t="shared" si="586"/>
        <v>0</v>
      </c>
      <c r="Q1137" s="338">
        <f t="shared" si="579"/>
        <v>0</v>
      </c>
      <c r="R1137" s="329">
        <f t="shared" si="587"/>
        <v>0</v>
      </c>
      <c r="S1137" s="338">
        <f t="shared" si="580"/>
        <v>10000000</v>
      </c>
      <c r="T1137" s="329">
        <f t="shared" si="588"/>
        <v>0</v>
      </c>
      <c r="U1137" s="338">
        <f t="shared" si="590"/>
        <v>2200000</v>
      </c>
      <c r="V1137" s="329">
        <f t="shared" si="589"/>
        <v>0</v>
      </c>
      <c r="W1137" s="338">
        <f t="shared" si="581"/>
        <v>12224694.890000001</v>
      </c>
      <c r="X1137" s="35"/>
    </row>
    <row r="1138" spans="1:24" x14ac:dyDescent="0.25">
      <c r="A1138" s="335">
        <f t="shared" si="570"/>
        <v>44849</v>
      </c>
      <c r="B1138" s="49">
        <f t="shared" si="568"/>
        <v>0</v>
      </c>
      <c r="C1138" s="338">
        <f t="shared" si="572"/>
        <v>118886089</v>
      </c>
      <c r="D1138" s="329">
        <f t="shared" si="569"/>
        <v>0</v>
      </c>
      <c r="E1138" s="338">
        <f t="shared" si="573"/>
        <v>9769566</v>
      </c>
      <c r="F1138" s="329">
        <f t="shared" si="571"/>
        <v>0</v>
      </c>
      <c r="G1138" s="338">
        <f t="shared" si="574"/>
        <v>76400000</v>
      </c>
      <c r="H1138" s="329">
        <f t="shared" si="582"/>
        <v>0</v>
      </c>
      <c r="I1138" s="338">
        <f t="shared" si="575"/>
        <v>44350150</v>
      </c>
      <c r="J1138" s="329">
        <f t="shared" si="583"/>
        <v>0</v>
      </c>
      <c r="K1138" s="338">
        <f t="shared" si="576"/>
        <v>15100000</v>
      </c>
      <c r="L1138" s="329">
        <f t="shared" si="584"/>
        <v>0</v>
      </c>
      <c r="M1138" s="338">
        <f t="shared" si="577"/>
        <v>25332976</v>
      </c>
      <c r="N1138" s="329">
        <f t="shared" si="585"/>
        <v>0</v>
      </c>
      <c r="O1138" s="338">
        <f t="shared" si="578"/>
        <v>14300000</v>
      </c>
      <c r="P1138" s="329">
        <f t="shared" si="586"/>
        <v>0</v>
      </c>
      <c r="Q1138" s="338">
        <f t="shared" si="579"/>
        <v>0</v>
      </c>
      <c r="R1138" s="329">
        <f t="shared" si="587"/>
        <v>0</v>
      </c>
      <c r="S1138" s="338">
        <f t="shared" si="580"/>
        <v>10000000</v>
      </c>
      <c r="T1138" s="329">
        <f t="shared" si="588"/>
        <v>0</v>
      </c>
      <c r="U1138" s="338">
        <f t="shared" si="590"/>
        <v>2200000</v>
      </c>
      <c r="V1138" s="329">
        <f t="shared" si="589"/>
        <v>0</v>
      </c>
      <c r="W1138" s="338">
        <f t="shared" si="581"/>
        <v>12224694.890000001</v>
      </c>
      <c r="X1138" s="35"/>
    </row>
    <row r="1139" spans="1:24" x14ac:dyDescent="0.25">
      <c r="A1139" s="335">
        <f t="shared" si="570"/>
        <v>44850</v>
      </c>
      <c r="B1139" s="49">
        <f t="shared" ref="B1139:B1202" si="591">SUMIFS(Usage_Main,CF_Dates,$A1139,CF_Descriptions,"XS1951177309 Change")</f>
        <v>0</v>
      </c>
      <c r="C1139" s="338">
        <f t="shared" si="572"/>
        <v>118886089</v>
      </c>
      <c r="D1139" s="329">
        <f t="shared" ref="D1139:D1202" si="592">SUMIFS(Usage_Main,CF_Dates,$A1139,CF_Descriptions,"SOSPRUCE1 Change")</f>
        <v>0</v>
      </c>
      <c r="E1139" s="338">
        <f t="shared" si="573"/>
        <v>9769566</v>
      </c>
      <c r="F1139" s="329">
        <f t="shared" si="571"/>
        <v>0</v>
      </c>
      <c r="G1139" s="338">
        <f t="shared" si="574"/>
        <v>76400000</v>
      </c>
      <c r="H1139" s="329">
        <f t="shared" si="582"/>
        <v>0</v>
      </c>
      <c r="I1139" s="338">
        <f t="shared" si="575"/>
        <v>44350150</v>
      </c>
      <c r="J1139" s="329">
        <f t="shared" si="583"/>
        <v>0</v>
      </c>
      <c r="K1139" s="338">
        <f t="shared" si="576"/>
        <v>15100000</v>
      </c>
      <c r="L1139" s="329">
        <f t="shared" si="584"/>
        <v>0</v>
      </c>
      <c r="M1139" s="338">
        <f t="shared" si="577"/>
        <v>25332976</v>
      </c>
      <c r="N1139" s="329">
        <f t="shared" si="585"/>
        <v>0</v>
      </c>
      <c r="O1139" s="338">
        <f t="shared" si="578"/>
        <v>14300000</v>
      </c>
      <c r="P1139" s="329">
        <f t="shared" si="586"/>
        <v>0</v>
      </c>
      <c r="Q1139" s="338">
        <f t="shared" si="579"/>
        <v>0</v>
      </c>
      <c r="R1139" s="329">
        <f t="shared" si="587"/>
        <v>0</v>
      </c>
      <c r="S1139" s="338">
        <f t="shared" si="580"/>
        <v>10000000</v>
      </c>
      <c r="T1139" s="329">
        <f t="shared" si="588"/>
        <v>0</v>
      </c>
      <c r="U1139" s="338">
        <f t="shared" si="590"/>
        <v>2200000</v>
      </c>
      <c r="V1139" s="329">
        <f t="shared" si="589"/>
        <v>0</v>
      </c>
      <c r="W1139" s="338">
        <f t="shared" si="581"/>
        <v>12224694.890000001</v>
      </c>
      <c r="X1139" s="35"/>
    </row>
    <row r="1140" spans="1:24" x14ac:dyDescent="0.25">
      <c r="A1140" s="335">
        <f t="shared" si="570"/>
        <v>44851</v>
      </c>
      <c r="B1140" s="49">
        <f t="shared" si="591"/>
        <v>0</v>
      </c>
      <c r="C1140" s="338">
        <f t="shared" si="572"/>
        <v>118886089</v>
      </c>
      <c r="D1140" s="329">
        <f t="shared" si="592"/>
        <v>0</v>
      </c>
      <c r="E1140" s="338">
        <f t="shared" si="573"/>
        <v>9769566</v>
      </c>
      <c r="F1140" s="329">
        <f t="shared" si="571"/>
        <v>0</v>
      </c>
      <c r="G1140" s="338">
        <f t="shared" si="574"/>
        <v>76400000</v>
      </c>
      <c r="H1140" s="329">
        <f t="shared" si="582"/>
        <v>0</v>
      </c>
      <c r="I1140" s="338">
        <f t="shared" si="575"/>
        <v>44350150</v>
      </c>
      <c r="J1140" s="329">
        <f t="shared" si="583"/>
        <v>0</v>
      </c>
      <c r="K1140" s="338">
        <f t="shared" si="576"/>
        <v>15100000</v>
      </c>
      <c r="L1140" s="329">
        <f t="shared" si="584"/>
        <v>0</v>
      </c>
      <c r="M1140" s="338">
        <f t="shared" si="577"/>
        <v>25332976</v>
      </c>
      <c r="N1140" s="329">
        <f t="shared" si="585"/>
        <v>0</v>
      </c>
      <c r="O1140" s="338">
        <f t="shared" si="578"/>
        <v>14300000</v>
      </c>
      <c r="P1140" s="329">
        <f t="shared" si="586"/>
        <v>0</v>
      </c>
      <c r="Q1140" s="338">
        <f t="shared" si="579"/>
        <v>0</v>
      </c>
      <c r="R1140" s="329">
        <f t="shared" si="587"/>
        <v>0</v>
      </c>
      <c r="S1140" s="338">
        <f t="shared" si="580"/>
        <v>10000000</v>
      </c>
      <c r="T1140" s="329">
        <f t="shared" si="588"/>
        <v>0</v>
      </c>
      <c r="U1140" s="338">
        <f t="shared" si="590"/>
        <v>2200000</v>
      </c>
      <c r="V1140" s="329">
        <f t="shared" si="589"/>
        <v>0</v>
      </c>
      <c r="W1140" s="338">
        <f t="shared" si="581"/>
        <v>12224694.890000001</v>
      </c>
      <c r="X1140" s="35"/>
    </row>
    <row r="1141" spans="1:24" x14ac:dyDescent="0.25">
      <c r="A1141" s="335">
        <f t="shared" si="570"/>
        <v>44852</v>
      </c>
      <c r="B1141" s="49">
        <f t="shared" si="591"/>
        <v>0</v>
      </c>
      <c r="C1141" s="338">
        <f t="shared" si="572"/>
        <v>118886089</v>
      </c>
      <c r="D1141" s="329">
        <f t="shared" si="592"/>
        <v>0</v>
      </c>
      <c r="E1141" s="338">
        <f t="shared" si="573"/>
        <v>9769566</v>
      </c>
      <c r="F1141" s="329">
        <f t="shared" si="571"/>
        <v>0</v>
      </c>
      <c r="G1141" s="338">
        <f t="shared" si="574"/>
        <v>76400000</v>
      </c>
      <c r="H1141" s="329">
        <f t="shared" si="582"/>
        <v>0</v>
      </c>
      <c r="I1141" s="338">
        <f t="shared" si="575"/>
        <v>44350150</v>
      </c>
      <c r="J1141" s="329">
        <f t="shared" si="583"/>
        <v>0</v>
      </c>
      <c r="K1141" s="338">
        <f t="shared" si="576"/>
        <v>15100000</v>
      </c>
      <c r="L1141" s="329">
        <f t="shared" si="584"/>
        <v>0</v>
      </c>
      <c r="M1141" s="338">
        <f t="shared" si="577"/>
        <v>25332976</v>
      </c>
      <c r="N1141" s="329">
        <f t="shared" si="585"/>
        <v>0</v>
      </c>
      <c r="O1141" s="338">
        <f t="shared" si="578"/>
        <v>14300000</v>
      </c>
      <c r="P1141" s="329">
        <f t="shared" si="586"/>
        <v>0</v>
      </c>
      <c r="Q1141" s="338">
        <f t="shared" si="579"/>
        <v>0</v>
      </c>
      <c r="R1141" s="329">
        <f t="shared" si="587"/>
        <v>0</v>
      </c>
      <c r="S1141" s="338">
        <f t="shared" si="580"/>
        <v>10000000</v>
      </c>
      <c r="T1141" s="329">
        <f t="shared" si="588"/>
        <v>0</v>
      </c>
      <c r="U1141" s="338">
        <f t="shared" si="590"/>
        <v>2200000</v>
      </c>
      <c r="V1141" s="329">
        <f t="shared" si="589"/>
        <v>0</v>
      </c>
      <c r="W1141" s="338">
        <f t="shared" si="581"/>
        <v>12224694.890000001</v>
      </c>
      <c r="X1141" s="35"/>
    </row>
    <row r="1142" spans="1:24" x14ac:dyDescent="0.25">
      <c r="A1142" s="335">
        <f t="shared" si="570"/>
        <v>44853</v>
      </c>
      <c r="B1142" s="49">
        <f t="shared" si="591"/>
        <v>0</v>
      </c>
      <c r="C1142" s="338">
        <f t="shared" si="572"/>
        <v>118886089</v>
      </c>
      <c r="D1142" s="329">
        <f t="shared" si="592"/>
        <v>0</v>
      </c>
      <c r="E1142" s="338">
        <f t="shared" si="573"/>
        <v>9769566</v>
      </c>
      <c r="F1142" s="329">
        <f t="shared" si="571"/>
        <v>0</v>
      </c>
      <c r="G1142" s="338">
        <f t="shared" si="574"/>
        <v>76400000</v>
      </c>
      <c r="H1142" s="329">
        <f t="shared" si="582"/>
        <v>0</v>
      </c>
      <c r="I1142" s="338">
        <f t="shared" si="575"/>
        <v>44350150</v>
      </c>
      <c r="J1142" s="329">
        <f t="shared" si="583"/>
        <v>0</v>
      </c>
      <c r="K1142" s="338">
        <f t="shared" si="576"/>
        <v>15100000</v>
      </c>
      <c r="L1142" s="329">
        <f t="shared" si="584"/>
        <v>0</v>
      </c>
      <c r="M1142" s="338">
        <f t="shared" si="577"/>
        <v>25332976</v>
      </c>
      <c r="N1142" s="329">
        <f t="shared" si="585"/>
        <v>0</v>
      </c>
      <c r="O1142" s="338">
        <f t="shared" si="578"/>
        <v>14300000</v>
      </c>
      <c r="P1142" s="329">
        <f t="shared" si="586"/>
        <v>0</v>
      </c>
      <c r="Q1142" s="338">
        <f t="shared" si="579"/>
        <v>0</v>
      </c>
      <c r="R1142" s="329">
        <f t="shared" si="587"/>
        <v>0</v>
      </c>
      <c r="S1142" s="338">
        <f t="shared" si="580"/>
        <v>10000000</v>
      </c>
      <c r="T1142" s="329">
        <f t="shared" si="588"/>
        <v>0</v>
      </c>
      <c r="U1142" s="338">
        <f t="shared" si="590"/>
        <v>2200000</v>
      </c>
      <c r="V1142" s="329">
        <f t="shared" si="589"/>
        <v>0</v>
      </c>
      <c r="W1142" s="338">
        <f t="shared" si="581"/>
        <v>12224694.890000001</v>
      </c>
      <c r="X1142" s="35"/>
    </row>
    <row r="1143" spans="1:24" x14ac:dyDescent="0.25">
      <c r="A1143" s="335">
        <f t="shared" si="570"/>
        <v>44854</v>
      </c>
      <c r="B1143" s="49">
        <f t="shared" si="591"/>
        <v>0</v>
      </c>
      <c r="C1143" s="338">
        <f t="shared" si="572"/>
        <v>118886089</v>
      </c>
      <c r="D1143" s="329">
        <f t="shared" si="592"/>
        <v>0</v>
      </c>
      <c r="E1143" s="338">
        <f t="shared" si="573"/>
        <v>9769566</v>
      </c>
      <c r="F1143" s="329">
        <f t="shared" si="571"/>
        <v>0</v>
      </c>
      <c r="G1143" s="338">
        <f t="shared" si="574"/>
        <v>76400000</v>
      </c>
      <c r="H1143" s="329">
        <f t="shared" si="582"/>
        <v>0</v>
      </c>
      <c r="I1143" s="338">
        <f t="shared" si="575"/>
        <v>44350150</v>
      </c>
      <c r="J1143" s="329">
        <f t="shared" si="583"/>
        <v>0</v>
      </c>
      <c r="K1143" s="338">
        <f t="shared" si="576"/>
        <v>15100000</v>
      </c>
      <c r="L1143" s="329">
        <f t="shared" si="584"/>
        <v>0</v>
      </c>
      <c r="M1143" s="338">
        <f t="shared" si="577"/>
        <v>25332976</v>
      </c>
      <c r="N1143" s="329">
        <f t="shared" si="585"/>
        <v>0</v>
      </c>
      <c r="O1143" s="338">
        <f t="shared" si="578"/>
        <v>14300000</v>
      </c>
      <c r="P1143" s="329">
        <f t="shared" si="586"/>
        <v>0</v>
      </c>
      <c r="Q1143" s="338">
        <f t="shared" si="579"/>
        <v>0</v>
      </c>
      <c r="R1143" s="329">
        <f t="shared" si="587"/>
        <v>0</v>
      </c>
      <c r="S1143" s="338">
        <f t="shared" si="580"/>
        <v>10000000</v>
      </c>
      <c r="T1143" s="329">
        <f t="shared" si="588"/>
        <v>0</v>
      </c>
      <c r="U1143" s="338">
        <f t="shared" si="590"/>
        <v>2200000</v>
      </c>
      <c r="V1143" s="329">
        <f t="shared" si="589"/>
        <v>0</v>
      </c>
      <c r="W1143" s="338">
        <f t="shared" si="581"/>
        <v>12224694.890000001</v>
      </c>
      <c r="X1143" s="35"/>
    </row>
    <row r="1144" spans="1:24" x14ac:dyDescent="0.25">
      <c r="A1144" s="335">
        <f t="shared" si="570"/>
        <v>44855</v>
      </c>
      <c r="B1144" s="49">
        <f t="shared" si="591"/>
        <v>0</v>
      </c>
      <c r="C1144" s="338">
        <f t="shared" si="572"/>
        <v>118886089</v>
      </c>
      <c r="D1144" s="329">
        <f t="shared" si="592"/>
        <v>0</v>
      </c>
      <c r="E1144" s="338">
        <f t="shared" si="573"/>
        <v>9769566</v>
      </c>
      <c r="F1144" s="329">
        <f t="shared" si="571"/>
        <v>0</v>
      </c>
      <c r="G1144" s="338">
        <f t="shared" si="574"/>
        <v>76400000</v>
      </c>
      <c r="H1144" s="329">
        <f t="shared" si="582"/>
        <v>0</v>
      </c>
      <c r="I1144" s="338">
        <f t="shared" si="575"/>
        <v>44350150</v>
      </c>
      <c r="J1144" s="329">
        <f t="shared" si="583"/>
        <v>0</v>
      </c>
      <c r="K1144" s="338">
        <f t="shared" si="576"/>
        <v>15100000</v>
      </c>
      <c r="L1144" s="329">
        <f t="shared" si="584"/>
        <v>0</v>
      </c>
      <c r="M1144" s="338">
        <f t="shared" si="577"/>
        <v>25332976</v>
      </c>
      <c r="N1144" s="329">
        <f t="shared" si="585"/>
        <v>0</v>
      </c>
      <c r="O1144" s="338">
        <f t="shared" si="578"/>
        <v>14300000</v>
      </c>
      <c r="P1144" s="329">
        <f t="shared" si="586"/>
        <v>0</v>
      </c>
      <c r="Q1144" s="338">
        <f t="shared" si="579"/>
        <v>0</v>
      </c>
      <c r="R1144" s="329">
        <f t="shared" si="587"/>
        <v>0</v>
      </c>
      <c r="S1144" s="338">
        <f t="shared" si="580"/>
        <v>10000000</v>
      </c>
      <c r="T1144" s="329">
        <f t="shared" si="588"/>
        <v>0</v>
      </c>
      <c r="U1144" s="338">
        <f t="shared" si="590"/>
        <v>2200000</v>
      </c>
      <c r="V1144" s="329">
        <f t="shared" si="589"/>
        <v>0</v>
      </c>
      <c r="W1144" s="338">
        <f t="shared" si="581"/>
        <v>12224694.890000001</v>
      </c>
      <c r="X1144" s="35"/>
    </row>
    <row r="1145" spans="1:24" x14ac:dyDescent="0.25">
      <c r="A1145" s="335">
        <f t="shared" si="570"/>
        <v>44856</v>
      </c>
      <c r="B1145" s="49">
        <f t="shared" si="591"/>
        <v>0</v>
      </c>
      <c r="C1145" s="338">
        <f t="shared" si="572"/>
        <v>118886089</v>
      </c>
      <c r="D1145" s="329">
        <f t="shared" si="592"/>
        <v>0</v>
      </c>
      <c r="E1145" s="338">
        <f t="shared" si="573"/>
        <v>9769566</v>
      </c>
      <c r="F1145" s="329">
        <f t="shared" si="571"/>
        <v>0</v>
      </c>
      <c r="G1145" s="338">
        <f t="shared" si="574"/>
        <v>76400000</v>
      </c>
      <c r="H1145" s="329">
        <f t="shared" si="582"/>
        <v>0</v>
      </c>
      <c r="I1145" s="338">
        <f t="shared" si="575"/>
        <v>44350150</v>
      </c>
      <c r="J1145" s="329">
        <f t="shared" si="583"/>
        <v>0</v>
      </c>
      <c r="K1145" s="338">
        <f t="shared" si="576"/>
        <v>15100000</v>
      </c>
      <c r="L1145" s="329">
        <f t="shared" si="584"/>
        <v>0</v>
      </c>
      <c r="M1145" s="338">
        <f t="shared" si="577"/>
        <v>25332976</v>
      </c>
      <c r="N1145" s="329">
        <f t="shared" si="585"/>
        <v>0</v>
      </c>
      <c r="O1145" s="338">
        <f t="shared" si="578"/>
        <v>14300000</v>
      </c>
      <c r="P1145" s="329">
        <f t="shared" si="586"/>
        <v>0</v>
      </c>
      <c r="Q1145" s="338">
        <f t="shared" si="579"/>
        <v>0</v>
      </c>
      <c r="R1145" s="329">
        <f t="shared" si="587"/>
        <v>0</v>
      </c>
      <c r="S1145" s="338">
        <f t="shared" si="580"/>
        <v>10000000</v>
      </c>
      <c r="T1145" s="329">
        <f t="shared" si="588"/>
        <v>0</v>
      </c>
      <c r="U1145" s="338">
        <f t="shared" si="590"/>
        <v>2200000</v>
      </c>
      <c r="V1145" s="329">
        <f t="shared" si="589"/>
        <v>0</v>
      </c>
      <c r="W1145" s="338">
        <f t="shared" si="581"/>
        <v>12224694.890000001</v>
      </c>
      <c r="X1145" s="35"/>
    </row>
    <row r="1146" spans="1:24" x14ac:dyDescent="0.25">
      <c r="A1146" s="335">
        <f t="shared" si="570"/>
        <v>44857</v>
      </c>
      <c r="B1146" s="49">
        <f t="shared" si="591"/>
        <v>0</v>
      </c>
      <c r="C1146" s="338">
        <f t="shared" si="572"/>
        <v>118886089</v>
      </c>
      <c r="D1146" s="329">
        <f t="shared" si="592"/>
        <v>0</v>
      </c>
      <c r="E1146" s="338">
        <f t="shared" si="573"/>
        <v>9769566</v>
      </c>
      <c r="F1146" s="329">
        <f t="shared" si="571"/>
        <v>0</v>
      </c>
      <c r="G1146" s="338">
        <f t="shared" si="574"/>
        <v>76400000</v>
      </c>
      <c r="H1146" s="329">
        <f t="shared" si="582"/>
        <v>0</v>
      </c>
      <c r="I1146" s="338">
        <f t="shared" si="575"/>
        <v>44350150</v>
      </c>
      <c r="J1146" s="329">
        <f t="shared" si="583"/>
        <v>0</v>
      </c>
      <c r="K1146" s="338">
        <f t="shared" si="576"/>
        <v>15100000</v>
      </c>
      <c r="L1146" s="329">
        <f t="shared" si="584"/>
        <v>0</v>
      </c>
      <c r="M1146" s="338">
        <f t="shared" si="577"/>
        <v>25332976</v>
      </c>
      <c r="N1146" s="329">
        <f t="shared" si="585"/>
        <v>0</v>
      </c>
      <c r="O1146" s="338">
        <f t="shared" si="578"/>
        <v>14300000</v>
      </c>
      <c r="P1146" s="329">
        <f t="shared" si="586"/>
        <v>0</v>
      </c>
      <c r="Q1146" s="338">
        <f t="shared" si="579"/>
        <v>0</v>
      </c>
      <c r="R1146" s="329">
        <f t="shared" si="587"/>
        <v>0</v>
      </c>
      <c r="S1146" s="338">
        <f t="shared" si="580"/>
        <v>10000000</v>
      </c>
      <c r="T1146" s="329">
        <f t="shared" si="588"/>
        <v>0</v>
      </c>
      <c r="U1146" s="338">
        <f t="shared" si="590"/>
        <v>2200000</v>
      </c>
      <c r="V1146" s="329">
        <f t="shared" si="589"/>
        <v>0</v>
      </c>
      <c r="W1146" s="338">
        <f t="shared" si="581"/>
        <v>12224694.890000001</v>
      </c>
      <c r="X1146" s="35"/>
    </row>
    <row r="1147" spans="1:24" x14ac:dyDescent="0.25">
      <c r="A1147" s="335">
        <f t="shared" si="570"/>
        <v>44858</v>
      </c>
      <c r="B1147" s="49">
        <f t="shared" si="591"/>
        <v>0</v>
      </c>
      <c r="C1147" s="338">
        <f t="shared" si="572"/>
        <v>118886089</v>
      </c>
      <c r="D1147" s="329">
        <f t="shared" si="592"/>
        <v>0</v>
      </c>
      <c r="E1147" s="338">
        <f t="shared" si="573"/>
        <v>9769566</v>
      </c>
      <c r="F1147" s="329">
        <f t="shared" si="571"/>
        <v>0</v>
      </c>
      <c r="G1147" s="338">
        <f t="shared" si="574"/>
        <v>76400000</v>
      </c>
      <c r="H1147" s="329">
        <f t="shared" si="582"/>
        <v>0</v>
      </c>
      <c r="I1147" s="338">
        <f t="shared" si="575"/>
        <v>44350150</v>
      </c>
      <c r="J1147" s="329">
        <f t="shared" si="583"/>
        <v>0</v>
      </c>
      <c r="K1147" s="338">
        <f t="shared" si="576"/>
        <v>15100000</v>
      </c>
      <c r="L1147" s="329">
        <f t="shared" si="584"/>
        <v>0</v>
      </c>
      <c r="M1147" s="338">
        <f t="shared" si="577"/>
        <v>25332976</v>
      </c>
      <c r="N1147" s="329">
        <f t="shared" si="585"/>
        <v>0</v>
      </c>
      <c r="O1147" s="338">
        <f t="shared" si="578"/>
        <v>14300000</v>
      </c>
      <c r="P1147" s="329">
        <f t="shared" si="586"/>
        <v>0</v>
      </c>
      <c r="Q1147" s="338">
        <f t="shared" si="579"/>
        <v>0</v>
      </c>
      <c r="R1147" s="329">
        <f t="shared" si="587"/>
        <v>0</v>
      </c>
      <c r="S1147" s="338">
        <f t="shared" si="580"/>
        <v>10000000</v>
      </c>
      <c r="T1147" s="329">
        <f t="shared" si="588"/>
        <v>0</v>
      </c>
      <c r="U1147" s="338">
        <f t="shared" si="590"/>
        <v>2200000</v>
      </c>
      <c r="V1147" s="329">
        <f t="shared" si="589"/>
        <v>0</v>
      </c>
      <c r="W1147" s="338">
        <f t="shared" si="581"/>
        <v>12224694.890000001</v>
      </c>
      <c r="X1147" s="35"/>
    </row>
    <row r="1148" spans="1:24" x14ac:dyDescent="0.25">
      <c r="A1148" s="335">
        <f t="shared" si="570"/>
        <v>44859</v>
      </c>
      <c r="B1148" s="49">
        <f t="shared" si="591"/>
        <v>0</v>
      </c>
      <c r="C1148" s="338">
        <f t="shared" si="572"/>
        <v>118886089</v>
      </c>
      <c r="D1148" s="329">
        <f t="shared" si="592"/>
        <v>0</v>
      </c>
      <c r="E1148" s="338">
        <f t="shared" si="573"/>
        <v>9769566</v>
      </c>
      <c r="F1148" s="329">
        <f t="shared" si="571"/>
        <v>0</v>
      </c>
      <c r="G1148" s="338">
        <f t="shared" si="574"/>
        <v>76400000</v>
      </c>
      <c r="H1148" s="329">
        <f t="shared" si="582"/>
        <v>0</v>
      </c>
      <c r="I1148" s="338">
        <f t="shared" si="575"/>
        <v>44350150</v>
      </c>
      <c r="J1148" s="329">
        <f t="shared" si="583"/>
        <v>0</v>
      </c>
      <c r="K1148" s="338">
        <f t="shared" si="576"/>
        <v>15100000</v>
      </c>
      <c r="L1148" s="329">
        <f t="shared" si="584"/>
        <v>0</v>
      </c>
      <c r="M1148" s="338">
        <f t="shared" si="577"/>
        <v>25332976</v>
      </c>
      <c r="N1148" s="329">
        <f t="shared" si="585"/>
        <v>0</v>
      </c>
      <c r="O1148" s="338">
        <f t="shared" si="578"/>
        <v>14300000</v>
      </c>
      <c r="P1148" s="329">
        <f t="shared" si="586"/>
        <v>0</v>
      </c>
      <c r="Q1148" s="338">
        <f t="shared" si="579"/>
        <v>0</v>
      </c>
      <c r="R1148" s="329">
        <f t="shared" si="587"/>
        <v>0</v>
      </c>
      <c r="S1148" s="338">
        <f t="shared" si="580"/>
        <v>10000000</v>
      </c>
      <c r="T1148" s="329">
        <f t="shared" si="588"/>
        <v>0</v>
      </c>
      <c r="U1148" s="338">
        <f t="shared" si="590"/>
        <v>2200000</v>
      </c>
      <c r="V1148" s="329">
        <f t="shared" si="589"/>
        <v>0</v>
      </c>
      <c r="W1148" s="338">
        <f t="shared" si="581"/>
        <v>12224694.890000001</v>
      </c>
      <c r="X1148" s="35"/>
    </row>
    <row r="1149" spans="1:24" x14ac:dyDescent="0.25">
      <c r="A1149" s="335">
        <f t="shared" si="570"/>
        <v>44860</v>
      </c>
      <c r="B1149" s="49">
        <f t="shared" si="591"/>
        <v>0</v>
      </c>
      <c r="C1149" s="338">
        <f t="shared" si="572"/>
        <v>118886089</v>
      </c>
      <c r="D1149" s="329">
        <f t="shared" si="592"/>
        <v>0</v>
      </c>
      <c r="E1149" s="338">
        <f t="shared" si="573"/>
        <v>9769566</v>
      </c>
      <c r="F1149" s="329">
        <f t="shared" si="571"/>
        <v>0</v>
      </c>
      <c r="G1149" s="338">
        <f t="shared" si="574"/>
        <v>76400000</v>
      </c>
      <c r="H1149" s="329">
        <f t="shared" si="582"/>
        <v>0</v>
      </c>
      <c r="I1149" s="338">
        <f t="shared" si="575"/>
        <v>44350150</v>
      </c>
      <c r="J1149" s="329">
        <f t="shared" si="583"/>
        <v>0</v>
      </c>
      <c r="K1149" s="338">
        <f t="shared" si="576"/>
        <v>15100000</v>
      </c>
      <c r="L1149" s="329">
        <f t="shared" si="584"/>
        <v>0</v>
      </c>
      <c r="M1149" s="338">
        <f t="shared" si="577"/>
        <v>25332976</v>
      </c>
      <c r="N1149" s="329">
        <f t="shared" si="585"/>
        <v>0</v>
      </c>
      <c r="O1149" s="338">
        <f t="shared" si="578"/>
        <v>14300000</v>
      </c>
      <c r="P1149" s="329">
        <f t="shared" si="586"/>
        <v>0</v>
      </c>
      <c r="Q1149" s="338">
        <f t="shared" si="579"/>
        <v>0</v>
      </c>
      <c r="R1149" s="329">
        <f t="shared" si="587"/>
        <v>0</v>
      </c>
      <c r="S1149" s="338">
        <f t="shared" si="580"/>
        <v>10000000</v>
      </c>
      <c r="T1149" s="329">
        <f t="shared" si="588"/>
        <v>0</v>
      </c>
      <c r="U1149" s="338">
        <f t="shared" si="590"/>
        <v>2200000</v>
      </c>
      <c r="V1149" s="329">
        <f t="shared" si="589"/>
        <v>0</v>
      </c>
      <c r="W1149" s="338">
        <f t="shared" si="581"/>
        <v>12224694.890000001</v>
      </c>
      <c r="X1149" s="35"/>
    </row>
    <row r="1150" spans="1:24" x14ac:dyDescent="0.25">
      <c r="A1150" s="335">
        <f t="shared" si="570"/>
        <v>44861</v>
      </c>
      <c r="B1150" s="49">
        <f t="shared" si="591"/>
        <v>0</v>
      </c>
      <c r="C1150" s="338">
        <f t="shared" si="572"/>
        <v>118886089</v>
      </c>
      <c r="D1150" s="329">
        <f t="shared" si="592"/>
        <v>0</v>
      </c>
      <c r="E1150" s="338">
        <f t="shared" si="573"/>
        <v>9769566</v>
      </c>
      <c r="F1150" s="329">
        <f t="shared" si="571"/>
        <v>0</v>
      </c>
      <c r="G1150" s="338">
        <f t="shared" si="574"/>
        <v>76400000</v>
      </c>
      <c r="H1150" s="329">
        <f t="shared" si="582"/>
        <v>0</v>
      </c>
      <c r="I1150" s="338">
        <f t="shared" si="575"/>
        <v>44350150</v>
      </c>
      <c r="J1150" s="329">
        <f t="shared" si="583"/>
        <v>0</v>
      </c>
      <c r="K1150" s="338">
        <f t="shared" si="576"/>
        <v>15100000</v>
      </c>
      <c r="L1150" s="329">
        <f t="shared" si="584"/>
        <v>0</v>
      </c>
      <c r="M1150" s="338">
        <f t="shared" si="577"/>
        <v>25332976</v>
      </c>
      <c r="N1150" s="329">
        <f t="shared" si="585"/>
        <v>0</v>
      </c>
      <c r="O1150" s="338">
        <f t="shared" si="578"/>
        <v>14300000</v>
      </c>
      <c r="P1150" s="329">
        <f t="shared" si="586"/>
        <v>0</v>
      </c>
      <c r="Q1150" s="338">
        <f t="shared" si="579"/>
        <v>0</v>
      </c>
      <c r="R1150" s="329">
        <f t="shared" si="587"/>
        <v>0</v>
      </c>
      <c r="S1150" s="338">
        <f t="shared" si="580"/>
        <v>10000000</v>
      </c>
      <c r="T1150" s="329">
        <f t="shared" si="588"/>
        <v>0</v>
      </c>
      <c r="U1150" s="338">
        <f t="shared" si="590"/>
        <v>2200000</v>
      </c>
      <c r="V1150" s="329">
        <f t="shared" si="589"/>
        <v>0</v>
      </c>
      <c r="W1150" s="338">
        <f t="shared" si="581"/>
        <v>12224694.890000001</v>
      </c>
      <c r="X1150" s="35"/>
    </row>
    <row r="1151" spans="1:24" x14ac:dyDescent="0.25">
      <c r="A1151" s="335">
        <f t="shared" si="570"/>
        <v>44862</v>
      </c>
      <c r="B1151" s="49">
        <f t="shared" si="591"/>
        <v>0</v>
      </c>
      <c r="C1151" s="338">
        <f t="shared" si="572"/>
        <v>118886089</v>
      </c>
      <c r="D1151" s="329">
        <f t="shared" si="592"/>
        <v>0</v>
      </c>
      <c r="E1151" s="338">
        <f t="shared" si="573"/>
        <v>9769566</v>
      </c>
      <c r="F1151" s="329">
        <f t="shared" si="571"/>
        <v>0</v>
      </c>
      <c r="G1151" s="338">
        <f t="shared" si="574"/>
        <v>76400000</v>
      </c>
      <c r="H1151" s="329">
        <f t="shared" si="582"/>
        <v>0</v>
      </c>
      <c r="I1151" s="338">
        <f t="shared" si="575"/>
        <v>44350150</v>
      </c>
      <c r="J1151" s="329">
        <f t="shared" si="583"/>
        <v>0</v>
      </c>
      <c r="K1151" s="338">
        <f t="shared" si="576"/>
        <v>15100000</v>
      </c>
      <c r="L1151" s="329">
        <f t="shared" si="584"/>
        <v>0</v>
      </c>
      <c r="M1151" s="338">
        <f t="shared" si="577"/>
        <v>25332976</v>
      </c>
      <c r="N1151" s="329">
        <f t="shared" si="585"/>
        <v>0</v>
      </c>
      <c r="O1151" s="338">
        <f t="shared" si="578"/>
        <v>14300000</v>
      </c>
      <c r="P1151" s="329">
        <f t="shared" si="586"/>
        <v>0</v>
      </c>
      <c r="Q1151" s="338">
        <f t="shared" si="579"/>
        <v>0</v>
      </c>
      <c r="R1151" s="329">
        <f t="shared" si="587"/>
        <v>0</v>
      </c>
      <c r="S1151" s="338">
        <f t="shared" si="580"/>
        <v>10000000</v>
      </c>
      <c r="T1151" s="329">
        <f t="shared" si="588"/>
        <v>0</v>
      </c>
      <c r="U1151" s="338">
        <f t="shared" si="590"/>
        <v>2200000</v>
      </c>
      <c r="V1151" s="329">
        <f t="shared" si="589"/>
        <v>0</v>
      </c>
      <c r="W1151" s="338">
        <f t="shared" si="581"/>
        <v>12224694.890000001</v>
      </c>
      <c r="X1151" s="35"/>
    </row>
    <row r="1152" spans="1:24" x14ac:dyDescent="0.25">
      <c r="A1152" s="335">
        <f t="shared" ref="A1152:A1215" si="593">A1151+1</f>
        <v>44863</v>
      </c>
      <c r="B1152" s="49">
        <f t="shared" si="591"/>
        <v>0</v>
      </c>
      <c r="C1152" s="338">
        <f t="shared" si="572"/>
        <v>118886089</v>
      </c>
      <c r="D1152" s="329">
        <f t="shared" si="592"/>
        <v>0</v>
      </c>
      <c r="E1152" s="338">
        <f t="shared" si="573"/>
        <v>9769566</v>
      </c>
      <c r="F1152" s="329">
        <f t="shared" si="571"/>
        <v>0</v>
      </c>
      <c r="G1152" s="338">
        <f t="shared" si="574"/>
        <v>76400000</v>
      </c>
      <c r="H1152" s="329">
        <f t="shared" si="582"/>
        <v>0</v>
      </c>
      <c r="I1152" s="338">
        <f t="shared" si="575"/>
        <v>44350150</v>
      </c>
      <c r="J1152" s="329">
        <f t="shared" si="583"/>
        <v>0</v>
      </c>
      <c r="K1152" s="338">
        <f t="shared" si="576"/>
        <v>15100000</v>
      </c>
      <c r="L1152" s="329">
        <f t="shared" si="584"/>
        <v>0</v>
      </c>
      <c r="M1152" s="338">
        <f t="shared" si="577"/>
        <v>25332976</v>
      </c>
      <c r="N1152" s="329">
        <f t="shared" si="585"/>
        <v>0</v>
      </c>
      <c r="O1152" s="338">
        <f t="shared" si="578"/>
        <v>14300000</v>
      </c>
      <c r="P1152" s="329">
        <f t="shared" si="586"/>
        <v>0</v>
      </c>
      <c r="Q1152" s="338">
        <f t="shared" si="579"/>
        <v>0</v>
      </c>
      <c r="R1152" s="329">
        <f t="shared" si="587"/>
        <v>0</v>
      </c>
      <c r="S1152" s="338">
        <f t="shared" si="580"/>
        <v>10000000</v>
      </c>
      <c r="T1152" s="329">
        <f t="shared" si="588"/>
        <v>0</v>
      </c>
      <c r="U1152" s="338">
        <f t="shared" si="590"/>
        <v>2200000</v>
      </c>
      <c r="V1152" s="329">
        <f t="shared" si="589"/>
        <v>0</v>
      </c>
      <c r="W1152" s="338">
        <f t="shared" si="581"/>
        <v>12224694.890000001</v>
      </c>
      <c r="X1152" s="35"/>
    </row>
    <row r="1153" spans="1:24" x14ac:dyDescent="0.25">
      <c r="A1153" s="335">
        <f t="shared" si="593"/>
        <v>44864</v>
      </c>
      <c r="B1153" s="49">
        <f t="shared" si="591"/>
        <v>0</v>
      </c>
      <c r="C1153" s="338">
        <f t="shared" si="572"/>
        <v>118886089</v>
      </c>
      <c r="D1153" s="329">
        <f t="shared" si="592"/>
        <v>0</v>
      </c>
      <c r="E1153" s="338">
        <f t="shared" si="573"/>
        <v>9769566</v>
      </c>
      <c r="F1153" s="329">
        <f t="shared" si="571"/>
        <v>0</v>
      </c>
      <c r="G1153" s="338">
        <f t="shared" si="574"/>
        <v>76400000</v>
      </c>
      <c r="H1153" s="329">
        <f t="shared" si="582"/>
        <v>0</v>
      </c>
      <c r="I1153" s="338">
        <f t="shared" si="575"/>
        <v>44350150</v>
      </c>
      <c r="J1153" s="329">
        <f t="shared" si="583"/>
        <v>0</v>
      </c>
      <c r="K1153" s="338">
        <f t="shared" si="576"/>
        <v>15100000</v>
      </c>
      <c r="L1153" s="329">
        <f t="shared" si="584"/>
        <v>0</v>
      </c>
      <c r="M1153" s="338">
        <f t="shared" si="577"/>
        <v>25332976</v>
      </c>
      <c r="N1153" s="329">
        <f t="shared" si="585"/>
        <v>0</v>
      </c>
      <c r="O1153" s="338">
        <f t="shared" si="578"/>
        <v>14300000</v>
      </c>
      <c r="P1153" s="329">
        <f t="shared" si="586"/>
        <v>0</v>
      </c>
      <c r="Q1153" s="338">
        <f t="shared" si="579"/>
        <v>0</v>
      </c>
      <c r="R1153" s="329">
        <f t="shared" si="587"/>
        <v>0</v>
      </c>
      <c r="S1153" s="338">
        <f t="shared" si="580"/>
        <v>10000000</v>
      </c>
      <c r="T1153" s="329">
        <f t="shared" si="588"/>
        <v>0</v>
      </c>
      <c r="U1153" s="338">
        <f t="shared" si="590"/>
        <v>2200000</v>
      </c>
      <c r="V1153" s="329">
        <f t="shared" si="589"/>
        <v>0</v>
      </c>
      <c r="W1153" s="338">
        <f t="shared" si="581"/>
        <v>12224694.890000001</v>
      </c>
      <c r="X1153" s="35"/>
    </row>
    <row r="1154" spans="1:24" x14ac:dyDescent="0.25">
      <c r="A1154" s="335">
        <f t="shared" si="593"/>
        <v>44865</v>
      </c>
      <c r="B1154" s="49">
        <f t="shared" si="591"/>
        <v>0</v>
      </c>
      <c r="C1154" s="338">
        <f t="shared" si="572"/>
        <v>118886089</v>
      </c>
      <c r="D1154" s="329">
        <f t="shared" si="592"/>
        <v>0</v>
      </c>
      <c r="E1154" s="338">
        <f t="shared" si="573"/>
        <v>9769566</v>
      </c>
      <c r="F1154" s="329">
        <f t="shared" si="571"/>
        <v>0</v>
      </c>
      <c r="G1154" s="338">
        <f t="shared" si="574"/>
        <v>76400000</v>
      </c>
      <c r="H1154" s="329">
        <f t="shared" si="582"/>
        <v>0</v>
      </c>
      <c r="I1154" s="338">
        <f t="shared" si="575"/>
        <v>44350150</v>
      </c>
      <c r="J1154" s="329">
        <f t="shared" si="583"/>
        <v>0</v>
      </c>
      <c r="K1154" s="338">
        <f t="shared" si="576"/>
        <v>15100000</v>
      </c>
      <c r="L1154" s="329">
        <f t="shared" si="584"/>
        <v>0</v>
      </c>
      <c r="M1154" s="338">
        <f t="shared" si="577"/>
        <v>25332976</v>
      </c>
      <c r="N1154" s="329">
        <f t="shared" si="585"/>
        <v>0</v>
      </c>
      <c r="O1154" s="338">
        <f t="shared" si="578"/>
        <v>14300000</v>
      </c>
      <c r="P1154" s="329">
        <f t="shared" si="586"/>
        <v>0</v>
      </c>
      <c r="Q1154" s="338">
        <f t="shared" si="579"/>
        <v>0</v>
      </c>
      <c r="R1154" s="329">
        <f t="shared" si="587"/>
        <v>0</v>
      </c>
      <c r="S1154" s="338">
        <f t="shared" si="580"/>
        <v>10000000</v>
      </c>
      <c r="T1154" s="329">
        <f t="shared" si="588"/>
        <v>0</v>
      </c>
      <c r="U1154" s="338">
        <f t="shared" si="590"/>
        <v>2200000</v>
      </c>
      <c r="V1154" s="329">
        <f t="shared" si="589"/>
        <v>0</v>
      </c>
      <c r="W1154" s="338">
        <f t="shared" si="581"/>
        <v>12224694.890000001</v>
      </c>
      <c r="X1154" s="35"/>
    </row>
    <row r="1155" spans="1:24" x14ac:dyDescent="0.25">
      <c r="A1155" s="335">
        <f t="shared" si="593"/>
        <v>44866</v>
      </c>
      <c r="B1155" s="49">
        <f t="shared" si="591"/>
        <v>0</v>
      </c>
      <c r="C1155" s="338">
        <f t="shared" si="572"/>
        <v>118886089</v>
      </c>
      <c r="D1155" s="329">
        <f t="shared" si="592"/>
        <v>0</v>
      </c>
      <c r="E1155" s="338">
        <f t="shared" si="573"/>
        <v>9769566</v>
      </c>
      <c r="F1155" s="329">
        <f t="shared" ref="F1155:F1218" si="594">SUMIFS(Usage_Main,CF_Dates,$A1155,CF_Descriptions,"EASTCYPRESS1 Change")</f>
        <v>0</v>
      </c>
      <c r="G1155" s="338">
        <f t="shared" si="574"/>
        <v>76400000</v>
      </c>
      <c r="H1155" s="329">
        <f t="shared" si="582"/>
        <v>0</v>
      </c>
      <c r="I1155" s="338">
        <f t="shared" si="575"/>
        <v>44350150</v>
      </c>
      <c r="J1155" s="329">
        <f t="shared" si="583"/>
        <v>0</v>
      </c>
      <c r="K1155" s="338">
        <f t="shared" si="576"/>
        <v>15100000</v>
      </c>
      <c r="L1155" s="329">
        <f t="shared" si="584"/>
        <v>0</v>
      </c>
      <c r="M1155" s="338">
        <f t="shared" si="577"/>
        <v>25332976</v>
      </c>
      <c r="N1155" s="329">
        <f t="shared" si="585"/>
        <v>0</v>
      </c>
      <c r="O1155" s="338">
        <f t="shared" si="578"/>
        <v>14300000</v>
      </c>
      <c r="P1155" s="329">
        <f t="shared" si="586"/>
        <v>0</v>
      </c>
      <c r="Q1155" s="338">
        <f t="shared" si="579"/>
        <v>0</v>
      </c>
      <c r="R1155" s="329">
        <f t="shared" si="587"/>
        <v>0</v>
      </c>
      <c r="S1155" s="338">
        <f t="shared" si="580"/>
        <v>10000000</v>
      </c>
      <c r="T1155" s="329">
        <f t="shared" si="588"/>
        <v>0</v>
      </c>
      <c r="U1155" s="338">
        <f t="shared" si="590"/>
        <v>2200000</v>
      </c>
      <c r="V1155" s="329">
        <f t="shared" si="589"/>
        <v>0</v>
      </c>
      <c r="W1155" s="338">
        <f t="shared" si="581"/>
        <v>12224694.890000001</v>
      </c>
      <c r="X1155" s="35"/>
    </row>
    <row r="1156" spans="1:24" x14ac:dyDescent="0.25">
      <c r="A1156" s="335">
        <f t="shared" si="593"/>
        <v>44867</v>
      </c>
      <c r="B1156" s="49">
        <f t="shared" si="591"/>
        <v>0</v>
      </c>
      <c r="C1156" s="338">
        <f t="shared" si="572"/>
        <v>118886089</v>
      </c>
      <c r="D1156" s="329">
        <f t="shared" si="592"/>
        <v>0</v>
      </c>
      <c r="E1156" s="338">
        <f t="shared" si="573"/>
        <v>9769566</v>
      </c>
      <c r="F1156" s="329">
        <f t="shared" si="594"/>
        <v>0</v>
      </c>
      <c r="G1156" s="338">
        <f t="shared" si="574"/>
        <v>76400000</v>
      </c>
      <c r="H1156" s="329">
        <f t="shared" si="582"/>
        <v>0</v>
      </c>
      <c r="I1156" s="338">
        <f t="shared" si="575"/>
        <v>44350150</v>
      </c>
      <c r="J1156" s="329">
        <f t="shared" si="583"/>
        <v>0</v>
      </c>
      <c r="K1156" s="338">
        <f t="shared" si="576"/>
        <v>15100000</v>
      </c>
      <c r="L1156" s="329">
        <f t="shared" si="584"/>
        <v>0</v>
      </c>
      <c r="M1156" s="338">
        <f t="shared" si="577"/>
        <v>25332976</v>
      </c>
      <c r="N1156" s="329">
        <f t="shared" si="585"/>
        <v>0</v>
      </c>
      <c r="O1156" s="338">
        <f t="shared" si="578"/>
        <v>14300000</v>
      </c>
      <c r="P1156" s="329">
        <f t="shared" si="586"/>
        <v>0</v>
      </c>
      <c r="Q1156" s="338">
        <f t="shared" si="579"/>
        <v>0</v>
      </c>
      <c r="R1156" s="329">
        <f t="shared" si="587"/>
        <v>0</v>
      </c>
      <c r="S1156" s="338">
        <f t="shared" si="580"/>
        <v>10000000</v>
      </c>
      <c r="T1156" s="329">
        <f t="shared" si="588"/>
        <v>0</v>
      </c>
      <c r="U1156" s="338">
        <f t="shared" si="590"/>
        <v>2200000</v>
      </c>
      <c r="V1156" s="329">
        <f t="shared" si="589"/>
        <v>0</v>
      </c>
      <c r="W1156" s="338">
        <f t="shared" si="581"/>
        <v>12224694.890000001</v>
      </c>
      <c r="X1156" s="35"/>
    </row>
    <row r="1157" spans="1:24" x14ac:dyDescent="0.25">
      <c r="A1157" s="335">
        <f t="shared" si="593"/>
        <v>44868</v>
      </c>
      <c r="B1157" s="49">
        <f t="shared" si="591"/>
        <v>0</v>
      </c>
      <c r="C1157" s="338">
        <f t="shared" si="572"/>
        <v>118886089</v>
      </c>
      <c r="D1157" s="329">
        <f t="shared" si="592"/>
        <v>0</v>
      </c>
      <c r="E1157" s="338">
        <f t="shared" si="573"/>
        <v>9769566</v>
      </c>
      <c r="F1157" s="329">
        <f t="shared" si="594"/>
        <v>0</v>
      </c>
      <c r="G1157" s="338">
        <f t="shared" si="574"/>
        <v>76400000</v>
      </c>
      <c r="H1157" s="329">
        <f t="shared" si="582"/>
        <v>0</v>
      </c>
      <c r="I1157" s="338">
        <f t="shared" si="575"/>
        <v>44350150</v>
      </c>
      <c r="J1157" s="329">
        <f t="shared" si="583"/>
        <v>0</v>
      </c>
      <c r="K1157" s="338">
        <f t="shared" si="576"/>
        <v>15100000</v>
      </c>
      <c r="L1157" s="329">
        <f t="shared" si="584"/>
        <v>0</v>
      </c>
      <c r="M1157" s="338">
        <f t="shared" si="577"/>
        <v>25332976</v>
      </c>
      <c r="N1157" s="329">
        <f t="shared" si="585"/>
        <v>0</v>
      </c>
      <c r="O1157" s="338">
        <f t="shared" si="578"/>
        <v>14300000</v>
      </c>
      <c r="P1157" s="329">
        <f t="shared" si="586"/>
        <v>0</v>
      </c>
      <c r="Q1157" s="338">
        <f t="shared" si="579"/>
        <v>0</v>
      </c>
      <c r="R1157" s="329">
        <f t="shared" si="587"/>
        <v>0</v>
      </c>
      <c r="S1157" s="338">
        <f t="shared" si="580"/>
        <v>10000000</v>
      </c>
      <c r="T1157" s="329">
        <f t="shared" si="588"/>
        <v>0</v>
      </c>
      <c r="U1157" s="338">
        <f t="shared" si="590"/>
        <v>2200000</v>
      </c>
      <c r="V1157" s="329">
        <f t="shared" si="589"/>
        <v>0</v>
      </c>
      <c r="W1157" s="338">
        <f t="shared" si="581"/>
        <v>12224694.890000001</v>
      </c>
      <c r="X1157" s="35"/>
    </row>
    <row r="1158" spans="1:24" x14ac:dyDescent="0.25">
      <c r="A1158" s="335">
        <f t="shared" si="593"/>
        <v>44869</v>
      </c>
      <c r="B1158" s="49">
        <f t="shared" si="591"/>
        <v>0</v>
      </c>
      <c r="C1158" s="338">
        <f t="shared" ref="C1158:C1221" si="595">B1158+C1157</f>
        <v>118886089</v>
      </c>
      <c r="D1158" s="329">
        <f t="shared" si="592"/>
        <v>0</v>
      </c>
      <c r="E1158" s="338">
        <f t="shared" ref="E1158:E1221" si="596">D1158+E1157</f>
        <v>9769566</v>
      </c>
      <c r="F1158" s="329">
        <f t="shared" si="594"/>
        <v>0</v>
      </c>
      <c r="G1158" s="338">
        <f t="shared" ref="G1158:G1221" si="597">F1158+G1157</f>
        <v>76400000</v>
      </c>
      <c r="H1158" s="329">
        <f t="shared" si="582"/>
        <v>0</v>
      </c>
      <c r="I1158" s="338">
        <f t="shared" ref="I1158:I1221" si="598">H1158+I1157</f>
        <v>44350150</v>
      </c>
      <c r="J1158" s="329">
        <f t="shared" si="583"/>
        <v>0</v>
      </c>
      <c r="K1158" s="338">
        <f t="shared" ref="K1158:K1221" si="599">J1158+K1157</f>
        <v>15100000</v>
      </c>
      <c r="L1158" s="329">
        <f t="shared" si="584"/>
        <v>0</v>
      </c>
      <c r="M1158" s="338">
        <f t="shared" ref="M1158:M1221" si="600">L1158+M1157</f>
        <v>25332976</v>
      </c>
      <c r="N1158" s="329">
        <f t="shared" si="585"/>
        <v>0</v>
      </c>
      <c r="O1158" s="338">
        <f t="shared" ref="O1158:O1221" si="601">N1158+O1157</f>
        <v>14300000</v>
      </c>
      <c r="P1158" s="329">
        <f t="shared" si="586"/>
        <v>0</v>
      </c>
      <c r="Q1158" s="338">
        <f t="shared" ref="Q1158:Q1221" si="602">P1158+Q1157</f>
        <v>0</v>
      </c>
      <c r="R1158" s="329">
        <f t="shared" si="587"/>
        <v>0</v>
      </c>
      <c r="S1158" s="338">
        <f t="shared" ref="S1158:S1221" si="603">R1158+S1157</f>
        <v>10000000</v>
      </c>
      <c r="T1158" s="329">
        <f t="shared" si="588"/>
        <v>0</v>
      </c>
      <c r="U1158" s="338">
        <f t="shared" si="590"/>
        <v>2200000</v>
      </c>
      <c r="V1158" s="329">
        <f t="shared" si="589"/>
        <v>0</v>
      </c>
      <c r="W1158" s="338">
        <f t="shared" ref="W1158:W1221" si="604">V1158+W1157</f>
        <v>12224694.890000001</v>
      </c>
      <c r="X1158" s="35"/>
    </row>
    <row r="1159" spans="1:24" x14ac:dyDescent="0.25">
      <c r="A1159" s="335">
        <f t="shared" si="593"/>
        <v>44870</v>
      </c>
      <c r="B1159" s="49">
        <f t="shared" si="591"/>
        <v>0</v>
      </c>
      <c r="C1159" s="338">
        <f t="shared" si="595"/>
        <v>118886089</v>
      </c>
      <c r="D1159" s="329">
        <f t="shared" si="592"/>
        <v>0</v>
      </c>
      <c r="E1159" s="338">
        <f t="shared" si="596"/>
        <v>9769566</v>
      </c>
      <c r="F1159" s="329">
        <f t="shared" si="594"/>
        <v>0</v>
      </c>
      <c r="G1159" s="338">
        <f t="shared" si="597"/>
        <v>76400000</v>
      </c>
      <c r="H1159" s="329">
        <f t="shared" si="582"/>
        <v>0</v>
      </c>
      <c r="I1159" s="338">
        <f t="shared" si="598"/>
        <v>44350150</v>
      </c>
      <c r="J1159" s="329">
        <f t="shared" si="583"/>
        <v>0</v>
      </c>
      <c r="K1159" s="338">
        <f t="shared" si="599"/>
        <v>15100000</v>
      </c>
      <c r="L1159" s="329">
        <f t="shared" si="584"/>
        <v>0</v>
      </c>
      <c r="M1159" s="338">
        <f t="shared" si="600"/>
        <v>25332976</v>
      </c>
      <c r="N1159" s="329">
        <f t="shared" si="585"/>
        <v>0</v>
      </c>
      <c r="O1159" s="338">
        <f t="shared" si="601"/>
        <v>14300000</v>
      </c>
      <c r="P1159" s="329">
        <f t="shared" si="586"/>
        <v>0</v>
      </c>
      <c r="Q1159" s="338">
        <f t="shared" si="602"/>
        <v>0</v>
      </c>
      <c r="R1159" s="329">
        <f t="shared" si="587"/>
        <v>0</v>
      </c>
      <c r="S1159" s="338">
        <f t="shared" si="603"/>
        <v>10000000</v>
      </c>
      <c r="T1159" s="329">
        <f t="shared" si="588"/>
        <v>0</v>
      </c>
      <c r="U1159" s="338">
        <f t="shared" si="590"/>
        <v>2200000</v>
      </c>
      <c r="V1159" s="329">
        <f t="shared" si="589"/>
        <v>0</v>
      </c>
      <c r="W1159" s="338">
        <f t="shared" si="604"/>
        <v>12224694.890000001</v>
      </c>
      <c r="X1159" s="35"/>
    </row>
    <row r="1160" spans="1:24" x14ac:dyDescent="0.25">
      <c r="A1160" s="335">
        <f t="shared" si="593"/>
        <v>44871</v>
      </c>
      <c r="B1160" s="49">
        <f t="shared" si="591"/>
        <v>0</v>
      </c>
      <c r="C1160" s="338">
        <f t="shared" si="595"/>
        <v>118886089</v>
      </c>
      <c r="D1160" s="329">
        <f t="shared" si="592"/>
        <v>0</v>
      </c>
      <c r="E1160" s="338">
        <f t="shared" si="596"/>
        <v>9769566</v>
      </c>
      <c r="F1160" s="329">
        <f t="shared" si="594"/>
        <v>0</v>
      </c>
      <c r="G1160" s="338">
        <f t="shared" si="597"/>
        <v>76400000</v>
      </c>
      <c r="H1160" s="329">
        <f t="shared" si="582"/>
        <v>0</v>
      </c>
      <c r="I1160" s="338">
        <f t="shared" si="598"/>
        <v>44350150</v>
      </c>
      <c r="J1160" s="329">
        <f t="shared" si="583"/>
        <v>0</v>
      </c>
      <c r="K1160" s="338">
        <f t="shared" si="599"/>
        <v>15100000</v>
      </c>
      <c r="L1160" s="329">
        <f t="shared" si="584"/>
        <v>0</v>
      </c>
      <c r="M1160" s="338">
        <f t="shared" si="600"/>
        <v>25332976</v>
      </c>
      <c r="N1160" s="329">
        <f t="shared" si="585"/>
        <v>0</v>
      </c>
      <c r="O1160" s="338">
        <f t="shared" si="601"/>
        <v>14300000</v>
      </c>
      <c r="P1160" s="329">
        <f t="shared" si="586"/>
        <v>0</v>
      </c>
      <c r="Q1160" s="338">
        <f t="shared" si="602"/>
        <v>0</v>
      </c>
      <c r="R1160" s="329">
        <f t="shared" si="587"/>
        <v>0</v>
      </c>
      <c r="S1160" s="338">
        <f t="shared" si="603"/>
        <v>10000000</v>
      </c>
      <c r="T1160" s="329">
        <f t="shared" si="588"/>
        <v>0</v>
      </c>
      <c r="U1160" s="338">
        <f t="shared" si="590"/>
        <v>2200000</v>
      </c>
      <c r="V1160" s="329">
        <f t="shared" si="589"/>
        <v>0</v>
      </c>
      <c r="W1160" s="338">
        <f t="shared" si="604"/>
        <v>12224694.890000001</v>
      </c>
      <c r="X1160" s="35"/>
    </row>
    <row r="1161" spans="1:24" x14ac:dyDescent="0.25">
      <c r="A1161" s="335">
        <f t="shared" si="593"/>
        <v>44872</v>
      </c>
      <c r="B1161" s="49">
        <f t="shared" si="591"/>
        <v>0</v>
      </c>
      <c r="C1161" s="338">
        <f t="shared" si="595"/>
        <v>118886089</v>
      </c>
      <c r="D1161" s="329">
        <f t="shared" si="592"/>
        <v>0</v>
      </c>
      <c r="E1161" s="338">
        <f t="shared" si="596"/>
        <v>9769566</v>
      </c>
      <c r="F1161" s="329">
        <f t="shared" si="594"/>
        <v>0</v>
      </c>
      <c r="G1161" s="338">
        <f t="shared" si="597"/>
        <v>76400000</v>
      </c>
      <c r="H1161" s="329">
        <f t="shared" si="582"/>
        <v>0</v>
      </c>
      <c r="I1161" s="338">
        <f t="shared" si="598"/>
        <v>44350150</v>
      </c>
      <c r="J1161" s="329">
        <f t="shared" si="583"/>
        <v>0</v>
      </c>
      <c r="K1161" s="338">
        <f t="shared" si="599"/>
        <v>15100000</v>
      </c>
      <c r="L1161" s="329">
        <f t="shared" si="584"/>
        <v>0</v>
      </c>
      <c r="M1161" s="338">
        <f t="shared" si="600"/>
        <v>25332976</v>
      </c>
      <c r="N1161" s="329">
        <f t="shared" si="585"/>
        <v>0</v>
      </c>
      <c r="O1161" s="338">
        <f t="shared" si="601"/>
        <v>14300000</v>
      </c>
      <c r="P1161" s="329">
        <f t="shared" si="586"/>
        <v>0</v>
      </c>
      <c r="Q1161" s="338">
        <f t="shared" si="602"/>
        <v>0</v>
      </c>
      <c r="R1161" s="329">
        <f t="shared" si="587"/>
        <v>0</v>
      </c>
      <c r="S1161" s="338">
        <f t="shared" si="603"/>
        <v>10000000</v>
      </c>
      <c r="T1161" s="329">
        <f t="shared" si="588"/>
        <v>0</v>
      </c>
      <c r="U1161" s="338">
        <f t="shared" si="590"/>
        <v>2200000</v>
      </c>
      <c r="V1161" s="329">
        <f t="shared" si="589"/>
        <v>0</v>
      </c>
      <c r="W1161" s="338">
        <f t="shared" si="604"/>
        <v>12224694.890000001</v>
      </c>
      <c r="X1161" s="35"/>
    </row>
    <row r="1162" spans="1:24" x14ac:dyDescent="0.25">
      <c r="A1162" s="335">
        <f t="shared" si="593"/>
        <v>44873</v>
      </c>
      <c r="B1162" s="49">
        <f t="shared" si="591"/>
        <v>0</v>
      </c>
      <c r="C1162" s="338">
        <f t="shared" si="595"/>
        <v>118886089</v>
      </c>
      <c r="D1162" s="329">
        <f t="shared" si="592"/>
        <v>0</v>
      </c>
      <c r="E1162" s="338">
        <f t="shared" si="596"/>
        <v>9769566</v>
      </c>
      <c r="F1162" s="329">
        <f t="shared" si="594"/>
        <v>0</v>
      </c>
      <c r="G1162" s="338">
        <f t="shared" si="597"/>
        <v>76400000</v>
      </c>
      <c r="H1162" s="329">
        <f t="shared" si="582"/>
        <v>0</v>
      </c>
      <c r="I1162" s="338">
        <f t="shared" si="598"/>
        <v>44350150</v>
      </c>
      <c r="J1162" s="329">
        <f t="shared" si="583"/>
        <v>0</v>
      </c>
      <c r="K1162" s="338">
        <f t="shared" si="599"/>
        <v>15100000</v>
      </c>
      <c r="L1162" s="329">
        <f t="shared" si="584"/>
        <v>0</v>
      </c>
      <c r="M1162" s="338">
        <f t="shared" si="600"/>
        <v>25332976</v>
      </c>
      <c r="N1162" s="329">
        <f t="shared" si="585"/>
        <v>0</v>
      </c>
      <c r="O1162" s="338">
        <f t="shared" si="601"/>
        <v>14300000</v>
      </c>
      <c r="P1162" s="329">
        <f t="shared" si="586"/>
        <v>0</v>
      </c>
      <c r="Q1162" s="338">
        <f t="shared" si="602"/>
        <v>0</v>
      </c>
      <c r="R1162" s="329">
        <f t="shared" si="587"/>
        <v>0</v>
      </c>
      <c r="S1162" s="338">
        <f t="shared" si="603"/>
        <v>10000000</v>
      </c>
      <c r="T1162" s="329">
        <f t="shared" si="588"/>
        <v>0</v>
      </c>
      <c r="U1162" s="338">
        <f t="shared" si="590"/>
        <v>2200000</v>
      </c>
      <c r="V1162" s="329">
        <f t="shared" si="589"/>
        <v>0</v>
      </c>
      <c r="W1162" s="338">
        <f t="shared" si="604"/>
        <v>12224694.890000001</v>
      </c>
      <c r="X1162" s="35"/>
    </row>
    <row r="1163" spans="1:24" x14ac:dyDescent="0.25">
      <c r="A1163" s="335">
        <f t="shared" si="593"/>
        <v>44874</v>
      </c>
      <c r="B1163" s="49">
        <f t="shared" si="591"/>
        <v>0</v>
      </c>
      <c r="C1163" s="338">
        <f t="shared" si="595"/>
        <v>118886089</v>
      </c>
      <c r="D1163" s="329">
        <f t="shared" si="592"/>
        <v>0</v>
      </c>
      <c r="E1163" s="338">
        <f t="shared" si="596"/>
        <v>9769566</v>
      </c>
      <c r="F1163" s="329">
        <f t="shared" si="594"/>
        <v>0</v>
      </c>
      <c r="G1163" s="338">
        <f t="shared" si="597"/>
        <v>76400000</v>
      </c>
      <c r="H1163" s="329">
        <f t="shared" si="582"/>
        <v>0</v>
      </c>
      <c r="I1163" s="338">
        <f t="shared" si="598"/>
        <v>44350150</v>
      </c>
      <c r="J1163" s="329">
        <f t="shared" si="583"/>
        <v>0</v>
      </c>
      <c r="K1163" s="338">
        <f t="shared" si="599"/>
        <v>15100000</v>
      </c>
      <c r="L1163" s="329">
        <f t="shared" si="584"/>
        <v>0</v>
      </c>
      <c r="M1163" s="338">
        <f t="shared" si="600"/>
        <v>25332976</v>
      </c>
      <c r="N1163" s="329">
        <f t="shared" si="585"/>
        <v>0</v>
      </c>
      <c r="O1163" s="338">
        <f t="shared" si="601"/>
        <v>14300000</v>
      </c>
      <c r="P1163" s="329">
        <f t="shared" si="586"/>
        <v>0</v>
      </c>
      <c r="Q1163" s="338">
        <f t="shared" si="602"/>
        <v>0</v>
      </c>
      <c r="R1163" s="329">
        <f t="shared" si="587"/>
        <v>0</v>
      </c>
      <c r="S1163" s="338">
        <f t="shared" si="603"/>
        <v>10000000</v>
      </c>
      <c r="T1163" s="329">
        <f t="shared" si="588"/>
        <v>0</v>
      </c>
      <c r="U1163" s="338">
        <f t="shared" si="590"/>
        <v>2200000</v>
      </c>
      <c r="V1163" s="329">
        <f t="shared" si="589"/>
        <v>0</v>
      </c>
      <c r="W1163" s="338">
        <f t="shared" si="604"/>
        <v>12224694.890000001</v>
      </c>
      <c r="X1163" s="35"/>
    </row>
    <row r="1164" spans="1:24" x14ac:dyDescent="0.25">
      <c r="A1164" s="335">
        <f t="shared" si="593"/>
        <v>44875</v>
      </c>
      <c r="B1164" s="49">
        <f t="shared" si="591"/>
        <v>0</v>
      </c>
      <c r="C1164" s="338">
        <f t="shared" si="595"/>
        <v>118886089</v>
      </c>
      <c r="D1164" s="329">
        <f t="shared" si="592"/>
        <v>0</v>
      </c>
      <c r="E1164" s="338">
        <f t="shared" si="596"/>
        <v>9769566</v>
      </c>
      <c r="F1164" s="329">
        <f t="shared" si="594"/>
        <v>0</v>
      </c>
      <c r="G1164" s="338">
        <f t="shared" si="597"/>
        <v>76400000</v>
      </c>
      <c r="H1164" s="329">
        <f t="shared" si="582"/>
        <v>0</v>
      </c>
      <c r="I1164" s="338">
        <f t="shared" si="598"/>
        <v>44350150</v>
      </c>
      <c r="J1164" s="329">
        <f t="shared" si="583"/>
        <v>0</v>
      </c>
      <c r="K1164" s="338">
        <f t="shared" si="599"/>
        <v>15100000</v>
      </c>
      <c r="L1164" s="329">
        <f t="shared" si="584"/>
        <v>0</v>
      </c>
      <c r="M1164" s="338">
        <f t="shared" si="600"/>
        <v>25332976</v>
      </c>
      <c r="N1164" s="329">
        <f t="shared" si="585"/>
        <v>0</v>
      </c>
      <c r="O1164" s="338">
        <f t="shared" si="601"/>
        <v>14300000</v>
      </c>
      <c r="P1164" s="329">
        <f t="shared" si="586"/>
        <v>0</v>
      </c>
      <c r="Q1164" s="338">
        <f t="shared" si="602"/>
        <v>0</v>
      </c>
      <c r="R1164" s="329">
        <f t="shared" si="587"/>
        <v>0</v>
      </c>
      <c r="S1164" s="338">
        <f t="shared" si="603"/>
        <v>10000000</v>
      </c>
      <c r="T1164" s="329">
        <f t="shared" si="588"/>
        <v>0</v>
      </c>
      <c r="U1164" s="338">
        <f t="shared" si="590"/>
        <v>2200000</v>
      </c>
      <c r="V1164" s="329">
        <f t="shared" si="589"/>
        <v>0</v>
      </c>
      <c r="W1164" s="338">
        <f t="shared" si="604"/>
        <v>12224694.890000001</v>
      </c>
      <c r="X1164" s="35"/>
    </row>
    <row r="1165" spans="1:24" x14ac:dyDescent="0.25">
      <c r="A1165" s="335">
        <f t="shared" si="593"/>
        <v>44876</v>
      </c>
      <c r="B1165" s="49">
        <f t="shared" si="591"/>
        <v>0</v>
      </c>
      <c r="C1165" s="338">
        <f t="shared" si="595"/>
        <v>118886089</v>
      </c>
      <c r="D1165" s="329">
        <f t="shared" si="592"/>
        <v>0</v>
      </c>
      <c r="E1165" s="338">
        <f t="shared" si="596"/>
        <v>9769566</v>
      </c>
      <c r="F1165" s="329">
        <f t="shared" si="594"/>
        <v>0</v>
      </c>
      <c r="G1165" s="338">
        <f t="shared" si="597"/>
        <v>76400000</v>
      </c>
      <c r="H1165" s="329">
        <f t="shared" si="582"/>
        <v>0</v>
      </c>
      <c r="I1165" s="338">
        <f t="shared" si="598"/>
        <v>44350150</v>
      </c>
      <c r="J1165" s="329">
        <f t="shared" si="583"/>
        <v>0</v>
      </c>
      <c r="K1165" s="338">
        <f t="shared" si="599"/>
        <v>15100000</v>
      </c>
      <c r="L1165" s="329">
        <f t="shared" si="584"/>
        <v>0</v>
      </c>
      <c r="M1165" s="338">
        <f t="shared" si="600"/>
        <v>25332976</v>
      </c>
      <c r="N1165" s="329">
        <f t="shared" si="585"/>
        <v>0</v>
      </c>
      <c r="O1165" s="338">
        <f t="shared" si="601"/>
        <v>14300000</v>
      </c>
      <c r="P1165" s="329">
        <f t="shared" si="586"/>
        <v>0</v>
      </c>
      <c r="Q1165" s="338">
        <f t="shared" si="602"/>
        <v>0</v>
      </c>
      <c r="R1165" s="329">
        <f t="shared" si="587"/>
        <v>0</v>
      </c>
      <c r="S1165" s="338">
        <f t="shared" si="603"/>
        <v>10000000</v>
      </c>
      <c r="T1165" s="329">
        <f t="shared" si="588"/>
        <v>0</v>
      </c>
      <c r="U1165" s="338">
        <f t="shared" si="590"/>
        <v>2200000</v>
      </c>
      <c r="V1165" s="329">
        <f t="shared" si="589"/>
        <v>0</v>
      </c>
      <c r="W1165" s="338">
        <f t="shared" si="604"/>
        <v>12224694.890000001</v>
      </c>
      <c r="X1165" s="35"/>
    </row>
    <row r="1166" spans="1:24" x14ac:dyDescent="0.25">
      <c r="A1166" s="335">
        <f t="shared" si="593"/>
        <v>44877</v>
      </c>
      <c r="B1166" s="49">
        <f t="shared" si="591"/>
        <v>0</v>
      </c>
      <c r="C1166" s="338">
        <f t="shared" si="595"/>
        <v>118886089</v>
      </c>
      <c r="D1166" s="329">
        <f t="shared" si="592"/>
        <v>0</v>
      </c>
      <c r="E1166" s="338">
        <f t="shared" si="596"/>
        <v>9769566</v>
      </c>
      <c r="F1166" s="329">
        <f t="shared" si="594"/>
        <v>0</v>
      </c>
      <c r="G1166" s="338">
        <f t="shared" si="597"/>
        <v>76400000</v>
      </c>
      <c r="H1166" s="329">
        <f t="shared" si="582"/>
        <v>0</v>
      </c>
      <c r="I1166" s="338">
        <f t="shared" si="598"/>
        <v>44350150</v>
      </c>
      <c r="J1166" s="329">
        <f t="shared" si="583"/>
        <v>0</v>
      </c>
      <c r="K1166" s="338">
        <f t="shared" si="599"/>
        <v>15100000</v>
      </c>
      <c r="L1166" s="329">
        <f t="shared" si="584"/>
        <v>0</v>
      </c>
      <c r="M1166" s="338">
        <f t="shared" si="600"/>
        <v>25332976</v>
      </c>
      <c r="N1166" s="329">
        <f t="shared" si="585"/>
        <v>0</v>
      </c>
      <c r="O1166" s="338">
        <f t="shared" si="601"/>
        <v>14300000</v>
      </c>
      <c r="P1166" s="329">
        <f t="shared" si="586"/>
        <v>0</v>
      </c>
      <c r="Q1166" s="338">
        <f t="shared" si="602"/>
        <v>0</v>
      </c>
      <c r="R1166" s="329">
        <f t="shared" si="587"/>
        <v>0</v>
      </c>
      <c r="S1166" s="338">
        <f t="shared" si="603"/>
        <v>10000000</v>
      </c>
      <c r="T1166" s="329">
        <f t="shared" si="588"/>
        <v>0</v>
      </c>
      <c r="U1166" s="338">
        <f t="shared" si="590"/>
        <v>2200000</v>
      </c>
      <c r="V1166" s="329">
        <f t="shared" si="589"/>
        <v>0</v>
      </c>
      <c r="W1166" s="338">
        <f t="shared" si="604"/>
        <v>12224694.890000001</v>
      </c>
      <c r="X1166" s="35"/>
    </row>
    <row r="1167" spans="1:24" x14ac:dyDescent="0.25">
      <c r="A1167" s="335">
        <f t="shared" si="593"/>
        <v>44878</v>
      </c>
      <c r="B1167" s="49">
        <f t="shared" si="591"/>
        <v>0</v>
      </c>
      <c r="C1167" s="338">
        <f t="shared" si="595"/>
        <v>118886089</v>
      </c>
      <c r="D1167" s="329">
        <f t="shared" si="592"/>
        <v>0</v>
      </c>
      <c r="E1167" s="338">
        <f t="shared" si="596"/>
        <v>9769566</v>
      </c>
      <c r="F1167" s="329">
        <f t="shared" si="594"/>
        <v>0</v>
      </c>
      <c r="G1167" s="338">
        <f t="shared" si="597"/>
        <v>76400000</v>
      </c>
      <c r="H1167" s="329">
        <f t="shared" si="582"/>
        <v>0</v>
      </c>
      <c r="I1167" s="338">
        <f t="shared" si="598"/>
        <v>44350150</v>
      </c>
      <c r="J1167" s="329">
        <f t="shared" si="583"/>
        <v>0</v>
      </c>
      <c r="K1167" s="338">
        <f t="shared" si="599"/>
        <v>15100000</v>
      </c>
      <c r="L1167" s="329">
        <f t="shared" si="584"/>
        <v>0</v>
      </c>
      <c r="M1167" s="338">
        <f t="shared" si="600"/>
        <v>25332976</v>
      </c>
      <c r="N1167" s="329">
        <f t="shared" si="585"/>
        <v>0</v>
      </c>
      <c r="O1167" s="338">
        <f t="shared" si="601"/>
        <v>14300000</v>
      </c>
      <c r="P1167" s="329">
        <f t="shared" si="586"/>
        <v>0</v>
      </c>
      <c r="Q1167" s="338">
        <f t="shared" si="602"/>
        <v>0</v>
      </c>
      <c r="R1167" s="329">
        <f t="shared" si="587"/>
        <v>0</v>
      </c>
      <c r="S1167" s="338">
        <f t="shared" si="603"/>
        <v>10000000</v>
      </c>
      <c r="T1167" s="329">
        <f t="shared" si="588"/>
        <v>0</v>
      </c>
      <c r="U1167" s="338">
        <f t="shared" si="590"/>
        <v>2200000</v>
      </c>
      <c r="V1167" s="329">
        <f t="shared" si="589"/>
        <v>0</v>
      </c>
      <c r="W1167" s="338">
        <f t="shared" si="604"/>
        <v>12224694.890000001</v>
      </c>
      <c r="X1167" s="35"/>
    </row>
    <row r="1168" spans="1:24" x14ac:dyDescent="0.25">
      <c r="A1168" s="335">
        <f t="shared" si="593"/>
        <v>44879</v>
      </c>
      <c r="B1168" s="49">
        <f t="shared" si="591"/>
        <v>0</v>
      </c>
      <c r="C1168" s="338">
        <f t="shared" si="595"/>
        <v>118886089</v>
      </c>
      <c r="D1168" s="329">
        <f t="shared" si="592"/>
        <v>0</v>
      </c>
      <c r="E1168" s="338">
        <f t="shared" si="596"/>
        <v>9769566</v>
      </c>
      <c r="F1168" s="329">
        <f t="shared" si="594"/>
        <v>0</v>
      </c>
      <c r="G1168" s="338">
        <f t="shared" si="597"/>
        <v>76400000</v>
      </c>
      <c r="H1168" s="329">
        <f t="shared" si="582"/>
        <v>0</v>
      </c>
      <c r="I1168" s="338">
        <f t="shared" si="598"/>
        <v>44350150</v>
      </c>
      <c r="J1168" s="329">
        <f t="shared" si="583"/>
        <v>0</v>
      </c>
      <c r="K1168" s="338">
        <f t="shared" si="599"/>
        <v>15100000</v>
      </c>
      <c r="L1168" s="329">
        <f t="shared" si="584"/>
        <v>0</v>
      </c>
      <c r="M1168" s="338">
        <f t="shared" si="600"/>
        <v>25332976</v>
      </c>
      <c r="N1168" s="329">
        <f t="shared" si="585"/>
        <v>0</v>
      </c>
      <c r="O1168" s="338">
        <f t="shared" si="601"/>
        <v>14300000</v>
      </c>
      <c r="P1168" s="329">
        <f t="shared" si="586"/>
        <v>0</v>
      </c>
      <c r="Q1168" s="338">
        <f t="shared" si="602"/>
        <v>0</v>
      </c>
      <c r="R1168" s="329">
        <f t="shared" si="587"/>
        <v>0</v>
      </c>
      <c r="S1168" s="338">
        <f t="shared" si="603"/>
        <v>10000000</v>
      </c>
      <c r="T1168" s="329">
        <f t="shared" si="588"/>
        <v>0</v>
      </c>
      <c r="U1168" s="338">
        <f t="shared" si="590"/>
        <v>2200000</v>
      </c>
      <c r="V1168" s="329">
        <f t="shared" si="589"/>
        <v>0</v>
      </c>
      <c r="W1168" s="338">
        <f t="shared" si="604"/>
        <v>12224694.890000001</v>
      </c>
      <c r="X1168" s="35"/>
    </row>
    <row r="1169" spans="1:24" x14ac:dyDescent="0.25">
      <c r="A1169" s="335">
        <f t="shared" si="593"/>
        <v>44880</v>
      </c>
      <c r="B1169" s="49">
        <f t="shared" si="591"/>
        <v>0</v>
      </c>
      <c r="C1169" s="338">
        <f t="shared" si="595"/>
        <v>118886089</v>
      </c>
      <c r="D1169" s="329">
        <f t="shared" si="592"/>
        <v>0</v>
      </c>
      <c r="E1169" s="338">
        <f t="shared" si="596"/>
        <v>9769566</v>
      </c>
      <c r="F1169" s="329">
        <f t="shared" si="594"/>
        <v>0</v>
      </c>
      <c r="G1169" s="338">
        <f t="shared" si="597"/>
        <v>76400000</v>
      </c>
      <c r="H1169" s="329">
        <f t="shared" si="582"/>
        <v>0</v>
      </c>
      <c r="I1169" s="338">
        <f t="shared" si="598"/>
        <v>44350150</v>
      </c>
      <c r="J1169" s="329">
        <f t="shared" si="583"/>
        <v>0</v>
      </c>
      <c r="K1169" s="338">
        <f t="shared" si="599"/>
        <v>15100000</v>
      </c>
      <c r="L1169" s="329">
        <f t="shared" si="584"/>
        <v>0</v>
      </c>
      <c r="M1169" s="338">
        <f t="shared" si="600"/>
        <v>25332976</v>
      </c>
      <c r="N1169" s="329">
        <f t="shared" si="585"/>
        <v>0</v>
      </c>
      <c r="O1169" s="338">
        <f t="shared" si="601"/>
        <v>14300000</v>
      </c>
      <c r="P1169" s="329">
        <f t="shared" si="586"/>
        <v>0</v>
      </c>
      <c r="Q1169" s="338">
        <f t="shared" si="602"/>
        <v>0</v>
      </c>
      <c r="R1169" s="329">
        <f t="shared" si="587"/>
        <v>0</v>
      </c>
      <c r="S1169" s="338">
        <f t="shared" si="603"/>
        <v>10000000</v>
      </c>
      <c r="T1169" s="329">
        <f t="shared" si="588"/>
        <v>0</v>
      </c>
      <c r="U1169" s="338">
        <f t="shared" si="590"/>
        <v>2200000</v>
      </c>
      <c r="V1169" s="329">
        <f t="shared" si="589"/>
        <v>0</v>
      </c>
      <c r="W1169" s="338">
        <f t="shared" si="604"/>
        <v>12224694.890000001</v>
      </c>
      <c r="X1169" s="35"/>
    </row>
    <row r="1170" spans="1:24" x14ac:dyDescent="0.25">
      <c r="A1170" s="335">
        <f t="shared" si="593"/>
        <v>44881</v>
      </c>
      <c r="B1170" s="49">
        <f t="shared" si="591"/>
        <v>0</v>
      </c>
      <c r="C1170" s="338">
        <f t="shared" si="595"/>
        <v>118886089</v>
      </c>
      <c r="D1170" s="329">
        <f t="shared" si="592"/>
        <v>0</v>
      </c>
      <c r="E1170" s="338">
        <f t="shared" si="596"/>
        <v>9769566</v>
      </c>
      <c r="F1170" s="329">
        <f t="shared" si="594"/>
        <v>0</v>
      </c>
      <c r="G1170" s="338">
        <f t="shared" si="597"/>
        <v>76400000</v>
      </c>
      <c r="H1170" s="329">
        <f t="shared" si="582"/>
        <v>0</v>
      </c>
      <c r="I1170" s="338">
        <f t="shared" si="598"/>
        <v>44350150</v>
      </c>
      <c r="J1170" s="329">
        <f t="shared" si="583"/>
        <v>0</v>
      </c>
      <c r="K1170" s="338">
        <f t="shared" si="599"/>
        <v>15100000</v>
      </c>
      <c r="L1170" s="329">
        <f t="shared" si="584"/>
        <v>0</v>
      </c>
      <c r="M1170" s="338">
        <f t="shared" si="600"/>
        <v>25332976</v>
      </c>
      <c r="N1170" s="329">
        <f t="shared" si="585"/>
        <v>0</v>
      </c>
      <c r="O1170" s="338">
        <f t="shared" si="601"/>
        <v>14300000</v>
      </c>
      <c r="P1170" s="329">
        <f t="shared" si="586"/>
        <v>0</v>
      </c>
      <c r="Q1170" s="338">
        <f t="shared" si="602"/>
        <v>0</v>
      </c>
      <c r="R1170" s="329">
        <f t="shared" si="587"/>
        <v>0</v>
      </c>
      <c r="S1170" s="338">
        <f t="shared" si="603"/>
        <v>10000000</v>
      </c>
      <c r="T1170" s="329">
        <f t="shared" si="588"/>
        <v>0</v>
      </c>
      <c r="U1170" s="338">
        <f t="shared" si="590"/>
        <v>2200000</v>
      </c>
      <c r="V1170" s="329">
        <f t="shared" si="589"/>
        <v>0</v>
      </c>
      <c r="W1170" s="338">
        <f t="shared" si="604"/>
        <v>12224694.890000001</v>
      </c>
      <c r="X1170" s="35"/>
    </row>
    <row r="1171" spans="1:24" x14ac:dyDescent="0.25">
      <c r="A1171" s="335">
        <f t="shared" si="593"/>
        <v>44882</v>
      </c>
      <c r="B1171" s="49">
        <f t="shared" si="591"/>
        <v>0</v>
      </c>
      <c r="C1171" s="338">
        <f t="shared" si="595"/>
        <v>118886089</v>
      </c>
      <c r="D1171" s="329">
        <f t="shared" si="592"/>
        <v>0</v>
      </c>
      <c r="E1171" s="338">
        <f t="shared" si="596"/>
        <v>9769566</v>
      </c>
      <c r="F1171" s="329">
        <f t="shared" si="594"/>
        <v>0</v>
      </c>
      <c r="G1171" s="338">
        <f t="shared" si="597"/>
        <v>76400000</v>
      </c>
      <c r="H1171" s="329">
        <f t="shared" si="582"/>
        <v>0</v>
      </c>
      <c r="I1171" s="338">
        <f t="shared" si="598"/>
        <v>44350150</v>
      </c>
      <c r="J1171" s="329">
        <f t="shared" si="583"/>
        <v>0</v>
      </c>
      <c r="K1171" s="338">
        <f t="shared" si="599"/>
        <v>15100000</v>
      </c>
      <c r="L1171" s="329">
        <f t="shared" si="584"/>
        <v>0</v>
      </c>
      <c r="M1171" s="338">
        <f t="shared" si="600"/>
        <v>25332976</v>
      </c>
      <c r="N1171" s="329">
        <f t="shared" si="585"/>
        <v>0</v>
      </c>
      <c r="O1171" s="338">
        <f t="shared" si="601"/>
        <v>14300000</v>
      </c>
      <c r="P1171" s="329">
        <f t="shared" si="586"/>
        <v>0</v>
      </c>
      <c r="Q1171" s="338">
        <f t="shared" si="602"/>
        <v>0</v>
      </c>
      <c r="R1171" s="329">
        <f t="shared" si="587"/>
        <v>0</v>
      </c>
      <c r="S1171" s="338">
        <f t="shared" si="603"/>
        <v>10000000</v>
      </c>
      <c r="T1171" s="329">
        <f t="shared" si="588"/>
        <v>0</v>
      </c>
      <c r="U1171" s="338">
        <f t="shared" si="590"/>
        <v>2200000</v>
      </c>
      <c r="V1171" s="329">
        <f t="shared" si="589"/>
        <v>0</v>
      </c>
      <c r="W1171" s="338">
        <f t="shared" si="604"/>
        <v>12224694.890000001</v>
      </c>
      <c r="X1171" s="35"/>
    </row>
    <row r="1172" spans="1:24" x14ac:dyDescent="0.25">
      <c r="A1172" s="335">
        <f t="shared" si="593"/>
        <v>44883</v>
      </c>
      <c r="B1172" s="49">
        <f t="shared" si="591"/>
        <v>0</v>
      </c>
      <c r="C1172" s="338">
        <f t="shared" si="595"/>
        <v>118886089</v>
      </c>
      <c r="D1172" s="329">
        <f t="shared" si="592"/>
        <v>0</v>
      </c>
      <c r="E1172" s="338">
        <f t="shared" si="596"/>
        <v>9769566</v>
      </c>
      <c r="F1172" s="329">
        <f t="shared" si="594"/>
        <v>0</v>
      </c>
      <c r="G1172" s="338">
        <f t="shared" si="597"/>
        <v>76400000</v>
      </c>
      <c r="H1172" s="329">
        <f t="shared" si="582"/>
        <v>0</v>
      </c>
      <c r="I1172" s="338">
        <f t="shared" si="598"/>
        <v>44350150</v>
      </c>
      <c r="J1172" s="329">
        <f t="shared" si="583"/>
        <v>0</v>
      </c>
      <c r="K1172" s="338">
        <f t="shared" si="599"/>
        <v>15100000</v>
      </c>
      <c r="L1172" s="329">
        <f t="shared" si="584"/>
        <v>0</v>
      </c>
      <c r="M1172" s="338">
        <f t="shared" si="600"/>
        <v>25332976</v>
      </c>
      <c r="N1172" s="329">
        <f t="shared" si="585"/>
        <v>0</v>
      </c>
      <c r="O1172" s="338">
        <f t="shared" si="601"/>
        <v>14300000</v>
      </c>
      <c r="P1172" s="329">
        <f t="shared" si="586"/>
        <v>0</v>
      </c>
      <c r="Q1172" s="338">
        <f t="shared" si="602"/>
        <v>0</v>
      </c>
      <c r="R1172" s="329">
        <f t="shared" si="587"/>
        <v>0</v>
      </c>
      <c r="S1172" s="338">
        <f t="shared" si="603"/>
        <v>10000000</v>
      </c>
      <c r="T1172" s="329">
        <f t="shared" si="588"/>
        <v>0</v>
      </c>
      <c r="U1172" s="338">
        <f t="shared" si="590"/>
        <v>2200000</v>
      </c>
      <c r="V1172" s="329">
        <f t="shared" si="589"/>
        <v>0</v>
      </c>
      <c r="W1172" s="338">
        <f t="shared" si="604"/>
        <v>12224694.890000001</v>
      </c>
      <c r="X1172" s="35"/>
    </row>
    <row r="1173" spans="1:24" x14ac:dyDescent="0.25">
      <c r="A1173" s="335">
        <f t="shared" si="593"/>
        <v>44884</v>
      </c>
      <c r="B1173" s="49">
        <f t="shared" si="591"/>
        <v>0</v>
      </c>
      <c r="C1173" s="338">
        <f t="shared" si="595"/>
        <v>118886089</v>
      </c>
      <c r="D1173" s="329">
        <f t="shared" si="592"/>
        <v>0</v>
      </c>
      <c r="E1173" s="338">
        <f t="shared" si="596"/>
        <v>9769566</v>
      </c>
      <c r="F1173" s="329">
        <f t="shared" si="594"/>
        <v>0</v>
      </c>
      <c r="G1173" s="338">
        <f t="shared" si="597"/>
        <v>76400000</v>
      </c>
      <c r="H1173" s="329">
        <f t="shared" si="582"/>
        <v>0</v>
      </c>
      <c r="I1173" s="338">
        <f t="shared" si="598"/>
        <v>44350150</v>
      </c>
      <c r="J1173" s="329">
        <f t="shared" si="583"/>
        <v>0</v>
      </c>
      <c r="K1173" s="338">
        <f t="shared" si="599"/>
        <v>15100000</v>
      </c>
      <c r="L1173" s="329">
        <f t="shared" si="584"/>
        <v>0</v>
      </c>
      <c r="M1173" s="338">
        <f t="shared" si="600"/>
        <v>25332976</v>
      </c>
      <c r="N1173" s="329">
        <f t="shared" si="585"/>
        <v>0</v>
      </c>
      <c r="O1173" s="338">
        <f t="shared" si="601"/>
        <v>14300000</v>
      </c>
      <c r="P1173" s="329">
        <f t="shared" si="586"/>
        <v>0</v>
      </c>
      <c r="Q1173" s="338">
        <f t="shared" si="602"/>
        <v>0</v>
      </c>
      <c r="R1173" s="329">
        <f t="shared" si="587"/>
        <v>0</v>
      </c>
      <c r="S1173" s="338">
        <f t="shared" si="603"/>
        <v>10000000</v>
      </c>
      <c r="T1173" s="329">
        <f t="shared" si="588"/>
        <v>0</v>
      </c>
      <c r="U1173" s="338">
        <f t="shared" si="590"/>
        <v>2200000</v>
      </c>
      <c r="V1173" s="329">
        <f t="shared" si="589"/>
        <v>0</v>
      </c>
      <c r="W1173" s="338">
        <f t="shared" si="604"/>
        <v>12224694.890000001</v>
      </c>
      <c r="X1173" s="35"/>
    </row>
    <row r="1174" spans="1:24" x14ac:dyDescent="0.25">
      <c r="A1174" s="335">
        <f t="shared" si="593"/>
        <v>44885</v>
      </c>
      <c r="B1174" s="49">
        <f t="shared" si="591"/>
        <v>0</v>
      </c>
      <c r="C1174" s="338">
        <f t="shared" si="595"/>
        <v>118886089</v>
      </c>
      <c r="D1174" s="329">
        <f t="shared" si="592"/>
        <v>0</v>
      </c>
      <c r="E1174" s="338">
        <f t="shared" si="596"/>
        <v>9769566</v>
      </c>
      <c r="F1174" s="329">
        <f t="shared" si="594"/>
        <v>0</v>
      </c>
      <c r="G1174" s="338">
        <f t="shared" si="597"/>
        <v>76400000</v>
      </c>
      <c r="H1174" s="329">
        <f t="shared" si="582"/>
        <v>0</v>
      </c>
      <c r="I1174" s="338">
        <f t="shared" si="598"/>
        <v>44350150</v>
      </c>
      <c r="J1174" s="329">
        <f t="shared" si="583"/>
        <v>0</v>
      </c>
      <c r="K1174" s="338">
        <f t="shared" si="599"/>
        <v>15100000</v>
      </c>
      <c r="L1174" s="329">
        <f t="shared" si="584"/>
        <v>0</v>
      </c>
      <c r="M1174" s="338">
        <f t="shared" si="600"/>
        <v>25332976</v>
      </c>
      <c r="N1174" s="329">
        <f t="shared" si="585"/>
        <v>0</v>
      </c>
      <c r="O1174" s="338">
        <f t="shared" si="601"/>
        <v>14300000</v>
      </c>
      <c r="P1174" s="329">
        <f t="shared" si="586"/>
        <v>0</v>
      </c>
      <c r="Q1174" s="338">
        <f t="shared" si="602"/>
        <v>0</v>
      </c>
      <c r="R1174" s="329">
        <f t="shared" si="587"/>
        <v>0</v>
      </c>
      <c r="S1174" s="338">
        <f t="shared" si="603"/>
        <v>10000000</v>
      </c>
      <c r="T1174" s="329">
        <f t="shared" si="588"/>
        <v>0</v>
      </c>
      <c r="U1174" s="338">
        <f t="shared" si="590"/>
        <v>2200000</v>
      </c>
      <c r="V1174" s="329">
        <f t="shared" si="589"/>
        <v>0</v>
      </c>
      <c r="W1174" s="338">
        <f t="shared" si="604"/>
        <v>12224694.890000001</v>
      </c>
      <c r="X1174" s="35"/>
    </row>
    <row r="1175" spans="1:24" x14ac:dyDescent="0.25">
      <c r="A1175" s="335">
        <f t="shared" si="593"/>
        <v>44886</v>
      </c>
      <c r="B1175" s="49">
        <f t="shared" si="591"/>
        <v>0</v>
      </c>
      <c r="C1175" s="338">
        <f t="shared" si="595"/>
        <v>118886089</v>
      </c>
      <c r="D1175" s="329">
        <f t="shared" si="592"/>
        <v>0</v>
      </c>
      <c r="E1175" s="338">
        <f t="shared" si="596"/>
        <v>9769566</v>
      </c>
      <c r="F1175" s="329">
        <f t="shared" si="594"/>
        <v>0</v>
      </c>
      <c r="G1175" s="338">
        <f t="shared" si="597"/>
        <v>76400000</v>
      </c>
      <c r="H1175" s="329">
        <f t="shared" si="582"/>
        <v>0</v>
      </c>
      <c r="I1175" s="338">
        <f t="shared" si="598"/>
        <v>44350150</v>
      </c>
      <c r="J1175" s="329">
        <f t="shared" si="583"/>
        <v>0</v>
      </c>
      <c r="K1175" s="338">
        <f t="shared" si="599"/>
        <v>15100000</v>
      </c>
      <c r="L1175" s="329">
        <f t="shared" si="584"/>
        <v>0</v>
      </c>
      <c r="M1175" s="338">
        <f t="shared" si="600"/>
        <v>25332976</v>
      </c>
      <c r="N1175" s="329">
        <f t="shared" si="585"/>
        <v>0</v>
      </c>
      <c r="O1175" s="338">
        <f t="shared" si="601"/>
        <v>14300000</v>
      </c>
      <c r="P1175" s="329">
        <f t="shared" si="586"/>
        <v>0</v>
      </c>
      <c r="Q1175" s="338">
        <f t="shared" si="602"/>
        <v>0</v>
      </c>
      <c r="R1175" s="329">
        <f t="shared" si="587"/>
        <v>0</v>
      </c>
      <c r="S1175" s="338">
        <f t="shared" si="603"/>
        <v>10000000</v>
      </c>
      <c r="T1175" s="329">
        <f t="shared" si="588"/>
        <v>0</v>
      </c>
      <c r="U1175" s="338">
        <f t="shared" si="590"/>
        <v>2200000</v>
      </c>
      <c r="V1175" s="329">
        <f t="shared" si="589"/>
        <v>0</v>
      </c>
      <c r="W1175" s="338">
        <f t="shared" si="604"/>
        <v>12224694.890000001</v>
      </c>
      <c r="X1175" s="35"/>
    </row>
    <row r="1176" spans="1:24" x14ac:dyDescent="0.25">
      <c r="A1176" s="335">
        <f t="shared" si="593"/>
        <v>44887</v>
      </c>
      <c r="B1176" s="49">
        <f t="shared" si="591"/>
        <v>0</v>
      </c>
      <c r="C1176" s="338">
        <f t="shared" si="595"/>
        <v>118886089</v>
      </c>
      <c r="D1176" s="329">
        <f t="shared" si="592"/>
        <v>0</v>
      </c>
      <c r="E1176" s="338">
        <f t="shared" si="596"/>
        <v>9769566</v>
      </c>
      <c r="F1176" s="329">
        <f t="shared" si="594"/>
        <v>0</v>
      </c>
      <c r="G1176" s="338">
        <f t="shared" si="597"/>
        <v>76400000</v>
      </c>
      <c r="H1176" s="329">
        <f t="shared" si="582"/>
        <v>0</v>
      </c>
      <c r="I1176" s="338">
        <f t="shared" si="598"/>
        <v>44350150</v>
      </c>
      <c r="J1176" s="329">
        <f t="shared" si="583"/>
        <v>0</v>
      </c>
      <c r="K1176" s="338">
        <f t="shared" si="599"/>
        <v>15100000</v>
      </c>
      <c r="L1176" s="329">
        <f t="shared" si="584"/>
        <v>0</v>
      </c>
      <c r="M1176" s="338">
        <f t="shared" si="600"/>
        <v>25332976</v>
      </c>
      <c r="N1176" s="329">
        <f t="shared" si="585"/>
        <v>0</v>
      </c>
      <c r="O1176" s="338">
        <f t="shared" si="601"/>
        <v>14300000</v>
      </c>
      <c r="P1176" s="329">
        <f t="shared" si="586"/>
        <v>0</v>
      </c>
      <c r="Q1176" s="338">
        <f t="shared" si="602"/>
        <v>0</v>
      </c>
      <c r="R1176" s="329">
        <f t="shared" si="587"/>
        <v>0</v>
      </c>
      <c r="S1176" s="338">
        <f t="shared" si="603"/>
        <v>10000000</v>
      </c>
      <c r="T1176" s="329">
        <f t="shared" si="588"/>
        <v>0</v>
      </c>
      <c r="U1176" s="338">
        <f t="shared" si="590"/>
        <v>2200000</v>
      </c>
      <c r="V1176" s="329">
        <f t="shared" si="589"/>
        <v>0</v>
      </c>
      <c r="W1176" s="338">
        <f t="shared" si="604"/>
        <v>12224694.890000001</v>
      </c>
      <c r="X1176" s="35"/>
    </row>
    <row r="1177" spans="1:24" x14ac:dyDescent="0.25">
      <c r="A1177" s="335">
        <f t="shared" si="593"/>
        <v>44888</v>
      </c>
      <c r="B1177" s="49">
        <f t="shared" si="591"/>
        <v>0</v>
      </c>
      <c r="C1177" s="338">
        <f t="shared" si="595"/>
        <v>118886089</v>
      </c>
      <c r="D1177" s="329">
        <f t="shared" si="592"/>
        <v>0</v>
      </c>
      <c r="E1177" s="338">
        <f t="shared" si="596"/>
        <v>9769566</v>
      </c>
      <c r="F1177" s="329">
        <f t="shared" si="594"/>
        <v>0</v>
      </c>
      <c r="G1177" s="338">
        <f t="shared" si="597"/>
        <v>76400000</v>
      </c>
      <c r="H1177" s="329">
        <f t="shared" si="582"/>
        <v>0</v>
      </c>
      <c r="I1177" s="338">
        <f t="shared" si="598"/>
        <v>44350150</v>
      </c>
      <c r="J1177" s="329">
        <f t="shared" si="583"/>
        <v>0</v>
      </c>
      <c r="K1177" s="338">
        <f t="shared" si="599"/>
        <v>15100000</v>
      </c>
      <c r="L1177" s="329">
        <f t="shared" si="584"/>
        <v>0</v>
      </c>
      <c r="M1177" s="338">
        <f t="shared" si="600"/>
        <v>25332976</v>
      </c>
      <c r="N1177" s="329">
        <f t="shared" si="585"/>
        <v>0</v>
      </c>
      <c r="O1177" s="338">
        <f t="shared" si="601"/>
        <v>14300000</v>
      </c>
      <c r="P1177" s="329">
        <f t="shared" si="586"/>
        <v>0</v>
      </c>
      <c r="Q1177" s="338">
        <f t="shared" si="602"/>
        <v>0</v>
      </c>
      <c r="R1177" s="329">
        <f t="shared" si="587"/>
        <v>0</v>
      </c>
      <c r="S1177" s="338">
        <f t="shared" si="603"/>
        <v>10000000</v>
      </c>
      <c r="T1177" s="329">
        <f t="shared" si="588"/>
        <v>0</v>
      </c>
      <c r="U1177" s="338">
        <f t="shared" si="590"/>
        <v>2200000</v>
      </c>
      <c r="V1177" s="329">
        <f t="shared" si="589"/>
        <v>0</v>
      </c>
      <c r="W1177" s="338">
        <f t="shared" si="604"/>
        <v>12224694.890000001</v>
      </c>
      <c r="X1177" s="35"/>
    </row>
    <row r="1178" spans="1:24" x14ac:dyDescent="0.25">
      <c r="A1178" s="335">
        <f t="shared" si="593"/>
        <v>44889</v>
      </c>
      <c r="B1178" s="49">
        <f t="shared" si="591"/>
        <v>0</v>
      </c>
      <c r="C1178" s="338">
        <f t="shared" si="595"/>
        <v>118886089</v>
      </c>
      <c r="D1178" s="329">
        <f t="shared" si="592"/>
        <v>0</v>
      </c>
      <c r="E1178" s="338">
        <f t="shared" si="596"/>
        <v>9769566</v>
      </c>
      <c r="F1178" s="329">
        <f t="shared" si="594"/>
        <v>0</v>
      </c>
      <c r="G1178" s="338">
        <f t="shared" si="597"/>
        <v>76400000</v>
      </c>
      <c r="H1178" s="329">
        <f t="shared" si="582"/>
        <v>0</v>
      </c>
      <c r="I1178" s="338">
        <f t="shared" si="598"/>
        <v>44350150</v>
      </c>
      <c r="J1178" s="329">
        <f t="shared" si="583"/>
        <v>0</v>
      </c>
      <c r="K1178" s="338">
        <f t="shared" si="599"/>
        <v>15100000</v>
      </c>
      <c r="L1178" s="329">
        <f t="shared" si="584"/>
        <v>0</v>
      </c>
      <c r="M1178" s="338">
        <f t="shared" si="600"/>
        <v>25332976</v>
      </c>
      <c r="N1178" s="329">
        <f t="shared" si="585"/>
        <v>0</v>
      </c>
      <c r="O1178" s="338">
        <f t="shared" si="601"/>
        <v>14300000</v>
      </c>
      <c r="P1178" s="329">
        <f t="shared" si="586"/>
        <v>0</v>
      </c>
      <c r="Q1178" s="338">
        <f t="shared" si="602"/>
        <v>0</v>
      </c>
      <c r="R1178" s="329">
        <f t="shared" si="587"/>
        <v>0</v>
      </c>
      <c r="S1178" s="338">
        <f t="shared" si="603"/>
        <v>10000000</v>
      </c>
      <c r="T1178" s="329">
        <f t="shared" si="588"/>
        <v>0</v>
      </c>
      <c r="U1178" s="338">
        <f t="shared" si="590"/>
        <v>2200000</v>
      </c>
      <c r="V1178" s="329">
        <f t="shared" si="589"/>
        <v>0</v>
      </c>
      <c r="W1178" s="338">
        <f t="shared" si="604"/>
        <v>12224694.890000001</v>
      </c>
      <c r="X1178" s="35"/>
    </row>
    <row r="1179" spans="1:24" x14ac:dyDescent="0.25">
      <c r="A1179" s="335">
        <f t="shared" si="593"/>
        <v>44890</v>
      </c>
      <c r="B1179" s="49">
        <f t="shared" si="591"/>
        <v>0</v>
      </c>
      <c r="C1179" s="338">
        <f t="shared" si="595"/>
        <v>118886089</v>
      </c>
      <c r="D1179" s="329">
        <f t="shared" si="592"/>
        <v>0</v>
      </c>
      <c r="E1179" s="338">
        <f t="shared" si="596"/>
        <v>9769566</v>
      </c>
      <c r="F1179" s="329">
        <f t="shared" si="594"/>
        <v>0</v>
      </c>
      <c r="G1179" s="338">
        <f t="shared" si="597"/>
        <v>76400000</v>
      </c>
      <c r="H1179" s="329">
        <f t="shared" si="582"/>
        <v>0</v>
      </c>
      <c r="I1179" s="338">
        <f t="shared" si="598"/>
        <v>44350150</v>
      </c>
      <c r="J1179" s="329">
        <f t="shared" si="583"/>
        <v>0</v>
      </c>
      <c r="K1179" s="338">
        <f t="shared" si="599"/>
        <v>15100000</v>
      </c>
      <c r="L1179" s="329">
        <f t="shared" si="584"/>
        <v>0</v>
      </c>
      <c r="M1179" s="338">
        <f t="shared" si="600"/>
        <v>25332976</v>
      </c>
      <c r="N1179" s="329">
        <f t="shared" si="585"/>
        <v>0</v>
      </c>
      <c r="O1179" s="338">
        <f t="shared" si="601"/>
        <v>14300000</v>
      </c>
      <c r="P1179" s="329">
        <f t="shared" si="586"/>
        <v>0</v>
      </c>
      <c r="Q1179" s="338">
        <f t="shared" si="602"/>
        <v>0</v>
      </c>
      <c r="R1179" s="329">
        <f t="shared" si="587"/>
        <v>0</v>
      </c>
      <c r="S1179" s="338">
        <f t="shared" si="603"/>
        <v>10000000</v>
      </c>
      <c r="T1179" s="329">
        <f t="shared" si="588"/>
        <v>0</v>
      </c>
      <c r="U1179" s="338">
        <f t="shared" si="590"/>
        <v>2200000</v>
      </c>
      <c r="V1179" s="329">
        <f t="shared" si="589"/>
        <v>0</v>
      </c>
      <c r="W1179" s="338">
        <f t="shared" si="604"/>
        <v>12224694.890000001</v>
      </c>
      <c r="X1179" s="35"/>
    </row>
    <row r="1180" spans="1:24" x14ac:dyDescent="0.25">
      <c r="A1180" s="335">
        <f t="shared" si="593"/>
        <v>44891</v>
      </c>
      <c r="B1180" s="49">
        <f t="shared" si="591"/>
        <v>0</v>
      </c>
      <c r="C1180" s="338">
        <f t="shared" si="595"/>
        <v>118886089</v>
      </c>
      <c r="D1180" s="329">
        <f t="shared" si="592"/>
        <v>0</v>
      </c>
      <c r="E1180" s="338">
        <f t="shared" si="596"/>
        <v>9769566</v>
      </c>
      <c r="F1180" s="329">
        <f t="shared" si="594"/>
        <v>0</v>
      </c>
      <c r="G1180" s="338">
        <f t="shared" si="597"/>
        <v>76400000</v>
      </c>
      <c r="H1180" s="329">
        <f t="shared" si="582"/>
        <v>0</v>
      </c>
      <c r="I1180" s="338">
        <f t="shared" si="598"/>
        <v>44350150</v>
      </c>
      <c r="J1180" s="329">
        <f t="shared" si="583"/>
        <v>0</v>
      </c>
      <c r="K1180" s="338">
        <f t="shared" si="599"/>
        <v>15100000</v>
      </c>
      <c r="L1180" s="329">
        <f t="shared" si="584"/>
        <v>0</v>
      </c>
      <c r="M1180" s="338">
        <f t="shared" si="600"/>
        <v>25332976</v>
      </c>
      <c r="N1180" s="329">
        <f t="shared" si="585"/>
        <v>0</v>
      </c>
      <c r="O1180" s="338">
        <f t="shared" si="601"/>
        <v>14300000</v>
      </c>
      <c r="P1180" s="329">
        <f t="shared" si="586"/>
        <v>0</v>
      </c>
      <c r="Q1180" s="338">
        <f t="shared" si="602"/>
        <v>0</v>
      </c>
      <c r="R1180" s="329">
        <f t="shared" si="587"/>
        <v>0</v>
      </c>
      <c r="S1180" s="338">
        <f t="shared" si="603"/>
        <v>10000000</v>
      </c>
      <c r="T1180" s="329">
        <f t="shared" si="588"/>
        <v>0</v>
      </c>
      <c r="U1180" s="338">
        <f t="shared" si="590"/>
        <v>2200000</v>
      </c>
      <c r="V1180" s="329">
        <f t="shared" si="589"/>
        <v>0</v>
      </c>
      <c r="W1180" s="338">
        <f t="shared" si="604"/>
        <v>12224694.890000001</v>
      </c>
      <c r="X1180" s="35"/>
    </row>
    <row r="1181" spans="1:24" x14ac:dyDescent="0.25">
      <c r="A1181" s="335">
        <f t="shared" si="593"/>
        <v>44892</v>
      </c>
      <c r="B1181" s="49">
        <f t="shared" si="591"/>
        <v>0</v>
      </c>
      <c r="C1181" s="338">
        <f t="shared" si="595"/>
        <v>118886089</v>
      </c>
      <c r="D1181" s="329">
        <f t="shared" si="592"/>
        <v>0</v>
      </c>
      <c r="E1181" s="338">
        <f t="shared" si="596"/>
        <v>9769566</v>
      </c>
      <c r="F1181" s="329">
        <f t="shared" si="594"/>
        <v>0</v>
      </c>
      <c r="G1181" s="338">
        <f t="shared" si="597"/>
        <v>76400000</v>
      </c>
      <c r="H1181" s="329">
        <f t="shared" si="582"/>
        <v>0</v>
      </c>
      <c r="I1181" s="338">
        <f t="shared" si="598"/>
        <v>44350150</v>
      </c>
      <c r="J1181" s="329">
        <f t="shared" si="583"/>
        <v>0</v>
      </c>
      <c r="K1181" s="338">
        <f t="shared" si="599"/>
        <v>15100000</v>
      </c>
      <c r="L1181" s="329">
        <f t="shared" si="584"/>
        <v>0</v>
      </c>
      <c r="M1181" s="338">
        <f t="shared" si="600"/>
        <v>25332976</v>
      </c>
      <c r="N1181" s="329">
        <f t="shared" si="585"/>
        <v>0</v>
      </c>
      <c r="O1181" s="338">
        <f t="shared" si="601"/>
        <v>14300000</v>
      </c>
      <c r="P1181" s="329">
        <f t="shared" si="586"/>
        <v>0</v>
      </c>
      <c r="Q1181" s="338">
        <f t="shared" si="602"/>
        <v>0</v>
      </c>
      <c r="R1181" s="329">
        <f t="shared" si="587"/>
        <v>0</v>
      </c>
      <c r="S1181" s="338">
        <f t="shared" si="603"/>
        <v>10000000</v>
      </c>
      <c r="T1181" s="329">
        <f t="shared" si="588"/>
        <v>0</v>
      </c>
      <c r="U1181" s="338">
        <f t="shared" si="590"/>
        <v>2200000</v>
      </c>
      <c r="V1181" s="329">
        <f t="shared" si="589"/>
        <v>0</v>
      </c>
      <c r="W1181" s="338">
        <f t="shared" si="604"/>
        <v>12224694.890000001</v>
      </c>
      <c r="X1181" s="35"/>
    </row>
    <row r="1182" spans="1:24" x14ac:dyDescent="0.25">
      <c r="A1182" s="335">
        <f t="shared" si="593"/>
        <v>44893</v>
      </c>
      <c r="B1182" s="49">
        <f t="shared" si="591"/>
        <v>0</v>
      </c>
      <c r="C1182" s="338">
        <f t="shared" si="595"/>
        <v>118886089</v>
      </c>
      <c r="D1182" s="329">
        <f t="shared" si="592"/>
        <v>0</v>
      </c>
      <c r="E1182" s="338">
        <f t="shared" si="596"/>
        <v>9769566</v>
      </c>
      <c r="F1182" s="329">
        <f t="shared" si="594"/>
        <v>0</v>
      </c>
      <c r="G1182" s="338">
        <f t="shared" si="597"/>
        <v>76400000</v>
      </c>
      <c r="H1182" s="329">
        <f t="shared" si="582"/>
        <v>0</v>
      </c>
      <c r="I1182" s="338">
        <f t="shared" si="598"/>
        <v>44350150</v>
      </c>
      <c r="J1182" s="329">
        <f t="shared" si="583"/>
        <v>0</v>
      </c>
      <c r="K1182" s="338">
        <f t="shared" si="599"/>
        <v>15100000</v>
      </c>
      <c r="L1182" s="329">
        <f t="shared" si="584"/>
        <v>0</v>
      </c>
      <c r="M1182" s="338">
        <f t="shared" si="600"/>
        <v>25332976</v>
      </c>
      <c r="N1182" s="329">
        <f t="shared" si="585"/>
        <v>0</v>
      </c>
      <c r="O1182" s="338">
        <f t="shared" si="601"/>
        <v>14300000</v>
      </c>
      <c r="P1182" s="329">
        <f t="shared" si="586"/>
        <v>0</v>
      </c>
      <c r="Q1182" s="338">
        <f t="shared" si="602"/>
        <v>0</v>
      </c>
      <c r="R1182" s="329">
        <f t="shared" si="587"/>
        <v>0</v>
      </c>
      <c r="S1182" s="338">
        <f t="shared" si="603"/>
        <v>10000000</v>
      </c>
      <c r="T1182" s="329">
        <f t="shared" si="588"/>
        <v>0</v>
      </c>
      <c r="U1182" s="338">
        <f t="shared" si="590"/>
        <v>2200000</v>
      </c>
      <c r="V1182" s="329">
        <f t="shared" si="589"/>
        <v>0</v>
      </c>
      <c r="W1182" s="338">
        <f t="shared" si="604"/>
        <v>12224694.890000001</v>
      </c>
      <c r="X1182" s="35"/>
    </row>
    <row r="1183" spans="1:24" x14ac:dyDescent="0.25">
      <c r="A1183" s="335">
        <f t="shared" si="593"/>
        <v>44894</v>
      </c>
      <c r="B1183" s="49">
        <f t="shared" si="591"/>
        <v>0</v>
      </c>
      <c r="C1183" s="338">
        <f t="shared" si="595"/>
        <v>118886089</v>
      </c>
      <c r="D1183" s="329">
        <f t="shared" si="592"/>
        <v>0</v>
      </c>
      <c r="E1183" s="338">
        <f t="shared" si="596"/>
        <v>9769566</v>
      </c>
      <c r="F1183" s="329">
        <f t="shared" si="594"/>
        <v>0</v>
      </c>
      <c r="G1183" s="338">
        <f t="shared" si="597"/>
        <v>76400000</v>
      </c>
      <c r="H1183" s="329">
        <f t="shared" si="582"/>
        <v>0</v>
      </c>
      <c r="I1183" s="338">
        <f t="shared" si="598"/>
        <v>44350150</v>
      </c>
      <c r="J1183" s="329">
        <f t="shared" si="583"/>
        <v>0</v>
      </c>
      <c r="K1183" s="338">
        <f t="shared" si="599"/>
        <v>15100000</v>
      </c>
      <c r="L1183" s="329">
        <f t="shared" si="584"/>
        <v>0</v>
      </c>
      <c r="M1183" s="338">
        <f t="shared" si="600"/>
        <v>25332976</v>
      </c>
      <c r="N1183" s="329">
        <f t="shared" si="585"/>
        <v>0</v>
      </c>
      <c r="O1183" s="338">
        <f t="shared" si="601"/>
        <v>14300000</v>
      </c>
      <c r="P1183" s="329">
        <f t="shared" si="586"/>
        <v>0</v>
      </c>
      <c r="Q1183" s="338">
        <f t="shared" si="602"/>
        <v>0</v>
      </c>
      <c r="R1183" s="329">
        <f t="shared" si="587"/>
        <v>0</v>
      </c>
      <c r="S1183" s="338">
        <f t="shared" si="603"/>
        <v>10000000</v>
      </c>
      <c r="T1183" s="329">
        <f t="shared" si="588"/>
        <v>0</v>
      </c>
      <c r="U1183" s="338">
        <f t="shared" si="590"/>
        <v>2200000</v>
      </c>
      <c r="V1183" s="329">
        <f t="shared" si="589"/>
        <v>0</v>
      </c>
      <c r="W1183" s="338">
        <f t="shared" si="604"/>
        <v>12224694.890000001</v>
      </c>
      <c r="X1183" s="35"/>
    </row>
    <row r="1184" spans="1:24" x14ac:dyDescent="0.25">
      <c r="A1184" s="335">
        <f t="shared" si="593"/>
        <v>44895</v>
      </c>
      <c r="B1184" s="49">
        <f t="shared" si="591"/>
        <v>0</v>
      </c>
      <c r="C1184" s="338">
        <f t="shared" si="595"/>
        <v>118886089</v>
      </c>
      <c r="D1184" s="329">
        <f t="shared" si="592"/>
        <v>0</v>
      </c>
      <c r="E1184" s="338">
        <f t="shared" si="596"/>
        <v>9769566</v>
      </c>
      <c r="F1184" s="329">
        <f t="shared" si="594"/>
        <v>0</v>
      </c>
      <c r="G1184" s="338">
        <f t="shared" si="597"/>
        <v>76400000</v>
      </c>
      <c r="H1184" s="329">
        <f t="shared" si="582"/>
        <v>0</v>
      </c>
      <c r="I1184" s="338">
        <f t="shared" si="598"/>
        <v>44350150</v>
      </c>
      <c r="J1184" s="329">
        <f t="shared" si="583"/>
        <v>0</v>
      </c>
      <c r="K1184" s="338">
        <f t="shared" si="599"/>
        <v>15100000</v>
      </c>
      <c r="L1184" s="329">
        <f t="shared" si="584"/>
        <v>0</v>
      </c>
      <c r="M1184" s="338">
        <f t="shared" si="600"/>
        <v>25332976</v>
      </c>
      <c r="N1184" s="329">
        <f t="shared" si="585"/>
        <v>0</v>
      </c>
      <c r="O1184" s="338">
        <f t="shared" si="601"/>
        <v>14300000</v>
      </c>
      <c r="P1184" s="329">
        <f t="shared" si="586"/>
        <v>0</v>
      </c>
      <c r="Q1184" s="338">
        <f t="shared" si="602"/>
        <v>0</v>
      </c>
      <c r="R1184" s="329">
        <f t="shared" si="587"/>
        <v>0</v>
      </c>
      <c r="S1184" s="338">
        <f t="shared" si="603"/>
        <v>10000000</v>
      </c>
      <c r="T1184" s="329">
        <f t="shared" si="588"/>
        <v>0</v>
      </c>
      <c r="U1184" s="338">
        <f t="shared" si="590"/>
        <v>2200000</v>
      </c>
      <c r="V1184" s="329">
        <f t="shared" si="589"/>
        <v>0</v>
      </c>
      <c r="W1184" s="338">
        <f t="shared" si="604"/>
        <v>12224694.890000001</v>
      </c>
      <c r="X1184" s="35"/>
    </row>
    <row r="1185" spans="1:24" x14ac:dyDescent="0.25">
      <c r="A1185" s="335">
        <f t="shared" si="593"/>
        <v>44896</v>
      </c>
      <c r="B1185" s="49">
        <f t="shared" si="591"/>
        <v>0</v>
      </c>
      <c r="C1185" s="338">
        <f t="shared" si="595"/>
        <v>118886089</v>
      </c>
      <c r="D1185" s="329">
        <f t="shared" si="592"/>
        <v>0</v>
      </c>
      <c r="E1185" s="338">
        <f t="shared" si="596"/>
        <v>9769566</v>
      </c>
      <c r="F1185" s="329">
        <f t="shared" si="594"/>
        <v>0</v>
      </c>
      <c r="G1185" s="338">
        <f t="shared" si="597"/>
        <v>76400000</v>
      </c>
      <c r="H1185" s="329">
        <f t="shared" si="582"/>
        <v>0</v>
      </c>
      <c r="I1185" s="338">
        <f t="shared" si="598"/>
        <v>44350150</v>
      </c>
      <c r="J1185" s="329">
        <f t="shared" si="583"/>
        <v>0</v>
      </c>
      <c r="K1185" s="338">
        <f t="shared" si="599"/>
        <v>15100000</v>
      </c>
      <c r="L1185" s="329">
        <f t="shared" si="584"/>
        <v>0</v>
      </c>
      <c r="M1185" s="338">
        <f t="shared" si="600"/>
        <v>25332976</v>
      </c>
      <c r="N1185" s="329">
        <f t="shared" si="585"/>
        <v>0</v>
      </c>
      <c r="O1185" s="338">
        <f t="shared" si="601"/>
        <v>14300000</v>
      </c>
      <c r="P1185" s="329">
        <f t="shared" si="586"/>
        <v>0</v>
      </c>
      <c r="Q1185" s="338">
        <f t="shared" si="602"/>
        <v>0</v>
      </c>
      <c r="R1185" s="329">
        <f t="shared" si="587"/>
        <v>0</v>
      </c>
      <c r="S1185" s="338">
        <f t="shared" si="603"/>
        <v>10000000</v>
      </c>
      <c r="T1185" s="329">
        <f t="shared" si="588"/>
        <v>0</v>
      </c>
      <c r="U1185" s="338">
        <f t="shared" si="590"/>
        <v>2200000</v>
      </c>
      <c r="V1185" s="329">
        <f t="shared" si="589"/>
        <v>0</v>
      </c>
      <c r="W1185" s="338">
        <f t="shared" si="604"/>
        <v>12224694.890000001</v>
      </c>
      <c r="X1185" s="35"/>
    </row>
    <row r="1186" spans="1:24" x14ac:dyDescent="0.25">
      <c r="A1186" s="335">
        <f t="shared" si="593"/>
        <v>44897</v>
      </c>
      <c r="B1186" s="49">
        <f t="shared" si="591"/>
        <v>0</v>
      </c>
      <c r="C1186" s="338">
        <f t="shared" si="595"/>
        <v>118886089</v>
      </c>
      <c r="D1186" s="329">
        <f t="shared" si="592"/>
        <v>0</v>
      </c>
      <c r="E1186" s="338">
        <f t="shared" si="596"/>
        <v>9769566</v>
      </c>
      <c r="F1186" s="329">
        <f t="shared" si="594"/>
        <v>0</v>
      </c>
      <c r="G1186" s="338">
        <f t="shared" si="597"/>
        <v>76400000</v>
      </c>
      <c r="H1186" s="329">
        <f t="shared" si="582"/>
        <v>0</v>
      </c>
      <c r="I1186" s="338">
        <f t="shared" si="598"/>
        <v>44350150</v>
      </c>
      <c r="J1186" s="329">
        <f t="shared" si="583"/>
        <v>0</v>
      </c>
      <c r="K1186" s="338">
        <f t="shared" si="599"/>
        <v>15100000</v>
      </c>
      <c r="L1186" s="329">
        <f t="shared" si="584"/>
        <v>0</v>
      </c>
      <c r="M1186" s="338">
        <f t="shared" si="600"/>
        <v>25332976</v>
      </c>
      <c r="N1186" s="329">
        <f t="shared" si="585"/>
        <v>0</v>
      </c>
      <c r="O1186" s="338">
        <f t="shared" si="601"/>
        <v>14300000</v>
      </c>
      <c r="P1186" s="329">
        <f t="shared" si="586"/>
        <v>0</v>
      </c>
      <c r="Q1186" s="338">
        <f t="shared" si="602"/>
        <v>0</v>
      </c>
      <c r="R1186" s="329">
        <f t="shared" si="587"/>
        <v>0</v>
      </c>
      <c r="S1186" s="338">
        <f t="shared" si="603"/>
        <v>10000000</v>
      </c>
      <c r="T1186" s="329">
        <f t="shared" si="588"/>
        <v>0</v>
      </c>
      <c r="U1186" s="338">
        <f t="shared" si="590"/>
        <v>2200000</v>
      </c>
      <c r="V1186" s="329">
        <f t="shared" si="589"/>
        <v>0</v>
      </c>
      <c r="W1186" s="338">
        <f t="shared" si="604"/>
        <v>12224694.890000001</v>
      </c>
      <c r="X1186" s="35"/>
    </row>
    <row r="1187" spans="1:24" x14ac:dyDescent="0.25">
      <c r="A1187" s="335">
        <f t="shared" si="593"/>
        <v>44898</v>
      </c>
      <c r="B1187" s="49">
        <f t="shared" si="591"/>
        <v>0</v>
      </c>
      <c r="C1187" s="338">
        <f t="shared" si="595"/>
        <v>118886089</v>
      </c>
      <c r="D1187" s="329">
        <f t="shared" si="592"/>
        <v>0</v>
      </c>
      <c r="E1187" s="338">
        <f t="shared" si="596"/>
        <v>9769566</v>
      </c>
      <c r="F1187" s="329">
        <f t="shared" si="594"/>
        <v>0</v>
      </c>
      <c r="G1187" s="338">
        <f t="shared" si="597"/>
        <v>76400000</v>
      </c>
      <c r="H1187" s="329">
        <f t="shared" si="582"/>
        <v>0</v>
      </c>
      <c r="I1187" s="338">
        <f t="shared" si="598"/>
        <v>44350150</v>
      </c>
      <c r="J1187" s="329">
        <f t="shared" si="583"/>
        <v>0</v>
      </c>
      <c r="K1187" s="338">
        <f t="shared" si="599"/>
        <v>15100000</v>
      </c>
      <c r="L1187" s="329">
        <f t="shared" si="584"/>
        <v>0</v>
      </c>
      <c r="M1187" s="338">
        <f t="shared" si="600"/>
        <v>25332976</v>
      </c>
      <c r="N1187" s="329">
        <f t="shared" si="585"/>
        <v>0</v>
      </c>
      <c r="O1187" s="338">
        <f t="shared" si="601"/>
        <v>14300000</v>
      </c>
      <c r="P1187" s="329">
        <f t="shared" si="586"/>
        <v>0</v>
      </c>
      <c r="Q1187" s="338">
        <f t="shared" si="602"/>
        <v>0</v>
      </c>
      <c r="R1187" s="329">
        <f t="shared" si="587"/>
        <v>0</v>
      </c>
      <c r="S1187" s="338">
        <f t="shared" si="603"/>
        <v>10000000</v>
      </c>
      <c r="T1187" s="329">
        <f t="shared" si="588"/>
        <v>0</v>
      </c>
      <c r="U1187" s="338">
        <f t="shared" si="590"/>
        <v>2200000</v>
      </c>
      <c r="V1187" s="329">
        <f t="shared" si="589"/>
        <v>0</v>
      </c>
      <c r="W1187" s="338">
        <f t="shared" si="604"/>
        <v>12224694.890000001</v>
      </c>
      <c r="X1187" s="35"/>
    </row>
    <row r="1188" spans="1:24" x14ac:dyDescent="0.25">
      <c r="A1188" s="335">
        <f t="shared" si="593"/>
        <v>44899</v>
      </c>
      <c r="B1188" s="49">
        <f t="shared" si="591"/>
        <v>0</v>
      </c>
      <c r="C1188" s="338">
        <f t="shared" si="595"/>
        <v>118886089</v>
      </c>
      <c r="D1188" s="329">
        <f t="shared" si="592"/>
        <v>0</v>
      </c>
      <c r="E1188" s="338">
        <f t="shared" si="596"/>
        <v>9769566</v>
      </c>
      <c r="F1188" s="329">
        <f t="shared" si="594"/>
        <v>0</v>
      </c>
      <c r="G1188" s="338">
        <f t="shared" si="597"/>
        <v>76400000</v>
      </c>
      <c r="H1188" s="329">
        <f t="shared" si="582"/>
        <v>0</v>
      </c>
      <c r="I1188" s="338">
        <f t="shared" si="598"/>
        <v>44350150</v>
      </c>
      <c r="J1188" s="329">
        <f t="shared" si="583"/>
        <v>0</v>
      </c>
      <c r="K1188" s="338">
        <f t="shared" si="599"/>
        <v>15100000</v>
      </c>
      <c r="L1188" s="329">
        <f t="shared" si="584"/>
        <v>0</v>
      </c>
      <c r="M1188" s="338">
        <f t="shared" si="600"/>
        <v>25332976</v>
      </c>
      <c r="N1188" s="329">
        <f t="shared" si="585"/>
        <v>0</v>
      </c>
      <c r="O1188" s="338">
        <f t="shared" si="601"/>
        <v>14300000</v>
      </c>
      <c r="P1188" s="329">
        <f t="shared" si="586"/>
        <v>0</v>
      </c>
      <c r="Q1188" s="338">
        <f t="shared" si="602"/>
        <v>0</v>
      </c>
      <c r="R1188" s="329">
        <f t="shared" si="587"/>
        <v>0</v>
      </c>
      <c r="S1188" s="338">
        <f t="shared" si="603"/>
        <v>10000000</v>
      </c>
      <c r="T1188" s="329">
        <f t="shared" si="588"/>
        <v>0</v>
      </c>
      <c r="U1188" s="338">
        <f t="shared" si="590"/>
        <v>2200000</v>
      </c>
      <c r="V1188" s="329">
        <f t="shared" si="589"/>
        <v>0</v>
      </c>
      <c r="W1188" s="338">
        <f t="shared" si="604"/>
        <v>12224694.890000001</v>
      </c>
      <c r="X1188" s="35"/>
    </row>
    <row r="1189" spans="1:24" x14ac:dyDescent="0.25">
      <c r="A1189" s="335">
        <f t="shared" si="593"/>
        <v>44900</v>
      </c>
      <c r="B1189" s="49">
        <f t="shared" si="591"/>
        <v>0</v>
      </c>
      <c r="C1189" s="338">
        <f t="shared" si="595"/>
        <v>118886089</v>
      </c>
      <c r="D1189" s="329">
        <f t="shared" si="592"/>
        <v>0</v>
      </c>
      <c r="E1189" s="338">
        <f t="shared" si="596"/>
        <v>9769566</v>
      </c>
      <c r="F1189" s="329">
        <f t="shared" si="594"/>
        <v>0</v>
      </c>
      <c r="G1189" s="338">
        <f t="shared" si="597"/>
        <v>76400000</v>
      </c>
      <c r="H1189" s="329">
        <f t="shared" si="582"/>
        <v>0</v>
      </c>
      <c r="I1189" s="338">
        <f t="shared" si="598"/>
        <v>44350150</v>
      </c>
      <c r="J1189" s="329">
        <f t="shared" si="583"/>
        <v>0</v>
      </c>
      <c r="K1189" s="338">
        <f t="shared" si="599"/>
        <v>15100000</v>
      </c>
      <c r="L1189" s="329">
        <f t="shared" si="584"/>
        <v>0</v>
      </c>
      <c r="M1189" s="338">
        <f t="shared" si="600"/>
        <v>25332976</v>
      </c>
      <c r="N1189" s="329">
        <f t="shared" si="585"/>
        <v>0</v>
      </c>
      <c r="O1189" s="338">
        <f t="shared" si="601"/>
        <v>14300000</v>
      </c>
      <c r="P1189" s="329">
        <f t="shared" si="586"/>
        <v>0</v>
      </c>
      <c r="Q1189" s="338">
        <f t="shared" si="602"/>
        <v>0</v>
      </c>
      <c r="R1189" s="329">
        <f t="shared" si="587"/>
        <v>0</v>
      </c>
      <c r="S1189" s="338">
        <f t="shared" si="603"/>
        <v>10000000</v>
      </c>
      <c r="T1189" s="329">
        <f t="shared" si="588"/>
        <v>0</v>
      </c>
      <c r="U1189" s="338">
        <f t="shared" si="590"/>
        <v>2200000</v>
      </c>
      <c r="V1189" s="329">
        <f t="shared" si="589"/>
        <v>0</v>
      </c>
      <c r="W1189" s="338">
        <f t="shared" si="604"/>
        <v>12224694.890000001</v>
      </c>
      <c r="X1189" s="35"/>
    </row>
    <row r="1190" spans="1:24" x14ac:dyDescent="0.25">
      <c r="A1190" s="335">
        <f t="shared" si="593"/>
        <v>44901</v>
      </c>
      <c r="B1190" s="49">
        <f t="shared" si="591"/>
        <v>0</v>
      </c>
      <c r="C1190" s="338">
        <f t="shared" si="595"/>
        <v>118886089</v>
      </c>
      <c r="D1190" s="329">
        <f t="shared" si="592"/>
        <v>0</v>
      </c>
      <c r="E1190" s="338">
        <f t="shared" si="596"/>
        <v>9769566</v>
      </c>
      <c r="F1190" s="329">
        <f t="shared" si="594"/>
        <v>0</v>
      </c>
      <c r="G1190" s="338">
        <f t="shared" si="597"/>
        <v>76400000</v>
      </c>
      <c r="H1190" s="329">
        <f t="shared" si="582"/>
        <v>0</v>
      </c>
      <c r="I1190" s="338">
        <f t="shared" si="598"/>
        <v>44350150</v>
      </c>
      <c r="J1190" s="329">
        <f t="shared" si="583"/>
        <v>0</v>
      </c>
      <c r="K1190" s="338">
        <f t="shared" si="599"/>
        <v>15100000</v>
      </c>
      <c r="L1190" s="329">
        <f t="shared" si="584"/>
        <v>0</v>
      </c>
      <c r="M1190" s="338">
        <f t="shared" si="600"/>
        <v>25332976</v>
      </c>
      <c r="N1190" s="329">
        <f t="shared" si="585"/>
        <v>0</v>
      </c>
      <c r="O1190" s="338">
        <f t="shared" si="601"/>
        <v>14300000</v>
      </c>
      <c r="P1190" s="329">
        <f t="shared" si="586"/>
        <v>0</v>
      </c>
      <c r="Q1190" s="338">
        <f t="shared" si="602"/>
        <v>0</v>
      </c>
      <c r="R1190" s="329">
        <f t="shared" si="587"/>
        <v>0</v>
      </c>
      <c r="S1190" s="338">
        <f t="shared" si="603"/>
        <v>10000000</v>
      </c>
      <c r="T1190" s="329">
        <f t="shared" si="588"/>
        <v>0</v>
      </c>
      <c r="U1190" s="338">
        <f t="shared" si="590"/>
        <v>2200000</v>
      </c>
      <c r="V1190" s="329">
        <f t="shared" si="589"/>
        <v>0</v>
      </c>
      <c r="W1190" s="338">
        <f t="shared" si="604"/>
        <v>12224694.890000001</v>
      </c>
      <c r="X1190" s="35"/>
    </row>
    <row r="1191" spans="1:24" x14ac:dyDescent="0.25">
      <c r="A1191" s="335">
        <f t="shared" si="593"/>
        <v>44902</v>
      </c>
      <c r="B1191" s="49">
        <f t="shared" si="591"/>
        <v>0</v>
      </c>
      <c r="C1191" s="338">
        <f t="shared" si="595"/>
        <v>118886089</v>
      </c>
      <c r="D1191" s="329">
        <f t="shared" si="592"/>
        <v>0</v>
      </c>
      <c r="E1191" s="338">
        <f t="shared" si="596"/>
        <v>9769566</v>
      </c>
      <c r="F1191" s="329">
        <f t="shared" si="594"/>
        <v>0</v>
      </c>
      <c r="G1191" s="338">
        <f t="shared" si="597"/>
        <v>76400000</v>
      </c>
      <c r="H1191" s="329">
        <f t="shared" si="582"/>
        <v>0</v>
      </c>
      <c r="I1191" s="338">
        <f t="shared" si="598"/>
        <v>44350150</v>
      </c>
      <c r="J1191" s="329">
        <f t="shared" si="583"/>
        <v>0</v>
      </c>
      <c r="K1191" s="338">
        <f t="shared" si="599"/>
        <v>15100000</v>
      </c>
      <c r="L1191" s="329">
        <f t="shared" si="584"/>
        <v>0</v>
      </c>
      <c r="M1191" s="338">
        <f t="shared" si="600"/>
        <v>25332976</v>
      </c>
      <c r="N1191" s="329">
        <f t="shared" si="585"/>
        <v>0</v>
      </c>
      <c r="O1191" s="338">
        <f t="shared" si="601"/>
        <v>14300000</v>
      </c>
      <c r="P1191" s="329">
        <f t="shared" si="586"/>
        <v>0</v>
      </c>
      <c r="Q1191" s="338">
        <f t="shared" si="602"/>
        <v>0</v>
      </c>
      <c r="R1191" s="329">
        <f t="shared" si="587"/>
        <v>0</v>
      </c>
      <c r="S1191" s="338">
        <f t="shared" si="603"/>
        <v>10000000</v>
      </c>
      <c r="T1191" s="329">
        <f t="shared" si="588"/>
        <v>0</v>
      </c>
      <c r="U1191" s="338">
        <f t="shared" si="590"/>
        <v>2200000</v>
      </c>
      <c r="V1191" s="329">
        <f t="shared" si="589"/>
        <v>0</v>
      </c>
      <c r="W1191" s="338">
        <f t="shared" si="604"/>
        <v>12224694.890000001</v>
      </c>
      <c r="X1191" s="35"/>
    </row>
    <row r="1192" spans="1:24" x14ac:dyDescent="0.25">
      <c r="A1192" s="335">
        <f t="shared" si="593"/>
        <v>44903</v>
      </c>
      <c r="B1192" s="49">
        <f t="shared" si="591"/>
        <v>0</v>
      </c>
      <c r="C1192" s="338">
        <f t="shared" si="595"/>
        <v>118886089</v>
      </c>
      <c r="D1192" s="329">
        <f t="shared" si="592"/>
        <v>0</v>
      </c>
      <c r="E1192" s="338">
        <f t="shared" si="596"/>
        <v>9769566</v>
      </c>
      <c r="F1192" s="329">
        <f t="shared" si="594"/>
        <v>0</v>
      </c>
      <c r="G1192" s="338">
        <f t="shared" si="597"/>
        <v>76400000</v>
      </c>
      <c r="H1192" s="329">
        <f t="shared" si="582"/>
        <v>0</v>
      </c>
      <c r="I1192" s="338">
        <f t="shared" si="598"/>
        <v>44350150</v>
      </c>
      <c r="J1192" s="329">
        <f t="shared" si="583"/>
        <v>0</v>
      </c>
      <c r="K1192" s="338">
        <f t="shared" si="599"/>
        <v>15100000</v>
      </c>
      <c r="L1192" s="329">
        <f t="shared" si="584"/>
        <v>0</v>
      </c>
      <c r="M1192" s="338">
        <f t="shared" si="600"/>
        <v>25332976</v>
      </c>
      <c r="N1192" s="329">
        <f t="shared" si="585"/>
        <v>0</v>
      </c>
      <c r="O1192" s="338">
        <f t="shared" si="601"/>
        <v>14300000</v>
      </c>
      <c r="P1192" s="329">
        <f t="shared" si="586"/>
        <v>0</v>
      </c>
      <c r="Q1192" s="338">
        <f t="shared" si="602"/>
        <v>0</v>
      </c>
      <c r="R1192" s="329">
        <f t="shared" si="587"/>
        <v>0</v>
      </c>
      <c r="S1192" s="338">
        <f t="shared" si="603"/>
        <v>10000000</v>
      </c>
      <c r="T1192" s="329">
        <f t="shared" si="588"/>
        <v>0</v>
      </c>
      <c r="U1192" s="338">
        <f t="shared" si="590"/>
        <v>2200000</v>
      </c>
      <c r="V1192" s="329">
        <f t="shared" si="589"/>
        <v>0</v>
      </c>
      <c r="W1192" s="338">
        <f t="shared" si="604"/>
        <v>12224694.890000001</v>
      </c>
      <c r="X1192" s="35"/>
    </row>
    <row r="1193" spans="1:24" x14ac:dyDescent="0.25">
      <c r="A1193" s="335">
        <f t="shared" si="593"/>
        <v>44904</v>
      </c>
      <c r="B1193" s="49">
        <f t="shared" si="591"/>
        <v>0</v>
      </c>
      <c r="C1193" s="338">
        <f t="shared" si="595"/>
        <v>118886089</v>
      </c>
      <c r="D1193" s="329">
        <f t="shared" si="592"/>
        <v>0</v>
      </c>
      <c r="E1193" s="338">
        <f t="shared" si="596"/>
        <v>9769566</v>
      </c>
      <c r="F1193" s="329">
        <f t="shared" si="594"/>
        <v>0</v>
      </c>
      <c r="G1193" s="338">
        <f t="shared" si="597"/>
        <v>76400000</v>
      </c>
      <c r="H1193" s="329">
        <f t="shared" si="582"/>
        <v>0</v>
      </c>
      <c r="I1193" s="338">
        <f t="shared" si="598"/>
        <v>44350150</v>
      </c>
      <c r="J1193" s="329">
        <f t="shared" si="583"/>
        <v>0</v>
      </c>
      <c r="K1193" s="338">
        <f t="shared" si="599"/>
        <v>15100000</v>
      </c>
      <c r="L1193" s="329">
        <f t="shared" si="584"/>
        <v>0</v>
      </c>
      <c r="M1193" s="338">
        <f t="shared" si="600"/>
        <v>25332976</v>
      </c>
      <c r="N1193" s="329">
        <f t="shared" si="585"/>
        <v>0</v>
      </c>
      <c r="O1193" s="338">
        <f t="shared" si="601"/>
        <v>14300000</v>
      </c>
      <c r="P1193" s="329">
        <f t="shared" si="586"/>
        <v>0</v>
      </c>
      <c r="Q1193" s="338">
        <f t="shared" si="602"/>
        <v>0</v>
      </c>
      <c r="R1193" s="329">
        <f t="shared" si="587"/>
        <v>0</v>
      </c>
      <c r="S1193" s="338">
        <f t="shared" si="603"/>
        <v>10000000</v>
      </c>
      <c r="T1193" s="329">
        <f t="shared" si="588"/>
        <v>0</v>
      </c>
      <c r="U1193" s="338">
        <f t="shared" si="590"/>
        <v>2200000</v>
      </c>
      <c r="V1193" s="329">
        <f t="shared" si="589"/>
        <v>0</v>
      </c>
      <c r="W1193" s="338">
        <f t="shared" si="604"/>
        <v>12224694.890000001</v>
      </c>
      <c r="X1193" s="35"/>
    </row>
    <row r="1194" spans="1:24" x14ac:dyDescent="0.25">
      <c r="A1194" s="335">
        <f t="shared" si="593"/>
        <v>44905</v>
      </c>
      <c r="B1194" s="49">
        <f t="shared" si="591"/>
        <v>0</v>
      </c>
      <c r="C1194" s="338">
        <f t="shared" si="595"/>
        <v>118886089</v>
      </c>
      <c r="D1194" s="329">
        <f t="shared" si="592"/>
        <v>0</v>
      </c>
      <c r="E1194" s="338">
        <f t="shared" si="596"/>
        <v>9769566</v>
      </c>
      <c r="F1194" s="329">
        <f t="shared" si="594"/>
        <v>0</v>
      </c>
      <c r="G1194" s="338">
        <f t="shared" si="597"/>
        <v>76400000</v>
      </c>
      <c r="H1194" s="329">
        <f t="shared" si="582"/>
        <v>0</v>
      </c>
      <c r="I1194" s="338">
        <f t="shared" si="598"/>
        <v>44350150</v>
      </c>
      <c r="J1194" s="329">
        <f t="shared" si="583"/>
        <v>0</v>
      </c>
      <c r="K1194" s="338">
        <f t="shared" si="599"/>
        <v>15100000</v>
      </c>
      <c r="L1194" s="329">
        <f t="shared" si="584"/>
        <v>0</v>
      </c>
      <c r="M1194" s="338">
        <f t="shared" si="600"/>
        <v>25332976</v>
      </c>
      <c r="N1194" s="329">
        <f t="shared" si="585"/>
        <v>0</v>
      </c>
      <c r="O1194" s="338">
        <f t="shared" si="601"/>
        <v>14300000</v>
      </c>
      <c r="P1194" s="329">
        <f t="shared" si="586"/>
        <v>0</v>
      </c>
      <c r="Q1194" s="338">
        <f t="shared" si="602"/>
        <v>0</v>
      </c>
      <c r="R1194" s="329">
        <f t="shared" si="587"/>
        <v>0</v>
      </c>
      <c r="S1194" s="338">
        <f t="shared" si="603"/>
        <v>10000000</v>
      </c>
      <c r="T1194" s="329">
        <f t="shared" si="588"/>
        <v>0</v>
      </c>
      <c r="U1194" s="338">
        <f t="shared" si="590"/>
        <v>2200000</v>
      </c>
      <c r="V1194" s="329">
        <f t="shared" si="589"/>
        <v>0</v>
      </c>
      <c r="W1194" s="338">
        <f t="shared" si="604"/>
        <v>12224694.890000001</v>
      </c>
      <c r="X1194" s="35"/>
    </row>
    <row r="1195" spans="1:24" x14ac:dyDescent="0.25">
      <c r="A1195" s="335">
        <f t="shared" si="593"/>
        <v>44906</v>
      </c>
      <c r="B1195" s="49">
        <f t="shared" si="591"/>
        <v>0</v>
      </c>
      <c r="C1195" s="338">
        <f t="shared" si="595"/>
        <v>118886089</v>
      </c>
      <c r="D1195" s="329">
        <f t="shared" si="592"/>
        <v>0</v>
      </c>
      <c r="E1195" s="338">
        <f t="shared" si="596"/>
        <v>9769566</v>
      </c>
      <c r="F1195" s="329">
        <f t="shared" si="594"/>
        <v>0</v>
      </c>
      <c r="G1195" s="338">
        <f t="shared" si="597"/>
        <v>76400000</v>
      </c>
      <c r="H1195" s="329">
        <f t="shared" ref="H1195:H1258" si="605">SUMIFS(Usage_Main,CF_Dates,$A1195,CF_Descriptions,"XS2091648928 Change")</f>
        <v>0</v>
      </c>
      <c r="I1195" s="338">
        <f t="shared" si="598"/>
        <v>44350150</v>
      </c>
      <c r="J1195" s="329">
        <f t="shared" ref="J1195:J1258" si="606">SUMIFS(Usage_Main,CF_Dates,$A1195,CF_Descriptions,"Southern Apple Change")</f>
        <v>0</v>
      </c>
      <c r="K1195" s="338">
        <f t="shared" si="599"/>
        <v>15100000</v>
      </c>
      <c r="L1195" s="329">
        <f t="shared" ref="L1195:L1258" si="607">SUMIFS(Usage_Main,CF_Dates,$A1195,CF_Descriptions,"ALMONDUSD Change")</f>
        <v>0</v>
      </c>
      <c r="M1195" s="338">
        <f t="shared" si="600"/>
        <v>25332976</v>
      </c>
      <c r="N1195" s="329">
        <f t="shared" ref="N1195:N1258" si="608">SUMIFS(Usage_Main,CF_Dates,$A1195,CF_Descriptions,"ALMONDEUR Change")</f>
        <v>0</v>
      </c>
      <c r="O1195" s="338">
        <f t="shared" si="601"/>
        <v>14300000</v>
      </c>
      <c r="P1195" s="329">
        <f t="shared" ref="P1195:P1258" si="609">SUMIFS(Usage_Main,CF_Dates,$A1195,CF_Descriptions,"HEXZETA Change")</f>
        <v>0</v>
      </c>
      <c r="Q1195" s="338">
        <f t="shared" si="602"/>
        <v>0</v>
      </c>
      <c r="R1195" s="329">
        <f t="shared" ref="R1195:R1258" si="610">SUMIFS(Usage_Main,CF_Dates,$A1195,CF_Descriptions,"MNTNCHERRY Change")</f>
        <v>0</v>
      </c>
      <c r="S1195" s="338">
        <f t="shared" si="603"/>
        <v>10000000</v>
      </c>
      <c r="T1195" s="329">
        <f t="shared" ref="T1195:T1258" si="611">SUMIFS(Usage_Main,CF_Dates,$A1195,CF_Descriptions,"OLIVEUSD Change")</f>
        <v>0</v>
      </c>
      <c r="U1195" s="338">
        <f t="shared" si="590"/>
        <v>2200000</v>
      </c>
      <c r="V1195" s="329">
        <f t="shared" ref="V1195:V1258" si="612">SUMIFS(Usage_Main,CF_Dates,$A1195,CF_Descriptions,"OLIVEEUR Change")</f>
        <v>0</v>
      </c>
      <c r="W1195" s="338">
        <f t="shared" si="604"/>
        <v>12224694.890000001</v>
      </c>
      <c r="X1195" s="35"/>
    </row>
    <row r="1196" spans="1:24" x14ac:dyDescent="0.25">
      <c r="A1196" s="335">
        <f t="shared" si="593"/>
        <v>44907</v>
      </c>
      <c r="B1196" s="49">
        <f t="shared" si="591"/>
        <v>0</v>
      </c>
      <c r="C1196" s="338">
        <f t="shared" si="595"/>
        <v>118886089</v>
      </c>
      <c r="D1196" s="329">
        <f t="shared" si="592"/>
        <v>0</v>
      </c>
      <c r="E1196" s="338">
        <f t="shared" si="596"/>
        <v>9769566</v>
      </c>
      <c r="F1196" s="329">
        <f t="shared" si="594"/>
        <v>0</v>
      </c>
      <c r="G1196" s="338">
        <f t="shared" si="597"/>
        <v>76400000</v>
      </c>
      <c r="H1196" s="329">
        <f t="shared" si="605"/>
        <v>0</v>
      </c>
      <c r="I1196" s="338">
        <f t="shared" si="598"/>
        <v>44350150</v>
      </c>
      <c r="J1196" s="329">
        <f t="shared" si="606"/>
        <v>0</v>
      </c>
      <c r="K1196" s="338">
        <f t="shared" si="599"/>
        <v>15100000</v>
      </c>
      <c r="L1196" s="329">
        <f t="shared" si="607"/>
        <v>0</v>
      </c>
      <c r="M1196" s="338">
        <f t="shared" si="600"/>
        <v>25332976</v>
      </c>
      <c r="N1196" s="329">
        <f t="shared" si="608"/>
        <v>0</v>
      </c>
      <c r="O1196" s="338">
        <f t="shared" si="601"/>
        <v>14300000</v>
      </c>
      <c r="P1196" s="329">
        <f t="shared" si="609"/>
        <v>0</v>
      </c>
      <c r="Q1196" s="338">
        <f t="shared" si="602"/>
        <v>0</v>
      </c>
      <c r="R1196" s="329">
        <f t="shared" si="610"/>
        <v>0</v>
      </c>
      <c r="S1196" s="338">
        <f t="shared" si="603"/>
        <v>10000000</v>
      </c>
      <c r="T1196" s="329">
        <f t="shared" si="611"/>
        <v>0</v>
      </c>
      <c r="U1196" s="338">
        <f t="shared" ref="U1196:U1259" si="613">T1196+U1195</f>
        <v>2200000</v>
      </c>
      <c r="V1196" s="329">
        <f t="shared" si="612"/>
        <v>0</v>
      </c>
      <c r="W1196" s="338">
        <f t="shared" si="604"/>
        <v>12224694.890000001</v>
      </c>
      <c r="X1196" s="35"/>
    </row>
    <row r="1197" spans="1:24" x14ac:dyDescent="0.25">
      <c r="A1197" s="335">
        <f t="shared" si="593"/>
        <v>44908</v>
      </c>
      <c r="B1197" s="49">
        <f t="shared" si="591"/>
        <v>0</v>
      </c>
      <c r="C1197" s="338">
        <f t="shared" si="595"/>
        <v>118886089</v>
      </c>
      <c r="D1197" s="329">
        <f t="shared" si="592"/>
        <v>0</v>
      </c>
      <c r="E1197" s="338">
        <f t="shared" si="596"/>
        <v>9769566</v>
      </c>
      <c r="F1197" s="329">
        <f t="shared" si="594"/>
        <v>0</v>
      </c>
      <c r="G1197" s="338">
        <f t="shared" si="597"/>
        <v>76400000</v>
      </c>
      <c r="H1197" s="329">
        <f t="shared" si="605"/>
        <v>0</v>
      </c>
      <c r="I1197" s="338">
        <f t="shared" si="598"/>
        <v>44350150</v>
      </c>
      <c r="J1197" s="329">
        <f t="shared" si="606"/>
        <v>0</v>
      </c>
      <c r="K1197" s="338">
        <f t="shared" si="599"/>
        <v>15100000</v>
      </c>
      <c r="L1197" s="329">
        <f t="shared" si="607"/>
        <v>0</v>
      </c>
      <c r="M1197" s="338">
        <f t="shared" si="600"/>
        <v>25332976</v>
      </c>
      <c r="N1197" s="329">
        <f t="shared" si="608"/>
        <v>0</v>
      </c>
      <c r="O1197" s="338">
        <f t="shared" si="601"/>
        <v>14300000</v>
      </c>
      <c r="P1197" s="329">
        <f t="shared" si="609"/>
        <v>0</v>
      </c>
      <c r="Q1197" s="338">
        <f t="shared" si="602"/>
        <v>0</v>
      </c>
      <c r="R1197" s="329">
        <f t="shared" si="610"/>
        <v>0</v>
      </c>
      <c r="S1197" s="338">
        <f t="shared" si="603"/>
        <v>10000000</v>
      </c>
      <c r="T1197" s="329">
        <f t="shared" si="611"/>
        <v>0</v>
      </c>
      <c r="U1197" s="338">
        <f t="shared" si="613"/>
        <v>2200000</v>
      </c>
      <c r="V1197" s="329">
        <f t="shared" si="612"/>
        <v>0</v>
      </c>
      <c r="W1197" s="338">
        <f t="shared" si="604"/>
        <v>12224694.890000001</v>
      </c>
      <c r="X1197" s="35"/>
    </row>
    <row r="1198" spans="1:24" x14ac:dyDescent="0.25">
      <c r="A1198" s="335">
        <f t="shared" si="593"/>
        <v>44909</v>
      </c>
      <c r="B1198" s="49">
        <f t="shared" si="591"/>
        <v>0</v>
      </c>
      <c r="C1198" s="338">
        <f t="shared" si="595"/>
        <v>118886089</v>
      </c>
      <c r="D1198" s="329">
        <f t="shared" si="592"/>
        <v>0</v>
      </c>
      <c r="E1198" s="338">
        <f t="shared" si="596"/>
        <v>9769566</v>
      </c>
      <c r="F1198" s="329">
        <f t="shared" si="594"/>
        <v>0</v>
      </c>
      <c r="G1198" s="338">
        <f t="shared" si="597"/>
        <v>76400000</v>
      </c>
      <c r="H1198" s="329">
        <f t="shared" si="605"/>
        <v>0</v>
      </c>
      <c r="I1198" s="338">
        <f t="shared" si="598"/>
        <v>44350150</v>
      </c>
      <c r="J1198" s="329">
        <f t="shared" si="606"/>
        <v>0</v>
      </c>
      <c r="K1198" s="338">
        <f t="shared" si="599"/>
        <v>15100000</v>
      </c>
      <c r="L1198" s="329">
        <f t="shared" si="607"/>
        <v>0</v>
      </c>
      <c r="M1198" s="338">
        <f t="shared" si="600"/>
        <v>25332976</v>
      </c>
      <c r="N1198" s="329">
        <f t="shared" si="608"/>
        <v>0</v>
      </c>
      <c r="O1198" s="338">
        <f t="shared" si="601"/>
        <v>14300000</v>
      </c>
      <c r="P1198" s="329">
        <f t="shared" si="609"/>
        <v>0</v>
      </c>
      <c r="Q1198" s="338">
        <f t="shared" si="602"/>
        <v>0</v>
      </c>
      <c r="R1198" s="329">
        <f t="shared" si="610"/>
        <v>0</v>
      </c>
      <c r="S1198" s="338">
        <f t="shared" si="603"/>
        <v>10000000</v>
      </c>
      <c r="T1198" s="329">
        <f t="shared" si="611"/>
        <v>0</v>
      </c>
      <c r="U1198" s="338">
        <f t="shared" si="613"/>
        <v>2200000</v>
      </c>
      <c r="V1198" s="329">
        <f t="shared" si="612"/>
        <v>0</v>
      </c>
      <c r="W1198" s="338">
        <f t="shared" si="604"/>
        <v>12224694.890000001</v>
      </c>
      <c r="X1198" s="35"/>
    </row>
    <row r="1199" spans="1:24" x14ac:dyDescent="0.25">
      <c r="A1199" s="335">
        <f t="shared" si="593"/>
        <v>44910</v>
      </c>
      <c r="B1199" s="49">
        <f t="shared" si="591"/>
        <v>0</v>
      </c>
      <c r="C1199" s="338">
        <f t="shared" si="595"/>
        <v>118886089</v>
      </c>
      <c r="D1199" s="329">
        <f t="shared" si="592"/>
        <v>0</v>
      </c>
      <c r="E1199" s="338">
        <f t="shared" si="596"/>
        <v>9769566</v>
      </c>
      <c r="F1199" s="329">
        <f t="shared" si="594"/>
        <v>0</v>
      </c>
      <c r="G1199" s="338">
        <f t="shared" si="597"/>
        <v>76400000</v>
      </c>
      <c r="H1199" s="329">
        <f t="shared" si="605"/>
        <v>0</v>
      </c>
      <c r="I1199" s="338">
        <f t="shared" si="598"/>
        <v>44350150</v>
      </c>
      <c r="J1199" s="329">
        <f t="shared" si="606"/>
        <v>0</v>
      </c>
      <c r="K1199" s="338">
        <f t="shared" si="599"/>
        <v>15100000</v>
      </c>
      <c r="L1199" s="329">
        <f t="shared" si="607"/>
        <v>0</v>
      </c>
      <c r="M1199" s="338">
        <f t="shared" si="600"/>
        <v>25332976</v>
      </c>
      <c r="N1199" s="329">
        <f t="shared" si="608"/>
        <v>0</v>
      </c>
      <c r="O1199" s="338">
        <f t="shared" si="601"/>
        <v>14300000</v>
      </c>
      <c r="P1199" s="329">
        <f t="shared" si="609"/>
        <v>0</v>
      </c>
      <c r="Q1199" s="338">
        <f t="shared" si="602"/>
        <v>0</v>
      </c>
      <c r="R1199" s="329">
        <f t="shared" si="610"/>
        <v>0</v>
      </c>
      <c r="S1199" s="338">
        <f t="shared" si="603"/>
        <v>10000000</v>
      </c>
      <c r="T1199" s="329">
        <f t="shared" si="611"/>
        <v>0</v>
      </c>
      <c r="U1199" s="338">
        <f t="shared" si="613"/>
        <v>2200000</v>
      </c>
      <c r="V1199" s="329">
        <f t="shared" si="612"/>
        <v>0</v>
      </c>
      <c r="W1199" s="338">
        <f t="shared" si="604"/>
        <v>12224694.890000001</v>
      </c>
      <c r="X1199" s="35"/>
    </row>
    <row r="1200" spans="1:24" x14ac:dyDescent="0.25">
      <c r="A1200" s="335">
        <f t="shared" si="593"/>
        <v>44911</v>
      </c>
      <c r="B1200" s="49">
        <f t="shared" si="591"/>
        <v>0</v>
      </c>
      <c r="C1200" s="338">
        <f t="shared" si="595"/>
        <v>118886089</v>
      </c>
      <c r="D1200" s="329">
        <f t="shared" si="592"/>
        <v>0</v>
      </c>
      <c r="E1200" s="338">
        <f t="shared" si="596"/>
        <v>9769566</v>
      </c>
      <c r="F1200" s="329">
        <f t="shared" si="594"/>
        <v>0</v>
      </c>
      <c r="G1200" s="338">
        <f t="shared" si="597"/>
        <v>76400000</v>
      </c>
      <c r="H1200" s="329">
        <f t="shared" si="605"/>
        <v>0</v>
      </c>
      <c r="I1200" s="338">
        <f t="shared" si="598"/>
        <v>44350150</v>
      </c>
      <c r="J1200" s="329">
        <f t="shared" si="606"/>
        <v>0</v>
      </c>
      <c r="K1200" s="338">
        <f t="shared" si="599"/>
        <v>15100000</v>
      </c>
      <c r="L1200" s="329">
        <f t="shared" si="607"/>
        <v>0</v>
      </c>
      <c r="M1200" s="338">
        <f t="shared" si="600"/>
        <v>25332976</v>
      </c>
      <c r="N1200" s="329">
        <f t="shared" si="608"/>
        <v>0</v>
      </c>
      <c r="O1200" s="338">
        <f t="shared" si="601"/>
        <v>14300000</v>
      </c>
      <c r="P1200" s="329">
        <f t="shared" si="609"/>
        <v>0</v>
      </c>
      <c r="Q1200" s="338">
        <f t="shared" si="602"/>
        <v>0</v>
      </c>
      <c r="R1200" s="329">
        <f t="shared" si="610"/>
        <v>0</v>
      </c>
      <c r="S1200" s="338">
        <f t="shared" si="603"/>
        <v>10000000</v>
      </c>
      <c r="T1200" s="329">
        <f t="shared" si="611"/>
        <v>0</v>
      </c>
      <c r="U1200" s="338">
        <f t="shared" si="613"/>
        <v>2200000</v>
      </c>
      <c r="V1200" s="329">
        <f t="shared" si="612"/>
        <v>0</v>
      </c>
      <c r="W1200" s="338">
        <f t="shared" si="604"/>
        <v>12224694.890000001</v>
      </c>
      <c r="X1200" s="35"/>
    </row>
    <row r="1201" spans="1:24" x14ac:dyDescent="0.25">
      <c r="A1201" s="335">
        <f t="shared" si="593"/>
        <v>44912</v>
      </c>
      <c r="B1201" s="49">
        <f t="shared" si="591"/>
        <v>0</v>
      </c>
      <c r="C1201" s="338">
        <f t="shared" si="595"/>
        <v>118886089</v>
      </c>
      <c r="D1201" s="329">
        <f t="shared" si="592"/>
        <v>0</v>
      </c>
      <c r="E1201" s="338">
        <f t="shared" si="596"/>
        <v>9769566</v>
      </c>
      <c r="F1201" s="329">
        <f t="shared" si="594"/>
        <v>0</v>
      </c>
      <c r="G1201" s="338">
        <f t="shared" si="597"/>
        <v>76400000</v>
      </c>
      <c r="H1201" s="329">
        <f t="shared" si="605"/>
        <v>0</v>
      </c>
      <c r="I1201" s="338">
        <f t="shared" si="598"/>
        <v>44350150</v>
      </c>
      <c r="J1201" s="329">
        <f t="shared" si="606"/>
        <v>0</v>
      </c>
      <c r="K1201" s="338">
        <f t="shared" si="599"/>
        <v>15100000</v>
      </c>
      <c r="L1201" s="329">
        <f t="shared" si="607"/>
        <v>0</v>
      </c>
      <c r="M1201" s="338">
        <f t="shared" si="600"/>
        <v>25332976</v>
      </c>
      <c r="N1201" s="329">
        <f t="shared" si="608"/>
        <v>0</v>
      </c>
      <c r="O1201" s="338">
        <f t="shared" si="601"/>
        <v>14300000</v>
      </c>
      <c r="P1201" s="329">
        <f t="shared" si="609"/>
        <v>0</v>
      </c>
      <c r="Q1201" s="338">
        <f t="shared" si="602"/>
        <v>0</v>
      </c>
      <c r="R1201" s="329">
        <f t="shared" si="610"/>
        <v>0</v>
      </c>
      <c r="S1201" s="338">
        <f t="shared" si="603"/>
        <v>10000000</v>
      </c>
      <c r="T1201" s="329">
        <f t="shared" si="611"/>
        <v>0</v>
      </c>
      <c r="U1201" s="338">
        <f t="shared" si="613"/>
        <v>2200000</v>
      </c>
      <c r="V1201" s="329">
        <f t="shared" si="612"/>
        <v>0</v>
      </c>
      <c r="W1201" s="338">
        <f t="shared" si="604"/>
        <v>12224694.890000001</v>
      </c>
      <c r="X1201" s="35"/>
    </row>
    <row r="1202" spans="1:24" x14ac:dyDescent="0.25">
      <c r="A1202" s="335">
        <f t="shared" si="593"/>
        <v>44913</v>
      </c>
      <c r="B1202" s="49">
        <f t="shared" si="591"/>
        <v>0</v>
      </c>
      <c r="C1202" s="338">
        <f t="shared" si="595"/>
        <v>118886089</v>
      </c>
      <c r="D1202" s="329">
        <f t="shared" si="592"/>
        <v>0</v>
      </c>
      <c r="E1202" s="338">
        <f t="shared" si="596"/>
        <v>9769566</v>
      </c>
      <c r="F1202" s="329">
        <f t="shared" si="594"/>
        <v>0</v>
      </c>
      <c r="G1202" s="338">
        <f t="shared" si="597"/>
        <v>76400000</v>
      </c>
      <c r="H1202" s="329">
        <f t="shared" si="605"/>
        <v>0</v>
      </c>
      <c r="I1202" s="338">
        <f t="shared" si="598"/>
        <v>44350150</v>
      </c>
      <c r="J1202" s="329">
        <f t="shared" si="606"/>
        <v>0</v>
      </c>
      <c r="K1202" s="338">
        <f t="shared" si="599"/>
        <v>15100000</v>
      </c>
      <c r="L1202" s="329">
        <f t="shared" si="607"/>
        <v>0</v>
      </c>
      <c r="M1202" s="338">
        <f t="shared" si="600"/>
        <v>25332976</v>
      </c>
      <c r="N1202" s="329">
        <f t="shared" si="608"/>
        <v>0</v>
      </c>
      <c r="O1202" s="338">
        <f t="shared" si="601"/>
        <v>14300000</v>
      </c>
      <c r="P1202" s="329">
        <f t="shared" si="609"/>
        <v>0</v>
      </c>
      <c r="Q1202" s="338">
        <f t="shared" si="602"/>
        <v>0</v>
      </c>
      <c r="R1202" s="329">
        <f t="shared" si="610"/>
        <v>0</v>
      </c>
      <c r="S1202" s="338">
        <f t="shared" si="603"/>
        <v>10000000</v>
      </c>
      <c r="T1202" s="329">
        <f t="shared" si="611"/>
        <v>0</v>
      </c>
      <c r="U1202" s="338">
        <f t="shared" si="613"/>
        <v>2200000</v>
      </c>
      <c r="V1202" s="329">
        <f t="shared" si="612"/>
        <v>0</v>
      </c>
      <c r="W1202" s="338">
        <f t="shared" si="604"/>
        <v>12224694.890000001</v>
      </c>
      <c r="X1202" s="35"/>
    </row>
    <row r="1203" spans="1:24" x14ac:dyDescent="0.25">
      <c r="A1203" s="335">
        <f t="shared" si="593"/>
        <v>44914</v>
      </c>
      <c r="B1203" s="49">
        <f t="shared" ref="B1203:B1266" si="614">SUMIFS(Usage_Main,CF_Dates,$A1203,CF_Descriptions,"XS1951177309 Change")</f>
        <v>0</v>
      </c>
      <c r="C1203" s="338">
        <f t="shared" si="595"/>
        <v>118886089</v>
      </c>
      <c r="D1203" s="329">
        <f t="shared" ref="D1203:D1266" si="615">SUMIFS(Usage_Main,CF_Dates,$A1203,CF_Descriptions,"SOSPRUCE1 Change")</f>
        <v>0</v>
      </c>
      <c r="E1203" s="338">
        <f t="shared" si="596"/>
        <v>9769566</v>
      </c>
      <c r="F1203" s="329">
        <f t="shared" si="594"/>
        <v>0</v>
      </c>
      <c r="G1203" s="338">
        <f t="shared" si="597"/>
        <v>76400000</v>
      </c>
      <c r="H1203" s="329">
        <f t="shared" si="605"/>
        <v>0</v>
      </c>
      <c r="I1203" s="338">
        <f t="shared" si="598"/>
        <v>44350150</v>
      </c>
      <c r="J1203" s="329">
        <f t="shared" si="606"/>
        <v>0</v>
      </c>
      <c r="K1203" s="338">
        <f t="shared" si="599"/>
        <v>15100000</v>
      </c>
      <c r="L1203" s="329">
        <f t="shared" si="607"/>
        <v>0</v>
      </c>
      <c r="M1203" s="338">
        <f t="shared" si="600"/>
        <v>25332976</v>
      </c>
      <c r="N1203" s="329">
        <f t="shared" si="608"/>
        <v>0</v>
      </c>
      <c r="O1203" s="338">
        <f t="shared" si="601"/>
        <v>14300000</v>
      </c>
      <c r="P1203" s="329">
        <f t="shared" si="609"/>
        <v>0</v>
      </c>
      <c r="Q1203" s="338">
        <f t="shared" si="602"/>
        <v>0</v>
      </c>
      <c r="R1203" s="329">
        <f t="shared" si="610"/>
        <v>0</v>
      </c>
      <c r="S1203" s="338">
        <f t="shared" si="603"/>
        <v>10000000</v>
      </c>
      <c r="T1203" s="329">
        <f t="shared" si="611"/>
        <v>0</v>
      </c>
      <c r="U1203" s="338">
        <f t="shared" si="613"/>
        <v>2200000</v>
      </c>
      <c r="V1203" s="329">
        <f t="shared" si="612"/>
        <v>0</v>
      </c>
      <c r="W1203" s="338">
        <f t="shared" si="604"/>
        <v>12224694.890000001</v>
      </c>
      <c r="X1203" s="35"/>
    </row>
    <row r="1204" spans="1:24" x14ac:dyDescent="0.25">
      <c r="A1204" s="335">
        <f t="shared" si="593"/>
        <v>44915</v>
      </c>
      <c r="B1204" s="49">
        <f t="shared" si="614"/>
        <v>0</v>
      </c>
      <c r="C1204" s="338">
        <f t="shared" si="595"/>
        <v>118886089</v>
      </c>
      <c r="D1204" s="329">
        <f t="shared" si="615"/>
        <v>0</v>
      </c>
      <c r="E1204" s="338">
        <f t="shared" si="596"/>
        <v>9769566</v>
      </c>
      <c r="F1204" s="329">
        <f t="shared" si="594"/>
        <v>0</v>
      </c>
      <c r="G1204" s="338">
        <f t="shared" si="597"/>
        <v>76400000</v>
      </c>
      <c r="H1204" s="329">
        <f t="shared" si="605"/>
        <v>0</v>
      </c>
      <c r="I1204" s="338">
        <f t="shared" si="598"/>
        <v>44350150</v>
      </c>
      <c r="J1204" s="329">
        <f t="shared" si="606"/>
        <v>0</v>
      </c>
      <c r="K1204" s="338">
        <f t="shared" si="599"/>
        <v>15100000</v>
      </c>
      <c r="L1204" s="329">
        <f t="shared" si="607"/>
        <v>0</v>
      </c>
      <c r="M1204" s="338">
        <f t="shared" si="600"/>
        <v>25332976</v>
      </c>
      <c r="N1204" s="329">
        <f t="shared" si="608"/>
        <v>0</v>
      </c>
      <c r="O1204" s="338">
        <f t="shared" si="601"/>
        <v>14300000</v>
      </c>
      <c r="P1204" s="329">
        <f t="shared" si="609"/>
        <v>0</v>
      </c>
      <c r="Q1204" s="338">
        <f t="shared" si="602"/>
        <v>0</v>
      </c>
      <c r="R1204" s="329">
        <f t="shared" si="610"/>
        <v>0</v>
      </c>
      <c r="S1204" s="338">
        <f t="shared" si="603"/>
        <v>10000000</v>
      </c>
      <c r="T1204" s="329">
        <f t="shared" si="611"/>
        <v>0</v>
      </c>
      <c r="U1204" s="338">
        <f t="shared" si="613"/>
        <v>2200000</v>
      </c>
      <c r="V1204" s="329">
        <f t="shared" si="612"/>
        <v>0</v>
      </c>
      <c r="W1204" s="338">
        <f t="shared" si="604"/>
        <v>12224694.890000001</v>
      </c>
      <c r="X1204" s="35"/>
    </row>
    <row r="1205" spans="1:24" x14ac:dyDescent="0.25">
      <c r="A1205" s="335">
        <f t="shared" si="593"/>
        <v>44916</v>
      </c>
      <c r="B1205" s="49">
        <f t="shared" si="614"/>
        <v>0</v>
      </c>
      <c r="C1205" s="338">
        <f t="shared" si="595"/>
        <v>118886089</v>
      </c>
      <c r="D1205" s="329">
        <f t="shared" si="615"/>
        <v>0</v>
      </c>
      <c r="E1205" s="338">
        <f t="shared" si="596"/>
        <v>9769566</v>
      </c>
      <c r="F1205" s="329">
        <f t="shared" si="594"/>
        <v>0</v>
      </c>
      <c r="G1205" s="338">
        <f t="shared" si="597"/>
        <v>76400000</v>
      </c>
      <c r="H1205" s="329">
        <f t="shared" si="605"/>
        <v>0</v>
      </c>
      <c r="I1205" s="338">
        <f t="shared" si="598"/>
        <v>44350150</v>
      </c>
      <c r="J1205" s="329">
        <f t="shared" si="606"/>
        <v>0</v>
      </c>
      <c r="K1205" s="338">
        <f t="shared" si="599"/>
        <v>15100000</v>
      </c>
      <c r="L1205" s="329">
        <f t="shared" si="607"/>
        <v>0</v>
      </c>
      <c r="M1205" s="338">
        <f t="shared" si="600"/>
        <v>25332976</v>
      </c>
      <c r="N1205" s="329">
        <f t="shared" si="608"/>
        <v>0</v>
      </c>
      <c r="O1205" s="338">
        <f t="shared" si="601"/>
        <v>14300000</v>
      </c>
      <c r="P1205" s="329">
        <f t="shared" si="609"/>
        <v>0</v>
      </c>
      <c r="Q1205" s="338">
        <f t="shared" si="602"/>
        <v>0</v>
      </c>
      <c r="R1205" s="329">
        <f t="shared" si="610"/>
        <v>0</v>
      </c>
      <c r="S1205" s="338">
        <f t="shared" si="603"/>
        <v>10000000</v>
      </c>
      <c r="T1205" s="329">
        <f t="shared" si="611"/>
        <v>0</v>
      </c>
      <c r="U1205" s="338">
        <f t="shared" si="613"/>
        <v>2200000</v>
      </c>
      <c r="V1205" s="329">
        <f t="shared" si="612"/>
        <v>0</v>
      </c>
      <c r="W1205" s="338">
        <f t="shared" si="604"/>
        <v>12224694.890000001</v>
      </c>
      <c r="X1205" s="35"/>
    </row>
    <row r="1206" spans="1:24" x14ac:dyDescent="0.25">
      <c r="A1206" s="335">
        <f t="shared" si="593"/>
        <v>44917</v>
      </c>
      <c r="B1206" s="49">
        <f t="shared" si="614"/>
        <v>0</v>
      </c>
      <c r="C1206" s="338">
        <f t="shared" si="595"/>
        <v>118886089</v>
      </c>
      <c r="D1206" s="329">
        <f t="shared" si="615"/>
        <v>0</v>
      </c>
      <c r="E1206" s="338">
        <f t="shared" si="596"/>
        <v>9769566</v>
      </c>
      <c r="F1206" s="329">
        <f t="shared" si="594"/>
        <v>0</v>
      </c>
      <c r="G1206" s="338">
        <f t="shared" si="597"/>
        <v>76400000</v>
      </c>
      <c r="H1206" s="329">
        <f t="shared" si="605"/>
        <v>0</v>
      </c>
      <c r="I1206" s="338">
        <f t="shared" si="598"/>
        <v>44350150</v>
      </c>
      <c r="J1206" s="329">
        <f t="shared" si="606"/>
        <v>0</v>
      </c>
      <c r="K1206" s="338">
        <f t="shared" si="599"/>
        <v>15100000</v>
      </c>
      <c r="L1206" s="329">
        <f t="shared" si="607"/>
        <v>0</v>
      </c>
      <c r="M1206" s="338">
        <f t="shared" si="600"/>
        <v>25332976</v>
      </c>
      <c r="N1206" s="329">
        <f t="shared" si="608"/>
        <v>0</v>
      </c>
      <c r="O1206" s="338">
        <f t="shared" si="601"/>
        <v>14300000</v>
      </c>
      <c r="P1206" s="329">
        <f t="shared" si="609"/>
        <v>0</v>
      </c>
      <c r="Q1206" s="338">
        <f t="shared" si="602"/>
        <v>0</v>
      </c>
      <c r="R1206" s="329">
        <f t="shared" si="610"/>
        <v>0</v>
      </c>
      <c r="S1206" s="338">
        <f t="shared" si="603"/>
        <v>10000000</v>
      </c>
      <c r="T1206" s="329">
        <f t="shared" si="611"/>
        <v>0</v>
      </c>
      <c r="U1206" s="338">
        <f t="shared" si="613"/>
        <v>2200000</v>
      </c>
      <c r="V1206" s="329">
        <f t="shared" si="612"/>
        <v>0</v>
      </c>
      <c r="W1206" s="338">
        <f t="shared" si="604"/>
        <v>12224694.890000001</v>
      </c>
      <c r="X1206" s="35"/>
    </row>
    <row r="1207" spans="1:24" x14ac:dyDescent="0.25">
      <c r="A1207" s="335">
        <f t="shared" si="593"/>
        <v>44918</v>
      </c>
      <c r="B1207" s="49">
        <f t="shared" si="614"/>
        <v>0</v>
      </c>
      <c r="C1207" s="338">
        <f t="shared" si="595"/>
        <v>118886089</v>
      </c>
      <c r="D1207" s="329">
        <f t="shared" si="615"/>
        <v>0</v>
      </c>
      <c r="E1207" s="338">
        <f t="shared" si="596"/>
        <v>9769566</v>
      </c>
      <c r="F1207" s="329">
        <f t="shared" si="594"/>
        <v>0</v>
      </c>
      <c r="G1207" s="338">
        <f t="shared" si="597"/>
        <v>76400000</v>
      </c>
      <c r="H1207" s="329">
        <f t="shared" si="605"/>
        <v>0</v>
      </c>
      <c r="I1207" s="338">
        <f t="shared" si="598"/>
        <v>44350150</v>
      </c>
      <c r="J1207" s="329">
        <f t="shared" si="606"/>
        <v>0</v>
      </c>
      <c r="K1207" s="338">
        <f t="shared" si="599"/>
        <v>15100000</v>
      </c>
      <c r="L1207" s="329">
        <f t="shared" si="607"/>
        <v>0</v>
      </c>
      <c r="M1207" s="338">
        <f t="shared" si="600"/>
        <v>25332976</v>
      </c>
      <c r="N1207" s="329">
        <f t="shared" si="608"/>
        <v>0</v>
      </c>
      <c r="O1207" s="338">
        <f t="shared" si="601"/>
        <v>14300000</v>
      </c>
      <c r="P1207" s="329">
        <f t="shared" si="609"/>
        <v>0</v>
      </c>
      <c r="Q1207" s="338">
        <f t="shared" si="602"/>
        <v>0</v>
      </c>
      <c r="R1207" s="329">
        <f t="shared" si="610"/>
        <v>0</v>
      </c>
      <c r="S1207" s="338">
        <f t="shared" si="603"/>
        <v>10000000</v>
      </c>
      <c r="T1207" s="329">
        <f t="shared" si="611"/>
        <v>0</v>
      </c>
      <c r="U1207" s="338">
        <f t="shared" si="613"/>
        <v>2200000</v>
      </c>
      <c r="V1207" s="329">
        <f t="shared" si="612"/>
        <v>0</v>
      </c>
      <c r="W1207" s="338">
        <f t="shared" si="604"/>
        <v>12224694.890000001</v>
      </c>
      <c r="X1207" s="35"/>
    </row>
    <row r="1208" spans="1:24" x14ac:dyDescent="0.25">
      <c r="A1208" s="335">
        <f t="shared" si="593"/>
        <v>44919</v>
      </c>
      <c r="B1208" s="49">
        <f t="shared" si="614"/>
        <v>0</v>
      </c>
      <c r="C1208" s="338">
        <f t="shared" si="595"/>
        <v>118886089</v>
      </c>
      <c r="D1208" s="329">
        <f t="shared" si="615"/>
        <v>0</v>
      </c>
      <c r="E1208" s="338">
        <f t="shared" si="596"/>
        <v>9769566</v>
      </c>
      <c r="F1208" s="329">
        <f t="shared" si="594"/>
        <v>0</v>
      </c>
      <c r="G1208" s="338">
        <f t="shared" si="597"/>
        <v>76400000</v>
      </c>
      <c r="H1208" s="329">
        <f t="shared" si="605"/>
        <v>0</v>
      </c>
      <c r="I1208" s="338">
        <f t="shared" si="598"/>
        <v>44350150</v>
      </c>
      <c r="J1208" s="329">
        <f t="shared" si="606"/>
        <v>0</v>
      </c>
      <c r="K1208" s="338">
        <f t="shared" si="599"/>
        <v>15100000</v>
      </c>
      <c r="L1208" s="329">
        <f t="shared" si="607"/>
        <v>0</v>
      </c>
      <c r="M1208" s="338">
        <f t="shared" si="600"/>
        <v>25332976</v>
      </c>
      <c r="N1208" s="329">
        <f t="shared" si="608"/>
        <v>0</v>
      </c>
      <c r="O1208" s="338">
        <f t="shared" si="601"/>
        <v>14300000</v>
      </c>
      <c r="P1208" s="329">
        <f t="shared" si="609"/>
        <v>0</v>
      </c>
      <c r="Q1208" s="338">
        <f t="shared" si="602"/>
        <v>0</v>
      </c>
      <c r="R1208" s="329">
        <f t="shared" si="610"/>
        <v>0</v>
      </c>
      <c r="S1208" s="338">
        <f t="shared" si="603"/>
        <v>10000000</v>
      </c>
      <c r="T1208" s="329">
        <f t="shared" si="611"/>
        <v>0</v>
      </c>
      <c r="U1208" s="338">
        <f t="shared" si="613"/>
        <v>2200000</v>
      </c>
      <c r="V1208" s="329">
        <f t="shared" si="612"/>
        <v>0</v>
      </c>
      <c r="W1208" s="338">
        <f t="shared" si="604"/>
        <v>12224694.890000001</v>
      </c>
      <c r="X1208" s="35"/>
    </row>
    <row r="1209" spans="1:24" x14ac:dyDescent="0.25">
      <c r="A1209" s="335">
        <f t="shared" si="593"/>
        <v>44920</v>
      </c>
      <c r="B1209" s="49">
        <f t="shared" si="614"/>
        <v>0</v>
      </c>
      <c r="C1209" s="338">
        <f t="shared" si="595"/>
        <v>118886089</v>
      </c>
      <c r="D1209" s="329">
        <f t="shared" si="615"/>
        <v>0</v>
      </c>
      <c r="E1209" s="338">
        <f t="shared" si="596"/>
        <v>9769566</v>
      </c>
      <c r="F1209" s="329">
        <f t="shared" si="594"/>
        <v>0</v>
      </c>
      <c r="G1209" s="338">
        <f t="shared" si="597"/>
        <v>76400000</v>
      </c>
      <c r="H1209" s="329">
        <f t="shared" si="605"/>
        <v>0</v>
      </c>
      <c r="I1209" s="338">
        <f t="shared" si="598"/>
        <v>44350150</v>
      </c>
      <c r="J1209" s="329">
        <f t="shared" si="606"/>
        <v>0</v>
      </c>
      <c r="K1209" s="338">
        <f t="shared" si="599"/>
        <v>15100000</v>
      </c>
      <c r="L1209" s="329">
        <f t="shared" si="607"/>
        <v>0</v>
      </c>
      <c r="M1209" s="338">
        <f t="shared" si="600"/>
        <v>25332976</v>
      </c>
      <c r="N1209" s="329">
        <f t="shared" si="608"/>
        <v>0</v>
      </c>
      <c r="O1209" s="338">
        <f t="shared" si="601"/>
        <v>14300000</v>
      </c>
      <c r="P1209" s="329">
        <f t="shared" si="609"/>
        <v>0</v>
      </c>
      <c r="Q1209" s="338">
        <f t="shared" si="602"/>
        <v>0</v>
      </c>
      <c r="R1209" s="329">
        <f t="shared" si="610"/>
        <v>0</v>
      </c>
      <c r="S1209" s="338">
        <f t="shared" si="603"/>
        <v>10000000</v>
      </c>
      <c r="T1209" s="329">
        <f t="shared" si="611"/>
        <v>0</v>
      </c>
      <c r="U1209" s="338">
        <f t="shared" si="613"/>
        <v>2200000</v>
      </c>
      <c r="V1209" s="329">
        <f t="shared" si="612"/>
        <v>0</v>
      </c>
      <c r="W1209" s="338">
        <f t="shared" si="604"/>
        <v>12224694.890000001</v>
      </c>
      <c r="X1209" s="35"/>
    </row>
    <row r="1210" spans="1:24" x14ac:dyDescent="0.25">
      <c r="A1210" s="335">
        <f t="shared" si="593"/>
        <v>44921</v>
      </c>
      <c r="B1210" s="49">
        <f t="shared" si="614"/>
        <v>0</v>
      </c>
      <c r="C1210" s="338">
        <f t="shared" si="595"/>
        <v>118886089</v>
      </c>
      <c r="D1210" s="329">
        <f t="shared" si="615"/>
        <v>0</v>
      </c>
      <c r="E1210" s="338">
        <f t="shared" si="596"/>
        <v>9769566</v>
      </c>
      <c r="F1210" s="329">
        <f t="shared" si="594"/>
        <v>0</v>
      </c>
      <c r="G1210" s="338">
        <f t="shared" si="597"/>
        <v>76400000</v>
      </c>
      <c r="H1210" s="329">
        <f t="shared" si="605"/>
        <v>0</v>
      </c>
      <c r="I1210" s="338">
        <f t="shared" si="598"/>
        <v>44350150</v>
      </c>
      <c r="J1210" s="329">
        <f t="shared" si="606"/>
        <v>0</v>
      </c>
      <c r="K1210" s="338">
        <f t="shared" si="599"/>
        <v>15100000</v>
      </c>
      <c r="L1210" s="329">
        <f t="shared" si="607"/>
        <v>0</v>
      </c>
      <c r="M1210" s="338">
        <f t="shared" si="600"/>
        <v>25332976</v>
      </c>
      <c r="N1210" s="329">
        <f t="shared" si="608"/>
        <v>0</v>
      </c>
      <c r="O1210" s="338">
        <f t="shared" si="601"/>
        <v>14300000</v>
      </c>
      <c r="P1210" s="329">
        <f t="shared" si="609"/>
        <v>0</v>
      </c>
      <c r="Q1210" s="338">
        <f t="shared" si="602"/>
        <v>0</v>
      </c>
      <c r="R1210" s="329">
        <f t="shared" si="610"/>
        <v>0</v>
      </c>
      <c r="S1210" s="338">
        <f t="shared" si="603"/>
        <v>10000000</v>
      </c>
      <c r="T1210" s="329">
        <f t="shared" si="611"/>
        <v>0</v>
      </c>
      <c r="U1210" s="338">
        <f t="shared" si="613"/>
        <v>2200000</v>
      </c>
      <c r="V1210" s="329">
        <f t="shared" si="612"/>
        <v>0</v>
      </c>
      <c r="W1210" s="338">
        <f t="shared" si="604"/>
        <v>12224694.890000001</v>
      </c>
      <c r="X1210" s="35"/>
    </row>
    <row r="1211" spans="1:24" x14ac:dyDescent="0.25">
      <c r="A1211" s="335">
        <f t="shared" si="593"/>
        <v>44922</v>
      </c>
      <c r="B1211" s="49">
        <f t="shared" si="614"/>
        <v>0</v>
      </c>
      <c r="C1211" s="338">
        <f t="shared" si="595"/>
        <v>118886089</v>
      </c>
      <c r="D1211" s="329">
        <f t="shared" si="615"/>
        <v>0</v>
      </c>
      <c r="E1211" s="338">
        <f t="shared" si="596"/>
        <v>9769566</v>
      </c>
      <c r="F1211" s="329">
        <f t="shared" si="594"/>
        <v>0</v>
      </c>
      <c r="G1211" s="338">
        <f t="shared" si="597"/>
        <v>76400000</v>
      </c>
      <c r="H1211" s="329">
        <f t="shared" si="605"/>
        <v>0</v>
      </c>
      <c r="I1211" s="338">
        <f t="shared" si="598"/>
        <v>44350150</v>
      </c>
      <c r="J1211" s="329">
        <f t="shared" si="606"/>
        <v>0</v>
      </c>
      <c r="K1211" s="338">
        <f t="shared" si="599"/>
        <v>15100000</v>
      </c>
      <c r="L1211" s="329">
        <f t="shared" si="607"/>
        <v>0</v>
      </c>
      <c r="M1211" s="338">
        <f t="shared" si="600"/>
        <v>25332976</v>
      </c>
      <c r="N1211" s="329">
        <f t="shared" si="608"/>
        <v>0</v>
      </c>
      <c r="O1211" s="338">
        <f t="shared" si="601"/>
        <v>14300000</v>
      </c>
      <c r="P1211" s="329">
        <f t="shared" si="609"/>
        <v>0</v>
      </c>
      <c r="Q1211" s="338">
        <f t="shared" si="602"/>
        <v>0</v>
      </c>
      <c r="R1211" s="329">
        <f t="shared" si="610"/>
        <v>0</v>
      </c>
      <c r="S1211" s="338">
        <f t="shared" si="603"/>
        <v>10000000</v>
      </c>
      <c r="T1211" s="329">
        <f t="shared" si="611"/>
        <v>0</v>
      </c>
      <c r="U1211" s="338">
        <f t="shared" si="613"/>
        <v>2200000</v>
      </c>
      <c r="V1211" s="329">
        <f t="shared" si="612"/>
        <v>0</v>
      </c>
      <c r="W1211" s="338">
        <f t="shared" si="604"/>
        <v>12224694.890000001</v>
      </c>
      <c r="X1211" s="35"/>
    </row>
    <row r="1212" spans="1:24" x14ac:dyDescent="0.25">
      <c r="A1212" s="335">
        <f t="shared" si="593"/>
        <v>44923</v>
      </c>
      <c r="B1212" s="49">
        <f t="shared" si="614"/>
        <v>0</v>
      </c>
      <c r="C1212" s="338">
        <f t="shared" si="595"/>
        <v>118886089</v>
      </c>
      <c r="D1212" s="329">
        <f t="shared" si="615"/>
        <v>0</v>
      </c>
      <c r="E1212" s="338">
        <f t="shared" si="596"/>
        <v>9769566</v>
      </c>
      <c r="F1212" s="329">
        <f t="shared" si="594"/>
        <v>0</v>
      </c>
      <c r="G1212" s="338">
        <f t="shared" si="597"/>
        <v>76400000</v>
      </c>
      <c r="H1212" s="329">
        <f t="shared" si="605"/>
        <v>0</v>
      </c>
      <c r="I1212" s="338">
        <f t="shared" si="598"/>
        <v>44350150</v>
      </c>
      <c r="J1212" s="329">
        <f t="shared" si="606"/>
        <v>0</v>
      </c>
      <c r="K1212" s="338">
        <f t="shared" si="599"/>
        <v>15100000</v>
      </c>
      <c r="L1212" s="329">
        <f t="shared" si="607"/>
        <v>0</v>
      </c>
      <c r="M1212" s="338">
        <f t="shared" si="600"/>
        <v>25332976</v>
      </c>
      <c r="N1212" s="329">
        <f t="shared" si="608"/>
        <v>0</v>
      </c>
      <c r="O1212" s="338">
        <f t="shared" si="601"/>
        <v>14300000</v>
      </c>
      <c r="P1212" s="329">
        <f t="shared" si="609"/>
        <v>0</v>
      </c>
      <c r="Q1212" s="338">
        <f t="shared" si="602"/>
        <v>0</v>
      </c>
      <c r="R1212" s="329">
        <f t="shared" si="610"/>
        <v>0</v>
      </c>
      <c r="S1212" s="338">
        <f t="shared" si="603"/>
        <v>10000000</v>
      </c>
      <c r="T1212" s="329">
        <f t="shared" si="611"/>
        <v>0</v>
      </c>
      <c r="U1212" s="338">
        <f t="shared" si="613"/>
        <v>2200000</v>
      </c>
      <c r="V1212" s="329">
        <f t="shared" si="612"/>
        <v>0</v>
      </c>
      <c r="W1212" s="338">
        <f t="shared" si="604"/>
        <v>12224694.890000001</v>
      </c>
      <c r="X1212" s="35"/>
    </row>
    <row r="1213" spans="1:24" x14ac:dyDescent="0.25">
      <c r="A1213" s="335">
        <f t="shared" si="593"/>
        <v>44924</v>
      </c>
      <c r="B1213" s="49">
        <f t="shared" si="614"/>
        <v>0</v>
      </c>
      <c r="C1213" s="338">
        <f t="shared" si="595"/>
        <v>118886089</v>
      </c>
      <c r="D1213" s="329">
        <f t="shared" si="615"/>
        <v>0</v>
      </c>
      <c r="E1213" s="338">
        <f t="shared" si="596"/>
        <v>9769566</v>
      </c>
      <c r="F1213" s="329">
        <f t="shared" si="594"/>
        <v>0</v>
      </c>
      <c r="G1213" s="338">
        <f t="shared" si="597"/>
        <v>76400000</v>
      </c>
      <c r="H1213" s="329">
        <f t="shared" si="605"/>
        <v>0</v>
      </c>
      <c r="I1213" s="338">
        <f t="shared" si="598"/>
        <v>44350150</v>
      </c>
      <c r="J1213" s="329">
        <f t="shared" si="606"/>
        <v>0</v>
      </c>
      <c r="K1213" s="338">
        <f t="shared" si="599"/>
        <v>15100000</v>
      </c>
      <c r="L1213" s="329">
        <f t="shared" si="607"/>
        <v>0</v>
      </c>
      <c r="M1213" s="338">
        <f t="shared" si="600"/>
        <v>25332976</v>
      </c>
      <c r="N1213" s="329">
        <f t="shared" si="608"/>
        <v>0</v>
      </c>
      <c r="O1213" s="338">
        <f t="shared" si="601"/>
        <v>14300000</v>
      </c>
      <c r="P1213" s="329">
        <f t="shared" si="609"/>
        <v>0</v>
      </c>
      <c r="Q1213" s="338">
        <f t="shared" si="602"/>
        <v>0</v>
      </c>
      <c r="R1213" s="329">
        <f t="shared" si="610"/>
        <v>0</v>
      </c>
      <c r="S1213" s="338">
        <f t="shared" si="603"/>
        <v>10000000</v>
      </c>
      <c r="T1213" s="329">
        <f t="shared" si="611"/>
        <v>0</v>
      </c>
      <c r="U1213" s="338">
        <f t="shared" si="613"/>
        <v>2200000</v>
      </c>
      <c r="V1213" s="329">
        <f t="shared" si="612"/>
        <v>0</v>
      </c>
      <c r="W1213" s="338">
        <f t="shared" si="604"/>
        <v>12224694.890000001</v>
      </c>
      <c r="X1213" s="35"/>
    </row>
    <row r="1214" spans="1:24" x14ac:dyDescent="0.25">
      <c r="A1214" s="335">
        <f t="shared" si="593"/>
        <v>44925</v>
      </c>
      <c r="B1214" s="49">
        <f t="shared" si="614"/>
        <v>0</v>
      </c>
      <c r="C1214" s="338">
        <f t="shared" si="595"/>
        <v>118886089</v>
      </c>
      <c r="D1214" s="329">
        <f t="shared" si="615"/>
        <v>0</v>
      </c>
      <c r="E1214" s="338">
        <f t="shared" si="596"/>
        <v>9769566</v>
      </c>
      <c r="F1214" s="329">
        <f t="shared" si="594"/>
        <v>0</v>
      </c>
      <c r="G1214" s="338">
        <f t="shared" si="597"/>
        <v>76400000</v>
      </c>
      <c r="H1214" s="329">
        <f t="shared" si="605"/>
        <v>0</v>
      </c>
      <c r="I1214" s="338">
        <f t="shared" si="598"/>
        <v>44350150</v>
      </c>
      <c r="J1214" s="329">
        <f t="shared" si="606"/>
        <v>0</v>
      </c>
      <c r="K1214" s="338">
        <f t="shared" si="599"/>
        <v>15100000</v>
      </c>
      <c r="L1214" s="329">
        <f t="shared" si="607"/>
        <v>0</v>
      </c>
      <c r="M1214" s="338">
        <f t="shared" si="600"/>
        <v>25332976</v>
      </c>
      <c r="N1214" s="329">
        <f t="shared" si="608"/>
        <v>0</v>
      </c>
      <c r="O1214" s="338">
        <f t="shared" si="601"/>
        <v>14300000</v>
      </c>
      <c r="P1214" s="329">
        <f t="shared" si="609"/>
        <v>0</v>
      </c>
      <c r="Q1214" s="338">
        <f t="shared" si="602"/>
        <v>0</v>
      </c>
      <c r="R1214" s="329">
        <f t="shared" si="610"/>
        <v>0</v>
      </c>
      <c r="S1214" s="338">
        <f t="shared" si="603"/>
        <v>10000000</v>
      </c>
      <c r="T1214" s="329">
        <f t="shared" si="611"/>
        <v>0</v>
      </c>
      <c r="U1214" s="338">
        <f t="shared" si="613"/>
        <v>2200000</v>
      </c>
      <c r="V1214" s="329">
        <f t="shared" si="612"/>
        <v>0</v>
      </c>
      <c r="W1214" s="338">
        <f t="shared" si="604"/>
        <v>12224694.890000001</v>
      </c>
      <c r="X1214" s="35"/>
    </row>
    <row r="1215" spans="1:24" x14ac:dyDescent="0.25">
      <c r="A1215" s="335">
        <f t="shared" si="593"/>
        <v>44926</v>
      </c>
      <c r="B1215" s="49">
        <f t="shared" si="614"/>
        <v>0</v>
      </c>
      <c r="C1215" s="338">
        <f t="shared" si="595"/>
        <v>118886089</v>
      </c>
      <c r="D1215" s="329">
        <f t="shared" si="615"/>
        <v>0</v>
      </c>
      <c r="E1215" s="338">
        <f t="shared" si="596"/>
        <v>9769566</v>
      </c>
      <c r="F1215" s="329">
        <f t="shared" si="594"/>
        <v>0</v>
      </c>
      <c r="G1215" s="338">
        <f t="shared" si="597"/>
        <v>76400000</v>
      </c>
      <c r="H1215" s="329">
        <f t="shared" si="605"/>
        <v>0</v>
      </c>
      <c r="I1215" s="338">
        <f t="shared" si="598"/>
        <v>44350150</v>
      </c>
      <c r="J1215" s="329">
        <f t="shared" si="606"/>
        <v>0</v>
      </c>
      <c r="K1215" s="338">
        <f t="shared" si="599"/>
        <v>15100000</v>
      </c>
      <c r="L1215" s="329">
        <f t="shared" si="607"/>
        <v>0</v>
      </c>
      <c r="M1215" s="338">
        <f t="shared" si="600"/>
        <v>25332976</v>
      </c>
      <c r="N1215" s="329">
        <f t="shared" si="608"/>
        <v>0</v>
      </c>
      <c r="O1215" s="338">
        <f t="shared" si="601"/>
        <v>14300000</v>
      </c>
      <c r="P1215" s="329">
        <f t="shared" si="609"/>
        <v>0</v>
      </c>
      <c r="Q1215" s="338">
        <f t="shared" si="602"/>
        <v>0</v>
      </c>
      <c r="R1215" s="329">
        <f t="shared" si="610"/>
        <v>0</v>
      </c>
      <c r="S1215" s="338">
        <f t="shared" si="603"/>
        <v>10000000</v>
      </c>
      <c r="T1215" s="329">
        <f t="shared" si="611"/>
        <v>0</v>
      </c>
      <c r="U1215" s="338">
        <f t="shared" si="613"/>
        <v>2200000</v>
      </c>
      <c r="V1215" s="329">
        <f t="shared" si="612"/>
        <v>0</v>
      </c>
      <c r="W1215" s="338">
        <f t="shared" si="604"/>
        <v>12224694.890000001</v>
      </c>
      <c r="X1215" s="35"/>
    </row>
    <row r="1216" spans="1:24" x14ac:dyDescent="0.25">
      <c r="A1216" s="335">
        <f t="shared" ref="A1216:A1279" si="616">A1215+1</f>
        <v>44927</v>
      </c>
      <c r="B1216" s="49">
        <f t="shared" si="614"/>
        <v>0</v>
      </c>
      <c r="C1216" s="338">
        <f t="shared" si="595"/>
        <v>118886089</v>
      </c>
      <c r="D1216" s="329">
        <f t="shared" si="615"/>
        <v>0</v>
      </c>
      <c r="E1216" s="338">
        <f t="shared" si="596"/>
        <v>9769566</v>
      </c>
      <c r="F1216" s="329">
        <f t="shared" si="594"/>
        <v>0</v>
      </c>
      <c r="G1216" s="338">
        <f t="shared" si="597"/>
        <v>76400000</v>
      </c>
      <c r="H1216" s="329">
        <f t="shared" si="605"/>
        <v>0</v>
      </c>
      <c r="I1216" s="338">
        <f t="shared" si="598"/>
        <v>44350150</v>
      </c>
      <c r="J1216" s="329">
        <f t="shared" si="606"/>
        <v>0</v>
      </c>
      <c r="K1216" s="338">
        <f t="shared" si="599"/>
        <v>15100000</v>
      </c>
      <c r="L1216" s="329">
        <f t="shared" si="607"/>
        <v>0</v>
      </c>
      <c r="M1216" s="338">
        <f t="shared" si="600"/>
        <v>25332976</v>
      </c>
      <c r="N1216" s="329">
        <f t="shared" si="608"/>
        <v>0</v>
      </c>
      <c r="O1216" s="338">
        <f t="shared" si="601"/>
        <v>14300000</v>
      </c>
      <c r="P1216" s="329">
        <f t="shared" si="609"/>
        <v>0</v>
      </c>
      <c r="Q1216" s="338">
        <f t="shared" si="602"/>
        <v>0</v>
      </c>
      <c r="R1216" s="329">
        <f t="shared" si="610"/>
        <v>0</v>
      </c>
      <c r="S1216" s="338">
        <f t="shared" si="603"/>
        <v>10000000</v>
      </c>
      <c r="T1216" s="329">
        <f t="shared" si="611"/>
        <v>0</v>
      </c>
      <c r="U1216" s="338">
        <f t="shared" si="613"/>
        <v>2200000</v>
      </c>
      <c r="V1216" s="329">
        <f t="shared" si="612"/>
        <v>0</v>
      </c>
      <c r="W1216" s="338">
        <f t="shared" si="604"/>
        <v>12224694.890000001</v>
      </c>
      <c r="X1216" s="35"/>
    </row>
    <row r="1217" spans="1:24" x14ac:dyDescent="0.25">
      <c r="A1217" s="335">
        <f t="shared" si="616"/>
        <v>44928</v>
      </c>
      <c r="B1217" s="49">
        <f t="shared" si="614"/>
        <v>0</v>
      </c>
      <c r="C1217" s="338">
        <f t="shared" si="595"/>
        <v>118886089</v>
      </c>
      <c r="D1217" s="329">
        <f t="shared" si="615"/>
        <v>0</v>
      </c>
      <c r="E1217" s="338">
        <f t="shared" si="596"/>
        <v>9769566</v>
      </c>
      <c r="F1217" s="329">
        <f t="shared" si="594"/>
        <v>0</v>
      </c>
      <c r="G1217" s="338">
        <f t="shared" si="597"/>
        <v>76400000</v>
      </c>
      <c r="H1217" s="329">
        <f t="shared" si="605"/>
        <v>0</v>
      </c>
      <c r="I1217" s="338">
        <f t="shared" si="598"/>
        <v>44350150</v>
      </c>
      <c r="J1217" s="329">
        <f t="shared" si="606"/>
        <v>0</v>
      </c>
      <c r="K1217" s="338">
        <f t="shared" si="599"/>
        <v>15100000</v>
      </c>
      <c r="L1217" s="329">
        <f t="shared" si="607"/>
        <v>0</v>
      </c>
      <c r="M1217" s="338">
        <f t="shared" si="600"/>
        <v>25332976</v>
      </c>
      <c r="N1217" s="329">
        <f t="shared" si="608"/>
        <v>0</v>
      </c>
      <c r="O1217" s="338">
        <f t="shared" si="601"/>
        <v>14300000</v>
      </c>
      <c r="P1217" s="329">
        <f t="shared" si="609"/>
        <v>0</v>
      </c>
      <c r="Q1217" s="338">
        <f t="shared" si="602"/>
        <v>0</v>
      </c>
      <c r="R1217" s="329">
        <f t="shared" si="610"/>
        <v>0</v>
      </c>
      <c r="S1217" s="338">
        <f t="shared" si="603"/>
        <v>10000000</v>
      </c>
      <c r="T1217" s="329">
        <f t="shared" si="611"/>
        <v>0</v>
      </c>
      <c r="U1217" s="338">
        <f t="shared" si="613"/>
        <v>2200000</v>
      </c>
      <c r="V1217" s="329">
        <f t="shared" si="612"/>
        <v>0</v>
      </c>
      <c r="W1217" s="338">
        <f t="shared" si="604"/>
        <v>12224694.890000001</v>
      </c>
      <c r="X1217" s="35"/>
    </row>
    <row r="1218" spans="1:24" x14ac:dyDescent="0.25">
      <c r="A1218" s="335">
        <f t="shared" si="616"/>
        <v>44929</v>
      </c>
      <c r="B1218" s="49">
        <f t="shared" si="614"/>
        <v>0</v>
      </c>
      <c r="C1218" s="338">
        <f t="shared" si="595"/>
        <v>118886089</v>
      </c>
      <c r="D1218" s="329">
        <f t="shared" si="615"/>
        <v>0</v>
      </c>
      <c r="E1218" s="338">
        <f t="shared" si="596"/>
        <v>9769566</v>
      </c>
      <c r="F1218" s="329">
        <f t="shared" si="594"/>
        <v>0</v>
      </c>
      <c r="G1218" s="338">
        <f t="shared" si="597"/>
        <v>76400000</v>
      </c>
      <c r="H1218" s="329">
        <f t="shared" si="605"/>
        <v>0</v>
      </c>
      <c r="I1218" s="338">
        <f t="shared" si="598"/>
        <v>44350150</v>
      </c>
      <c r="J1218" s="329">
        <f t="shared" si="606"/>
        <v>0</v>
      </c>
      <c r="K1218" s="338">
        <f t="shared" si="599"/>
        <v>15100000</v>
      </c>
      <c r="L1218" s="329">
        <f t="shared" si="607"/>
        <v>0</v>
      </c>
      <c r="M1218" s="338">
        <f t="shared" si="600"/>
        <v>25332976</v>
      </c>
      <c r="N1218" s="329">
        <f t="shared" si="608"/>
        <v>0</v>
      </c>
      <c r="O1218" s="338">
        <f t="shared" si="601"/>
        <v>14300000</v>
      </c>
      <c r="P1218" s="329">
        <f t="shared" si="609"/>
        <v>0</v>
      </c>
      <c r="Q1218" s="338">
        <f t="shared" si="602"/>
        <v>0</v>
      </c>
      <c r="R1218" s="329">
        <f t="shared" si="610"/>
        <v>0</v>
      </c>
      <c r="S1218" s="338">
        <f t="shared" si="603"/>
        <v>10000000</v>
      </c>
      <c r="T1218" s="329">
        <f t="shared" si="611"/>
        <v>0</v>
      </c>
      <c r="U1218" s="338">
        <f t="shared" si="613"/>
        <v>2200000</v>
      </c>
      <c r="V1218" s="329">
        <f t="shared" si="612"/>
        <v>0</v>
      </c>
      <c r="W1218" s="338">
        <f t="shared" si="604"/>
        <v>12224694.890000001</v>
      </c>
      <c r="X1218" s="35"/>
    </row>
    <row r="1219" spans="1:24" x14ac:dyDescent="0.25">
      <c r="A1219" s="335">
        <f t="shared" si="616"/>
        <v>44930</v>
      </c>
      <c r="B1219" s="49">
        <f t="shared" si="614"/>
        <v>0</v>
      </c>
      <c r="C1219" s="338">
        <f t="shared" si="595"/>
        <v>118886089</v>
      </c>
      <c r="D1219" s="329">
        <f t="shared" si="615"/>
        <v>0</v>
      </c>
      <c r="E1219" s="338">
        <f t="shared" si="596"/>
        <v>9769566</v>
      </c>
      <c r="F1219" s="329">
        <f t="shared" ref="F1219:F1282" si="617">SUMIFS(Usage_Main,CF_Dates,$A1219,CF_Descriptions,"EASTCYPRESS1 Change")</f>
        <v>0</v>
      </c>
      <c r="G1219" s="338">
        <f t="shared" si="597"/>
        <v>76400000</v>
      </c>
      <c r="H1219" s="329">
        <f t="shared" si="605"/>
        <v>0</v>
      </c>
      <c r="I1219" s="338">
        <f t="shared" si="598"/>
        <v>44350150</v>
      </c>
      <c r="J1219" s="329">
        <f t="shared" si="606"/>
        <v>0</v>
      </c>
      <c r="K1219" s="338">
        <f t="shared" si="599"/>
        <v>15100000</v>
      </c>
      <c r="L1219" s="329">
        <f t="shared" si="607"/>
        <v>0</v>
      </c>
      <c r="M1219" s="338">
        <f t="shared" si="600"/>
        <v>25332976</v>
      </c>
      <c r="N1219" s="329">
        <f t="shared" si="608"/>
        <v>0</v>
      </c>
      <c r="O1219" s="338">
        <f t="shared" si="601"/>
        <v>14300000</v>
      </c>
      <c r="P1219" s="329">
        <f t="shared" si="609"/>
        <v>0</v>
      </c>
      <c r="Q1219" s="338">
        <f t="shared" si="602"/>
        <v>0</v>
      </c>
      <c r="R1219" s="329">
        <f t="shared" si="610"/>
        <v>0</v>
      </c>
      <c r="S1219" s="338">
        <f t="shared" si="603"/>
        <v>10000000</v>
      </c>
      <c r="T1219" s="329">
        <f t="shared" si="611"/>
        <v>0</v>
      </c>
      <c r="U1219" s="338">
        <f t="shared" si="613"/>
        <v>2200000</v>
      </c>
      <c r="V1219" s="329">
        <f t="shared" si="612"/>
        <v>0</v>
      </c>
      <c r="W1219" s="338">
        <f t="shared" si="604"/>
        <v>12224694.890000001</v>
      </c>
      <c r="X1219" s="35"/>
    </row>
    <row r="1220" spans="1:24" x14ac:dyDescent="0.25">
      <c r="A1220" s="335">
        <f t="shared" si="616"/>
        <v>44931</v>
      </c>
      <c r="B1220" s="49">
        <f t="shared" si="614"/>
        <v>0</v>
      </c>
      <c r="C1220" s="338">
        <f t="shared" si="595"/>
        <v>118886089</v>
      </c>
      <c r="D1220" s="329">
        <f t="shared" si="615"/>
        <v>0</v>
      </c>
      <c r="E1220" s="338">
        <f t="shared" si="596"/>
        <v>9769566</v>
      </c>
      <c r="F1220" s="329">
        <f t="shared" si="617"/>
        <v>0</v>
      </c>
      <c r="G1220" s="338">
        <f t="shared" si="597"/>
        <v>76400000</v>
      </c>
      <c r="H1220" s="329">
        <f t="shared" si="605"/>
        <v>0</v>
      </c>
      <c r="I1220" s="338">
        <f t="shared" si="598"/>
        <v>44350150</v>
      </c>
      <c r="J1220" s="329">
        <f t="shared" si="606"/>
        <v>0</v>
      </c>
      <c r="K1220" s="338">
        <f t="shared" si="599"/>
        <v>15100000</v>
      </c>
      <c r="L1220" s="329">
        <f t="shared" si="607"/>
        <v>0</v>
      </c>
      <c r="M1220" s="338">
        <f t="shared" si="600"/>
        <v>25332976</v>
      </c>
      <c r="N1220" s="329">
        <f t="shared" si="608"/>
        <v>0</v>
      </c>
      <c r="O1220" s="338">
        <f t="shared" si="601"/>
        <v>14300000</v>
      </c>
      <c r="P1220" s="329">
        <f t="shared" si="609"/>
        <v>0</v>
      </c>
      <c r="Q1220" s="338">
        <f t="shared" si="602"/>
        <v>0</v>
      </c>
      <c r="R1220" s="329">
        <f t="shared" si="610"/>
        <v>0</v>
      </c>
      <c r="S1220" s="338">
        <f t="shared" si="603"/>
        <v>10000000</v>
      </c>
      <c r="T1220" s="329">
        <f t="shared" si="611"/>
        <v>0</v>
      </c>
      <c r="U1220" s="338">
        <f t="shared" si="613"/>
        <v>2200000</v>
      </c>
      <c r="V1220" s="329">
        <f t="shared" si="612"/>
        <v>0</v>
      </c>
      <c r="W1220" s="338">
        <f t="shared" si="604"/>
        <v>12224694.890000001</v>
      </c>
      <c r="X1220" s="35"/>
    </row>
    <row r="1221" spans="1:24" x14ac:dyDescent="0.25">
      <c r="A1221" s="335">
        <f t="shared" si="616"/>
        <v>44932</v>
      </c>
      <c r="B1221" s="49">
        <f t="shared" si="614"/>
        <v>0</v>
      </c>
      <c r="C1221" s="338">
        <f t="shared" si="595"/>
        <v>118886089</v>
      </c>
      <c r="D1221" s="329">
        <f t="shared" si="615"/>
        <v>0</v>
      </c>
      <c r="E1221" s="338">
        <f t="shared" si="596"/>
        <v>9769566</v>
      </c>
      <c r="F1221" s="329">
        <f t="shared" si="617"/>
        <v>0</v>
      </c>
      <c r="G1221" s="338">
        <f t="shared" si="597"/>
        <v>76400000</v>
      </c>
      <c r="H1221" s="329">
        <f t="shared" si="605"/>
        <v>0</v>
      </c>
      <c r="I1221" s="338">
        <f t="shared" si="598"/>
        <v>44350150</v>
      </c>
      <c r="J1221" s="329">
        <f t="shared" si="606"/>
        <v>0</v>
      </c>
      <c r="K1221" s="338">
        <f t="shared" si="599"/>
        <v>15100000</v>
      </c>
      <c r="L1221" s="329">
        <f t="shared" si="607"/>
        <v>0</v>
      </c>
      <c r="M1221" s="338">
        <f t="shared" si="600"/>
        <v>25332976</v>
      </c>
      <c r="N1221" s="329">
        <f t="shared" si="608"/>
        <v>0</v>
      </c>
      <c r="O1221" s="338">
        <f t="shared" si="601"/>
        <v>14300000</v>
      </c>
      <c r="P1221" s="329">
        <f t="shared" si="609"/>
        <v>0</v>
      </c>
      <c r="Q1221" s="338">
        <f t="shared" si="602"/>
        <v>0</v>
      </c>
      <c r="R1221" s="329">
        <f t="shared" si="610"/>
        <v>0</v>
      </c>
      <c r="S1221" s="338">
        <f t="shared" si="603"/>
        <v>10000000</v>
      </c>
      <c r="T1221" s="329">
        <f t="shared" si="611"/>
        <v>0</v>
      </c>
      <c r="U1221" s="338">
        <f t="shared" si="613"/>
        <v>2200000</v>
      </c>
      <c r="V1221" s="329">
        <f t="shared" si="612"/>
        <v>0</v>
      </c>
      <c r="W1221" s="338">
        <f t="shared" si="604"/>
        <v>12224694.890000001</v>
      </c>
      <c r="X1221" s="35"/>
    </row>
    <row r="1222" spans="1:24" x14ac:dyDescent="0.25">
      <c r="A1222" s="335">
        <f t="shared" si="616"/>
        <v>44933</v>
      </c>
      <c r="B1222" s="49">
        <f t="shared" si="614"/>
        <v>0</v>
      </c>
      <c r="C1222" s="338">
        <f t="shared" ref="C1222:C1285" si="618">B1222+C1221</f>
        <v>118886089</v>
      </c>
      <c r="D1222" s="329">
        <f t="shared" si="615"/>
        <v>0</v>
      </c>
      <c r="E1222" s="338">
        <f t="shared" ref="E1222:E1285" si="619">D1222+E1221</f>
        <v>9769566</v>
      </c>
      <c r="F1222" s="329">
        <f t="shared" si="617"/>
        <v>0</v>
      </c>
      <c r="G1222" s="338">
        <f t="shared" ref="G1222:G1285" si="620">F1222+G1221</f>
        <v>76400000</v>
      </c>
      <c r="H1222" s="329">
        <f t="shared" si="605"/>
        <v>0</v>
      </c>
      <c r="I1222" s="338">
        <f t="shared" ref="I1222:I1285" si="621">H1222+I1221</f>
        <v>44350150</v>
      </c>
      <c r="J1222" s="329">
        <f t="shared" si="606"/>
        <v>0</v>
      </c>
      <c r="K1222" s="338">
        <f t="shared" ref="K1222:K1285" si="622">J1222+K1221</f>
        <v>15100000</v>
      </c>
      <c r="L1222" s="329">
        <f t="shared" si="607"/>
        <v>0</v>
      </c>
      <c r="M1222" s="338">
        <f t="shared" ref="M1222:M1285" si="623">L1222+M1221</f>
        <v>25332976</v>
      </c>
      <c r="N1222" s="329">
        <f t="shared" si="608"/>
        <v>0</v>
      </c>
      <c r="O1222" s="338">
        <f t="shared" ref="O1222:O1285" si="624">N1222+O1221</f>
        <v>14300000</v>
      </c>
      <c r="P1222" s="329">
        <f t="shared" si="609"/>
        <v>0</v>
      </c>
      <c r="Q1222" s="338">
        <f t="shared" ref="Q1222:Q1285" si="625">P1222+Q1221</f>
        <v>0</v>
      </c>
      <c r="R1222" s="329">
        <f t="shared" si="610"/>
        <v>0</v>
      </c>
      <c r="S1222" s="338">
        <f t="shared" ref="S1222:S1285" si="626">R1222+S1221</f>
        <v>10000000</v>
      </c>
      <c r="T1222" s="329">
        <f t="shared" si="611"/>
        <v>0</v>
      </c>
      <c r="U1222" s="338">
        <f t="shared" si="613"/>
        <v>2200000</v>
      </c>
      <c r="V1222" s="329">
        <f t="shared" si="612"/>
        <v>0</v>
      </c>
      <c r="W1222" s="338">
        <f t="shared" ref="W1222:W1285" si="627">V1222+W1221</f>
        <v>12224694.890000001</v>
      </c>
      <c r="X1222" s="35"/>
    </row>
    <row r="1223" spans="1:24" x14ac:dyDescent="0.25">
      <c r="A1223" s="335">
        <f t="shared" si="616"/>
        <v>44934</v>
      </c>
      <c r="B1223" s="49">
        <f t="shared" si="614"/>
        <v>0</v>
      </c>
      <c r="C1223" s="338">
        <f t="shared" si="618"/>
        <v>118886089</v>
      </c>
      <c r="D1223" s="329">
        <f t="shared" si="615"/>
        <v>0</v>
      </c>
      <c r="E1223" s="338">
        <f t="shared" si="619"/>
        <v>9769566</v>
      </c>
      <c r="F1223" s="329">
        <f t="shared" si="617"/>
        <v>0</v>
      </c>
      <c r="G1223" s="338">
        <f t="shared" si="620"/>
        <v>76400000</v>
      </c>
      <c r="H1223" s="329">
        <f t="shared" si="605"/>
        <v>0</v>
      </c>
      <c r="I1223" s="338">
        <f t="shared" si="621"/>
        <v>44350150</v>
      </c>
      <c r="J1223" s="329">
        <f t="shared" si="606"/>
        <v>0</v>
      </c>
      <c r="K1223" s="338">
        <f t="shared" si="622"/>
        <v>15100000</v>
      </c>
      <c r="L1223" s="329">
        <f t="shared" si="607"/>
        <v>0</v>
      </c>
      <c r="M1223" s="338">
        <f t="shared" si="623"/>
        <v>25332976</v>
      </c>
      <c r="N1223" s="329">
        <f t="shared" si="608"/>
        <v>0</v>
      </c>
      <c r="O1223" s="338">
        <f t="shared" si="624"/>
        <v>14300000</v>
      </c>
      <c r="P1223" s="329">
        <f t="shared" si="609"/>
        <v>0</v>
      </c>
      <c r="Q1223" s="338">
        <f t="shared" si="625"/>
        <v>0</v>
      </c>
      <c r="R1223" s="329">
        <f t="shared" si="610"/>
        <v>0</v>
      </c>
      <c r="S1223" s="338">
        <f t="shared" si="626"/>
        <v>10000000</v>
      </c>
      <c r="T1223" s="329">
        <f t="shared" si="611"/>
        <v>0</v>
      </c>
      <c r="U1223" s="338">
        <f t="shared" si="613"/>
        <v>2200000</v>
      </c>
      <c r="V1223" s="329">
        <f t="shared" si="612"/>
        <v>0</v>
      </c>
      <c r="W1223" s="338">
        <f t="shared" si="627"/>
        <v>12224694.890000001</v>
      </c>
      <c r="X1223" s="35"/>
    </row>
    <row r="1224" spans="1:24" x14ac:dyDescent="0.25">
      <c r="A1224" s="335">
        <f t="shared" si="616"/>
        <v>44935</v>
      </c>
      <c r="B1224" s="49">
        <f t="shared" si="614"/>
        <v>0</v>
      </c>
      <c r="C1224" s="338">
        <f t="shared" si="618"/>
        <v>118886089</v>
      </c>
      <c r="D1224" s="329">
        <f t="shared" si="615"/>
        <v>0</v>
      </c>
      <c r="E1224" s="338">
        <f t="shared" si="619"/>
        <v>9769566</v>
      </c>
      <c r="F1224" s="329">
        <f t="shared" si="617"/>
        <v>0</v>
      </c>
      <c r="G1224" s="338">
        <f t="shared" si="620"/>
        <v>76400000</v>
      </c>
      <c r="H1224" s="329">
        <f t="shared" si="605"/>
        <v>0</v>
      </c>
      <c r="I1224" s="338">
        <f t="shared" si="621"/>
        <v>44350150</v>
      </c>
      <c r="J1224" s="329">
        <f t="shared" si="606"/>
        <v>0</v>
      </c>
      <c r="K1224" s="338">
        <f t="shared" si="622"/>
        <v>15100000</v>
      </c>
      <c r="L1224" s="329">
        <f t="shared" si="607"/>
        <v>0</v>
      </c>
      <c r="M1224" s="338">
        <f t="shared" si="623"/>
        <v>25332976</v>
      </c>
      <c r="N1224" s="329">
        <f t="shared" si="608"/>
        <v>0</v>
      </c>
      <c r="O1224" s="338">
        <f t="shared" si="624"/>
        <v>14300000</v>
      </c>
      <c r="P1224" s="329">
        <f t="shared" si="609"/>
        <v>0</v>
      </c>
      <c r="Q1224" s="338">
        <f t="shared" si="625"/>
        <v>0</v>
      </c>
      <c r="R1224" s="329">
        <f t="shared" si="610"/>
        <v>0</v>
      </c>
      <c r="S1224" s="338">
        <f t="shared" si="626"/>
        <v>10000000</v>
      </c>
      <c r="T1224" s="329">
        <f t="shared" si="611"/>
        <v>0</v>
      </c>
      <c r="U1224" s="338">
        <f t="shared" si="613"/>
        <v>2200000</v>
      </c>
      <c r="V1224" s="329">
        <f t="shared" si="612"/>
        <v>0</v>
      </c>
      <c r="W1224" s="338">
        <f t="shared" si="627"/>
        <v>12224694.890000001</v>
      </c>
      <c r="X1224" s="35"/>
    </row>
    <row r="1225" spans="1:24" x14ac:dyDescent="0.25">
      <c r="A1225" s="335">
        <f t="shared" si="616"/>
        <v>44936</v>
      </c>
      <c r="B1225" s="49">
        <f t="shared" si="614"/>
        <v>0</v>
      </c>
      <c r="C1225" s="338">
        <f t="shared" si="618"/>
        <v>118886089</v>
      </c>
      <c r="D1225" s="329">
        <f t="shared" si="615"/>
        <v>0</v>
      </c>
      <c r="E1225" s="338">
        <f t="shared" si="619"/>
        <v>9769566</v>
      </c>
      <c r="F1225" s="329">
        <f t="shared" si="617"/>
        <v>0</v>
      </c>
      <c r="G1225" s="338">
        <f t="shared" si="620"/>
        <v>76400000</v>
      </c>
      <c r="H1225" s="329">
        <f t="shared" si="605"/>
        <v>0</v>
      </c>
      <c r="I1225" s="338">
        <f t="shared" si="621"/>
        <v>44350150</v>
      </c>
      <c r="J1225" s="329">
        <f t="shared" si="606"/>
        <v>0</v>
      </c>
      <c r="K1225" s="338">
        <f t="shared" si="622"/>
        <v>15100000</v>
      </c>
      <c r="L1225" s="329">
        <f t="shared" si="607"/>
        <v>0</v>
      </c>
      <c r="M1225" s="338">
        <f t="shared" si="623"/>
        <v>25332976</v>
      </c>
      <c r="N1225" s="329">
        <f t="shared" si="608"/>
        <v>0</v>
      </c>
      <c r="O1225" s="338">
        <f t="shared" si="624"/>
        <v>14300000</v>
      </c>
      <c r="P1225" s="329">
        <f t="shared" si="609"/>
        <v>0</v>
      </c>
      <c r="Q1225" s="338">
        <f t="shared" si="625"/>
        <v>0</v>
      </c>
      <c r="R1225" s="329">
        <f t="shared" si="610"/>
        <v>0</v>
      </c>
      <c r="S1225" s="338">
        <f t="shared" si="626"/>
        <v>10000000</v>
      </c>
      <c r="T1225" s="329">
        <f t="shared" si="611"/>
        <v>0</v>
      </c>
      <c r="U1225" s="338">
        <f t="shared" si="613"/>
        <v>2200000</v>
      </c>
      <c r="V1225" s="329">
        <f t="shared" si="612"/>
        <v>0</v>
      </c>
      <c r="W1225" s="338">
        <f t="shared" si="627"/>
        <v>12224694.890000001</v>
      </c>
      <c r="X1225" s="35"/>
    </row>
    <row r="1226" spans="1:24" x14ac:dyDescent="0.25">
      <c r="A1226" s="335">
        <f t="shared" si="616"/>
        <v>44937</v>
      </c>
      <c r="B1226" s="49">
        <f t="shared" si="614"/>
        <v>0</v>
      </c>
      <c r="C1226" s="338">
        <f t="shared" si="618"/>
        <v>118886089</v>
      </c>
      <c r="D1226" s="329">
        <f t="shared" si="615"/>
        <v>0</v>
      </c>
      <c r="E1226" s="338">
        <f t="shared" si="619"/>
        <v>9769566</v>
      </c>
      <c r="F1226" s="329">
        <f t="shared" si="617"/>
        <v>0</v>
      </c>
      <c r="G1226" s="338">
        <f t="shared" si="620"/>
        <v>76400000</v>
      </c>
      <c r="H1226" s="329">
        <f t="shared" si="605"/>
        <v>0</v>
      </c>
      <c r="I1226" s="338">
        <f t="shared" si="621"/>
        <v>44350150</v>
      </c>
      <c r="J1226" s="329">
        <f t="shared" si="606"/>
        <v>0</v>
      </c>
      <c r="K1226" s="338">
        <f t="shared" si="622"/>
        <v>15100000</v>
      </c>
      <c r="L1226" s="329">
        <f t="shared" si="607"/>
        <v>0</v>
      </c>
      <c r="M1226" s="338">
        <f t="shared" si="623"/>
        <v>25332976</v>
      </c>
      <c r="N1226" s="329">
        <f t="shared" si="608"/>
        <v>0</v>
      </c>
      <c r="O1226" s="338">
        <f t="shared" si="624"/>
        <v>14300000</v>
      </c>
      <c r="P1226" s="329">
        <f t="shared" si="609"/>
        <v>0</v>
      </c>
      <c r="Q1226" s="338">
        <f t="shared" si="625"/>
        <v>0</v>
      </c>
      <c r="R1226" s="329">
        <f t="shared" si="610"/>
        <v>0</v>
      </c>
      <c r="S1226" s="338">
        <f t="shared" si="626"/>
        <v>10000000</v>
      </c>
      <c r="T1226" s="329">
        <f t="shared" si="611"/>
        <v>0</v>
      </c>
      <c r="U1226" s="338">
        <f t="shared" si="613"/>
        <v>2200000</v>
      </c>
      <c r="V1226" s="329">
        <f t="shared" si="612"/>
        <v>0</v>
      </c>
      <c r="W1226" s="338">
        <f t="shared" si="627"/>
        <v>12224694.890000001</v>
      </c>
      <c r="X1226" s="35"/>
    </row>
    <row r="1227" spans="1:24" x14ac:dyDescent="0.25">
      <c r="A1227" s="335">
        <f t="shared" si="616"/>
        <v>44938</v>
      </c>
      <c r="B1227" s="49">
        <f t="shared" si="614"/>
        <v>0</v>
      </c>
      <c r="C1227" s="338">
        <f t="shared" si="618"/>
        <v>118886089</v>
      </c>
      <c r="D1227" s="329">
        <f t="shared" si="615"/>
        <v>0</v>
      </c>
      <c r="E1227" s="338">
        <f t="shared" si="619"/>
        <v>9769566</v>
      </c>
      <c r="F1227" s="329">
        <f t="shared" si="617"/>
        <v>0</v>
      </c>
      <c r="G1227" s="338">
        <f t="shared" si="620"/>
        <v>76400000</v>
      </c>
      <c r="H1227" s="329">
        <f t="shared" si="605"/>
        <v>0</v>
      </c>
      <c r="I1227" s="338">
        <f t="shared" si="621"/>
        <v>44350150</v>
      </c>
      <c r="J1227" s="329">
        <f t="shared" si="606"/>
        <v>0</v>
      </c>
      <c r="K1227" s="338">
        <f t="shared" si="622"/>
        <v>15100000</v>
      </c>
      <c r="L1227" s="329">
        <f t="shared" si="607"/>
        <v>0</v>
      </c>
      <c r="M1227" s="338">
        <f t="shared" si="623"/>
        <v>25332976</v>
      </c>
      <c r="N1227" s="329">
        <f t="shared" si="608"/>
        <v>0</v>
      </c>
      <c r="O1227" s="338">
        <f t="shared" si="624"/>
        <v>14300000</v>
      </c>
      <c r="P1227" s="329">
        <f t="shared" si="609"/>
        <v>0</v>
      </c>
      <c r="Q1227" s="338">
        <f t="shared" si="625"/>
        <v>0</v>
      </c>
      <c r="R1227" s="329">
        <f t="shared" si="610"/>
        <v>0</v>
      </c>
      <c r="S1227" s="338">
        <f t="shared" si="626"/>
        <v>10000000</v>
      </c>
      <c r="T1227" s="329">
        <f t="shared" si="611"/>
        <v>0</v>
      </c>
      <c r="U1227" s="338">
        <f t="shared" si="613"/>
        <v>2200000</v>
      </c>
      <c r="V1227" s="329">
        <f t="shared" si="612"/>
        <v>0</v>
      </c>
      <c r="W1227" s="338">
        <f t="shared" si="627"/>
        <v>12224694.890000001</v>
      </c>
      <c r="X1227" s="35"/>
    </row>
    <row r="1228" spans="1:24" x14ac:dyDescent="0.25">
      <c r="A1228" s="335">
        <f t="shared" si="616"/>
        <v>44939</v>
      </c>
      <c r="B1228" s="49">
        <f t="shared" si="614"/>
        <v>0</v>
      </c>
      <c r="C1228" s="338">
        <f t="shared" si="618"/>
        <v>118886089</v>
      </c>
      <c r="D1228" s="329">
        <f t="shared" si="615"/>
        <v>0</v>
      </c>
      <c r="E1228" s="338">
        <f t="shared" si="619"/>
        <v>9769566</v>
      </c>
      <c r="F1228" s="329">
        <f t="shared" si="617"/>
        <v>0</v>
      </c>
      <c r="G1228" s="338">
        <f t="shared" si="620"/>
        <v>76400000</v>
      </c>
      <c r="H1228" s="329">
        <f t="shared" si="605"/>
        <v>0</v>
      </c>
      <c r="I1228" s="338">
        <f t="shared" si="621"/>
        <v>44350150</v>
      </c>
      <c r="J1228" s="329">
        <f t="shared" si="606"/>
        <v>0</v>
      </c>
      <c r="K1228" s="338">
        <f t="shared" si="622"/>
        <v>15100000</v>
      </c>
      <c r="L1228" s="329">
        <f t="shared" si="607"/>
        <v>0</v>
      </c>
      <c r="M1228" s="338">
        <f t="shared" si="623"/>
        <v>25332976</v>
      </c>
      <c r="N1228" s="329">
        <f t="shared" si="608"/>
        <v>0</v>
      </c>
      <c r="O1228" s="338">
        <f t="shared" si="624"/>
        <v>14300000</v>
      </c>
      <c r="P1228" s="329">
        <f t="shared" si="609"/>
        <v>0</v>
      </c>
      <c r="Q1228" s="338">
        <f t="shared" si="625"/>
        <v>0</v>
      </c>
      <c r="R1228" s="329">
        <f t="shared" si="610"/>
        <v>0</v>
      </c>
      <c r="S1228" s="338">
        <f t="shared" si="626"/>
        <v>10000000</v>
      </c>
      <c r="T1228" s="329">
        <f t="shared" si="611"/>
        <v>0</v>
      </c>
      <c r="U1228" s="338">
        <f t="shared" si="613"/>
        <v>2200000</v>
      </c>
      <c r="V1228" s="329">
        <f t="shared" si="612"/>
        <v>0</v>
      </c>
      <c r="W1228" s="338">
        <f t="shared" si="627"/>
        <v>12224694.890000001</v>
      </c>
      <c r="X1228" s="35"/>
    </row>
    <row r="1229" spans="1:24" x14ac:dyDescent="0.25">
      <c r="A1229" s="335">
        <f t="shared" si="616"/>
        <v>44940</v>
      </c>
      <c r="B1229" s="49">
        <f t="shared" si="614"/>
        <v>0</v>
      </c>
      <c r="C1229" s="338">
        <f t="shared" si="618"/>
        <v>118886089</v>
      </c>
      <c r="D1229" s="329">
        <f t="shared" si="615"/>
        <v>0</v>
      </c>
      <c r="E1229" s="338">
        <f t="shared" si="619"/>
        <v>9769566</v>
      </c>
      <c r="F1229" s="329">
        <f t="shared" si="617"/>
        <v>0</v>
      </c>
      <c r="G1229" s="338">
        <f t="shared" si="620"/>
        <v>76400000</v>
      </c>
      <c r="H1229" s="329">
        <f t="shared" si="605"/>
        <v>0</v>
      </c>
      <c r="I1229" s="338">
        <f t="shared" si="621"/>
        <v>44350150</v>
      </c>
      <c r="J1229" s="329">
        <f t="shared" si="606"/>
        <v>0</v>
      </c>
      <c r="K1229" s="338">
        <f t="shared" si="622"/>
        <v>15100000</v>
      </c>
      <c r="L1229" s="329">
        <f t="shared" si="607"/>
        <v>0</v>
      </c>
      <c r="M1229" s="338">
        <f t="shared" si="623"/>
        <v>25332976</v>
      </c>
      <c r="N1229" s="329">
        <f t="shared" si="608"/>
        <v>0</v>
      </c>
      <c r="O1229" s="338">
        <f t="shared" si="624"/>
        <v>14300000</v>
      </c>
      <c r="P1229" s="329">
        <f t="shared" si="609"/>
        <v>0</v>
      </c>
      <c r="Q1229" s="338">
        <f t="shared" si="625"/>
        <v>0</v>
      </c>
      <c r="R1229" s="329">
        <f t="shared" si="610"/>
        <v>0</v>
      </c>
      <c r="S1229" s="338">
        <f t="shared" si="626"/>
        <v>10000000</v>
      </c>
      <c r="T1229" s="329">
        <f t="shared" si="611"/>
        <v>0</v>
      </c>
      <c r="U1229" s="338">
        <f t="shared" si="613"/>
        <v>2200000</v>
      </c>
      <c r="V1229" s="329">
        <f t="shared" si="612"/>
        <v>0</v>
      </c>
      <c r="W1229" s="338">
        <f t="shared" si="627"/>
        <v>12224694.890000001</v>
      </c>
      <c r="X1229" s="35"/>
    </row>
    <row r="1230" spans="1:24" x14ac:dyDescent="0.25">
      <c r="A1230" s="335">
        <f t="shared" si="616"/>
        <v>44941</v>
      </c>
      <c r="B1230" s="49">
        <f t="shared" si="614"/>
        <v>0</v>
      </c>
      <c r="C1230" s="338">
        <f t="shared" si="618"/>
        <v>118886089</v>
      </c>
      <c r="D1230" s="329">
        <f t="shared" si="615"/>
        <v>0</v>
      </c>
      <c r="E1230" s="338">
        <f t="shared" si="619"/>
        <v>9769566</v>
      </c>
      <c r="F1230" s="329">
        <f t="shared" si="617"/>
        <v>0</v>
      </c>
      <c r="G1230" s="338">
        <f t="shared" si="620"/>
        <v>76400000</v>
      </c>
      <c r="H1230" s="329">
        <f t="shared" si="605"/>
        <v>0</v>
      </c>
      <c r="I1230" s="338">
        <f t="shared" si="621"/>
        <v>44350150</v>
      </c>
      <c r="J1230" s="329">
        <f t="shared" si="606"/>
        <v>0</v>
      </c>
      <c r="K1230" s="338">
        <f t="shared" si="622"/>
        <v>15100000</v>
      </c>
      <c r="L1230" s="329">
        <f t="shared" si="607"/>
        <v>0</v>
      </c>
      <c r="M1230" s="338">
        <f t="shared" si="623"/>
        <v>25332976</v>
      </c>
      <c r="N1230" s="329">
        <f t="shared" si="608"/>
        <v>0</v>
      </c>
      <c r="O1230" s="338">
        <f t="shared" si="624"/>
        <v>14300000</v>
      </c>
      <c r="P1230" s="329">
        <f t="shared" si="609"/>
        <v>0</v>
      </c>
      <c r="Q1230" s="338">
        <f t="shared" si="625"/>
        <v>0</v>
      </c>
      <c r="R1230" s="329">
        <f t="shared" si="610"/>
        <v>0</v>
      </c>
      <c r="S1230" s="338">
        <f t="shared" si="626"/>
        <v>10000000</v>
      </c>
      <c r="T1230" s="329">
        <f t="shared" si="611"/>
        <v>0</v>
      </c>
      <c r="U1230" s="338">
        <f t="shared" si="613"/>
        <v>2200000</v>
      </c>
      <c r="V1230" s="329">
        <f t="shared" si="612"/>
        <v>0</v>
      </c>
      <c r="W1230" s="338">
        <f t="shared" si="627"/>
        <v>12224694.890000001</v>
      </c>
      <c r="X1230" s="35"/>
    </row>
    <row r="1231" spans="1:24" x14ac:dyDescent="0.25">
      <c r="A1231" s="335">
        <f t="shared" si="616"/>
        <v>44942</v>
      </c>
      <c r="B1231" s="49">
        <f t="shared" si="614"/>
        <v>0</v>
      </c>
      <c r="C1231" s="338">
        <f t="shared" si="618"/>
        <v>118886089</v>
      </c>
      <c r="D1231" s="329">
        <f t="shared" si="615"/>
        <v>0</v>
      </c>
      <c r="E1231" s="338">
        <f t="shared" si="619"/>
        <v>9769566</v>
      </c>
      <c r="F1231" s="329">
        <f t="shared" si="617"/>
        <v>0</v>
      </c>
      <c r="G1231" s="338">
        <f t="shared" si="620"/>
        <v>76400000</v>
      </c>
      <c r="H1231" s="329">
        <f t="shared" si="605"/>
        <v>0</v>
      </c>
      <c r="I1231" s="338">
        <f t="shared" si="621"/>
        <v>44350150</v>
      </c>
      <c r="J1231" s="329">
        <f t="shared" si="606"/>
        <v>0</v>
      </c>
      <c r="K1231" s="338">
        <f t="shared" si="622"/>
        <v>15100000</v>
      </c>
      <c r="L1231" s="329">
        <f t="shared" si="607"/>
        <v>0</v>
      </c>
      <c r="M1231" s="338">
        <f t="shared" si="623"/>
        <v>25332976</v>
      </c>
      <c r="N1231" s="329">
        <f t="shared" si="608"/>
        <v>0</v>
      </c>
      <c r="O1231" s="338">
        <f t="shared" si="624"/>
        <v>14300000</v>
      </c>
      <c r="P1231" s="329">
        <f t="shared" si="609"/>
        <v>0</v>
      </c>
      <c r="Q1231" s="338">
        <f t="shared" si="625"/>
        <v>0</v>
      </c>
      <c r="R1231" s="329">
        <f t="shared" si="610"/>
        <v>0</v>
      </c>
      <c r="S1231" s="338">
        <f t="shared" si="626"/>
        <v>10000000</v>
      </c>
      <c r="T1231" s="329">
        <f t="shared" si="611"/>
        <v>0</v>
      </c>
      <c r="U1231" s="338">
        <f t="shared" si="613"/>
        <v>2200000</v>
      </c>
      <c r="V1231" s="329">
        <f t="shared" si="612"/>
        <v>0</v>
      </c>
      <c r="W1231" s="338">
        <f t="shared" si="627"/>
        <v>12224694.890000001</v>
      </c>
      <c r="X1231" s="35"/>
    </row>
    <row r="1232" spans="1:24" x14ac:dyDescent="0.25">
      <c r="A1232" s="335">
        <f t="shared" si="616"/>
        <v>44943</v>
      </c>
      <c r="B1232" s="49">
        <f t="shared" si="614"/>
        <v>0</v>
      </c>
      <c r="C1232" s="338">
        <f t="shared" si="618"/>
        <v>118886089</v>
      </c>
      <c r="D1232" s="329">
        <f t="shared" si="615"/>
        <v>0</v>
      </c>
      <c r="E1232" s="338">
        <f t="shared" si="619"/>
        <v>9769566</v>
      </c>
      <c r="F1232" s="329">
        <f t="shared" si="617"/>
        <v>0</v>
      </c>
      <c r="G1232" s="338">
        <f t="shared" si="620"/>
        <v>76400000</v>
      </c>
      <c r="H1232" s="329">
        <f t="shared" si="605"/>
        <v>0</v>
      </c>
      <c r="I1232" s="338">
        <f t="shared" si="621"/>
        <v>44350150</v>
      </c>
      <c r="J1232" s="329">
        <f t="shared" si="606"/>
        <v>0</v>
      </c>
      <c r="K1232" s="338">
        <f t="shared" si="622"/>
        <v>15100000</v>
      </c>
      <c r="L1232" s="329">
        <f t="shared" si="607"/>
        <v>0</v>
      </c>
      <c r="M1232" s="338">
        <f t="shared" si="623"/>
        <v>25332976</v>
      </c>
      <c r="N1232" s="329">
        <f t="shared" si="608"/>
        <v>0</v>
      </c>
      <c r="O1232" s="338">
        <f t="shared" si="624"/>
        <v>14300000</v>
      </c>
      <c r="P1232" s="329">
        <f t="shared" si="609"/>
        <v>0</v>
      </c>
      <c r="Q1232" s="338">
        <f t="shared" si="625"/>
        <v>0</v>
      </c>
      <c r="R1232" s="329">
        <f t="shared" si="610"/>
        <v>0</v>
      </c>
      <c r="S1232" s="338">
        <f t="shared" si="626"/>
        <v>10000000</v>
      </c>
      <c r="T1232" s="329">
        <f t="shared" si="611"/>
        <v>0</v>
      </c>
      <c r="U1232" s="338">
        <f t="shared" si="613"/>
        <v>2200000</v>
      </c>
      <c r="V1232" s="329">
        <f t="shared" si="612"/>
        <v>0</v>
      </c>
      <c r="W1232" s="338">
        <f t="shared" si="627"/>
        <v>12224694.890000001</v>
      </c>
      <c r="X1232" s="35"/>
    </row>
    <row r="1233" spans="1:24" x14ac:dyDescent="0.25">
      <c r="A1233" s="335">
        <f t="shared" si="616"/>
        <v>44944</v>
      </c>
      <c r="B1233" s="49">
        <f t="shared" si="614"/>
        <v>0</v>
      </c>
      <c r="C1233" s="338">
        <f t="shared" si="618"/>
        <v>118886089</v>
      </c>
      <c r="D1233" s="329">
        <f t="shared" si="615"/>
        <v>0</v>
      </c>
      <c r="E1233" s="338">
        <f t="shared" si="619"/>
        <v>9769566</v>
      </c>
      <c r="F1233" s="329">
        <f t="shared" si="617"/>
        <v>0</v>
      </c>
      <c r="G1233" s="338">
        <f t="shared" si="620"/>
        <v>76400000</v>
      </c>
      <c r="H1233" s="329">
        <f t="shared" si="605"/>
        <v>0</v>
      </c>
      <c r="I1233" s="338">
        <f t="shared" si="621"/>
        <v>44350150</v>
      </c>
      <c r="J1233" s="329">
        <f t="shared" si="606"/>
        <v>0</v>
      </c>
      <c r="K1233" s="338">
        <f t="shared" si="622"/>
        <v>15100000</v>
      </c>
      <c r="L1233" s="329">
        <f t="shared" si="607"/>
        <v>0</v>
      </c>
      <c r="M1233" s="338">
        <f t="shared" si="623"/>
        <v>25332976</v>
      </c>
      <c r="N1233" s="329">
        <f t="shared" si="608"/>
        <v>0</v>
      </c>
      <c r="O1233" s="338">
        <f t="shared" si="624"/>
        <v>14300000</v>
      </c>
      <c r="P1233" s="329">
        <f t="shared" si="609"/>
        <v>0</v>
      </c>
      <c r="Q1233" s="338">
        <f t="shared" si="625"/>
        <v>0</v>
      </c>
      <c r="R1233" s="329">
        <f t="shared" si="610"/>
        <v>0</v>
      </c>
      <c r="S1233" s="338">
        <f t="shared" si="626"/>
        <v>10000000</v>
      </c>
      <c r="T1233" s="329">
        <f t="shared" si="611"/>
        <v>0</v>
      </c>
      <c r="U1233" s="338">
        <f t="shared" si="613"/>
        <v>2200000</v>
      </c>
      <c r="V1233" s="329">
        <f t="shared" si="612"/>
        <v>0</v>
      </c>
      <c r="W1233" s="338">
        <f t="shared" si="627"/>
        <v>12224694.890000001</v>
      </c>
      <c r="X1233" s="35"/>
    </row>
    <row r="1234" spans="1:24" x14ac:dyDescent="0.25">
      <c r="A1234" s="335">
        <f t="shared" si="616"/>
        <v>44945</v>
      </c>
      <c r="B1234" s="49">
        <f t="shared" si="614"/>
        <v>0</v>
      </c>
      <c r="C1234" s="338">
        <f t="shared" si="618"/>
        <v>118886089</v>
      </c>
      <c r="D1234" s="329">
        <f t="shared" si="615"/>
        <v>0</v>
      </c>
      <c r="E1234" s="338">
        <f t="shared" si="619"/>
        <v>9769566</v>
      </c>
      <c r="F1234" s="329">
        <f t="shared" si="617"/>
        <v>0</v>
      </c>
      <c r="G1234" s="338">
        <f t="shared" si="620"/>
        <v>76400000</v>
      </c>
      <c r="H1234" s="329">
        <f t="shared" si="605"/>
        <v>0</v>
      </c>
      <c r="I1234" s="338">
        <f t="shared" si="621"/>
        <v>44350150</v>
      </c>
      <c r="J1234" s="329">
        <f t="shared" si="606"/>
        <v>0</v>
      </c>
      <c r="K1234" s="338">
        <f t="shared" si="622"/>
        <v>15100000</v>
      </c>
      <c r="L1234" s="329">
        <f t="shared" si="607"/>
        <v>0</v>
      </c>
      <c r="M1234" s="338">
        <f t="shared" si="623"/>
        <v>25332976</v>
      </c>
      <c r="N1234" s="329">
        <f t="shared" si="608"/>
        <v>0</v>
      </c>
      <c r="O1234" s="338">
        <f t="shared" si="624"/>
        <v>14300000</v>
      </c>
      <c r="P1234" s="329">
        <f t="shared" si="609"/>
        <v>0</v>
      </c>
      <c r="Q1234" s="338">
        <f t="shared" si="625"/>
        <v>0</v>
      </c>
      <c r="R1234" s="329">
        <f t="shared" si="610"/>
        <v>0</v>
      </c>
      <c r="S1234" s="338">
        <f t="shared" si="626"/>
        <v>10000000</v>
      </c>
      <c r="T1234" s="329">
        <f t="shared" si="611"/>
        <v>0</v>
      </c>
      <c r="U1234" s="338">
        <f t="shared" si="613"/>
        <v>2200000</v>
      </c>
      <c r="V1234" s="329">
        <f t="shared" si="612"/>
        <v>0</v>
      </c>
      <c r="W1234" s="338">
        <f t="shared" si="627"/>
        <v>12224694.890000001</v>
      </c>
      <c r="X1234" s="35"/>
    </row>
    <row r="1235" spans="1:24" x14ac:dyDescent="0.25">
      <c r="A1235" s="335">
        <f t="shared" si="616"/>
        <v>44946</v>
      </c>
      <c r="B1235" s="49">
        <f t="shared" si="614"/>
        <v>0</v>
      </c>
      <c r="C1235" s="338">
        <f t="shared" si="618"/>
        <v>118886089</v>
      </c>
      <c r="D1235" s="329">
        <f t="shared" si="615"/>
        <v>0</v>
      </c>
      <c r="E1235" s="338">
        <f t="shared" si="619"/>
        <v>9769566</v>
      </c>
      <c r="F1235" s="329">
        <f t="shared" si="617"/>
        <v>0</v>
      </c>
      <c r="G1235" s="338">
        <f t="shared" si="620"/>
        <v>76400000</v>
      </c>
      <c r="H1235" s="329">
        <f t="shared" si="605"/>
        <v>0</v>
      </c>
      <c r="I1235" s="338">
        <f t="shared" si="621"/>
        <v>44350150</v>
      </c>
      <c r="J1235" s="329">
        <f t="shared" si="606"/>
        <v>0</v>
      </c>
      <c r="K1235" s="338">
        <f t="shared" si="622"/>
        <v>15100000</v>
      </c>
      <c r="L1235" s="329">
        <f t="shared" si="607"/>
        <v>0</v>
      </c>
      <c r="M1235" s="338">
        <f t="shared" si="623"/>
        <v>25332976</v>
      </c>
      <c r="N1235" s="329">
        <f t="shared" si="608"/>
        <v>0</v>
      </c>
      <c r="O1235" s="338">
        <f t="shared" si="624"/>
        <v>14300000</v>
      </c>
      <c r="P1235" s="329">
        <f t="shared" si="609"/>
        <v>0</v>
      </c>
      <c r="Q1235" s="338">
        <f t="shared" si="625"/>
        <v>0</v>
      </c>
      <c r="R1235" s="329">
        <f t="shared" si="610"/>
        <v>0</v>
      </c>
      <c r="S1235" s="338">
        <f t="shared" si="626"/>
        <v>10000000</v>
      </c>
      <c r="T1235" s="329">
        <f t="shared" si="611"/>
        <v>0</v>
      </c>
      <c r="U1235" s="338">
        <f t="shared" si="613"/>
        <v>2200000</v>
      </c>
      <c r="V1235" s="329">
        <f t="shared" si="612"/>
        <v>0</v>
      </c>
      <c r="W1235" s="338">
        <f t="shared" si="627"/>
        <v>12224694.890000001</v>
      </c>
      <c r="X1235" s="35"/>
    </row>
    <row r="1236" spans="1:24" x14ac:dyDescent="0.25">
      <c r="A1236" s="335">
        <f t="shared" si="616"/>
        <v>44947</v>
      </c>
      <c r="B1236" s="49">
        <f t="shared" si="614"/>
        <v>0</v>
      </c>
      <c r="C1236" s="338">
        <f t="shared" si="618"/>
        <v>118886089</v>
      </c>
      <c r="D1236" s="329">
        <f t="shared" si="615"/>
        <v>0</v>
      </c>
      <c r="E1236" s="338">
        <f t="shared" si="619"/>
        <v>9769566</v>
      </c>
      <c r="F1236" s="329">
        <f t="shared" si="617"/>
        <v>0</v>
      </c>
      <c r="G1236" s="338">
        <f t="shared" si="620"/>
        <v>76400000</v>
      </c>
      <c r="H1236" s="329">
        <f t="shared" si="605"/>
        <v>0</v>
      </c>
      <c r="I1236" s="338">
        <f t="shared" si="621"/>
        <v>44350150</v>
      </c>
      <c r="J1236" s="329">
        <f t="shared" si="606"/>
        <v>0</v>
      </c>
      <c r="K1236" s="338">
        <f t="shared" si="622"/>
        <v>15100000</v>
      </c>
      <c r="L1236" s="329">
        <f t="shared" si="607"/>
        <v>0</v>
      </c>
      <c r="M1236" s="338">
        <f t="shared" si="623"/>
        <v>25332976</v>
      </c>
      <c r="N1236" s="329">
        <f t="shared" si="608"/>
        <v>0</v>
      </c>
      <c r="O1236" s="338">
        <f t="shared" si="624"/>
        <v>14300000</v>
      </c>
      <c r="P1236" s="329">
        <f t="shared" si="609"/>
        <v>0</v>
      </c>
      <c r="Q1236" s="338">
        <f t="shared" si="625"/>
        <v>0</v>
      </c>
      <c r="R1236" s="329">
        <f t="shared" si="610"/>
        <v>0</v>
      </c>
      <c r="S1236" s="338">
        <f t="shared" si="626"/>
        <v>10000000</v>
      </c>
      <c r="T1236" s="329">
        <f t="shared" si="611"/>
        <v>0</v>
      </c>
      <c r="U1236" s="338">
        <f t="shared" si="613"/>
        <v>2200000</v>
      </c>
      <c r="V1236" s="329">
        <f t="shared" si="612"/>
        <v>0</v>
      </c>
      <c r="W1236" s="338">
        <f t="shared" si="627"/>
        <v>12224694.890000001</v>
      </c>
      <c r="X1236" s="35"/>
    </row>
    <row r="1237" spans="1:24" x14ac:dyDescent="0.25">
      <c r="A1237" s="335">
        <f t="shared" si="616"/>
        <v>44948</v>
      </c>
      <c r="B1237" s="49">
        <f t="shared" si="614"/>
        <v>0</v>
      </c>
      <c r="C1237" s="338">
        <f t="shared" si="618"/>
        <v>118886089</v>
      </c>
      <c r="D1237" s="329">
        <f t="shared" si="615"/>
        <v>0</v>
      </c>
      <c r="E1237" s="338">
        <f t="shared" si="619"/>
        <v>9769566</v>
      </c>
      <c r="F1237" s="329">
        <f t="shared" si="617"/>
        <v>0</v>
      </c>
      <c r="G1237" s="338">
        <f t="shared" si="620"/>
        <v>76400000</v>
      </c>
      <c r="H1237" s="329">
        <f t="shared" si="605"/>
        <v>0</v>
      </c>
      <c r="I1237" s="338">
        <f t="shared" si="621"/>
        <v>44350150</v>
      </c>
      <c r="J1237" s="329">
        <f t="shared" si="606"/>
        <v>0</v>
      </c>
      <c r="K1237" s="338">
        <f t="shared" si="622"/>
        <v>15100000</v>
      </c>
      <c r="L1237" s="329">
        <f t="shared" si="607"/>
        <v>0</v>
      </c>
      <c r="M1237" s="338">
        <f t="shared" si="623"/>
        <v>25332976</v>
      </c>
      <c r="N1237" s="329">
        <f t="shared" si="608"/>
        <v>0</v>
      </c>
      <c r="O1237" s="338">
        <f t="shared" si="624"/>
        <v>14300000</v>
      </c>
      <c r="P1237" s="329">
        <f t="shared" si="609"/>
        <v>0</v>
      </c>
      <c r="Q1237" s="338">
        <f t="shared" si="625"/>
        <v>0</v>
      </c>
      <c r="R1237" s="329">
        <f t="shared" si="610"/>
        <v>0</v>
      </c>
      <c r="S1237" s="338">
        <f t="shared" si="626"/>
        <v>10000000</v>
      </c>
      <c r="T1237" s="329">
        <f t="shared" si="611"/>
        <v>0</v>
      </c>
      <c r="U1237" s="338">
        <f t="shared" si="613"/>
        <v>2200000</v>
      </c>
      <c r="V1237" s="329">
        <f t="shared" si="612"/>
        <v>0</v>
      </c>
      <c r="W1237" s="338">
        <f t="shared" si="627"/>
        <v>12224694.890000001</v>
      </c>
      <c r="X1237" s="35"/>
    </row>
    <row r="1238" spans="1:24" x14ac:dyDescent="0.25">
      <c r="A1238" s="335">
        <f t="shared" si="616"/>
        <v>44949</v>
      </c>
      <c r="B1238" s="49">
        <f t="shared" si="614"/>
        <v>0</v>
      </c>
      <c r="C1238" s="338">
        <f t="shared" si="618"/>
        <v>118886089</v>
      </c>
      <c r="D1238" s="329">
        <f t="shared" si="615"/>
        <v>0</v>
      </c>
      <c r="E1238" s="338">
        <f t="shared" si="619"/>
        <v>9769566</v>
      </c>
      <c r="F1238" s="329">
        <f t="shared" si="617"/>
        <v>0</v>
      </c>
      <c r="G1238" s="338">
        <f t="shared" si="620"/>
        <v>76400000</v>
      </c>
      <c r="H1238" s="329">
        <f t="shared" si="605"/>
        <v>0</v>
      </c>
      <c r="I1238" s="338">
        <f t="shared" si="621"/>
        <v>44350150</v>
      </c>
      <c r="J1238" s="329">
        <f t="shared" si="606"/>
        <v>0</v>
      </c>
      <c r="K1238" s="338">
        <f t="shared" si="622"/>
        <v>15100000</v>
      </c>
      <c r="L1238" s="329">
        <f t="shared" si="607"/>
        <v>0</v>
      </c>
      <c r="M1238" s="338">
        <f t="shared" si="623"/>
        <v>25332976</v>
      </c>
      <c r="N1238" s="329">
        <f t="shared" si="608"/>
        <v>0</v>
      </c>
      <c r="O1238" s="338">
        <f t="shared" si="624"/>
        <v>14300000</v>
      </c>
      <c r="P1238" s="329">
        <f t="shared" si="609"/>
        <v>0</v>
      </c>
      <c r="Q1238" s="338">
        <f t="shared" si="625"/>
        <v>0</v>
      </c>
      <c r="R1238" s="329">
        <f t="shared" si="610"/>
        <v>0</v>
      </c>
      <c r="S1238" s="338">
        <f t="shared" si="626"/>
        <v>10000000</v>
      </c>
      <c r="T1238" s="329">
        <f t="shared" si="611"/>
        <v>0</v>
      </c>
      <c r="U1238" s="338">
        <f t="shared" si="613"/>
        <v>2200000</v>
      </c>
      <c r="V1238" s="329">
        <f t="shared" si="612"/>
        <v>0</v>
      </c>
      <c r="W1238" s="338">
        <f t="shared" si="627"/>
        <v>12224694.890000001</v>
      </c>
      <c r="X1238" s="35"/>
    </row>
    <row r="1239" spans="1:24" x14ac:dyDescent="0.25">
      <c r="A1239" s="335">
        <f t="shared" si="616"/>
        <v>44950</v>
      </c>
      <c r="B1239" s="49">
        <f t="shared" si="614"/>
        <v>0</v>
      </c>
      <c r="C1239" s="338">
        <f t="shared" si="618"/>
        <v>118886089</v>
      </c>
      <c r="D1239" s="329">
        <f t="shared" si="615"/>
        <v>0</v>
      </c>
      <c r="E1239" s="338">
        <f t="shared" si="619"/>
        <v>9769566</v>
      </c>
      <c r="F1239" s="329">
        <f t="shared" si="617"/>
        <v>0</v>
      </c>
      <c r="G1239" s="338">
        <f t="shared" si="620"/>
        <v>76400000</v>
      </c>
      <c r="H1239" s="329">
        <f t="shared" si="605"/>
        <v>0</v>
      </c>
      <c r="I1239" s="338">
        <f t="shared" si="621"/>
        <v>44350150</v>
      </c>
      <c r="J1239" s="329">
        <f t="shared" si="606"/>
        <v>0</v>
      </c>
      <c r="K1239" s="338">
        <f t="shared" si="622"/>
        <v>15100000</v>
      </c>
      <c r="L1239" s="329">
        <f t="shared" si="607"/>
        <v>0</v>
      </c>
      <c r="M1239" s="338">
        <f t="shared" si="623"/>
        <v>25332976</v>
      </c>
      <c r="N1239" s="329">
        <f t="shared" si="608"/>
        <v>0</v>
      </c>
      <c r="O1239" s="338">
        <f t="shared" si="624"/>
        <v>14300000</v>
      </c>
      <c r="P1239" s="329">
        <f t="shared" si="609"/>
        <v>0</v>
      </c>
      <c r="Q1239" s="338">
        <f t="shared" si="625"/>
        <v>0</v>
      </c>
      <c r="R1239" s="329">
        <f t="shared" si="610"/>
        <v>0</v>
      </c>
      <c r="S1239" s="338">
        <f t="shared" si="626"/>
        <v>10000000</v>
      </c>
      <c r="T1239" s="329">
        <f t="shared" si="611"/>
        <v>0</v>
      </c>
      <c r="U1239" s="338">
        <f t="shared" si="613"/>
        <v>2200000</v>
      </c>
      <c r="V1239" s="329">
        <f t="shared" si="612"/>
        <v>0</v>
      </c>
      <c r="W1239" s="338">
        <f t="shared" si="627"/>
        <v>12224694.890000001</v>
      </c>
      <c r="X1239" s="35"/>
    </row>
    <row r="1240" spans="1:24" x14ac:dyDescent="0.25">
      <c r="A1240" s="335">
        <f t="shared" si="616"/>
        <v>44951</v>
      </c>
      <c r="B1240" s="49">
        <f t="shared" si="614"/>
        <v>0</v>
      </c>
      <c r="C1240" s="338">
        <f t="shared" si="618"/>
        <v>118886089</v>
      </c>
      <c r="D1240" s="329">
        <f t="shared" si="615"/>
        <v>0</v>
      </c>
      <c r="E1240" s="338">
        <f t="shared" si="619"/>
        <v>9769566</v>
      </c>
      <c r="F1240" s="329">
        <f t="shared" si="617"/>
        <v>0</v>
      </c>
      <c r="G1240" s="338">
        <f t="shared" si="620"/>
        <v>76400000</v>
      </c>
      <c r="H1240" s="329">
        <f t="shared" si="605"/>
        <v>0</v>
      </c>
      <c r="I1240" s="338">
        <f t="shared" si="621"/>
        <v>44350150</v>
      </c>
      <c r="J1240" s="329">
        <f t="shared" si="606"/>
        <v>0</v>
      </c>
      <c r="K1240" s="338">
        <f t="shared" si="622"/>
        <v>15100000</v>
      </c>
      <c r="L1240" s="329">
        <f t="shared" si="607"/>
        <v>0</v>
      </c>
      <c r="M1240" s="338">
        <f t="shared" si="623"/>
        <v>25332976</v>
      </c>
      <c r="N1240" s="329">
        <f t="shared" si="608"/>
        <v>0</v>
      </c>
      <c r="O1240" s="338">
        <f t="shared" si="624"/>
        <v>14300000</v>
      </c>
      <c r="P1240" s="329">
        <f t="shared" si="609"/>
        <v>0</v>
      </c>
      <c r="Q1240" s="338">
        <f t="shared" si="625"/>
        <v>0</v>
      </c>
      <c r="R1240" s="329">
        <f t="shared" si="610"/>
        <v>0</v>
      </c>
      <c r="S1240" s="338">
        <f t="shared" si="626"/>
        <v>10000000</v>
      </c>
      <c r="T1240" s="329">
        <f t="shared" si="611"/>
        <v>0</v>
      </c>
      <c r="U1240" s="338">
        <f t="shared" si="613"/>
        <v>2200000</v>
      </c>
      <c r="V1240" s="329">
        <f t="shared" si="612"/>
        <v>0</v>
      </c>
      <c r="W1240" s="338">
        <f t="shared" si="627"/>
        <v>12224694.890000001</v>
      </c>
      <c r="X1240" s="35"/>
    </row>
    <row r="1241" spans="1:24" x14ac:dyDescent="0.25">
      <c r="A1241" s="335">
        <f t="shared" si="616"/>
        <v>44952</v>
      </c>
      <c r="B1241" s="49">
        <f t="shared" si="614"/>
        <v>0</v>
      </c>
      <c r="C1241" s="338">
        <f t="shared" si="618"/>
        <v>118886089</v>
      </c>
      <c r="D1241" s="329">
        <f t="shared" si="615"/>
        <v>0</v>
      </c>
      <c r="E1241" s="338">
        <f t="shared" si="619"/>
        <v>9769566</v>
      </c>
      <c r="F1241" s="329">
        <f t="shared" si="617"/>
        <v>0</v>
      </c>
      <c r="G1241" s="338">
        <f t="shared" si="620"/>
        <v>76400000</v>
      </c>
      <c r="H1241" s="329">
        <f t="shared" si="605"/>
        <v>0</v>
      </c>
      <c r="I1241" s="338">
        <f t="shared" si="621"/>
        <v>44350150</v>
      </c>
      <c r="J1241" s="329">
        <f t="shared" si="606"/>
        <v>0</v>
      </c>
      <c r="K1241" s="338">
        <f t="shared" si="622"/>
        <v>15100000</v>
      </c>
      <c r="L1241" s="329">
        <f t="shared" si="607"/>
        <v>0</v>
      </c>
      <c r="M1241" s="338">
        <f t="shared" si="623"/>
        <v>25332976</v>
      </c>
      <c r="N1241" s="329">
        <f t="shared" si="608"/>
        <v>0</v>
      </c>
      <c r="O1241" s="338">
        <f t="shared" si="624"/>
        <v>14300000</v>
      </c>
      <c r="P1241" s="329">
        <f t="shared" si="609"/>
        <v>0</v>
      </c>
      <c r="Q1241" s="338">
        <f t="shared" si="625"/>
        <v>0</v>
      </c>
      <c r="R1241" s="329">
        <f t="shared" si="610"/>
        <v>0</v>
      </c>
      <c r="S1241" s="338">
        <f t="shared" si="626"/>
        <v>10000000</v>
      </c>
      <c r="T1241" s="329">
        <f t="shared" si="611"/>
        <v>0</v>
      </c>
      <c r="U1241" s="338">
        <f t="shared" si="613"/>
        <v>2200000</v>
      </c>
      <c r="V1241" s="329">
        <f t="shared" si="612"/>
        <v>0</v>
      </c>
      <c r="W1241" s="338">
        <f t="shared" si="627"/>
        <v>12224694.890000001</v>
      </c>
      <c r="X1241" s="35"/>
    </row>
    <row r="1242" spans="1:24" x14ac:dyDescent="0.25">
      <c r="A1242" s="335">
        <f t="shared" si="616"/>
        <v>44953</v>
      </c>
      <c r="B1242" s="49">
        <f t="shared" si="614"/>
        <v>0</v>
      </c>
      <c r="C1242" s="338">
        <f t="shared" si="618"/>
        <v>118886089</v>
      </c>
      <c r="D1242" s="329">
        <f t="shared" si="615"/>
        <v>0</v>
      </c>
      <c r="E1242" s="338">
        <f t="shared" si="619"/>
        <v>9769566</v>
      </c>
      <c r="F1242" s="329">
        <f t="shared" si="617"/>
        <v>0</v>
      </c>
      <c r="G1242" s="338">
        <f t="shared" si="620"/>
        <v>76400000</v>
      </c>
      <c r="H1242" s="329">
        <f t="shared" si="605"/>
        <v>0</v>
      </c>
      <c r="I1242" s="338">
        <f t="shared" si="621"/>
        <v>44350150</v>
      </c>
      <c r="J1242" s="329">
        <f t="shared" si="606"/>
        <v>0</v>
      </c>
      <c r="K1242" s="338">
        <f t="shared" si="622"/>
        <v>15100000</v>
      </c>
      <c r="L1242" s="329">
        <f t="shared" si="607"/>
        <v>0</v>
      </c>
      <c r="M1242" s="338">
        <f t="shared" si="623"/>
        <v>25332976</v>
      </c>
      <c r="N1242" s="329">
        <f t="shared" si="608"/>
        <v>0</v>
      </c>
      <c r="O1242" s="338">
        <f t="shared" si="624"/>
        <v>14300000</v>
      </c>
      <c r="P1242" s="329">
        <f t="shared" si="609"/>
        <v>0</v>
      </c>
      <c r="Q1242" s="338">
        <f t="shared" si="625"/>
        <v>0</v>
      </c>
      <c r="R1242" s="329">
        <f t="shared" si="610"/>
        <v>0</v>
      </c>
      <c r="S1242" s="338">
        <f t="shared" si="626"/>
        <v>10000000</v>
      </c>
      <c r="T1242" s="329">
        <f t="shared" si="611"/>
        <v>0</v>
      </c>
      <c r="U1242" s="338">
        <f t="shared" si="613"/>
        <v>2200000</v>
      </c>
      <c r="V1242" s="329">
        <f t="shared" si="612"/>
        <v>0</v>
      </c>
      <c r="W1242" s="338">
        <f t="shared" si="627"/>
        <v>12224694.890000001</v>
      </c>
      <c r="X1242" s="35"/>
    </row>
    <row r="1243" spans="1:24" x14ac:dyDescent="0.25">
      <c r="A1243" s="335">
        <f t="shared" si="616"/>
        <v>44954</v>
      </c>
      <c r="B1243" s="49">
        <f t="shared" si="614"/>
        <v>0</v>
      </c>
      <c r="C1243" s="338">
        <f t="shared" si="618"/>
        <v>118886089</v>
      </c>
      <c r="D1243" s="329">
        <f t="shared" si="615"/>
        <v>0</v>
      </c>
      <c r="E1243" s="338">
        <f t="shared" si="619"/>
        <v>9769566</v>
      </c>
      <c r="F1243" s="329">
        <f t="shared" si="617"/>
        <v>0</v>
      </c>
      <c r="G1243" s="338">
        <f t="shared" si="620"/>
        <v>76400000</v>
      </c>
      <c r="H1243" s="329">
        <f t="shared" si="605"/>
        <v>0</v>
      </c>
      <c r="I1243" s="338">
        <f t="shared" si="621"/>
        <v>44350150</v>
      </c>
      <c r="J1243" s="329">
        <f t="shared" si="606"/>
        <v>0</v>
      </c>
      <c r="K1243" s="338">
        <f t="shared" si="622"/>
        <v>15100000</v>
      </c>
      <c r="L1243" s="329">
        <f t="shared" si="607"/>
        <v>0</v>
      </c>
      <c r="M1243" s="338">
        <f t="shared" si="623"/>
        <v>25332976</v>
      </c>
      <c r="N1243" s="329">
        <f t="shared" si="608"/>
        <v>0</v>
      </c>
      <c r="O1243" s="338">
        <f t="shared" si="624"/>
        <v>14300000</v>
      </c>
      <c r="P1243" s="329">
        <f t="shared" si="609"/>
        <v>0</v>
      </c>
      <c r="Q1243" s="338">
        <f t="shared" si="625"/>
        <v>0</v>
      </c>
      <c r="R1243" s="329">
        <f t="shared" si="610"/>
        <v>0</v>
      </c>
      <c r="S1243" s="338">
        <f t="shared" si="626"/>
        <v>10000000</v>
      </c>
      <c r="T1243" s="329">
        <f t="shared" si="611"/>
        <v>0</v>
      </c>
      <c r="U1243" s="338">
        <f t="shared" si="613"/>
        <v>2200000</v>
      </c>
      <c r="V1243" s="329">
        <f t="shared" si="612"/>
        <v>0</v>
      </c>
      <c r="W1243" s="338">
        <f t="shared" si="627"/>
        <v>12224694.890000001</v>
      </c>
      <c r="X1243" s="35"/>
    </row>
    <row r="1244" spans="1:24" x14ac:dyDescent="0.25">
      <c r="A1244" s="335">
        <f t="shared" si="616"/>
        <v>44955</v>
      </c>
      <c r="B1244" s="49">
        <f t="shared" si="614"/>
        <v>0</v>
      </c>
      <c r="C1244" s="338">
        <f t="shared" si="618"/>
        <v>118886089</v>
      </c>
      <c r="D1244" s="329">
        <f t="shared" si="615"/>
        <v>0</v>
      </c>
      <c r="E1244" s="338">
        <f t="shared" si="619"/>
        <v>9769566</v>
      </c>
      <c r="F1244" s="329">
        <f t="shared" si="617"/>
        <v>0</v>
      </c>
      <c r="G1244" s="338">
        <f t="shared" si="620"/>
        <v>76400000</v>
      </c>
      <c r="H1244" s="329">
        <f t="shared" si="605"/>
        <v>0</v>
      </c>
      <c r="I1244" s="338">
        <f t="shared" si="621"/>
        <v>44350150</v>
      </c>
      <c r="J1244" s="329">
        <f t="shared" si="606"/>
        <v>0</v>
      </c>
      <c r="K1244" s="338">
        <f t="shared" si="622"/>
        <v>15100000</v>
      </c>
      <c r="L1244" s="329">
        <f t="shared" si="607"/>
        <v>0</v>
      </c>
      <c r="M1244" s="338">
        <f t="shared" si="623"/>
        <v>25332976</v>
      </c>
      <c r="N1244" s="329">
        <f t="shared" si="608"/>
        <v>0</v>
      </c>
      <c r="O1244" s="338">
        <f t="shared" si="624"/>
        <v>14300000</v>
      </c>
      <c r="P1244" s="329">
        <f t="shared" si="609"/>
        <v>0</v>
      </c>
      <c r="Q1244" s="338">
        <f t="shared" si="625"/>
        <v>0</v>
      </c>
      <c r="R1244" s="329">
        <f t="shared" si="610"/>
        <v>0</v>
      </c>
      <c r="S1244" s="338">
        <f t="shared" si="626"/>
        <v>10000000</v>
      </c>
      <c r="T1244" s="329">
        <f t="shared" si="611"/>
        <v>0</v>
      </c>
      <c r="U1244" s="338">
        <f t="shared" si="613"/>
        <v>2200000</v>
      </c>
      <c r="V1244" s="329">
        <f t="shared" si="612"/>
        <v>0</v>
      </c>
      <c r="W1244" s="338">
        <f t="shared" si="627"/>
        <v>12224694.890000001</v>
      </c>
      <c r="X1244" s="35"/>
    </row>
    <row r="1245" spans="1:24" x14ac:dyDescent="0.25">
      <c r="A1245" s="335">
        <f t="shared" si="616"/>
        <v>44956</v>
      </c>
      <c r="B1245" s="49">
        <f t="shared" si="614"/>
        <v>0</v>
      </c>
      <c r="C1245" s="338">
        <f t="shared" si="618"/>
        <v>118886089</v>
      </c>
      <c r="D1245" s="329">
        <f t="shared" si="615"/>
        <v>0</v>
      </c>
      <c r="E1245" s="338">
        <f t="shared" si="619"/>
        <v>9769566</v>
      </c>
      <c r="F1245" s="329">
        <f t="shared" si="617"/>
        <v>0</v>
      </c>
      <c r="G1245" s="338">
        <f t="shared" si="620"/>
        <v>76400000</v>
      </c>
      <c r="H1245" s="329">
        <f t="shared" si="605"/>
        <v>0</v>
      </c>
      <c r="I1245" s="338">
        <f t="shared" si="621"/>
        <v>44350150</v>
      </c>
      <c r="J1245" s="329">
        <f t="shared" si="606"/>
        <v>0</v>
      </c>
      <c r="K1245" s="338">
        <f t="shared" si="622"/>
        <v>15100000</v>
      </c>
      <c r="L1245" s="329">
        <f t="shared" si="607"/>
        <v>0</v>
      </c>
      <c r="M1245" s="338">
        <f t="shared" si="623"/>
        <v>25332976</v>
      </c>
      <c r="N1245" s="329">
        <f t="shared" si="608"/>
        <v>0</v>
      </c>
      <c r="O1245" s="338">
        <f t="shared" si="624"/>
        <v>14300000</v>
      </c>
      <c r="P1245" s="329">
        <f t="shared" si="609"/>
        <v>0</v>
      </c>
      <c r="Q1245" s="338">
        <f t="shared" si="625"/>
        <v>0</v>
      </c>
      <c r="R1245" s="329">
        <f t="shared" si="610"/>
        <v>0</v>
      </c>
      <c r="S1245" s="338">
        <f t="shared" si="626"/>
        <v>10000000</v>
      </c>
      <c r="T1245" s="329">
        <f t="shared" si="611"/>
        <v>0</v>
      </c>
      <c r="U1245" s="338">
        <f t="shared" si="613"/>
        <v>2200000</v>
      </c>
      <c r="V1245" s="329">
        <f t="shared" si="612"/>
        <v>0</v>
      </c>
      <c r="W1245" s="338">
        <f t="shared" si="627"/>
        <v>12224694.890000001</v>
      </c>
      <c r="X1245" s="35"/>
    </row>
    <row r="1246" spans="1:24" x14ac:dyDescent="0.25">
      <c r="A1246" s="335">
        <f t="shared" si="616"/>
        <v>44957</v>
      </c>
      <c r="B1246" s="49">
        <f t="shared" si="614"/>
        <v>0</v>
      </c>
      <c r="C1246" s="338">
        <f t="shared" si="618"/>
        <v>118886089</v>
      </c>
      <c r="D1246" s="329">
        <f t="shared" si="615"/>
        <v>0</v>
      </c>
      <c r="E1246" s="338">
        <f t="shared" si="619"/>
        <v>9769566</v>
      </c>
      <c r="F1246" s="329">
        <f t="shared" si="617"/>
        <v>0</v>
      </c>
      <c r="G1246" s="338">
        <f t="shared" si="620"/>
        <v>76400000</v>
      </c>
      <c r="H1246" s="329">
        <f t="shared" si="605"/>
        <v>0</v>
      </c>
      <c r="I1246" s="338">
        <f t="shared" si="621"/>
        <v>44350150</v>
      </c>
      <c r="J1246" s="329">
        <f t="shared" si="606"/>
        <v>0</v>
      </c>
      <c r="K1246" s="338">
        <f t="shared" si="622"/>
        <v>15100000</v>
      </c>
      <c r="L1246" s="329">
        <f t="shared" si="607"/>
        <v>0</v>
      </c>
      <c r="M1246" s="338">
        <f t="shared" si="623"/>
        <v>25332976</v>
      </c>
      <c r="N1246" s="329">
        <f t="shared" si="608"/>
        <v>0</v>
      </c>
      <c r="O1246" s="338">
        <f t="shared" si="624"/>
        <v>14300000</v>
      </c>
      <c r="P1246" s="329">
        <f t="shared" si="609"/>
        <v>0</v>
      </c>
      <c r="Q1246" s="338">
        <f t="shared" si="625"/>
        <v>0</v>
      </c>
      <c r="R1246" s="329">
        <f t="shared" si="610"/>
        <v>0</v>
      </c>
      <c r="S1246" s="338">
        <f t="shared" si="626"/>
        <v>10000000</v>
      </c>
      <c r="T1246" s="329">
        <f t="shared" si="611"/>
        <v>0</v>
      </c>
      <c r="U1246" s="338">
        <f t="shared" si="613"/>
        <v>2200000</v>
      </c>
      <c r="V1246" s="329">
        <f t="shared" si="612"/>
        <v>0</v>
      </c>
      <c r="W1246" s="338">
        <f t="shared" si="627"/>
        <v>12224694.890000001</v>
      </c>
      <c r="X1246" s="35"/>
    </row>
    <row r="1247" spans="1:24" x14ac:dyDescent="0.25">
      <c r="A1247" s="335">
        <f t="shared" si="616"/>
        <v>44958</v>
      </c>
      <c r="B1247" s="49">
        <f t="shared" si="614"/>
        <v>0</v>
      </c>
      <c r="C1247" s="338">
        <f t="shared" si="618"/>
        <v>118886089</v>
      </c>
      <c r="D1247" s="329">
        <f t="shared" si="615"/>
        <v>0</v>
      </c>
      <c r="E1247" s="338">
        <f t="shared" si="619"/>
        <v>9769566</v>
      </c>
      <c r="F1247" s="329">
        <f t="shared" si="617"/>
        <v>0</v>
      </c>
      <c r="G1247" s="338">
        <f t="shared" si="620"/>
        <v>76400000</v>
      </c>
      <c r="H1247" s="329">
        <f t="shared" si="605"/>
        <v>0</v>
      </c>
      <c r="I1247" s="338">
        <f t="shared" si="621"/>
        <v>44350150</v>
      </c>
      <c r="J1247" s="329">
        <f t="shared" si="606"/>
        <v>0</v>
      </c>
      <c r="K1247" s="338">
        <f t="shared" si="622"/>
        <v>15100000</v>
      </c>
      <c r="L1247" s="329">
        <f t="shared" si="607"/>
        <v>0</v>
      </c>
      <c r="M1247" s="338">
        <f t="shared" si="623"/>
        <v>25332976</v>
      </c>
      <c r="N1247" s="329">
        <f t="shared" si="608"/>
        <v>0</v>
      </c>
      <c r="O1247" s="338">
        <f t="shared" si="624"/>
        <v>14300000</v>
      </c>
      <c r="P1247" s="329">
        <f t="shared" si="609"/>
        <v>0</v>
      </c>
      <c r="Q1247" s="338">
        <f t="shared" si="625"/>
        <v>0</v>
      </c>
      <c r="R1247" s="329">
        <f t="shared" si="610"/>
        <v>0</v>
      </c>
      <c r="S1247" s="338">
        <f t="shared" si="626"/>
        <v>10000000</v>
      </c>
      <c r="T1247" s="329">
        <f t="shared" si="611"/>
        <v>0</v>
      </c>
      <c r="U1247" s="338">
        <f t="shared" si="613"/>
        <v>2200000</v>
      </c>
      <c r="V1247" s="329">
        <f t="shared" si="612"/>
        <v>0</v>
      </c>
      <c r="W1247" s="338">
        <f t="shared" si="627"/>
        <v>12224694.890000001</v>
      </c>
      <c r="X1247" s="35"/>
    </row>
    <row r="1248" spans="1:24" x14ac:dyDescent="0.25">
      <c r="A1248" s="335">
        <f t="shared" si="616"/>
        <v>44959</v>
      </c>
      <c r="B1248" s="49">
        <f t="shared" si="614"/>
        <v>0</v>
      </c>
      <c r="C1248" s="338">
        <f t="shared" si="618"/>
        <v>118886089</v>
      </c>
      <c r="D1248" s="329">
        <f t="shared" si="615"/>
        <v>0</v>
      </c>
      <c r="E1248" s="338">
        <f t="shared" si="619"/>
        <v>9769566</v>
      </c>
      <c r="F1248" s="329">
        <f t="shared" si="617"/>
        <v>0</v>
      </c>
      <c r="G1248" s="338">
        <f t="shared" si="620"/>
        <v>76400000</v>
      </c>
      <c r="H1248" s="329">
        <f t="shared" si="605"/>
        <v>0</v>
      </c>
      <c r="I1248" s="338">
        <f t="shared" si="621"/>
        <v>44350150</v>
      </c>
      <c r="J1248" s="329">
        <f t="shared" si="606"/>
        <v>0</v>
      </c>
      <c r="K1248" s="338">
        <f t="shared" si="622"/>
        <v>15100000</v>
      </c>
      <c r="L1248" s="329">
        <f t="shared" si="607"/>
        <v>0</v>
      </c>
      <c r="M1248" s="338">
        <f t="shared" si="623"/>
        <v>25332976</v>
      </c>
      <c r="N1248" s="329">
        <f t="shared" si="608"/>
        <v>0</v>
      </c>
      <c r="O1248" s="338">
        <f t="shared" si="624"/>
        <v>14300000</v>
      </c>
      <c r="P1248" s="329">
        <f t="shared" si="609"/>
        <v>0</v>
      </c>
      <c r="Q1248" s="338">
        <f t="shared" si="625"/>
        <v>0</v>
      </c>
      <c r="R1248" s="329">
        <f t="shared" si="610"/>
        <v>0</v>
      </c>
      <c r="S1248" s="338">
        <f t="shared" si="626"/>
        <v>10000000</v>
      </c>
      <c r="T1248" s="329">
        <f t="shared" si="611"/>
        <v>0</v>
      </c>
      <c r="U1248" s="338">
        <f t="shared" si="613"/>
        <v>2200000</v>
      </c>
      <c r="V1248" s="329">
        <f t="shared" si="612"/>
        <v>0</v>
      </c>
      <c r="W1248" s="338">
        <f t="shared" si="627"/>
        <v>12224694.890000001</v>
      </c>
      <c r="X1248" s="35"/>
    </row>
    <row r="1249" spans="1:24" x14ac:dyDescent="0.25">
      <c r="A1249" s="335">
        <f t="shared" si="616"/>
        <v>44960</v>
      </c>
      <c r="B1249" s="49">
        <f t="shared" si="614"/>
        <v>0</v>
      </c>
      <c r="C1249" s="338">
        <f t="shared" si="618"/>
        <v>118886089</v>
      </c>
      <c r="D1249" s="329">
        <f t="shared" si="615"/>
        <v>0</v>
      </c>
      <c r="E1249" s="338">
        <f t="shared" si="619"/>
        <v>9769566</v>
      </c>
      <c r="F1249" s="329">
        <f t="shared" si="617"/>
        <v>0</v>
      </c>
      <c r="G1249" s="338">
        <f t="shared" si="620"/>
        <v>76400000</v>
      </c>
      <c r="H1249" s="329">
        <f t="shared" si="605"/>
        <v>0</v>
      </c>
      <c r="I1249" s="338">
        <f t="shared" si="621"/>
        <v>44350150</v>
      </c>
      <c r="J1249" s="329">
        <f t="shared" si="606"/>
        <v>0</v>
      </c>
      <c r="K1249" s="338">
        <f t="shared" si="622"/>
        <v>15100000</v>
      </c>
      <c r="L1249" s="329">
        <f t="shared" si="607"/>
        <v>0</v>
      </c>
      <c r="M1249" s="338">
        <f t="shared" si="623"/>
        <v>25332976</v>
      </c>
      <c r="N1249" s="329">
        <f t="shared" si="608"/>
        <v>0</v>
      </c>
      <c r="O1249" s="338">
        <f t="shared" si="624"/>
        <v>14300000</v>
      </c>
      <c r="P1249" s="329">
        <f t="shared" si="609"/>
        <v>0</v>
      </c>
      <c r="Q1249" s="338">
        <f t="shared" si="625"/>
        <v>0</v>
      </c>
      <c r="R1249" s="329">
        <f t="shared" si="610"/>
        <v>0</v>
      </c>
      <c r="S1249" s="338">
        <f t="shared" si="626"/>
        <v>10000000</v>
      </c>
      <c r="T1249" s="329">
        <f t="shared" si="611"/>
        <v>0</v>
      </c>
      <c r="U1249" s="338">
        <f t="shared" si="613"/>
        <v>2200000</v>
      </c>
      <c r="V1249" s="329">
        <f t="shared" si="612"/>
        <v>0</v>
      </c>
      <c r="W1249" s="338">
        <f t="shared" si="627"/>
        <v>12224694.890000001</v>
      </c>
      <c r="X1249" s="35"/>
    </row>
    <row r="1250" spans="1:24" x14ac:dyDescent="0.25">
      <c r="A1250" s="335">
        <f t="shared" si="616"/>
        <v>44961</v>
      </c>
      <c r="B1250" s="49">
        <f t="shared" si="614"/>
        <v>0</v>
      </c>
      <c r="C1250" s="338">
        <f t="shared" si="618"/>
        <v>118886089</v>
      </c>
      <c r="D1250" s="329">
        <f t="shared" si="615"/>
        <v>0</v>
      </c>
      <c r="E1250" s="338">
        <f t="shared" si="619"/>
        <v>9769566</v>
      </c>
      <c r="F1250" s="329">
        <f t="shared" si="617"/>
        <v>0</v>
      </c>
      <c r="G1250" s="338">
        <f t="shared" si="620"/>
        <v>76400000</v>
      </c>
      <c r="H1250" s="329">
        <f t="shared" si="605"/>
        <v>0</v>
      </c>
      <c r="I1250" s="338">
        <f t="shared" si="621"/>
        <v>44350150</v>
      </c>
      <c r="J1250" s="329">
        <f t="shared" si="606"/>
        <v>0</v>
      </c>
      <c r="K1250" s="338">
        <f t="shared" si="622"/>
        <v>15100000</v>
      </c>
      <c r="L1250" s="329">
        <f t="shared" si="607"/>
        <v>0</v>
      </c>
      <c r="M1250" s="338">
        <f t="shared" si="623"/>
        <v>25332976</v>
      </c>
      <c r="N1250" s="329">
        <f t="shared" si="608"/>
        <v>0</v>
      </c>
      <c r="O1250" s="338">
        <f t="shared" si="624"/>
        <v>14300000</v>
      </c>
      <c r="P1250" s="329">
        <f t="shared" si="609"/>
        <v>0</v>
      </c>
      <c r="Q1250" s="338">
        <f t="shared" si="625"/>
        <v>0</v>
      </c>
      <c r="R1250" s="329">
        <f t="shared" si="610"/>
        <v>0</v>
      </c>
      <c r="S1250" s="338">
        <f t="shared" si="626"/>
        <v>10000000</v>
      </c>
      <c r="T1250" s="329">
        <f t="shared" si="611"/>
        <v>0</v>
      </c>
      <c r="U1250" s="338">
        <f t="shared" si="613"/>
        <v>2200000</v>
      </c>
      <c r="V1250" s="329">
        <f t="shared" si="612"/>
        <v>0</v>
      </c>
      <c r="W1250" s="338">
        <f t="shared" si="627"/>
        <v>12224694.890000001</v>
      </c>
      <c r="X1250" s="35"/>
    </row>
    <row r="1251" spans="1:24" x14ac:dyDescent="0.25">
      <c r="A1251" s="335">
        <f t="shared" si="616"/>
        <v>44962</v>
      </c>
      <c r="B1251" s="49">
        <f t="shared" si="614"/>
        <v>0</v>
      </c>
      <c r="C1251" s="338">
        <f t="shared" si="618"/>
        <v>118886089</v>
      </c>
      <c r="D1251" s="329">
        <f t="shared" si="615"/>
        <v>0</v>
      </c>
      <c r="E1251" s="338">
        <f t="shared" si="619"/>
        <v>9769566</v>
      </c>
      <c r="F1251" s="329">
        <f t="shared" si="617"/>
        <v>0</v>
      </c>
      <c r="G1251" s="338">
        <f t="shared" si="620"/>
        <v>76400000</v>
      </c>
      <c r="H1251" s="329">
        <f t="shared" si="605"/>
        <v>0</v>
      </c>
      <c r="I1251" s="338">
        <f t="shared" si="621"/>
        <v>44350150</v>
      </c>
      <c r="J1251" s="329">
        <f t="shared" si="606"/>
        <v>0</v>
      </c>
      <c r="K1251" s="338">
        <f t="shared" si="622"/>
        <v>15100000</v>
      </c>
      <c r="L1251" s="329">
        <f t="shared" si="607"/>
        <v>0</v>
      </c>
      <c r="M1251" s="338">
        <f t="shared" si="623"/>
        <v>25332976</v>
      </c>
      <c r="N1251" s="329">
        <f t="shared" si="608"/>
        <v>0</v>
      </c>
      <c r="O1251" s="338">
        <f t="shared" si="624"/>
        <v>14300000</v>
      </c>
      <c r="P1251" s="329">
        <f t="shared" si="609"/>
        <v>0</v>
      </c>
      <c r="Q1251" s="338">
        <f t="shared" si="625"/>
        <v>0</v>
      </c>
      <c r="R1251" s="329">
        <f t="shared" si="610"/>
        <v>0</v>
      </c>
      <c r="S1251" s="338">
        <f t="shared" si="626"/>
        <v>10000000</v>
      </c>
      <c r="T1251" s="329">
        <f t="shared" si="611"/>
        <v>0</v>
      </c>
      <c r="U1251" s="338">
        <f t="shared" si="613"/>
        <v>2200000</v>
      </c>
      <c r="V1251" s="329">
        <f t="shared" si="612"/>
        <v>0</v>
      </c>
      <c r="W1251" s="338">
        <f t="shared" si="627"/>
        <v>12224694.890000001</v>
      </c>
      <c r="X1251" s="35"/>
    </row>
    <row r="1252" spans="1:24" x14ac:dyDescent="0.25">
      <c r="A1252" s="335">
        <f t="shared" si="616"/>
        <v>44963</v>
      </c>
      <c r="B1252" s="49">
        <f t="shared" si="614"/>
        <v>0</v>
      </c>
      <c r="C1252" s="338">
        <f t="shared" si="618"/>
        <v>118886089</v>
      </c>
      <c r="D1252" s="329">
        <f t="shared" si="615"/>
        <v>0</v>
      </c>
      <c r="E1252" s="338">
        <f t="shared" si="619"/>
        <v>9769566</v>
      </c>
      <c r="F1252" s="329">
        <f t="shared" si="617"/>
        <v>0</v>
      </c>
      <c r="G1252" s="338">
        <f t="shared" si="620"/>
        <v>76400000</v>
      </c>
      <c r="H1252" s="329">
        <f t="shared" si="605"/>
        <v>0</v>
      </c>
      <c r="I1252" s="338">
        <f t="shared" si="621"/>
        <v>44350150</v>
      </c>
      <c r="J1252" s="329">
        <f t="shared" si="606"/>
        <v>0</v>
      </c>
      <c r="K1252" s="338">
        <f t="shared" si="622"/>
        <v>15100000</v>
      </c>
      <c r="L1252" s="329">
        <f t="shared" si="607"/>
        <v>0</v>
      </c>
      <c r="M1252" s="338">
        <f t="shared" si="623"/>
        <v>25332976</v>
      </c>
      <c r="N1252" s="329">
        <f t="shared" si="608"/>
        <v>0</v>
      </c>
      <c r="O1252" s="338">
        <f t="shared" si="624"/>
        <v>14300000</v>
      </c>
      <c r="P1252" s="329">
        <f t="shared" si="609"/>
        <v>0</v>
      </c>
      <c r="Q1252" s="338">
        <f t="shared" si="625"/>
        <v>0</v>
      </c>
      <c r="R1252" s="329">
        <f t="shared" si="610"/>
        <v>0</v>
      </c>
      <c r="S1252" s="338">
        <f t="shared" si="626"/>
        <v>10000000</v>
      </c>
      <c r="T1252" s="329">
        <f t="shared" si="611"/>
        <v>0</v>
      </c>
      <c r="U1252" s="338">
        <f t="shared" si="613"/>
        <v>2200000</v>
      </c>
      <c r="V1252" s="329">
        <f t="shared" si="612"/>
        <v>0</v>
      </c>
      <c r="W1252" s="338">
        <f t="shared" si="627"/>
        <v>12224694.890000001</v>
      </c>
      <c r="X1252" s="35"/>
    </row>
    <row r="1253" spans="1:24" x14ac:dyDescent="0.25">
      <c r="A1253" s="335">
        <f t="shared" si="616"/>
        <v>44964</v>
      </c>
      <c r="B1253" s="49">
        <f t="shared" si="614"/>
        <v>0</v>
      </c>
      <c r="C1253" s="338">
        <f t="shared" si="618"/>
        <v>118886089</v>
      </c>
      <c r="D1253" s="329">
        <f t="shared" si="615"/>
        <v>0</v>
      </c>
      <c r="E1253" s="338">
        <f t="shared" si="619"/>
        <v>9769566</v>
      </c>
      <c r="F1253" s="329">
        <f t="shared" si="617"/>
        <v>0</v>
      </c>
      <c r="G1253" s="338">
        <f t="shared" si="620"/>
        <v>76400000</v>
      </c>
      <c r="H1253" s="329">
        <f t="shared" si="605"/>
        <v>0</v>
      </c>
      <c r="I1253" s="338">
        <f t="shared" si="621"/>
        <v>44350150</v>
      </c>
      <c r="J1253" s="329">
        <f t="shared" si="606"/>
        <v>0</v>
      </c>
      <c r="K1253" s="338">
        <f t="shared" si="622"/>
        <v>15100000</v>
      </c>
      <c r="L1253" s="329">
        <f t="shared" si="607"/>
        <v>0</v>
      </c>
      <c r="M1253" s="338">
        <f t="shared" si="623"/>
        <v>25332976</v>
      </c>
      <c r="N1253" s="329">
        <f t="shared" si="608"/>
        <v>0</v>
      </c>
      <c r="O1253" s="338">
        <f t="shared" si="624"/>
        <v>14300000</v>
      </c>
      <c r="P1253" s="329">
        <f t="shared" si="609"/>
        <v>0</v>
      </c>
      <c r="Q1253" s="338">
        <f t="shared" si="625"/>
        <v>0</v>
      </c>
      <c r="R1253" s="329">
        <f t="shared" si="610"/>
        <v>0</v>
      </c>
      <c r="S1253" s="338">
        <f t="shared" si="626"/>
        <v>10000000</v>
      </c>
      <c r="T1253" s="329">
        <f t="shared" si="611"/>
        <v>0</v>
      </c>
      <c r="U1253" s="338">
        <f t="shared" si="613"/>
        <v>2200000</v>
      </c>
      <c r="V1253" s="329">
        <f t="shared" si="612"/>
        <v>0</v>
      </c>
      <c r="W1253" s="338">
        <f t="shared" si="627"/>
        <v>12224694.890000001</v>
      </c>
      <c r="X1253" s="35"/>
    </row>
    <row r="1254" spans="1:24" x14ac:dyDescent="0.25">
      <c r="A1254" s="335">
        <f t="shared" si="616"/>
        <v>44965</v>
      </c>
      <c r="B1254" s="49">
        <f t="shared" si="614"/>
        <v>0</v>
      </c>
      <c r="C1254" s="338">
        <f t="shared" si="618"/>
        <v>118886089</v>
      </c>
      <c r="D1254" s="329">
        <f t="shared" si="615"/>
        <v>0</v>
      </c>
      <c r="E1254" s="338">
        <f t="shared" si="619"/>
        <v>9769566</v>
      </c>
      <c r="F1254" s="329">
        <f t="shared" si="617"/>
        <v>0</v>
      </c>
      <c r="G1254" s="338">
        <f t="shared" si="620"/>
        <v>76400000</v>
      </c>
      <c r="H1254" s="329">
        <f t="shared" si="605"/>
        <v>0</v>
      </c>
      <c r="I1254" s="338">
        <f t="shared" si="621"/>
        <v>44350150</v>
      </c>
      <c r="J1254" s="329">
        <f t="shared" si="606"/>
        <v>0</v>
      </c>
      <c r="K1254" s="338">
        <f t="shared" si="622"/>
        <v>15100000</v>
      </c>
      <c r="L1254" s="329">
        <f t="shared" si="607"/>
        <v>0</v>
      </c>
      <c r="M1254" s="338">
        <f t="shared" si="623"/>
        <v>25332976</v>
      </c>
      <c r="N1254" s="329">
        <f t="shared" si="608"/>
        <v>0</v>
      </c>
      <c r="O1254" s="338">
        <f t="shared" si="624"/>
        <v>14300000</v>
      </c>
      <c r="P1254" s="329">
        <f t="shared" si="609"/>
        <v>0</v>
      </c>
      <c r="Q1254" s="338">
        <f t="shared" si="625"/>
        <v>0</v>
      </c>
      <c r="R1254" s="329">
        <f t="shared" si="610"/>
        <v>0</v>
      </c>
      <c r="S1254" s="338">
        <f t="shared" si="626"/>
        <v>10000000</v>
      </c>
      <c r="T1254" s="329">
        <f t="shared" si="611"/>
        <v>0</v>
      </c>
      <c r="U1254" s="338">
        <f t="shared" si="613"/>
        <v>2200000</v>
      </c>
      <c r="V1254" s="329">
        <f t="shared" si="612"/>
        <v>0</v>
      </c>
      <c r="W1254" s="338">
        <f t="shared" si="627"/>
        <v>12224694.890000001</v>
      </c>
      <c r="X1254" s="35"/>
    </row>
    <row r="1255" spans="1:24" x14ac:dyDescent="0.25">
      <c r="A1255" s="335">
        <f t="shared" si="616"/>
        <v>44966</v>
      </c>
      <c r="B1255" s="49">
        <f t="shared" si="614"/>
        <v>0</v>
      </c>
      <c r="C1255" s="338">
        <f t="shared" si="618"/>
        <v>118886089</v>
      </c>
      <c r="D1255" s="329">
        <f t="shared" si="615"/>
        <v>0</v>
      </c>
      <c r="E1255" s="338">
        <f t="shared" si="619"/>
        <v>9769566</v>
      </c>
      <c r="F1255" s="329">
        <f t="shared" si="617"/>
        <v>0</v>
      </c>
      <c r="G1255" s="338">
        <f t="shared" si="620"/>
        <v>76400000</v>
      </c>
      <c r="H1255" s="329">
        <f t="shared" si="605"/>
        <v>0</v>
      </c>
      <c r="I1255" s="338">
        <f t="shared" si="621"/>
        <v>44350150</v>
      </c>
      <c r="J1255" s="329">
        <f t="shared" si="606"/>
        <v>0</v>
      </c>
      <c r="K1255" s="338">
        <f t="shared" si="622"/>
        <v>15100000</v>
      </c>
      <c r="L1255" s="329">
        <f t="shared" si="607"/>
        <v>0</v>
      </c>
      <c r="M1255" s="338">
        <f t="shared" si="623"/>
        <v>25332976</v>
      </c>
      <c r="N1255" s="329">
        <f t="shared" si="608"/>
        <v>0</v>
      </c>
      <c r="O1255" s="338">
        <f t="shared" si="624"/>
        <v>14300000</v>
      </c>
      <c r="P1255" s="329">
        <f t="shared" si="609"/>
        <v>0</v>
      </c>
      <c r="Q1255" s="338">
        <f t="shared" si="625"/>
        <v>0</v>
      </c>
      <c r="R1255" s="329">
        <f t="shared" si="610"/>
        <v>0</v>
      </c>
      <c r="S1255" s="338">
        <f t="shared" si="626"/>
        <v>10000000</v>
      </c>
      <c r="T1255" s="329">
        <f t="shared" si="611"/>
        <v>0</v>
      </c>
      <c r="U1255" s="338">
        <f t="shared" si="613"/>
        <v>2200000</v>
      </c>
      <c r="V1255" s="329">
        <f t="shared" si="612"/>
        <v>0</v>
      </c>
      <c r="W1255" s="338">
        <f t="shared" si="627"/>
        <v>12224694.890000001</v>
      </c>
      <c r="X1255" s="35"/>
    </row>
    <row r="1256" spans="1:24" x14ac:dyDescent="0.25">
      <c r="A1256" s="335">
        <f t="shared" si="616"/>
        <v>44967</v>
      </c>
      <c r="B1256" s="49">
        <f t="shared" si="614"/>
        <v>0</v>
      </c>
      <c r="C1256" s="338">
        <f t="shared" si="618"/>
        <v>118886089</v>
      </c>
      <c r="D1256" s="329">
        <f t="shared" si="615"/>
        <v>0</v>
      </c>
      <c r="E1256" s="338">
        <f t="shared" si="619"/>
        <v>9769566</v>
      </c>
      <c r="F1256" s="329">
        <f t="shared" si="617"/>
        <v>0</v>
      </c>
      <c r="G1256" s="338">
        <f t="shared" si="620"/>
        <v>76400000</v>
      </c>
      <c r="H1256" s="329">
        <f t="shared" si="605"/>
        <v>0</v>
      </c>
      <c r="I1256" s="338">
        <f t="shared" si="621"/>
        <v>44350150</v>
      </c>
      <c r="J1256" s="329">
        <f t="shared" si="606"/>
        <v>0</v>
      </c>
      <c r="K1256" s="338">
        <f t="shared" si="622"/>
        <v>15100000</v>
      </c>
      <c r="L1256" s="329">
        <f t="shared" si="607"/>
        <v>0</v>
      </c>
      <c r="M1256" s="338">
        <f t="shared" si="623"/>
        <v>25332976</v>
      </c>
      <c r="N1256" s="329">
        <f t="shared" si="608"/>
        <v>0</v>
      </c>
      <c r="O1256" s="338">
        <f t="shared" si="624"/>
        <v>14300000</v>
      </c>
      <c r="P1256" s="329">
        <f t="shared" si="609"/>
        <v>0</v>
      </c>
      <c r="Q1256" s="338">
        <f t="shared" si="625"/>
        <v>0</v>
      </c>
      <c r="R1256" s="329">
        <f t="shared" si="610"/>
        <v>0</v>
      </c>
      <c r="S1256" s="338">
        <f t="shared" si="626"/>
        <v>10000000</v>
      </c>
      <c r="T1256" s="329">
        <f t="shared" si="611"/>
        <v>0</v>
      </c>
      <c r="U1256" s="338">
        <f t="shared" si="613"/>
        <v>2200000</v>
      </c>
      <c r="V1256" s="329">
        <f t="shared" si="612"/>
        <v>0</v>
      </c>
      <c r="W1256" s="338">
        <f t="shared" si="627"/>
        <v>12224694.890000001</v>
      </c>
      <c r="X1256" s="35"/>
    </row>
    <row r="1257" spans="1:24" x14ac:dyDescent="0.25">
      <c r="A1257" s="335">
        <f t="shared" si="616"/>
        <v>44968</v>
      </c>
      <c r="B1257" s="49">
        <f t="shared" si="614"/>
        <v>0</v>
      </c>
      <c r="C1257" s="338">
        <f t="shared" si="618"/>
        <v>118886089</v>
      </c>
      <c r="D1257" s="329">
        <f t="shared" si="615"/>
        <v>0</v>
      </c>
      <c r="E1257" s="338">
        <f t="shared" si="619"/>
        <v>9769566</v>
      </c>
      <c r="F1257" s="329">
        <f t="shared" si="617"/>
        <v>0</v>
      </c>
      <c r="G1257" s="338">
        <f t="shared" si="620"/>
        <v>76400000</v>
      </c>
      <c r="H1257" s="329">
        <f t="shared" si="605"/>
        <v>0</v>
      </c>
      <c r="I1257" s="338">
        <f t="shared" si="621"/>
        <v>44350150</v>
      </c>
      <c r="J1257" s="329">
        <f t="shared" si="606"/>
        <v>0</v>
      </c>
      <c r="K1257" s="338">
        <f t="shared" si="622"/>
        <v>15100000</v>
      </c>
      <c r="L1257" s="329">
        <f t="shared" si="607"/>
        <v>0</v>
      </c>
      <c r="M1257" s="338">
        <f t="shared" si="623"/>
        <v>25332976</v>
      </c>
      <c r="N1257" s="329">
        <f t="shared" si="608"/>
        <v>0</v>
      </c>
      <c r="O1257" s="338">
        <f t="shared" si="624"/>
        <v>14300000</v>
      </c>
      <c r="P1257" s="329">
        <f t="shared" si="609"/>
        <v>0</v>
      </c>
      <c r="Q1257" s="338">
        <f t="shared" si="625"/>
        <v>0</v>
      </c>
      <c r="R1257" s="329">
        <f t="shared" si="610"/>
        <v>0</v>
      </c>
      <c r="S1257" s="338">
        <f t="shared" si="626"/>
        <v>10000000</v>
      </c>
      <c r="T1257" s="329">
        <f t="shared" si="611"/>
        <v>0</v>
      </c>
      <c r="U1257" s="338">
        <f t="shared" si="613"/>
        <v>2200000</v>
      </c>
      <c r="V1257" s="329">
        <f t="shared" si="612"/>
        <v>0</v>
      </c>
      <c r="W1257" s="338">
        <f t="shared" si="627"/>
        <v>12224694.890000001</v>
      </c>
      <c r="X1257" s="35"/>
    </row>
    <row r="1258" spans="1:24" x14ac:dyDescent="0.25">
      <c r="A1258" s="335">
        <f t="shared" si="616"/>
        <v>44969</v>
      </c>
      <c r="B1258" s="49">
        <f t="shared" si="614"/>
        <v>0</v>
      </c>
      <c r="C1258" s="338">
        <f t="shared" si="618"/>
        <v>118886089</v>
      </c>
      <c r="D1258" s="329">
        <f t="shared" si="615"/>
        <v>0</v>
      </c>
      <c r="E1258" s="338">
        <f t="shared" si="619"/>
        <v>9769566</v>
      </c>
      <c r="F1258" s="329">
        <f t="shared" si="617"/>
        <v>0</v>
      </c>
      <c r="G1258" s="338">
        <f t="shared" si="620"/>
        <v>76400000</v>
      </c>
      <c r="H1258" s="329">
        <f t="shared" si="605"/>
        <v>0</v>
      </c>
      <c r="I1258" s="338">
        <f t="shared" si="621"/>
        <v>44350150</v>
      </c>
      <c r="J1258" s="329">
        <f t="shared" si="606"/>
        <v>0</v>
      </c>
      <c r="K1258" s="338">
        <f t="shared" si="622"/>
        <v>15100000</v>
      </c>
      <c r="L1258" s="329">
        <f t="shared" si="607"/>
        <v>0</v>
      </c>
      <c r="M1258" s="338">
        <f t="shared" si="623"/>
        <v>25332976</v>
      </c>
      <c r="N1258" s="329">
        <f t="shared" si="608"/>
        <v>0</v>
      </c>
      <c r="O1258" s="338">
        <f t="shared" si="624"/>
        <v>14300000</v>
      </c>
      <c r="P1258" s="329">
        <f t="shared" si="609"/>
        <v>0</v>
      </c>
      <c r="Q1258" s="338">
        <f t="shared" si="625"/>
        <v>0</v>
      </c>
      <c r="R1258" s="329">
        <f t="shared" si="610"/>
        <v>0</v>
      </c>
      <c r="S1258" s="338">
        <f t="shared" si="626"/>
        <v>10000000</v>
      </c>
      <c r="T1258" s="329">
        <f t="shared" si="611"/>
        <v>0</v>
      </c>
      <c r="U1258" s="338">
        <f t="shared" si="613"/>
        <v>2200000</v>
      </c>
      <c r="V1258" s="329">
        <f t="shared" si="612"/>
        <v>0</v>
      </c>
      <c r="W1258" s="338">
        <f t="shared" si="627"/>
        <v>12224694.890000001</v>
      </c>
      <c r="X1258" s="35"/>
    </row>
    <row r="1259" spans="1:24" x14ac:dyDescent="0.25">
      <c r="A1259" s="335">
        <f t="shared" si="616"/>
        <v>44970</v>
      </c>
      <c r="B1259" s="49">
        <f t="shared" si="614"/>
        <v>0</v>
      </c>
      <c r="C1259" s="338">
        <f t="shared" si="618"/>
        <v>118886089</v>
      </c>
      <c r="D1259" s="329">
        <f t="shared" si="615"/>
        <v>0</v>
      </c>
      <c r="E1259" s="338">
        <f t="shared" si="619"/>
        <v>9769566</v>
      </c>
      <c r="F1259" s="329">
        <f t="shared" si="617"/>
        <v>0</v>
      </c>
      <c r="G1259" s="338">
        <f t="shared" si="620"/>
        <v>76400000</v>
      </c>
      <c r="H1259" s="329">
        <f t="shared" ref="H1259:H1322" si="628">SUMIFS(Usage_Main,CF_Dates,$A1259,CF_Descriptions,"XS2091648928 Change")</f>
        <v>0</v>
      </c>
      <c r="I1259" s="338">
        <f t="shared" si="621"/>
        <v>44350150</v>
      </c>
      <c r="J1259" s="329">
        <f t="shared" ref="J1259:J1322" si="629">SUMIFS(Usage_Main,CF_Dates,$A1259,CF_Descriptions,"Southern Apple Change")</f>
        <v>0</v>
      </c>
      <c r="K1259" s="338">
        <f t="shared" si="622"/>
        <v>15100000</v>
      </c>
      <c r="L1259" s="329">
        <f t="shared" ref="L1259:L1322" si="630">SUMIFS(Usage_Main,CF_Dates,$A1259,CF_Descriptions,"ALMONDUSD Change")</f>
        <v>0</v>
      </c>
      <c r="M1259" s="338">
        <f t="shared" si="623"/>
        <v>25332976</v>
      </c>
      <c r="N1259" s="329">
        <f t="shared" ref="N1259:N1322" si="631">SUMIFS(Usage_Main,CF_Dates,$A1259,CF_Descriptions,"ALMONDEUR Change")</f>
        <v>0</v>
      </c>
      <c r="O1259" s="338">
        <f t="shared" si="624"/>
        <v>14300000</v>
      </c>
      <c r="P1259" s="329">
        <f t="shared" ref="P1259:P1322" si="632">SUMIFS(Usage_Main,CF_Dates,$A1259,CF_Descriptions,"HEXZETA Change")</f>
        <v>0</v>
      </c>
      <c r="Q1259" s="338">
        <f t="shared" si="625"/>
        <v>0</v>
      </c>
      <c r="R1259" s="329">
        <f t="shared" ref="R1259:R1322" si="633">SUMIFS(Usage_Main,CF_Dates,$A1259,CF_Descriptions,"MNTNCHERRY Change")</f>
        <v>0</v>
      </c>
      <c r="S1259" s="338">
        <f t="shared" si="626"/>
        <v>10000000</v>
      </c>
      <c r="T1259" s="329">
        <f t="shared" ref="T1259:T1322" si="634">SUMIFS(Usage_Main,CF_Dates,$A1259,CF_Descriptions,"OLIVEUSD Change")</f>
        <v>0</v>
      </c>
      <c r="U1259" s="338">
        <f t="shared" si="613"/>
        <v>2200000</v>
      </c>
      <c r="V1259" s="329">
        <f t="shared" ref="V1259:V1322" si="635">SUMIFS(Usage_Main,CF_Dates,$A1259,CF_Descriptions,"OLIVEEUR Change")</f>
        <v>0</v>
      </c>
      <c r="W1259" s="338">
        <f t="shared" si="627"/>
        <v>12224694.890000001</v>
      </c>
      <c r="X1259" s="35"/>
    </row>
    <row r="1260" spans="1:24" x14ac:dyDescent="0.25">
      <c r="A1260" s="335">
        <f t="shared" si="616"/>
        <v>44971</v>
      </c>
      <c r="B1260" s="49">
        <f t="shared" si="614"/>
        <v>0</v>
      </c>
      <c r="C1260" s="338">
        <f t="shared" si="618"/>
        <v>118886089</v>
      </c>
      <c r="D1260" s="329">
        <f t="shared" si="615"/>
        <v>0</v>
      </c>
      <c r="E1260" s="338">
        <f t="shared" si="619"/>
        <v>9769566</v>
      </c>
      <c r="F1260" s="329">
        <f t="shared" si="617"/>
        <v>0</v>
      </c>
      <c r="G1260" s="338">
        <f t="shared" si="620"/>
        <v>76400000</v>
      </c>
      <c r="H1260" s="329">
        <f t="shared" si="628"/>
        <v>0</v>
      </c>
      <c r="I1260" s="338">
        <f t="shared" si="621"/>
        <v>44350150</v>
      </c>
      <c r="J1260" s="329">
        <f t="shared" si="629"/>
        <v>0</v>
      </c>
      <c r="K1260" s="338">
        <f t="shared" si="622"/>
        <v>15100000</v>
      </c>
      <c r="L1260" s="329">
        <f t="shared" si="630"/>
        <v>0</v>
      </c>
      <c r="M1260" s="338">
        <f t="shared" si="623"/>
        <v>25332976</v>
      </c>
      <c r="N1260" s="329">
        <f t="shared" si="631"/>
        <v>0</v>
      </c>
      <c r="O1260" s="338">
        <f t="shared" si="624"/>
        <v>14300000</v>
      </c>
      <c r="P1260" s="329">
        <f t="shared" si="632"/>
        <v>0</v>
      </c>
      <c r="Q1260" s="338">
        <f t="shared" si="625"/>
        <v>0</v>
      </c>
      <c r="R1260" s="329">
        <f t="shared" si="633"/>
        <v>0</v>
      </c>
      <c r="S1260" s="338">
        <f t="shared" si="626"/>
        <v>10000000</v>
      </c>
      <c r="T1260" s="329">
        <f t="shared" si="634"/>
        <v>0</v>
      </c>
      <c r="U1260" s="338">
        <f t="shared" ref="U1260:U1322" si="636">T1260+U1259</f>
        <v>2200000</v>
      </c>
      <c r="V1260" s="329">
        <f t="shared" si="635"/>
        <v>0</v>
      </c>
      <c r="W1260" s="338">
        <f t="shared" si="627"/>
        <v>12224694.890000001</v>
      </c>
      <c r="X1260" s="35"/>
    </row>
    <row r="1261" spans="1:24" x14ac:dyDescent="0.25">
      <c r="A1261" s="335">
        <f t="shared" si="616"/>
        <v>44972</v>
      </c>
      <c r="B1261" s="49">
        <f t="shared" si="614"/>
        <v>0</v>
      </c>
      <c r="C1261" s="338">
        <f t="shared" si="618"/>
        <v>118886089</v>
      </c>
      <c r="D1261" s="329">
        <f t="shared" si="615"/>
        <v>0</v>
      </c>
      <c r="E1261" s="338">
        <f t="shared" si="619"/>
        <v>9769566</v>
      </c>
      <c r="F1261" s="329">
        <f t="shared" si="617"/>
        <v>0</v>
      </c>
      <c r="G1261" s="338">
        <f t="shared" si="620"/>
        <v>76400000</v>
      </c>
      <c r="H1261" s="329">
        <f t="shared" si="628"/>
        <v>0</v>
      </c>
      <c r="I1261" s="338">
        <f t="shared" si="621"/>
        <v>44350150</v>
      </c>
      <c r="J1261" s="329">
        <f t="shared" si="629"/>
        <v>0</v>
      </c>
      <c r="K1261" s="338">
        <f t="shared" si="622"/>
        <v>15100000</v>
      </c>
      <c r="L1261" s="329">
        <f t="shared" si="630"/>
        <v>0</v>
      </c>
      <c r="M1261" s="338">
        <f t="shared" si="623"/>
        <v>25332976</v>
      </c>
      <c r="N1261" s="329">
        <f t="shared" si="631"/>
        <v>0</v>
      </c>
      <c r="O1261" s="338">
        <f t="shared" si="624"/>
        <v>14300000</v>
      </c>
      <c r="P1261" s="329">
        <f t="shared" si="632"/>
        <v>0</v>
      </c>
      <c r="Q1261" s="338">
        <f t="shared" si="625"/>
        <v>0</v>
      </c>
      <c r="R1261" s="329">
        <f t="shared" si="633"/>
        <v>0</v>
      </c>
      <c r="S1261" s="338">
        <f t="shared" si="626"/>
        <v>10000000</v>
      </c>
      <c r="T1261" s="329">
        <f t="shared" si="634"/>
        <v>0</v>
      </c>
      <c r="U1261" s="338">
        <f t="shared" si="636"/>
        <v>2200000</v>
      </c>
      <c r="V1261" s="329">
        <f t="shared" si="635"/>
        <v>0</v>
      </c>
      <c r="W1261" s="338">
        <f t="shared" si="627"/>
        <v>12224694.890000001</v>
      </c>
      <c r="X1261" s="35"/>
    </row>
    <row r="1262" spans="1:24" x14ac:dyDescent="0.25">
      <c r="A1262" s="335">
        <f t="shared" si="616"/>
        <v>44973</v>
      </c>
      <c r="B1262" s="49">
        <f t="shared" si="614"/>
        <v>0</v>
      </c>
      <c r="C1262" s="338">
        <f t="shared" si="618"/>
        <v>118886089</v>
      </c>
      <c r="D1262" s="329">
        <f t="shared" si="615"/>
        <v>0</v>
      </c>
      <c r="E1262" s="338">
        <f t="shared" si="619"/>
        <v>9769566</v>
      </c>
      <c r="F1262" s="329">
        <f t="shared" si="617"/>
        <v>0</v>
      </c>
      <c r="G1262" s="338">
        <f t="shared" si="620"/>
        <v>76400000</v>
      </c>
      <c r="H1262" s="329">
        <f t="shared" si="628"/>
        <v>0</v>
      </c>
      <c r="I1262" s="338">
        <f t="shared" si="621"/>
        <v>44350150</v>
      </c>
      <c r="J1262" s="329">
        <f t="shared" si="629"/>
        <v>0</v>
      </c>
      <c r="K1262" s="338">
        <f t="shared" si="622"/>
        <v>15100000</v>
      </c>
      <c r="L1262" s="329">
        <f t="shared" si="630"/>
        <v>0</v>
      </c>
      <c r="M1262" s="338">
        <f t="shared" si="623"/>
        <v>25332976</v>
      </c>
      <c r="N1262" s="329">
        <f t="shared" si="631"/>
        <v>0</v>
      </c>
      <c r="O1262" s="338">
        <f t="shared" si="624"/>
        <v>14300000</v>
      </c>
      <c r="P1262" s="329">
        <f t="shared" si="632"/>
        <v>0</v>
      </c>
      <c r="Q1262" s="338">
        <f t="shared" si="625"/>
        <v>0</v>
      </c>
      <c r="R1262" s="329">
        <f t="shared" si="633"/>
        <v>0</v>
      </c>
      <c r="S1262" s="338">
        <f t="shared" si="626"/>
        <v>10000000</v>
      </c>
      <c r="T1262" s="329">
        <f t="shared" si="634"/>
        <v>0</v>
      </c>
      <c r="U1262" s="338">
        <f t="shared" si="636"/>
        <v>2200000</v>
      </c>
      <c r="V1262" s="329">
        <f t="shared" si="635"/>
        <v>0</v>
      </c>
      <c r="W1262" s="338">
        <f t="shared" si="627"/>
        <v>12224694.890000001</v>
      </c>
      <c r="X1262" s="35"/>
    </row>
    <row r="1263" spans="1:24" x14ac:dyDescent="0.25">
      <c r="A1263" s="335">
        <f t="shared" si="616"/>
        <v>44974</v>
      </c>
      <c r="B1263" s="49">
        <f t="shared" si="614"/>
        <v>0</v>
      </c>
      <c r="C1263" s="338">
        <f t="shared" si="618"/>
        <v>118886089</v>
      </c>
      <c r="D1263" s="329">
        <f t="shared" si="615"/>
        <v>0</v>
      </c>
      <c r="E1263" s="338">
        <f t="shared" si="619"/>
        <v>9769566</v>
      </c>
      <c r="F1263" s="329">
        <f t="shared" si="617"/>
        <v>0</v>
      </c>
      <c r="G1263" s="338">
        <f t="shared" si="620"/>
        <v>76400000</v>
      </c>
      <c r="H1263" s="329">
        <f t="shared" si="628"/>
        <v>0</v>
      </c>
      <c r="I1263" s="338">
        <f t="shared" si="621"/>
        <v>44350150</v>
      </c>
      <c r="J1263" s="329">
        <f t="shared" si="629"/>
        <v>0</v>
      </c>
      <c r="K1263" s="338">
        <f t="shared" si="622"/>
        <v>15100000</v>
      </c>
      <c r="L1263" s="329">
        <f t="shared" si="630"/>
        <v>0</v>
      </c>
      <c r="M1263" s="338">
        <f t="shared" si="623"/>
        <v>25332976</v>
      </c>
      <c r="N1263" s="329">
        <f t="shared" si="631"/>
        <v>0</v>
      </c>
      <c r="O1263" s="338">
        <f t="shared" si="624"/>
        <v>14300000</v>
      </c>
      <c r="P1263" s="329">
        <f t="shared" si="632"/>
        <v>0</v>
      </c>
      <c r="Q1263" s="338">
        <f t="shared" si="625"/>
        <v>0</v>
      </c>
      <c r="R1263" s="329">
        <f t="shared" si="633"/>
        <v>0</v>
      </c>
      <c r="S1263" s="338">
        <f t="shared" si="626"/>
        <v>10000000</v>
      </c>
      <c r="T1263" s="329">
        <f t="shared" si="634"/>
        <v>0</v>
      </c>
      <c r="U1263" s="338">
        <f t="shared" si="636"/>
        <v>2200000</v>
      </c>
      <c r="V1263" s="329">
        <f t="shared" si="635"/>
        <v>0</v>
      </c>
      <c r="W1263" s="338">
        <f t="shared" si="627"/>
        <v>12224694.890000001</v>
      </c>
      <c r="X1263" s="35"/>
    </row>
    <row r="1264" spans="1:24" x14ac:dyDescent="0.25">
      <c r="A1264" s="335">
        <f t="shared" si="616"/>
        <v>44975</v>
      </c>
      <c r="B1264" s="49">
        <f t="shared" si="614"/>
        <v>0</v>
      </c>
      <c r="C1264" s="338">
        <f t="shared" si="618"/>
        <v>118886089</v>
      </c>
      <c r="D1264" s="329">
        <f t="shared" si="615"/>
        <v>0</v>
      </c>
      <c r="E1264" s="338">
        <f t="shared" si="619"/>
        <v>9769566</v>
      </c>
      <c r="F1264" s="329">
        <f t="shared" si="617"/>
        <v>0</v>
      </c>
      <c r="G1264" s="338">
        <f t="shared" si="620"/>
        <v>76400000</v>
      </c>
      <c r="H1264" s="329">
        <f t="shared" si="628"/>
        <v>0</v>
      </c>
      <c r="I1264" s="338">
        <f t="shared" si="621"/>
        <v>44350150</v>
      </c>
      <c r="J1264" s="329">
        <f t="shared" si="629"/>
        <v>0</v>
      </c>
      <c r="K1264" s="338">
        <f t="shared" si="622"/>
        <v>15100000</v>
      </c>
      <c r="L1264" s="329">
        <f t="shared" si="630"/>
        <v>0</v>
      </c>
      <c r="M1264" s="338">
        <f t="shared" si="623"/>
        <v>25332976</v>
      </c>
      <c r="N1264" s="329">
        <f t="shared" si="631"/>
        <v>0</v>
      </c>
      <c r="O1264" s="338">
        <f t="shared" si="624"/>
        <v>14300000</v>
      </c>
      <c r="P1264" s="329">
        <f t="shared" si="632"/>
        <v>0</v>
      </c>
      <c r="Q1264" s="338">
        <f t="shared" si="625"/>
        <v>0</v>
      </c>
      <c r="R1264" s="329">
        <f t="shared" si="633"/>
        <v>0</v>
      </c>
      <c r="S1264" s="338">
        <f t="shared" si="626"/>
        <v>10000000</v>
      </c>
      <c r="T1264" s="329">
        <f t="shared" si="634"/>
        <v>0</v>
      </c>
      <c r="U1264" s="338">
        <f t="shared" si="636"/>
        <v>2200000</v>
      </c>
      <c r="V1264" s="329">
        <f t="shared" si="635"/>
        <v>0</v>
      </c>
      <c r="W1264" s="338">
        <f t="shared" si="627"/>
        <v>12224694.890000001</v>
      </c>
      <c r="X1264" s="35"/>
    </row>
    <row r="1265" spans="1:24" x14ac:dyDescent="0.25">
      <c r="A1265" s="335">
        <f t="shared" si="616"/>
        <v>44976</v>
      </c>
      <c r="B1265" s="49">
        <f t="shared" si="614"/>
        <v>0</v>
      </c>
      <c r="C1265" s="338">
        <f t="shared" si="618"/>
        <v>118886089</v>
      </c>
      <c r="D1265" s="329">
        <f t="shared" si="615"/>
        <v>0</v>
      </c>
      <c r="E1265" s="338">
        <f t="shared" si="619"/>
        <v>9769566</v>
      </c>
      <c r="F1265" s="329">
        <f t="shared" si="617"/>
        <v>0</v>
      </c>
      <c r="G1265" s="338">
        <f t="shared" si="620"/>
        <v>76400000</v>
      </c>
      <c r="H1265" s="329">
        <f t="shared" si="628"/>
        <v>0</v>
      </c>
      <c r="I1265" s="338">
        <f t="shared" si="621"/>
        <v>44350150</v>
      </c>
      <c r="J1265" s="329">
        <f t="shared" si="629"/>
        <v>0</v>
      </c>
      <c r="K1265" s="338">
        <f t="shared" si="622"/>
        <v>15100000</v>
      </c>
      <c r="L1265" s="329">
        <f t="shared" si="630"/>
        <v>0</v>
      </c>
      <c r="M1265" s="338">
        <f t="shared" si="623"/>
        <v>25332976</v>
      </c>
      <c r="N1265" s="329">
        <f t="shared" si="631"/>
        <v>0</v>
      </c>
      <c r="O1265" s="338">
        <f t="shared" si="624"/>
        <v>14300000</v>
      </c>
      <c r="P1265" s="329">
        <f t="shared" si="632"/>
        <v>0</v>
      </c>
      <c r="Q1265" s="338">
        <f t="shared" si="625"/>
        <v>0</v>
      </c>
      <c r="R1265" s="329">
        <f t="shared" si="633"/>
        <v>0</v>
      </c>
      <c r="S1265" s="338">
        <f t="shared" si="626"/>
        <v>10000000</v>
      </c>
      <c r="T1265" s="329">
        <f t="shared" si="634"/>
        <v>0</v>
      </c>
      <c r="U1265" s="338">
        <f t="shared" si="636"/>
        <v>2200000</v>
      </c>
      <c r="V1265" s="329">
        <f t="shared" si="635"/>
        <v>0</v>
      </c>
      <c r="W1265" s="338">
        <f t="shared" si="627"/>
        <v>12224694.890000001</v>
      </c>
      <c r="X1265" s="35"/>
    </row>
    <row r="1266" spans="1:24" x14ac:dyDescent="0.25">
      <c r="A1266" s="335">
        <f t="shared" si="616"/>
        <v>44977</v>
      </c>
      <c r="B1266" s="49">
        <f t="shared" si="614"/>
        <v>0</v>
      </c>
      <c r="C1266" s="338">
        <f t="shared" si="618"/>
        <v>118886089</v>
      </c>
      <c r="D1266" s="329">
        <f t="shared" si="615"/>
        <v>0</v>
      </c>
      <c r="E1266" s="338">
        <f t="shared" si="619"/>
        <v>9769566</v>
      </c>
      <c r="F1266" s="329">
        <f t="shared" si="617"/>
        <v>0</v>
      </c>
      <c r="G1266" s="338">
        <f t="shared" si="620"/>
        <v>76400000</v>
      </c>
      <c r="H1266" s="329">
        <f t="shared" si="628"/>
        <v>0</v>
      </c>
      <c r="I1266" s="338">
        <f t="shared" si="621"/>
        <v>44350150</v>
      </c>
      <c r="J1266" s="329">
        <f t="shared" si="629"/>
        <v>0</v>
      </c>
      <c r="K1266" s="338">
        <f t="shared" si="622"/>
        <v>15100000</v>
      </c>
      <c r="L1266" s="329">
        <f t="shared" si="630"/>
        <v>0</v>
      </c>
      <c r="M1266" s="338">
        <f t="shared" si="623"/>
        <v>25332976</v>
      </c>
      <c r="N1266" s="329">
        <f t="shared" si="631"/>
        <v>0</v>
      </c>
      <c r="O1266" s="338">
        <f t="shared" si="624"/>
        <v>14300000</v>
      </c>
      <c r="P1266" s="329">
        <f t="shared" si="632"/>
        <v>0</v>
      </c>
      <c r="Q1266" s="338">
        <f t="shared" si="625"/>
        <v>0</v>
      </c>
      <c r="R1266" s="329">
        <f t="shared" si="633"/>
        <v>0</v>
      </c>
      <c r="S1266" s="338">
        <f t="shared" si="626"/>
        <v>10000000</v>
      </c>
      <c r="T1266" s="329">
        <f t="shared" si="634"/>
        <v>0</v>
      </c>
      <c r="U1266" s="338">
        <f t="shared" si="636"/>
        <v>2200000</v>
      </c>
      <c r="V1266" s="329">
        <f t="shared" si="635"/>
        <v>0</v>
      </c>
      <c r="W1266" s="338">
        <f t="shared" si="627"/>
        <v>12224694.890000001</v>
      </c>
      <c r="X1266" s="35"/>
    </row>
    <row r="1267" spans="1:24" x14ac:dyDescent="0.25">
      <c r="A1267" s="335">
        <f t="shared" si="616"/>
        <v>44978</v>
      </c>
      <c r="B1267" s="49">
        <f t="shared" ref="B1267:B1322" si="637">SUMIFS(Usage_Main,CF_Dates,$A1267,CF_Descriptions,"XS1951177309 Change")</f>
        <v>0</v>
      </c>
      <c r="C1267" s="338">
        <f t="shared" si="618"/>
        <v>118886089</v>
      </c>
      <c r="D1267" s="329">
        <f t="shared" ref="D1267:D1322" si="638">SUMIFS(Usage_Main,CF_Dates,$A1267,CF_Descriptions,"SOSPRUCE1 Change")</f>
        <v>0</v>
      </c>
      <c r="E1267" s="338">
        <f t="shared" si="619"/>
        <v>9769566</v>
      </c>
      <c r="F1267" s="329">
        <f t="shared" si="617"/>
        <v>0</v>
      </c>
      <c r="G1267" s="338">
        <f t="shared" si="620"/>
        <v>76400000</v>
      </c>
      <c r="H1267" s="329">
        <f t="shared" si="628"/>
        <v>0</v>
      </c>
      <c r="I1267" s="338">
        <f t="shared" si="621"/>
        <v>44350150</v>
      </c>
      <c r="J1267" s="329">
        <f t="shared" si="629"/>
        <v>0</v>
      </c>
      <c r="K1267" s="338">
        <f t="shared" si="622"/>
        <v>15100000</v>
      </c>
      <c r="L1267" s="329">
        <f t="shared" si="630"/>
        <v>0</v>
      </c>
      <c r="M1267" s="338">
        <f t="shared" si="623"/>
        <v>25332976</v>
      </c>
      <c r="N1267" s="329">
        <f t="shared" si="631"/>
        <v>0</v>
      </c>
      <c r="O1267" s="338">
        <f t="shared" si="624"/>
        <v>14300000</v>
      </c>
      <c r="P1267" s="329">
        <f t="shared" si="632"/>
        <v>0</v>
      </c>
      <c r="Q1267" s="338">
        <f t="shared" si="625"/>
        <v>0</v>
      </c>
      <c r="R1267" s="329">
        <f t="shared" si="633"/>
        <v>0</v>
      </c>
      <c r="S1267" s="338">
        <f t="shared" si="626"/>
        <v>10000000</v>
      </c>
      <c r="T1267" s="329">
        <f t="shared" si="634"/>
        <v>0</v>
      </c>
      <c r="U1267" s="338">
        <f t="shared" si="636"/>
        <v>2200000</v>
      </c>
      <c r="V1267" s="329">
        <f t="shared" si="635"/>
        <v>0</v>
      </c>
      <c r="W1267" s="338">
        <f t="shared" si="627"/>
        <v>12224694.890000001</v>
      </c>
      <c r="X1267" s="35"/>
    </row>
    <row r="1268" spans="1:24" x14ac:dyDescent="0.25">
      <c r="A1268" s="335">
        <f t="shared" si="616"/>
        <v>44979</v>
      </c>
      <c r="B1268" s="49">
        <f t="shared" si="637"/>
        <v>0</v>
      </c>
      <c r="C1268" s="338">
        <f t="shared" si="618"/>
        <v>118886089</v>
      </c>
      <c r="D1268" s="329">
        <f t="shared" si="638"/>
        <v>0</v>
      </c>
      <c r="E1268" s="338">
        <f t="shared" si="619"/>
        <v>9769566</v>
      </c>
      <c r="F1268" s="329">
        <f t="shared" si="617"/>
        <v>0</v>
      </c>
      <c r="G1268" s="338">
        <f t="shared" si="620"/>
        <v>76400000</v>
      </c>
      <c r="H1268" s="329">
        <f t="shared" si="628"/>
        <v>0</v>
      </c>
      <c r="I1268" s="338">
        <f t="shared" si="621"/>
        <v>44350150</v>
      </c>
      <c r="J1268" s="329">
        <f t="shared" si="629"/>
        <v>0</v>
      </c>
      <c r="K1268" s="338">
        <f t="shared" si="622"/>
        <v>15100000</v>
      </c>
      <c r="L1268" s="329">
        <f t="shared" si="630"/>
        <v>0</v>
      </c>
      <c r="M1268" s="338">
        <f t="shared" si="623"/>
        <v>25332976</v>
      </c>
      <c r="N1268" s="329">
        <f t="shared" si="631"/>
        <v>0</v>
      </c>
      <c r="O1268" s="338">
        <f t="shared" si="624"/>
        <v>14300000</v>
      </c>
      <c r="P1268" s="329">
        <f t="shared" si="632"/>
        <v>0</v>
      </c>
      <c r="Q1268" s="338">
        <f t="shared" si="625"/>
        <v>0</v>
      </c>
      <c r="R1268" s="329">
        <f t="shared" si="633"/>
        <v>0</v>
      </c>
      <c r="S1268" s="338">
        <f t="shared" si="626"/>
        <v>10000000</v>
      </c>
      <c r="T1268" s="329">
        <f t="shared" si="634"/>
        <v>0</v>
      </c>
      <c r="U1268" s="338">
        <f t="shared" si="636"/>
        <v>2200000</v>
      </c>
      <c r="V1268" s="329">
        <f t="shared" si="635"/>
        <v>0</v>
      </c>
      <c r="W1268" s="338">
        <f t="shared" si="627"/>
        <v>12224694.890000001</v>
      </c>
      <c r="X1268" s="35"/>
    </row>
    <row r="1269" spans="1:24" x14ac:dyDescent="0.25">
      <c r="A1269" s="335">
        <f t="shared" si="616"/>
        <v>44980</v>
      </c>
      <c r="B1269" s="49">
        <f t="shared" si="637"/>
        <v>0</v>
      </c>
      <c r="C1269" s="338">
        <f t="shared" si="618"/>
        <v>118886089</v>
      </c>
      <c r="D1269" s="329">
        <f t="shared" si="638"/>
        <v>0</v>
      </c>
      <c r="E1269" s="338">
        <f t="shared" si="619"/>
        <v>9769566</v>
      </c>
      <c r="F1269" s="329">
        <f t="shared" si="617"/>
        <v>0</v>
      </c>
      <c r="G1269" s="338">
        <f t="shared" si="620"/>
        <v>76400000</v>
      </c>
      <c r="H1269" s="329">
        <f t="shared" si="628"/>
        <v>0</v>
      </c>
      <c r="I1269" s="338">
        <f t="shared" si="621"/>
        <v>44350150</v>
      </c>
      <c r="J1269" s="329">
        <f t="shared" si="629"/>
        <v>0</v>
      </c>
      <c r="K1269" s="338">
        <f t="shared" si="622"/>
        <v>15100000</v>
      </c>
      <c r="L1269" s="329">
        <f t="shared" si="630"/>
        <v>0</v>
      </c>
      <c r="M1269" s="338">
        <f t="shared" si="623"/>
        <v>25332976</v>
      </c>
      <c r="N1269" s="329">
        <f t="shared" si="631"/>
        <v>0</v>
      </c>
      <c r="O1269" s="338">
        <f t="shared" si="624"/>
        <v>14300000</v>
      </c>
      <c r="P1269" s="329">
        <f t="shared" si="632"/>
        <v>0</v>
      </c>
      <c r="Q1269" s="338">
        <f t="shared" si="625"/>
        <v>0</v>
      </c>
      <c r="R1269" s="329">
        <f t="shared" si="633"/>
        <v>0</v>
      </c>
      <c r="S1269" s="338">
        <f t="shared" si="626"/>
        <v>10000000</v>
      </c>
      <c r="T1269" s="329">
        <f t="shared" si="634"/>
        <v>0</v>
      </c>
      <c r="U1269" s="338">
        <f t="shared" si="636"/>
        <v>2200000</v>
      </c>
      <c r="V1269" s="329">
        <f t="shared" si="635"/>
        <v>0</v>
      </c>
      <c r="W1269" s="338">
        <f t="shared" si="627"/>
        <v>12224694.890000001</v>
      </c>
      <c r="X1269" s="35"/>
    </row>
    <row r="1270" spans="1:24" x14ac:dyDescent="0.25">
      <c r="A1270" s="335">
        <f t="shared" si="616"/>
        <v>44981</v>
      </c>
      <c r="B1270" s="49">
        <f t="shared" si="637"/>
        <v>0</v>
      </c>
      <c r="C1270" s="338">
        <f t="shared" si="618"/>
        <v>118886089</v>
      </c>
      <c r="D1270" s="329">
        <f t="shared" si="638"/>
        <v>0</v>
      </c>
      <c r="E1270" s="338">
        <f t="shared" si="619"/>
        <v>9769566</v>
      </c>
      <c r="F1270" s="329">
        <f t="shared" si="617"/>
        <v>0</v>
      </c>
      <c r="G1270" s="338">
        <f t="shared" si="620"/>
        <v>76400000</v>
      </c>
      <c r="H1270" s="329">
        <f t="shared" si="628"/>
        <v>0</v>
      </c>
      <c r="I1270" s="338">
        <f t="shared" si="621"/>
        <v>44350150</v>
      </c>
      <c r="J1270" s="329">
        <f t="shared" si="629"/>
        <v>0</v>
      </c>
      <c r="K1270" s="338">
        <f t="shared" si="622"/>
        <v>15100000</v>
      </c>
      <c r="L1270" s="329">
        <f t="shared" si="630"/>
        <v>0</v>
      </c>
      <c r="M1270" s="338">
        <f t="shared" si="623"/>
        <v>25332976</v>
      </c>
      <c r="N1270" s="329">
        <f t="shared" si="631"/>
        <v>0</v>
      </c>
      <c r="O1270" s="338">
        <f t="shared" si="624"/>
        <v>14300000</v>
      </c>
      <c r="P1270" s="329">
        <f t="shared" si="632"/>
        <v>0</v>
      </c>
      <c r="Q1270" s="338">
        <f t="shared" si="625"/>
        <v>0</v>
      </c>
      <c r="R1270" s="329">
        <f t="shared" si="633"/>
        <v>0</v>
      </c>
      <c r="S1270" s="338">
        <f t="shared" si="626"/>
        <v>10000000</v>
      </c>
      <c r="T1270" s="329">
        <f t="shared" si="634"/>
        <v>0</v>
      </c>
      <c r="U1270" s="338">
        <f t="shared" si="636"/>
        <v>2200000</v>
      </c>
      <c r="V1270" s="329">
        <f t="shared" si="635"/>
        <v>0</v>
      </c>
      <c r="W1270" s="338">
        <f t="shared" si="627"/>
        <v>12224694.890000001</v>
      </c>
      <c r="X1270" s="35"/>
    </row>
    <row r="1271" spans="1:24" x14ac:dyDescent="0.25">
      <c r="A1271" s="335">
        <f t="shared" si="616"/>
        <v>44982</v>
      </c>
      <c r="B1271" s="49">
        <f t="shared" si="637"/>
        <v>0</v>
      </c>
      <c r="C1271" s="338">
        <f t="shared" si="618"/>
        <v>118886089</v>
      </c>
      <c r="D1271" s="329">
        <f t="shared" si="638"/>
        <v>0</v>
      </c>
      <c r="E1271" s="338">
        <f t="shared" si="619"/>
        <v>9769566</v>
      </c>
      <c r="F1271" s="329">
        <f t="shared" si="617"/>
        <v>0</v>
      </c>
      <c r="G1271" s="338">
        <f t="shared" si="620"/>
        <v>76400000</v>
      </c>
      <c r="H1271" s="329">
        <f t="shared" si="628"/>
        <v>0</v>
      </c>
      <c r="I1271" s="338">
        <f t="shared" si="621"/>
        <v>44350150</v>
      </c>
      <c r="J1271" s="329">
        <f t="shared" si="629"/>
        <v>0</v>
      </c>
      <c r="K1271" s="338">
        <f t="shared" si="622"/>
        <v>15100000</v>
      </c>
      <c r="L1271" s="329">
        <f t="shared" si="630"/>
        <v>0</v>
      </c>
      <c r="M1271" s="338">
        <f t="shared" si="623"/>
        <v>25332976</v>
      </c>
      <c r="N1271" s="329">
        <f t="shared" si="631"/>
        <v>0</v>
      </c>
      <c r="O1271" s="338">
        <f t="shared" si="624"/>
        <v>14300000</v>
      </c>
      <c r="P1271" s="329">
        <f t="shared" si="632"/>
        <v>0</v>
      </c>
      <c r="Q1271" s="338">
        <f t="shared" si="625"/>
        <v>0</v>
      </c>
      <c r="R1271" s="329">
        <f t="shared" si="633"/>
        <v>0</v>
      </c>
      <c r="S1271" s="338">
        <f t="shared" si="626"/>
        <v>10000000</v>
      </c>
      <c r="T1271" s="329">
        <f t="shared" si="634"/>
        <v>0</v>
      </c>
      <c r="U1271" s="338">
        <f t="shared" si="636"/>
        <v>2200000</v>
      </c>
      <c r="V1271" s="329">
        <f t="shared" si="635"/>
        <v>0</v>
      </c>
      <c r="W1271" s="338">
        <f t="shared" si="627"/>
        <v>12224694.890000001</v>
      </c>
      <c r="X1271" s="35"/>
    </row>
    <row r="1272" spans="1:24" x14ac:dyDescent="0.25">
      <c r="A1272" s="335">
        <f t="shared" si="616"/>
        <v>44983</v>
      </c>
      <c r="B1272" s="49">
        <f t="shared" si="637"/>
        <v>0</v>
      </c>
      <c r="C1272" s="338">
        <f t="shared" si="618"/>
        <v>118886089</v>
      </c>
      <c r="D1272" s="329">
        <f t="shared" si="638"/>
        <v>0</v>
      </c>
      <c r="E1272" s="338">
        <f t="shared" si="619"/>
        <v>9769566</v>
      </c>
      <c r="F1272" s="329">
        <f t="shared" si="617"/>
        <v>0</v>
      </c>
      <c r="G1272" s="338">
        <f t="shared" si="620"/>
        <v>76400000</v>
      </c>
      <c r="H1272" s="329">
        <f t="shared" si="628"/>
        <v>0</v>
      </c>
      <c r="I1272" s="338">
        <f t="shared" si="621"/>
        <v>44350150</v>
      </c>
      <c r="J1272" s="329">
        <f t="shared" si="629"/>
        <v>0</v>
      </c>
      <c r="K1272" s="338">
        <f t="shared" si="622"/>
        <v>15100000</v>
      </c>
      <c r="L1272" s="329">
        <f t="shared" si="630"/>
        <v>0</v>
      </c>
      <c r="M1272" s="338">
        <f t="shared" si="623"/>
        <v>25332976</v>
      </c>
      <c r="N1272" s="329">
        <f t="shared" si="631"/>
        <v>0</v>
      </c>
      <c r="O1272" s="338">
        <f t="shared" si="624"/>
        <v>14300000</v>
      </c>
      <c r="P1272" s="329">
        <f t="shared" si="632"/>
        <v>0</v>
      </c>
      <c r="Q1272" s="338">
        <f t="shared" si="625"/>
        <v>0</v>
      </c>
      <c r="R1272" s="329">
        <f t="shared" si="633"/>
        <v>0</v>
      </c>
      <c r="S1272" s="338">
        <f t="shared" si="626"/>
        <v>10000000</v>
      </c>
      <c r="T1272" s="329">
        <f t="shared" si="634"/>
        <v>0</v>
      </c>
      <c r="U1272" s="338">
        <f t="shared" si="636"/>
        <v>2200000</v>
      </c>
      <c r="V1272" s="329">
        <f t="shared" si="635"/>
        <v>0</v>
      </c>
      <c r="W1272" s="338">
        <f t="shared" si="627"/>
        <v>12224694.890000001</v>
      </c>
      <c r="X1272" s="35"/>
    </row>
    <row r="1273" spans="1:24" x14ac:dyDescent="0.25">
      <c r="A1273" s="335">
        <f t="shared" si="616"/>
        <v>44984</v>
      </c>
      <c r="B1273" s="49">
        <f t="shared" si="637"/>
        <v>0</v>
      </c>
      <c r="C1273" s="338">
        <f t="shared" si="618"/>
        <v>118886089</v>
      </c>
      <c r="D1273" s="329">
        <f t="shared" si="638"/>
        <v>0</v>
      </c>
      <c r="E1273" s="338">
        <f t="shared" si="619"/>
        <v>9769566</v>
      </c>
      <c r="F1273" s="329">
        <f t="shared" si="617"/>
        <v>0</v>
      </c>
      <c r="G1273" s="338">
        <f t="shared" si="620"/>
        <v>76400000</v>
      </c>
      <c r="H1273" s="329">
        <f t="shared" si="628"/>
        <v>0</v>
      </c>
      <c r="I1273" s="338">
        <f t="shared" si="621"/>
        <v>44350150</v>
      </c>
      <c r="J1273" s="329">
        <f t="shared" si="629"/>
        <v>0</v>
      </c>
      <c r="K1273" s="338">
        <f t="shared" si="622"/>
        <v>15100000</v>
      </c>
      <c r="L1273" s="329">
        <f t="shared" si="630"/>
        <v>0</v>
      </c>
      <c r="M1273" s="338">
        <f t="shared" si="623"/>
        <v>25332976</v>
      </c>
      <c r="N1273" s="329">
        <f t="shared" si="631"/>
        <v>0</v>
      </c>
      <c r="O1273" s="338">
        <f t="shared" si="624"/>
        <v>14300000</v>
      </c>
      <c r="P1273" s="329">
        <f t="shared" si="632"/>
        <v>0</v>
      </c>
      <c r="Q1273" s="338">
        <f t="shared" si="625"/>
        <v>0</v>
      </c>
      <c r="R1273" s="329">
        <f t="shared" si="633"/>
        <v>0</v>
      </c>
      <c r="S1273" s="338">
        <f t="shared" si="626"/>
        <v>10000000</v>
      </c>
      <c r="T1273" s="329">
        <f t="shared" si="634"/>
        <v>0</v>
      </c>
      <c r="U1273" s="338">
        <f t="shared" si="636"/>
        <v>2200000</v>
      </c>
      <c r="V1273" s="329">
        <f t="shared" si="635"/>
        <v>0</v>
      </c>
      <c r="W1273" s="338">
        <f t="shared" si="627"/>
        <v>12224694.890000001</v>
      </c>
      <c r="X1273" s="35"/>
    </row>
    <row r="1274" spans="1:24" x14ac:dyDescent="0.25">
      <c r="A1274" s="335">
        <f t="shared" si="616"/>
        <v>44985</v>
      </c>
      <c r="B1274" s="49">
        <f t="shared" si="637"/>
        <v>0</v>
      </c>
      <c r="C1274" s="338">
        <f t="shared" si="618"/>
        <v>118886089</v>
      </c>
      <c r="D1274" s="329">
        <f t="shared" si="638"/>
        <v>0</v>
      </c>
      <c r="E1274" s="338">
        <f t="shared" si="619"/>
        <v>9769566</v>
      </c>
      <c r="F1274" s="329">
        <f t="shared" si="617"/>
        <v>0</v>
      </c>
      <c r="G1274" s="338">
        <f t="shared" si="620"/>
        <v>76400000</v>
      </c>
      <c r="H1274" s="329">
        <f t="shared" si="628"/>
        <v>0</v>
      </c>
      <c r="I1274" s="338">
        <f t="shared" si="621"/>
        <v>44350150</v>
      </c>
      <c r="J1274" s="329">
        <f t="shared" si="629"/>
        <v>0</v>
      </c>
      <c r="K1274" s="338">
        <f t="shared" si="622"/>
        <v>15100000</v>
      </c>
      <c r="L1274" s="329">
        <f t="shared" si="630"/>
        <v>0</v>
      </c>
      <c r="M1274" s="338">
        <f t="shared" si="623"/>
        <v>25332976</v>
      </c>
      <c r="N1274" s="329">
        <f t="shared" si="631"/>
        <v>0</v>
      </c>
      <c r="O1274" s="338">
        <f t="shared" si="624"/>
        <v>14300000</v>
      </c>
      <c r="P1274" s="329">
        <f t="shared" si="632"/>
        <v>0</v>
      </c>
      <c r="Q1274" s="338">
        <f t="shared" si="625"/>
        <v>0</v>
      </c>
      <c r="R1274" s="329">
        <f t="shared" si="633"/>
        <v>0</v>
      </c>
      <c r="S1274" s="338">
        <f t="shared" si="626"/>
        <v>10000000</v>
      </c>
      <c r="T1274" s="329">
        <f t="shared" si="634"/>
        <v>0</v>
      </c>
      <c r="U1274" s="338">
        <f t="shared" si="636"/>
        <v>2200000</v>
      </c>
      <c r="V1274" s="329">
        <f t="shared" si="635"/>
        <v>0</v>
      </c>
      <c r="W1274" s="338">
        <f t="shared" si="627"/>
        <v>12224694.890000001</v>
      </c>
      <c r="X1274" s="35"/>
    </row>
    <row r="1275" spans="1:24" x14ac:dyDescent="0.25">
      <c r="A1275" s="335">
        <f t="shared" si="616"/>
        <v>44986</v>
      </c>
      <c r="B1275" s="49">
        <f t="shared" si="637"/>
        <v>0</v>
      </c>
      <c r="C1275" s="338">
        <f t="shared" si="618"/>
        <v>118886089</v>
      </c>
      <c r="D1275" s="329">
        <f t="shared" si="638"/>
        <v>0</v>
      </c>
      <c r="E1275" s="338">
        <f t="shared" si="619"/>
        <v>9769566</v>
      </c>
      <c r="F1275" s="329">
        <f t="shared" si="617"/>
        <v>0</v>
      </c>
      <c r="G1275" s="338">
        <f t="shared" si="620"/>
        <v>76400000</v>
      </c>
      <c r="H1275" s="329">
        <f t="shared" si="628"/>
        <v>0</v>
      </c>
      <c r="I1275" s="338">
        <f t="shared" si="621"/>
        <v>44350150</v>
      </c>
      <c r="J1275" s="329">
        <f t="shared" si="629"/>
        <v>0</v>
      </c>
      <c r="K1275" s="338">
        <f t="shared" si="622"/>
        <v>15100000</v>
      </c>
      <c r="L1275" s="329">
        <f t="shared" si="630"/>
        <v>0</v>
      </c>
      <c r="M1275" s="338">
        <f t="shared" si="623"/>
        <v>25332976</v>
      </c>
      <c r="N1275" s="329">
        <f t="shared" si="631"/>
        <v>0</v>
      </c>
      <c r="O1275" s="338">
        <f t="shared" si="624"/>
        <v>14300000</v>
      </c>
      <c r="P1275" s="329">
        <f t="shared" si="632"/>
        <v>0</v>
      </c>
      <c r="Q1275" s="338">
        <f t="shared" si="625"/>
        <v>0</v>
      </c>
      <c r="R1275" s="329">
        <f t="shared" si="633"/>
        <v>0</v>
      </c>
      <c r="S1275" s="338">
        <f t="shared" si="626"/>
        <v>10000000</v>
      </c>
      <c r="T1275" s="329">
        <f t="shared" si="634"/>
        <v>0</v>
      </c>
      <c r="U1275" s="338">
        <f t="shared" si="636"/>
        <v>2200000</v>
      </c>
      <c r="V1275" s="329">
        <f t="shared" si="635"/>
        <v>0</v>
      </c>
      <c r="W1275" s="338">
        <f t="shared" si="627"/>
        <v>12224694.890000001</v>
      </c>
      <c r="X1275" s="35"/>
    </row>
    <row r="1276" spans="1:24" x14ac:dyDescent="0.25">
      <c r="A1276" s="335">
        <f t="shared" si="616"/>
        <v>44987</v>
      </c>
      <c r="B1276" s="49">
        <f t="shared" si="637"/>
        <v>0</v>
      </c>
      <c r="C1276" s="338">
        <f t="shared" si="618"/>
        <v>118886089</v>
      </c>
      <c r="D1276" s="329">
        <f t="shared" si="638"/>
        <v>0</v>
      </c>
      <c r="E1276" s="338">
        <f t="shared" si="619"/>
        <v>9769566</v>
      </c>
      <c r="F1276" s="329">
        <f t="shared" si="617"/>
        <v>0</v>
      </c>
      <c r="G1276" s="338">
        <f t="shared" si="620"/>
        <v>76400000</v>
      </c>
      <c r="H1276" s="329">
        <f t="shared" si="628"/>
        <v>0</v>
      </c>
      <c r="I1276" s="338">
        <f t="shared" si="621"/>
        <v>44350150</v>
      </c>
      <c r="J1276" s="329">
        <f t="shared" si="629"/>
        <v>0</v>
      </c>
      <c r="K1276" s="338">
        <f t="shared" si="622"/>
        <v>15100000</v>
      </c>
      <c r="L1276" s="329">
        <f t="shared" si="630"/>
        <v>0</v>
      </c>
      <c r="M1276" s="338">
        <f t="shared" si="623"/>
        <v>25332976</v>
      </c>
      <c r="N1276" s="329">
        <f t="shared" si="631"/>
        <v>0</v>
      </c>
      <c r="O1276" s="338">
        <f t="shared" si="624"/>
        <v>14300000</v>
      </c>
      <c r="P1276" s="329">
        <f t="shared" si="632"/>
        <v>0</v>
      </c>
      <c r="Q1276" s="338">
        <f t="shared" si="625"/>
        <v>0</v>
      </c>
      <c r="R1276" s="329">
        <f t="shared" si="633"/>
        <v>0</v>
      </c>
      <c r="S1276" s="338">
        <f t="shared" si="626"/>
        <v>10000000</v>
      </c>
      <c r="T1276" s="329">
        <f t="shared" si="634"/>
        <v>0</v>
      </c>
      <c r="U1276" s="338">
        <f t="shared" si="636"/>
        <v>2200000</v>
      </c>
      <c r="V1276" s="329">
        <f t="shared" si="635"/>
        <v>0</v>
      </c>
      <c r="W1276" s="338">
        <f t="shared" si="627"/>
        <v>12224694.890000001</v>
      </c>
      <c r="X1276" s="35"/>
    </row>
    <row r="1277" spans="1:24" x14ac:dyDescent="0.25">
      <c r="A1277" s="335">
        <f t="shared" si="616"/>
        <v>44988</v>
      </c>
      <c r="B1277" s="49">
        <f t="shared" si="637"/>
        <v>0</v>
      </c>
      <c r="C1277" s="338">
        <f t="shared" si="618"/>
        <v>118886089</v>
      </c>
      <c r="D1277" s="329">
        <f t="shared" si="638"/>
        <v>0</v>
      </c>
      <c r="E1277" s="338">
        <f t="shared" si="619"/>
        <v>9769566</v>
      </c>
      <c r="F1277" s="329">
        <f t="shared" si="617"/>
        <v>0</v>
      </c>
      <c r="G1277" s="338">
        <f t="shared" si="620"/>
        <v>76400000</v>
      </c>
      <c r="H1277" s="329">
        <f t="shared" si="628"/>
        <v>0</v>
      </c>
      <c r="I1277" s="338">
        <f t="shared" si="621"/>
        <v>44350150</v>
      </c>
      <c r="J1277" s="329">
        <f t="shared" si="629"/>
        <v>0</v>
      </c>
      <c r="K1277" s="338">
        <f t="shared" si="622"/>
        <v>15100000</v>
      </c>
      <c r="L1277" s="329">
        <f t="shared" si="630"/>
        <v>0</v>
      </c>
      <c r="M1277" s="338">
        <f t="shared" si="623"/>
        <v>25332976</v>
      </c>
      <c r="N1277" s="329">
        <f t="shared" si="631"/>
        <v>0</v>
      </c>
      <c r="O1277" s="338">
        <f t="shared" si="624"/>
        <v>14300000</v>
      </c>
      <c r="P1277" s="329">
        <f t="shared" si="632"/>
        <v>0</v>
      </c>
      <c r="Q1277" s="338">
        <f t="shared" si="625"/>
        <v>0</v>
      </c>
      <c r="R1277" s="329">
        <f t="shared" si="633"/>
        <v>0</v>
      </c>
      <c r="S1277" s="338">
        <f t="shared" si="626"/>
        <v>10000000</v>
      </c>
      <c r="T1277" s="329">
        <f t="shared" si="634"/>
        <v>0</v>
      </c>
      <c r="U1277" s="338">
        <f t="shared" si="636"/>
        <v>2200000</v>
      </c>
      <c r="V1277" s="329">
        <f t="shared" si="635"/>
        <v>0</v>
      </c>
      <c r="W1277" s="338">
        <f t="shared" si="627"/>
        <v>12224694.890000001</v>
      </c>
      <c r="X1277" s="35"/>
    </row>
    <row r="1278" spans="1:24" x14ac:dyDescent="0.25">
      <c r="A1278" s="335">
        <f t="shared" si="616"/>
        <v>44989</v>
      </c>
      <c r="B1278" s="49">
        <f t="shared" si="637"/>
        <v>0</v>
      </c>
      <c r="C1278" s="338">
        <f t="shared" si="618"/>
        <v>118886089</v>
      </c>
      <c r="D1278" s="329">
        <f t="shared" si="638"/>
        <v>0</v>
      </c>
      <c r="E1278" s="338">
        <f t="shared" si="619"/>
        <v>9769566</v>
      </c>
      <c r="F1278" s="329">
        <f t="shared" si="617"/>
        <v>0</v>
      </c>
      <c r="G1278" s="338">
        <f t="shared" si="620"/>
        <v>76400000</v>
      </c>
      <c r="H1278" s="329">
        <f t="shared" si="628"/>
        <v>0</v>
      </c>
      <c r="I1278" s="338">
        <f t="shared" si="621"/>
        <v>44350150</v>
      </c>
      <c r="J1278" s="329">
        <f t="shared" si="629"/>
        <v>0</v>
      </c>
      <c r="K1278" s="338">
        <f t="shared" si="622"/>
        <v>15100000</v>
      </c>
      <c r="L1278" s="329">
        <f t="shared" si="630"/>
        <v>0</v>
      </c>
      <c r="M1278" s="338">
        <f t="shared" si="623"/>
        <v>25332976</v>
      </c>
      <c r="N1278" s="329">
        <f t="shared" si="631"/>
        <v>0</v>
      </c>
      <c r="O1278" s="338">
        <f t="shared" si="624"/>
        <v>14300000</v>
      </c>
      <c r="P1278" s="329">
        <f t="shared" si="632"/>
        <v>0</v>
      </c>
      <c r="Q1278" s="338">
        <f t="shared" si="625"/>
        <v>0</v>
      </c>
      <c r="R1278" s="329">
        <f t="shared" si="633"/>
        <v>0</v>
      </c>
      <c r="S1278" s="338">
        <f t="shared" si="626"/>
        <v>10000000</v>
      </c>
      <c r="T1278" s="329">
        <f t="shared" si="634"/>
        <v>0</v>
      </c>
      <c r="U1278" s="338">
        <f t="shared" si="636"/>
        <v>2200000</v>
      </c>
      <c r="V1278" s="329">
        <f t="shared" si="635"/>
        <v>0</v>
      </c>
      <c r="W1278" s="338">
        <f t="shared" si="627"/>
        <v>12224694.890000001</v>
      </c>
      <c r="X1278" s="35"/>
    </row>
    <row r="1279" spans="1:24" x14ac:dyDescent="0.25">
      <c r="A1279" s="335">
        <f t="shared" si="616"/>
        <v>44990</v>
      </c>
      <c r="B1279" s="49">
        <f t="shared" si="637"/>
        <v>0</v>
      </c>
      <c r="C1279" s="338">
        <f t="shared" si="618"/>
        <v>118886089</v>
      </c>
      <c r="D1279" s="329">
        <f t="shared" si="638"/>
        <v>0</v>
      </c>
      <c r="E1279" s="338">
        <f t="shared" si="619"/>
        <v>9769566</v>
      </c>
      <c r="F1279" s="329">
        <f t="shared" si="617"/>
        <v>0</v>
      </c>
      <c r="G1279" s="338">
        <f t="shared" si="620"/>
        <v>76400000</v>
      </c>
      <c r="H1279" s="329">
        <f t="shared" si="628"/>
        <v>0</v>
      </c>
      <c r="I1279" s="338">
        <f t="shared" si="621"/>
        <v>44350150</v>
      </c>
      <c r="J1279" s="329">
        <f t="shared" si="629"/>
        <v>0</v>
      </c>
      <c r="K1279" s="338">
        <f t="shared" si="622"/>
        <v>15100000</v>
      </c>
      <c r="L1279" s="329">
        <f t="shared" si="630"/>
        <v>0</v>
      </c>
      <c r="M1279" s="338">
        <f t="shared" si="623"/>
        <v>25332976</v>
      </c>
      <c r="N1279" s="329">
        <f t="shared" si="631"/>
        <v>0</v>
      </c>
      <c r="O1279" s="338">
        <f t="shared" si="624"/>
        <v>14300000</v>
      </c>
      <c r="P1279" s="329">
        <f t="shared" si="632"/>
        <v>0</v>
      </c>
      <c r="Q1279" s="338">
        <f t="shared" si="625"/>
        <v>0</v>
      </c>
      <c r="R1279" s="329">
        <f t="shared" si="633"/>
        <v>0</v>
      </c>
      <c r="S1279" s="338">
        <f t="shared" si="626"/>
        <v>10000000</v>
      </c>
      <c r="T1279" s="329">
        <f t="shared" si="634"/>
        <v>0</v>
      </c>
      <c r="U1279" s="338">
        <f t="shared" si="636"/>
        <v>2200000</v>
      </c>
      <c r="V1279" s="329">
        <f t="shared" si="635"/>
        <v>0</v>
      </c>
      <c r="W1279" s="338">
        <f t="shared" si="627"/>
        <v>12224694.890000001</v>
      </c>
      <c r="X1279" s="35"/>
    </row>
    <row r="1280" spans="1:24" x14ac:dyDescent="0.25">
      <c r="A1280" s="335">
        <f t="shared" ref="A1280:A1322" si="639">A1279+1</f>
        <v>44991</v>
      </c>
      <c r="B1280" s="49">
        <f t="shared" si="637"/>
        <v>0</v>
      </c>
      <c r="C1280" s="338">
        <f t="shared" si="618"/>
        <v>118886089</v>
      </c>
      <c r="D1280" s="329">
        <f t="shared" si="638"/>
        <v>0</v>
      </c>
      <c r="E1280" s="338">
        <f t="shared" si="619"/>
        <v>9769566</v>
      </c>
      <c r="F1280" s="329">
        <f t="shared" si="617"/>
        <v>0</v>
      </c>
      <c r="G1280" s="338">
        <f t="shared" si="620"/>
        <v>76400000</v>
      </c>
      <c r="H1280" s="329">
        <f t="shared" si="628"/>
        <v>0</v>
      </c>
      <c r="I1280" s="338">
        <f t="shared" si="621"/>
        <v>44350150</v>
      </c>
      <c r="J1280" s="329">
        <f t="shared" si="629"/>
        <v>0</v>
      </c>
      <c r="K1280" s="338">
        <f t="shared" si="622"/>
        <v>15100000</v>
      </c>
      <c r="L1280" s="329">
        <f t="shared" si="630"/>
        <v>0</v>
      </c>
      <c r="M1280" s="338">
        <f t="shared" si="623"/>
        <v>25332976</v>
      </c>
      <c r="N1280" s="329">
        <f t="shared" si="631"/>
        <v>0</v>
      </c>
      <c r="O1280" s="338">
        <f t="shared" si="624"/>
        <v>14300000</v>
      </c>
      <c r="P1280" s="329">
        <f t="shared" si="632"/>
        <v>0</v>
      </c>
      <c r="Q1280" s="338">
        <f t="shared" si="625"/>
        <v>0</v>
      </c>
      <c r="R1280" s="329">
        <f t="shared" si="633"/>
        <v>0</v>
      </c>
      <c r="S1280" s="338">
        <f t="shared" si="626"/>
        <v>10000000</v>
      </c>
      <c r="T1280" s="329">
        <f t="shared" si="634"/>
        <v>0</v>
      </c>
      <c r="U1280" s="338">
        <f t="shared" si="636"/>
        <v>2200000</v>
      </c>
      <c r="V1280" s="329">
        <f t="shared" si="635"/>
        <v>0</v>
      </c>
      <c r="W1280" s="338">
        <f t="shared" si="627"/>
        <v>12224694.890000001</v>
      </c>
      <c r="X1280" s="35"/>
    </row>
    <row r="1281" spans="1:24" x14ac:dyDescent="0.25">
      <c r="A1281" s="335">
        <f t="shared" si="639"/>
        <v>44992</v>
      </c>
      <c r="B1281" s="49">
        <f t="shared" si="637"/>
        <v>0</v>
      </c>
      <c r="C1281" s="338">
        <f t="shared" si="618"/>
        <v>118886089</v>
      </c>
      <c r="D1281" s="329">
        <f t="shared" si="638"/>
        <v>0</v>
      </c>
      <c r="E1281" s="338">
        <f t="shared" si="619"/>
        <v>9769566</v>
      </c>
      <c r="F1281" s="329">
        <f t="shared" si="617"/>
        <v>0</v>
      </c>
      <c r="G1281" s="338">
        <f t="shared" si="620"/>
        <v>76400000</v>
      </c>
      <c r="H1281" s="329">
        <f t="shared" si="628"/>
        <v>0</v>
      </c>
      <c r="I1281" s="338">
        <f t="shared" si="621"/>
        <v>44350150</v>
      </c>
      <c r="J1281" s="329">
        <f t="shared" si="629"/>
        <v>0</v>
      </c>
      <c r="K1281" s="338">
        <f t="shared" si="622"/>
        <v>15100000</v>
      </c>
      <c r="L1281" s="329">
        <f t="shared" si="630"/>
        <v>0</v>
      </c>
      <c r="M1281" s="338">
        <f t="shared" si="623"/>
        <v>25332976</v>
      </c>
      <c r="N1281" s="329">
        <f t="shared" si="631"/>
        <v>0</v>
      </c>
      <c r="O1281" s="338">
        <f t="shared" si="624"/>
        <v>14300000</v>
      </c>
      <c r="P1281" s="329">
        <f t="shared" si="632"/>
        <v>0</v>
      </c>
      <c r="Q1281" s="338">
        <f t="shared" si="625"/>
        <v>0</v>
      </c>
      <c r="R1281" s="329">
        <f t="shared" si="633"/>
        <v>0</v>
      </c>
      <c r="S1281" s="338">
        <f t="shared" si="626"/>
        <v>10000000</v>
      </c>
      <c r="T1281" s="329">
        <f t="shared" si="634"/>
        <v>0</v>
      </c>
      <c r="U1281" s="338">
        <f t="shared" si="636"/>
        <v>2200000</v>
      </c>
      <c r="V1281" s="329">
        <f t="shared" si="635"/>
        <v>0</v>
      </c>
      <c r="W1281" s="338">
        <f t="shared" si="627"/>
        <v>12224694.890000001</v>
      </c>
      <c r="X1281" s="35"/>
    </row>
    <row r="1282" spans="1:24" x14ac:dyDescent="0.25">
      <c r="A1282" s="335">
        <f t="shared" si="639"/>
        <v>44993</v>
      </c>
      <c r="B1282" s="49">
        <f t="shared" si="637"/>
        <v>0</v>
      </c>
      <c r="C1282" s="338">
        <f t="shared" si="618"/>
        <v>118886089</v>
      </c>
      <c r="D1282" s="329">
        <f t="shared" si="638"/>
        <v>0</v>
      </c>
      <c r="E1282" s="338">
        <f t="shared" si="619"/>
        <v>9769566</v>
      </c>
      <c r="F1282" s="329">
        <f t="shared" si="617"/>
        <v>0</v>
      </c>
      <c r="G1282" s="338">
        <f t="shared" si="620"/>
        <v>76400000</v>
      </c>
      <c r="H1282" s="329">
        <f t="shared" si="628"/>
        <v>0</v>
      </c>
      <c r="I1282" s="338">
        <f t="shared" si="621"/>
        <v>44350150</v>
      </c>
      <c r="J1282" s="329">
        <f t="shared" si="629"/>
        <v>0</v>
      </c>
      <c r="K1282" s="338">
        <f t="shared" si="622"/>
        <v>15100000</v>
      </c>
      <c r="L1282" s="329">
        <f t="shared" si="630"/>
        <v>0</v>
      </c>
      <c r="M1282" s="338">
        <f t="shared" si="623"/>
        <v>25332976</v>
      </c>
      <c r="N1282" s="329">
        <f t="shared" si="631"/>
        <v>0</v>
      </c>
      <c r="O1282" s="338">
        <f t="shared" si="624"/>
        <v>14300000</v>
      </c>
      <c r="P1282" s="329">
        <f t="shared" si="632"/>
        <v>0</v>
      </c>
      <c r="Q1282" s="338">
        <f t="shared" si="625"/>
        <v>0</v>
      </c>
      <c r="R1282" s="329">
        <f t="shared" si="633"/>
        <v>0</v>
      </c>
      <c r="S1282" s="338">
        <f t="shared" si="626"/>
        <v>10000000</v>
      </c>
      <c r="T1282" s="329">
        <f t="shared" si="634"/>
        <v>0</v>
      </c>
      <c r="U1282" s="338">
        <f t="shared" si="636"/>
        <v>2200000</v>
      </c>
      <c r="V1282" s="329">
        <f t="shared" si="635"/>
        <v>0</v>
      </c>
      <c r="W1282" s="338">
        <f t="shared" si="627"/>
        <v>12224694.890000001</v>
      </c>
      <c r="X1282" s="35"/>
    </row>
    <row r="1283" spans="1:24" x14ac:dyDescent="0.25">
      <c r="A1283" s="335">
        <f t="shared" si="639"/>
        <v>44994</v>
      </c>
      <c r="B1283" s="49">
        <f t="shared" si="637"/>
        <v>0</v>
      </c>
      <c r="C1283" s="338">
        <f t="shared" si="618"/>
        <v>118886089</v>
      </c>
      <c r="D1283" s="329">
        <f t="shared" si="638"/>
        <v>0</v>
      </c>
      <c r="E1283" s="338">
        <f t="shared" si="619"/>
        <v>9769566</v>
      </c>
      <c r="F1283" s="329">
        <f t="shared" ref="F1283:F1322" si="640">SUMIFS(Usage_Main,CF_Dates,$A1283,CF_Descriptions,"EASTCYPRESS1 Change")</f>
        <v>0</v>
      </c>
      <c r="G1283" s="338">
        <f t="shared" si="620"/>
        <v>76400000</v>
      </c>
      <c r="H1283" s="329">
        <f t="shared" si="628"/>
        <v>0</v>
      </c>
      <c r="I1283" s="338">
        <f t="shared" si="621"/>
        <v>44350150</v>
      </c>
      <c r="J1283" s="329">
        <f t="shared" si="629"/>
        <v>0</v>
      </c>
      <c r="K1283" s="338">
        <f t="shared" si="622"/>
        <v>15100000</v>
      </c>
      <c r="L1283" s="329">
        <f t="shared" si="630"/>
        <v>0</v>
      </c>
      <c r="M1283" s="338">
        <f t="shared" si="623"/>
        <v>25332976</v>
      </c>
      <c r="N1283" s="329">
        <f t="shared" si="631"/>
        <v>0</v>
      </c>
      <c r="O1283" s="338">
        <f t="shared" si="624"/>
        <v>14300000</v>
      </c>
      <c r="P1283" s="329">
        <f t="shared" si="632"/>
        <v>0</v>
      </c>
      <c r="Q1283" s="338">
        <f t="shared" si="625"/>
        <v>0</v>
      </c>
      <c r="R1283" s="329">
        <f t="shared" si="633"/>
        <v>0</v>
      </c>
      <c r="S1283" s="338">
        <f t="shared" si="626"/>
        <v>10000000</v>
      </c>
      <c r="T1283" s="329">
        <f t="shared" si="634"/>
        <v>0</v>
      </c>
      <c r="U1283" s="338">
        <f t="shared" si="636"/>
        <v>2200000</v>
      </c>
      <c r="V1283" s="329">
        <f t="shared" si="635"/>
        <v>0</v>
      </c>
      <c r="W1283" s="338">
        <f t="shared" si="627"/>
        <v>12224694.890000001</v>
      </c>
      <c r="X1283" s="35"/>
    </row>
    <row r="1284" spans="1:24" x14ac:dyDescent="0.25">
      <c r="A1284" s="335">
        <f t="shared" si="639"/>
        <v>44995</v>
      </c>
      <c r="B1284" s="49">
        <f t="shared" si="637"/>
        <v>0</v>
      </c>
      <c r="C1284" s="338">
        <f t="shared" si="618"/>
        <v>118886089</v>
      </c>
      <c r="D1284" s="329">
        <f t="shared" si="638"/>
        <v>0</v>
      </c>
      <c r="E1284" s="338">
        <f t="shared" si="619"/>
        <v>9769566</v>
      </c>
      <c r="F1284" s="329">
        <f t="shared" si="640"/>
        <v>0</v>
      </c>
      <c r="G1284" s="338">
        <f t="shared" si="620"/>
        <v>76400000</v>
      </c>
      <c r="H1284" s="329">
        <f t="shared" si="628"/>
        <v>0</v>
      </c>
      <c r="I1284" s="338">
        <f t="shared" si="621"/>
        <v>44350150</v>
      </c>
      <c r="J1284" s="329">
        <f t="shared" si="629"/>
        <v>0</v>
      </c>
      <c r="K1284" s="338">
        <f t="shared" si="622"/>
        <v>15100000</v>
      </c>
      <c r="L1284" s="329">
        <f t="shared" si="630"/>
        <v>0</v>
      </c>
      <c r="M1284" s="338">
        <f t="shared" si="623"/>
        <v>25332976</v>
      </c>
      <c r="N1284" s="329">
        <f t="shared" si="631"/>
        <v>0</v>
      </c>
      <c r="O1284" s="338">
        <f t="shared" si="624"/>
        <v>14300000</v>
      </c>
      <c r="P1284" s="329">
        <f t="shared" si="632"/>
        <v>0</v>
      </c>
      <c r="Q1284" s="338">
        <f t="shared" si="625"/>
        <v>0</v>
      </c>
      <c r="R1284" s="329">
        <f t="shared" si="633"/>
        <v>0</v>
      </c>
      <c r="S1284" s="338">
        <f t="shared" si="626"/>
        <v>10000000</v>
      </c>
      <c r="T1284" s="329">
        <f t="shared" si="634"/>
        <v>0</v>
      </c>
      <c r="U1284" s="338">
        <f t="shared" si="636"/>
        <v>2200000</v>
      </c>
      <c r="V1284" s="329">
        <f t="shared" si="635"/>
        <v>0</v>
      </c>
      <c r="W1284" s="338">
        <f t="shared" si="627"/>
        <v>12224694.890000001</v>
      </c>
      <c r="X1284" s="35"/>
    </row>
    <row r="1285" spans="1:24" x14ac:dyDescent="0.25">
      <c r="A1285" s="335">
        <f t="shared" si="639"/>
        <v>44996</v>
      </c>
      <c r="B1285" s="49">
        <f t="shared" si="637"/>
        <v>0</v>
      </c>
      <c r="C1285" s="338">
        <f t="shared" si="618"/>
        <v>118886089</v>
      </c>
      <c r="D1285" s="329">
        <f t="shared" si="638"/>
        <v>0</v>
      </c>
      <c r="E1285" s="338">
        <f t="shared" si="619"/>
        <v>9769566</v>
      </c>
      <c r="F1285" s="329">
        <f t="shared" si="640"/>
        <v>0</v>
      </c>
      <c r="G1285" s="338">
        <f t="shared" si="620"/>
        <v>76400000</v>
      </c>
      <c r="H1285" s="329">
        <f t="shared" si="628"/>
        <v>0</v>
      </c>
      <c r="I1285" s="338">
        <f t="shared" si="621"/>
        <v>44350150</v>
      </c>
      <c r="J1285" s="329">
        <f t="shared" si="629"/>
        <v>0</v>
      </c>
      <c r="K1285" s="338">
        <f t="shared" si="622"/>
        <v>15100000</v>
      </c>
      <c r="L1285" s="329">
        <f t="shared" si="630"/>
        <v>0</v>
      </c>
      <c r="M1285" s="338">
        <f t="shared" si="623"/>
        <v>25332976</v>
      </c>
      <c r="N1285" s="329">
        <f t="shared" si="631"/>
        <v>0</v>
      </c>
      <c r="O1285" s="338">
        <f t="shared" si="624"/>
        <v>14300000</v>
      </c>
      <c r="P1285" s="329">
        <f t="shared" si="632"/>
        <v>0</v>
      </c>
      <c r="Q1285" s="338">
        <f t="shared" si="625"/>
        <v>0</v>
      </c>
      <c r="R1285" s="329">
        <f t="shared" si="633"/>
        <v>0</v>
      </c>
      <c r="S1285" s="338">
        <f t="shared" si="626"/>
        <v>10000000</v>
      </c>
      <c r="T1285" s="329">
        <f t="shared" si="634"/>
        <v>0</v>
      </c>
      <c r="U1285" s="338">
        <f t="shared" si="636"/>
        <v>2200000</v>
      </c>
      <c r="V1285" s="329">
        <f t="shared" si="635"/>
        <v>0</v>
      </c>
      <c r="W1285" s="338">
        <f t="shared" si="627"/>
        <v>12224694.890000001</v>
      </c>
      <c r="X1285" s="35"/>
    </row>
    <row r="1286" spans="1:24" x14ac:dyDescent="0.25">
      <c r="A1286" s="335">
        <f t="shared" si="639"/>
        <v>44997</v>
      </c>
      <c r="B1286" s="49">
        <f t="shared" si="637"/>
        <v>0</v>
      </c>
      <c r="C1286" s="338">
        <f t="shared" ref="C1286:C1322" si="641">B1286+C1285</f>
        <v>118886089</v>
      </c>
      <c r="D1286" s="329">
        <f t="shared" si="638"/>
        <v>0</v>
      </c>
      <c r="E1286" s="338">
        <f t="shared" ref="E1286:E1322" si="642">D1286+E1285</f>
        <v>9769566</v>
      </c>
      <c r="F1286" s="329">
        <f t="shared" si="640"/>
        <v>0</v>
      </c>
      <c r="G1286" s="338">
        <f t="shared" ref="G1286:G1322" si="643">F1286+G1285</f>
        <v>76400000</v>
      </c>
      <c r="H1286" s="329">
        <f t="shared" si="628"/>
        <v>0</v>
      </c>
      <c r="I1286" s="338">
        <f t="shared" ref="I1286:I1322" si="644">H1286+I1285</f>
        <v>44350150</v>
      </c>
      <c r="J1286" s="329">
        <f t="shared" si="629"/>
        <v>0</v>
      </c>
      <c r="K1286" s="338">
        <f t="shared" ref="K1286:K1322" si="645">J1286+K1285</f>
        <v>15100000</v>
      </c>
      <c r="L1286" s="329">
        <f t="shared" si="630"/>
        <v>0</v>
      </c>
      <c r="M1286" s="338">
        <f t="shared" ref="M1286:M1322" si="646">L1286+M1285</f>
        <v>25332976</v>
      </c>
      <c r="N1286" s="329">
        <f t="shared" si="631"/>
        <v>0</v>
      </c>
      <c r="O1286" s="338">
        <f t="shared" ref="O1286:O1322" si="647">N1286+O1285</f>
        <v>14300000</v>
      </c>
      <c r="P1286" s="329">
        <f t="shared" si="632"/>
        <v>0</v>
      </c>
      <c r="Q1286" s="338">
        <f t="shared" ref="Q1286:Q1322" si="648">P1286+Q1285</f>
        <v>0</v>
      </c>
      <c r="R1286" s="329">
        <f t="shared" si="633"/>
        <v>0</v>
      </c>
      <c r="S1286" s="338">
        <f t="shared" ref="S1286:S1322" si="649">R1286+S1285</f>
        <v>10000000</v>
      </c>
      <c r="T1286" s="329">
        <f t="shared" si="634"/>
        <v>0</v>
      </c>
      <c r="U1286" s="338">
        <f t="shared" si="636"/>
        <v>2200000</v>
      </c>
      <c r="V1286" s="329">
        <f t="shared" si="635"/>
        <v>0</v>
      </c>
      <c r="W1286" s="338">
        <f t="shared" ref="W1286:W1322" si="650">V1286+W1285</f>
        <v>12224694.890000001</v>
      </c>
      <c r="X1286" s="35"/>
    </row>
    <row r="1287" spans="1:24" x14ac:dyDescent="0.25">
      <c r="A1287" s="335">
        <f t="shared" si="639"/>
        <v>44998</v>
      </c>
      <c r="B1287" s="49">
        <f t="shared" si="637"/>
        <v>0</v>
      </c>
      <c r="C1287" s="338">
        <f t="shared" si="641"/>
        <v>118886089</v>
      </c>
      <c r="D1287" s="329">
        <f t="shared" si="638"/>
        <v>0</v>
      </c>
      <c r="E1287" s="338">
        <f t="shared" si="642"/>
        <v>9769566</v>
      </c>
      <c r="F1287" s="329">
        <f t="shared" si="640"/>
        <v>0</v>
      </c>
      <c r="G1287" s="338">
        <f t="shared" si="643"/>
        <v>76400000</v>
      </c>
      <c r="H1287" s="329">
        <f t="shared" si="628"/>
        <v>0</v>
      </c>
      <c r="I1287" s="338">
        <f t="shared" si="644"/>
        <v>44350150</v>
      </c>
      <c r="J1287" s="329">
        <f t="shared" si="629"/>
        <v>0</v>
      </c>
      <c r="K1287" s="338">
        <f t="shared" si="645"/>
        <v>15100000</v>
      </c>
      <c r="L1287" s="329">
        <f t="shared" si="630"/>
        <v>0</v>
      </c>
      <c r="M1287" s="338">
        <f t="shared" si="646"/>
        <v>25332976</v>
      </c>
      <c r="N1287" s="329">
        <f t="shared" si="631"/>
        <v>0</v>
      </c>
      <c r="O1287" s="338">
        <f t="shared" si="647"/>
        <v>14300000</v>
      </c>
      <c r="P1287" s="329">
        <f t="shared" si="632"/>
        <v>0</v>
      </c>
      <c r="Q1287" s="338">
        <f t="shared" si="648"/>
        <v>0</v>
      </c>
      <c r="R1287" s="329">
        <f t="shared" si="633"/>
        <v>0</v>
      </c>
      <c r="S1287" s="338">
        <f t="shared" si="649"/>
        <v>10000000</v>
      </c>
      <c r="T1287" s="329">
        <f t="shared" si="634"/>
        <v>0</v>
      </c>
      <c r="U1287" s="338">
        <f t="shared" si="636"/>
        <v>2200000</v>
      </c>
      <c r="V1287" s="329">
        <f t="shared" si="635"/>
        <v>0</v>
      </c>
      <c r="W1287" s="338">
        <f t="shared" si="650"/>
        <v>12224694.890000001</v>
      </c>
      <c r="X1287" s="35"/>
    </row>
    <row r="1288" spans="1:24" x14ac:dyDescent="0.25">
      <c r="A1288" s="335">
        <f t="shared" si="639"/>
        <v>44999</v>
      </c>
      <c r="B1288" s="49">
        <f t="shared" si="637"/>
        <v>0</v>
      </c>
      <c r="C1288" s="338">
        <f t="shared" si="641"/>
        <v>118886089</v>
      </c>
      <c r="D1288" s="329">
        <f t="shared" si="638"/>
        <v>0</v>
      </c>
      <c r="E1288" s="338">
        <f t="shared" si="642"/>
        <v>9769566</v>
      </c>
      <c r="F1288" s="329">
        <f t="shared" si="640"/>
        <v>0</v>
      </c>
      <c r="G1288" s="338">
        <f t="shared" si="643"/>
        <v>76400000</v>
      </c>
      <c r="H1288" s="329">
        <f t="shared" si="628"/>
        <v>0</v>
      </c>
      <c r="I1288" s="338">
        <f t="shared" si="644"/>
        <v>44350150</v>
      </c>
      <c r="J1288" s="329">
        <f t="shared" si="629"/>
        <v>0</v>
      </c>
      <c r="K1288" s="338">
        <f t="shared" si="645"/>
        <v>15100000</v>
      </c>
      <c r="L1288" s="329">
        <f t="shared" si="630"/>
        <v>0</v>
      </c>
      <c r="M1288" s="338">
        <f t="shared" si="646"/>
        <v>25332976</v>
      </c>
      <c r="N1288" s="329">
        <f t="shared" si="631"/>
        <v>0</v>
      </c>
      <c r="O1288" s="338">
        <f t="shared" si="647"/>
        <v>14300000</v>
      </c>
      <c r="P1288" s="329">
        <f t="shared" si="632"/>
        <v>0</v>
      </c>
      <c r="Q1288" s="338">
        <f t="shared" si="648"/>
        <v>0</v>
      </c>
      <c r="R1288" s="329">
        <f t="shared" si="633"/>
        <v>0</v>
      </c>
      <c r="S1288" s="338">
        <f t="shared" si="649"/>
        <v>10000000</v>
      </c>
      <c r="T1288" s="329">
        <f t="shared" si="634"/>
        <v>0</v>
      </c>
      <c r="U1288" s="338">
        <f t="shared" si="636"/>
        <v>2200000</v>
      </c>
      <c r="V1288" s="329">
        <f t="shared" si="635"/>
        <v>0</v>
      </c>
      <c r="W1288" s="338">
        <f t="shared" si="650"/>
        <v>12224694.890000001</v>
      </c>
      <c r="X1288" s="35"/>
    </row>
    <row r="1289" spans="1:24" x14ac:dyDescent="0.25">
      <c r="A1289" s="335">
        <f t="shared" si="639"/>
        <v>45000</v>
      </c>
      <c r="B1289" s="49">
        <f t="shared" si="637"/>
        <v>0</v>
      </c>
      <c r="C1289" s="338">
        <f t="shared" si="641"/>
        <v>118886089</v>
      </c>
      <c r="D1289" s="329">
        <f t="shared" si="638"/>
        <v>0</v>
      </c>
      <c r="E1289" s="338">
        <f t="shared" si="642"/>
        <v>9769566</v>
      </c>
      <c r="F1289" s="329">
        <f t="shared" si="640"/>
        <v>0</v>
      </c>
      <c r="G1289" s="338">
        <f t="shared" si="643"/>
        <v>76400000</v>
      </c>
      <c r="H1289" s="329">
        <f t="shared" si="628"/>
        <v>0</v>
      </c>
      <c r="I1289" s="338">
        <f t="shared" si="644"/>
        <v>44350150</v>
      </c>
      <c r="J1289" s="329">
        <f t="shared" si="629"/>
        <v>0</v>
      </c>
      <c r="K1289" s="338">
        <f t="shared" si="645"/>
        <v>15100000</v>
      </c>
      <c r="L1289" s="329">
        <f t="shared" si="630"/>
        <v>0</v>
      </c>
      <c r="M1289" s="338">
        <f t="shared" si="646"/>
        <v>25332976</v>
      </c>
      <c r="N1289" s="329">
        <f t="shared" si="631"/>
        <v>0</v>
      </c>
      <c r="O1289" s="338">
        <f t="shared" si="647"/>
        <v>14300000</v>
      </c>
      <c r="P1289" s="329">
        <f t="shared" si="632"/>
        <v>0</v>
      </c>
      <c r="Q1289" s="338">
        <f t="shared" si="648"/>
        <v>0</v>
      </c>
      <c r="R1289" s="329">
        <f t="shared" si="633"/>
        <v>0</v>
      </c>
      <c r="S1289" s="338">
        <f t="shared" si="649"/>
        <v>10000000</v>
      </c>
      <c r="T1289" s="329">
        <f t="shared" si="634"/>
        <v>0</v>
      </c>
      <c r="U1289" s="338">
        <f t="shared" si="636"/>
        <v>2200000</v>
      </c>
      <c r="V1289" s="329">
        <f t="shared" si="635"/>
        <v>0</v>
      </c>
      <c r="W1289" s="338">
        <f t="shared" si="650"/>
        <v>12224694.890000001</v>
      </c>
      <c r="X1289" s="35"/>
    </row>
    <row r="1290" spans="1:24" x14ac:dyDescent="0.25">
      <c r="A1290" s="335">
        <f t="shared" si="639"/>
        <v>45001</v>
      </c>
      <c r="B1290" s="49">
        <f t="shared" si="637"/>
        <v>0</v>
      </c>
      <c r="C1290" s="338">
        <f t="shared" si="641"/>
        <v>118886089</v>
      </c>
      <c r="D1290" s="329">
        <f t="shared" si="638"/>
        <v>0</v>
      </c>
      <c r="E1290" s="338">
        <f t="shared" si="642"/>
        <v>9769566</v>
      </c>
      <c r="F1290" s="329">
        <f t="shared" si="640"/>
        <v>0</v>
      </c>
      <c r="G1290" s="338">
        <f t="shared" si="643"/>
        <v>76400000</v>
      </c>
      <c r="H1290" s="329">
        <f t="shared" si="628"/>
        <v>0</v>
      </c>
      <c r="I1290" s="338">
        <f t="shared" si="644"/>
        <v>44350150</v>
      </c>
      <c r="J1290" s="329">
        <f t="shared" si="629"/>
        <v>0</v>
      </c>
      <c r="K1290" s="338">
        <f t="shared" si="645"/>
        <v>15100000</v>
      </c>
      <c r="L1290" s="329">
        <f t="shared" si="630"/>
        <v>0</v>
      </c>
      <c r="M1290" s="338">
        <f t="shared" si="646"/>
        <v>25332976</v>
      </c>
      <c r="N1290" s="329">
        <f t="shared" si="631"/>
        <v>0</v>
      </c>
      <c r="O1290" s="338">
        <f t="shared" si="647"/>
        <v>14300000</v>
      </c>
      <c r="P1290" s="329">
        <f t="shared" si="632"/>
        <v>0</v>
      </c>
      <c r="Q1290" s="338">
        <f t="shared" si="648"/>
        <v>0</v>
      </c>
      <c r="R1290" s="329">
        <f t="shared" si="633"/>
        <v>0</v>
      </c>
      <c r="S1290" s="338">
        <f t="shared" si="649"/>
        <v>10000000</v>
      </c>
      <c r="T1290" s="329">
        <f t="shared" si="634"/>
        <v>0</v>
      </c>
      <c r="U1290" s="338">
        <f t="shared" si="636"/>
        <v>2200000</v>
      </c>
      <c r="V1290" s="329">
        <f t="shared" si="635"/>
        <v>0</v>
      </c>
      <c r="W1290" s="338">
        <f t="shared" si="650"/>
        <v>12224694.890000001</v>
      </c>
      <c r="X1290" s="35"/>
    </row>
    <row r="1291" spans="1:24" x14ac:dyDescent="0.25">
      <c r="A1291" s="335">
        <f t="shared" si="639"/>
        <v>45002</v>
      </c>
      <c r="B1291" s="49">
        <f t="shared" si="637"/>
        <v>0</v>
      </c>
      <c r="C1291" s="338">
        <f t="shared" si="641"/>
        <v>118886089</v>
      </c>
      <c r="D1291" s="329">
        <f t="shared" si="638"/>
        <v>0</v>
      </c>
      <c r="E1291" s="338">
        <f t="shared" si="642"/>
        <v>9769566</v>
      </c>
      <c r="F1291" s="329">
        <f t="shared" si="640"/>
        <v>0</v>
      </c>
      <c r="G1291" s="338">
        <f t="shared" si="643"/>
        <v>76400000</v>
      </c>
      <c r="H1291" s="329">
        <f t="shared" si="628"/>
        <v>0</v>
      </c>
      <c r="I1291" s="338">
        <f t="shared" si="644"/>
        <v>44350150</v>
      </c>
      <c r="J1291" s="329">
        <f t="shared" si="629"/>
        <v>0</v>
      </c>
      <c r="K1291" s="338">
        <f t="shared" si="645"/>
        <v>15100000</v>
      </c>
      <c r="L1291" s="329">
        <f t="shared" si="630"/>
        <v>0</v>
      </c>
      <c r="M1291" s="338">
        <f t="shared" si="646"/>
        <v>25332976</v>
      </c>
      <c r="N1291" s="329">
        <f t="shared" si="631"/>
        <v>0</v>
      </c>
      <c r="O1291" s="338">
        <f t="shared" si="647"/>
        <v>14300000</v>
      </c>
      <c r="P1291" s="329">
        <f t="shared" si="632"/>
        <v>0</v>
      </c>
      <c r="Q1291" s="338">
        <f t="shared" si="648"/>
        <v>0</v>
      </c>
      <c r="R1291" s="329">
        <f t="shared" si="633"/>
        <v>0</v>
      </c>
      <c r="S1291" s="338">
        <f t="shared" si="649"/>
        <v>10000000</v>
      </c>
      <c r="T1291" s="329">
        <f t="shared" si="634"/>
        <v>0</v>
      </c>
      <c r="U1291" s="338">
        <f t="shared" si="636"/>
        <v>2200000</v>
      </c>
      <c r="V1291" s="329">
        <f t="shared" si="635"/>
        <v>0</v>
      </c>
      <c r="W1291" s="338">
        <f t="shared" si="650"/>
        <v>12224694.890000001</v>
      </c>
      <c r="X1291" s="35"/>
    </row>
    <row r="1292" spans="1:24" x14ac:dyDescent="0.25">
      <c r="A1292" s="335">
        <f t="shared" si="639"/>
        <v>45003</v>
      </c>
      <c r="B1292" s="49">
        <f t="shared" si="637"/>
        <v>0</v>
      </c>
      <c r="C1292" s="338">
        <f t="shared" si="641"/>
        <v>118886089</v>
      </c>
      <c r="D1292" s="329">
        <f t="shared" si="638"/>
        <v>0</v>
      </c>
      <c r="E1292" s="338">
        <f t="shared" si="642"/>
        <v>9769566</v>
      </c>
      <c r="F1292" s="329">
        <f t="shared" si="640"/>
        <v>0</v>
      </c>
      <c r="G1292" s="338">
        <f t="shared" si="643"/>
        <v>76400000</v>
      </c>
      <c r="H1292" s="329">
        <f t="shared" si="628"/>
        <v>0</v>
      </c>
      <c r="I1292" s="338">
        <f t="shared" si="644"/>
        <v>44350150</v>
      </c>
      <c r="J1292" s="329">
        <f t="shared" si="629"/>
        <v>0</v>
      </c>
      <c r="K1292" s="338">
        <f t="shared" si="645"/>
        <v>15100000</v>
      </c>
      <c r="L1292" s="329">
        <f t="shared" si="630"/>
        <v>0</v>
      </c>
      <c r="M1292" s="338">
        <f t="shared" si="646"/>
        <v>25332976</v>
      </c>
      <c r="N1292" s="329">
        <f t="shared" si="631"/>
        <v>0</v>
      </c>
      <c r="O1292" s="338">
        <f t="shared" si="647"/>
        <v>14300000</v>
      </c>
      <c r="P1292" s="329">
        <f t="shared" si="632"/>
        <v>0</v>
      </c>
      <c r="Q1292" s="338">
        <f t="shared" si="648"/>
        <v>0</v>
      </c>
      <c r="R1292" s="329">
        <f t="shared" si="633"/>
        <v>0</v>
      </c>
      <c r="S1292" s="338">
        <f t="shared" si="649"/>
        <v>10000000</v>
      </c>
      <c r="T1292" s="329">
        <f t="shared" si="634"/>
        <v>0</v>
      </c>
      <c r="U1292" s="338">
        <f t="shared" si="636"/>
        <v>2200000</v>
      </c>
      <c r="V1292" s="329">
        <f t="shared" si="635"/>
        <v>0</v>
      </c>
      <c r="W1292" s="338">
        <f t="shared" si="650"/>
        <v>12224694.890000001</v>
      </c>
      <c r="X1292" s="35"/>
    </row>
    <row r="1293" spans="1:24" x14ac:dyDescent="0.25">
      <c r="A1293" s="335">
        <f t="shared" si="639"/>
        <v>45004</v>
      </c>
      <c r="B1293" s="49">
        <f t="shared" si="637"/>
        <v>0</v>
      </c>
      <c r="C1293" s="338">
        <f t="shared" si="641"/>
        <v>118886089</v>
      </c>
      <c r="D1293" s="329">
        <f t="shared" si="638"/>
        <v>0</v>
      </c>
      <c r="E1293" s="338">
        <f t="shared" si="642"/>
        <v>9769566</v>
      </c>
      <c r="F1293" s="329">
        <f t="shared" si="640"/>
        <v>0</v>
      </c>
      <c r="G1293" s="338">
        <f t="shared" si="643"/>
        <v>76400000</v>
      </c>
      <c r="H1293" s="329">
        <f t="shared" si="628"/>
        <v>0</v>
      </c>
      <c r="I1293" s="338">
        <f t="shared" si="644"/>
        <v>44350150</v>
      </c>
      <c r="J1293" s="329">
        <f t="shared" si="629"/>
        <v>0</v>
      </c>
      <c r="K1293" s="338">
        <f t="shared" si="645"/>
        <v>15100000</v>
      </c>
      <c r="L1293" s="329">
        <f t="shared" si="630"/>
        <v>0</v>
      </c>
      <c r="M1293" s="338">
        <f t="shared" si="646"/>
        <v>25332976</v>
      </c>
      <c r="N1293" s="329">
        <f t="shared" si="631"/>
        <v>0</v>
      </c>
      <c r="O1293" s="338">
        <f t="shared" si="647"/>
        <v>14300000</v>
      </c>
      <c r="P1293" s="329">
        <f t="shared" si="632"/>
        <v>0</v>
      </c>
      <c r="Q1293" s="338">
        <f t="shared" si="648"/>
        <v>0</v>
      </c>
      <c r="R1293" s="329">
        <f t="shared" si="633"/>
        <v>0</v>
      </c>
      <c r="S1293" s="338">
        <f t="shared" si="649"/>
        <v>10000000</v>
      </c>
      <c r="T1293" s="329">
        <f t="shared" si="634"/>
        <v>0</v>
      </c>
      <c r="U1293" s="338">
        <f t="shared" si="636"/>
        <v>2200000</v>
      </c>
      <c r="V1293" s="329">
        <f t="shared" si="635"/>
        <v>0</v>
      </c>
      <c r="W1293" s="338">
        <f t="shared" si="650"/>
        <v>12224694.890000001</v>
      </c>
      <c r="X1293" s="35"/>
    </row>
    <row r="1294" spans="1:24" x14ac:dyDescent="0.25">
      <c r="A1294" s="335">
        <f t="shared" si="639"/>
        <v>45005</v>
      </c>
      <c r="B1294" s="49">
        <f t="shared" si="637"/>
        <v>0</v>
      </c>
      <c r="C1294" s="338">
        <f t="shared" si="641"/>
        <v>118886089</v>
      </c>
      <c r="D1294" s="329">
        <f t="shared" si="638"/>
        <v>0</v>
      </c>
      <c r="E1294" s="338">
        <f t="shared" si="642"/>
        <v>9769566</v>
      </c>
      <c r="F1294" s="329">
        <f t="shared" si="640"/>
        <v>0</v>
      </c>
      <c r="G1294" s="338">
        <f t="shared" si="643"/>
        <v>76400000</v>
      </c>
      <c r="H1294" s="329">
        <f t="shared" si="628"/>
        <v>0</v>
      </c>
      <c r="I1294" s="338">
        <f t="shared" si="644"/>
        <v>44350150</v>
      </c>
      <c r="J1294" s="329">
        <f t="shared" si="629"/>
        <v>0</v>
      </c>
      <c r="K1294" s="338">
        <f t="shared" si="645"/>
        <v>15100000</v>
      </c>
      <c r="L1294" s="329">
        <f t="shared" si="630"/>
        <v>0</v>
      </c>
      <c r="M1294" s="338">
        <f t="shared" si="646"/>
        <v>25332976</v>
      </c>
      <c r="N1294" s="329">
        <f t="shared" si="631"/>
        <v>0</v>
      </c>
      <c r="O1294" s="338">
        <f t="shared" si="647"/>
        <v>14300000</v>
      </c>
      <c r="P1294" s="329">
        <f t="shared" si="632"/>
        <v>0</v>
      </c>
      <c r="Q1294" s="338">
        <f t="shared" si="648"/>
        <v>0</v>
      </c>
      <c r="R1294" s="329">
        <f t="shared" si="633"/>
        <v>0</v>
      </c>
      <c r="S1294" s="338">
        <f t="shared" si="649"/>
        <v>10000000</v>
      </c>
      <c r="T1294" s="329">
        <f t="shared" si="634"/>
        <v>0</v>
      </c>
      <c r="U1294" s="338">
        <f t="shared" si="636"/>
        <v>2200000</v>
      </c>
      <c r="V1294" s="329">
        <f t="shared" si="635"/>
        <v>0</v>
      </c>
      <c r="W1294" s="338">
        <f t="shared" si="650"/>
        <v>12224694.890000001</v>
      </c>
      <c r="X1294" s="35"/>
    </row>
    <row r="1295" spans="1:24" x14ac:dyDescent="0.25">
      <c r="A1295" s="335">
        <f t="shared" si="639"/>
        <v>45006</v>
      </c>
      <c r="B1295" s="49">
        <f t="shared" si="637"/>
        <v>0</v>
      </c>
      <c r="C1295" s="338">
        <f t="shared" si="641"/>
        <v>118886089</v>
      </c>
      <c r="D1295" s="329">
        <f t="shared" si="638"/>
        <v>0</v>
      </c>
      <c r="E1295" s="338">
        <f t="shared" si="642"/>
        <v>9769566</v>
      </c>
      <c r="F1295" s="329">
        <f t="shared" si="640"/>
        <v>0</v>
      </c>
      <c r="G1295" s="338">
        <f t="shared" si="643"/>
        <v>76400000</v>
      </c>
      <c r="H1295" s="329">
        <f t="shared" si="628"/>
        <v>0</v>
      </c>
      <c r="I1295" s="338">
        <f t="shared" si="644"/>
        <v>44350150</v>
      </c>
      <c r="J1295" s="329">
        <f t="shared" si="629"/>
        <v>0</v>
      </c>
      <c r="K1295" s="338">
        <f t="shared" si="645"/>
        <v>15100000</v>
      </c>
      <c r="L1295" s="329">
        <f t="shared" si="630"/>
        <v>0</v>
      </c>
      <c r="M1295" s="338">
        <f t="shared" si="646"/>
        <v>25332976</v>
      </c>
      <c r="N1295" s="329">
        <f t="shared" si="631"/>
        <v>0</v>
      </c>
      <c r="O1295" s="338">
        <f t="shared" si="647"/>
        <v>14300000</v>
      </c>
      <c r="P1295" s="329">
        <f t="shared" si="632"/>
        <v>0</v>
      </c>
      <c r="Q1295" s="338">
        <f t="shared" si="648"/>
        <v>0</v>
      </c>
      <c r="R1295" s="329">
        <f t="shared" si="633"/>
        <v>0</v>
      </c>
      <c r="S1295" s="338">
        <f t="shared" si="649"/>
        <v>10000000</v>
      </c>
      <c r="T1295" s="329">
        <f t="shared" si="634"/>
        <v>0</v>
      </c>
      <c r="U1295" s="338">
        <f t="shared" si="636"/>
        <v>2200000</v>
      </c>
      <c r="V1295" s="329">
        <f t="shared" si="635"/>
        <v>0</v>
      </c>
      <c r="W1295" s="338">
        <f t="shared" si="650"/>
        <v>12224694.890000001</v>
      </c>
      <c r="X1295" s="35"/>
    </row>
    <row r="1296" spans="1:24" x14ac:dyDescent="0.25">
      <c r="A1296" s="335">
        <f t="shared" si="639"/>
        <v>45007</v>
      </c>
      <c r="B1296" s="49">
        <f t="shared" si="637"/>
        <v>0</v>
      </c>
      <c r="C1296" s="338">
        <f t="shared" si="641"/>
        <v>118886089</v>
      </c>
      <c r="D1296" s="329">
        <f t="shared" si="638"/>
        <v>0</v>
      </c>
      <c r="E1296" s="338">
        <f t="shared" si="642"/>
        <v>9769566</v>
      </c>
      <c r="F1296" s="329">
        <f t="shared" si="640"/>
        <v>0</v>
      </c>
      <c r="G1296" s="338">
        <f t="shared" si="643"/>
        <v>76400000</v>
      </c>
      <c r="H1296" s="329">
        <f t="shared" si="628"/>
        <v>0</v>
      </c>
      <c r="I1296" s="338">
        <f t="shared" si="644"/>
        <v>44350150</v>
      </c>
      <c r="J1296" s="329">
        <f t="shared" si="629"/>
        <v>0</v>
      </c>
      <c r="K1296" s="338">
        <f t="shared" si="645"/>
        <v>15100000</v>
      </c>
      <c r="L1296" s="329">
        <f t="shared" si="630"/>
        <v>0</v>
      </c>
      <c r="M1296" s="338">
        <f t="shared" si="646"/>
        <v>25332976</v>
      </c>
      <c r="N1296" s="329">
        <f t="shared" si="631"/>
        <v>0</v>
      </c>
      <c r="O1296" s="338">
        <f t="shared" si="647"/>
        <v>14300000</v>
      </c>
      <c r="P1296" s="329">
        <f t="shared" si="632"/>
        <v>0</v>
      </c>
      <c r="Q1296" s="338">
        <f t="shared" si="648"/>
        <v>0</v>
      </c>
      <c r="R1296" s="329">
        <f t="shared" si="633"/>
        <v>0</v>
      </c>
      <c r="S1296" s="338">
        <f t="shared" si="649"/>
        <v>10000000</v>
      </c>
      <c r="T1296" s="329">
        <f t="shared" si="634"/>
        <v>0</v>
      </c>
      <c r="U1296" s="338">
        <f t="shared" si="636"/>
        <v>2200000</v>
      </c>
      <c r="V1296" s="329">
        <f t="shared" si="635"/>
        <v>0</v>
      </c>
      <c r="W1296" s="338">
        <f t="shared" si="650"/>
        <v>12224694.890000001</v>
      </c>
      <c r="X1296" s="35"/>
    </row>
    <row r="1297" spans="1:24" x14ac:dyDescent="0.25">
      <c r="A1297" s="335">
        <f t="shared" si="639"/>
        <v>45008</v>
      </c>
      <c r="B1297" s="49">
        <f t="shared" si="637"/>
        <v>0</v>
      </c>
      <c r="C1297" s="338">
        <f t="shared" si="641"/>
        <v>118886089</v>
      </c>
      <c r="D1297" s="329">
        <f t="shared" si="638"/>
        <v>0</v>
      </c>
      <c r="E1297" s="338">
        <f t="shared" si="642"/>
        <v>9769566</v>
      </c>
      <c r="F1297" s="329">
        <f t="shared" si="640"/>
        <v>0</v>
      </c>
      <c r="G1297" s="338">
        <f t="shared" si="643"/>
        <v>76400000</v>
      </c>
      <c r="H1297" s="329">
        <f t="shared" si="628"/>
        <v>0</v>
      </c>
      <c r="I1297" s="338">
        <f t="shared" si="644"/>
        <v>44350150</v>
      </c>
      <c r="J1297" s="329">
        <f t="shared" si="629"/>
        <v>0</v>
      </c>
      <c r="K1297" s="338">
        <f t="shared" si="645"/>
        <v>15100000</v>
      </c>
      <c r="L1297" s="329">
        <f t="shared" si="630"/>
        <v>0</v>
      </c>
      <c r="M1297" s="338">
        <f t="shared" si="646"/>
        <v>25332976</v>
      </c>
      <c r="N1297" s="329">
        <f t="shared" si="631"/>
        <v>0</v>
      </c>
      <c r="O1297" s="338">
        <f t="shared" si="647"/>
        <v>14300000</v>
      </c>
      <c r="P1297" s="329">
        <f t="shared" si="632"/>
        <v>0</v>
      </c>
      <c r="Q1297" s="338">
        <f t="shared" si="648"/>
        <v>0</v>
      </c>
      <c r="R1297" s="329">
        <f t="shared" si="633"/>
        <v>0</v>
      </c>
      <c r="S1297" s="338">
        <f t="shared" si="649"/>
        <v>10000000</v>
      </c>
      <c r="T1297" s="329">
        <f t="shared" si="634"/>
        <v>0</v>
      </c>
      <c r="U1297" s="338">
        <f t="shared" si="636"/>
        <v>2200000</v>
      </c>
      <c r="V1297" s="329">
        <f t="shared" si="635"/>
        <v>0</v>
      </c>
      <c r="W1297" s="338">
        <f t="shared" si="650"/>
        <v>12224694.890000001</v>
      </c>
      <c r="X1297" s="35"/>
    </row>
    <row r="1298" spans="1:24" x14ac:dyDescent="0.25">
      <c r="A1298" s="335">
        <f t="shared" si="639"/>
        <v>45009</v>
      </c>
      <c r="B1298" s="49">
        <f t="shared" si="637"/>
        <v>0</v>
      </c>
      <c r="C1298" s="338">
        <f t="shared" si="641"/>
        <v>118886089</v>
      </c>
      <c r="D1298" s="329">
        <f t="shared" si="638"/>
        <v>0</v>
      </c>
      <c r="E1298" s="338">
        <f t="shared" si="642"/>
        <v>9769566</v>
      </c>
      <c r="F1298" s="329">
        <f t="shared" si="640"/>
        <v>0</v>
      </c>
      <c r="G1298" s="338">
        <f t="shared" si="643"/>
        <v>76400000</v>
      </c>
      <c r="H1298" s="329">
        <f t="shared" si="628"/>
        <v>0</v>
      </c>
      <c r="I1298" s="338">
        <f t="shared" si="644"/>
        <v>44350150</v>
      </c>
      <c r="J1298" s="329">
        <f t="shared" si="629"/>
        <v>0</v>
      </c>
      <c r="K1298" s="338">
        <f t="shared" si="645"/>
        <v>15100000</v>
      </c>
      <c r="L1298" s="329">
        <f t="shared" si="630"/>
        <v>0</v>
      </c>
      <c r="M1298" s="338">
        <f t="shared" si="646"/>
        <v>25332976</v>
      </c>
      <c r="N1298" s="329">
        <f t="shared" si="631"/>
        <v>0</v>
      </c>
      <c r="O1298" s="338">
        <f t="shared" si="647"/>
        <v>14300000</v>
      </c>
      <c r="P1298" s="329">
        <f t="shared" si="632"/>
        <v>0</v>
      </c>
      <c r="Q1298" s="338">
        <f t="shared" si="648"/>
        <v>0</v>
      </c>
      <c r="R1298" s="329">
        <f t="shared" si="633"/>
        <v>0</v>
      </c>
      <c r="S1298" s="338">
        <f t="shared" si="649"/>
        <v>10000000</v>
      </c>
      <c r="T1298" s="329">
        <f t="shared" si="634"/>
        <v>0</v>
      </c>
      <c r="U1298" s="338">
        <f t="shared" si="636"/>
        <v>2200000</v>
      </c>
      <c r="V1298" s="329">
        <f t="shared" si="635"/>
        <v>0</v>
      </c>
      <c r="W1298" s="338">
        <f t="shared" si="650"/>
        <v>12224694.890000001</v>
      </c>
      <c r="X1298" s="35"/>
    </row>
    <row r="1299" spans="1:24" x14ac:dyDescent="0.25">
      <c r="A1299" s="335">
        <f t="shared" si="639"/>
        <v>45010</v>
      </c>
      <c r="B1299" s="49">
        <f t="shared" si="637"/>
        <v>0</v>
      </c>
      <c r="C1299" s="338">
        <f t="shared" si="641"/>
        <v>118886089</v>
      </c>
      <c r="D1299" s="329">
        <f t="shared" si="638"/>
        <v>0</v>
      </c>
      <c r="E1299" s="338">
        <f t="shared" si="642"/>
        <v>9769566</v>
      </c>
      <c r="F1299" s="329">
        <f t="shared" si="640"/>
        <v>0</v>
      </c>
      <c r="G1299" s="338">
        <f t="shared" si="643"/>
        <v>76400000</v>
      </c>
      <c r="H1299" s="329">
        <f t="shared" si="628"/>
        <v>0</v>
      </c>
      <c r="I1299" s="338">
        <f t="shared" si="644"/>
        <v>44350150</v>
      </c>
      <c r="J1299" s="329">
        <f t="shared" si="629"/>
        <v>0</v>
      </c>
      <c r="K1299" s="338">
        <f t="shared" si="645"/>
        <v>15100000</v>
      </c>
      <c r="L1299" s="329">
        <f t="shared" si="630"/>
        <v>0</v>
      </c>
      <c r="M1299" s="338">
        <f t="shared" si="646"/>
        <v>25332976</v>
      </c>
      <c r="N1299" s="329">
        <f t="shared" si="631"/>
        <v>0</v>
      </c>
      <c r="O1299" s="338">
        <f t="shared" si="647"/>
        <v>14300000</v>
      </c>
      <c r="P1299" s="329">
        <f t="shared" si="632"/>
        <v>0</v>
      </c>
      <c r="Q1299" s="338">
        <f t="shared" si="648"/>
        <v>0</v>
      </c>
      <c r="R1299" s="329">
        <f t="shared" si="633"/>
        <v>0</v>
      </c>
      <c r="S1299" s="338">
        <f t="shared" si="649"/>
        <v>10000000</v>
      </c>
      <c r="T1299" s="329">
        <f t="shared" si="634"/>
        <v>0</v>
      </c>
      <c r="U1299" s="338">
        <f t="shared" si="636"/>
        <v>2200000</v>
      </c>
      <c r="V1299" s="329">
        <f t="shared" si="635"/>
        <v>0</v>
      </c>
      <c r="W1299" s="338">
        <f t="shared" si="650"/>
        <v>12224694.890000001</v>
      </c>
      <c r="X1299" s="35"/>
    </row>
    <row r="1300" spans="1:24" x14ac:dyDescent="0.25">
      <c r="A1300" s="335">
        <f t="shared" si="639"/>
        <v>45011</v>
      </c>
      <c r="B1300" s="49">
        <f t="shared" si="637"/>
        <v>0</v>
      </c>
      <c r="C1300" s="338">
        <f t="shared" si="641"/>
        <v>118886089</v>
      </c>
      <c r="D1300" s="329">
        <f t="shared" si="638"/>
        <v>0</v>
      </c>
      <c r="E1300" s="338">
        <f t="shared" si="642"/>
        <v>9769566</v>
      </c>
      <c r="F1300" s="329">
        <f t="shared" si="640"/>
        <v>0</v>
      </c>
      <c r="G1300" s="338">
        <f t="shared" si="643"/>
        <v>76400000</v>
      </c>
      <c r="H1300" s="329">
        <f t="shared" si="628"/>
        <v>0</v>
      </c>
      <c r="I1300" s="338">
        <f t="shared" si="644"/>
        <v>44350150</v>
      </c>
      <c r="J1300" s="329">
        <f t="shared" si="629"/>
        <v>0</v>
      </c>
      <c r="K1300" s="338">
        <f t="shared" si="645"/>
        <v>15100000</v>
      </c>
      <c r="L1300" s="329">
        <f t="shared" si="630"/>
        <v>0</v>
      </c>
      <c r="M1300" s="338">
        <f t="shared" si="646"/>
        <v>25332976</v>
      </c>
      <c r="N1300" s="329">
        <f t="shared" si="631"/>
        <v>0</v>
      </c>
      <c r="O1300" s="338">
        <f t="shared" si="647"/>
        <v>14300000</v>
      </c>
      <c r="P1300" s="329">
        <f t="shared" si="632"/>
        <v>0</v>
      </c>
      <c r="Q1300" s="338">
        <f t="shared" si="648"/>
        <v>0</v>
      </c>
      <c r="R1300" s="329">
        <f t="shared" si="633"/>
        <v>0</v>
      </c>
      <c r="S1300" s="338">
        <f t="shared" si="649"/>
        <v>10000000</v>
      </c>
      <c r="T1300" s="329">
        <f t="shared" si="634"/>
        <v>0</v>
      </c>
      <c r="U1300" s="338">
        <f t="shared" si="636"/>
        <v>2200000</v>
      </c>
      <c r="V1300" s="329">
        <f t="shared" si="635"/>
        <v>0</v>
      </c>
      <c r="W1300" s="338">
        <f t="shared" si="650"/>
        <v>12224694.890000001</v>
      </c>
      <c r="X1300" s="35"/>
    </row>
    <row r="1301" spans="1:24" x14ac:dyDescent="0.25">
      <c r="A1301" s="335">
        <f t="shared" si="639"/>
        <v>45012</v>
      </c>
      <c r="B1301" s="49">
        <f t="shared" si="637"/>
        <v>0</v>
      </c>
      <c r="C1301" s="338">
        <f t="shared" si="641"/>
        <v>118886089</v>
      </c>
      <c r="D1301" s="329">
        <f t="shared" si="638"/>
        <v>0</v>
      </c>
      <c r="E1301" s="338">
        <f t="shared" si="642"/>
        <v>9769566</v>
      </c>
      <c r="F1301" s="329">
        <f t="shared" si="640"/>
        <v>0</v>
      </c>
      <c r="G1301" s="338">
        <f t="shared" si="643"/>
        <v>76400000</v>
      </c>
      <c r="H1301" s="329">
        <f t="shared" si="628"/>
        <v>0</v>
      </c>
      <c r="I1301" s="338">
        <f t="shared" si="644"/>
        <v>44350150</v>
      </c>
      <c r="J1301" s="329">
        <f t="shared" si="629"/>
        <v>0</v>
      </c>
      <c r="K1301" s="338">
        <f t="shared" si="645"/>
        <v>15100000</v>
      </c>
      <c r="L1301" s="329">
        <f t="shared" si="630"/>
        <v>0</v>
      </c>
      <c r="M1301" s="338">
        <f t="shared" si="646"/>
        <v>25332976</v>
      </c>
      <c r="N1301" s="329">
        <f t="shared" si="631"/>
        <v>0</v>
      </c>
      <c r="O1301" s="338">
        <f t="shared" si="647"/>
        <v>14300000</v>
      </c>
      <c r="P1301" s="329">
        <f t="shared" si="632"/>
        <v>0</v>
      </c>
      <c r="Q1301" s="338">
        <f t="shared" si="648"/>
        <v>0</v>
      </c>
      <c r="R1301" s="329">
        <f t="shared" si="633"/>
        <v>0</v>
      </c>
      <c r="S1301" s="338">
        <f t="shared" si="649"/>
        <v>10000000</v>
      </c>
      <c r="T1301" s="329">
        <f t="shared" si="634"/>
        <v>0</v>
      </c>
      <c r="U1301" s="338">
        <f t="shared" si="636"/>
        <v>2200000</v>
      </c>
      <c r="V1301" s="329">
        <f t="shared" si="635"/>
        <v>0</v>
      </c>
      <c r="W1301" s="338">
        <f t="shared" si="650"/>
        <v>12224694.890000001</v>
      </c>
      <c r="X1301" s="35"/>
    </row>
    <row r="1302" spans="1:24" x14ac:dyDescent="0.25">
      <c r="A1302" s="335">
        <f t="shared" si="639"/>
        <v>45013</v>
      </c>
      <c r="B1302" s="49">
        <f t="shared" si="637"/>
        <v>0</v>
      </c>
      <c r="C1302" s="338">
        <f t="shared" si="641"/>
        <v>118886089</v>
      </c>
      <c r="D1302" s="329">
        <f t="shared" si="638"/>
        <v>0</v>
      </c>
      <c r="E1302" s="338">
        <f t="shared" si="642"/>
        <v>9769566</v>
      </c>
      <c r="F1302" s="329">
        <f t="shared" si="640"/>
        <v>0</v>
      </c>
      <c r="G1302" s="338">
        <f t="shared" si="643"/>
        <v>76400000</v>
      </c>
      <c r="H1302" s="329">
        <f t="shared" si="628"/>
        <v>0</v>
      </c>
      <c r="I1302" s="338">
        <f t="shared" si="644"/>
        <v>44350150</v>
      </c>
      <c r="J1302" s="329">
        <f t="shared" si="629"/>
        <v>0</v>
      </c>
      <c r="K1302" s="338">
        <f t="shared" si="645"/>
        <v>15100000</v>
      </c>
      <c r="L1302" s="329">
        <f t="shared" si="630"/>
        <v>0</v>
      </c>
      <c r="M1302" s="338">
        <f t="shared" si="646"/>
        <v>25332976</v>
      </c>
      <c r="N1302" s="329">
        <f t="shared" si="631"/>
        <v>0</v>
      </c>
      <c r="O1302" s="338">
        <f t="shared" si="647"/>
        <v>14300000</v>
      </c>
      <c r="P1302" s="329">
        <f t="shared" si="632"/>
        <v>0</v>
      </c>
      <c r="Q1302" s="338">
        <f t="shared" si="648"/>
        <v>0</v>
      </c>
      <c r="R1302" s="329">
        <f t="shared" si="633"/>
        <v>0</v>
      </c>
      <c r="S1302" s="338">
        <f t="shared" si="649"/>
        <v>10000000</v>
      </c>
      <c r="T1302" s="329">
        <f t="shared" si="634"/>
        <v>0</v>
      </c>
      <c r="U1302" s="338">
        <f t="shared" si="636"/>
        <v>2200000</v>
      </c>
      <c r="V1302" s="329">
        <f t="shared" si="635"/>
        <v>0</v>
      </c>
      <c r="W1302" s="338">
        <f t="shared" si="650"/>
        <v>12224694.890000001</v>
      </c>
      <c r="X1302" s="35"/>
    </row>
    <row r="1303" spans="1:24" x14ac:dyDescent="0.25">
      <c r="A1303" s="335">
        <f t="shared" si="639"/>
        <v>45014</v>
      </c>
      <c r="B1303" s="49">
        <f t="shared" si="637"/>
        <v>0</v>
      </c>
      <c r="C1303" s="338">
        <f t="shared" si="641"/>
        <v>118886089</v>
      </c>
      <c r="D1303" s="329">
        <f t="shared" si="638"/>
        <v>0</v>
      </c>
      <c r="E1303" s="338">
        <f t="shared" si="642"/>
        <v>9769566</v>
      </c>
      <c r="F1303" s="329">
        <f t="shared" si="640"/>
        <v>0</v>
      </c>
      <c r="G1303" s="338">
        <f t="shared" si="643"/>
        <v>76400000</v>
      </c>
      <c r="H1303" s="329">
        <f t="shared" si="628"/>
        <v>0</v>
      </c>
      <c r="I1303" s="338">
        <f t="shared" si="644"/>
        <v>44350150</v>
      </c>
      <c r="J1303" s="329">
        <f t="shared" si="629"/>
        <v>0</v>
      </c>
      <c r="K1303" s="338">
        <f t="shared" si="645"/>
        <v>15100000</v>
      </c>
      <c r="L1303" s="329">
        <f t="shared" si="630"/>
        <v>0</v>
      </c>
      <c r="M1303" s="338">
        <f t="shared" si="646"/>
        <v>25332976</v>
      </c>
      <c r="N1303" s="329">
        <f t="shared" si="631"/>
        <v>0</v>
      </c>
      <c r="O1303" s="338">
        <f t="shared" si="647"/>
        <v>14300000</v>
      </c>
      <c r="P1303" s="329">
        <f t="shared" si="632"/>
        <v>0</v>
      </c>
      <c r="Q1303" s="338">
        <f t="shared" si="648"/>
        <v>0</v>
      </c>
      <c r="R1303" s="329">
        <f t="shared" si="633"/>
        <v>0</v>
      </c>
      <c r="S1303" s="338">
        <f t="shared" si="649"/>
        <v>10000000</v>
      </c>
      <c r="T1303" s="329">
        <f t="shared" si="634"/>
        <v>0</v>
      </c>
      <c r="U1303" s="338">
        <f t="shared" si="636"/>
        <v>2200000</v>
      </c>
      <c r="V1303" s="329">
        <f t="shared" si="635"/>
        <v>0</v>
      </c>
      <c r="W1303" s="338">
        <f t="shared" si="650"/>
        <v>12224694.890000001</v>
      </c>
      <c r="X1303" s="35"/>
    </row>
    <row r="1304" spans="1:24" x14ac:dyDescent="0.25">
      <c r="A1304" s="335">
        <f t="shared" si="639"/>
        <v>45015</v>
      </c>
      <c r="B1304" s="49">
        <f t="shared" si="637"/>
        <v>0</v>
      </c>
      <c r="C1304" s="338">
        <f t="shared" si="641"/>
        <v>118886089</v>
      </c>
      <c r="D1304" s="329">
        <f t="shared" si="638"/>
        <v>0</v>
      </c>
      <c r="E1304" s="338">
        <f t="shared" si="642"/>
        <v>9769566</v>
      </c>
      <c r="F1304" s="329">
        <f t="shared" si="640"/>
        <v>0</v>
      </c>
      <c r="G1304" s="338">
        <f t="shared" si="643"/>
        <v>76400000</v>
      </c>
      <c r="H1304" s="329">
        <f t="shared" si="628"/>
        <v>0</v>
      </c>
      <c r="I1304" s="338">
        <f t="shared" si="644"/>
        <v>44350150</v>
      </c>
      <c r="J1304" s="329">
        <f t="shared" si="629"/>
        <v>0</v>
      </c>
      <c r="K1304" s="338">
        <f t="shared" si="645"/>
        <v>15100000</v>
      </c>
      <c r="L1304" s="329">
        <f t="shared" si="630"/>
        <v>0</v>
      </c>
      <c r="M1304" s="338">
        <f t="shared" si="646"/>
        <v>25332976</v>
      </c>
      <c r="N1304" s="329">
        <f t="shared" si="631"/>
        <v>0</v>
      </c>
      <c r="O1304" s="338">
        <f t="shared" si="647"/>
        <v>14300000</v>
      </c>
      <c r="P1304" s="329">
        <f t="shared" si="632"/>
        <v>0</v>
      </c>
      <c r="Q1304" s="338">
        <f t="shared" si="648"/>
        <v>0</v>
      </c>
      <c r="R1304" s="329">
        <f t="shared" si="633"/>
        <v>0</v>
      </c>
      <c r="S1304" s="338">
        <f t="shared" si="649"/>
        <v>10000000</v>
      </c>
      <c r="T1304" s="329">
        <f t="shared" si="634"/>
        <v>0</v>
      </c>
      <c r="U1304" s="338">
        <f t="shared" si="636"/>
        <v>2200000</v>
      </c>
      <c r="V1304" s="329">
        <f t="shared" si="635"/>
        <v>0</v>
      </c>
      <c r="W1304" s="338">
        <f t="shared" si="650"/>
        <v>12224694.890000001</v>
      </c>
      <c r="X1304" s="35"/>
    </row>
    <row r="1305" spans="1:24" x14ac:dyDescent="0.25">
      <c r="A1305" s="335">
        <f t="shared" si="639"/>
        <v>45016</v>
      </c>
      <c r="B1305" s="49">
        <f t="shared" si="637"/>
        <v>0</v>
      </c>
      <c r="C1305" s="338">
        <f t="shared" si="641"/>
        <v>118886089</v>
      </c>
      <c r="D1305" s="329">
        <f t="shared" si="638"/>
        <v>0</v>
      </c>
      <c r="E1305" s="338">
        <f t="shared" si="642"/>
        <v>9769566</v>
      </c>
      <c r="F1305" s="329">
        <f t="shared" si="640"/>
        <v>0</v>
      </c>
      <c r="G1305" s="338">
        <f t="shared" si="643"/>
        <v>76400000</v>
      </c>
      <c r="H1305" s="329">
        <f t="shared" si="628"/>
        <v>0</v>
      </c>
      <c r="I1305" s="338">
        <f t="shared" si="644"/>
        <v>44350150</v>
      </c>
      <c r="J1305" s="329">
        <f t="shared" si="629"/>
        <v>0</v>
      </c>
      <c r="K1305" s="338">
        <f t="shared" si="645"/>
        <v>15100000</v>
      </c>
      <c r="L1305" s="329">
        <f t="shared" si="630"/>
        <v>0</v>
      </c>
      <c r="M1305" s="338">
        <f t="shared" si="646"/>
        <v>25332976</v>
      </c>
      <c r="N1305" s="329">
        <f t="shared" si="631"/>
        <v>0</v>
      </c>
      <c r="O1305" s="338">
        <f t="shared" si="647"/>
        <v>14300000</v>
      </c>
      <c r="P1305" s="329">
        <f t="shared" si="632"/>
        <v>0</v>
      </c>
      <c r="Q1305" s="338">
        <f t="shared" si="648"/>
        <v>0</v>
      </c>
      <c r="R1305" s="329">
        <f t="shared" si="633"/>
        <v>0</v>
      </c>
      <c r="S1305" s="338">
        <f t="shared" si="649"/>
        <v>10000000</v>
      </c>
      <c r="T1305" s="329">
        <f t="shared" si="634"/>
        <v>0</v>
      </c>
      <c r="U1305" s="338">
        <f t="shared" si="636"/>
        <v>2200000</v>
      </c>
      <c r="V1305" s="329">
        <f t="shared" si="635"/>
        <v>0</v>
      </c>
      <c r="W1305" s="338">
        <f t="shared" si="650"/>
        <v>12224694.890000001</v>
      </c>
      <c r="X1305" s="35"/>
    </row>
    <row r="1306" spans="1:24" x14ac:dyDescent="0.25">
      <c r="A1306" s="335">
        <f t="shared" si="639"/>
        <v>45017</v>
      </c>
      <c r="B1306" s="49">
        <f t="shared" si="637"/>
        <v>0</v>
      </c>
      <c r="C1306" s="338">
        <f t="shared" si="641"/>
        <v>118886089</v>
      </c>
      <c r="D1306" s="329">
        <f t="shared" si="638"/>
        <v>0</v>
      </c>
      <c r="E1306" s="338">
        <f t="shared" si="642"/>
        <v>9769566</v>
      </c>
      <c r="F1306" s="329">
        <f t="shared" si="640"/>
        <v>0</v>
      </c>
      <c r="G1306" s="338">
        <f t="shared" si="643"/>
        <v>76400000</v>
      </c>
      <c r="H1306" s="329">
        <f t="shared" si="628"/>
        <v>0</v>
      </c>
      <c r="I1306" s="338">
        <f t="shared" si="644"/>
        <v>44350150</v>
      </c>
      <c r="J1306" s="329">
        <f t="shared" si="629"/>
        <v>0</v>
      </c>
      <c r="K1306" s="338">
        <f t="shared" si="645"/>
        <v>15100000</v>
      </c>
      <c r="L1306" s="329">
        <f t="shared" si="630"/>
        <v>0</v>
      </c>
      <c r="M1306" s="338">
        <f t="shared" si="646"/>
        <v>25332976</v>
      </c>
      <c r="N1306" s="329">
        <f t="shared" si="631"/>
        <v>0</v>
      </c>
      <c r="O1306" s="338">
        <f t="shared" si="647"/>
        <v>14300000</v>
      </c>
      <c r="P1306" s="329">
        <f t="shared" si="632"/>
        <v>0</v>
      </c>
      <c r="Q1306" s="338">
        <f t="shared" si="648"/>
        <v>0</v>
      </c>
      <c r="R1306" s="329">
        <f t="shared" si="633"/>
        <v>0</v>
      </c>
      <c r="S1306" s="338">
        <f t="shared" si="649"/>
        <v>10000000</v>
      </c>
      <c r="T1306" s="329">
        <f t="shared" si="634"/>
        <v>0</v>
      </c>
      <c r="U1306" s="338">
        <f t="shared" si="636"/>
        <v>2200000</v>
      </c>
      <c r="V1306" s="329">
        <f t="shared" si="635"/>
        <v>0</v>
      </c>
      <c r="W1306" s="338">
        <f t="shared" si="650"/>
        <v>12224694.890000001</v>
      </c>
      <c r="X1306" s="35"/>
    </row>
    <row r="1307" spans="1:24" x14ac:dyDescent="0.25">
      <c r="A1307" s="335">
        <f t="shared" si="639"/>
        <v>45018</v>
      </c>
      <c r="B1307" s="49">
        <f t="shared" si="637"/>
        <v>0</v>
      </c>
      <c r="C1307" s="338">
        <f t="shared" si="641"/>
        <v>118886089</v>
      </c>
      <c r="D1307" s="329">
        <f t="shared" si="638"/>
        <v>0</v>
      </c>
      <c r="E1307" s="338">
        <f t="shared" si="642"/>
        <v>9769566</v>
      </c>
      <c r="F1307" s="329">
        <f t="shared" si="640"/>
        <v>0</v>
      </c>
      <c r="G1307" s="338">
        <f t="shared" si="643"/>
        <v>76400000</v>
      </c>
      <c r="H1307" s="329">
        <f t="shared" si="628"/>
        <v>0</v>
      </c>
      <c r="I1307" s="338">
        <f t="shared" si="644"/>
        <v>44350150</v>
      </c>
      <c r="J1307" s="329">
        <f t="shared" si="629"/>
        <v>0</v>
      </c>
      <c r="K1307" s="338">
        <f t="shared" si="645"/>
        <v>15100000</v>
      </c>
      <c r="L1307" s="329">
        <f t="shared" si="630"/>
        <v>0</v>
      </c>
      <c r="M1307" s="338">
        <f t="shared" si="646"/>
        <v>25332976</v>
      </c>
      <c r="N1307" s="329">
        <f t="shared" si="631"/>
        <v>0</v>
      </c>
      <c r="O1307" s="338">
        <f t="shared" si="647"/>
        <v>14300000</v>
      </c>
      <c r="P1307" s="329">
        <f t="shared" si="632"/>
        <v>0</v>
      </c>
      <c r="Q1307" s="338">
        <f t="shared" si="648"/>
        <v>0</v>
      </c>
      <c r="R1307" s="329">
        <f t="shared" si="633"/>
        <v>0</v>
      </c>
      <c r="S1307" s="338">
        <f t="shared" si="649"/>
        <v>10000000</v>
      </c>
      <c r="T1307" s="329">
        <f t="shared" si="634"/>
        <v>0</v>
      </c>
      <c r="U1307" s="338">
        <f t="shared" si="636"/>
        <v>2200000</v>
      </c>
      <c r="V1307" s="329">
        <f t="shared" si="635"/>
        <v>0</v>
      </c>
      <c r="W1307" s="338">
        <f t="shared" si="650"/>
        <v>12224694.890000001</v>
      </c>
      <c r="X1307" s="35"/>
    </row>
    <row r="1308" spans="1:24" x14ac:dyDescent="0.25">
      <c r="A1308" s="335">
        <f t="shared" si="639"/>
        <v>45019</v>
      </c>
      <c r="B1308" s="49">
        <f t="shared" si="637"/>
        <v>0</v>
      </c>
      <c r="C1308" s="338">
        <f t="shared" si="641"/>
        <v>118886089</v>
      </c>
      <c r="D1308" s="329">
        <f t="shared" si="638"/>
        <v>0</v>
      </c>
      <c r="E1308" s="338">
        <f t="shared" si="642"/>
        <v>9769566</v>
      </c>
      <c r="F1308" s="329">
        <f t="shared" si="640"/>
        <v>0</v>
      </c>
      <c r="G1308" s="338">
        <f t="shared" si="643"/>
        <v>76400000</v>
      </c>
      <c r="H1308" s="329">
        <f t="shared" si="628"/>
        <v>0</v>
      </c>
      <c r="I1308" s="338">
        <f t="shared" si="644"/>
        <v>44350150</v>
      </c>
      <c r="J1308" s="329">
        <f t="shared" si="629"/>
        <v>0</v>
      </c>
      <c r="K1308" s="338">
        <f t="shared" si="645"/>
        <v>15100000</v>
      </c>
      <c r="L1308" s="329">
        <f t="shared" si="630"/>
        <v>0</v>
      </c>
      <c r="M1308" s="338">
        <f t="shared" si="646"/>
        <v>25332976</v>
      </c>
      <c r="N1308" s="329">
        <f t="shared" si="631"/>
        <v>0</v>
      </c>
      <c r="O1308" s="338">
        <f t="shared" si="647"/>
        <v>14300000</v>
      </c>
      <c r="P1308" s="329">
        <f t="shared" si="632"/>
        <v>0</v>
      </c>
      <c r="Q1308" s="338">
        <f t="shared" si="648"/>
        <v>0</v>
      </c>
      <c r="R1308" s="329">
        <f t="shared" si="633"/>
        <v>0</v>
      </c>
      <c r="S1308" s="338">
        <f t="shared" si="649"/>
        <v>10000000</v>
      </c>
      <c r="T1308" s="329">
        <f t="shared" si="634"/>
        <v>0</v>
      </c>
      <c r="U1308" s="338">
        <f t="shared" si="636"/>
        <v>2200000</v>
      </c>
      <c r="V1308" s="329">
        <f t="shared" si="635"/>
        <v>0</v>
      </c>
      <c r="W1308" s="338">
        <f t="shared" si="650"/>
        <v>12224694.890000001</v>
      </c>
      <c r="X1308" s="35"/>
    </row>
    <row r="1309" spans="1:24" x14ac:dyDescent="0.25">
      <c r="A1309" s="335">
        <f t="shared" si="639"/>
        <v>45020</v>
      </c>
      <c r="B1309" s="49">
        <f t="shared" si="637"/>
        <v>0</v>
      </c>
      <c r="C1309" s="338">
        <f t="shared" si="641"/>
        <v>118886089</v>
      </c>
      <c r="D1309" s="329">
        <f t="shared" si="638"/>
        <v>0</v>
      </c>
      <c r="E1309" s="338">
        <f t="shared" si="642"/>
        <v>9769566</v>
      </c>
      <c r="F1309" s="329">
        <f t="shared" si="640"/>
        <v>0</v>
      </c>
      <c r="G1309" s="338">
        <f t="shared" si="643"/>
        <v>76400000</v>
      </c>
      <c r="H1309" s="329">
        <f t="shared" si="628"/>
        <v>0</v>
      </c>
      <c r="I1309" s="338">
        <f t="shared" si="644"/>
        <v>44350150</v>
      </c>
      <c r="J1309" s="329">
        <f t="shared" si="629"/>
        <v>0</v>
      </c>
      <c r="K1309" s="338">
        <f t="shared" si="645"/>
        <v>15100000</v>
      </c>
      <c r="L1309" s="329">
        <f t="shared" si="630"/>
        <v>0</v>
      </c>
      <c r="M1309" s="338">
        <f t="shared" si="646"/>
        <v>25332976</v>
      </c>
      <c r="N1309" s="329">
        <f t="shared" si="631"/>
        <v>0</v>
      </c>
      <c r="O1309" s="338">
        <f t="shared" si="647"/>
        <v>14300000</v>
      </c>
      <c r="P1309" s="329">
        <f t="shared" si="632"/>
        <v>0</v>
      </c>
      <c r="Q1309" s="338">
        <f t="shared" si="648"/>
        <v>0</v>
      </c>
      <c r="R1309" s="329">
        <f t="shared" si="633"/>
        <v>0</v>
      </c>
      <c r="S1309" s="338">
        <f t="shared" si="649"/>
        <v>10000000</v>
      </c>
      <c r="T1309" s="329">
        <f t="shared" si="634"/>
        <v>0</v>
      </c>
      <c r="U1309" s="338">
        <f t="shared" si="636"/>
        <v>2200000</v>
      </c>
      <c r="V1309" s="329">
        <f t="shared" si="635"/>
        <v>0</v>
      </c>
      <c r="W1309" s="338">
        <f t="shared" si="650"/>
        <v>12224694.890000001</v>
      </c>
      <c r="X1309" s="35"/>
    </row>
    <row r="1310" spans="1:24" x14ac:dyDescent="0.25">
      <c r="A1310" s="335">
        <f t="shared" si="639"/>
        <v>45021</v>
      </c>
      <c r="B1310" s="49">
        <f t="shared" si="637"/>
        <v>0</v>
      </c>
      <c r="C1310" s="338">
        <f t="shared" si="641"/>
        <v>118886089</v>
      </c>
      <c r="D1310" s="329">
        <f t="shared" si="638"/>
        <v>0</v>
      </c>
      <c r="E1310" s="338">
        <f t="shared" si="642"/>
        <v>9769566</v>
      </c>
      <c r="F1310" s="329">
        <f t="shared" si="640"/>
        <v>0</v>
      </c>
      <c r="G1310" s="338">
        <f t="shared" si="643"/>
        <v>76400000</v>
      </c>
      <c r="H1310" s="329">
        <f t="shared" si="628"/>
        <v>0</v>
      </c>
      <c r="I1310" s="338">
        <f t="shared" si="644"/>
        <v>44350150</v>
      </c>
      <c r="J1310" s="329">
        <f t="shared" si="629"/>
        <v>0</v>
      </c>
      <c r="K1310" s="338">
        <f t="shared" si="645"/>
        <v>15100000</v>
      </c>
      <c r="L1310" s="329">
        <f t="shared" si="630"/>
        <v>0</v>
      </c>
      <c r="M1310" s="338">
        <f t="shared" si="646"/>
        <v>25332976</v>
      </c>
      <c r="N1310" s="329">
        <f t="shared" si="631"/>
        <v>0</v>
      </c>
      <c r="O1310" s="338">
        <f t="shared" si="647"/>
        <v>14300000</v>
      </c>
      <c r="P1310" s="329">
        <f t="shared" si="632"/>
        <v>0</v>
      </c>
      <c r="Q1310" s="338">
        <f t="shared" si="648"/>
        <v>0</v>
      </c>
      <c r="R1310" s="329">
        <f t="shared" si="633"/>
        <v>0</v>
      </c>
      <c r="S1310" s="338">
        <f t="shared" si="649"/>
        <v>10000000</v>
      </c>
      <c r="T1310" s="329">
        <f t="shared" si="634"/>
        <v>0</v>
      </c>
      <c r="U1310" s="338">
        <f t="shared" si="636"/>
        <v>2200000</v>
      </c>
      <c r="V1310" s="329">
        <f t="shared" si="635"/>
        <v>0</v>
      </c>
      <c r="W1310" s="338">
        <f t="shared" si="650"/>
        <v>12224694.890000001</v>
      </c>
      <c r="X1310" s="35"/>
    </row>
    <row r="1311" spans="1:24" x14ac:dyDescent="0.25">
      <c r="A1311" s="335">
        <f t="shared" si="639"/>
        <v>45022</v>
      </c>
      <c r="B1311" s="49">
        <f t="shared" si="637"/>
        <v>0</v>
      </c>
      <c r="C1311" s="338">
        <f t="shared" si="641"/>
        <v>118886089</v>
      </c>
      <c r="D1311" s="329">
        <f t="shared" si="638"/>
        <v>0</v>
      </c>
      <c r="E1311" s="338">
        <f t="shared" si="642"/>
        <v>9769566</v>
      </c>
      <c r="F1311" s="329">
        <f t="shared" si="640"/>
        <v>0</v>
      </c>
      <c r="G1311" s="338">
        <f t="shared" si="643"/>
        <v>76400000</v>
      </c>
      <c r="H1311" s="329">
        <f t="shared" si="628"/>
        <v>0</v>
      </c>
      <c r="I1311" s="338">
        <f t="shared" si="644"/>
        <v>44350150</v>
      </c>
      <c r="J1311" s="329">
        <f t="shared" si="629"/>
        <v>0</v>
      </c>
      <c r="K1311" s="338">
        <f t="shared" si="645"/>
        <v>15100000</v>
      </c>
      <c r="L1311" s="329">
        <f t="shared" si="630"/>
        <v>0</v>
      </c>
      <c r="M1311" s="338">
        <f t="shared" si="646"/>
        <v>25332976</v>
      </c>
      <c r="N1311" s="329">
        <f t="shared" si="631"/>
        <v>0</v>
      </c>
      <c r="O1311" s="338">
        <f t="shared" si="647"/>
        <v>14300000</v>
      </c>
      <c r="P1311" s="329">
        <f t="shared" si="632"/>
        <v>0</v>
      </c>
      <c r="Q1311" s="338">
        <f t="shared" si="648"/>
        <v>0</v>
      </c>
      <c r="R1311" s="329">
        <f t="shared" si="633"/>
        <v>0</v>
      </c>
      <c r="S1311" s="338">
        <f t="shared" si="649"/>
        <v>10000000</v>
      </c>
      <c r="T1311" s="329">
        <f t="shared" si="634"/>
        <v>0</v>
      </c>
      <c r="U1311" s="338">
        <f t="shared" si="636"/>
        <v>2200000</v>
      </c>
      <c r="V1311" s="329">
        <f t="shared" si="635"/>
        <v>0</v>
      </c>
      <c r="W1311" s="338">
        <f t="shared" si="650"/>
        <v>12224694.890000001</v>
      </c>
      <c r="X1311" s="35"/>
    </row>
    <row r="1312" spans="1:24" x14ac:dyDescent="0.25">
      <c r="A1312" s="335">
        <f t="shared" si="639"/>
        <v>45023</v>
      </c>
      <c r="B1312" s="49">
        <f t="shared" si="637"/>
        <v>0</v>
      </c>
      <c r="C1312" s="338">
        <f t="shared" si="641"/>
        <v>118886089</v>
      </c>
      <c r="D1312" s="329">
        <f t="shared" si="638"/>
        <v>0</v>
      </c>
      <c r="E1312" s="338">
        <f t="shared" si="642"/>
        <v>9769566</v>
      </c>
      <c r="F1312" s="329">
        <f t="shared" si="640"/>
        <v>0</v>
      </c>
      <c r="G1312" s="338">
        <f t="shared" si="643"/>
        <v>76400000</v>
      </c>
      <c r="H1312" s="329">
        <f t="shared" si="628"/>
        <v>0</v>
      </c>
      <c r="I1312" s="338">
        <f t="shared" si="644"/>
        <v>44350150</v>
      </c>
      <c r="J1312" s="329">
        <f t="shared" si="629"/>
        <v>0</v>
      </c>
      <c r="K1312" s="338">
        <f t="shared" si="645"/>
        <v>15100000</v>
      </c>
      <c r="L1312" s="329">
        <f t="shared" si="630"/>
        <v>0</v>
      </c>
      <c r="M1312" s="338">
        <f t="shared" si="646"/>
        <v>25332976</v>
      </c>
      <c r="N1312" s="329">
        <f t="shared" si="631"/>
        <v>0</v>
      </c>
      <c r="O1312" s="338">
        <f t="shared" si="647"/>
        <v>14300000</v>
      </c>
      <c r="P1312" s="329">
        <f t="shared" si="632"/>
        <v>0</v>
      </c>
      <c r="Q1312" s="338">
        <f t="shared" si="648"/>
        <v>0</v>
      </c>
      <c r="R1312" s="329">
        <f t="shared" si="633"/>
        <v>0</v>
      </c>
      <c r="S1312" s="338">
        <f t="shared" si="649"/>
        <v>10000000</v>
      </c>
      <c r="T1312" s="329">
        <f t="shared" si="634"/>
        <v>0</v>
      </c>
      <c r="U1312" s="338">
        <f t="shared" si="636"/>
        <v>2200000</v>
      </c>
      <c r="V1312" s="329">
        <f t="shared" si="635"/>
        <v>0</v>
      </c>
      <c r="W1312" s="338">
        <f t="shared" si="650"/>
        <v>12224694.890000001</v>
      </c>
      <c r="X1312" s="35"/>
    </row>
    <row r="1313" spans="1:24" x14ac:dyDescent="0.25">
      <c r="A1313" s="335">
        <f t="shared" si="639"/>
        <v>45024</v>
      </c>
      <c r="B1313" s="49">
        <f t="shared" si="637"/>
        <v>0</v>
      </c>
      <c r="C1313" s="338">
        <f t="shared" si="641"/>
        <v>118886089</v>
      </c>
      <c r="D1313" s="329">
        <f t="shared" si="638"/>
        <v>0</v>
      </c>
      <c r="E1313" s="338">
        <f t="shared" si="642"/>
        <v>9769566</v>
      </c>
      <c r="F1313" s="329">
        <f t="shared" si="640"/>
        <v>0</v>
      </c>
      <c r="G1313" s="338">
        <f t="shared" si="643"/>
        <v>76400000</v>
      </c>
      <c r="H1313" s="329">
        <f t="shared" si="628"/>
        <v>0</v>
      </c>
      <c r="I1313" s="338">
        <f t="shared" si="644"/>
        <v>44350150</v>
      </c>
      <c r="J1313" s="329">
        <f t="shared" si="629"/>
        <v>0</v>
      </c>
      <c r="K1313" s="338">
        <f t="shared" si="645"/>
        <v>15100000</v>
      </c>
      <c r="L1313" s="329">
        <f t="shared" si="630"/>
        <v>0</v>
      </c>
      <c r="M1313" s="338">
        <f t="shared" si="646"/>
        <v>25332976</v>
      </c>
      <c r="N1313" s="329">
        <f t="shared" si="631"/>
        <v>0</v>
      </c>
      <c r="O1313" s="338">
        <f t="shared" si="647"/>
        <v>14300000</v>
      </c>
      <c r="P1313" s="329">
        <f t="shared" si="632"/>
        <v>0</v>
      </c>
      <c r="Q1313" s="338">
        <f t="shared" si="648"/>
        <v>0</v>
      </c>
      <c r="R1313" s="329">
        <f t="shared" si="633"/>
        <v>0</v>
      </c>
      <c r="S1313" s="338">
        <f t="shared" si="649"/>
        <v>10000000</v>
      </c>
      <c r="T1313" s="329">
        <f t="shared" si="634"/>
        <v>0</v>
      </c>
      <c r="U1313" s="338">
        <f t="shared" si="636"/>
        <v>2200000</v>
      </c>
      <c r="V1313" s="329">
        <f t="shared" si="635"/>
        <v>0</v>
      </c>
      <c r="W1313" s="338">
        <f t="shared" si="650"/>
        <v>12224694.890000001</v>
      </c>
      <c r="X1313" s="35"/>
    </row>
    <row r="1314" spans="1:24" x14ac:dyDescent="0.25">
      <c r="A1314" s="335">
        <f t="shared" si="639"/>
        <v>45025</v>
      </c>
      <c r="B1314" s="49">
        <f t="shared" si="637"/>
        <v>0</v>
      </c>
      <c r="C1314" s="338">
        <f t="shared" si="641"/>
        <v>118886089</v>
      </c>
      <c r="D1314" s="329">
        <f t="shared" si="638"/>
        <v>0</v>
      </c>
      <c r="E1314" s="338">
        <f t="shared" si="642"/>
        <v>9769566</v>
      </c>
      <c r="F1314" s="329">
        <f t="shared" si="640"/>
        <v>0</v>
      </c>
      <c r="G1314" s="338">
        <f t="shared" si="643"/>
        <v>76400000</v>
      </c>
      <c r="H1314" s="329">
        <f t="shared" si="628"/>
        <v>0</v>
      </c>
      <c r="I1314" s="338">
        <f t="shared" si="644"/>
        <v>44350150</v>
      </c>
      <c r="J1314" s="329">
        <f t="shared" si="629"/>
        <v>0</v>
      </c>
      <c r="K1314" s="338">
        <f t="shared" si="645"/>
        <v>15100000</v>
      </c>
      <c r="L1314" s="329">
        <f t="shared" si="630"/>
        <v>0</v>
      </c>
      <c r="M1314" s="338">
        <f t="shared" si="646"/>
        <v>25332976</v>
      </c>
      <c r="N1314" s="329">
        <f t="shared" si="631"/>
        <v>0</v>
      </c>
      <c r="O1314" s="338">
        <f t="shared" si="647"/>
        <v>14300000</v>
      </c>
      <c r="P1314" s="329">
        <f t="shared" si="632"/>
        <v>0</v>
      </c>
      <c r="Q1314" s="338">
        <f t="shared" si="648"/>
        <v>0</v>
      </c>
      <c r="R1314" s="329">
        <f t="shared" si="633"/>
        <v>0</v>
      </c>
      <c r="S1314" s="338">
        <f t="shared" si="649"/>
        <v>10000000</v>
      </c>
      <c r="T1314" s="329">
        <f t="shared" si="634"/>
        <v>0</v>
      </c>
      <c r="U1314" s="338">
        <f t="shared" si="636"/>
        <v>2200000</v>
      </c>
      <c r="V1314" s="329">
        <f t="shared" si="635"/>
        <v>0</v>
      </c>
      <c r="W1314" s="338">
        <f t="shared" si="650"/>
        <v>12224694.890000001</v>
      </c>
      <c r="X1314" s="35"/>
    </row>
    <row r="1315" spans="1:24" x14ac:dyDescent="0.25">
      <c r="A1315" s="335">
        <f t="shared" si="639"/>
        <v>45026</v>
      </c>
      <c r="B1315" s="49">
        <f t="shared" si="637"/>
        <v>0</v>
      </c>
      <c r="C1315" s="338">
        <f t="shared" si="641"/>
        <v>118886089</v>
      </c>
      <c r="D1315" s="329">
        <f t="shared" si="638"/>
        <v>0</v>
      </c>
      <c r="E1315" s="338">
        <f t="shared" si="642"/>
        <v>9769566</v>
      </c>
      <c r="F1315" s="329">
        <f t="shared" si="640"/>
        <v>0</v>
      </c>
      <c r="G1315" s="338">
        <f t="shared" si="643"/>
        <v>76400000</v>
      </c>
      <c r="H1315" s="329">
        <f t="shared" si="628"/>
        <v>0</v>
      </c>
      <c r="I1315" s="338">
        <f t="shared" si="644"/>
        <v>44350150</v>
      </c>
      <c r="J1315" s="329">
        <f t="shared" si="629"/>
        <v>0</v>
      </c>
      <c r="K1315" s="338">
        <f t="shared" si="645"/>
        <v>15100000</v>
      </c>
      <c r="L1315" s="329">
        <f t="shared" si="630"/>
        <v>0</v>
      </c>
      <c r="M1315" s="338">
        <f t="shared" si="646"/>
        <v>25332976</v>
      </c>
      <c r="N1315" s="329">
        <f t="shared" si="631"/>
        <v>0</v>
      </c>
      <c r="O1315" s="338">
        <f t="shared" si="647"/>
        <v>14300000</v>
      </c>
      <c r="P1315" s="329">
        <f t="shared" si="632"/>
        <v>0</v>
      </c>
      <c r="Q1315" s="338">
        <f t="shared" si="648"/>
        <v>0</v>
      </c>
      <c r="R1315" s="329">
        <f t="shared" si="633"/>
        <v>0</v>
      </c>
      <c r="S1315" s="338">
        <f t="shared" si="649"/>
        <v>10000000</v>
      </c>
      <c r="T1315" s="329">
        <f t="shared" si="634"/>
        <v>0</v>
      </c>
      <c r="U1315" s="338">
        <f t="shared" si="636"/>
        <v>2200000</v>
      </c>
      <c r="V1315" s="329">
        <f t="shared" si="635"/>
        <v>0</v>
      </c>
      <c r="W1315" s="338">
        <f t="shared" si="650"/>
        <v>12224694.890000001</v>
      </c>
      <c r="X1315" s="35"/>
    </row>
    <row r="1316" spans="1:24" x14ac:dyDescent="0.25">
      <c r="A1316" s="335">
        <f t="shared" si="639"/>
        <v>45027</v>
      </c>
      <c r="B1316" s="49">
        <f t="shared" si="637"/>
        <v>0</v>
      </c>
      <c r="C1316" s="338">
        <f t="shared" si="641"/>
        <v>118886089</v>
      </c>
      <c r="D1316" s="329">
        <f t="shared" si="638"/>
        <v>0</v>
      </c>
      <c r="E1316" s="338">
        <f t="shared" si="642"/>
        <v>9769566</v>
      </c>
      <c r="F1316" s="329">
        <f t="shared" si="640"/>
        <v>0</v>
      </c>
      <c r="G1316" s="338">
        <f t="shared" si="643"/>
        <v>76400000</v>
      </c>
      <c r="H1316" s="329">
        <f t="shared" si="628"/>
        <v>0</v>
      </c>
      <c r="I1316" s="338">
        <f t="shared" si="644"/>
        <v>44350150</v>
      </c>
      <c r="J1316" s="329">
        <f t="shared" si="629"/>
        <v>0</v>
      </c>
      <c r="K1316" s="338">
        <f t="shared" si="645"/>
        <v>15100000</v>
      </c>
      <c r="L1316" s="329">
        <f t="shared" si="630"/>
        <v>0</v>
      </c>
      <c r="M1316" s="338">
        <f t="shared" si="646"/>
        <v>25332976</v>
      </c>
      <c r="N1316" s="329">
        <f t="shared" si="631"/>
        <v>0</v>
      </c>
      <c r="O1316" s="338">
        <f t="shared" si="647"/>
        <v>14300000</v>
      </c>
      <c r="P1316" s="329">
        <f t="shared" si="632"/>
        <v>0</v>
      </c>
      <c r="Q1316" s="338">
        <f t="shared" si="648"/>
        <v>0</v>
      </c>
      <c r="R1316" s="329">
        <f t="shared" si="633"/>
        <v>0</v>
      </c>
      <c r="S1316" s="338">
        <f t="shared" si="649"/>
        <v>10000000</v>
      </c>
      <c r="T1316" s="329">
        <f t="shared" si="634"/>
        <v>0</v>
      </c>
      <c r="U1316" s="338">
        <f t="shared" si="636"/>
        <v>2200000</v>
      </c>
      <c r="V1316" s="329">
        <f t="shared" si="635"/>
        <v>0</v>
      </c>
      <c r="W1316" s="338">
        <f t="shared" si="650"/>
        <v>12224694.890000001</v>
      </c>
      <c r="X1316" s="35"/>
    </row>
    <row r="1317" spans="1:24" x14ac:dyDescent="0.25">
      <c r="A1317" s="335">
        <f t="shared" si="639"/>
        <v>45028</v>
      </c>
      <c r="B1317" s="49">
        <f t="shared" si="637"/>
        <v>0</v>
      </c>
      <c r="C1317" s="338">
        <f t="shared" si="641"/>
        <v>118886089</v>
      </c>
      <c r="D1317" s="329">
        <f t="shared" si="638"/>
        <v>0</v>
      </c>
      <c r="E1317" s="338">
        <f t="shared" si="642"/>
        <v>9769566</v>
      </c>
      <c r="F1317" s="329">
        <f t="shared" si="640"/>
        <v>0</v>
      </c>
      <c r="G1317" s="338">
        <f t="shared" si="643"/>
        <v>76400000</v>
      </c>
      <c r="H1317" s="329">
        <f t="shared" si="628"/>
        <v>0</v>
      </c>
      <c r="I1317" s="338">
        <f t="shared" si="644"/>
        <v>44350150</v>
      </c>
      <c r="J1317" s="329">
        <f t="shared" si="629"/>
        <v>0</v>
      </c>
      <c r="K1317" s="338">
        <f t="shared" si="645"/>
        <v>15100000</v>
      </c>
      <c r="L1317" s="329">
        <f t="shared" si="630"/>
        <v>0</v>
      </c>
      <c r="M1317" s="338">
        <f t="shared" si="646"/>
        <v>25332976</v>
      </c>
      <c r="N1317" s="329">
        <f t="shared" si="631"/>
        <v>0</v>
      </c>
      <c r="O1317" s="338">
        <f t="shared" si="647"/>
        <v>14300000</v>
      </c>
      <c r="P1317" s="329">
        <f t="shared" si="632"/>
        <v>0</v>
      </c>
      <c r="Q1317" s="338">
        <f t="shared" si="648"/>
        <v>0</v>
      </c>
      <c r="R1317" s="329">
        <f t="shared" si="633"/>
        <v>0</v>
      </c>
      <c r="S1317" s="338">
        <f t="shared" si="649"/>
        <v>10000000</v>
      </c>
      <c r="T1317" s="329">
        <f t="shared" si="634"/>
        <v>0</v>
      </c>
      <c r="U1317" s="338">
        <f t="shared" si="636"/>
        <v>2200000</v>
      </c>
      <c r="V1317" s="329">
        <f t="shared" si="635"/>
        <v>0</v>
      </c>
      <c r="W1317" s="338">
        <f t="shared" si="650"/>
        <v>12224694.890000001</v>
      </c>
      <c r="X1317" s="35"/>
    </row>
    <row r="1318" spans="1:24" x14ac:dyDescent="0.25">
      <c r="A1318" s="335">
        <f t="shared" si="639"/>
        <v>45029</v>
      </c>
      <c r="B1318" s="49">
        <f t="shared" si="637"/>
        <v>0</v>
      </c>
      <c r="C1318" s="338">
        <f t="shared" si="641"/>
        <v>118886089</v>
      </c>
      <c r="D1318" s="329">
        <f t="shared" si="638"/>
        <v>0</v>
      </c>
      <c r="E1318" s="338">
        <f t="shared" si="642"/>
        <v>9769566</v>
      </c>
      <c r="F1318" s="329">
        <f t="shared" si="640"/>
        <v>0</v>
      </c>
      <c r="G1318" s="338">
        <f t="shared" si="643"/>
        <v>76400000</v>
      </c>
      <c r="H1318" s="329">
        <f t="shared" si="628"/>
        <v>0</v>
      </c>
      <c r="I1318" s="338">
        <f t="shared" si="644"/>
        <v>44350150</v>
      </c>
      <c r="J1318" s="329">
        <f t="shared" si="629"/>
        <v>0</v>
      </c>
      <c r="K1318" s="338">
        <f t="shared" si="645"/>
        <v>15100000</v>
      </c>
      <c r="L1318" s="329">
        <f t="shared" si="630"/>
        <v>0</v>
      </c>
      <c r="M1318" s="338">
        <f t="shared" si="646"/>
        <v>25332976</v>
      </c>
      <c r="N1318" s="329">
        <f t="shared" si="631"/>
        <v>0</v>
      </c>
      <c r="O1318" s="338">
        <f t="shared" si="647"/>
        <v>14300000</v>
      </c>
      <c r="P1318" s="329">
        <f t="shared" si="632"/>
        <v>0</v>
      </c>
      <c r="Q1318" s="338">
        <f t="shared" si="648"/>
        <v>0</v>
      </c>
      <c r="R1318" s="329">
        <f t="shared" si="633"/>
        <v>0</v>
      </c>
      <c r="S1318" s="338">
        <f t="shared" si="649"/>
        <v>10000000</v>
      </c>
      <c r="T1318" s="329">
        <f t="shared" si="634"/>
        <v>0</v>
      </c>
      <c r="U1318" s="338">
        <f t="shared" si="636"/>
        <v>2200000</v>
      </c>
      <c r="V1318" s="329">
        <f t="shared" si="635"/>
        <v>0</v>
      </c>
      <c r="W1318" s="338">
        <f t="shared" si="650"/>
        <v>12224694.890000001</v>
      </c>
      <c r="X1318" s="35"/>
    </row>
    <row r="1319" spans="1:24" x14ac:dyDescent="0.25">
      <c r="A1319" s="335">
        <f t="shared" si="639"/>
        <v>45030</v>
      </c>
      <c r="B1319" s="49">
        <f t="shared" si="637"/>
        <v>0</v>
      </c>
      <c r="C1319" s="338">
        <f t="shared" si="641"/>
        <v>118886089</v>
      </c>
      <c r="D1319" s="329">
        <f t="shared" si="638"/>
        <v>0</v>
      </c>
      <c r="E1319" s="338">
        <f t="shared" si="642"/>
        <v>9769566</v>
      </c>
      <c r="F1319" s="329">
        <f t="shared" si="640"/>
        <v>0</v>
      </c>
      <c r="G1319" s="338">
        <f t="shared" si="643"/>
        <v>76400000</v>
      </c>
      <c r="H1319" s="329">
        <f t="shared" si="628"/>
        <v>0</v>
      </c>
      <c r="I1319" s="338">
        <f t="shared" si="644"/>
        <v>44350150</v>
      </c>
      <c r="J1319" s="329">
        <f t="shared" si="629"/>
        <v>0</v>
      </c>
      <c r="K1319" s="338">
        <f t="shared" si="645"/>
        <v>15100000</v>
      </c>
      <c r="L1319" s="329">
        <f t="shared" si="630"/>
        <v>0</v>
      </c>
      <c r="M1319" s="338">
        <f t="shared" si="646"/>
        <v>25332976</v>
      </c>
      <c r="N1319" s="329">
        <f t="shared" si="631"/>
        <v>0</v>
      </c>
      <c r="O1319" s="338">
        <f t="shared" si="647"/>
        <v>14300000</v>
      </c>
      <c r="P1319" s="329">
        <f t="shared" si="632"/>
        <v>0</v>
      </c>
      <c r="Q1319" s="338">
        <f t="shared" si="648"/>
        <v>0</v>
      </c>
      <c r="R1319" s="329">
        <f t="shared" si="633"/>
        <v>0</v>
      </c>
      <c r="S1319" s="338">
        <f t="shared" si="649"/>
        <v>10000000</v>
      </c>
      <c r="T1319" s="329">
        <f t="shared" si="634"/>
        <v>0</v>
      </c>
      <c r="U1319" s="338">
        <f t="shared" si="636"/>
        <v>2200000</v>
      </c>
      <c r="V1319" s="329">
        <f t="shared" si="635"/>
        <v>0</v>
      </c>
      <c r="W1319" s="338">
        <f t="shared" si="650"/>
        <v>12224694.890000001</v>
      </c>
      <c r="X1319" s="35"/>
    </row>
    <row r="1320" spans="1:24" x14ac:dyDescent="0.25">
      <c r="A1320" s="335">
        <f t="shared" si="639"/>
        <v>45031</v>
      </c>
      <c r="B1320" s="49">
        <f t="shared" si="637"/>
        <v>0</v>
      </c>
      <c r="C1320" s="338">
        <f t="shared" si="641"/>
        <v>118886089</v>
      </c>
      <c r="D1320" s="329">
        <f t="shared" si="638"/>
        <v>0</v>
      </c>
      <c r="E1320" s="338">
        <f t="shared" si="642"/>
        <v>9769566</v>
      </c>
      <c r="F1320" s="329">
        <f t="shared" si="640"/>
        <v>0</v>
      </c>
      <c r="G1320" s="338">
        <f t="shared" si="643"/>
        <v>76400000</v>
      </c>
      <c r="H1320" s="329">
        <f t="shared" si="628"/>
        <v>0</v>
      </c>
      <c r="I1320" s="338">
        <f t="shared" si="644"/>
        <v>44350150</v>
      </c>
      <c r="J1320" s="329">
        <f t="shared" si="629"/>
        <v>0</v>
      </c>
      <c r="K1320" s="338">
        <f t="shared" si="645"/>
        <v>15100000</v>
      </c>
      <c r="L1320" s="329">
        <f t="shared" si="630"/>
        <v>0</v>
      </c>
      <c r="M1320" s="338">
        <f t="shared" si="646"/>
        <v>25332976</v>
      </c>
      <c r="N1320" s="329">
        <f t="shared" si="631"/>
        <v>0</v>
      </c>
      <c r="O1320" s="338">
        <f t="shared" si="647"/>
        <v>14300000</v>
      </c>
      <c r="P1320" s="329">
        <f t="shared" si="632"/>
        <v>0</v>
      </c>
      <c r="Q1320" s="338">
        <f t="shared" si="648"/>
        <v>0</v>
      </c>
      <c r="R1320" s="329">
        <f t="shared" si="633"/>
        <v>0</v>
      </c>
      <c r="S1320" s="338">
        <f t="shared" si="649"/>
        <v>10000000</v>
      </c>
      <c r="T1320" s="329">
        <f t="shared" si="634"/>
        <v>0</v>
      </c>
      <c r="U1320" s="338">
        <f t="shared" si="636"/>
        <v>2200000</v>
      </c>
      <c r="V1320" s="329">
        <f t="shared" si="635"/>
        <v>0</v>
      </c>
      <c r="W1320" s="338">
        <f t="shared" si="650"/>
        <v>12224694.890000001</v>
      </c>
      <c r="X1320" s="35"/>
    </row>
    <row r="1321" spans="1:24" x14ac:dyDescent="0.25">
      <c r="A1321" s="335">
        <f t="shared" si="639"/>
        <v>45032</v>
      </c>
      <c r="B1321" s="49">
        <f t="shared" si="637"/>
        <v>0</v>
      </c>
      <c r="C1321" s="338">
        <f t="shared" si="641"/>
        <v>118886089</v>
      </c>
      <c r="D1321" s="329">
        <f t="shared" si="638"/>
        <v>0</v>
      </c>
      <c r="E1321" s="338">
        <f t="shared" si="642"/>
        <v>9769566</v>
      </c>
      <c r="F1321" s="329">
        <f t="shared" si="640"/>
        <v>0</v>
      </c>
      <c r="G1321" s="338">
        <f t="shared" si="643"/>
        <v>76400000</v>
      </c>
      <c r="H1321" s="329">
        <f t="shared" si="628"/>
        <v>0</v>
      </c>
      <c r="I1321" s="338">
        <f t="shared" si="644"/>
        <v>44350150</v>
      </c>
      <c r="J1321" s="329">
        <f t="shared" si="629"/>
        <v>0</v>
      </c>
      <c r="K1321" s="338">
        <f t="shared" si="645"/>
        <v>15100000</v>
      </c>
      <c r="L1321" s="329">
        <f t="shared" si="630"/>
        <v>0</v>
      </c>
      <c r="M1321" s="338">
        <f t="shared" si="646"/>
        <v>25332976</v>
      </c>
      <c r="N1321" s="329">
        <f t="shared" si="631"/>
        <v>0</v>
      </c>
      <c r="O1321" s="338">
        <f t="shared" si="647"/>
        <v>14300000</v>
      </c>
      <c r="P1321" s="329">
        <f t="shared" si="632"/>
        <v>0</v>
      </c>
      <c r="Q1321" s="338">
        <f t="shared" si="648"/>
        <v>0</v>
      </c>
      <c r="R1321" s="329">
        <f t="shared" si="633"/>
        <v>0</v>
      </c>
      <c r="S1321" s="338">
        <f t="shared" si="649"/>
        <v>10000000</v>
      </c>
      <c r="T1321" s="329">
        <f t="shared" si="634"/>
        <v>0</v>
      </c>
      <c r="U1321" s="338">
        <f t="shared" si="636"/>
        <v>2200000</v>
      </c>
      <c r="V1321" s="329">
        <f t="shared" si="635"/>
        <v>0</v>
      </c>
      <c r="W1321" s="338">
        <f t="shared" si="650"/>
        <v>12224694.890000001</v>
      </c>
      <c r="X1321" s="35"/>
    </row>
    <row r="1322" spans="1:24" x14ac:dyDescent="0.25">
      <c r="A1322" s="335">
        <f t="shared" si="639"/>
        <v>45033</v>
      </c>
      <c r="B1322" s="49">
        <f t="shared" si="637"/>
        <v>0</v>
      </c>
      <c r="C1322" s="338">
        <f t="shared" si="641"/>
        <v>118886089</v>
      </c>
      <c r="D1322" s="329">
        <f t="shared" si="638"/>
        <v>0</v>
      </c>
      <c r="E1322" s="338">
        <f t="shared" si="642"/>
        <v>9769566</v>
      </c>
      <c r="F1322" s="329">
        <f t="shared" si="640"/>
        <v>0</v>
      </c>
      <c r="G1322" s="338">
        <f t="shared" si="643"/>
        <v>76400000</v>
      </c>
      <c r="H1322" s="329">
        <f t="shared" si="628"/>
        <v>0</v>
      </c>
      <c r="I1322" s="338">
        <f t="shared" si="644"/>
        <v>44350150</v>
      </c>
      <c r="J1322" s="329">
        <f t="shared" si="629"/>
        <v>0</v>
      </c>
      <c r="K1322" s="338">
        <f t="shared" si="645"/>
        <v>15100000</v>
      </c>
      <c r="L1322" s="329">
        <f t="shared" si="630"/>
        <v>0</v>
      </c>
      <c r="M1322" s="338">
        <f t="shared" si="646"/>
        <v>25332976</v>
      </c>
      <c r="N1322" s="329">
        <f t="shared" si="631"/>
        <v>0</v>
      </c>
      <c r="O1322" s="338">
        <f t="shared" si="647"/>
        <v>14300000</v>
      </c>
      <c r="P1322" s="329">
        <f t="shared" si="632"/>
        <v>0</v>
      </c>
      <c r="Q1322" s="338">
        <f t="shared" si="648"/>
        <v>0</v>
      </c>
      <c r="R1322" s="329">
        <f t="shared" si="633"/>
        <v>0</v>
      </c>
      <c r="S1322" s="338">
        <f t="shared" si="649"/>
        <v>10000000</v>
      </c>
      <c r="T1322" s="329">
        <f t="shared" si="634"/>
        <v>0</v>
      </c>
      <c r="U1322" s="338">
        <f t="shared" si="636"/>
        <v>2200000</v>
      </c>
      <c r="V1322" s="329">
        <f t="shared" si="635"/>
        <v>0</v>
      </c>
      <c r="W1322" s="338">
        <f t="shared" si="650"/>
        <v>12224694.890000001</v>
      </c>
      <c r="X1322" s="35"/>
    </row>
    <row r="1323" spans="1:24" x14ac:dyDescent="0.25">
      <c r="N1323" s="765"/>
      <c r="O1323" s="765"/>
    </row>
    <row r="1324" spans="1:24" x14ac:dyDescent="0.25">
      <c r="N1324" s="765"/>
      <c r="O1324" s="765"/>
    </row>
    <row r="1325" spans="1:24" x14ac:dyDescent="0.25">
      <c r="N1325" s="765"/>
      <c r="O1325" s="765"/>
    </row>
    <row r="1326" spans="1:24" x14ac:dyDescent="0.25">
      <c r="N1326" s="765"/>
      <c r="O1326" s="765"/>
    </row>
    <row r="1327" spans="1:24" x14ac:dyDescent="0.25">
      <c r="N1327" s="765"/>
      <c r="O1327" s="765"/>
    </row>
    <row r="1328" spans="1:24" x14ac:dyDescent="0.25">
      <c r="N1328" s="765"/>
      <c r="O1328" s="765"/>
    </row>
    <row r="1329" spans="14:15" x14ac:dyDescent="0.25">
      <c r="N1329" s="765"/>
      <c r="O1329" s="765"/>
    </row>
    <row r="1330" spans="14:15" x14ac:dyDescent="0.25">
      <c r="N1330" s="765"/>
      <c r="O1330" s="765"/>
    </row>
    <row r="1331" spans="14:15" x14ac:dyDescent="0.25">
      <c r="N1331" s="765"/>
      <c r="O1331" s="765"/>
    </row>
    <row r="1332" spans="14:15" x14ac:dyDescent="0.25">
      <c r="N1332" s="765"/>
      <c r="O1332" s="765"/>
    </row>
    <row r="1333" spans="14:15" x14ac:dyDescent="0.25">
      <c r="N1333" s="765"/>
      <c r="O1333" s="765"/>
    </row>
    <row r="1334" spans="14:15" x14ac:dyDescent="0.25">
      <c r="N1334" s="765"/>
      <c r="O1334" s="765"/>
    </row>
    <row r="1335" spans="14:15" x14ac:dyDescent="0.25">
      <c r="N1335" s="765"/>
      <c r="O1335" s="765"/>
    </row>
    <row r="1336" spans="14:15" x14ac:dyDescent="0.25">
      <c r="N1336" s="765"/>
      <c r="O1336" s="765"/>
    </row>
    <row r="1337" spans="14:15" x14ac:dyDescent="0.25">
      <c r="N1337" s="765"/>
      <c r="O1337" s="765"/>
    </row>
    <row r="1338" spans="14:15" x14ac:dyDescent="0.25">
      <c r="N1338" s="765"/>
      <c r="O1338" s="765"/>
    </row>
    <row r="1339" spans="14:15" x14ac:dyDescent="0.25">
      <c r="N1339" s="765"/>
      <c r="O1339" s="765"/>
    </row>
    <row r="1340" spans="14:15" x14ac:dyDescent="0.25">
      <c r="N1340" s="765"/>
      <c r="O1340" s="765"/>
    </row>
    <row r="1341" spans="14:15" x14ac:dyDescent="0.25">
      <c r="N1341" s="765"/>
      <c r="O1341" s="765"/>
    </row>
    <row r="1342" spans="14:15" x14ac:dyDescent="0.25">
      <c r="N1342" s="765"/>
      <c r="O1342" s="765"/>
    </row>
    <row r="1343" spans="14:15" x14ac:dyDescent="0.25">
      <c r="N1343" s="765"/>
      <c r="O1343" s="765"/>
    </row>
    <row r="1344" spans="14:15" x14ac:dyDescent="0.25">
      <c r="N1344" s="765"/>
      <c r="O1344" s="765"/>
    </row>
    <row r="1345" spans="14:15" x14ac:dyDescent="0.25">
      <c r="N1345" s="765"/>
      <c r="O1345" s="765"/>
    </row>
    <row r="1346" spans="14:15" x14ac:dyDescent="0.25">
      <c r="N1346" s="765"/>
      <c r="O1346" s="765"/>
    </row>
    <row r="1347" spans="14:15" x14ac:dyDescent="0.25">
      <c r="N1347" s="765"/>
      <c r="O1347" s="765"/>
    </row>
    <row r="1348" spans="14:15" x14ac:dyDescent="0.25">
      <c r="N1348" s="765"/>
      <c r="O1348" s="765"/>
    </row>
    <row r="1349" spans="14:15" x14ac:dyDescent="0.25">
      <c r="N1349" s="765"/>
      <c r="O1349" s="765"/>
    </row>
    <row r="1350" spans="14:15" x14ac:dyDescent="0.25">
      <c r="N1350" s="765"/>
      <c r="O1350" s="765"/>
    </row>
    <row r="1351" spans="14:15" x14ac:dyDescent="0.25">
      <c r="N1351" s="765"/>
      <c r="O1351" s="765"/>
    </row>
    <row r="1352" spans="14:15" x14ac:dyDescent="0.25">
      <c r="N1352" s="765"/>
      <c r="O1352" s="765"/>
    </row>
    <row r="1353" spans="14:15" x14ac:dyDescent="0.25">
      <c r="N1353" s="765"/>
      <c r="O1353" s="765"/>
    </row>
    <row r="1354" spans="14:15" x14ac:dyDescent="0.25">
      <c r="N1354" s="765"/>
      <c r="O1354" s="765"/>
    </row>
    <row r="1355" spans="14:15" x14ac:dyDescent="0.25">
      <c r="N1355" s="765"/>
      <c r="O1355" s="765"/>
    </row>
    <row r="1356" spans="14:15" x14ac:dyDescent="0.25">
      <c r="N1356" s="765"/>
      <c r="O1356" s="765"/>
    </row>
    <row r="1357" spans="14:15" x14ac:dyDescent="0.25">
      <c r="N1357" s="765"/>
      <c r="O1357" s="765"/>
    </row>
    <row r="1358" spans="14:15" x14ac:dyDescent="0.25">
      <c r="N1358" s="765"/>
      <c r="O1358" s="765"/>
    </row>
    <row r="1359" spans="14:15" x14ac:dyDescent="0.25">
      <c r="N1359" s="765"/>
      <c r="O1359" s="765"/>
    </row>
    <row r="1360" spans="14:15" x14ac:dyDescent="0.25">
      <c r="N1360" s="765"/>
      <c r="O1360" s="765"/>
    </row>
    <row r="1361" spans="14:15" x14ac:dyDescent="0.25">
      <c r="N1361" s="765"/>
      <c r="O1361" s="765"/>
    </row>
    <row r="1362" spans="14:15" x14ac:dyDescent="0.25">
      <c r="N1362" s="765"/>
      <c r="O1362" s="765"/>
    </row>
    <row r="1363" spans="14:15" x14ac:dyDescent="0.25">
      <c r="N1363" s="765"/>
      <c r="O1363" s="765"/>
    </row>
    <row r="1364" spans="14:15" x14ac:dyDescent="0.25">
      <c r="N1364" s="765"/>
      <c r="O1364" s="765"/>
    </row>
    <row r="1365" spans="14:15" x14ac:dyDescent="0.25">
      <c r="N1365" s="765"/>
      <c r="O1365" s="765"/>
    </row>
    <row r="1366" spans="14:15" x14ac:dyDescent="0.25">
      <c r="N1366" s="765"/>
      <c r="O1366" s="765"/>
    </row>
    <row r="1367" spans="14:15" x14ac:dyDescent="0.25">
      <c r="N1367" s="765"/>
      <c r="O1367" s="765"/>
    </row>
    <row r="1368" spans="14:15" x14ac:dyDescent="0.25">
      <c r="N1368" s="765"/>
      <c r="O1368" s="765"/>
    </row>
    <row r="1369" spans="14:15" x14ac:dyDescent="0.25">
      <c r="N1369" s="765"/>
      <c r="O1369" s="765"/>
    </row>
    <row r="1370" spans="14:15" x14ac:dyDescent="0.25">
      <c r="N1370" s="765"/>
      <c r="O1370" s="765"/>
    </row>
    <row r="1371" spans="14:15" x14ac:dyDescent="0.25">
      <c r="N1371" s="765"/>
      <c r="O1371" s="765"/>
    </row>
    <row r="1372" spans="14:15" x14ac:dyDescent="0.25">
      <c r="N1372" s="765"/>
      <c r="O1372" s="765"/>
    </row>
    <row r="1373" spans="14:15" x14ac:dyDescent="0.25">
      <c r="N1373" s="765"/>
      <c r="O1373" s="765"/>
    </row>
    <row r="1374" spans="14:15" x14ac:dyDescent="0.25">
      <c r="N1374" s="765"/>
      <c r="O1374" s="765"/>
    </row>
    <row r="1375" spans="14:15" x14ac:dyDescent="0.25">
      <c r="N1375" s="765"/>
      <c r="O1375" s="765"/>
    </row>
    <row r="1376" spans="14:15" x14ac:dyDescent="0.25">
      <c r="N1376" s="765"/>
      <c r="O1376" s="765"/>
    </row>
    <row r="1377" spans="14:15" x14ac:dyDescent="0.25">
      <c r="N1377" s="765"/>
      <c r="O1377" s="765"/>
    </row>
    <row r="1378" spans="14:15" x14ac:dyDescent="0.25">
      <c r="N1378" s="765"/>
      <c r="O1378" s="765"/>
    </row>
    <row r="1379" spans="14:15" x14ac:dyDescent="0.25">
      <c r="N1379" s="765"/>
      <c r="O1379" s="765"/>
    </row>
    <row r="1380" spans="14:15" x14ac:dyDescent="0.25">
      <c r="N1380" s="765"/>
      <c r="O1380" s="765"/>
    </row>
    <row r="1381" spans="14:15" x14ac:dyDescent="0.25">
      <c r="N1381" s="765"/>
      <c r="O1381" s="765"/>
    </row>
    <row r="1382" spans="14:15" x14ac:dyDescent="0.25">
      <c r="N1382" s="765"/>
      <c r="O1382" s="765"/>
    </row>
    <row r="1383" spans="14:15" x14ac:dyDescent="0.25">
      <c r="N1383" s="765"/>
      <c r="O1383" s="765"/>
    </row>
    <row r="1384" spans="14:15" x14ac:dyDescent="0.25">
      <c r="N1384" s="765"/>
      <c r="O1384" s="765"/>
    </row>
    <row r="1385" spans="14:15" x14ac:dyDescent="0.25">
      <c r="N1385" s="765"/>
      <c r="O1385" s="765"/>
    </row>
    <row r="1386" spans="14:15" x14ac:dyDescent="0.25">
      <c r="N1386" s="765"/>
      <c r="O1386" s="765"/>
    </row>
    <row r="1387" spans="14:15" x14ac:dyDescent="0.25">
      <c r="N1387" s="765"/>
      <c r="O1387" s="765"/>
    </row>
    <row r="1388" spans="14:15" x14ac:dyDescent="0.25">
      <c r="N1388" s="765"/>
      <c r="O1388" s="765"/>
    </row>
    <row r="1389" spans="14:15" x14ac:dyDescent="0.25">
      <c r="N1389" s="765"/>
      <c r="O1389" s="765"/>
    </row>
    <row r="1390" spans="14:15" x14ac:dyDescent="0.25">
      <c r="N1390" s="765"/>
      <c r="O1390" s="765"/>
    </row>
    <row r="1391" spans="14:15" x14ac:dyDescent="0.25">
      <c r="N1391" s="765"/>
      <c r="O1391" s="765"/>
    </row>
    <row r="1392" spans="14:15" x14ac:dyDescent="0.25">
      <c r="N1392" s="765"/>
      <c r="O1392" s="765"/>
    </row>
    <row r="1393" spans="14:15" x14ac:dyDescent="0.25">
      <c r="N1393" s="765"/>
      <c r="O1393" s="765"/>
    </row>
    <row r="1394" spans="14:15" x14ac:dyDescent="0.25">
      <c r="N1394" s="765"/>
      <c r="O1394" s="765"/>
    </row>
    <row r="1395" spans="14:15" x14ac:dyDescent="0.25">
      <c r="N1395" s="765"/>
      <c r="O1395" s="765"/>
    </row>
    <row r="1396" spans="14:15" x14ac:dyDescent="0.25">
      <c r="N1396" s="765"/>
      <c r="O1396" s="765"/>
    </row>
    <row r="1397" spans="14:15" x14ac:dyDescent="0.25">
      <c r="N1397" s="765"/>
      <c r="O1397" s="765"/>
    </row>
    <row r="1398" spans="14:15" x14ac:dyDescent="0.25">
      <c r="N1398" s="765"/>
      <c r="O1398" s="765"/>
    </row>
    <row r="1399" spans="14:15" x14ac:dyDescent="0.25">
      <c r="N1399" s="765"/>
      <c r="O1399" s="765"/>
    </row>
    <row r="1400" spans="14:15" x14ac:dyDescent="0.25">
      <c r="N1400" s="765"/>
      <c r="O1400" s="765"/>
    </row>
    <row r="1401" spans="14:15" x14ac:dyDescent="0.25">
      <c r="N1401" s="765"/>
      <c r="O1401" s="765"/>
    </row>
    <row r="1402" spans="14:15" x14ac:dyDescent="0.25">
      <c r="N1402" s="765"/>
      <c r="O1402" s="765"/>
    </row>
    <row r="1403" spans="14:15" x14ac:dyDescent="0.25">
      <c r="N1403" s="765"/>
      <c r="O1403" s="765"/>
    </row>
    <row r="1404" spans="14:15" x14ac:dyDescent="0.25">
      <c r="N1404" s="765"/>
      <c r="O1404" s="765"/>
    </row>
    <row r="1405" spans="14:15" x14ac:dyDescent="0.25">
      <c r="N1405" s="765"/>
      <c r="O1405" s="765"/>
    </row>
    <row r="1406" spans="14:15" x14ac:dyDescent="0.25">
      <c r="N1406" s="765"/>
      <c r="O1406" s="765"/>
    </row>
    <row r="1407" spans="14:15" x14ac:dyDescent="0.25">
      <c r="N1407" s="765"/>
      <c r="O1407" s="765"/>
    </row>
    <row r="1408" spans="14:15" x14ac:dyDescent="0.25">
      <c r="N1408" s="765"/>
      <c r="O1408" s="765"/>
    </row>
    <row r="1409" spans="14:15" x14ac:dyDescent="0.25">
      <c r="N1409" s="765"/>
      <c r="O1409" s="765"/>
    </row>
    <row r="1410" spans="14:15" x14ac:dyDescent="0.25">
      <c r="N1410" s="765"/>
      <c r="O1410" s="765"/>
    </row>
    <row r="1411" spans="14:15" x14ac:dyDescent="0.25">
      <c r="N1411" s="765"/>
      <c r="O1411" s="765"/>
    </row>
    <row r="1412" spans="14:15" x14ac:dyDescent="0.25">
      <c r="N1412" s="765"/>
      <c r="O1412" s="765"/>
    </row>
    <row r="1413" spans="14:15" x14ac:dyDescent="0.25">
      <c r="N1413" s="765"/>
      <c r="O1413" s="765"/>
    </row>
    <row r="1414" spans="14:15" x14ac:dyDescent="0.25">
      <c r="N1414" s="765"/>
      <c r="O1414" s="765"/>
    </row>
    <row r="1415" spans="14:15" x14ac:dyDescent="0.25">
      <c r="N1415" s="765"/>
      <c r="O1415" s="765"/>
    </row>
    <row r="1416" spans="14:15" x14ac:dyDescent="0.25">
      <c r="N1416" s="765"/>
      <c r="O1416" s="765"/>
    </row>
    <row r="1417" spans="14:15" x14ac:dyDescent="0.25">
      <c r="N1417" s="765"/>
      <c r="O1417" s="765"/>
    </row>
    <row r="1418" spans="14:15" x14ac:dyDescent="0.25">
      <c r="N1418" s="765"/>
      <c r="O1418" s="765"/>
    </row>
    <row r="1419" spans="14:15" x14ac:dyDescent="0.25">
      <c r="N1419" s="765"/>
      <c r="O1419" s="765"/>
    </row>
    <row r="1420" spans="14:15" x14ac:dyDescent="0.25">
      <c r="N1420" s="765"/>
      <c r="O1420" s="765"/>
    </row>
    <row r="1421" spans="14:15" x14ac:dyDescent="0.25">
      <c r="N1421" s="765"/>
      <c r="O1421" s="765"/>
    </row>
    <row r="1422" spans="14:15" x14ac:dyDescent="0.25">
      <c r="N1422" s="765"/>
      <c r="O1422" s="765"/>
    </row>
    <row r="1423" spans="14:15" x14ac:dyDescent="0.25">
      <c r="N1423" s="765"/>
      <c r="O1423" s="765"/>
    </row>
    <row r="1424" spans="14:15" x14ac:dyDescent="0.25">
      <c r="N1424" s="765"/>
      <c r="O1424" s="765"/>
    </row>
    <row r="1425" spans="14:15" x14ac:dyDescent="0.25">
      <c r="N1425" s="765"/>
      <c r="O1425" s="765"/>
    </row>
    <row r="1426" spans="14:15" x14ac:dyDescent="0.25">
      <c r="N1426" s="765"/>
      <c r="O1426" s="765"/>
    </row>
    <row r="1427" spans="14:15" x14ac:dyDescent="0.25">
      <c r="N1427" s="765"/>
      <c r="O1427" s="765"/>
    </row>
    <row r="1428" spans="14:15" x14ac:dyDescent="0.25">
      <c r="N1428" s="765"/>
      <c r="O1428" s="765"/>
    </row>
    <row r="1429" spans="14:15" x14ac:dyDescent="0.25">
      <c r="N1429" s="765"/>
      <c r="O1429" s="765"/>
    </row>
    <row r="1430" spans="14:15" x14ac:dyDescent="0.25">
      <c r="N1430" s="765"/>
      <c r="O1430" s="765"/>
    </row>
    <row r="1431" spans="14:15" x14ac:dyDescent="0.25">
      <c r="N1431" s="765"/>
      <c r="O1431" s="765"/>
    </row>
    <row r="1432" spans="14:15" x14ac:dyDescent="0.25">
      <c r="N1432" s="765"/>
      <c r="O1432" s="765"/>
    </row>
    <row r="1433" spans="14:15" x14ac:dyDescent="0.25">
      <c r="N1433" s="765"/>
      <c r="O1433" s="765"/>
    </row>
    <row r="1434" spans="14:15" x14ac:dyDescent="0.25">
      <c r="N1434" s="765"/>
      <c r="O1434" s="765"/>
    </row>
    <row r="1435" spans="14:15" x14ac:dyDescent="0.25">
      <c r="N1435" s="765"/>
      <c r="O1435" s="765"/>
    </row>
    <row r="1436" spans="14:15" x14ac:dyDescent="0.25">
      <c r="N1436" s="765"/>
      <c r="O1436" s="765"/>
    </row>
    <row r="1437" spans="14:15" x14ac:dyDescent="0.25">
      <c r="N1437" s="765"/>
      <c r="O1437" s="765"/>
    </row>
    <row r="1438" spans="14:15" x14ac:dyDescent="0.25">
      <c r="N1438" s="765"/>
      <c r="O1438" s="765"/>
    </row>
    <row r="1439" spans="14:15" x14ac:dyDescent="0.25">
      <c r="N1439" s="765"/>
      <c r="O1439" s="765"/>
    </row>
    <row r="1440" spans="14:15" x14ac:dyDescent="0.25">
      <c r="N1440" s="765"/>
      <c r="O1440" s="765"/>
    </row>
    <row r="1441" spans="14:15" x14ac:dyDescent="0.25">
      <c r="N1441" s="765"/>
      <c r="O1441" s="765"/>
    </row>
    <row r="1442" spans="14:15" x14ac:dyDescent="0.25">
      <c r="N1442" s="765"/>
      <c r="O1442" s="765"/>
    </row>
    <row r="1443" spans="14:15" x14ac:dyDescent="0.25">
      <c r="N1443" s="765"/>
      <c r="O1443" s="765"/>
    </row>
    <row r="1444" spans="14:15" x14ac:dyDescent="0.25">
      <c r="N1444" s="765"/>
      <c r="O1444" s="765"/>
    </row>
    <row r="1445" spans="14:15" x14ac:dyDescent="0.25">
      <c r="N1445" s="765"/>
      <c r="O1445" s="765"/>
    </row>
    <row r="1446" spans="14:15" x14ac:dyDescent="0.25">
      <c r="N1446" s="765"/>
      <c r="O1446" s="765"/>
    </row>
    <row r="1447" spans="14:15" x14ac:dyDescent="0.25">
      <c r="N1447" s="765"/>
      <c r="O1447" s="765"/>
    </row>
    <row r="1448" spans="14:15" x14ac:dyDescent="0.25">
      <c r="N1448" s="765"/>
      <c r="O1448" s="765"/>
    </row>
    <row r="1449" spans="14:15" x14ac:dyDescent="0.25">
      <c r="N1449" s="765"/>
      <c r="O1449" s="765"/>
    </row>
    <row r="1450" spans="14:15" x14ac:dyDescent="0.25">
      <c r="N1450" s="765"/>
      <c r="O1450" s="765"/>
    </row>
    <row r="1451" spans="14:15" x14ac:dyDescent="0.25">
      <c r="N1451" s="765"/>
      <c r="O1451" s="765"/>
    </row>
    <row r="1452" spans="14:15" x14ac:dyDescent="0.25">
      <c r="N1452" s="765"/>
      <c r="O1452" s="765"/>
    </row>
    <row r="1453" spans="14:15" x14ac:dyDescent="0.25">
      <c r="N1453" s="765"/>
      <c r="O1453" s="765"/>
    </row>
    <row r="1454" spans="14:15" x14ac:dyDescent="0.25">
      <c r="N1454" s="765"/>
      <c r="O1454" s="765"/>
    </row>
    <row r="1455" spans="14:15" x14ac:dyDescent="0.25">
      <c r="N1455" s="765"/>
      <c r="O1455" s="765"/>
    </row>
    <row r="1456" spans="14:15" x14ac:dyDescent="0.25">
      <c r="N1456" s="765"/>
      <c r="O1456" s="765"/>
    </row>
    <row r="1457" spans="14:15" x14ac:dyDescent="0.25">
      <c r="N1457" s="765"/>
      <c r="O1457" s="765"/>
    </row>
    <row r="1458" spans="14:15" x14ac:dyDescent="0.25">
      <c r="N1458" s="765"/>
      <c r="O1458" s="765"/>
    </row>
    <row r="1459" spans="14:15" x14ac:dyDescent="0.25">
      <c r="N1459" s="765"/>
      <c r="O1459" s="765"/>
    </row>
    <row r="1460" spans="14:15" x14ac:dyDescent="0.25">
      <c r="N1460" s="765"/>
      <c r="O1460" s="765"/>
    </row>
    <row r="1461" spans="14:15" x14ac:dyDescent="0.25">
      <c r="N1461" s="765"/>
      <c r="O1461" s="765"/>
    </row>
    <row r="1462" spans="14:15" x14ac:dyDescent="0.25">
      <c r="N1462" s="765"/>
      <c r="O1462" s="765"/>
    </row>
    <row r="1463" spans="14:15" x14ac:dyDescent="0.25">
      <c r="N1463" s="765"/>
      <c r="O1463" s="765"/>
    </row>
    <row r="1464" spans="14:15" x14ac:dyDescent="0.25">
      <c r="N1464" s="765"/>
      <c r="O1464" s="765"/>
    </row>
    <row r="1465" spans="14:15" x14ac:dyDescent="0.25">
      <c r="N1465" s="765"/>
      <c r="O1465" s="765"/>
    </row>
    <row r="1466" spans="14:15" x14ac:dyDescent="0.25">
      <c r="N1466" s="765"/>
      <c r="O1466" s="765"/>
    </row>
    <row r="1467" spans="14:15" x14ac:dyDescent="0.25">
      <c r="N1467" s="765"/>
      <c r="O1467" s="765"/>
    </row>
    <row r="1468" spans="14:15" x14ac:dyDescent="0.25">
      <c r="N1468" s="765"/>
      <c r="O1468" s="765"/>
    </row>
    <row r="1469" spans="14:15" x14ac:dyDescent="0.25">
      <c r="N1469" s="765"/>
      <c r="O1469" s="765"/>
    </row>
    <row r="1470" spans="14:15" x14ac:dyDescent="0.25">
      <c r="N1470" s="765"/>
      <c r="O1470" s="765"/>
    </row>
    <row r="1471" spans="14:15" x14ac:dyDescent="0.25">
      <c r="N1471" s="765"/>
      <c r="O1471" s="765"/>
    </row>
    <row r="1472" spans="14:15" x14ac:dyDescent="0.25">
      <c r="N1472" s="765"/>
      <c r="O1472" s="765"/>
    </row>
    <row r="1473" spans="14:15" x14ac:dyDescent="0.25">
      <c r="N1473" s="765"/>
      <c r="O1473" s="765"/>
    </row>
    <row r="1474" spans="14:15" x14ac:dyDescent="0.25">
      <c r="N1474" s="765"/>
      <c r="O1474" s="765"/>
    </row>
    <row r="1475" spans="14:15" x14ac:dyDescent="0.25">
      <c r="N1475" s="765"/>
      <c r="O1475" s="765"/>
    </row>
    <row r="1476" spans="14:15" x14ac:dyDescent="0.25">
      <c r="N1476" s="765"/>
      <c r="O1476" s="765"/>
    </row>
    <row r="1477" spans="14:15" x14ac:dyDescent="0.25">
      <c r="N1477" s="765"/>
      <c r="O1477" s="765"/>
    </row>
    <row r="1478" spans="14:15" x14ac:dyDescent="0.25">
      <c r="N1478" s="765"/>
      <c r="O1478" s="765"/>
    </row>
    <row r="1479" spans="14:15" x14ac:dyDescent="0.25">
      <c r="N1479" s="765"/>
      <c r="O1479" s="765"/>
    </row>
    <row r="1480" spans="14:15" x14ac:dyDescent="0.25">
      <c r="N1480" s="765"/>
      <c r="O1480" s="765"/>
    </row>
    <row r="1481" spans="14:15" x14ac:dyDescent="0.25">
      <c r="N1481" s="765"/>
      <c r="O1481" s="765"/>
    </row>
    <row r="1482" spans="14:15" x14ac:dyDescent="0.25">
      <c r="N1482" s="765"/>
      <c r="O1482" s="765"/>
    </row>
    <row r="1483" spans="14:15" x14ac:dyDescent="0.25">
      <c r="N1483" s="765"/>
      <c r="O1483" s="765"/>
    </row>
    <row r="1484" spans="14:15" x14ac:dyDescent="0.25">
      <c r="N1484" s="765"/>
      <c r="O1484" s="765"/>
    </row>
    <row r="1485" spans="14:15" x14ac:dyDescent="0.25">
      <c r="N1485" s="765"/>
      <c r="O1485" s="765"/>
    </row>
    <row r="1486" spans="14:15" x14ac:dyDescent="0.25">
      <c r="N1486" s="765"/>
      <c r="O1486" s="765"/>
    </row>
    <row r="1487" spans="14:15" x14ac:dyDescent="0.25">
      <c r="N1487" s="765"/>
      <c r="O1487" s="765"/>
    </row>
    <row r="1488" spans="14:15" x14ac:dyDescent="0.25">
      <c r="N1488" s="765"/>
      <c r="O1488" s="765"/>
    </row>
    <row r="1489" spans="14:15" x14ac:dyDescent="0.25">
      <c r="N1489" s="765"/>
      <c r="O1489" s="765"/>
    </row>
    <row r="1490" spans="14:15" x14ac:dyDescent="0.25">
      <c r="N1490" s="765"/>
      <c r="O1490" s="765"/>
    </row>
    <row r="1491" spans="14:15" x14ac:dyDescent="0.25">
      <c r="N1491" s="765"/>
      <c r="O1491" s="765"/>
    </row>
    <row r="1492" spans="14:15" x14ac:dyDescent="0.25">
      <c r="N1492" s="765"/>
      <c r="O1492" s="765"/>
    </row>
    <row r="1493" spans="14:15" x14ac:dyDescent="0.25">
      <c r="N1493" s="765"/>
      <c r="O1493" s="765"/>
    </row>
    <row r="1494" spans="14:15" x14ac:dyDescent="0.25">
      <c r="N1494" s="765"/>
      <c r="O1494" s="765"/>
    </row>
    <row r="1495" spans="14:15" x14ac:dyDescent="0.25">
      <c r="N1495" s="765"/>
      <c r="O1495" s="765"/>
    </row>
    <row r="1496" spans="14:15" x14ac:dyDescent="0.25">
      <c r="N1496" s="765"/>
      <c r="O1496" s="765"/>
    </row>
    <row r="1497" spans="14:15" x14ac:dyDescent="0.25">
      <c r="N1497" s="765"/>
      <c r="O1497" s="765"/>
    </row>
    <row r="1498" spans="14:15" x14ac:dyDescent="0.25">
      <c r="N1498" s="765"/>
      <c r="O1498" s="765"/>
    </row>
    <row r="1499" spans="14:15" x14ac:dyDescent="0.25">
      <c r="N1499" s="765"/>
      <c r="O1499" s="765"/>
    </row>
    <row r="1500" spans="14:15" x14ac:dyDescent="0.25">
      <c r="N1500" s="765"/>
      <c r="O1500" s="765"/>
    </row>
    <row r="1501" spans="14:15" x14ac:dyDescent="0.25">
      <c r="N1501" s="765"/>
      <c r="O1501" s="765"/>
    </row>
    <row r="1502" spans="14:15" x14ac:dyDescent="0.25">
      <c r="N1502" s="765"/>
      <c r="O1502" s="765"/>
    </row>
    <row r="1503" spans="14:15" x14ac:dyDescent="0.25">
      <c r="N1503" s="765"/>
      <c r="O1503" s="765"/>
    </row>
    <row r="1504" spans="14:15" x14ac:dyDescent="0.25">
      <c r="N1504" s="765"/>
      <c r="O1504" s="765"/>
    </row>
    <row r="1505" spans="14:15" x14ac:dyDescent="0.25">
      <c r="N1505" s="765"/>
      <c r="O1505" s="765"/>
    </row>
    <row r="1506" spans="14:15" x14ac:dyDescent="0.25">
      <c r="N1506" s="765"/>
      <c r="O1506" s="765"/>
    </row>
    <row r="1507" spans="14:15" x14ac:dyDescent="0.25">
      <c r="N1507" s="765"/>
      <c r="O1507" s="765"/>
    </row>
    <row r="1508" spans="14:15" x14ac:dyDescent="0.25">
      <c r="N1508" s="765"/>
      <c r="O1508" s="765"/>
    </row>
    <row r="1509" spans="14:15" x14ac:dyDescent="0.25">
      <c r="N1509" s="765"/>
      <c r="O1509" s="765"/>
    </row>
    <row r="1510" spans="14:15" x14ac:dyDescent="0.25">
      <c r="N1510" s="765"/>
      <c r="O1510" s="765"/>
    </row>
    <row r="1511" spans="14:15" x14ac:dyDescent="0.25">
      <c r="N1511" s="765"/>
      <c r="O1511" s="765"/>
    </row>
    <row r="1512" spans="14:15" x14ac:dyDescent="0.25">
      <c r="N1512" s="765"/>
      <c r="O1512" s="765"/>
    </row>
    <row r="1513" spans="14:15" x14ac:dyDescent="0.25">
      <c r="N1513" s="765"/>
      <c r="O1513" s="765"/>
    </row>
    <row r="1514" spans="14:15" x14ac:dyDescent="0.25">
      <c r="N1514" s="765"/>
      <c r="O1514" s="765"/>
    </row>
    <row r="1515" spans="14:15" x14ac:dyDescent="0.25">
      <c r="N1515" s="765"/>
      <c r="O1515" s="765"/>
    </row>
    <row r="1516" spans="14:15" x14ac:dyDescent="0.25">
      <c r="N1516" s="765"/>
      <c r="O1516" s="765"/>
    </row>
    <row r="1517" spans="14:15" x14ac:dyDescent="0.25">
      <c r="N1517" s="765"/>
      <c r="O1517" s="765"/>
    </row>
    <row r="1518" spans="14:15" x14ac:dyDescent="0.25">
      <c r="N1518" s="765"/>
      <c r="O1518" s="765"/>
    </row>
    <row r="1519" spans="14:15" x14ac:dyDescent="0.25">
      <c r="N1519" s="765"/>
      <c r="O1519" s="765"/>
    </row>
    <row r="1520" spans="14:15" x14ac:dyDescent="0.25">
      <c r="N1520" s="765"/>
      <c r="O1520" s="765"/>
    </row>
    <row r="1521" spans="14:15" x14ac:dyDescent="0.25">
      <c r="N1521" s="765"/>
      <c r="O1521" s="765"/>
    </row>
    <row r="1522" spans="14:15" x14ac:dyDescent="0.25">
      <c r="N1522" s="765"/>
      <c r="O1522" s="765"/>
    </row>
    <row r="1523" spans="14:15" x14ac:dyDescent="0.25">
      <c r="N1523" s="765"/>
      <c r="O1523" s="765"/>
    </row>
    <row r="1524" spans="14:15" x14ac:dyDescent="0.25">
      <c r="N1524" s="765"/>
      <c r="O1524" s="765"/>
    </row>
    <row r="1525" spans="14:15" x14ac:dyDescent="0.25">
      <c r="N1525" s="765"/>
      <c r="O1525" s="765"/>
    </row>
    <row r="1526" spans="14:15" x14ac:dyDescent="0.25">
      <c r="N1526" s="765"/>
      <c r="O1526" s="765"/>
    </row>
    <row r="1527" spans="14:15" x14ac:dyDescent="0.25">
      <c r="N1527" s="765"/>
      <c r="O1527" s="765"/>
    </row>
    <row r="1528" spans="14:15" x14ac:dyDescent="0.25">
      <c r="N1528" s="765"/>
      <c r="O1528" s="765"/>
    </row>
    <row r="1529" spans="14:15" x14ac:dyDescent="0.25">
      <c r="N1529" s="765"/>
      <c r="O1529" s="765"/>
    </row>
    <row r="1530" spans="14:15" x14ac:dyDescent="0.25">
      <c r="N1530" s="765"/>
      <c r="O1530" s="765"/>
    </row>
    <row r="1531" spans="14:15" x14ac:dyDescent="0.25">
      <c r="N1531" s="765"/>
      <c r="O1531" s="765"/>
    </row>
    <row r="1532" spans="14:15" x14ac:dyDescent="0.25">
      <c r="N1532" s="765"/>
      <c r="O1532" s="765"/>
    </row>
    <row r="1533" spans="14:15" x14ac:dyDescent="0.25">
      <c r="N1533" s="765"/>
      <c r="O1533" s="765"/>
    </row>
    <row r="1534" spans="14:15" x14ac:dyDescent="0.25">
      <c r="N1534" s="765"/>
      <c r="O1534" s="765"/>
    </row>
    <row r="1535" spans="14:15" x14ac:dyDescent="0.25">
      <c r="N1535" s="765"/>
      <c r="O1535" s="765"/>
    </row>
    <row r="1536" spans="14:15" x14ac:dyDescent="0.25">
      <c r="N1536" s="765"/>
      <c r="O1536" s="765"/>
    </row>
    <row r="1537" spans="14:15" x14ac:dyDescent="0.25">
      <c r="N1537" s="765"/>
      <c r="O1537" s="765"/>
    </row>
    <row r="1538" spans="14:15" x14ac:dyDescent="0.25">
      <c r="N1538" s="765"/>
      <c r="O1538" s="765"/>
    </row>
    <row r="1539" spans="14:15" x14ac:dyDescent="0.25">
      <c r="N1539" s="765"/>
      <c r="O1539" s="765"/>
    </row>
    <row r="1540" spans="14:15" x14ac:dyDescent="0.25">
      <c r="N1540" s="765"/>
      <c r="O1540" s="765"/>
    </row>
    <row r="1541" spans="14:15" x14ac:dyDescent="0.25">
      <c r="N1541" s="765"/>
      <c r="O1541" s="765"/>
    </row>
    <row r="1542" spans="14:15" x14ac:dyDescent="0.25">
      <c r="N1542" s="765"/>
      <c r="O1542" s="765"/>
    </row>
    <row r="1543" spans="14:15" x14ac:dyDescent="0.25">
      <c r="N1543" s="765"/>
      <c r="O1543" s="765"/>
    </row>
    <row r="1544" spans="14:15" x14ac:dyDescent="0.25">
      <c r="N1544" s="765"/>
      <c r="O1544" s="765"/>
    </row>
    <row r="1545" spans="14:15" x14ac:dyDescent="0.25">
      <c r="N1545" s="765"/>
      <c r="O1545" s="765"/>
    </row>
    <row r="1546" spans="14:15" x14ac:dyDescent="0.25">
      <c r="N1546" s="765"/>
      <c r="O1546" s="765"/>
    </row>
    <row r="1547" spans="14:15" x14ac:dyDescent="0.25">
      <c r="N1547" s="765"/>
      <c r="O1547" s="765"/>
    </row>
    <row r="1548" spans="14:15" x14ac:dyDescent="0.25">
      <c r="N1548" s="765"/>
      <c r="O1548" s="765"/>
    </row>
    <row r="1549" spans="14:15" x14ac:dyDescent="0.25">
      <c r="N1549" s="765"/>
      <c r="O1549" s="765"/>
    </row>
    <row r="1550" spans="14:15" x14ac:dyDescent="0.25">
      <c r="N1550" s="765"/>
      <c r="O1550" s="765"/>
    </row>
    <row r="1551" spans="14:15" x14ac:dyDescent="0.25">
      <c r="N1551" s="765"/>
      <c r="O1551" s="765"/>
    </row>
    <row r="1552" spans="14:15" x14ac:dyDescent="0.25">
      <c r="N1552" s="765"/>
      <c r="O1552" s="765"/>
    </row>
    <row r="1553" spans="14:15" x14ac:dyDescent="0.25">
      <c r="N1553" s="765"/>
      <c r="O1553" s="765"/>
    </row>
    <row r="1554" spans="14:15" x14ac:dyDescent="0.25">
      <c r="N1554" s="765"/>
      <c r="O1554" s="765"/>
    </row>
    <row r="1555" spans="14:15" x14ac:dyDescent="0.25">
      <c r="N1555" s="765"/>
      <c r="O1555" s="765"/>
    </row>
    <row r="1556" spans="14:15" x14ac:dyDescent="0.25">
      <c r="N1556" s="765"/>
      <c r="O1556" s="765"/>
    </row>
    <row r="1557" spans="14:15" x14ac:dyDescent="0.25">
      <c r="N1557" s="765"/>
      <c r="O1557" s="765"/>
    </row>
    <row r="1558" spans="14:15" x14ac:dyDescent="0.25">
      <c r="N1558" s="765"/>
      <c r="O1558" s="765"/>
    </row>
    <row r="1559" spans="14:15" x14ac:dyDescent="0.25">
      <c r="N1559" s="765"/>
      <c r="O1559" s="765"/>
    </row>
    <row r="1560" spans="14:15" x14ac:dyDescent="0.25">
      <c r="N1560" s="765"/>
      <c r="O1560" s="765"/>
    </row>
    <row r="1561" spans="14:15" x14ac:dyDescent="0.25">
      <c r="N1561" s="765"/>
      <c r="O1561" s="765"/>
    </row>
    <row r="1562" spans="14:15" x14ac:dyDescent="0.25">
      <c r="N1562" s="765"/>
      <c r="O1562" s="765"/>
    </row>
    <row r="1563" spans="14:15" x14ac:dyDescent="0.25">
      <c r="N1563" s="765"/>
      <c r="O1563" s="765"/>
    </row>
    <row r="1564" spans="14:15" x14ac:dyDescent="0.25">
      <c r="N1564" s="765"/>
      <c r="O1564" s="765"/>
    </row>
    <row r="1565" spans="14:15" x14ac:dyDescent="0.25">
      <c r="N1565" s="765"/>
      <c r="O1565" s="765"/>
    </row>
    <row r="1566" spans="14:15" x14ac:dyDescent="0.25">
      <c r="N1566" s="765"/>
      <c r="O1566" s="765"/>
    </row>
    <row r="1567" spans="14:15" x14ac:dyDescent="0.25">
      <c r="N1567" s="765"/>
      <c r="O1567" s="765"/>
    </row>
    <row r="1568" spans="14:15" x14ac:dyDescent="0.25">
      <c r="N1568" s="765"/>
      <c r="O1568" s="765"/>
    </row>
    <row r="1569" spans="14:15" x14ac:dyDescent="0.25">
      <c r="N1569" s="765"/>
      <c r="O1569" s="765"/>
    </row>
    <row r="1570" spans="14:15" x14ac:dyDescent="0.25">
      <c r="N1570" s="765"/>
      <c r="O1570" s="765"/>
    </row>
    <row r="1571" spans="14:15" x14ac:dyDescent="0.25">
      <c r="N1571" s="765"/>
      <c r="O1571" s="765"/>
    </row>
    <row r="1572" spans="14:15" x14ac:dyDescent="0.25">
      <c r="N1572" s="765"/>
      <c r="O1572" s="765"/>
    </row>
    <row r="1573" spans="14:15" x14ac:dyDescent="0.25">
      <c r="N1573" s="765"/>
      <c r="O1573" s="765"/>
    </row>
    <row r="1574" spans="14:15" x14ac:dyDescent="0.25">
      <c r="N1574" s="765"/>
      <c r="O1574" s="765"/>
    </row>
    <row r="1575" spans="14:15" x14ac:dyDescent="0.25">
      <c r="N1575" s="765"/>
      <c r="O1575" s="765"/>
    </row>
    <row r="1576" spans="14:15" x14ac:dyDescent="0.25">
      <c r="N1576" s="765"/>
      <c r="O1576" s="765"/>
    </row>
    <row r="1577" spans="14:15" x14ac:dyDescent="0.25">
      <c r="N1577" s="765"/>
      <c r="O1577" s="765"/>
    </row>
    <row r="1578" spans="14:15" x14ac:dyDescent="0.25">
      <c r="N1578" s="765"/>
      <c r="O1578" s="765"/>
    </row>
    <row r="1579" spans="14:15" x14ac:dyDescent="0.25">
      <c r="N1579" s="765"/>
      <c r="O1579" s="765"/>
    </row>
    <row r="1580" spans="14:15" x14ac:dyDescent="0.25">
      <c r="N1580" s="765"/>
      <c r="O1580" s="765"/>
    </row>
    <row r="1581" spans="14:15" x14ac:dyDescent="0.25">
      <c r="N1581" s="765"/>
      <c r="O1581" s="765"/>
    </row>
    <row r="1582" spans="14:15" x14ac:dyDescent="0.25">
      <c r="N1582" s="765"/>
      <c r="O1582" s="765"/>
    </row>
    <row r="1583" spans="14:15" x14ac:dyDescent="0.25">
      <c r="N1583" s="765"/>
      <c r="O1583" s="765"/>
    </row>
    <row r="1584" spans="14:15" x14ac:dyDescent="0.25">
      <c r="N1584" s="765"/>
      <c r="O1584" s="765"/>
    </row>
    <row r="1585" spans="14:15" x14ac:dyDescent="0.25">
      <c r="N1585" s="765"/>
      <c r="O1585" s="765"/>
    </row>
    <row r="1586" spans="14:15" x14ac:dyDescent="0.25">
      <c r="N1586" s="765"/>
      <c r="O1586" s="765"/>
    </row>
    <row r="1587" spans="14:15" x14ac:dyDescent="0.25">
      <c r="N1587" s="765"/>
      <c r="O1587" s="765"/>
    </row>
    <row r="1588" spans="14:15" x14ac:dyDescent="0.25">
      <c r="N1588" s="765"/>
      <c r="O1588" s="765"/>
    </row>
    <row r="1589" spans="14:15" x14ac:dyDescent="0.25">
      <c r="N1589" s="765"/>
      <c r="O1589" s="765"/>
    </row>
    <row r="1590" spans="14:15" x14ac:dyDescent="0.25">
      <c r="N1590" s="765"/>
      <c r="O1590" s="765"/>
    </row>
    <row r="1591" spans="14:15" x14ac:dyDescent="0.25">
      <c r="N1591" s="765"/>
      <c r="O1591" s="765"/>
    </row>
    <row r="1592" spans="14:15" x14ac:dyDescent="0.25">
      <c r="N1592" s="765"/>
      <c r="O1592" s="765"/>
    </row>
    <row r="1593" spans="14:15" x14ac:dyDescent="0.25">
      <c r="N1593" s="765"/>
      <c r="O1593" s="765"/>
    </row>
    <row r="1594" spans="14:15" x14ac:dyDescent="0.25">
      <c r="N1594" s="765"/>
      <c r="O1594" s="765"/>
    </row>
    <row r="1595" spans="14:15" x14ac:dyDescent="0.25">
      <c r="N1595" s="765"/>
      <c r="O1595" s="765"/>
    </row>
    <row r="1596" spans="14:15" x14ac:dyDescent="0.25">
      <c r="N1596" s="765"/>
      <c r="O1596" s="765"/>
    </row>
    <row r="1597" spans="14:15" x14ac:dyDescent="0.25">
      <c r="N1597" s="765"/>
      <c r="O1597" s="765"/>
    </row>
    <row r="1598" spans="14:15" x14ac:dyDescent="0.25">
      <c r="N1598" s="765"/>
      <c r="O1598" s="765"/>
    </row>
    <row r="1599" spans="14:15" x14ac:dyDescent="0.25">
      <c r="N1599" s="765"/>
      <c r="O1599" s="765"/>
    </row>
    <row r="1600" spans="14:15" x14ac:dyDescent="0.25">
      <c r="N1600" s="765"/>
      <c r="O1600" s="765"/>
    </row>
    <row r="1601" spans="14:15" x14ac:dyDescent="0.25">
      <c r="N1601" s="765"/>
      <c r="O1601" s="765"/>
    </row>
    <row r="1602" spans="14:15" x14ac:dyDescent="0.25">
      <c r="N1602" s="765"/>
      <c r="O1602" s="765"/>
    </row>
    <row r="1603" spans="14:15" x14ac:dyDescent="0.25">
      <c r="N1603" s="765"/>
      <c r="O1603" s="765"/>
    </row>
    <row r="1604" spans="14:15" x14ac:dyDescent="0.25">
      <c r="N1604" s="765"/>
      <c r="O1604" s="765"/>
    </row>
    <row r="1605" spans="14:15" x14ac:dyDescent="0.25">
      <c r="N1605" s="765"/>
      <c r="O1605" s="765"/>
    </row>
    <row r="1606" spans="14:15" x14ac:dyDescent="0.25">
      <c r="N1606" s="765"/>
      <c r="O1606" s="765"/>
    </row>
    <row r="1607" spans="14:15" x14ac:dyDescent="0.25">
      <c r="N1607" s="765"/>
      <c r="O1607" s="765"/>
    </row>
    <row r="1608" spans="14:15" x14ac:dyDescent="0.25">
      <c r="N1608" s="765"/>
      <c r="O1608" s="765"/>
    </row>
    <row r="1609" spans="14:15" x14ac:dyDescent="0.25">
      <c r="N1609" s="765"/>
      <c r="O1609" s="765"/>
    </row>
    <row r="1610" spans="14:15" x14ac:dyDescent="0.25">
      <c r="N1610" s="765"/>
      <c r="O1610" s="765"/>
    </row>
    <row r="1611" spans="14:15" x14ac:dyDescent="0.25">
      <c r="N1611" s="765"/>
      <c r="O1611" s="765"/>
    </row>
    <row r="1612" spans="14:15" x14ac:dyDescent="0.25">
      <c r="N1612" s="765"/>
      <c r="O1612" s="765"/>
    </row>
    <row r="1613" spans="14:15" x14ac:dyDescent="0.25">
      <c r="N1613" s="765"/>
      <c r="O1613" s="765"/>
    </row>
    <row r="1614" spans="14:15" x14ac:dyDescent="0.25">
      <c r="N1614" s="765"/>
      <c r="O1614" s="765"/>
    </row>
    <row r="1615" spans="14:15" x14ac:dyDescent="0.25">
      <c r="N1615" s="765"/>
      <c r="O1615" s="765"/>
    </row>
    <row r="1616" spans="14:15" x14ac:dyDescent="0.25">
      <c r="N1616" s="765"/>
      <c r="O1616" s="765"/>
    </row>
    <row r="1617" spans="14:15" x14ac:dyDescent="0.25">
      <c r="N1617" s="765"/>
      <c r="O1617" s="765"/>
    </row>
    <row r="1618" spans="14:15" x14ac:dyDescent="0.25">
      <c r="N1618" s="765"/>
      <c r="O1618" s="765"/>
    </row>
    <row r="1619" spans="14:15" x14ac:dyDescent="0.25">
      <c r="N1619" s="765"/>
      <c r="O1619" s="765"/>
    </row>
    <row r="1620" spans="14:15" x14ac:dyDescent="0.25">
      <c r="N1620" s="765"/>
      <c r="O1620" s="765"/>
    </row>
    <row r="1621" spans="14:15" x14ac:dyDescent="0.25">
      <c r="N1621" s="765"/>
      <c r="O1621" s="765"/>
    </row>
    <row r="1622" spans="14:15" x14ac:dyDescent="0.25">
      <c r="N1622" s="765"/>
      <c r="O1622" s="765"/>
    </row>
    <row r="1623" spans="14:15" x14ac:dyDescent="0.25">
      <c r="N1623" s="765"/>
      <c r="O1623" s="765"/>
    </row>
    <row r="1624" spans="14:15" x14ac:dyDescent="0.25">
      <c r="N1624" s="765"/>
      <c r="O1624" s="765"/>
    </row>
    <row r="1625" spans="14:15" x14ac:dyDescent="0.25">
      <c r="N1625" s="765"/>
      <c r="O1625" s="765"/>
    </row>
    <row r="1626" spans="14:15" x14ac:dyDescent="0.25">
      <c r="N1626" s="765"/>
      <c r="O1626" s="765"/>
    </row>
    <row r="1627" spans="14:15" x14ac:dyDescent="0.25">
      <c r="N1627" s="765"/>
      <c r="O1627" s="765"/>
    </row>
    <row r="1628" spans="14:15" x14ac:dyDescent="0.25">
      <c r="N1628" s="765"/>
      <c r="O1628" s="765"/>
    </row>
    <row r="1629" spans="14:15" x14ac:dyDescent="0.25">
      <c r="N1629" s="765"/>
      <c r="O1629" s="765"/>
    </row>
    <row r="1630" spans="14:15" x14ac:dyDescent="0.25">
      <c r="N1630" s="765"/>
      <c r="O1630" s="765"/>
    </row>
    <row r="1631" spans="14:15" x14ac:dyDescent="0.25">
      <c r="N1631" s="765"/>
      <c r="O1631" s="765"/>
    </row>
    <row r="1632" spans="14:15" x14ac:dyDescent="0.25">
      <c r="N1632" s="765"/>
      <c r="O1632" s="765"/>
    </row>
    <row r="1633" spans="14:15" x14ac:dyDescent="0.25">
      <c r="N1633" s="765"/>
      <c r="O1633" s="765"/>
    </row>
    <row r="1634" spans="14:15" x14ac:dyDescent="0.25">
      <c r="N1634" s="765"/>
      <c r="O1634" s="765"/>
    </row>
    <row r="1635" spans="14:15" x14ac:dyDescent="0.25">
      <c r="N1635" s="765"/>
      <c r="O1635" s="765"/>
    </row>
    <row r="1636" spans="14:15" x14ac:dyDescent="0.25">
      <c r="N1636" s="765"/>
      <c r="O1636" s="765"/>
    </row>
    <row r="1637" spans="14:15" x14ac:dyDescent="0.25">
      <c r="N1637" s="765"/>
      <c r="O1637" s="765"/>
    </row>
    <row r="1638" spans="14:15" x14ac:dyDescent="0.25">
      <c r="N1638" s="765"/>
      <c r="O1638" s="765"/>
    </row>
    <row r="1639" spans="14:15" x14ac:dyDescent="0.25">
      <c r="N1639" s="765"/>
      <c r="O1639" s="765"/>
    </row>
    <row r="1640" spans="14:15" x14ac:dyDescent="0.25">
      <c r="N1640" s="765"/>
      <c r="O1640" s="765"/>
    </row>
    <row r="1641" spans="14:15" x14ac:dyDescent="0.25">
      <c r="N1641" s="765"/>
      <c r="O1641" s="765"/>
    </row>
    <row r="1642" spans="14:15" x14ac:dyDescent="0.25">
      <c r="N1642" s="765"/>
      <c r="O1642" s="765"/>
    </row>
    <row r="1643" spans="14:15" x14ac:dyDescent="0.25">
      <c r="N1643" s="765"/>
      <c r="O1643" s="765"/>
    </row>
    <row r="1644" spans="14:15" x14ac:dyDescent="0.25">
      <c r="N1644" s="765"/>
      <c r="O1644" s="765"/>
    </row>
    <row r="1645" spans="14:15" x14ac:dyDescent="0.25">
      <c r="N1645" s="765"/>
      <c r="O1645" s="765"/>
    </row>
    <row r="1646" spans="14:15" x14ac:dyDescent="0.25">
      <c r="N1646" s="765"/>
      <c r="O1646" s="765"/>
    </row>
    <row r="1647" spans="14:15" x14ac:dyDescent="0.25">
      <c r="N1647" s="765"/>
      <c r="O1647" s="765"/>
    </row>
    <row r="1648" spans="14:15" x14ac:dyDescent="0.25">
      <c r="N1648" s="765"/>
      <c r="O1648" s="765"/>
    </row>
    <row r="1649" spans="14:15" x14ac:dyDescent="0.25">
      <c r="N1649" s="765"/>
      <c r="O1649" s="765"/>
    </row>
    <row r="1650" spans="14:15" x14ac:dyDescent="0.25">
      <c r="N1650" s="765"/>
      <c r="O1650" s="765"/>
    </row>
    <row r="1651" spans="14:15" x14ac:dyDescent="0.25">
      <c r="N1651" s="765"/>
      <c r="O1651" s="765"/>
    </row>
    <row r="1652" spans="14:15" x14ac:dyDescent="0.25">
      <c r="N1652" s="765"/>
      <c r="O1652" s="765"/>
    </row>
    <row r="1653" spans="14:15" x14ac:dyDescent="0.25">
      <c r="N1653" s="765"/>
      <c r="O1653" s="765"/>
    </row>
    <row r="1654" spans="14:15" x14ac:dyDescent="0.25">
      <c r="N1654" s="765"/>
      <c r="O1654" s="765"/>
    </row>
    <row r="1655" spans="14:15" x14ac:dyDescent="0.25">
      <c r="N1655" s="765"/>
      <c r="O1655" s="765"/>
    </row>
    <row r="1656" spans="14:15" x14ac:dyDescent="0.25">
      <c r="N1656" s="765"/>
      <c r="O1656" s="765"/>
    </row>
    <row r="1657" spans="14:15" x14ac:dyDescent="0.25">
      <c r="N1657" s="765"/>
      <c r="O1657" s="765"/>
    </row>
    <row r="1658" spans="14:15" x14ac:dyDescent="0.25">
      <c r="N1658" s="765"/>
      <c r="O1658" s="765"/>
    </row>
    <row r="1659" spans="14:15" x14ac:dyDescent="0.25">
      <c r="N1659" s="765"/>
      <c r="O1659" s="765"/>
    </row>
    <row r="1660" spans="14:15" x14ac:dyDescent="0.25">
      <c r="N1660" s="765"/>
      <c r="O1660" s="765"/>
    </row>
    <row r="1661" spans="14:15" x14ac:dyDescent="0.25">
      <c r="N1661" s="765"/>
      <c r="O1661" s="765"/>
    </row>
    <row r="1662" spans="14:15" x14ac:dyDescent="0.25">
      <c r="N1662" s="765"/>
      <c r="O1662" s="765"/>
    </row>
    <row r="1663" spans="14:15" x14ac:dyDescent="0.25">
      <c r="N1663" s="765"/>
      <c r="O1663" s="765"/>
    </row>
    <row r="1664" spans="14:15" x14ac:dyDescent="0.25">
      <c r="N1664" s="765"/>
      <c r="O1664" s="765"/>
    </row>
    <row r="1665" spans="14:15" x14ac:dyDescent="0.25">
      <c r="N1665" s="765"/>
      <c r="O1665" s="765"/>
    </row>
    <row r="1666" spans="14:15" x14ac:dyDescent="0.25">
      <c r="N1666" s="765"/>
      <c r="O1666" s="765"/>
    </row>
    <row r="1667" spans="14:15" x14ac:dyDescent="0.25">
      <c r="N1667" s="765"/>
      <c r="O1667" s="765"/>
    </row>
    <row r="1668" spans="14:15" x14ac:dyDescent="0.25">
      <c r="N1668" s="765"/>
      <c r="O1668" s="765"/>
    </row>
    <row r="1669" spans="14:15" x14ac:dyDescent="0.25">
      <c r="N1669" s="765"/>
      <c r="O1669" s="765"/>
    </row>
    <row r="1670" spans="14:15" x14ac:dyDescent="0.25">
      <c r="N1670" s="765"/>
      <c r="O1670" s="765"/>
    </row>
    <row r="1671" spans="14:15" x14ac:dyDescent="0.25">
      <c r="N1671" s="765"/>
      <c r="O1671" s="765"/>
    </row>
    <row r="1672" spans="14:15" x14ac:dyDescent="0.25">
      <c r="N1672" s="765"/>
      <c r="O1672" s="765"/>
    </row>
    <row r="1673" spans="14:15" x14ac:dyDescent="0.25">
      <c r="N1673" s="765"/>
      <c r="O1673" s="765"/>
    </row>
    <row r="1674" spans="14:15" x14ac:dyDescent="0.25">
      <c r="N1674" s="765"/>
      <c r="O1674" s="765"/>
    </row>
    <row r="1675" spans="14:15" x14ac:dyDescent="0.25">
      <c r="N1675" s="765"/>
      <c r="O1675" s="765"/>
    </row>
    <row r="1676" spans="14:15" x14ac:dyDescent="0.25">
      <c r="N1676" s="765"/>
      <c r="O1676" s="765"/>
    </row>
    <row r="1677" spans="14:15" x14ac:dyDescent="0.25">
      <c r="N1677" s="765"/>
      <c r="O1677" s="765"/>
    </row>
    <row r="1678" spans="14:15" x14ac:dyDescent="0.25">
      <c r="N1678" s="765"/>
      <c r="O1678" s="765"/>
    </row>
    <row r="1679" spans="14:15" x14ac:dyDescent="0.25">
      <c r="N1679" s="765"/>
      <c r="O1679" s="765"/>
    </row>
    <row r="1680" spans="14:15" x14ac:dyDescent="0.25">
      <c r="N1680" s="765"/>
      <c r="O1680" s="765"/>
    </row>
    <row r="1681" spans="14:15" x14ac:dyDescent="0.25">
      <c r="N1681" s="765"/>
      <c r="O1681" s="765"/>
    </row>
    <row r="1682" spans="14:15" x14ac:dyDescent="0.25">
      <c r="N1682" s="765"/>
      <c r="O1682" s="765"/>
    </row>
    <row r="1683" spans="14:15" x14ac:dyDescent="0.25">
      <c r="N1683" s="765"/>
      <c r="O1683" s="765"/>
    </row>
    <row r="1684" spans="14:15" x14ac:dyDescent="0.25">
      <c r="N1684" s="765"/>
      <c r="O1684" s="765"/>
    </row>
    <row r="1685" spans="14:15" x14ac:dyDescent="0.25">
      <c r="N1685" s="765"/>
      <c r="O1685" s="765"/>
    </row>
    <row r="1686" spans="14:15" x14ac:dyDescent="0.25">
      <c r="N1686" s="765"/>
      <c r="O1686" s="765"/>
    </row>
    <row r="1687" spans="14:15" x14ac:dyDescent="0.25">
      <c r="N1687" s="765"/>
      <c r="O1687" s="765"/>
    </row>
    <row r="1688" spans="14:15" x14ac:dyDescent="0.25">
      <c r="N1688" s="765"/>
      <c r="O1688" s="765"/>
    </row>
    <row r="1689" spans="14:15" x14ac:dyDescent="0.25">
      <c r="N1689" s="765"/>
      <c r="O1689" s="765"/>
    </row>
    <row r="1690" spans="14:15" x14ac:dyDescent="0.25">
      <c r="N1690" s="765"/>
      <c r="O1690" s="765"/>
    </row>
    <row r="1691" spans="14:15" x14ac:dyDescent="0.25">
      <c r="N1691" s="765"/>
      <c r="O1691" s="765"/>
    </row>
    <row r="1692" spans="14:15" x14ac:dyDescent="0.25">
      <c r="N1692" s="765"/>
      <c r="O1692" s="765"/>
    </row>
    <row r="1693" spans="14:15" x14ac:dyDescent="0.25">
      <c r="N1693" s="765"/>
      <c r="O1693" s="765"/>
    </row>
    <row r="1694" spans="14:15" x14ac:dyDescent="0.25">
      <c r="N1694" s="765"/>
      <c r="O1694" s="765"/>
    </row>
    <row r="1695" spans="14:15" x14ac:dyDescent="0.25">
      <c r="N1695" s="765"/>
      <c r="O1695" s="765"/>
    </row>
    <row r="1696" spans="14:15" x14ac:dyDescent="0.25">
      <c r="N1696" s="765"/>
      <c r="O1696" s="765"/>
    </row>
    <row r="1697" spans="14:15" x14ac:dyDescent="0.25">
      <c r="N1697" s="765"/>
      <c r="O1697" s="765"/>
    </row>
    <row r="1698" spans="14:15" x14ac:dyDescent="0.25">
      <c r="N1698" s="765"/>
      <c r="O1698" s="765"/>
    </row>
    <row r="1699" spans="14:15" x14ac:dyDescent="0.25">
      <c r="N1699" s="765"/>
      <c r="O1699" s="765"/>
    </row>
    <row r="1700" spans="14:15" x14ac:dyDescent="0.25">
      <c r="N1700" s="765"/>
      <c r="O1700" s="765"/>
    </row>
    <row r="1701" spans="14:15" x14ac:dyDescent="0.25">
      <c r="N1701" s="765"/>
      <c r="O1701" s="765"/>
    </row>
    <row r="1702" spans="14:15" x14ac:dyDescent="0.25">
      <c r="N1702" s="765"/>
      <c r="O1702" s="765"/>
    </row>
    <row r="1703" spans="14:15" x14ac:dyDescent="0.25">
      <c r="N1703" s="765"/>
      <c r="O1703" s="765"/>
    </row>
    <row r="1704" spans="14:15" x14ac:dyDescent="0.25">
      <c r="N1704" s="765"/>
      <c r="O1704" s="765"/>
    </row>
    <row r="1705" spans="14:15" x14ac:dyDescent="0.25">
      <c r="N1705" s="765"/>
      <c r="O1705" s="765"/>
    </row>
    <row r="1706" spans="14:15" x14ac:dyDescent="0.25">
      <c r="N1706" s="765"/>
      <c r="O1706" s="765"/>
    </row>
    <row r="1707" spans="14:15" x14ac:dyDescent="0.25">
      <c r="N1707" s="765"/>
      <c r="O1707" s="765"/>
    </row>
    <row r="1708" spans="14:15" x14ac:dyDescent="0.25">
      <c r="N1708" s="765"/>
      <c r="O1708" s="765"/>
    </row>
    <row r="1709" spans="14:15" x14ac:dyDescent="0.25">
      <c r="N1709" s="765"/>
      <c r="O1709" s="765"/>
    </row>
    <row r="1710" spans="14:15" x14ac:dyDescent="0.25">
      <c r="N1710" s="765"/>
      <c r="O1710" s="765"/>
    </row>
    <row r="1711" spans="14:15" x14ac:dyDescent="0.25">
      <c r="N1711" s="765"/>
      <c r="O1711" s="765"/>
    </row>
    <row r="1712" spans="14:15" x14ac:dyDescent="0.25">
      <c r="N1712" s="765"/>
      <c r="O1712" s="765"/>
    </row>
    <row r="1713" spans="14:15" x14ac:dyDescent="0.25">
      <c r="N1713" s="765"/>
      <c r="O1713" s="765"/>
    </row>
    <row r="1714" spans="14:15" x14ac:dyDescent="0.25">
      <c r="N1714" s="765"/>
      <c r="O1714" s="765"/>
    </row>
    <row r="1715" spans="14:15" x14ac:dyDescent="0.25">
      <c r="N1715" s="765"/>
      <c r="O1715" s="765"/>
    </row>
    <row r="1716" spans="14:15" x14ac:dyDescent="0.25">
      <c r="N1716" s="765"/>
      <c r="O1716" s="765"/>
    </row>
    <row r="1717" spans="14:15" x14ac:dyDescent="0.25">
      <c r="N1717" s="765"/>
      <c r="O1717" s="765"/>
    </row>
    <row r="1718" spans="14:15" x14ac:dyDescent="0.25">
      <c r="N1718" s="765"/>
      <c r="O1718" s="765"/>
    </row>
    <row r="1719" spans="14:15" x14ac:dyDescent="0.25">
      <c r="N1719" s="765"/>
      <c r="O1719" s="765"/>
    </row>
    <row r="1720" spans="14:15" x14ac:dyDescent="0.25">
      <c r="N1720" s="765"/>
      <c r="O1720" s="765"/>
    </row>
    <row r="1721" spans="14:15" x14ac:dyDescent="0.25">
      <c r="N1721" s="765"/>
      <c r="O1721" s="765"/>
    </row>
    <row r="1722" spans="14:15" x14ac:dyDescent="0.25">
      <c r="N1722" s="765"/>
      <c r="O1722" s="765"/>
    </row>
    <row r="1723" spans="14:15" x14ac:dyDescent="0.25">
      <c r="N1723" s="765"/>
      <c r="O1723" s="765"/>
    </row>
    <row r="1724" spans="14:15" x14ac:dyDescent="0.25">
      <c r="N1724" s="765"/>
      <c r="O1724" s="765"/>
    </row>
    <row r="1725" spans="14:15" x14ac:dyDescent="0.25">
      <c r="N1725" s="765"/>
      <c r="O1725" s="765"/>
    </row>
    <row r="1726" spans="14:15" x14ac:dyDescent="0.25">
      <c r="N1726" s="765"/>
      <c r="O1726" s="765"/>
    </row>
    <row r="1727" spans="14:15" x14ac:dyDescent="0.25">
      <c r="N1727" s="765"/>
      <c r="O1727" s="765"/>
    </row>
    <row r="1728" spans="14:15" x14ac:dyDescent="0.25">
      <c r="N1728" s="765"/>
      <c r="O1728" s="765"/>
    </row>
    <row r="1729" spans="14:15" x14ac:dyDescent="0.25">
      <c r="N1729" s="765"/>
      <c r="O1729" s="765"/>
    </row>
    <row r="1730" spans="14:15" x14ac:dyDescent="0.25">
      <c r="N1730" s="765"/>
      <c r="O1730" s="765"/>
    </row>
    <row r="1731" spans="14:15" x14ac:dyDescent="0.25">
      <c r="N1731" s="765"/>
      <c r="O1731" s="765"/>
    </row>
    <row r="1732" spans="14:15" x14ac:dyDescent="0.25">
      <c r="N1732" s="765"/>
      <c r="O1732" s="765"/>
    </row>
    <row r="1733" spans="14:15" x14ac:dyDescent="0.25">
      <c r="N1733" s="765"/>
      <c r="O1733" s="765"/>
    </row>
    <row r="1734" spans="14:15" x14ac:dyDescent="0.25">
      <c r="N1734" s="765"/>
      <c r="O1734" s="765"/>
    </row>
    <row r="1735" spans="14:15" x14ac:dyDescent="0.25">
      <c r="N1735" s="765"/>
      <c r="O1735" s="765"/>
    </row>
    <row r="1736" spans="14:15" x14ac:dyDescent="0.25">
      <c r="N1736" s="765"/>
      <c r="O1736" s="765"/>
    </row>
    <row r="1737" spans="14:15" x14ac:dyDescent="0.25">
      <c r="N1737" s="765"/>
      <c r="O1737" s="765"/>
    </row>
    <row r="1738" spans="14:15" x14ac:dyDescent="0.25">
      <c r="N1738" s="765"/>
      <c r="O1738" s="765"/>
    </row>
    <row r="1739" spans="14:15" x14ac:dyDescent="0.25">
      <c r="N1739" s="765"/>
      <c r="O1739" s="765"/>
    </row>
    <row r="1740" spans="14:15" x14ac:dyDescent="0.25">
      <c r="N1740" s="765"/>
      <c r="O1740" s="765"/>
    </row>
    <row r="1741" spans="14:15" x14ac:dyDescent="0.25">
      <c r="N1741" s="765"/>
      <c r="O1741" s="765"/>
    </row>
    <row r="1742" spans="14:15" x14ac:dyDescent="0.25">
      <c r="N1742" s="765"/>
      <c r="O1742" s="765"/>
    </row>
    <row r="1743" spans="14:15" x14ac:dyDescent="0.25">
      <c r="N1743" s="765"/>
      <c r="O1743" s="765"/>
    </row>
    <row r="1744" spans="14:15" x14ac:dyDescent="0.25">
      <c r="N1744" s="765"/>
      <c r="O1744" s="765"/>
    </row>
    <row r="1745" spans="14:15" x14ac:dyDescent="0.25">
      <c r="N1745" s="765"/>
      <c r="O1745" s="765"/>
    </row>
    <row r="1746" spans="14:15" x14ac:dyDescent="0.25">
      <c r="N1746" s="765"/>
      <c r="O1746" s="765"/>
    </row>
    <row r="1747" spans="14:15" x14ac:dyDescent="0.25">
      <c r="N1747" s="765"/>
      <c r="O1747" s="765"/>
    </row>
    <row r="1748" spans="14:15" x14ac:dyDescent="0.25">
      <c r="N1748" s="765"/>
      <c r="O1748" s="765"/>
    </row>
    <row r="1749" spans="14:15" x14ac:dyDescent="0.25">
      <c r="N1749" s="765"/>
      <c r="O1749" s="765"/>
    </row>
    <row r="1750" spans="14:15" x14ac:dyDescent="0.25">
      <c r="N1750" s="765"/>
      <c r="O1750" s="765"/>
    </row>
    <row r="1751" spans="14:15" x14ac:dyDescent="0.25">
      <c r="N1751" s="765"/>
      <c r="O1751" s="765"/>
    </row>
    <row r="1752" spans="14:15" x14ac:dyDescent="0.25">
      <c r="N1752" s="765"/>
      <c r="O1752" s="765"/>
    </row>
    <row r="1753" spans="14:15" x14ac:dyDescent="0.25">
      <c r="N1753" s="765"/>
      <c r="O1753" s="765"/>
    </row>
    <row r="1754" spans="14:15" x14ac:dyDescent="0.25">
      <c r="N1754" s="765"/>
      <c r="O1754" s="765"/>
    </row>
    <row r="1755" spans="14:15" x14ac:dyDescent="0.25">
      <c r="N1755" s="765"/>
      <c r="O1755" s="765"/>
    </row>
    <row r="1756" spans="14:15" x14ac:dyDescent="0.25">
      <c r="N1756" s="765"/>
      <c r="O1756" s="765"/>
    </row>
    <row r="1757" spans="14:15" x14ac:dyDescent="0.25">
      <c r="N1757" s="765"/>
      <c r="O1757" s="765"/>
    </row>
    <row r="1758" spans="14:15" x14ac:dyDescent="0.25">
      <c r="N1758" s="765"/>
      <c r="O1758" s="765"/>
    </row>
    <row r="1759" spans="14:15" x14ac:dyDescent="0.25">
      <c r="N1759" s="765"/>
      <c r="O1759" s="765"/>
    </row>
    <row r="1760" spans="14:15" x14ac:dyDescent="0.25">
      <c r="N1760" s="765"/>
      <c r="O1760" s="765"/>
    </row>
    <row r="1761" spans="14:15" x14ac:dyDescent="0.25">
      <c r="N1761" s="765"/>
      <c r="O1761" s="765"/>
    </row>
    <row r="1762" spans="14:15" x14ac:dyDescent="0.25">
      <c r="N1762" s="765"/>
      <c r="O1762" s="765"/>
    </row>
    <row r="1763" spans="14:15" x14ac:dyDescent="0.25">
      <c r="N1763" s="765"/>
      <c r="O1763" s="765"/>
    </row>
    <row r="1764" spans="14:15" x14ac:dyDescent="0.25">
      <c r="N1764" s="765"/>
      <c r="O1764" s="765"/>
    </row>
    <row r="1765" spans="14:15" x14ac:dyDescent="0.25">
      <c r="N1765" s="765"/>
      <c r="O1765" s="765"/>
    </row>
    <row r="1766" spans="14:15" x14ac:dyDescent="0.25">
      <c r="N1766" s="765"/>
      <c r="O1766" s="765"/>
    </row>
    <row r="1767" spans="14:15" x14ac:dyDescent="0.25">
      <c r="N1767" s="765"/>
      <c r="O1767" s="765"/>
    </row>
    <row r="1768" spans="14:15" x14ac:dyDescent="0.25">
      <c r="N1768" s="765"/>
      <c r="O1768" s="765"/>
    </row>
    <row r="1769" spans="14:15" x14ac:dyDescent="0.25">
      <c r="N1769" s="765"/>
      <c r="O1769" s="765"/>
    </row>
    <row r="1770" spans="14:15" x14ac:dyDescent="0.25">
      <c r="N1770" s="765"/>
      <c r="O1770" s="765"/>
    </row>
    <row r="1771" spans="14:15" x14ac:dyDescent="0.25">
      <c r="N1771" s="765"/>
      <c r="O1771" s="765"/>
    </row>
    <row r="1772" spans="14:15" x14ac:dyDescent="0.25">
      <c r="N1772" s="765"/>
      <c r="O1772" s="765"/>
    </row>
    <row r="1773" spans="14:15" x14ac:dyDescent="0.25">
      <c r="N1773" s="765"/>
      <c r="O1773" s="765"/>
    </row>
    <row r="1774" spans="14:15" x14ac:dyDescent="0.25">
      <c r="N1774" s="765"/>
      <c r="O1774" s="765"/>
    </row>
    <row r="1775" spans="14:15" x14ac:dyDescent="0.25">
      <c r="N1775" s="765"/>
      <c r="O1775" s="765"/>
    </row>
    <row r="1776" spans="14:15" x14ac:dyDescent="0.25">
      <c r="N1776" s="765"/>
      <c r="O1776" s="765"/>
    </row>
    <row r="1777" spans="14:15" x14ac:dyDescent="0.25">
      <c r="N1777" s="765"/>
      <c r="O1777" s="765"/>
    </row>
    <row r="1778" spans="14:15" x14ac:dyDescent="0.25">
      <c r="N1778" s="765"/>
      <c r="O1778" s="765"/>
    </row>
    <row r="1779" spans="14:15" x14ac:dyDescent="0.25">
      <c r="N1779" s="765"/>
      <c r="O1779" s="765"/>
    </row>
    <row r="1780" spans="14:15" x14ac:dyDescent="0.25">
      <c r="N1780" s="765"/>
      <c r="O1780" s="765"/>
    </row>
    <row r="1781" spans="14:15" x14ac:dyDescent="0.25">
      <c r="N1781" s="765"/>
      <c r="O1781" s="765"/>
    </row>
    <row r="1782" spans="14:15" x14ac:dyDescent="0.25">
      <c r="N1782" s="765"/>
      <c r="O1782" s="765"/>
    </row>
    <row r="1783" spans="14:15" x14ac:dyDescent="0.25">
      <c r="N1783" s="765"/>
      <c r="O1783" s="765"/>
    </row>
    <row r="1784" spans="14:15" x14ac:dyDescent="0.25">
      <c r="N1784" s="765"/>
      <c r="O1784" s="765"/>
    </row>
    <row r="1785" spans="14:15" x14ac:dyDescent="0.25">
      <c r="N1785" s="765"/>
      <c r="O1785" s="765"/>
    </row>
    <row r="1786" spans="14:15" x14ac:dyDescent="0.25">
      <c r="N1786" s="765"/>
      <c r="O1786" s="765"/>
    </row>
    <row r="1787" spans="14:15" x14ac:dyDescent="0.25">
      <c r="N1787" s="765"/>
      <c r="O1787" s="765"/>
    </row>
    <row r="1788" spans="14:15" x14ac:dyDescent="0.25">
      <c r="N1788" s="765"/>
      <c r="O1788" s="765"/>
    </row>
    <row r="1789" spans="14:15" x14ac:dyDescent="0.25">
      <c r="N1789" s="765"/>
      <c r="O1789" s="765"/>
    </row>
    <row r="1790" spans="14:15" x14ac:dyDescent="0.25">
      <c r="N1790" s="765"/>
      <c r="O1790" s="765"/>
    </row>
    <row r="1791" spans="14:15" x14ac:dyDescent="0.25">
      <c r="N1791" s="765"/>
      <c r="O1791" s="765"/>
    </row>
    <row r="1792" spans="14:15" x14ac:dyDescent="0.25">
      <c r="N1792" s="765"/>
      <c r="O1792" s="765"/>
    </row>
    <row r="1793" spans="14:15" x14ac:dyDescent="0.25">
      <c r="N1793" s="765"/>
      <c r="O1793" s="765"/>
    </row>
    <row r="1794" spans="14:15" x14ac:dyDescent="0.25">
      <c r="N1794" s="765"/>
      <c r="O1794" s="765"/>
    </row>
    <row r="1795" spans="14:15" x14ac:dyDescent="0.25">
      <c r="N1795" s="765"/>
      <c r="O1795" s="765"/>
    </row>
    <row r="1796" spans="14:15" x14ac:dyDescent="0.25">
      <c r="N1796" s="765"/>
      <c r="O1796" s="765"/>
    </row>
    <row r="1797" spans="14:15" x14ac:dyDescent="0.25">
      <c r="N1797" s="765"/>
      <c r="O1797" s="765"/>
    </row>
    <row r="1798" spans="14:15" x14ac:dyDescent="0.25">
      <c r="N1798" s="765"/>
      <c r="O1798" s="765"/>
    </row>
    <row r="1799" spans="14:15" x14ac:dyDescent="0.25">
      <c r="N1799" s="765"/>
      <c r="O1799" s="765"/>
    </row>
    <row r="1800" spans="14:15" x14ac:dyDescent="0.25">
      <c r="N1800" s="765"/>
      <c r="O1800" s="765"/>
    </row>
    <row r="1801" spans="14:15" x14ac:dyDescent="0.25">
      <c r="N1801" s="765"/>
      <c r="O1801" s="765"/>
    </row>
    <row r="1802" spans="14:15" x14ac:dyDescent="0.25">
      <c r="N1802" s="765"/>
      <c r="O1802" s="765"/>
    </row>
    <row r="1803" spans="14:15" x14ac:dyDescent="0.25">
      <c r="N1803" s="765"/>
      <c r="O1803" s="765"/>
    </row>
    <row r="1804" spans="14:15" x14ac:dyDescent="0.25">
      <c r="N1804" s="765"/>
      <c r="O1804" s="765"/>
    </row>
    <row r="1805" spans="14:15" x14ac:dyDescent="0.25">
      <c r="N1805" s="765"/>
      <c r="O1805" s="765"/>
    </row>
    <row r="1806" spans="14:15" x14ac:dyDescent="0.25">
      <c r="N1806" s="765"/>
      <c r="O1806" s="765"/>
    </row>
    <row r="1807" spans="14:15" x14ac:dyDescent="0.25">
      <c r="N1807" s="765"/>
      <c r="O1807" s="765"/>
    </row>
    <row r="1808" spans="14:15" x14ac:dyDescent="0.25">
      <c r="N1808" s="765"/>
      <c r="O1808" s="765"/>
    </row>
    <row r="1809" spans="14:15" x14ac:dyDescent="0.25">
      <c r="N1809" s="765"/>
      <c r="O1809" s="765"/>
    </row>
    <row r="1810" spans="14:15" x14ac:dyDescent="0.25">
      <c r="N1810" s="765"/>
      <c r="O1810" s="765"/>
    </row>
    <row r="1811" spans="14:15" x14ac:dyDescent="0.25">
      <c r="N1811" s="765"/>
      <c r="O1811" s="765"/>
    </row>
    <row r="1812" spans="14:15" x14ac:dyDescent="0.25">
      <c r="N1812" s="765"/>
      <c r="O1812" s="765"/>
    </row>
    <row r="1813" spans="14:15" x14ac:dyDescent="0.25">
      <c r="N1813" s="765"/>
      <c r="O1813" s="765"/>
    </row>
    <row r="1814" spans="14:15" x14ac:dyDescent="0.25">
      <c r="N1814" s="765"/>
      <c r="O1814" s="765"/>
    </row>
    <row r="1815" spans="14:15" x14ac:dyDescent="0.25">
      <c r="N1815" s="765"/>
      <c r="O1815" s="765"/>
    </row>
    <row r="1816" spans="14:15" x14ac:dyDescent="0.25">
      <c r="N1816" s="765"/>
      <c r="O1816" s="765"/>
    </row>
    <row r="1817" spans="14:15" x14ac:dyDescent="0.25">
      <c r="N1817" s="765"/>
      <c r="O1817" s="765"/>
    </row>
    <row r="1818" spans="14:15" x14ac:dyDescent="0.25">
      <c r="N1818" s="765"/>
      <c r="O1818" s="765"/>
    </row>
    <row r="1819" spans="14:15" x14ac:dyDescent="0.25">
      <c r="N1819" s="765"/>
      <c r="O1819" s="765"/>
    </row>
    <row r="1820" spans="14:15" x14ac:dyDescent="0.25">
      <c r="N1820" s="765"/>
      <c r="O1820" s="765"/>
    </row>
    <row r="1821" spans="14:15" x14ac:dyDescent="0.25">
      <c r="N1821" s="765"/>
      <c r="O1821" s="765"/>
    </row>
    <row r="1822" spans="14:15" x14ac:dyDescent="0.25">
      <c r="N1822" s="765"/>
      <c r="O1822" s="765"/>
    </row>
    <row r="1823" spans="14:15" x14ac:dyDescent="0.25">
      <c r="N1823" s="765"/>
      <c r="O1823" s="765"/>
    </row>
    <row r="1824" spans="14:15" x14ac:dyDescent="0.25">
      <c r="N1824" s="765"/>
      <c r="O1824" s="765"/>
    </row>
    <row r="1825" spans="14:15" x14ac:dyDescent="0.25">
      <c r="N1825" s="765"/>
      <c r="O1825" s="765"/>
    </row>
    <row r="1826" spans="14:15" x14ac:dyDescent="0.25">
      <c r="N1826" s="765"/>
      <c r="O1826" s="765"/>
    </row>
    <row r="1827" spans="14:15" x14ac:dyDescent="0.25">
      <c r="N1827" s="765"/>
      <c r="O1827" s="765"/>
    </row>
    <row r="1828" spans="14:15" x14ac:dyDescent="0.25">
      <c r="N1828" s="765"/>
      <c r="O1828" s="765"/>
    </row>
    <row r="1829" spans="14:15" x14ac:dyDescent="0.25">
      <c r="N1829" s="765"/>
      <c r="O1829" s="765"/>
    </row>
    <row r="1830" spans="14:15" x14ac:dyDescent="0.25">
      <c r="N1830" s="765"/>
      <c r="O1830" s="765"/>
    </row>
    <row r="1831" spans="14:15" x14ac:dyDescent="0.25">
      <c r="N1831" s="765"/>
      <c r="O1831" s="765"/>
    </row>
    <row r="1832" spans="14:15" x14ac:dyDescent="0.25">
      <c r="N1832" s="765"/>
      <c r="O1832" s="765"/>
    </row>
    <row r="1833" spans="14:15" x14ac:dyDescent="0.25">
      <c r="N1833" s="765"/>
      <c r="O1833" s="765"/>
    </row>
    <row r="1834" spans="14:15" x14ac:dyDescent="0.25">
      <c r="N1834" s="765"/>
      <c r="O1834" s="765"/>
    </row>
    <row r="1835" spans="14:15" x14ac:dyDescent="0.25">
      <c r="N1835" s="765"/>
      <c r="O1835" s="765"/>
    </row>
    <row r="1836" spans="14:15" x14ac:dyDescent="0.25">
      <c r="N1836" s="765"/>
      <c r="O1836" s="765"/>
    </row>
    <row r="1837" spans="14:15" x14ac:dyDescent="0.25">
      <c r="N1837" s="765"/>
      <c r="O1837" s="765"/>
    </row>
    <row r="1838" spans="14:15" x14ac:dyDescent="0.25">
      <c r="N1838" s="765"/>
      <c r="O1838" s="765"/>
    </row>
    <row r="1839" spans="14:15" x14ac:dyDescent="0.25">
      <c r="N1839" s="765"/>
      <c r="O1839" s="765"/>
    </row>
    <row r="1840" spans="14:15" x14ac:dyDescent="0.25">
      <c r="N1840" s="765"/>
      <c r="O1840" s="765"/>
    </row>
    <row r="1841" spans="14:15" x14ac:dyDescent="0.25">
      <c r="N1841" s="765"/>
      <c r="O1841" s="765"/>
    </row>
    <row r="1842" spans="14:15" x14ac:dyDescent="0.25">
      <c r="N1842" s="765"/>
      <c r="O1842" s="765"/>
    </row>
    <row r="1843" spans="14:15" x14ac:dyDescent="0.25">
      <c r="N1843" s="765"/>
      <c r="O1843" s="765"/>
    </row>
    <row r="1844" spans="14:15" x14ac:dyDescent="0.25">
      <c r="N1844" s="765"/>
      <c r="O1844" s="765"/>
    </row>
    <row r="1845" spans="14:15" x14ac:dyDescent="0.25">
      <c r="N1845" s="765"/>
      <c r="O1845" s="765"/>
    </row>
    <row r="1846" spans="14:15" x14ac:dyDescent="0.25">
      <c r="N1846" s="765"/>
      <c r="O1846" s="765"/>
    </row>
    <row r="1847" spans="14:15" x14ac:dyDescent="0.25">
      <c r="N1847" s="765"/>
      <c r="O1847" s="765"/>
    </row>
    <row r="1848" spans="14:15" x14ac:dyDescent="0.25">
      <c r="N1848" s="765"/>
      <c r="O1848" s="765"/>
    </row>
    <row r="1849" spans="14:15" x14ac:dyDescent="0.25">
      <c r="N1849" s="765"/>
      <c r="O1849" s="765"/>
    </row>
    <row r="1850" spans="14:15" x14ac:dyDescent="0.25">
      <c r="N1850" s="765"/>
      <c r="O1850" s="765"/>
    </row>
    <row r="1851" spans="14:15" x14ac:dyDescent="0.25">
      <c r="N1851" s="765"/>
      <c r="O1851" s="765"/>
    </row>
    <row r="1852" spans="14:15" x14ac:dyDescent="0.25">
      <c r="N1852" s="765"/>
      <c r="O1852" s="765"/>
    </row>
    <row r="1853" spans="14:15" x14ac:dyDescent="0.25">
      <c r="N1853" s="765"/>
      <c r="O1853" s="765"/>
    </row>
    <row r="1854" spans="14:15" x14ac:dyDescent="0.25">
      <c r="N1854" s="765"/>
      <c r="O1854" s="765"/>
    </row>
    <row r="1855" spans="14:15" x14ac:dyDescent="0.25">
      <c r="N1855" s="765"/>
      <c r="O1855" s="765"/>
    </row>
    <row r="1856" spans="14:15" x14ac:dyDescent="0.25">
      <c r="N1856" s="765"/>
      <c r="O1856" s="765"/>
    </row>
    <row r="1857" spans="14:15" x14ac:dyDescent="0.25">
      <c r="N1857" s="765"/>
      <c r="O1857" s="765"/>
    </row>
    <row r="1858" spans="14:15" x14ac:dyDescent="0.25">
      <c r="N1858" s="765"/>
      <c r="O1858" s="765"/>
    </row>
    <row r="1859" spans="14:15" x14ac:dyDescent="0.25">
      <c r="N1859" s="765"/>
      <c r="O1859" s="765"/>
    </row>
    <row r="1860" spans="14:15" x14ac:dyDescent="0.25">
      <c r="N1860" s="765"/>
      <c r="O1860" s="765"/>
    </row>
    <row r="1861" spans="14:15" x14ac:dyDescent="0.25">
      <c r="N1861" s="765"/>
      <c r="O1861" s="765"/>
    </row>
    <row r="1862" spans="14:15" x14ac:dyDescent="0.25">
      <c r="N1862" s="765"/>
      <c r="O1862" s="765"/>
    </row>
    <row r="1863" spans="14:15" x14ac:dyDescent="0.25">
      <c r="N1863" s="765"/>
      <c r="O1863" s="765"/>
    </row>
    <row r="1864" spans="14:15" x14ac:dyDescent="0.25">
      <c r="N1864" s="765"/>
      <c r="O1864" s="765"/>
    </row>
    <row r="1865" spans="14:15" x14ac:dyDescent="0.25">
      <c r="N1865" s="765"/>
      <c r="O1865" s="765"/>
    </row>
    <row r="1866" spans="14:15" x14ac:dyDescent="0.25">
      <c r="N1866" s="765"/>
      <c r="O1866" s="765"/>
    </row>
    <row r="1867" spans="14:15" x14ac:dyDescent="0.25">
      <c r="N1867" s="765"/>
      <c r="O1867" s="765"/>
    </row>
    <row r="1868" spans="14:15" x14ac:dyDescent="0.25">
      <c r="N1868" s="765"/>
      <c r="O1868" s="765"/>
    </row>
    <row r="1869" spans="14:15" x14ac:dyDescent="0.25">
      <c r="N1869" s="765"/>
      <c r="O1869" s="765"/>
    </row>
    <row r="1870" spans="14:15" x14ac:dyDescent="0.25">
      <c r="N1870" s="765"/>
      <c r="O1870" s="765"/>
    </row>
    <row r="1871" spans="14:15" x14ac:dyDescent="0.25">
      <c r="N1871" s="765"/>
      <c r="O1871" s="765"/>
    </row>
    <row r="1872" spans="14:15" x14ac:dyDescent="0.25">
      <c r="N1872" s="765"/>
      <c r="O1872" s="765"/>
    </row>
    <row r="1873" spans="14:15" x14ac:dyDescent="0.25">
      <c r="N1873" s="765"/>
      <c r="O1873" s="765"/>
    </row>
    <row r="1874" spans="14:15" x14ac:dyDescent="0.25">
      <c r="N1874" s="765"/>
      <c r="O1874" s="765"/>
    </row>
    <row r="1875" spans="14:15" x14ac:dyDescent="0.25">
      <c r="N1875" s="765"/>
      <c r="O1875" s="765"/>
    </row>
    <row r="1876" spans="14:15" x14ac:dyDescent="0.25">
      <c r="N1876" s="765"/>
      <c r="O1876" s="765"/>
    </row>
    <row r="1877" spans="14:15" x14ac:dyDescent="0.25">
      <c r="N1877" s="765"/>
      <c r="O1877" s="765"/>
    </row>
    <row r="1878" spans="14:15" x14ac:dyDescent="0.25">
      <c r="N1878" s="765"/>
      <c r="O1878" s="765"/>
    </row>
    <row r="1879" spans="14:15" x14ac:dyDescent="0.25">
      <c r="N1879" s="765"/>
      <c r="O1879" s="765"/>
    </row>
    <row r="1880" spans="14:15" x14ac:dyDescent="0.25">
      <c r="N1880" s="765"/>
      <c r="O1880" s="765"/>
    </row>
    <row r="1881" spans="14:15" x14ac:dyDescent="0.25">
      <c r="N1881" s="765"/>
      <c r="O1881" s="765"/>
    </row>
    <row r="1882" spans="14:15" x14ac:dyDescent="0.25">
      <c r="N1882" s="765"/>
      <c r="O1882" s="765"/>
    </row>
    <row r="1883" spans="14:15" x14ac:dyDescent="0.25">
      <c r="N1883" s="765"/>
      <c r="O1883" s="765"/>
    </row>
    <row r="1884" spans="14:15" x14ac:dyDescent="0.25">
      <c r="N1884" s="765"/>
      <c r="O1884" s="765"/>
    </row>
    <row r="1885" spans="14:15" x14ac:dyDescent="0.25">
      <c r="N1885" s="765"/>
      <c r="O1885" s="765"/>
    </row>
    <row r="1886" spans="14:15" x14ac:dyDescent="0.25">
      <c r="N1886" s="765"/>
      <c r="O1886" s="765"/>
    </row>
    <row r="1887" spans="14:15" x14ac:dyDescent="0.25">
      <c r="N1887" s="765"/>
      <c r="O1887" s="765"/>
    </row>
    <row r="1888" spans="14:15" x14ac:dyDescent="0.25">
      <c r="N1888" s="765"/>
      <c r="O1888" s="765"/>
    </row>
    <row r="1889" spans="14:15" x14ac:dyDescent="0.25">
      <c r="N1889" s="765"/>
      <c r="O1889" s="765"/>
    </row>
    <row r="1890" spans="14:15" x14ac:dyDescent="0.25">
      <c r="N1890" s="765"/>
      <c r="O1890" s="765"/>
    </row>
    <row r="1891" spans="14:15" x14ac:dyDescent="0.25">
      <c r="N1891" s="765"/>
      <c r="O1891" s="765"/>
    </row>
    <row r="1892" spans="14:15" x14ac:dyDescent="0.25">
      <c r="N1892" s="765"/>
      <c r="O1892" s="765"/>
    </row>
    <row r="1893" spans="14:15" x14ac:dyDescent="0.25">
      <c r="N1893" s="765"/>
      <c r="O1893" s="765"/>
    </row>
    <row r="1894" spans="14:15" x14ac:dyDescent="0.25">
      <c r="N1894" s="765"/>
      <c r="O1894" s="765"/>
    </row>
    <row r="1895" spans="14:15" x14ac:dyDescent="0.25">
      <c r="N1895" s="765"/>
      <c r="O1895" s="765"/>
    </row>
    <row r="1896" spans="14:15" x14ac:dyDescent="0.25">
      <c r="N1896" s="765"/>
      <c r="O1896" s="765"/>
    </row>
    <row r="1897" spans="14:15" x14ac:dyDescent="0.25">
      <c r="N1897" s="765"/>
      <c r="O1897" s="765"/>
    </row>
    <row r="1898" spans="14:15" x14ac:dyDescent="0.25">
      <c r="N1898" s="765"/>
      <c r="O1898" s="765"/>
    </row>
    <row r="1899" spans="14:15" x14ac:dyDescent="0.25">
      <c r="N1899" s="765"/>
      <c r="O1899" s="765"/>
    </row>
    <row r="1900" spans="14:15" x14ac:dyDescent="0.25">
      <c r="N1900" s="765"/>
      <c r="O1900" s="765"/>
    </row>
    <row r="1901" spans="14:15" x14ac:dyDescent="0.25">
      <c r="N1901" s="765"/>
      <c r="O1901" s="765"/>
    </row>
    <row r="1902" spans="14:15" x14ac:dyDescent="0.25">
      <c r="N1902" s="765"/>
      <c r="O1902" s="765"/>
    </row>
    <row r="1903" spans="14:15" x14ac:dyDescent="0.25">
      <c r="N1903" s="765"/>
      <c r="O1903" s="765"/>
    </row>
    <row r="1904" spans="14:15" x14ac:dyDescent="0.25">
      <c r="N1904" s="765"/>
      <c r="O1904" s="765"/>
    </row>
    <row r="1905" spans="14:15" x14ac:dyDescent="0.25">
      <c r="N1905" s="765"/>
      <c r="O1905" s="765"/>
    </row>
    <row r="1906" spans="14:15" x14ac:dyDescent="0.25">
      <c r="N1906" s="765"/>
      <c r="O1906" s="765"/>
    </row>
    <row r="1907" spans="14:15" x14ac:dyDescent="0.25">
      <c r="N1907" s="765"/>
      <c r="O1907" s="765"/>
    </row>
    <row r="1908" spans="14:15" x14ac:dyDescent="0.25">
      <c r="N1908" s="765"/>
      <c r="O1908" s="765"/>
    </row>
    <row r="1909" spans="14:15" x14ac:dyDescent="0.25">
      <c r="N1909" s="765"/>
      <c r="O1909" s="765"/>
    </row>
    <row r="1910" spans="14:15" x14ac:dyDescent="0.25">
      <c r="N1910" s="765"/>
      <c r="O1910" s="765"/>
    </row>
    <row r="1911" spans="14:15" x14ac:dyDescent="0.25">
      <c r="N1911" s="765"/>
      <c r="O1911" s="765"/>
    </row>
    <row r="1912" spans="14:15" x14ac:dyDescent="0.25">
      <c r="N1912" s="765"/>
      <c r="O1912" s="765"/>
    </row>
    <row r="1913" spans="14:15" x14ac:dyDescent="0.25">
      <c r="N1913" s="765"/>
      <c r="O1913" s="765"/>
    </row>
    <row r="1914" spans="14:15" x14ac:dyDescent="0.25">
      <c r="N1914" s="765"/>
      <c r="O1914" s="765"/>
    </row>
    <row r="1915" spans="14:15" x14ac:dyDescent="0.25">
      <c r="N1915" s="765"/>
      <c r="O1915" s="765"/>
    </row>
    <row r="1916" spans="14:15" x14ac:dyDescent="0.25">
      <c r="N1916" s="765"/>
      <c r="O1916" s="765"/>
    </row>
    <row r="1917" spans="14:15" x14ac:dyDescent="0.25">
      <c r="N1917" s="765"/>
      <c r="O1917" s="765"/>
    </row>
    <row r="1918" spans="14:15" x14ac:dyDescent="0.25">
      <c r="N1918" s="765"/>
      <c r="O1918" s="765"/>
    </row>
    <row r="1919" spans="14:15" x14ac:dyDescent="0.25">
      <c r="N1919" s="765"/>
      <c r="O1919" s="765"/>
    </row>
    <row r="1920" spans="14:15" x14ac:dyDescent="0.25">
      <c r="N1920" s="765"/>
      <c r="O1920" s="765"/>
    </row>
    <row r="1921" spans="14:15" x14ac:dyDescent="0.25">
      <c r="N1921" s="765"/>
      <c r="O1921" s="765"/>
    </row>
    <row r="1922" spans="14:15" x14ac:dyDescent="0.25">
      <c r="N1922" s="765"/>
      <c r="O1922" s="765"/>
    </row>
    <row r="1923" spans="14:15" x14ac:dyDescent="0.25">
      <c r="N1923" s="765"/>
      <c r="O1923" s="765"/>
    </row>
    <row r="1924" spans="14:15" x14ac:dyDescent="0.25">
      <c r="N1924" s="765"/>
      <c r="O1924" s="765"/>
    </row>
    <row r="1925" spans="14:15" x14ac:dyDescent="0.25">
      <c r="N1925" s="765"/>
      <c r="O1925" s="765"/>
    </row>
    <row r="1926" spans="14:15" x14ac:dyDescent="0.25">
      <c r="N1926" s="765"/>
      <c r="O1926" s="765"/>
    </row>
    <row r="1927" spans="14:15" x14ac:dyDescent="0.25">
      <c r="N1927" s="765"/>
      <c r="O1927" s="765"/>
    </row>
    <row r="1928" spans="14:15" x14ac:dyDescent="0.25">
      <c r="N1928" s="765"/>
      <c r="O1928" s="765"/>
    </row>
    <row r="1929" spans="14:15" x14ac:dyDescent="0.25">
      <c r="N1929" s="765"/>
      <c r="O1929" s="765"/>
    </row>
    <row r="1930" spans="14:15" x14ac:dyDescent="0.25">
      <c r="N1930" s="765"/>
      <c r="O1930" s="765"/>
    </row>
    <row r="1931" spans="14:15" x14ac:dyDescent="0.25">
      <c r="N1931" s="765"/>
      <c r="O1931" s="765"/>
    </row>
    <row r="1932" spans="14:15" x14ac:dyDescent="0.25">
      <c r="N1932" s="765"/>
      <c r="O1932" s="765"/>
    </row>
    <row r="1933" spans="14:15" x14ac:dyDescent="0.25">
      <c r="N1933" s="765"/>
      <c r="O1933" s="765"/>
    </row>
    <row r="1934" spans="14:15" x14ac:dyDescent="0.25">
      <c r="N1934" s="765"/>
      <c r="O1934" s="765"/>
    </row>
    <row r="1935" spans="14:15" x14ac:dyDescent="0.25">
      <c r="N1935" s="765"/>
      <c r="O1935" s="765"/>
    </row>
    <row r="1936" spans="14:15" x14ac:dyDescent="0.25">
      <c r="N1936" s="765"/>
      <c r="O1936" s="765"/>
    </row>
    <row r="1937" spans="14:15" x14ac:dyDescent="0.25">
      <c r="N1937" s="765"/>
      <c r="O1937" s="765"/>
    </row>
    <row r="1938" spans="14:15" x14ac:dyDescent="0.25">
      <c r="N1938" s="765"/>
      <c r="O1938" s="765"/>
    </row>
    <row r="1939" spans="14:15" x14ac:dyDescent="0.25">
      <c r="N1939" s="765"/>
      <c r="O1939" s="765"/>
    </row>
    <row r="1940" spans="14:15" x14ac:dyDescent="0.25">
      <c r="N1940" s="765"/>
      <c r="O1940" s="765"/>
    </row>
    <row r="1941" spans="14:15" x14ac:dyDescent="0.25">
      <c r="N1941" s="765"/>
      <c r="O1941" s="765"/>
    </row>
    <row r="1942" spans="14:15" x14ac:dyDescent="0.25">
      <c r="N1942" s="765"/>
      <c r="O1942" s="765"/>
    </row>
    <row r="1943" spans="14:15" x14ac:dyDescent="0.25">
      <c r="N1943" s="765"/>
      <c r="O1943" s="765"/>
    </row>
    <row r="1944" spans="14:15" x14ac:dyDescent="0.25">
      <c r="N1944" s="765"/>
      <c r="O1944" s="765"/>
    </row>
    <row r="1945" spans="14:15" x14ac:dyDescent="0.25">
      <c r="N1945" s="765"/>
      <c r="O1945" s="765"/>
    </row>
    <row r="1946" spans="14:15" x14ac:dyDescent="0.25">
      <c r="N1946" s="765"/>
      <c r="O1946" s="765"/>
    </row>
    <row r="1947" spans="14:15" x14ac:dyDescent="0.25">
      <c r="N1947" s="765"/>
      <c r="O1947" s="765"/>
    </row>
    <row r="1948" spans="14:15" x14ac:dyDescent="0.25">
      <c r="N1948" s="765"/>
      <c r="O1948" s="765"/>
    </row>
    <row r="1949" spans="14:15" x14ac:dyDescent="0.25">
      <c r="N1949" s="765"/>
      <c r="O1949" s="765"/>
    </row>
    <row r="1950" spans="14:15" x14ac:dyDescent="0.25">
      <c r="N1950" s="765"/>
      <c r="O1950" s="765"/>
    </row>
    <row r="1951" spans="14:15" x14ac:dyDescent="0.25">
      <c r="N1951" s="765"/>
      <c r="O1951" s="765"/>
    </row>
    <row r="1952" spans="14:15" x14ac:dyDescent="0.25">
      <c r="N1952" s="765"/>
      <c r="O1952" s="765"/>
    </row>
    <row r="1953" spans="14:15" x14ac:dyDescent="0.25">
      <c r="N1953" s="765"/>
      <c r="O1953" s="765"/>
    </row>
    <row r="1954" spans="14:15" x14ac:dyDescent="0.25">
      <c r="N1954" s="765"/>
      <c r="O1954" s="765"/>
    </row>
    <row r="1955" spans="14:15" x14ac:dyDescent="0.25">
      <c r="N1955" s="765"/>
      <c r="O1955" s="765"/>
    </row>
    <row r="1956" spans="14:15" x14ac:dyDescent="0.25">
      <c r="N1956" s="765"/>
      <c r="O1956" s="765"/>
    </row>
    <row r="1957" spans="14:15" x14ac:dyDescent="0.25">
      <c r="N1957" s="765"/>
      <c r="O1957" s="765"/>
    </row>
    <row r="1958" spans="14:15" x14ac:dyDescent="0.25">
      <c r="N1958" s="765"/>
      <c r="O1958" s="765"/>
    </row>
    <row r="1959" spans="14:15" x14ac:dyDescent="0.25">
      <c r="N1959" s="765"/>
      <c r="O1959" s="765"/>
    </row>
    <row r="1960" spans="14:15" x14ac:dyDescent="0.25">
      <c r="N1960" s="765"/>
      <c r="O1960" s="765"/>
    </row>
    <row r="1961" spans="14:15" x14ac:dyDescent="0.25">
      <c r="N1961" s="765"/>
      <c r="O1961" s="765"/>
    </row>
    <row r="1962" spans="14:15" x14ac:dyDescent="0.25">
      <c r="N1962" s="765"/>
      <c r="O1962" s="765"/>
    </row>
    <row r="1963" spans="14:15" x14ac:dyDescent="0.25">
      <c r="N1963" s="765"/>
      <c r="O1963" s="765"/>
    </row>
    <row r="1964" spans="14:15" x14ac:dyDescent="0.25">
      <c r="N1964" s="765"/>
      <c r="O1964" s="765"/>
    </row>
    <row r="1965" spans="14:15" x14ac:dyDescent="0.25">
      <c r="N1965" s="765"/>
      <c r="O1965" s="765"/>
    </row>
    <row r="1966" spans="14:15" x14ac:dyDescent="0.25">
      <c r="N1966" s="765"/>
      <c r="O1966" s="765"/>
    </row>
    <row r="1967" spans="14:15" x14ac:dyDescent="0.25">
      <c r="N1967" s="765"/>
      <c r="O1967" s="765"/>
    </row>
    <row r="1968" spans="14:15" x14ac:dyDescent="0.25">
      <c r="N1968" s="765"/>
      <c r="O1968" s="765"/>
    </row>
    <row r="1969" spans="14:15" x14ac:dyDescent="0.25">
      <c r="N1969" s="765"/>
      <c r="O1969" s="765"/>
    </row>
    <row r="1970" spans="14:15" x14ac:dyDescent="0.25">
      <c r="N1970" s="765"/>
      <c r="O1970" s="765"/>
    </row>
    <row r="1971" spans="14:15" x14ac:dyDescent="0.25">
      <c r="N1971" s="765"/>
      <c r="O1971" s="765"/>
    </row>
    <row r="1972" spans="14:15" x14ac:dyDescent="0.25">
      <c r="N1972" s="765"/>
      <c r="O1972" s="765"/>
    </row>
    <row r="1973" spans="14:15" x14ac:dyDescent="0.25">
      <c r="N1973" s="765"/>
      <c r="O1973" s="765"/>
    </row>
    <row r="1974" spans="14:15" x14ac:dyDescent="0.25">
      <c r="N1974" s="765"/>
      <c r="O1974" s="765"/>
    </row>
    <row r="1975" spans="14:15" x14ac:dyDescent="0.25">
      <c r="N1975" s="765"/>
      <c r="O1975" s="765"/>
    </row>
    <row r="1976" spans="14:15" x14ac:dyDescent="0.25">
      <c r="N1976" s="765"/>
      <c r="O1976" s="765"/>
    </row>
    <row r="1977" spans="14:15" x14ac:dyDescent="0.25">
      <c r="N1977" s="765"/>
      <c r="O1977" s="765"/>
    </row>
    <row r="1978" spans="14:15" x14ac:dyDescent="0.25">
      <c r="N1978" s="765"/>
      <c r="O1978" s="765"/>
    </row>
    <row r="1979" spans="14:15" x14ac:dyDescent="0.25">
      <c r="N1979" s="765"/>
      <c r="O1979" s="765"/>
    </row>
    <row r="1980" spans="14:15" x14ac:dyDescent="0.25">
      <c r="N1980" s="765"/>
      <c r="O1980" s="765"/>
    </row>
    <row r="1981" spans="14:15" x14ac:dyDescent="0.25">
      <c r="N1981" s="765"/>
      <c r="O1981" s="765"/>
    </row>
    <row r="1982" spans="14:15" x14ac:dyDescent="0.25">
      <c r="N1982" s="765"/>
      <c r="O1982" s="765"/>
    </row>
    <row r="1983" spans="14:15" x14ac:dyDescent="0.25">
      <c r="N1983" s="765"/>
      <c r="O1983" s="765"/>
    </row>
    <row r="1984" spans="14:15" x14ac:dyDescent="0.25">
      <c r="N1984" s="765"/>
      <c r="O1984" s="765"/>
    </row>
    <row r="1985" spans="14:15" x14ac:dyDescent="0.25">
      <c r="N1985" s="765"/>
      <c r="O1985" s="765"/>
    </row>
    <row r="1986" spans="14:15" x14ac:dyDescent="0.25">
      <c r="N1986" s="765"/>
      <c r="O1986" s="765"/>
    </row>
    <row r="1987" spans="14:15" x14ac:dyDescent="0.25">
      <c r="N1987" s="765"/>
      <c r="O1987" s="765"/>
    </row>
    <row r="1988" spans="14:15" x14ac:dyDescent="0.25">
      <c r="N1988" s="765"/>
      <c r="O1988" s="765"/>
    </row>
    <row r="1989" spans="14:15" x14ac:dyDescent="0.25">
      <c r="N1989" s="765"/>
      <c r="O1989" s="765"/>
    </row>
    <row r="1990" spans="14:15" x14ac:dyDescent="0.25">
      <c r="N1990" s="765"/>
      <c r="O1990" s="765"/>
    </row>
    <row r="1991" spans="14:15" x14ac:dyDescent="0.25">
      <c r="N1991" s="765"/>
      <c r="O1991" s="765"/>
    </row>
    <row r="1992" spans="14:15" x14ac:dyDescent="0.25">
      <c r="N1992" s="765"/>
      <c r="O1992" s="765"/>
    </row>
    <row r="1993" spans="14:15" x14ac:dyDescent="0.25">
      <c r="N1993" s="765"/>
      <c r="O1993" s="765"/>
    </row>
    <row r="1994" spans="14:15" x14ac:dyDescent="0.25">
      <c r="N1994" s="765"/>
      <c r="O1994" s="765"/>
    </row>
    <row r="1995" spans="14:15" x14ac:dyDescent="0.25">
      <c r="N1995" s="765"/>
      <c r="O1995" s="765"/>
    </row>
    <row r="1996" spans="14:15" x14ac:dyDescent="0.25">
      <c r="N1996" s="765"/>
      <c r="O1996" s="765"/>
    </row>
    <row r="1997" spans="14:15" x14ac:dyDescent="0.25">
      <c r="N1997" s="765"/>
      <c r="O1997" s="765"/>
    </row>
    <row r="1998" spans="14:15" x14ac:dyDescent="0.25">
      <c r="N1998" s="765"/>
      <c r="O1998" s="765"/>
    </row>
    <row r="1999" spans="14:15" x14ac:dyDescent="0.25">
      <c r="N1999" s="765"/>
      <c r="O1999" s="765"/>
    </row>
    <row r="2000" spans="14:15" x14ac:dyDescent="0.25">
      <c r="N2000" s="765"/>
      <c r="O2000" s="765"/>
    </row>
    <row r="2001" spans="14:15" x14ac:dyDescent="0.25">
      <c r="N2001" s="765"/>
      <c r="O2001" s="765"/>
    </row>
    <row r="2002" spans="14:15" x14ac:dyDescent="0.25">
      <c r="N2002" s="765"/>
      <c r="O2002" s="765"/>
    </row>
    <row r="2003" spans="14:15" x14ac:dyDescent="0.25">
      <c r="N2003" s="765"/>
      <c r="O2003" s="765"/>
    </row>
    <row r="2004" spans="14:15" x14ac:dyDescent="0.25">
      <c r="N2004" s="765"/>
      <c r="O2004" s="765"/>
    </row>
    <row r="2005" spans="14:15" x14ac:dyDescent="0.25">
      <c r="N2005" s="765"/>
      <c r="O2005" s="765"/>
    </row>
    <row r="2006" spans="14:15" x14ac:dyDescent="0.25">
      <c r="N2006" s="765"/>
      <c r="O2006" s="765"/>
    </row>
    <row r="2007" spans="14:15" x14ac:dyDescent="0.25">
      <c r="N2007" s="765"/>
      <c r="O2007" s="765"/>
    </row>
    <row r="2008" spans="14:15" x14ac:dyDescent="0.25">
      <c r="N2008" s="765"/>
      <c r="O2008" s="765"/>
    </row>
    <row r="2009" spans="14:15" x14ac:dyDescent="0.25">
      <c r="N2009" s="765"/>
      <c r="O2009" s="765"/>
    </row>
    <row r="2010" spans="14:15" x14ac:dyDescent="0.25">
      <c r="N2010" s="765"/>
      <c r="O2010" s="765"/>
    </row>
    <row r="2011" spans="14:15" x14ac:dyDescent="0.25">
      <c r="N2011" s="765"/>
      <c r="O2011" s="765"/>
    </row>
    <row r="2012" spans="14:15" x14ac:dyDescent="0.25">
      <c r="N2012" s="765"/>
      <c r="O2012" s="765"/>
    </row>
    <row r="2013" spans="14:15" x14ac:dyDescent="0.25">
      <c r="N2013" s="765"/>
      <c r="O2013" s="765"/>
    </row>
    <row r="2014" spans="14:15" x14ac:dyDescent="0.25">
      <c r="N2014" s="765"/>
      <c r="O2014" s="765"/>
    </row>
    <row r="2015" spans="14:15" x14ac:dyDescent="0.25">
      <c r="N2015" s="765"/>
      <c r="O2015" s="765"/>
    </row>
    <row r="2016" spans="14:15" x14ac:dyDescent="0.25">
      <c r="N2016" s="765"/>
      <c r="O2016" s="765"/>
    </row>
    <row r="2017" spans="14:15" x14ac:dyDescent="0.25">
      <c r="N2017" s="765"/>
      <c r="O2017" s="765"/>
    </row>
    <row r="2018" spans="14:15" x14ac:dyDescent="0.25">
      <c r="N2018" s="765"/>
      <c r="O2018" s="765"/>
    </row>
    <row r="2019" spans="14:15" x14ac:dyDescent="0.25">
      <c r="N2019" s="765"/>
      <c r="O2019" s="765"/>
    </row>
    <row r="2020" spans="14:15" x14ac:dyDescent="0.25">
      <c r="N2020" s="765"/>
      <c r="O2020" s="765"/>
    </row>
    <row r="2021" spans="14:15" x14ac:dyDescent="0.25">
      <c r="N2021" s="765"/>
      <c r="O2021" s="765"/>
    </row>
    <row r="2022" spans="14:15" x14ac:dyDescent="0.25">
      <c r="N2022" s="765"/>
      <c r="O2022" s="765"/>
    </row>
    <row r="2023" spans="14:15" x14ac:dyDescent="0.25">
      <c r="N2023" s="765"/>
      <c r="O2023" s="765"/>
    </row>
    <row r="2024" spans="14:15" x14ac:dyDescent="0.25">
      <c r="N2024" s="765"/>
      <c r="O2024" s="765"/>
    </row>
    <row r="2025" spans="14:15" x14ac:dyDescent="0.25">
      <c r="N2025" s="765"/>
      <c r="O2025" s="765"/>
    </row>
    <row r="2026" spans="14:15" x14ac:dyDescent="0.25">
      <c r="N2026" s="765"/>
      <c r="O2026" s="765"/>
    </row>
    <row r="2027" spans="14:15" x14ac:dyDescent="0.25">
      <c r="N2027" s="765"/>
      <c r="O2027" s="765"/>
    </row>
    <row r="2028" spans="14:15" x14ac:dyDescent="0.25">
      <c r="N2028" s="765"/>
      <c r="O2028" s="765"/>
    </row>
    <row r="2029" spans="14:15" x14ac:dyDescent="0.25">
      <c r="N2029" s="765"/>
      <c r="O2029" s="765"/>
    </row>
    <row r="2030" spans="14:15" x14ac:dyDescent="0.25">
      <c r="N2030" s="765"/>
      <c r="O2030" s="765"/>
    </row>
    <row r="2031" spans="14:15" x14ac:dyDescent="0.25">
      <c r="N2031" s="765"/>
      <c r="O2031" s="765"/>
    </row>
    <row r="2032" spans="14:15" x14ac:dyDescent="0.25">
      <c r="N2032" s="765"/>
      <c r="O2032" s="765"/>
    </row>
    <row r="2033" spans="14:15" x14ac:dyDescent="0.25">
      <c r="N2033" s="765"/>
      <c r="O2033" s="765"/>
    </row>
    <row r="2034" spans="14:15" x14ac:dyDescent="0.25">
      <c r="N2034" s="765"/>
      <c r="O2034" s="765"/>
    </row>
    <row r="2035" spans="14:15" x14ac:dyDescent="0.25">
      <c r="N2035" s="765"/>
      <c r="O2035" s="765"/>
    </row>
    <row r="2036" spans="14:15" x14ac:dyDescent="0.25">
      <c r="N2036" s="765"/>
      <c r="O2036" s="765"/>
    </row>
    <row r="2037" spans="14:15" x14ac:dyDescent="0.25">
      <c r="N2037" s="765"/>
      <c r="O2037" s="765"/>
    </row>
    <row r="2038" spans="14:15" x14ac:dyDescent="0.25">
      <c r="N2038" s="765"/>
      <c r="O2038" s="765"/>
    </row>
    <row r="2039" spans="14:15" x14ac:dyDescent="0.25">
      <c r="N2039" s="765"/>
      <c r="O2039" s="765"/>
    </row>
    <row r="2040" spans="14:15" x14ac:dyDescent="0.25">
      <c r="N2040" s="765"/>
      <c r="O2040" s="765"/>
    </row>
    <row r="2041" spans="14:15" x14ac:dyDescent="0.25">
      <c r="N2041" s="765"/>
      <c r="O2041" s="765"/>
    </row>
    <row r="2042" spans="14:15" x14ac:dyDescent="0.25">
      <c r="N2042" s="765"/>
      <c r="O2042" s="765"/>
    </row>
    <row r="2043" spans="14:15" x14ac:dyDescent="0.25">
      <c r="N2043" s="765"/>
      <c r="O2043" s="765"/>
    </row>
    <row r="2044" spans="14:15" x14ac:dyDescent="0.25">
      <c r="N2044" s="765"/>
      <c r="O2044" s="765"/>
    </row>
    <row r="2045" spans="14:15" x14ac:dyDescent="0.25">
      <c r="N2045" s="765"/>
      <c r="O2045" s="765"/>
    </row>
    <row r="2046" spans="14:15" x14ac:dyDescent="0.25">
      <c r="N2046" s="765"/>
      <c r="O2046" s="765"/>
    </row>
    <row r="2047" spans="14:15" x14ac:dyDescent="0.25">
      <c r="N2047" s="765"/>
      <c r="O2047" s="765"/>
    </row>
    <row r="2048" spans="14:15" x14ac:dyDescent="0.25">
      <c r="N2048" s="765"/>
      <c r="O2048" s="765"/>
    </row>
    <row r="2049" spans="14:15" x14ac:dyDescent="0.25">
      <c r="N2049" s="765"/>
      <c r="O2049" s="765"/>
    </row>
    <row r="2050" spans="14:15" x14ac:dyDescent="0.25">
      <c r="N2050" s="765"/>
      <c r="O2050" s="765"/>
    </row>
    <row r="2051" spans="14:15" x14ac:dyDescent="0.25">
      <c r="N2051" s="765"/>
      <c r="O2051" s="765"/>
    </row>
    <row r="2052" spans="14:15" x14ac:dyDescent="0.25">
      <c r="N2052" s="765"/>
      <c r="O2052" s="765"/>
    </row>
    <row r="2053" spans="14:15" x14ac:dyDescent="0.25">
      <c r="N2053" s="765"/>
      <c r="O2053" s="765"/>
    </row>
    <row r="2054" spans="14:15" x14ac:dyDescent="0.25">
      <c r="N2054" s="765"/>
      <c r="O2054" s="765"/>
    </row>
    <row r="2055" spans="14:15" x14ac:dyDescent="0.25">
      <c r="N2055" s="765"/>
      <c r="O2055" s="765"/>
    </row>
    <row r="2056" spans="14:15" x14ac:dyDescent="0.25">
      <c r="N2056" s="765"/>
      <c r="O2056" s="765"/>
    </row>
    <row r="2057" spans="14:15" x14ac:dyDescent="0.25">
      <c r="N2057" s="765"/>
      <c r="O2057" s="765"/>
    </row>
    <row r="2058" spans="14:15" x14ac:dyDescent="0.25">
      <c r="N2058" s="765"/>
      <c r="O2058" s="765"/>
    </row>
    <row r="2059" spans="14:15" x14ac:dyDescent="0.25">
      <c r="N2059" s="765"/>
      <c r="O2059" s="765"/>
    </row>
    <row r="2060" spans="14:15" x14ac:dyDescent="0.25">
      <c r="N2060" s="765"/>
      <c r="O2060" s="765"/>
    </row>
    <row r="2061" spans="14:15" x14ac:dyDescent="0.25">
      <c r="N2061" s="765"/>
      <c r="O2061" s="765"/>
    </row>
    <row r="2062" spans="14:15" x14ac:dyDescent="0.25">
      <c r="N2062" s="765"/>
      <c r="O2062" s="765"/>
    </row>
    <row r="2063" spans="14:15" x14ac:dyDescent="0.25">
      <c r="N2063" s="765"/>
      <c r="O2063" s="765"/>
    </row>
    <row r="2064" spans="14:15" x14ac:dyDescent="0.25">
      <c r="N2064" s="765"/>
      <c r="O2064" s="765"/>
    </row>
    <row r="2065" spans="14:15" x14ac:dyDescent="0.25">
      <c r="N2065" s="765"/>
      <c r="O2065" s="765"/>
    </row>
    <row r="2066" spans="14:15" x14ac:dyDescent="0.25">
      <c r="N2066" s="765"/>
      <c r="O2066" s="765"/>
    </row>
    <row r="2067" spans="14:15" x14ac:dyDescent="0.25">
      <c r="N2067" s="765"/>
      <c r="O2067" s="765"/>
    </row>
    <row r="2068" spans="14:15" x14ac:dyDescent="0.25">
      <c r="N2068" s="765"/>
      <c r="O2068" s="765"/>
    </row>
    <row r="2069" spans="14:15" x14ac:dyDescent="0.25">
      <c r="N2069" s="765"/>
      <c r="O2069" s="765"/>
    </row>
    <row r="2070" spans="14:15" x14ac:dyDescent="0.25">
      <c r="N2070" s="765"/>
      <c r="O2070" s="765"/>
    </row>
    <row r="2071" spans="14:15" x14ac:dyDescent="0.25">
      <c r="N2071" s="765"/>
      <c r="O2071" s="765"/>
    </row>
    <row r="2072" spans="14:15" x14ac:dyDescent="0.25">
      <c r="N2072" s="765"/>
      <c r="O2072" s="765"/>
    </row>
    <row r="2073" spans="14:15" x14ac:dyDescent="0.25">
      <c r="N2073" s="765"/>
      <c r="O2073" s="765"/>
    </row>
    <row r="2074" spans="14:15" x14ac:dyDescent="0.25">
      <c r="N2074" s="765"/>
      <c r="O2074" s="765"/>
    </row>
    <row r="2075" spans="14:15" x14ac:dyDescent="0.25">
      <c r="N2075" s="765"/>
      <c r="O2075" s="765"/>
    </row>
    <row r="2076" spans="14:15" x14ac:dyDescent="0.25">
      <c r="N2076" s="765"/>
      <c r="O2076" s="765"/>
    </row>
    <row r="2077" spans="14:15" x14ac:dyDescent="0.25">
      <c r="N2077" s="765"/>
      <c r="O2077" s="765"/>
    </row>
    <row r="2078" spans="14:15" x14ac:dyDescent="0.25">
      <c r="N2078" s="765"/>
      <c r="O2078" s="765"/>
    </row>
    <row r="2079" spans="14:15" x14ac:dyDescent="0.25">
      <c r="N2079" s="765"/>
      <c r="O2079" s="765"/>
    </row>
    <row r="2080" spans="14:15" x14ac:dyDescent="0.25">
      <c r="N2080" s="765"/>
      <c r="O2080" s="765"/>
    </row>
    <row r="2081" spans="14:15" x14ac:dyDescent="0.25">
      <c r="N2081" s="765"/>
      <c r="O2081" s="765"/>
    </row>
    <row r="2082" spans="14:15" x14ac:dyDescent="0.25">
      <c r="N2082" s="765"/>
      <c r="O2082" s="765"/>
    </row>
    <row r="2083" spans="14:15" x14ac:dyDescent="0.25">
      <c r="N2083" s="765"/>
      <c r="O2083" s="765"/>
    </row>
    <row r="2084" spans="14:15" x14ac:dyDescent="0.25">
      <c r="N2084" s="765"/>
      <c r="O2084" s="765"/>
    </row>
    <row r="2085" spans="14:15" x14ac:dyDescent="0.25">
      <c r="N2085" s="765"/>
      <c r="O2085" s="765"/>
    </row>
    <row r="2086" spans="14:15" x14ac:dyDescent="0.25">
      <c r="N2086" s="765"/>
      <c r="O2086" s="765"/>
    </row>
    <row r="2087" spans="14:15" x14ac:dyDescent="0.25">
      <c r="N2087" s="765"/>
      <c r="O2087" s="765"/>
    </row>
    <row r="2088" spans="14:15" x14ac:dyDescent="0.25">
      <c r="N2088" s="765"/>
      <c r="O2088" s="765"/>
    </row>
    <row r="2089" spans="14:15" x14ac:dyDescent="0.25">
      <c r="N2089" s="765"/>
      <c r="O2089" s="765"/>
    </row>
    <row r="2090" spans="14:15" x14ac:dyDescent="0.25">
      <c r="N2090" s="765"/>
      <c r="O2090" s="765"/>
    </row>
    <row r="2091" spans="14:15" x14ac:dyDescent="0.25">
      <c r="N2091" s="765"/>
      <c r="O2091" s="765"/>
    </row>
    <row r="2092" spans="14:15" x14ac:dyDescent="0.25">
      <c r="N2092" s="765"/>
      <c r="O2092" s="765"/>
    </row>
    <row r="2093" spans="14:15" x14ac:dyDescent="0.25">
      <c r="N2093" s="765"/>
      <c r="O2093" s="765"/>
    </row>
    <row r="2094" spans="14:15" x14ac:dyDescent="0.25">
      <c r="N2094" s="765"/>
      <c r="O2094" s="765"/>
    </row>
    <row r="2095" spans="14:15" x14ac:dyDescent="0.25">
      <c r="N2095" s="765"/>
      <c r="O2095" s="765"/>
    </row>
    <row r="2096" spans="14:15" x14ac:dyDescent="0.25">
      <c r="N2096" s="765"/>
      <c r="O2096" s="765"/>
    </row>
    <row r="2097" spans="14:15" x14ac:dyDescent="0.25">
      <c r="N2097" s="765"/>
      <c r="O2097" s="765"/>
    </row>
    <row r="2098" spans="14:15" x14ac:dyDescent="0.25">
      <c r="N2098" s="765"/>
      <c r="O2098" s="765"/>
    </row>
    <row r="2099" spans="14:15" x14ac:dyDescent="0.25">
      <c r="N2099" s="765"/>
      <c r="O2099" s="765"/>
    </row>
    <row r="2100" spans="14:15" x14ac:dyDescent="0.25">
      <c r="N2100" s="765"/>
      <c r="O2100" s="765"/>
    </row>
    <row r="2101" spans="14:15" x14ac:dyDescent="0.25">
      <c r="N2101" s="765"/>
      <c r="O2101" s="765"/>
    </row>
    <row r="2102" spans="14:15" x14ac:dyDescent="0.25">
      <c r="N2102" s="765"/>
      <c r="O2102" s="765"/>
    </row>
    <row r="2103" spans="14:15" x14ac:dyDescent="0.25">
      <c r="N2103" s="765"/>
      <c r="O2103" s="765"/>
    </row>
    <row r="2104" spans="14:15" x14ac:dyDescent="0.25">
      <c r="N2104" s="765"/>
      <c r="O2104" s="765"/>
    </row>
    <row r="2105" spans="14:15" x14ac:dyDescent="0.25">
      <c r="N2105" s="765"/>
      <c r="O2105" s="765"/>
    </row>
    <row r="2106" spans="14:15" x14ac:dyDescent="0.25">
      <c r="N2106" s="765"/>
      <c r="O2106" s="765"/>
    </row>
    <row r="2107" spans="14:15" x14ac:dyDescent="0.25">
      <c r="N2107" s="765"/>
      <c r="O2107" s="765"/>
    </row>
    <row r="2108" spans="14:15" x14ac:dyDescent="0.25">
      <c r="N2108" s="765"/>
      <c r="O2108" s="765"/>
    </row>
    <row r="2109" spans="14:15" x14ac:dyDescent="0.25">
      <c r="N2109" s="765"/>
      <c r="O2109" s="765"/>
    </row>
    <row r="2110" spans="14:15" x14ac:dyDescent="0.25">
      <c r="N2110" s="765"/>
      <c r="O2110" s="765"/>
    </row>
    <row r="2111" spans="14:15" x14ac:dyDescent="0.25">
      <c r="N2111" s="765"/>
      <c r="O2111" s="765"/>
    </row>
    <row r="2112" spans="14:15" x14ac:dyDescent="0.25">
      <c r="N2112" s="765"/>
      <c r="O2112" s="765"/>
    </row>
    <row r="2113" spans="14:15" x14ac:dyDescent="0.25">
      <c r="N2113" s="765"/>
      <c r="O2113" s="765"/>
    </row>
    <row r="2114" spans="14:15" x14ac:dyDescent="0.25">
      <c r="N2114" s="765"/>
      <c r="O2114" s="765"/>
    </row>
    <row r="2115" spans="14:15" x14ac:dyDescent="0.25">
      <c r="N2115" s="765"/>
      <c r="O2115" s="765"/>
    </row>
    <row r="2116" spans="14:15" x14ac:dyDescent="0.25">
      <c r="N2116" s="765"/>
      <c r="O2116" s="765"/>
    </row>
    <row r="2117" spans="14:15" x14ac:dyDescent="0.25">
      <c r="N2117" s="765"/>
      <c r="O2117" s="765"/>
    </row>
    <row r="2118" spans="14:15" x14ac:dyDescent="0.25">
      <c r="N2118" s="765"/>
      <c r="O2118" s="765"/>
    </row>
    <row r="2119" spans="14:15" x14ac:dyDescent="0.25">
      <c r="N2119" s="765"/>
      <c r="O2119" s="765"/>
    </row>
    <row r="2120" spans="14:15" x14ac:dyDescent="0.25">
      <c r="N2120" s="765"/>
      <c r="O2120" s="765"/>
    </row>
    <row r="2121" spans="14:15" x14ac:dyDescent="0.25">
      <c r="N2121" s="765"/>
      <c r="O2121" s="765"/>
    </row>
    <row r="2122" spans="14:15" x14ac:dyDescent="0.25">
      <c r="N2122" s="765"/>
      <c r="O2122" s="765"/>
    </row>
    <row r="2123" spans="14:15" x14ac:dyDescent="0.25">
      <c r="N2123" s="765"/>
      <c r="O2123" s="765"/>
    </row>
    <row r="2124" spans="14:15" x14ac:dyDescent="0.25">
      <c r="N2124" s="765"/>
      <c r="O2124" s="765"/>
    </row>
    <row r="2125" spans="14:15" x14ac:dyDescent="0.25">
      <c r="N2125" s="765"/>
      <c r="O2125" s="765"/>
    </row>
    <row r="2126" spans="14:15" x14ac:dyDescent="0.25">
      <c r="N2126" s="765"/>
      <c r="O2126" s="765"/>
    </row>
    <row r="2127" spans="14:15" x14ac:dyDescent="0.25">
      <c r="N2127" s="765"/>
      <c r="O2127" s="765"/>
    </row>
    <row r="2128" spans="14:15" x14ac:dyDescent="0.25">
      <c r="N2128" s="765"/>
      <c r="O2128" s="765"/>
    </row>
    <row r="2129" spans="14:15" x14ac:dyDescent="0.25">
      <c r="N2129" s="765"/>
      <c r="O2129" s="765"/>
    </row>
    <row r="2130" spans="14:15" x14ac:dyDescent="0.25">
      <c r="N2130" s="765"/>
      <c r="O2130" s="765"/>
    </row>
    <row r="2131" spans="14:15" x14ac:dyDescent="0.25">
      <c r="N2131" s="765"/>
      <c r="O2131" s="765"/>
    </row>
    <row r="2132" spans="14:15" x14ac:dyDescent="0.25">
      <c r="N2132" s="765"/>
      <c r="O2132" s="765"/>
    </row>
    <row r="2133" spans="14:15" x14ac:dyDescent="0.25">
      <c r="N2133" s="765"/>
      <c r="O2133" s="765"/>
    </row>
    <row r="2134" spans="14:15" x14ac:dyDescent="0.25">
      <c r="N2134" s="765"/>
      <c r="O2134" s="765"/>
    </row>
    <row r="2135" spans="14:15" x14ac:dyDescent="0.25">
      <c r="N2135" s="765"/>
      <c r="O2135" s="765"/>
    </row>
    <row r="2136" spans="14:15" x14ac:dyDescent="0.25">
      <c r="N2136" s="765"/>
      <c r="O2136" s="765"/>
    </row>
    <row r="2137" spans="14:15" x14ac:dyDescent="0.25">
      <c r="N2137" s="765"/>
      <c r="O2137" s="765"/>
    </row>
    <row r="2138" spans="14:15" x14ac:dyDescent="0.25">
      <c r="N2138" s="765"/>
      <c r="O2138" s="765"/>
    </row>
    <row r="2139" spans="14:15" x14ac:dyDescent="0.25">
      <c r="N2139" s="765"/>
      <c r="O2139" s="765"/>
    </row>
    <row r="2140" spans="14:15" x14ac:dyDescent="0.25">
      <c r="N2140" s="765"/>
      <c r="O2140" s="765"/>
    </row>
    <row r="2141" spans="14:15" x14ac:dyDescent="0.25">
      <c r="N2141" s="765"/>
      <c r="O2141" s="765"/>
    </row>
    <row r="2142" spans="14:15" x14ac:dyDescent="0.25">
      <c r="N2142" s="765"/>
      <c r="O2142" s="765"/>
    </row>
    <row r="2143" spans="14:15" x14ac:dyDescent="0.25">
      <c r="N2143" s="765"/>
      <c r="O2143" s="765"/>
    </row>
    <row r="2144" spans="14:15" x14ac:dyDescent="0.25">
      <c r="N2144" s="765"/>
      <c r="O2144" s="765"/>
    </row>
    <row r="2145" spans="14:15" x14ac:dyDescent="0.25">
      <c r="N2145" s="765"/>
      <c r="O2145" s="765"/>
    </row>
    <row r="2146" spans="14:15" x14ac:dyDescent="0.25">
      <c r="N2146" s="765"/>
      <c r="O2146" s="765"/>
    </row>
    <row r="2147" spans="14:15" x14ac:dyDescent="0.25">
      <c r="N2147" s="765"/>
      <c r="O2147" s="765"/>
    </row>
    <row r="2148" spans="14:15" x14ac:dyDescent="0.25">
      <c r="N2148" s="765"/>
      <c r="O2148" s="765"/>
    </row>
    <row r="2149" spans="14:15" x14ac:dyDescent="0.25">
      <c r="N2149" s="765"/>
      <c r="O2149" s="765"/>
    </row>
    <row r="2150" spans="14:15" x14ac:dyDescent="0.25">
      <c r="N2150" s="765"/>
      <c r="O2150" s="765"/>
    </row>
    <row r="2151" spans="14:15" x14ac:dyDescent="0.25">
      <c r="N2151" s="765"/>
      <c r="O2151" s="765"/>
    </row>
    <row r="2152" spans="14:15" x14ac:dyDescent="0.25">
      <c r="N2152" s="765"/>
      <c r="O2152" s="765"/>
    </row>
    <row r="2153" spans="14:15" x14ac:dyDescent="0.25">
      <c r="N2153" s="765"/>
      <c r="O2153" s="765"/>
    </row>
    <row r="2154" spans="14:15" x14ac:dyDescent="0.25">
      <c r="N2154" s="765"/>
      <c r="O2154" s="765"/>
    </row>
    <row r="2155" spans="14:15" x14ac:dyDescent="0.25">
      <c r="N2155" s="765"/>
      <c r="O2155" s="765"/>
    </row>
    <row r="2156" spans="14:15" x14ac:dyDescent="0.25">
      <c r="N2156" s="765"/>
      <c r="O2156" s="765"/>
    </row>
    <row r="2157" spans="14:15" x14ac:dyDescent="0.25">
      <c r="N2157" s="765"/>
      <c r="O2157" s="765"/>
    </row>
    <row r="2158" spans="14:15" x14ac:dyDescent="0.25">
      <c r="N2158" s="765"/>
      <c r="O2158" s="765"/>
    </row>
    <row r="2159" spans="14:15" x14ac:dyDescent="0.25">
      <c r="N2159" s="765"/>
      <c r="O2159" s="765"/>
    </row>
    <row r="2160" spans="14:15" x14ac:dyDescent="0.25">
      <c r="N2160" s="765"/>
      <c r="O2160" s="765"/>
    </row>
    <row r="2161" spans="14:15" x14ac:dyDescent="0.25">
      <c r="N2161" s="765"/>
      <c r="O2161" s="765"/>
    </row>
    <row r="2162" spans="14:15" x14ac:dyDescent="0.25">
      <c r="N2162" s="765"/>
      <c r="O2162" s="765"/>
    </row>
    <row r="2163" spans="14:15" x14ac:dyDescent="0.25">
      <c r="N2163" s="765"/>
      <c r="O2163" s="765"/>
    </row>
    <row r="2164" spans="14:15" x14ac:dyDescent="0.25">
      <c r="N2164" s="765"/>
      <c r="O2164" s="765"/>
    </row>
    <row r="2165" spans="14:15" x14ac:dyDescent="0.25">
      <c r="N2165" s="765"/>
      <c r="O2165" s="765"/>
    </row>
    <row r="2166" spans="14:15" x14ac:dyDescent="0.25">
      <c r="N2166" s="765"/>
      <c r="O2166" s="765"/>
    </row>
    <row r="2167" spans="14:15" x14ac:dyDescent="0.25">
      <c r="N2167" s="765"/>
      <c r="O2167" s="765"/>
    </row>
    <row r="2168" spans="14:15" x14ac:dyDescent="0.25">
      <c r="N2168" s="765"/>
      <c r="O2168" s="765"/>
    </row>
    <row r="2169" spans="14:15" x14ac:dyDescent="0.25">
      <c r="N2169" s="765"/>
      <c r="O2169" s="765"/>
    </row>
    <row r="2170" spans="14:15" x14ac:dyDescent="0.25">
      <c r="N2170" s="765"/>
      <c r="O2170" s="765"/>
    </row>
    <row r="2171" spans="14:15" x14ac:dyDescent="0.25">
      <c r="N2171" s="765"/>
      <c r="O2171" s="765"/>
    </row>
    <row r="2172" spans="14:15" x14ac:dyDescent="0.25">
      <c r="N2172" s="765"/>
      <c r="O2172" s="765"/>
    </row>
    <row r="2173" spans="14:15" x14ac:dyDescent="0.25">
      <c r="N2173" s="765"/>
      <c r="O2173" s="765"/>
    </row>
    <row r="2174" spans="14:15" x14ac:dyDescent="0.25">
      <c r="N2174" s="765"/>
      <c r="O2174" s="765"/>
    </row>
    <row r="2175" spans="14:15" x14ac:dyDescent="0.25">
      <c r="N2175" s="765"/>
      <c r="O2175" s="765"/>
    </row>
    <row r="2176" spans="14:15" x14ac:dyDescent="0.25">
      <c r="N2176" s="765"/>
      <c r="O2176" s="765"/>
    </row>
    <row r="2177" spans="14:15" x14ac:dyDescent="0.25">
      <c r="N2177" s="765"/>
      <c r="O2177" s="765"/>
    </row>
    <row r="2178" spans="14:15" x14ac:dyDescent="0.25">
      <c r="N2178" s="765"/>
      <c r="O2178" s="765"/>
    </row>
    <row r="2179" spans="14:15" x14ac:dyDescent="0.25">
      <c r="N2179" s="765"/>
      <c r="O2179" s="765"/>
    </row>
    <row r="2180" spans="14:15" x14ac:dyDescent="0.25">
      <c r="N2180" s="765"/>
      <c r="O2180" s="765"/>
    </row>
    <row r="2181" spans="14:15" x14ac:dyDescent="0.25">
      <c r="N2181" s="765"/>
      <c r="O2181" s="765"/>
    </row>
    <row r="2182" spans="14:15" x14ac:dyDescent="0.25">
      <c r="N2182" s="765"/>
      <c r="O2182" s="765"/>
    </row>
    <row r="2183" spans="14:15" x14ac:dyDescent="0.25">
      <c r="N2183" s="765"/>
      <c r="O2183" s="765"/>
    </row>
    <row r="2184" spans="14:15" x14ac:dyDescent="0.25">
      <c r="N2184" s="765"/>
      <c r="O2184" s="765"/>
    </row>
    <row r="2185" spans="14:15" x14ac:dyDescent="0.25">
      <c r="N2185" s="765"/>
      <c r="O2185" s="765"/>
    </row>
    <row r="2186" spans="14:15" x14ac:dyDescent="0.25">
      <c r="N2186" s="765"/>
      <c r="O2186" s="765"/>
    </row>
    <row r="2187" spans="14:15" x14ac:dyDescent="0.25">
      <c r="N2187" s="765"/>
      <c r="O2187" s="765"/>
    </row>
    <row r="2188" spans="14:15" x14ac:dyDescent="0.25">
      <c r="N2188" s="765"/>
      <c r="O2188" s="765"/>
    </row>
    <row r="2189" spans="14:15" x14ac:dyDescent="0.25">
      <c r="N2189" s="765"/>
      <c r="O2189" s="765"/>
    </row>
    <row r="2190" spans="14:15" x14ac:dyDescent="0.25">
      <c r="N2190" s="765"/>
      <c r="O2190" s="765"/>
    </row>
    <row r="2191" spans="14:15" x14ac:dyDescent="0.25">
      <c r="N2191" s="765"/>
      <c r="O2191" s="765"/>
    </row>
    <row r="2192" spans="14:15" x14ac:dyDescent="0.25">
      <c r="N2192" s="765"/>
      <c r="O2192" s="765"/>
    </row>
    <row r="2193" spans="14:15" x14ac:dyDescent="0.25">
      <c r="N2193" s="765"/>
      <c r="O2193" s="765"/>
    </row>
    <row r="2194" spans="14:15" x14ac:dyDescent="0.25">
      <c r="N2194" s="765"/>
      <c r="O2194" s="765"/>
    </row>
    <row r="2195" spans="14:15" x14ac:dyDescent="0.25">
      <c r="N2195" s="765"/>
      <c r="O2195" s="765"/>
    </row>
    <row r="2196" spans="14:15" x14ac:dyDescent="0.25">
      <c r="N2196" s="765"/>
      <c r="O2196" s="765"/>
    </row>
    <row r="2197" spans="14:15" x14ac:dyDescent="0.25">
      <c r="N2197" s="765"/>
      <c r="O2197" s="765"/>
    </row>
    <row r="2198" spans="14:15" x14ac:dyDescent="0.25">
      <c r="N2198" s="765"/>
      <c r="O2198" s="765"/>
    </row>
    <row r="2199" spans="14:15" x14ac:dyDescent="0.25">
      <c r="N2199" s="765"/>
      <c r="O2199" s="765"/>
    </row>
    <row r="2200" spans="14:15" x14ac:dyDescent="0.25">
      <c r="N2200" s="765"/>
      <c r="O2200" s="765"/>
    </row>
    <row r="2201" spans="14:15" x14ac:dyDescent="0.25">
      <c r="N2201" s="765"/>
      <c r="O2201" s="765"/>
    </row>
    <row r="2202" spans="14:15" x14ac:dyDescent="0.25">
      <c r="N2202" s="765"/>
      <c r="O2202" s="765"/>
    </row>
    <row r="2203" spans="14:15" x14ac:dyDescent="0.25">
      <c r="N2203" s="765"/>
      <c r="O2203" s="765"/>
    </row>
    <row r="2204" spans="14:15" x14ac:dyDescent="0.25">
      <c r="N2204" s="765"/>
      <c r="O2204" s="765"/>
    </row>
    <row r="2205" spans="14:15" x14ac:dyDescent="0.25">
      <c r="N2205" s="765"/>
      <c r="O2205" s="765"/>
    </row>
    <row r="2206" spans="14:15" x14ac:dyDescent="0.25">
      <c r="N2206" s="765"/>
      <c r="O2206" s="765"/>
    </row>
    <row r="2207" spans="14:15" x14ac:dyDescent="0.25">
      <c r="N2207" s="765"/>
      <c r="O2207" s="765"/>
    </row>
    <row r="2208" spans="14:15" x14ac:dyDescent="0.25">
      <c r="N2208" s="765"/>
      <c r="O2208" s="765"/>
    </row>
    <row r="2209" spans="14:15" x14ac:dyDescent="0.25">
      <c r="N2209" s="765"/>
      <c r="O2209" s="765"/>
    </row>
    <row r="2210" spans="14:15" x14ac:dyDescent="0.25">
      <c r="N2210" s="765"/>
      <c r="O2210" s="765"/>
    </row>
    <row r="2211" spans="14:15" x14ac:dyDescent="0.25">
      <c r="N2211" s="765"/>
      <c r="O2211" s="765"/>
    </row>
    <row r="2212" spans="14:15" x14ac:dyDescent="0.25">
      <c r="N2212" s="765"/>
      <c r="O2212" s="765"/>
    </row>
    <row r="2213" spans="14:15" x14ac:dyDescent="0.25">
      <c r="N2213" s="765"/>
      <c r="O2213" s="765"/>
    </row>
    <row r="2214" spans="14:15" x14ac:dyDescent="0.25">
      <c r="N2214" s="765"/>
      <c r="O2214" s="765"/>
    </row>
    <row r="2215" spans="14:15" x14ac:dyDescent="0.25">
      <c r="N2215" s="765"/>
      <c r="O2215" s="765"/>
    </row>
    <row r="2216" spans="14:15" x14ac:dyDescent="0.25">
      <c r="N2216" s="765"/>
      <c r="O2216" s="765"/>
    </row>
    <row r="2217" spans="14:15" x14ac:dyDescent="0.25">
      <c r="N2217" s="765"/>
      <c r="O2217" s="765"/>
    </row>
    <row r="2218" spans="14:15" x14ac:dyDescent="0.25">
      <c r="N2218" s="765"/>
      <c r="O2218" s="765"/>
    </row>
    <row r="2219" spans="14:15" x14ac:dyDescent="0.25">
      <c r="N2219" s="765"/>
      <c r="O2219" s="765"/>
    </row>
    <row r="2220" spans="14:15" x14ac:dyDescent="0.25">
      <c r="N2220" s="765"/>
      <c r="O2220" s="765"/>
    </row>
    <row r="2221" spans="14:15" x14ac:dyDescent="0.25">
      <c r="N2221" s="765"/>
      <c r="O2221" s="765"/>
    </row>
    <row r="2222" spans="14:15" x14ac:dyDescent="0.25">
      <c r="N2222" s="765"/>
      <c r="O2222" s="765"/>
    </row>
    <row r="2223" spans="14:15" x14ac:dyDescent="0.25">
      <c r="N2223" s="765"/>
      <c r="O2223" s="765"/>
    </row>
    <row r="2224" spans="14:15" x14ac:dyDescent="0.25">
      <c r="N2224" s="765"/>
      <c r="O2224" s="765"/>
    </row>
    <row r="2225" spans="14:15" x14ac:dyDescent="0.25">
      <c r="N2225" s="765"/>
      <c r="O2225" s="765"/>
    </row>
    <row r="2226" spans="14:15" x14ac:dyDescent="0.25">
      <c r="N2226" s="765"/>
      <c r="O2226" s="765"/>
    </row>
    <row r="2227" spans="14:15" x14ac:dyDescent="0.25">
      <c r="N2227" s="765"/>
      <c r="O2227" s="765"/>
    </row>
    <row r="2228" spans="14:15" x14ac:dyDescent="0.25">
      <c r="N2228" s="765"/>
      <c r="O2228" s="765"/>
    </row>
    <row r="2229" spans="14:15" x14ac:dyDescent="0.25">
      <c r="N2229" s="765"/>
      <c r="O2229" s="765"/>
    </row>
    <row r="2230" spans="14:15" x14ac:dyDescent="0.25">
      <c r="N2230" s="765"/>
      <c r="O2230" s="765"/>
    </row>
    <row r="2231" spans="14:15" x14ac:dyDescent="0.25">
      <c r="N2231" s="765"/>
      <c r="O2231" s="765"/>
    </row>
    <row r="2232" spans="14:15" x14ac:dyDescent="0.25">
      <c r="N2232" s="765"/>
      <c r="O2232" s="765"/>
    </row>
    <row r="2233" spans="14:15" x14ac:dyDescent="0.25">
      <c r="N2233" s="765"/>
      <c r="O2233" s="765"/>
    </row>
    <row r="2234" spans="14:15" x14ac:dyDescent="0.25">
      <c r="N2234" s="765"/>
      <c r="O2234" s="765"/>
    </row>
    <row r="2235" spans="14:15" x14ac:dyDescent="0.25">
      <c r="N2235" s="765"/>
      <c r="O2235" s="765"/>
    </row>
    <row r="2236" spans="14:15" x14ac:dyDescent="0.25">
      <c r="N2236" s="765"/>
      <c r="O2236" s="765"/>
    </row>
    <row r="2237" spans="14:15" x14ac:dyDescent="0.25">
      <c r="N2237" s="765"/>
      <c r="O2237" s="765"/>
    </row>
    <row r="2238" spans="14:15" x14ac:dyDescent="0.25">
      <c r="N2238" s="765"/>
      <c r="O2238" s="765"/>
    </row>
    <row r="2239" spans="14:15" x14ac:dyDescent="0.25">
      <c r="N2239" s="765"/>
      <c r="O2239" s="765"/>
    </row>
    <row r="2240" spans="14:15" x14ac:dyDescent="0.25">
      <c r="N2240" s="765"/>
      <c r="O2240" s="765"/>
    </row>
    <row r="2241" spans="14:15" x14ac:dyDescent="0.25">
      <c r="N2241" s="765"/>
      <c r="O2241" s="765"/>
    </row>
    <row r="2242" spans="14:15" x14ac:dyDescent="0.25">
      <c r="N2242" s="765"/>
      <c r="O2242" s="765"/>
    </row>
    <row r="2243" spans="14:15" x14ac:dyDescent="0.25">
      <c r="N2243" s="765"/>
      <c r="O2243" s="765"/>
    </row>
    <row r="2244" spans="14:15" x14ac:dyDescent="0.25">
      <c r="N2244" s="765"/>
      <c r="O2244" s="765"/>
    </row>
    <row r="2245" spans="14:15" x14ac:dyDescent="0.25">
      <c r="N2245" s="765"/>
      <c r="O2245" s="765"/>
    </row>
    <row r="2246" spans="14:15" x14ac:dyDescent="0.25">
      <c r="N2246" s="765"/>
      <c r="O2246" s="765"/>
    </row>
    <row r="2247" spans="14:15" x14ac:dyDescent="0.25">
      <c r="N2247" s="765"/>
      <c r="O2247" s="765"/>
    </row>
    <row r="2248" spans="14:15" x14ac:dyDescent="0.25">
      <c r="N2248" s="765"/>
      <c r="O2248" s="765"/>
    </row>
    <row r="2249" spans="14:15" x14ac:dyDescent="0.25">
      <c r="N2249" s="765"/>
      <c r="O2249" s="765"/>
    </row>
    <row r="2250" spans="14:15" x14ac:dyDescent="0.25">
      <c r="N2250" s="765"/>
      <c r="O2250" s="765"/>
    </row>
    <row r="2251" spans="14:15" x14ac:dyDescent="0.25">
      <c r="N2251" s="765"/>
      <c r="O2251" s="765"/>
    </row>
    <row r="2252" spans="14:15" x14ac:dyDescent="0.25">
      <c r="N2252" s="765"/>
      <c r="O2252" s="765"/>
    </row>
    <row r="2253" spans="14:15" x14ac:dyDescent="0.25">
      <c r="N2253" s="765"/>
      <c r="O2253" s="765"/>
    </row>
    <row r="2254" spans="14:15" x14ac:dyDescent="0.25">
      <c r="N2254" s="765"/>
      <c r="O2254" s="765"/>
    </row>
    <row r="2255" spans="14:15" x14ac:dyDescent="0.25">
      <c r="N2255" s="765"/>
      <c r="O2255" s="765"/>
    </row>
    <row r="2256" spans="14:15" x14ac:dyDescent="0.25">
      <c r="N2256" s="765"/>
      <c r="O2256" s="765"/>
    </row>
    <row r="2257" spans="14:15" x14ac:dyDescent="0.25">
      <c r="N2257" s="765"/>
      <c r="O2257" s="765"/>
    </row>
    <row r="2258" spans="14:15" x14ac:dyDescent="0.25">
      <c r="N2258" s="765"/>
      <c r="O2258" s="765"/>
    </row>
    <row r="2259" spans="14:15" x14ac:dyDescent="0.25">
      <c r="N2259" s="765"/>
      <c r="O2259" s="765"/>
    </row>
    <row r="2260" spans="14:15" x14ac:dyDescent="0.25">
      <c r="N2260" s="765"/>
      <c r="O2260" s="765"/>
    </row>
    <row r="2261" spans="14:15" x14ac:dyDescent="0.25">
      <c r="N2261" s="765"/>
      <c r="O2261" s="765"/>
    </row>
    <row r="2262" spans="14:15" x14ac:dyDescent="0.25">
      <c r="N2262" s="765"/>
      <c r="O2262" s="765"/>
    </row>
    <row r="2263" spans="14:15" x14ac:dyDescent="0.25">
      <c r="N2263" s="765"/>
      <c r="O2263" s="765"/>
    </row>
    <row r="2264" spans="14:15" x14ac:dyDescent="0.25">
      <c r="N2264" s="765"/>
      <c r="O2264" s="765"/>
    </row>
    <row r="2265" spans="14:15" x14ac:dyDescent="0.25">
      <c r="N2265" s="765"/>
      <c r="O2265" s="765"/>
    </row>
    <row r="2266" spans="14:15" x14ac:dyDescent="0.25">
      <c r="N2266" s="765"/>
      <c r="O2266" s="765"/>
    </row>
    <row r="2267" spans="14:15" x14ac:dyDescent="0.25">
      <c r="N2267" s="765"/>
      <c r="O2267" s="765"/>
    </row>
    <row r="2268" spans="14:15" x14ac:dyDescent="0.25">
      <c r="N2268" s="765"/>
      <c r="O2268" s="765"/>
    </row>
    <row r="2269" spans="14:15" x14ac:dyDescent="0.25">
      <c r="N2269" s="765"/>
      <c r="O2269" s="765"/>
    </row>
    <row r="2270" spans="14:15" x14ac:dyDescent="0.25">
      <c r="N2270" s="765"/>
      <c r="O2270" s="765"/>
    </row>
    <row r="2271" spans="14:15" x14ac:dyDescent="0.25">
      <c r="N2271" s="765"/>
      <c r="O2271" s="765"/>
    </row>
    <row r="2272" spans="14:15" x14ac:dyDescent="0.25">
      <c r="N2272" s="765"/>
      <c r="O2272" s="765"/>
    </row>
    <row r="2273" spans="14:15" x14ac:dyDescent="0.25">
      <c r="N2273" s="765"/>
      <c r="O2273" s="765"/>
    </row>
    <row r="2274" spans="14:15" x14ac:dyDescent="0.25">
      <c r="N2274" s="765"/>
      <c r="O2274" s="765"/>
    </row>
    <row r="2275" spans="14:15" x14ac:dyDescent="0.25">
      <c r="N2275" s="765"/>
      <c r="O2275" s="765"/>
    </row>
    <row r="2276" spans="14:15" x14ac:dyDescent="0.25">
      <c r="N2276" s="765"/>
      <c r="O2276" s="765"/>
    </row>
    <row r="2277" spans="14:15" x14ac:dyDescent="0.25">
      <c r="N2277" s="765"/>
      <c r="O2277" s="765"/>
    </row>
    <row r="2278" spans="14:15" x14ac:dyDescent="0.25">
      <c r="N2278" s="765"/>
      <c r="O2278" s="765"/>
    </row>
    <row r="2279" spans="14:15" x14ac:dyDescent="0.25">
      <c r="N2279" s="765"/>
      <c r="O2279" s="765"/>
    </row>
    <row r="2280" spans="14:15" x14ac:dyDescent="0.25">
      <c r="N2280" s="765"/>
      <c r="O2280" s="765"/>
    </row>
    <row r="2281" spans="14:15" x14ac:dyDescent="0.25">
      <c r="N2281" s="765"/>
      <c r="O2281" s="765"/>
    </row>
    <row r="2282" spans="14:15" x14ac:dyDescent="0.25">
      <c r="N2282" s="765"/>
      <c r="O2282" s="765"/>
    </row>
    <row r="2283" spans="14:15" x14ac:dyDescent="0.25">
      <c r="N2283" s="765"/>
      <c r="O2283" s="765"/>
    </row>
    <row r="2284" spans="14:15" x14ac:dyDescent="0.25">
      <c r="N2284" s="765"/>
      <c r="O2284" s="765"/>
    </row>
    <row r="2285" spans="14:15" x14ac:dyDescent="0.25">
      <c r="N2285" s="765"/>
      <c r="O2285" s="765"/>
    </row>
    <row r="2286" spans="14:15" x14ac:dyDescent="0.25">
      <c r="N2286" s="765"/>
      <c r="O2286" s="765"/>
    </row>
    <row r="2287" spans="14:15" x14ac:dyDescent="0.25">
      <c r="N2287" s="765"/>
      <c r="O2287" s="765"/>
    </row>
    <row r="2288" spans="14:15" x14ac:dyDescent="0.25">
      <c r="N2288" s="765"/>
      <c r="O2288" s="765"/>
    </row>
    <row r="2289" spans="14:15" x14ac:dyDescent="0.25">
      <c r="N2289" s="765"/>
      <c r="O2289" s="765"/>
    </row>
    <row r="2290" spans="14:15" x14ac:dyDescent="0.25">
      <c r="N2290" s="765"/>
      <c r="O2290" s="765"/>
    </row>
    <row r="2291" spans="14:15" x14ac:dyDescent="0.25">
      <c r="N2291" s="765"/>
      <c r="O2291" s="765"/>
    </row>
    <row r="2292" spans="14:15" x14ac:dyDescent="0.25">
      <c r="N2292" s="765"/>
      <c r="O2292" s="765"/>
    </row>
    <row r="2293" spans="14:15" x14ac:dyDescent="0.25">
      <c r="N2293" s="765"/>
      <c r="O2293" s="765"/>
    </row>
    <row r="2294" spans="14:15" x14ac:dyDescent="0.25">
      <c r="N2294" s="765"/>
      <c r="O2294" s="765"/>
    </row>
    <row r="2295" spans="14:15" x14ac:dyDescent="0.25">
      <c r="N2295" s="765"/>
      <c r="O2295" s="765"/>
    </row>
    <row r="2296" spans="14:15" x14ac:dyDescent="0.25">
      <c r="N2296" s="765"/>
      <c r="O2296" s="765"/>
    </row>
    <row r="2297" spans="14:15" x14ac:dyDescent="0.25">
      <c r="N2297" s="765"/>
      <c r="O2297" s="765"/>
    </row>
    <row r="2298" spans="14:15" x14ac:dyDescent="0.25">
      <c r="N2298" s="765"/>
      <c r="O2298" s="765"/>
    </row>
    <row r="2299" spans="14:15" x14ac:dyDescent="0.25">
      <c r="N2299" s="765"/>
      <c r="O2299" s="765"/>
    </row>
    <row r="2300" spans="14:15" x14ac:dyDescent="0.25">
      <c r="N2300" s="765"/>
      <c r="O2300" s="765"/>
    </row>
    <row r="2301" spans="14:15" x14ac:dyDescent="0.25">
      <c r="N2301" s="765"/>
      <c r="O2301" s="765"/>
    </row>
    <row r="2302" spans="14:15" x14ac:dyDescent="0.25">
      <c r="N2302" s="765"/>
      <c r="O2302" s="765"/>
    </row>
    <row r="2303" spans="14:15" x14ac:dyDescent="0.25">
      <c r="N2303" s="765"/>
      <c r="O2303" s="765"/>
    </row>
    <row r="2304" spans="14:15" x14ac:dyDescent="0.25">
      <c r="N2304" s="765"/>
      <c r="O2304" s="765"/>
    </row>
    <row r="2305" spans="14:15" x14ac:dyDescent="0.25">
      <c r="N2305" s="765"/>
      <c r="O2305" s="765"/>
    </row>
    <row r="2306" spans="14:15" x14ac:dyDescent="0.25">
      <c r="N2306" s="765"/>
      <c r="O2306" s="765"/>
    </row>
    <row r="2307" spans="14:15" x14ac:dyDescent="0.25">
      <c r="N2307" s="765"/>
      <c r="O2307" s="765"/>
    </row>
    <row r="2308" spans="14:15" x14ac:dyDescent="0.25">
      <c r="N2308" s="765"/>
      <c r="O2308" s="765"/>
    </row>
    <row r="2309" spans="14:15" x14ac:dyDescent="0.25">
      <c r="N2309" s="765"/>
      <c r="O2309" s="765"/>
    </row>
    <row r="2310" spans="14:15" x14ac:dyDescent="0.25">
      <c r="N2310" s="765"/>
      <c r="O2310" s="765"/>
    </row>
    <row r="2311" spans="14:15" x14ac:dyDescent="0.25">
      <c r="N2311" s="765"/>
      <c r="O2311" s="765"/>
    </row>
    <row r="2312" spans="14:15" x14ac:dyDescent="0.25">
      <c r="N2312" s="765"/>
      <c r="O2312" s="765"/>
    </row>
    <row r="2313" spans="14:15" x14ac:dyDescent="0.25">
      <c r="N2313" s="765"/>
      <c r="O2313" s="765"/>
    </row>
    <row r="2314" spans="14:15" x14ac:dyDescent="0.25">
      <c r="N2314" s="765"/>
      <c r="O2314" s="765"/>
    </row>
    <row r="2315" spans="14:15" x14ac:dyDescent="0.25">
      <c r="N2315" s="765"/>
      <c r="O2315" s="765"/>
    </row>
    <row r="2316" spans="14:15" x14ac:dyDescent="0.25">
      <c r="N2316" s="765"/>
      <c r="O2316" s="765"/>
    </row>
    <row r="2317" spans="14:15" x14ac:dyDescent="0.25">
      <c r="N2317" s="765"/>
      <c r="O2317" s="765"/>
    </row>
    <row r="2318" spans="14:15" x14ac:dyDescent="0.25">
      <c r="N2318" s="765"/>
      <c r="O2318" s="765"/>
    </row>
    <row r="2319" spans="14:15" x14ac:dyDescent="0.25">
      <c r="N2319" s="765"/>
      <c r="O2319" s="765"/>
    </row>
    <row r="2320" spans="14:15" x14ac:dyDescent="0.25">
      <c r="N2320" s="765"/>
      <c r="O2320" s="765"/>
    </row>
    <row r="2321" spans="14:15" x14ac:dyDescent="0.25">
      <c r="N2321" s="765"/>
      <c r="O2321" s="765"/>
    </row>
    <row r="2322" spans="14:15" x14ac:dyDescent="0.25">
      <c r="N2322" s="765"/>
      <c r="O2322" s="765"/>
    </row>
    <row r="2323" spans="14:15" x14ac:dyDescent="0.25">
      <c r="N2323" s="765"/>
      <c r="O2323" s="765"/>
    </row>
    <row r="2324" spans="14:15" x14ac:dyDescent="0.25">
      <c r="N2324" s="765"/>
      <c r="O2324" s="765"/>
    </row>
    <row r="2325" spans="14:15" x14ac:dyDescent="0.25">
      <c r="N2325" s="765"/>
      <c r="O2325" s="765"/>
    </row>
    <row r="2326" spans="14:15" x14ac:dyDescent="0.25">
      <c r="N2326" s="765"/>
      <c r="O2326" s="765"/>
    </row>
    <row r="2327" spans="14:15" x14ac:dyDescent="0.25">
      <c r="N2327" s="765"/>
      <c r="O2327" s="765"/>
    </row>
    <row r="2328" spans="14:15" x14ac:dyDescent="0.25">
      <c r="N2328" s="765"/>
      <c r="O2328" s="765"/>
    </row>
    <row r="2329" spans="14:15" x14ac:dyDescent="0.25">
      <c r="N2329" s="765"/>
      <c r="O2329" s="765"/>
    </row>
    <row r="2330" spans="14:15" x14ac:dyDescent="0.25">
      <c r="N2330" s="765"/>
      <c r="O2330" s="765"/>
    </row>
    <row r="2331" spans="14:15" x14ac:dyDescent="0.25">
      <c r="N2331" s="765"/>
      <c r="O2331" s="765"/>
    </row>
    <row r="2332" spans="14:15" x14ac:dyDescent="0.25">
      <c r="N2332" s="765"/>
      <c r="O2332" s="765"/>
    </row>
    <row r="2333" spans="14:15" x14ac:dyDescent="0.25">
      <c r="N2333" s="765"/>
      <c r="O2333" s="765"/>
    </row>
    <row r="2334" spans="14:15" x14ac:dyDescent="0.25">
      <c r="N2334" s="765"/>
      <c r="O2334" s="765"/>
    </row>
    <row r="2335" spans="14:15" x14ac:dyDescent="0.25">
      <c r="N2335" s="765"/>
      <c r="O2335" s="765"/>
    </row>
    <row r="2336" spans="14:15" x14ac:dyDescent="0.25">
      <c r="N2336" s="765"/>
      <c r="O2336" s="765"/>
    </row>
    <row r="2337" spans="14:15" x14ac:dyDescent="0.25">
      <c r="N2337" s="765"/>
      <c r="O2337" s="765"/>
    </row>
    <row r="2338" spans="14:15" x14ac:dyDescent="0.25">
      <c r="N2338" s="765"/>
      <c r="O2338" s="765"/>
    </row>
    <row r="2339" spans="14:15" x14ac:dyDescent="0.25">
      <c r="N2339" s="765"/>
      <c r="O2339" s="765"/>
    </row>
    <row r="2340" spans="14:15" x14ac:dyDescent="0.25">
      <c r="N2340" s="765"/>
      <c r="O2340" s="765"/>
    </row>
    <row r="2341" spans="14:15" x14ac:dyDescent="0.25">
      <c r="N2341" s="765"/>
      <c r="O2341" s="765"/>
    </row>
    <row r="2342" spans="14:15" x14ac:dyDescent="0.25">
      <c r="N2342" s="765"/>
      <c r="O2342" s="765"/>
    </row>
    <row r="2343" spans="14:15" x14ac:dyDescent="0.25">
      <c r="N2343" s="765"/>
      <c r="O2343" s="765"/>
    </row>
    <row r="2344" spans="14:15" x14ac:dyDescent="0.25">
      <c r="N2344" s="765"/>
      <c r="O2344" s="765"/>
    </row>
    <row r="2345" spans="14:15" x14ac:dyDescent="0.25">
      <c r="N2345" s="765"/>
      <c r="O2345" s="765"/>
    </row>
    <row r="2346" spans="14:15" x14ac:dyDescent="0.25">
      <c r="N2346" s="765"/>
      <c r="O2346" s="765"/>
    </row>
    <row r="2347" spans="14:15" x14ac:dyDescent="0.25">
      <c r="N2347" s="765"/>
      <c r="O2347" s="765"/>
    </row>
    <row r="2348" spans="14:15" x14ac:dyDescent="0.25">
      <c r="N2348" s="765"/>
      <c r="O2348" s="765"/>
    </row>
    <row r="2349" spans="14:15" x14ac:dyDescent="0.25">
      <c r="N2349" s="765"/>
      <c r="O2349" s="765"/>
    </row>
    <row r="2350" spans="14:15" x14ac:dyDescent="0.25">
      <c r="N2350" s="765"/>
      <c r="O2350" s="765"/>
    </row>
    <row r="2351" spans="14:15" x14ac:dyDescent="0.25">
      <c r="N2351" s="765"/>
      <c r="O2351" s="765"/>
    </row>
    <row r="2352" spans="14:15" x14ac:dyDescent="0.25">
      <c r="N2352" s="765"/>
      <c r="O2352" s="765"/>
    </row>
    <row r="2353" spans="14:15" x14ac:dyDescent="0.25">
      <c r="N2353" s="765"/>
      <c r="O2353" s="765"/>
    </row>
    <row r="2354" spans="14:15" x14ac:dyDescent="0.25">
      <c r="N2354" s="765"/>
      <c r="O2354" s="765"/>
    </row>
    <row r="2355" spans="14:15" x14ac:dyDescent="0.25">
      <c r="N2355" s="765"/>
      <c r="O2355" s="765"/>
    </row>
    <row r="2356" spans="14:15" x14ac:dyDescent="0.25">
      <c r="N2356" s="765"/>
      <c r="O2356" s="765"/>
    </row>
  </sheetData>
  <sortState xmlns:xlrd2="http://schemas.microsoft.com/office/spreadsheetml/2017/richdata2" ref="W4">
    <sortCondition ref="W4"/>
  </sortState>
  <mergeCells count="13">
    <mergeCell ref="A41:A42"/>
    <mergeCell ref="B41:C41"/>
    <mergeCell ref="D41:E41"/>
    <mergeCell ref="F41:G41"/>
    <mergeCell ref="H41:I41"/>
    <mergeCell ref="Y40:AK40"/>
    <mergeCell ref="V41:W41"/>
    <mergeCell ref="N41:O41"/>
    <mergeCell ref="L41:M41"/>
    <mergeCell ref="J41:K41"/>
    <mergeCell ref="P41:Q41"/>
    <mergeCell ref="R41:S41"/>
    <mergeCell ref="T41:U41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5C99-CFB0-4AC0-9836-892910BC95DF}">
  <sheetPr codeName="Sheet20"/>
  <dimension ref="A1:X990"/>
  <sheetViews>
    <sheetView zoomScaleNormal="100" workbookViewId="0">
      <pane ySplit="6" topLeftCell="A813" activePane="bottomLeft" state="frozen"/>
      <selection activeCell="A990" sqref="A990"/>
      <selection pane="bottomLeft" activeCell="T829" sqref="T829"/>
    </sheetView>
  </sheetViews>
  <sheetFormatPr defaultColWidth="9.140625" defaultRowHeight="15" x14ac:dyDescent="0.25"/>
  <cols>
    <col min="1" max="1" width="12.140625" style="765" customWidth="1"/>
    <col min="2" max="2" width="16" style="765" bestFit="1" customWidth="1"/>
    <col min="3" max="3" width="15.140625" style="765" customWidth="1"/>
    <col min="4" max="7" width="11.85546875" style="765" customWidth="1"/>
    <col min="8" max="8" width="15.140625" style="765" customWidth="1"/>
    <col min="9" max="9" width="14.140625" style="765" customWidth="1"/>
    <col min="10" max="10" width="11.140625" style="765" customWidth="1"/>
    <col min="11" max="11" width="13.85546875" style="765" customWidth="1"/>
    <col min="12" max="12" width="13.42578125" style="765" customWidth="1"/>
    <col min="13" max="13" width="12.85546875" style="765" customWidth="1"/>
    <col min="14" max="14" width="13.140625" style="765" customWidth="1"/>
    <col min="15" max="15" width="13" style="765" customWidth="1"/>
    <col min="16" max="16" width="10" style="765" customWidth="1"/>
    <col min="17" max="17" width="10.85546875" style="765" customWidth="1"/>
    <col min="18" max="18" width="16.140625" style="765" customWidth="1"/>
    <col min="19" max="19" width="11.140625" style="765" customWidth="1"/>
    <col min="20" max="20" width="11.140625" style="765" bestFit="1" customWidth="1"/>
    <col min="21" max="21" width="10.140625" style="765" bestFit="1" customWidth="1"/>
    <col min="22" max="16384" width="9.140625" style="765"/>
  </cols>
  <sheetData>
    <row r="1" spans="1:22" ht="33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>
        <v>15.770000000018626</v>
      </c>
      <c r="M1" s="1"/>
      <c r="N1" s="1075">
        <v>767731.77</v>
      </c>
      <c r="O1" s="1"/>
      <c r="P1" s="1"/>
      <c r="Q1" s="1"/>
      <c r="R1" s="1"/>
      <c r="S1" s="1"/>
      <c r="T1" s="1"/>
    </row>
    <row r="2" spans="1:22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2" ht="24.75" thickTop="1" thickBot="1" x14ac:dyDescent="0.4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494"/>
      <c r="O3" s="1"/>
      <c r="P3" s="1"/>
      <c r="Q3" s="1"/>
      <c r="R3" s="1"/>
      <c r="S3" s="1"/>
      <c r="T3" s="1"/>
    </row>
    <row r="4" spans="1:22" ht="24.75" thickTop="1" thickBot="1" x14ac:dyDescent="0.4">
      <c r="A4" s="3" t="s">
        <v>956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2" ht="15.75" thickTop="1" x14ac:dyDescent="0.25">
      <c r="A5" s="1252" t="s">
        <v>76</v>
      </c>
      <c r="B5" s="1261" t="s">
        <v>941</v>
      </c>
      <c r="C5" s="1262"/>
      <c r="D5" s="1263"/>
      <c r="E5" s="1258" t="s">
        <v>941</v>
      </c>
      <c r="F5" s="1259"/>
      <c r="G5" s="1260"/>
      <c r="H5" s="1264" t="s">
        <v>74</v>
      </c>
      <c r="I5" s="1256"/>
      <c r="J5" s="1257"/>
      <c r="K5" s="1265" t="s">
        <v>311</v>
      </c>
      <c r="L5" s="1256"/>
      <c r="M5" s="1257"/>
      <c r="N5" s="1266" t="s">
        <v>75</v>
      </c>
      <c r="O5" s="1256"/>
      <c r="P5" s="1257"/>
      <c r="Q5" s="1255" t="s">
        <v>123</v>
      </c>
      <c r="R5" s="1256"/>
      <c r="S5" s="1257"/>
    </row>
    <row r="6" spans="1:22" x14ac:dyDescent="0.25">
      <c r="A6" s="1253"/>
      <c r="B6" s="45" t="s">
        <v>77</v>
      </c>
      <c r="C6" s="330" t="s">
        <v>78</v>
      </c>
      <c r="D6" s="46" t="s">
        <v>389</v>
      </c>
      <c r="E6" s="896" t="s">
        <v>77</v>
      </c>
      <c r="F6" s="896" t="s">
        <v>78</v>
      </c>
      <c r="G6" s="896" t="s">
        <v>389</v>
      </c>
      <c r="H6" s="47" t="s">
        <v>77</v>
      </c>
      <c r="I6" s="331" t="s">
        <v>78</v>
      </c>
      <c r="J6" s="48" t="s">
        <v>389</v>
      </c>
      <c r="K6" s="246" t="s">
        <v>77</v>
      </c>
      <c r="L6" s="247" t="s">
        <v>78</v>
      </c>
      <c r="M6" s="332" t="s">
        <v>389</v>
      </c>
      <c r="N6" s="248" t="s">
        <v>77</v>
      </c>
      <c r="O6" s="333" t="s">
        <v>78</v>
      </c>
      <c r="P6" s="249" t="s">
        <v>389</v>
      </c>
      <c r="Q6" s="99" t="s">
        <v>77</v>
      </c>
      <c r="R6" s="334" t="s">
        <v>78</v>
      </c>
      <c r="S6" s="100" t="s">
        <v>389</v>
      </c>
      <c r="T6" s="765" t="s">
        <v>388</v>
      </c>
    </row>
    <row r="7" spans="1:22" x14ac:dyDescent="0.25">
      <c r="A7" s="335">
        <v>43503</v>
      </c>
      <c r="B7" s="329">
        <f t="shared" ref="B7:B70" si="0">-SUMIFS(CF_Main,CF_Dates,$A7,CF_Descriptions,"MM Sweep")</f>
        <v>0</v>
      </c>
      <c r="C7" s="338">
        <f>B7</f>
        <v>0</v>
      </c>
      <c r="D7" s="414"/>
      <c r="E7" s="897">
        <f t="shared" ref="E7:E38" si="1">-SUMIFS(CF_Main_EUR,CF_Dates,$A7,CF_Descriptions,"MM Sweep")</f>
        <v>0</v>
      </c>
      <c r="F7" s="35">
        <f>E7</f>
        <v>0</v>
      </c>
      <c r="G7" s="414"/>
      <c r="H7" s="897">
        <f t="shared" ref="H7:H70" si="2">-SUMIFS(CF_Expenses,CF_Dates,$A7,CF_Descriptions,"MM Sweep")</f>
        <v>0</v>
      </c>
      <c r="I7" s="35">
        <f>H7</f>
        <v>0</v>
      </c>
      <c r="J7" s="414"/>
      <c r="K7" s="329">
        <f t="shared" ref="K7:K70" si="3">-SUMIFS(CF_Margin,CF_Dates,$A7,CF_Descriptions,"MM Sweep")</f>
        <v>0</v>
      </c>
      <c r="L7" s="35">
        <f>K7</f>
        <v>0</v>
      </c>
      <c r="M7" s="414"/>
      <c r="N7" s="329">
        <f t="shared" ref="N7:N70" si="4">-SUMIFS(CF_Mgmt,CF_Dates,$A7,CF_Descriptions,"MM Sweep")</f>
        <v>0</v>
      </c>
      <c r="O7" s="35">
        <f>N7</f>
        <v>0</v>
      </c>
      <c r="P7" s="414"/>
      <c r="Q7" s="329">
        <f t="shared" ref="Q7:Q70" si="5">-SUMIFS(CF_SubRedemp,CF_Dates,$A7,CF_Descriptions,"MM Sweep")</f>
        <v>0</v>
      </c>
      <c r="R7" s="35">
        <f>Q7</f>
        <v>0</v>
      </c>
      <c r="S7" s="414"/>
      <c r="T7" s="880">
        <f>[5]Sheet1!$B421</f>
        <v>6.2655000000000002E-5</v>
      </c>
      <c r="U7" s="10">
        <f t="shared" ref="U7:U38" si="6">A7</f>
        <v>43503</v>
      </c>
      <c r="V7" s="881">
        <f t="shared" ref="V7:V38" si="7">T7*365/(A8-A7)</f>
        <v>2.2869075000000003E-2</v>
      </c>
    </row>
    <row r="8" spans="1:22" x14ac:dyDescent="0.25">
      <c r="A8" s="335">
        <f>A7+1</f>
        <v>43504</v>
      </c>
      <c r="B8" s="329">
        <f t="shared" si="0"/>
        <v>0</v>
      </c>
      <c r="C8" s="338">
        <f t="shared" ref="C8:C71" si="8">B8+C7</f>
        <v>0</v>
      </c>
      <c r="D8" s="414">
        <f t="shared" ref="D8:D39" si="9">ROUND(C7*$T7,2)</f>
        <v>0</v>
      </c>
      <c r="E8" s="49">
        <f t="shared" si="1"/>
        <v>0</v>
      </c>
      <c r="F8" s="35">
        <f t="shared" ref="F8:F71" si="10">E8+F7</f>
        <v>0</v>
      </c>
      <c r="G8" s="414">
        <f t="shared" ref="G8:G39" si="11">ROUND(F7*$T7,2)</f>
        <v>0</v>
      </c>
      <c r="H8" s="49">
        <f t="shared" si="2"/>
        <v>0</v>
      </c>
      <c r="I8" s="35">
        <f t="shared" ref="I8:I71" si="12">H8+I7</f>
        <v>0</v>
      </c>
      <c r="J8" s="414">
        <f t="shared" ref="J8:J39" si="13">ROUND(I7*$T7,2)</f>
        <v>0</v>
      </c>
      <c r="K8" s="329">
        <f t="shared" si="3"/>
        <v>0</v>
      </c>
      <c r="L8" s="35">
        <f t="shared" ref="L8:L71" si="14">K8+L7</f>
        <v>0</v>
      </c>
      <c r="M8" s="414">
        <f t="shared" ref="M8:M39" si="15">ROUND(L7*$T7,2)</f>
        <v>0</v>
      </c>
      <c r="N8" s="329">
        <f t="shared" si="4"/>
        <v>0</v>
      </c>
      <c r="O8" s="35">
        <f t="shared" ref="O8:O71" si="16">N8+O7</f>
        <v>0</v>
      </c>
      <c r="P8" s="414"/>
      <c r="Q8" s="329">
        <f t="shared" si="5"/>
        <v>0</v>
      </c>
      <c r="R8" s="35">
        <f t="shared" ref="R8:R71" si="17">Q8+R7</f>
        <v>0</v>
      </c>
      <c r="S8" s="414">
        <f t="shared" ref="S8:S39" si="18">ROUND(R7*$T7,2)</f>
        <v>0</v>
      </c>
      <c r="T8" s="880">
        <f>[5]Sheet1!$B422</f>
        <v>1.8758800000000001E-4</v>
      </c>
      <c r="U8" s="10">
        <f t="shared" si="6"/>
        <v>43504</v>
      </c>
      <c r="V8" s="881">
        <f t="shared" si="7"/>
        <v>2.2823206666666668E-2</v>
      </c>
    </row>
    <row r="9" spans="1:22" x14ac:dyDescent="0.25">
      <c r="A9" s="336">
        <f>A8+3</f>
        <v>43507</v>
      </c>
      <c r="B9" s="329">
        <f t="shared" si="0"/>
        <v>0</v>
      </c>
      <c r="C9" s="338">
        <f t="shared" si="8"/>
        <v>0</v>
      </c>
      <c r="D9" s="414">
        <f t="shared" si="9"/>
        <v>0</v>
      </c>
      <c r="E9" s="49">
        <f t="shared" si="1"/>
        <v>0</v>
      </c>
      <c r="F9" s="35">
        <f t="shared" si="10"/>
        <v>0</v>
      </c>
      <c r="G9" s="414">
        <f t="shared" si="11"/>
        <v>0</v>
      </c>
      <c r="H9" s="49">
        <f t="shared" si="2"/>
        <v>0</v>
      </c>
      <c r="I9" s="35">
        <f t="shared" si="12"/>
        <v>0</v>
      </c>
      <c r="J9" s="414">
        <f t="shared" si="13"/>
        <v>0</v>
      </c>
      <c r="K9" s="329">
        <f t="shared" si="3"/>
        <v>0</v>
      </c>
      <c r="L9" s="35">
        <f t="shared" si="14"/>
        <v>0</v>
      </c>
      <c r="M9" s="414">
        <f t="shared" si="15"/>
        <v>0</v>
      </c>
      <c r="N9" s="329">
        <f t="shared" si="4"/>
        <v>0</v>
      </c>
      <c r="O9" s="35">
        <f t="shared" si="16"/>
        <v>0</v>
      </c>
      <c r="P9" s="414">
        <f t="shared" ref="P9:P40" si="19">ROUND(O8*$T8,2)</f>
        <v>0</v>
      </c>
      <c r="Q9" s="329">
        <f t="shared" si="5"/>
        <v>0</v>
      </c>
      <c r="R9" s="35">
        <f t="shared" si="17"/>
        <v>0</v>
      </c>
      <c r="S9" s="414">
        <f t="shared" si="18"/>
        <v>0</v>
      </c>
      <c r="T9" s="880">
        <f>[5]Sheet1!$B423</f>
        <v>6.3077000000000006E-5</v>
      </c>
      <c r="U9" s="10">
        <f t="shared" si="6"/>
        <v>43507</v>
      </c>
      <c r="V9" s="881">
        <f t="shared" si="7"/>
        <v>2.3023105000000002E-2</v>
      </c>
    </row>
    <row r="10" spans="1:22" x14ac:dyDescent="0.25">
      <c r="A10" s="335">
        <f>A9+1</f>
        <v>43508</v>
      </c>
      <c r="B10" s="329">
        <f t="shared" si="0"/>
        <v>0</v>
      </c>
      <c r="C10" s="338">
        <f t="shared" si="8"/>
        <v>0</v>
      </c>
      <c r="D10" s="414">
        <f t="shared" si="9"/>
        <v>0</v>
      </c>
      <c r="E10" s="49">
        <f t="shared" si="1"/>
        <v>0</v>
      </c>
      <c r="F10" s="35">
        <f t="shared" si="10"/>
        <v>0</v>
      </c>
      <c r="G10" s="414">
        <f t="shared" si="11"/>
        <v>0</v>
      </c>
      <c r="H10" s="49">
        <f t="shared" si="2"/>
        <v>0</v>
      </c>
      <c r="I10" s="35">
        <f t="shared" si="12"/>
        <v>0</v>
      </c>
      <c r="J10" s="414">
        <f t="shared" si="13"/>
        <v>0</v>
      </c>
      <c r="K10" s="329">
        <f t="shared" si="3"/>
        <v>0</v>
      </c>
      <c r="L10" s="35">
        <f t="shared" si="14"/>
        <v>0</v>
      </c>
      <c r="M10" s="414">
        <f t="shared" si="15"/>
        <v>0</v>
      </c>
      <c r="N10" s="329">
        <f t="shared" si="4"/>
        <v>0</v>
      </c>
      <c r="O10" s="35">
        <f t="shared" si="16"/>
        <v>0</v>
      </c>
      <c r="P10" s="414">
        <f t="shared" si="19"/>
        <v>0</v>
      </c>
      <c r="Q10" s="329">
        <f t="shared" si="5"/>
        <v>0</v>
      </c>
      <c r="R10" s="35">
        <f t="shared" si="17"/>
        <v>0</v>
      </c>
      <c r="S10" s="414">
        <f t="shared" si="18"/>
        <v>0</v>
      </c>
      <c r="T10" s="880">
        <f>[5]Sheet1!$B424</f>
        <v>6.2564000000000006E-5</v>
      </c>
      <c r="U10" s="10">
        <f t="shared" si="6"/>
        <v>43508</v>
      </c>
      <c r="V10" s="881">
        <f t="shared" si="7"/>
        <v>2.2835860000000003E-2</v>
      </c>
    </row>
    <row r="11" spans="1:22" x14ac:dyDescent="0.25">
      <c r="A11" s="335">
        <f>A10+1</f>
        <v>43509</v>
      </c>
      <c r="B11" s="329">
        <f t="shared" si="0"/>
        <v>0</v>
      </c>
      <c r="C11" s="338">
        <f t="shared" si="8"/>
        <v>0</v>
      </c>
      <c r="D11" s="414">
        <f t="shared" si="9"/>
        <v>0</v>
      </c>
      <c r="E11" s="49">
        <f t="shared" si="1"/>
        <v>0</v>
      </c>
      <c r="F11" s="35">
        <f t="shared" si="10"/>
        <v>0</v>
      </c>
      <c r="G11" s="414">
        <f t="shared" si="11"/>
        <v>0</v>
      </c>
      <c r="H11" s="49">
        <f t="shared" si="2"/>
        <v>0</v>
      </c>
      <c r="I11" s="35">
        <f t="shared" si="12"/>
        <v>0</v>
      </c>
      <c r="J11" s="414">
        <f t="shared" si="13"/>
        <v>0</v>
      </c>
      <c r="K11" s="329">
        <f t="shared" si="3"/>
        <v>0</v>
      </c>
      <c r="L11" s="35">
        <f t="shared" si="14"/>
        <v>0</v>
      </c>
      <c r="M11" s="414">
        <f t="shared" si="15"/>
        <v>0</v>
      </c>
      <c r="N11" s="329">
        <f t="shared" si="4"/>
        <v>0</v>
      </c>
      <c r="O11" s="35">
        <f t="shared" si="16"/>
        <v>0</v>
      </c>
      <c r="P11" s="414">
        <f t="shared" si="19"/>
        <v>0</v>
      </c>
      <c r="Q11" s="329">
        <f t="shared" si="5"/>
        <v>0</v>
      </c>
      <c r="R11" s="35">
        <f t="shared" si="17"/>
        <v>0</v>
      </c>
      <c r="S11" s="414">
        <f t="shared" si="18"/>
        <v>0</v>
      </c>
      <c r="T11" s="880">
        <f>[5]Sheet1!$B425</f>
        <v>6.2570999999999994E-5</v>
      </c>
      <c r="U11" s="10">
        <f t="shared" si="6"/>
        <v>43509</v>
      </c>
      <c r="V11" s="881">
        <f t="shared" si="7"/>
        <v>2.2838414999999997E-2</v>
      </c>
    </row>
    <row r="12" spans="1:22" x14ac:dyDescent="0.25">
      <c r="A12" s="335">
        <f>A11+1</f>
        <v>43510</v>
      </c>
      <c r="B12" s="329">
        <f t="shared" si="0"/>
        <v>0</v>
      </c>
      <c r="C12" s="338">
        <f t="shared" si="8"/>
        <v>0</v>
      </c>
      <c r="D12" s="414">
        <f t="shared" si="9"/>
        <v>0</v>
      </c>
      <c r="E12" s="49">
        <f t="shared" si="1"/>
        <v>0</v>
      </c>
      <c r="F12" s="35">
        <f t="shared" si="10"/>
        <v>0</v>
      </c>
      <c r="G12" s="414">
        <f t="shared" si="11"/>
        <v>0</v>
      </c>
      <c r="H12" s="49">
        <f t="shared" si="2"/>
        <v>0</v>
      </c>
      <c r="I12" s="35">
        <f t="shared" si="12"/>
        <v>0</v>
      </c>
      <c r="J12" s="414">
        <f t="shared" si="13"/>
        <v>0</v>
      </c>
      <c r="K12" s="329">
        <f t="shared" si="3"/>
        <v>0</v>
      </c>
      <c r="L12" s="35">
        <f t="shared" si="14"/>
        <v>0</v>
      </c>
      <c r="M12" s="414">
        <f t="shared" si="15"/>
        <v>0</v>
      </c>
      <c r="N12" s="329">
        <f t="shared" si="4"/>
        <v>0</v>
      </c>
      <c r="O12" s="35">
        <f t="shared" si="16"/>
        <v>0</v>
      </c>
      <c r="P12" s="414">
        <f t="shared" si="19"/>
        <v>0</v>
      </c>
      <c r="Q12" s="329">
        <f t="shared" si="5"/>
        <v>0</v>
      </c>
      <c r="R12" s="35">
        <f t="shared" si="17"/>
        <v>0</v>
      </c>
      <c r="S12" s="414">
        <f t="shared" si="18"/>
        <v>0</v>
      </c>
      <c r="T12" s="880">
        <f>[5]Sheet1!$B426</f>
        <v>6.2520000000000004E-5</v>
      </c>
      <c r="U12" s="10">
        <f t="shared" si="6"/>
        <v>43510</v>
      </c>
      <c r="V12" s="881">
        <f t="shared" si="7"/>
        <v>2.2819800000000001E-2</v>
      </c>
    </row>
    <row r="13" spans="1:22" x14ac:dyDescent="0.25">
      <c r="A13" s="335">
        <f>A12+1</f>
        <v>43511</v>
      </c>
      <c r="B13" s="329">
        <f t="shared" si="0"/>
        <v>0</v>
      </c>
      <c r="C13" s="338">
        <f t="shared" si="8"/>
        <v>0</v>
      </c>
      <c r="D13" s="414">
        <f t="shared" si="9"/>
        <v>0</v>
      </c>
      <c r="E13" s="49">
        <f t="shared" si="1"/>
        <v>0</v>
      </c>
      <c r="F13" s="35">
        <f t="shared" si="10"/>
        <v>0</v>
      </c>
      <c r="G13" s="414">
        <f t="shared" si="11"/>
        <v>0</v>
      </c>
      <c r="H13" s="49">
        <f t="shared" si="2"/>
        <v>0</v>
      </c>
      <c r="I13" s="35">
        <f t="shared" si="12"/>
        <v>0</v>
      </c>
      <c r="J13" s="414">
        <f t="shared" si="13"/>
        <v>0</v>
      </c>
      <c r="K13" s="329">
        <f t="shared" si="3"/>
        <v>0</v>
      </c>
      <c r="L13" s="35">
        <f t="shared" si="14"/>
        <v>0</v>
      </c>
      <c r="M13" s="414">
        <f t="shared" si="15"/>
        <v>0</v>
      </c>
      <c r="N13" s="329">
        <f t="shared" si="4"/>
        <v>0</v>
      </c>
      <c r="O13" s="35">
        <f t="shared" si="16"/>
        <v>0</v>
      </c>
      <c r="P13" s="414">
        <f t="shared" si="19"/>
        <v>0</v>
      </c>
      <c r="Q13" s="329">
        <f t="shared" si="5"/>
        <v>0</v>
      </c>
      <c r="R13" s="35">
        <f t="shared" si="17"/>
        <v>0</v>
      </c>
      <c r="S13" s="414">
        <f t="shared" si="18"/>
        <v>0</v>
      </c>
      <c r="T13" s="880">
        <f>[5]Sheet1!$B427</f>
        <v>2.52895E-4</v>
      </c>
      <c r="U13" s="10">
        <f t="shared" si="6"/>
        <v>43511</v>
      </c>
      <c r="V13" s="881">
        <f t="shared" si="7"/>
        <v>2.3076668750000001E-2</v>
      </c>
    </row>
    <row r="14" spans="1:22" x14ac:dyDescent="0.25">
      <c r="A14" s="336">
        <f>A13+4</f>
        <v>43515</v>
      </c>
      <c r="B14" s="329">
        <f t="shared" si="0"/>
        <v>0</v>
      </c>
      <c r="C14" s="338">
        <f t="shared" si="8"/>
        <v>0</v>
      </c>
      <c r="D14" s="414">
        <f t="shared" si="9"/>
        <v>0</v>
      </c>
      <c r="E14" s="49">
        <f t="shared" si="1"/>
        <v>0</v>
      </c>
      <c r="F14" s="35">
        <f t="shared" si="10"/>
        <v>0</v>
      </c>
      <c r="G14" s="414">
        <f t="shared" si="11"/>
        <v>0</v>
      </c>
      <c r="H14" s="49">
        <f t="shared" si="2"/>
        <v>0</v>
      </c>
      <c r="I14" s="35">
        <f t="shared" si="12"/>
        <v>0</v>
      </c>
      <c r="J14" s="414">
        <f t="shared" si="13"/>
        <v>0</v>
      </c>
      <c r="K14" s="329">
        <f t="shared" si="3"/>
        <v>0</v>
      </c>
      <c r="L14" s="35">
        <f t="shared" si="14"/>
        <v>0</v>
      </c>
      <c r="M14" s="414">
        <f t="shared" si="15"/>
        <v>0</v>
      </c>
      <c r="N14" s="329">
        <f t="shared" si="4"/>
        <v>0</v>
      </c>
      <c r="O14" s="35">
        <f t="shared" si="16"/>
        <v>0</v>
      </c>
      <c r="P14" s="414">
        <f t="shared" si="19"/>
        <v>0</v>
      </c>
      <c r="Q14" s="329">
        <f t="shared" si="5"/>
        <v>0</v>
      </c>
      <c r="R14" s="35">
        <f t="shared" si="17"/>
        <v>0</v>
      </c>
      <c r="S14" s="414">
        <f t="shared" si="18"/>
        <v>0</v>
      </c>
      <c r="T14" s="880">
        <f>[5]Sheet1!$B428</f>
        <v>6.2792999999999993E-5</v>
      </c>
      <c r="U14" s="10">
        <f t="shared" si="6"/>
        <v>43515</v>
      </c>
      <c r="V14" s="881">
        <f t="shared" si="7"/>
        <v>2.2919444999999997E-2</v>
      </c>
    </row>
    <row r="15" spans="1:22" x14ac:dyDescent="0.25">
      <c r="A15" s="335">
        <f>A14+1</f>
        <v>43516</v>
      </c>
      <c r="B15" s="329">
        <f t="shared" si="0"/>
        <v>250000</v>
      </c>
      <c r="C15" s="338">
        <f t="shared" si="8"/>
        <v>250000</v>
      </c>
      <c r="D15" s="414">
        <f t="shared" si="9"/>
        <v>0</v>
      </c>
      <c r="E15" s="49">
        <f t="shared" si="1"/>
        <v>0</v>
      </c>
      <c r="F15" s="35">
        <f t="shared" si="10"/>
        <v>0</v>
      </c>
      <c r="G15" s="414">
        <f t="shared" si="11"/>
        <v>0</v>
      </c>
      <c r="H15" s="49">
        <f t="shared" si="2"/>
        <v>0</v>
      </c>
      <c r="I15" s="35">
        <f t="shared" si="12"/>
        <v>0</v>
      </c>
      <c r="J15" s="414">
        <f t="shared" si="13"/>
        <v>0</v>
      </c>
      <c r="K15" s="329">
        <f t="shared" si="3"/>
        <v>0</v>
      </c>
      <c r="L15" s="35">
        <f t="shared" si="14"/>
        <v>0</v>
      </c>
      <c r="M15" s="414">
        <f t="shared" si="15"/>
        <v>0</v>
      </c>
      <c r="N15" s="329">
        <f t="shared" si="4"/>
        <v>0</v>
      </c>
      <c r="O15" s="35">
        <f t="shared" si="16"/>
        <v>0</v>
      </c>
      <c r="P15" s="414">
        <f t="shared" si="19"/>
        <v>0</v>
      </c>
      <c r="Q15" s="329">
        <f t="shared" si="5"/>
        <v>0</v>
      </c>
      <c r="R15" s="35">
        <f t="shared" si="17"/>
        <v>0</v>
      </c>
      <c r="S15" s="414">
        <f t="shared" si="18"/>
        <v>0</v>
      </c>
      <c r="T15" s="880">
        <f>[5]Sheet1!$B429</f>
        <v>6.2843999999999997E-5</v>
      </c>
      <c r="U15" s="10">
        <f t="shared" si="6"/>
        <v>43516</v>
      </c>
      <c r="V15" s="881">
        <f t="shared" si="7"/>
        <v>2.293806E-2</v>
      </c>
    </row>
    <row r="16" spans="1:22" x14ac:dyDescent="0.25">
      <c r="A16" s="335">
        <f>A15+1</f>
        <v>43517</v>
      </c>
      <c r="B16" s="329">
        <f t="shared" si="0"/>
        <v>0</v>
      </c>
      <c r="C16" s="338">
        <f t="shared" si="8"/>
        <v>250000</v>
      </c>
      <c r="D16" s="414">
        <f t="shared" si="9"/>
        <v>15.71</v>
      </c>
      <c r="E16" s="49">
        <f t="shared" si="1"/>
        <v>0</v>
      </c>
      <c r="F16" s="35">
        <f t="shared" si="10"/>
        <v>0</v>
      </c>
      <c r="G16" s="414">
        <f t="shared" si="11"/>
        <v>0</v>
      </c>
      <c r="H16" s="49">
        <f t="shared" si="2"/>
        <v>0</v>
      </c>
      <c r="I16" s="35">
        <f t="shared" si="12"/>
        <v>0</v>
      </c>
      <c r="J16" s="414">
        <f t="shared" si="13"/>
        <v>0</v>
      </c>
      <c r="K16" s="329">
        <f t="shared" si="3"/>
        <v>0</v>
      </c>
      <c r="L16" s="35">
        <f t="shared" si="14"/>
        <v>0</v>
      </c>
      <c r="M16" s="414">
        <f t="shared" si="15"/>
        <v>0</v>
      </c>
      <c r="N16" s="329">
        <f t="shared" si="4"/>
        <v>0</v>
      </c>
      <c r="O16" s="35">
        <f t="shared" si="16"/>
        <v>0</v>
      </c>
      <c r="P16" s="414">
        <f t="shared" si="19"/>
        <v>0</v>
      </c>
      <c r="Q16" s="329">
        <f t="shared" si="5"/>
        <v>0</v>
      </c>
      <c r="R16" s="35">
        <f t="shared" si="17"/>
        <v>0</v>
      </c>
      <c r="S16" s="414">
        <f t="shared" si="18"/>
        <v>0</v>
      </c>
      <c r="T16" s="880">
        <f>[5]Sheet1!$B430</f>
        <v>6.2663000000000006E-5</v>
      </c>
      <c r="U16" s="10">
        <f t="shared" si="6"/>
        <v>43517</v>
      </c>
      <c r="V16" s="881">
        <f t="shared" si="7"/>
        <v>2.2871995000000003E-2</v>
      </c>
    </row>
    <row r="17" spans="1:22" x14ac:dyDescent="0.25">
      <c r="A17" s="335">
        <f>A16+1</f>
        <v>43518</v>
      </c>
      <c r="B17" s="329">
        <f t="shared" si="0"/>
        <v>0</v>
      </c>
      <c r="C17" s="338">
        <f t="shared" si="8"/>
        <v>250000</v>
      </c>
      <c r="D17" s="414">
        <f t="shared" si="9"/>
        <v>15.67</v>
      </c>
      <c r="E17" s="49">
        <f t="shared" si="1"/>
        <v>0</v>
      </c>
      <c r="F17" s="35">
        <f t="shared" si="10"/>
        <v>0</v>
      </c>
      <c r="G17" s="414">
        <f t="shared" si="11"/>
        <v>0</v>
      </c>
      <c r="H17" s="49">
        <f t="shared" si="2"/>
        <v>0</v>
      </c>
      <c r="I17" s="35">
        <f t="shared" si="12"/>
        <v>0</v>
      </c>
      <c r="J17" s="414">
        <f t="shared" si="13"/>
        <v>0</v>
      </c>
      <c r="K17" s="329">
        <f t="shared" si="3"/>
        <v>0</v>
      </c>
      <c r="L17" s="35">
        <f t="shared" si="14"/>
        <v>0</v>
      </c>
      <c r="M17" s="414">
        <f t="shared" si="15"/>
        <v>0</v>
      </c>
      <c r="N17" s="329">
        <f t="shared" si="4"/>
        <v>0</v>
      </c>
      <c r="O17" s="35">
        <f t="shared" si="16"/>
        <v>0</v>
      </c>
      <c r="P17" s="414">
        <f t="shared" si="19"/>
        <v>0</v>
      </c>
      <c r="Q17" s="329">
        <f t="shared" si="5"/>
        <v>0</v>
      </c>
      <c r="R17" s="35">
        <f t="shared" si="17"/>
        <v>0</v>
      </c>
      <c r="S17" s="414">
        <f t="shared" si="18"/>
        <v>0</v>
      </c>
      <c r="T17" s="880">
        <f>[5]Sheet1!$B431</f>
        <v>1.88066E-4</v>
      </c>
      <c r="U17" s="10">
        <f t="shared" si="6"/>
        <v>43518</v>
      </c>
      <c r="V17" s="881">
        <f t="shared" si="7"/>
        <v>2.2881363333333335E-2</v>
      </c>
    </row>
    <row r="18" spans="1:22" x14ac:dyDescent="0.25">
      <c r="A18" s="336">
        <f>A17+3</f>
        <v>43521</v>
      </c>
      <c r="B18" s="329">
        <f t="shared" si="0"/>
        <v>0</v>
      </c>
      <c r="C18" s="338">
        <f t="shared" si="8"/>
        <v>250000</v>
      </c>
      <c r="D18" s="414">
        <f t="shared" si="9"/>
        <v>47.02</v>
      </c>
      <c r="E18" s="49">
        <f t="shared" si="1"/>
        <v>0</v>
      </c>
      <c r="F18" s="35">
        <f t="shared" si="10"/>
        <v>0</v>
      </c>
      <c r="G18" s="414">
        <f t="shared" si="11"/>
        <v>0</v>
      </c>
      <c r="H18" s="49">
        <f t="shared" si="2"/>
        <v>0</v>
      </c>
      <c r="I18" s="35">
        <f t="shared" si="12"/>
        <v>0</v>
      </c>
      <c r="J18" s="414">
        <f t="shared" si="13"/>
        <v>0</v>
      </c>
      <c r="K18" s="329">
        <f t="shared" si="3"/>
        <v>0</v>
      </c>
      <c r="L18" s="35">
        <f t="shared" si="14"/>
        <v>0</v>
      </c>
      <c r="M18" s="414">
        <f t="shared" si="15"/>
        <v>0</v>
      </c>
      <c r="N18" s="329">
        <f t="shared" si="4"/>
        <v>0</v>
      </c>
      <c r="O18" s="35">
        <f t="shared" si="16"/>
        <v>0</v>
      </c>
      <c r="P18" s="414">
        <f t="shared" si="19"/>
        <v>0</v>
      </c>
      <c r="Q18" s="329">
        <f t="shared" si="5"/>
        <v>0</v>
      </c>
      <c r="R18" s="35">
        <f t="shared" si="17"/>
        <v>0</v>
      </c>
      <c r="S18" s="414">
        <f t="shared" si="18"/>
        <v>0</v>
      </c>
      <c r="T18" s="880">
        <f>[5]Sheet1!$B432</f>
        <v>6.2694000000000007E-5</v>
      </c>
      <c r="U18" s="10">
        <f t="shared" si="6"/>
        <v>43521</v>
      </c>
      <c r="V18" s="881">
        <f t="shared" si="7"/>
        <v>2.2883310000000004E-2</v>
      </c>
    </row>
    <row r="19" spans="1:22" x14ac:dyDescent="0.25">
      <c r="A19" s="335">
        <f>A18+1</f>
        <v>43522</v>
      </c>
      <c r="B19" s="329">
        <f t="shared" si="0"/>
        <v>0</v>
      </c>
      <c r="C19" s="338">
        <f t="shared" si="8"/>
        <v>250000</v>
      </c>
      <c r="D19" s="414">
        <f t="shared" si="9"/>
        <v>15.67</v>
      </c>
      <c r="E19" s="49">
        <f t="shared" si="1"/>
        <v>0</v>
      </c>
      <c r="F19" s="35">
        <f t="shared" si="10"/>
        <v>0</v>
      </c>
      <c r="G19" s="414">
        <f t="shared" si="11"/>
        <v>0</v>
      </c>
      <c r="H19" s="49">
        <f t="shared" si="2"/>
        <v>0</v>
      </c>
      <c r="I19" s="35">
        <f t="shared" si="12"/>
        <v>0</v>
      </c>
      <c r="J19" s="414">
        <f t="shared" si="13"/>
        <v>0</v>
      </c>
      <c r="K19" s="329">
        <f t="shared" si="3"/>
        <v>0</v>
      </c>
      <c r="L19" s="35">
        <f t="shared" si="14"/>
        <v>0</v>
      </c>
      <c r="M19" s="414">
        <f t="shared" si="15"/>
        <v>0</v>
      </c>
      <c r="N19" s="329">
        <f t="shared" si="4"/>
        <v>0</v>
      </c>
      <c r="O19" s="35">
        <f t="shared" si="16"/>
        <v>0</v>
      </c>
      <c r="P19" s="414">
        <f t="shared" si="19"/>
        <v>0</v>
      </c>
      <c r="Q19" s="329">
        <f t="shared" si="5"/>
        <v>0</v>
      </c>
      <c r="R19" s="35">
        <f t="shared" si="17"/>
        <v>0</v>
      </c>
      <c r="S19" s="414">
        <f t="shared" si="18"/>
        <v>0</v>
      </c>
      <c r="T19" s="880">
        <f>[5]Sheet1!$B433</f>
        <v>6.2736000000000004E-5</v>
      </c>
      <c r="U19" s="10">
        <f t="shared" si="6"/>
        <v>43522</v>
      </c>
      <c r="V19" s="881">
        <f t="shared" si="7"/>
        <v>2.2898640000000001E-2</v>
      </c>
    </row>
    <row r="20" spans="1:22" x14ac:dyDescent="0.25">
      <c r="A20" s="335">
        <f>A19+1</f>
        <v>43523</v>
      </c>
      <c r="B20" s="329">
        <f t="shared" si="0"/>
        <v>0</v>
      </c>
      <c r="C20" s="338">
        <f t="shared" si="8"/>
        <v>250000</v>
      </c>
      <c r="D20" s="414">
        <f t="shared" si="9"/>
        <v>15.68</v>
      </c>
      <c r="E20" s="49">
        <f t="shared" si="1"/>
        <v>0</v>
      </c>
      <c r="F20" s="35">
        <f t="shared" si="10"/>
        <v>0</v>
      </c>
      <c r="G20" s="414">
        <f t="shared" si="11"/>
        <v>0</v>
      </c>
      <c r="H20" s="49">
        <f t="shared" si="2"/>
        <v>0</v>
      </c>
      <c r="I20" s="35">
        <f t="shared" si="12"/>
        <v>0</v>
      </c>
      <c r="J20" s="414">
        <f t="shared" si="13"/>
        <v>0</v>
      </c>
      <c r="K20" s="329">
        <f t="shared" si="3"/>
        <v>0</v>
      </c>
      <c r="L20" s="35">
        <f t="shared" si="14"/>
        <v>0</v>
      </c>
      <c r="M20" s="414">
        <f t="shared" si="15"/>
        <v>0</v>
      </c>
      <c r="N20" s="329">
        <f t="shared" si="4"/>
        <v>0</v>
      </c>
      <c r="O20" s="35">
        <f t="shared" si="16"/>
        <v>0</v>
      </c>
      <c r="P20" s="414">
        <f t="shared" si="19"/>
        <v>0</v>
      </c>
      <c r="Q20" s="329">
        <f t="shared" si="5"/>
        <v>0</v>
      </c>
      <c r="R20" s="35">
        <f t="shared" si="17"/>
        <v>0</v>
      </c>
      <c r="S20" s="414">
        <f t="shared" si="18"/>
        <v>0</v>
      </c>
      <c r="T20" s="880">
        <f>[5]Sheet1!$B434</f>
        <v>6.2691E-5</v>
      </c>
      <c r="U20" s="10">
        <f t="shared" si="6"/>
        <v>43523</v>
      </c>
      <c r="V20" s="881">
        <f t="shared" si="7"/>
        <v>2.2882215000000001E-2</v>
      </c>
    </row>
    <row r="21" spans="1:22" x14ac:dyDescent="0.25">
      <c r="A21" s="335">
        <f>A20+1</f>
        <v>43524</v>
      </c>
      <c r="B21" s="329">
        <f t="shared" si="0"/>
        <v>0</v>
      </c>
      <c r="C21" s="338">
        <f t="shared" si="8"/>
        <v>250000</v>
      </c>
      <c r="D21" s="414">
        <f t="shared" si="9"/>
        <v>15.67</v>
      </c>
      <c r="E21" s="49">
        <f t="shared" si="1"/>
        <v>0</v>
      </c>
      <c r="F21" s="35">
        <f t="shared" si="10"/>
        <v>0</v>
      </c>
      <c r="G21" s="414">
        <f t="shared" si="11"/>
        <v>0</v>
      </c>
      <c r="H21" s="49">
        <f t="shared" si="2"/>
        <v>0</v>
      </c>
      <c r="I21" s="35">
        <f t="shared" si="12"/>
        <v>0</v>
      </c>
      <c r="J21" s="414">
        <f t="shared" si="13"/>
        <v>0</v>
      </c>
      <c r="K21" s="329">
        <f t="shared" si="3"/>
        <v>0</v>
      </c>
      <c r="L21" s="35">
        <f t="shared" si="14"/>
        <v>0</v>
      </c>
      <c r="M21" s="414">
        <f t="shared" si="15"/>
        <v>0</v>
      </c>
      <c r="N21" s="329">
        <f t="shared" si="4"/>
        <v>0</v>
      </c>
      <c r="O21" s="35">
        <f t="shared" si="16"/>
        <v>0</v>
      </c>
      <c r="P21" s="414">
        <f t="shared" si="19"/>
        <v>0</v>
      </c>
      <c r="Q21" s="329">
        <f t="shared" si="5"/>
        <v>0</v>
      </c>
      <c r="R21" s="35">
        <f t="shared" si="17"/>
        <v>0</v>
      </c>
      <c r="S21" s="414">
        <f t="shared" si="18"/>
        <v>0</v>
      </c>
      <c r="T21" s="880">
        <f>[5]Sheet1!$B435</f>
        <v>6.5048000000000005E-5</v>
      </c>
      <c r="U21" s="10">
        <f t="shared" si="6"/>
        <v>43524</v>
      </c>
      <c r="V21" s="881">
        <f t="shared" si="7"/>
        <v>2.3742520000000003E-2</v>
      </c>
    </row>
    <row r="22" spans="1:22" x14ac:dyDescent="0.25">
      <c r="A22" s="335">
        <f>A21+1</f>
        <v>43525</v>
      </c>
      <c r="B22" s="329">
        <f t="shared" si="0"/>
        <v>0</v>
      </c>
      <c r="C22" s="338">
        <f t="shared" si="8"/>
        <v>250000</v>
      </c>
      <c r="D22" s="414">
        <f t="shared" si="9"/>
        <v>16.260000000000002</v>
      </c>
      <c r="E22" s="49">
        <f t="shared" si="1"/>
        <v>0</v>
      </c>
      <c r="F22" s="35">
        <f t="shared" si="10"/>
        <v>0</v>
      </c>
      <c r="G22" s="414">
        <f t="shared" si="11"/>
        <v>0</v>
      </c>
      <c r="H22" s="49">
        <f t="shared" si="2"/>
        <v>0</v>
      </c>
      <c r="I22" s="35">
        <f t="shared" si="12"/>
        <v>0</v>
      </c>
      <c r="J22" s="414">
        <f t="shared" si="13"/>
        <v>0</v>
      </c>
      <c r="K22" s="329">
        <f t="shared" si="3"/>
        <v>0</v>
      </c>
      <c r="L22" s="35">
        <f t="shared" si="14"/>
        <v>0</v>
      </c>
      <c r="M22" s="414">
        <f t="shared" si="15"/>
        <v>0</v>
      </c>
      <c r="N22" s="329">
        <f t="shared" si="4"/>
        <v>0</v>
      </c>
      <c r="O22" s="35">
        <f t="shared" si="16"/>
        <v>0</v>
      </c>
      <c r="P22" s="414">
        <f t="shared" si="19"/>
        <v>0</v>
      </c>
      <c r="Q22" s="329">
        <f t="shared" si="5"/>
        <v>0</v>
      </c>
      <c r="R22" s="35">
        <f t="shared" si="17"/>
        <v>0</v>
      </c>
      <c r="S22" s="414">
        <f t="shared" si="18"/>
        <v>0</v>
      </c>
      <c r="T22" s="880">
        <f>[5]Sheet1!$B436</f>
        <v>1.8762999999999999E-4</v>
      </c>
      <c r="U22" s="10">
        <f t="shared" si="6"/>
        <v>43525</v>
      </c>
      <c r="V22" s="881">
        <f t="shared" si="7"/>
        <v>2.2828316666666668E-2</v>
      </c>
    </row>
    <row r="23" spans="1:22" x14ac:dyDescent="0.25">
      <c r="A23" s="336">
        <f>A22+3</f>
        <v>43528</v>
      </c>
      <c r="B23" s="329">
        <f t="shared" si="0"/>
        <v>141.68</v>
      </c>
      <c r="C23" s="338">
        <f t="shared" si="8"/>
        <v>250141.68</v>
      </c>
      <c r="D23" s="414">
        <f t="shared" si="9"/>
        <v>46.91</v>
      </c>
      <c r="E23" s="49">
        <f t="shared" si="1"/>
        <v>0</v>
      </c>
      <c r="F23" s="35">
        <f t="shared" si="10"/>
        <v>0</v>
      </c>
      <c r="G23" s="414">
        <f t="shared" si="11"/>
        <v>0</v>
      </c>
      <c r="H23" s="49">
        <f t="shared" si="2"/>
        <v>0</v>
      </c>
      <c r="I23" s="35">
        <f t="shared" si="12"/>
        <v>0</v>
      </c>
      <c r="J23" s="414">
        <f t="shared" si="13"/>
        <v>0</v>
      </c>
      <c r="K23" s="329">
        <f t="shared" si="3"/>
        <v>0</v>
      </c>
      <c r="L23" s="35">
        <f t="shared" si="14"/>
        <v>0</v>
      </c>
      <c r="M23" s="414">
        <f t="shared" si="15"/>
        <v>0</v>
      </c>
      <c r="N23" s="329">
        <f t="shared" si="4"/>
        <v>0</v>
      </c>
      <c r="O23" s="35">
        <f t="shared" si="16"/>
        <v>0</v>
      </c>
      <c r="P23" s="414">
        <f t="shared" si="19"/>
        <v>0</v>
      </c>
      <c r="Q23" s="329">
        <f t="shared" si="5"/>
        <v>0</v>
      </c>
      <c r="R23" s="35">
        <f t="shared" si="17"/>
        <v>0</v>
      </c>
      <c r="S23" s="414">
        <f t="shared" si="18"/>
        <v>0</v>
      </c>
      <c r="T23" s="880">
        <f>[5]Sheet1!$B437</f>
        <v>6.2568000000000001E-5</v>
      </c>
      <c r="U23" s="10">
        <f t="shared" si="6"/>
        <v>43528</v>
      </c>
      <c r="V23" s="881">
        <f t="shared" si="7"/>
        <v>2.2837320000000001E-2</v>
      </c>
    </row>
    <row r="24" spans="1:22" x14ac:dyDescent="0.25">
      <c r="A24" s="335">
        <f>A23+1</f>
        <v>43529</v>
      </c>
      <c r="B24" s="329">
        <f t="shared" si="0"/>
        <v>0</v>
      </c>
      <c r="C24" s="338">
        <f t="shared" si="8"/>
        <v>250141.68</v>
      </c>
      <c r="D24" s="414">
        <f t="shared" si="9"/>
        <v>15.65</v>
      </c>
      <c r="E24" s="49">
        <f t="shared" si="1"/>
        <v>0</v>
      </c>
      <c r="F24" s="35">
        <f t="shared" si="10"/>
        <v>0</v>
      </c>
      <c r="G24" s="414">
        <f t="shared" si="11"/>
        <v>0</v>
      </c>
      <c r="H24" s="49">
        <f t="shared" si="2"/>
        <v>0</v>
      </c>
      <c r="I24" s="35">
        <f t="shared" si="12"/>
        <v>0</v>
      </c>
      <c r="J24" s="414">
        <f t="shared" si="13"/>
        <v>0</v>
      </c>
      <c r="K24" s="329">
        <f t="shared" si="3"/>
        <v>0</v>
      </c>
      <c r="L24" s="35">
        <f t="shared" si="14"/>
        <v>0</v>
      </c>
      <c r="M24" s="414">
        <f t="shared" si="15"/>
        <v>0</v>
      </c>
      <c r="N24" s="329">
        <f t="shared" si="4"/>
        <v>0</v>
      </c>
      <c r="O24" s="35">
        <f t="shared" si="16"/>
        <v>0</v>
      </c>
      <c r="P24" s="414">
        <f t="shared" si="19"/>
        <v>0</v>
      </c>
      <c r="Q24" s="329">
        <f t="shared" si="5"/>
        <v>0</v>
      </c>
      <c r="R24" s="35">
        <f t="shared" si="17"/>
        <v>0</v>
      </c>
      <c r="S24" s="414">
        <f t="shared" si="18"/>
        <v>0</v>
      </c>
      <c r="T24" s="880">
        <f>[5]Sheet1!$B438</f>
        <v>6.2600000000000004E-5</v>
      </c>
      <c r="U24" s="10">
        <f t="shared" si="6"/>
        <v>43529</v>
      </c>
      <c r="V24" s="881">
        <f t="shared" si="7"/>
        <v>2.2849000000000001E-2</v>
      </c>
    </row>
    <row r="25" spans="1:22" x14ac:dyDescent="0.25">
      <c r="A25" s="335">
        <f>A24+1</f>
        <v>43530</v>
      </c>
      <c r="B25" s="329">
        <f t="shared" si="0"/>
        <v>0</v>
      </c>
      <c r="C25" s="338">
        <f t="shared" si="8"/>
        <v>250141.68</v>
      </c>
      <c r="D25" s="414">
        <f t="shared" si="9"/>
        <v>15.66</v>
      </c>
      <c r="E25" s="49">
        <f t="shared" si="1"/>
        <v>0</v>
      </c>
      <c r="F25" s="35">
        <f t="shared" si="10"/>
        <v>0</v>
      </c>
      <c r="G25" s="414">
        <f t="shared" si="11"/>
        <v>0</v>
      </c>
      <c r="H25" s="49">
        <f t="shared" si="2"/>
        <v>0</v>
      </c>
      <c r="I25" s="35">
        <f t="shared" si="12"/>
        <v>0</v>
      </c>
      <c r="J25" s="414">
        <f t="shared" si="13"/>
        <v>0</v>
      </c>
      <c r="K25" s="329">
        <f t="shared" si="3"/>
        <v>0</v>
      </c>
      <c r="L25" s="35">
        <f t="shared" si="14"/>
        <v>0</v>
      </c>
      <c r="M25" s="414">
        <f t="shared" si="15"/>
        <v>0</v>
      </c>
      <c r="N25" s="329">
        <f t="shared" si="4"/>
        <v>0</v>
      </c>
      <c r="O25" s="35">
        <f t="shared" si="16"/>
        <v>0</v>
      </c>
      <c r="P25" s="414">
        <f t="shared" si="19"/>
        <v>0</v>
      </c>
      <c r="Q25" s="329">
        <f t="shared" si="5"/>
        <v>0</v>
      </c>
      <c r="R25" s="35">
        <f t="shared" si="17"/>
        <v>0</v>
      </c>
      <c r="S25" s="414">
        <f t="shared" si="18"/>
        <v>0</v>
      </c>
      <c r="T25" s="880">
        <f>[5]Sheet1!$B439</f>
        <v>6.2427000000000004E-5</v>
      </c>
      <c r="U25" s="10">
        <f t="shared" si="6"/>
        <v>43530</v>
      </c>
      <c r="V25" s="881">
        <f t="shared" si="7"/>
        <v>2.2785855000000001E-2</v>
      </c>
    </row>
    <row r="26" spans="1:22" x14ac:dyDescent="0.25">
      <c r="A26" s="335">
        <f>A25+1</f>
        <v>43531</v>
      </c>
      <c r="B26" s="329">
        <f t="shared" si="0"/>
        <v>0</v>
      </c>
      <c r="C26" s="338">
        <f t="shared" si="8"/>
        <v>250141.68</v>
      </c>
      <c r="D26" s="414">
        <f t="shared" si="9"/>
        <v>15.62</v>
      </c>
      <c r="E26" s="49">
        <f t="shared" si="1"/>
        <v>0</v>
      </c>
      <c r="F26" s="35">
        <f t="shared" si="10"/>
        <v>0</v>
      </c>
      <c r="G26" s="414">
        <f t="shared" si="11"/>
        <v>0</v>
      </c>
      <c r="H26" s="49">
        <f t="shared" si="2"/>
        <v>0</v>
      </c>
      <c r="I26" s="35">
        <f t="shared" si="12"/>
        <v>0</v>
      </c>
      <c r="J26" s="414">
        <f t="shared" si="13"/>
        <v>0</v>
      </c>
      <c r="K26" s="329">
        <f t="shared" si="3"/>
        <v>0</v>
      </c>
      <c r="L26" s="35">
        <f t="shared" si="14"/>
        <v>0</v>
      </c>
      <c r="M26" s="414">
        <f t="shared" si="15"/>
        <v>0</v>
      </c>
      <c r="N26" s="329">
        <f t="shared" si="4"/>
        <v>0</v>
      </c>
      <c r="O26" s="35">
        <f t="shared" si="16"/>
        <v>0</v>
      </c>
      <c r="P26" s="414">
        <f t="shared" si="19"/>
        <v>0</v>
      </c>
      <c r="Q26" s="329">
        <f t="shared" si="5"/>
        <v>0</v>
      </c>
      <c r="R26" s="35">
        <f t="shared" si="17"/>
        <v>0</v>
      </c>
      <c r="S26" s="414">
        <f t="shared" si="18"/>
        <v>0</v>
      </c>
      <c r="T26" s="880">
        <f>[5]Sheet1!$B440</f>
        <v>6.2731000000000006E-5</v>
      </c>
      <c r="U26" s="10">
        <f t="shared" si="6"/>
        <v>43531</v>
      </c>
      <c r="V26" s="881">
        <f t="shared" si="7"/>
        <v>2.2896815000000001E-2</v>
      </c>
    </row>
    <row r="27" spans="1:22" x14ac:dyDescent="0.25">
      <c r="A27" s="335">
        <f>A26+1</f>
        <v>43532</v>
      </c>
      <c r="B27" s="329">
        <f t="shared" si="0"/>
        <v>0</v>
      </c>
      <c r="C27" s="338">
        <f t="shared" si="8"/>
        <v>250141.68</v>
      </c>
      <c r="D27" s="414">
        <f t="shared" si="9"/>
        <v>15.69</v>
      </c>
      <c r="E27" s="49">
        <f t="shared" si="1"/>
        <v>0</v>
      </c>
      <c r="F27" s="35">
        <f t="shared" si="10"/>
        <v>0</v>
      </c>
      <c r="G27" s="414">
        <f t="shared" si="11"/>
        <v>0</v>
      </c>
      <c r="H27" s="49">
        <f t="shared" si="2"/>
        <v>0</v>
      </c>
      <c r="I27" s="35">
        <f t="shared" si="12"/>
        <v>0</v>
      </c>
      <c r="J27" s="414">
        <f t="shared" si="13"/>
        <v>0</v>
      </c>
      <c r="K27" s="329">
        <f t="shared" si="3"/>
        <v>0</v>
      </c>
      <c r="L27" s="35">
        <f t="shared" si="14"/>
        <v>0</v>
      </c>
      <c r="M27" s="414">
        <f t="shared" si="15"/>
        <v>0</v>
      </c>
      <c r="N27" s="329">
        <f t="shared" si="4"/>
        <v>0</v>
      </c>
      <c r="O27" s="35">
        <f t="shared" si="16"/>
        <v>0</v>
      </c>
      <c r="P27" s="414">
        <f t="shared" si="19"/>
        <v>0</v>
      </c>
      <c r="Q27" s="329">
        <f t="shared" si="5"/>
        <v>0</v>
      </c>
      <c r="R27" s="35">
        <f t="shared" si="17"/>
        <v>0</v>
      </c>
      <c r="S27" s="414">
        <f t="shared" si="18"/>
        <v>0</v>
      </c>
      <c r="T27" s="880">
        <f>[5]Sheet1!$B441</f>
        <v>1.88042E-4</v>
      </c>
      <c r="U27" s="10">
        <f t="shared" si="6"/>
        <v>43532</v>
      </c>
      <c r="V27" s="881">
        <f t="shared" si="7"/>
        <v>2.2878443333333331E-2</v>
      </c>
    </row>
    <row r="28" spans="1:22" x14ac:dyDescent="0.25">
      <c r="A28" s="336">
        <f>A27+3</f>
        <v>43535</v>
      </c>
      <c r="B28" s="329">
        <f t="shared" si="0"/>
        <v>0</v>
      </c>
      <c r="C28" s="338">
        <f t="shared" si="8"/>
        <v>250141.68</v>
      </c>
      <c r="D28" s="414">
        <f t="shared" si="9"/>
        <v>47.04</v>
      </c>
      <c r="E28" s="49">
        <f t="shared" si="1"/>
        <v>0</v>
      </c>
      <c r="F28" s="35">
        <f t="shared" si="10"/>
        <v>0</v>
      </c>
      <c r="G28" s="414">
        <f t="shared" si="11"/>
        <v>0</v>
      </c>
      <c r="H28" s="49">
        <f t="shared" si="2"/>
        <v>0</v>
      </c>
      <c r="I28" s="35">
        <f t="shared" si="12"/>
        <v>0</v>
      </c>
      <c r="J28" s="414">
        <f t="shared" si="13"/>
        <v>0</v>
      </c>
      <c r="K28" s="329">
        <f t="shared" si="3"/>
        <v>0</v>
      </c>
      <c r="L28" s="35">
        <f t="shared" si="14"/>
        <v>0</v>
      </c>
      <c r="M28" s="414">
        <f t="shared" si="15"/>
        <v>0</v>
      </c>
      <c r="N28" s="329">
        <f t="shared" si="4"/>
        <v>0</v>
      </c>
      <c r="O28" s="35">
        <f t="shared" si="16"/>
        <v>0</v>
      </c>
      <c r="P28" s="414">
        <f t="shared" si="19"/>
        <v>0</v>
      </c>
      <c r="Q28" s="329">
        <f t="shared" si="5"/>
        <v>0</v>
      </c>
      <c r="R28" s="35">
        <f t="shared" si="17"/>
        <v>0</v>
      </c>
      <c r="S28" s="414">
        <f t="shared" si="18"/>
        <v>0</v>
      </c>
      <c r="T28" s="880">
        <f>[5]Sheet1!$B442</f>
        <v>6.2680000000000003E-5</v>
      </c>
      <c r="U28" s="10">
        <f t="shared" si="6"/>
        <v>43535</v>
      </c>
      <c r="V28" s="881">
        <f t="shared" si="7"/>
        <v>2.2878200000000001E-2</v>
      </c>
    </row>
    <row r="29" spans="1:22" x14ac:dyDescent="0.25">
      <c r="A29" s="335">
        <f>A28+1</f>
        <v>43536</v>
      </c>
      <c r="B29" s="329">
        <f t="shared" si="0"/>
        <v>0</v>
      </c>
      <c r="C29" s="338">
        <f t="shared" si="8"/>
        <v>250141.68</v>
      </c>
      <c r="D29" s="414">
        <f t="shared" si="9"/>
        <v>15.68</v>
      </c>
      <c r="E29" s="49">
        <f t="shared" si="1"/>
        <v>0</v>
      </c>
      <c r="F29" s="35">
        <f t="shared" si="10"/>
        <v>0</v>
      </c>
      <c r="G29" s="414">
        <f t="shared" si="11"/>
        <v>0</v>
      </c>
      <c r="H29" s="49">
        <f t="shared" si="2"/>
        <v>0</v>
      </c>
      <c r="I29" s="35">
        <f t="shared" si="12"/>
        <v>0</v>
      </c>
      <c r="J29" s="414">
        <f t="shared" si="13"/>
        <v>0</v>
      </c>
      <c r="K29" s="329">
        <f t="shared" si="3"/>
        <v>0</v>
      </c>
      <c r="L29" s="35">
        <f t="shared" si="14"/>
        <v>0</v>
      </c>
      <c r="M29" s="414">
        <f t="shared" si="15"/>
        <v>0</v>
      </c>
      <c r="N29" s="329">
        <f t="shared" si="4"/>
        <v>0</v>
      </c>
      <c r="O29" s="35">
        <f t="shared" si="16"/>
        <v>0</v>
      </c>
      <c r="P29" s="414">
        <f t="shared" si="19"/>
        <v>0</v>
      </c>
      <c r="Q29" s="329">
        <f t="shared" si="5"/>
        <v>0</v>
      </c>
      <c r="R29" s="35">
        <f t="shared" si="17"/>
        <v>0</v>
      </c>
      <c r="S29" s="414">
        <f t="shared" si="18"/>
        <v>0</v>
      </c>
      <c r="T29" s="880">
        <f>[5]Sheet1!$B443</f>
        <v>6.2791000000000002E-5</v>
      </c>
      <c r="U29" s="10">
        <f t="shared" si="6"/>
        <v>43536</v>
      </c>
      <c r="V29" s="881">
        <f t="shared" si="7"/>
        <v>2.2918714999999999E-2</v>
      </c>
    </row>
    <row r="30" spans="1:22" x14ac:dyDescent="0.25">
      <c r="A30" s="335">
        <f>A29+1</f>
        <v>43537</v>
      </c>
      <c r="B30" s="329">
        <f t="shared" si="0"/>
        <v>0</v>
      </c>
      <c r="C30" s="338">
        <f t="shared" si="8"/>
        <v>250141.68</v>
      </c>
      <c r="D30" s="414">
        <f t="shared" si="9"/>
        <v>15.71</v>
      </c>
      <c r="E30" s="49">
        <f t="shared" si="1"/>
        <v>0</v>
      </c>
      <c r="F30" s="35">
        <f t="shared" si="10"/>
        <v>0</v>
      </c>
      <c r="G30" s="414">
        <f t="shared" si="11"/>
        <v>0</v>
      </c>
      <c r="H30" s="49">
        <f t="shared" si="2"/>
        <v>0</v>
      </c>
      <c r="I30" s="35">
        <f t="shared" si="12"/>
        <v>0</v>
      </c>
      <c r="J30" s="414">
        <f t="shared" si="13"/>
        <v>0</v>
      </c>
      <c r="K30" s="329">
        <f t="shared" si="3"/>
        <v>0</v>
      </c>
      <c r="L30" s="35">
        <f t="shared" si="14"/>
        <v>0</v>
      </c>
      <c r="M30" s="414">
        <f t="shared" si="15"/>
        <v>0</v>
      </c>
      <c r="N30" s="329">
        <f t="shared" si="4"/>
        <v>0</v>
      </c>
      <c r="O30" s="35">
        <f t="shared" si="16"/>
        <v>0</v>
      </c>
      <c r="P30" s="414">
        <f t="shared" si="19"/>
        <v>0</v>
      </c>
      <c r="Q30" s="329">
        <f t="shared" si="5"/>
        <v>0</v>
      </c>
      <c r="R30" s="35">
        <f t="shared" si="17"/>
        <v>0</v>
      </c>
      <c r="S30" s="414">
        <f t="shared" si="18"/>
        <v>0</v>
      </c>
      <c r="T30" s="880">
        <f>[5]Sheet1!$B444</f>
        <v>6.2926E-5</v>
      </c>
      <c r="U30" s="10">
        <f t="shared" si="6"/>
        <v>43537</v>
      </c>
      <c r="V30" s="881">
        <f t="shared" si="7"/>
        <v>2.2967990000000001E-2</v>
      </c>
    </row>
    <row r="31" spans="1:22" x14ac:dyDescent="0.25">
      <c r="A31" s="335">
        <f>A30+1</f>
        <v>43538</v>
      </c>
      <c r="B31" s="329">
        <f t="shared" si="0"/>
        <v>0</v>
      </c>
      <c r="C31" s="338">
        <f t="shared" si="8"/>
        <v>250141.68</v>
      </c>
      <c r="D31" s="414">
        <f t="shared" si="9"/>
        <v>15.74</v>
      </c>
      <c r="E31" s="49">
        <f t="shared" si="1"/>
        <v>0</v>
      </c>
      <c r="F31" s="35">
        <f t="shared" si="10"/>
        <v>0</v>
      </c>
      <c r="G31" s="414">
        <f t="shared" si="11"/>
        <v>0</v>
      </c>
      <c r="H31" s="49">
        <f t="shared" si="2"/>
        <v>0</v>
      </c>
      <c r="I31" s="35">
        <f t="shared" si="12"/>
        <v>0</v>
      </c>
      <c r="J31" s="414">
        <f t="shared" si="13"/>
        <v>0</v>
      </c>
      <c r="K31" s="329">
        <f t="shared" si="3"/>
        <v>0</v>
      </c>
      <c r="L31" s="35">
        <f t="shared" si="14"/>
        <v>0</v>
      </c>
      <c r="M31" s="414">
        <f t="shared" si="15"/>
        <v>0</v>
      </c>
      <c r="N31" s="329">
        <f t="shared" si="4"/>
        <v>0</v>
      </c>
      <c r="O31" s="35">
        <f t="shared" si="16"/>
        <v>0</v>
      </c>
      <c r="P31" s="414">
        <f t="shared" si="19"/>
        <v>0</v>
      </c>
      <c r="Q31" s="329">
        <f t="shared" si="5"/>
        <v>0</v>
      </c>
      <c r="R31" s="35">
        <f t="shared" si="17"/>
        <v>0</v>
      </c>
      <c r="S31" s="414">
        <f t="shared" si="18"/>
        <v>0</v>
      </c>
      <c r="T31" s="880">
        <f>[5]Sheet1!$B445</f>
        <v>6.2959000000000005E-5</v>
      </c>
      <c r="U31" s="10">
        <f t="shared" si="6"/>
        <v>43538</v>
      </c>
      <c r="V31" s="881">
        <f t="shared" si="7"/>
        <v>2.2980035000000003E-2</v>
      </c>
    </row>
    <row r="32" spans="1:22" x14ac:dyDescent="0.25">
      <c r="A32" s="335">
        <f>A31+1</f>
        <v>43539</v>
      </c>
      <c r="B32" s="329">
        <f t="shared" si="0"/>
        <v>0</v>
      </c>
      <c r="C32" s="338">
        <f t="shared" si="8"/>
        <v>250141.68</v>
      </c>
      <c r="D32" s="414">
        <f t="shared" si="9"/>
        <v>15.75</v>
      </c>
      <c r="E32" s="49">
        <f t="shared" si="1"/>
        <v>0</v>
      </c>
      <c r="F32" s="35">
        <f t="shared" si="10"/>
        <v>0</v>
      </c>
      <c r="G32" s="414">
        <f t="shared" si="11"/>
        <v>0</v>
      </c>
      <c r="H32" s="49">
        <f t="shared" si="2"/>
        <v>0</v>
      </c>
      <c r="I32" s="35">
        <f t="shared" si="12"/>
        <v>0</v>
      </c>
      <c r="J32" s="414">
        <f t="shared" si="13"/>
        <v>0</v>
      </c>
      <c r="K32" s="329">
        <f t="shared" si="3"/>
        <v>0</v>
      </c>
      <c r="L32" s="35">
        <f t="shared" si="14"/>
        <v>0</v>
      </c>
      <c r="M32" s="414">
        <f t="shared" si="15"/>
        <v>0</v>
      </c>
      <c r="N32" s="329">
        <f t="shared" si="4"/>
        <v>0</v>
      </c>
      <c r="O32" s="35">
        <f t="shared" si="16"/>
        <v>0</v>
      </c>
      <c r="P32" s="414">
        <f t="shared" si="19"/>
        <v>0</v>
      </c>
      <c r="Q32" s="329">
        <f t="shared" si="5"/>
        <v>0</v>
      </c>
      <c r="R32" s="35">
        <f t="shared" si="17"/>
        <v>0</v>
      </c>
      <c r="S32" s="414">
        <f t="shared" si="18"/>
        <v>0</v>
      </c>
      <c r="T32" s="880">
        <f>[5]Sheet1!$B446</f>
        <v>1.8976600000000001E-4</v>
      </c>
      <c r="U32" s="10">
        <f t="shared" si="6"/>
        <v>43539</v>
      </c>
      <c r="V32" s="881">
        <f t="shared" si="7"/>
        <v>2.3088196666666668E-2</v>
      </c>
    </row>
    <row r="33" spans="1:22" x14ac:dyDescent="0.25">
      <c r="A33" s="336">
        <f>A32+3</f>
        <v>43542</v>
      </c>
      <c r="B33" s="329">
        <f t="shared" si="0"/>
        <v>0</v>
      </c>
      <c r="C33" s="338">
        <f t="shared" si="8"/>
        <v>250141.68</v>
      </c>
      <c r="D33" s="414">
        <f t="shared" si="9"/>
        <v>47.47</v>
      </c>
      <c r="E33" s="49">
        <f t="shared" si="1"/>
        <v>0</v>
      </c>
      <c r="F33" s="35">
        <f t="shared" si="10"/>
        <v>0</v>
      </c>
      <c r="G33" s="414">
        <f t="shared" si="11"/>
        <v>0</v>
      </c>
      <c r="H33" s="49">
        <f t="shared" si="2"/>
        <v>0</v>
      </c>
      <c r="I33" s="35">
        <f t="shared" si="12"/>
        <v>0</v>
      </c>
      <c r="J33" s="414">
        <f t="shared" si="13"/>
        <v>0</v>
      </c>
      <c r="K33" s="329">
        <f t="shared" si="3"/>
        <v>0</v>
      </c>
      <c r="L33" s="35">
        <f t="shared" si="14"/>
        <v>0</v>
      </c>
      <c r="M33" s="414">
        <f t="shared" si="15"/>
        <v>0</v>
      </c>
      <c r="N33" s="329">
        <f t="shared" si="4"/>
        <v>0</v>
      </c>
      <c r="O33" s="35">
        <f t="shared" si="16"/>
        <v>0</v>
      </c>
      <c r="P33" s="414">
        <f t="shared" si="19"/>
        <v>0</v>
      </c>
      <c r="Q33" s="329">
        <f t="shared" si="5"/>
        <v>0</v>
      </c>
      <c r="R33" s="35">
        <f t="shared" si="17"/>
        <v>0</v>
      </c>
      <c r="S33" s="414">
        <f t="shared" si="18"/>
        <v>0</v>
      </c>
      <c r="T33" s="880">
        <f>[5]Sheet1!$B447</f>
        <v>6.2990000000000005E-5</v>
      </c>
      <c r="U33" s="10">
        <f t="shared" si="6"/>
        <v>43542</v>
      </c>
      <c r="V33" s="881">
        <f t="shared" si="7"/>
        <v>2.2991350000000001E-2</v>
      </c>
    </row>
    <row r="34" spans="1:22" x14ac:dyDescent="0.25">
      <c r="A34" s="335">
        <f>A33+1</f>
        <v>43543</v>
      </c>
      <c r="B34" s="329">
        <f t="shared" si="0"/>
        <v>23437.5</v>
      </c>
      <c r="C34" s="338">
        <f t="shared" si="8"/>
        <v>273579.18</v>
      </c>
      <c r="D34" s="414">
        <f t="shared" si="9"/>
        <v>15.76</v>
      </c>
      <c r="E34" s="49">
        <f t="shared" si="1"/>
        <v>0</v>
      </c>
      <c r="F34" s="35">
        <f t="shared" si="10"/>
        <v>0</v>
      </c>
      <c r="G34" s="414">
        <f t="shared" si="11"/>
        <v>0</v>
      </c>
      <c r="H34" s="49">
        <f t="shared" si="2"/>
        <v>0</v>
      </c>
      <c r="I34" s="35">
        <f t="shared" si="12"/>
        <v>0</v>
      </c>
      <c r="J34" s="414">
        <f t="shared" si="13"/>
        <v>0</v>
      </c>
      <c r="K34" s="329">
        <f t="shared" si="3"/>
        <v>0</v>
      </c>
      <c r="L34" s="35">
        <f t="shared" si="14"/>
        <v>0</v>
      </c>
      <c r="M34" s="414">
        <f t="shared" si="15"/>
        <v>0</v>
      </c>
      <c r="N34" s="329">
        <f t="shared" si="4"/>
        <v>0</v>
      </c>
      <c r="O34" s="35">
        <f t="shared" si="16"/>
        <v>0</v>
      </c>
      <c r="P34" s="414">
        <f t="shared" si="19"/>
        <v>0</v>
      </c>
      <c r="Q34" s="329">
        <f t="shared" si="5"/>
        <v>0</v>
      </c>
      <c r="R34" s="35">
        <f t="shared" si="17"/>
        <v>0</v>
      </c>
      <c r="S34" s="414">
        <f t="shared" si="18"/>
        <v>0</v>
      </c>
      <c r="T34" s="880">
        <f>[5]Sheet1!$B448</f>
        <v>6.3207000000000007E-5</v>
      </c>
      <c r="U34" s="10">
        <f t="shared" si="6"/>
        <v>43543</v>
      </c>
      <c r="V34" s="881">
        <f t="shared" si="7"/>
        <v>2.3070555000000003E-2</v>
      </c>
    </row>
    <row r="35" spans="1:22" x14ac:dyDescent="0.25">
      <c r="A35" s="335">
        <f>A34+1</f>
        <v>43544</v>
      </c>
      <c r="B35" s="329">
        <f t="shared" si="0"/>
        <v>-20297.669999999998</v>
      </c>
      <c r="C35" s="338">
        <f t="shared" si="8"/>
        <v>253281.51</v>
      </c>
      <c r="D35" s="414">
        <f t="shared" si="9"/>
        <v>17.29</v>
      </c>
      <c r="E35" s="49">
        <f t="shared" si="1"/>
        <v>0</v>
      </c>
      <c r="F35" s="35">
        <f t="shared" si="10"/>
        <v>0</v>
      </c>
      <c r="G35" s="414">
        <f t="shared" si="11"/>
        <v>0</v>
      </c>
      <c r="H35" s="49">
        <f t="shared" si="2"/>
        <v>8162.78</v>
      </c>
      <c r="I35" s="35">
        <f t="shared" si="12"/>
        <v>8162.78</v>
      </c>
      <c r="J35" s="414">
        <f t="shared" si="13"/>
        <v>0</v>
      </c>
      <c r="K35" s="329">
        <f t="shared" si="3"/>
        <v>0</v>
      </c>
      <c r="L35" s="35">
        <f t="shared" si="14"/>
        <v>0</v>
      </c>
      <c r="M35" s="414">
        <f t="shared" si="15"/>
        <v>0</v>
      </c>
      <c r="N35" s="329">
        <f t="shared" si="4"/>
        <v>12020.55</v>
      </c>
      <c r="O35" s="35">
        <f t="shared" si="16"/>
        <v>12020.55</v>
      </c>
      <c r="P35" s="414">
        <f t="shared" si="19"/>
        <v>0</v>
      </c>
      <c r="Q35" s="329">
        <f t="shared" si="5"/>
        <v>0</v>
      </c>
      <c r="R35" s="35">
        <f t="shared" si="17"/>
        <v>0</v>
      </c>
      <c r="S35" s="414">
        <f t="shared" si="18"/>
        <v>0</v>
      </c>
      <c r="T35" s="880">
        <f>[5]Sheet1!$B449</f>
        <v>6.3849000000000005E-5</v>
      </c>
      <c r="U35" s="10">
        <f t="shared" si="6"/>
        <v>43544</v>
      </c>
      <c r="V35" s="881">
        <f t="shared" si="7"/>
        <v>2.3304885000000001E-2</v>
      </c>
    </row>
    <row r="36" spans="1:22" x14ac:dyDescent="0.25">
      <c r="A36" s="335">
        <f>A35+1</f>
        <v>43545</v>
      </c>
      <c r="B36" s="329">
        <f t="shared" si="0"/>
        <v>0</v>
      </c>
      <c r="C36" s="338">
        <f t="shared" si="8"/>
        <v>253281.51</v>
      </c>
      <c r="D36" s="414">
        <f t="shared" si="9"/>
        <v>16.170000000000002</v>
      </c>
      <c r="E36" s="49">
        <f t="shared" si="1"/>
        <v>0</v>
      </c>
      <c r="F36" s="35">
        <f t="shared" si="10"/>
        <v>0</v>
      </c>
      <c r="G36" s="414">
        <f t="shared" si="11"/>
        <v>0</v>
      </c>
      <c r="H36" s="49">
        <f t="shared" si="2"/>
        <v>0</v>
      </c>
      <c r="I36" s="35">
        <f t="shared" si="12"/>
        <v>8162.78</v>
      </c>
      <c r="J36" s="414">
        <f t="shared" si="13"/>
        <v>0.52</v>
      </c>
      <c r="K36" s="329">
        <f t="shared" si="3"/>
        <v>0</v>
      </c>
      <c r="L36" s="35">
        <f t="shared" si="14"/>
        <v>0</v>
      </c>
      <c r="M36" s="414">
        <f t="shared" si="15"/>
        <v>0</v>
      </c>
      <c r="N36" s="329">
        <f t="shared" si="4"/>
        <v>0</v>
      </c>
      <c r="O36" s="35">
        <f t="shared" si="16"/>
        <v>12020.55</v>
      </c>
      <c r="P36" s="414">
        <f t="shared" si="19"/>
        <v>0.77</v>
      </c>
      <c r="Q36" s="329">
        <f t="shared" si="5"/>
        <v>0</v>
      </c>
      <c r="R36" s="35">
        <f t="shared" si="17"/>
        <v>0</v>
      </c>
      <c r="S36" s="414">
        <f t="shared" si="18"/>
        <v>0</v>
      </c>
      <c r="T36" s="880">
        <f>[5]Sheet1!$B450</f>
        <v>6.3372000000000002E-5</v>
      </c>
      <c r="U36" s="10">
        <f t="shared" si="6"/>
        <v>43545</v>
      </c>
      <c r="V36" s="881">
        <f t="shared" si="7"/>
        <v>2.313078E-2</v>
      </c>
    </row>
    <row r="37" spans="1:22" x14ac:dyDescent="0.25">
      <c r="A37" s="335">
        <f>A36+1</f>
        <v>43546</v>
      </c>
      <c r="B37" s="329">
        <f t="shared" si="0"/>
        <v>0</v>
      </c>
      <c r="C37" s="338">
        <f t="shared" si="8"/>
        <v>253281.51</v>
      </c>
      <c r="D37" s="414">
        <f t="shared" si="9"/>
        <v>16.05</v>
      </c>
      <c r="E37" s="49">
        <f t="shared" si="1"/>
        <v>0</v>
      </c>
      <c r="F37" s="35">
        <f t="shared" si="10"/>
        <v>0</v>
      </c>
      <c r="G37" s="414">
        <f t="shared" si="11"/>
        <v>0</v>
      </c>
      <c r="H37" s="49">
        <f t="shared" si="2"/>
        <v>0</v>
      </c>
      <c r="I37" s="35">
        <f t="shared" si="12"/>
        <v>8162.78</v>
      </c>
      <c r="J37" s="414">
        <f t="shared" si="13"/>
        <v>0.52</v>
      </c>
      <c r="K37" s="329">
        <f t="shared" si="3"/>
        <v>0</v>
      </c>
      <c r="L37" s="35">
        <f t="shared" si="14"/>
        <v>0</v>
      </c>
      <c r="M37" s="414">
        <f t="shared" si="15"/>
        <v>0</v>
      </c>
      <c r="N37" s="329">
        <f t="shared" si="4"/>
        <v>0</v>
      </c>
      <c r="O37" s="35">
        <f t="shared" si="16"/>
        <v>12020.55</v>
      </c>
      <c r="P37" s="414">
        <f t="shared" si="19"/>
        <v>0.76</v>
      </c>
      <c r="Q37" s="329">
        <f t="shared" si="5"/>
        <v>0</v>
      </c>
      <c r="R37" s="35">
        <f t="shared" si="17"/>
        <v>0</v>
      </c>
      <c r="S37" s="414">
        <f t="shared" si="18"/>
        <v>0</v>
      </c>
      <c r="T37" s="880">
        <f>[5]Sheet1!$B451</f>
        <v>1.8891599999999999E-4</v>
      </c>
      <c r="U37" s="10">
        <f t="shared" si="6"/>
        <v>43546</v>
      </c>
      <c r="V37" s="881">
        <f t="shared" si="7"/>
        <v>2.298478E-2</v>
      </c>
    </row>
    <row r="38" spans="1:22" x14ac:dyDescent="0.25">
      <c r="A38" s="336">
        <f>A37+3</f>
        <v>43549</v>
      </c>
      <c r="B38" s="329">
        <f t="shared" si="0"/>
        <v>0</v>
      </c>
      <c r="C38" s="338">
        <f t="shared" si="8"/>
        <v>253281.51</v>
      </c>
      <c r="D38" s="414">
        <f t="shared" si="9"/>
        <v>47.85</v>
      </c>
      <c r="E38" s="49">
        <f t="shared" si="1"/>
        <v>0</v>
      </c>
      <c r="F38" s="35">
        <f t="shared" si="10"/>
        <v>0</v>
      </c>
      <c r="G38" s="414">
        <f t="shared" si="11"/>
        <v>0</v>
      </c>
      <c r="H38" s="49">
        <f t="shared" si="2"/>
        <v>2279356.7200000002</v>
      </c>
      <c r="I38" s="35">
        <f t="shared" si="12"/>
        <v>2287519.5</v>
      </c>
      <c r="J38" s="414">
        <f t="shared" si="13"/>
        <v>1.54</v>
      </c>
      <c r="K38" s="329">
        <f t="shared" si="3"/>
        <v>0</v>
      </c>
      <c r="L38" s="35">
        <f t="shared" si="14"/>
        <v>0</v>
      </c>
      <c r="M38" s="414">
        <f t="shared" si="15"/>
        <v>0</v>
      </c>
      <c r="N38" s="329">
        <f t="shared" si="4"/>
        <v>0</v>
      </c>
      <c r="O38" s="35">
        <f t="shared" si="16"/>
        <v>12020.55</v>
      </c>
      <c r="P38" s="414">
        <f t="shared" si="19"/>
        <v>2.27</v>
      </c>
      <c r="Q38" s="329">
        <f t="shared" si="5"/>
        <v>0</v>
      </c>
      <c r="R38" s="35">
        <f t="shared" si="17"/>
        <v>0</v>
      </c>
      <c r="S38" s="414">
        <f t="shared" si="18"/>
        <v>0</v>
      </c>
      <c r="T38" s="880">
        <f>[5]Sheet1!$B452</f>
        <v>6.2750999999999996E-5</v>
      </c>
      <c r="U38" s="10">
        <f t="shared" si="6"/>
        <v>43549</v>
      </c>
      <c r="V38" s="881">
        <f t="shared" si="7"/>
        <v>2.2904114999999999E-2</v>
      </c>
    </row>
    <row r="39" spans="1:22" x14ac:dyDescent="0.25">
      <c r="A39" s="335">
        <f>A38+1</f>
        <v>43550</v>
      </c>
      <c r="B39" s="329">
        <f t="shared" si="0"/>
        <v>-15914.68</v>
      </c>
      <c r="C39" s="338">
        <f t="shared" si="8"/>
        <v>237366.83000000002</v>
      </c>
      <c r="D39" s="414">
        <f t="shared" si="9"/>
        <v>15.89</v>
      </c>
      <c r="E39" s="49">
        <f t="shared" ref="E39:E70" si="20">-SUMIFS(CF_Main_EUR,CF_Dates,$A39,CF_Descriptions,"MM Sweep")</f>
        <v>0</v>
      </c>
      <c r="F39" s="35">
        <f t="shared" si="10"/>
        <v>0</v>
      </c>
      <c r="G39" s="414">
        <f t="shared" si="11"/>
        <v>0</v>
      </c>
      <c r="H39" s="49">
        <f t="shared" si="2"/>
        <v>-2282544.09</v>
      </c>
      <c r="I39" s="35">
        <f t="shared" si="12"/>
        <v>4975.410000000149</v>
      </c>
      <c r="J39" s="414">
        <f t="shared" si="13"/>
        <v>143.54</v>
      </c>
      <c r="K39" s="329">
        <f t="shared" si="3"/>
        <v>0</v>
      </c>
      <c r="L39" s="35">
        <f t="shared" si="14"/>
        <v>0</v>
      </c>
      <c r="M39" s="414">
        <f t="shared" si="15"/>
        <v>0</v>
      </c>
      <c r="N39" s="329">
        <f t="shared" si="4"/>
        <v>0</v>
      </c>
      <c r="O39" s="35">
        <f t="shared" si="16"/>
        <v>12020.55</v>
      </c>
      <c r="P39" s="414">
        <f t="shared" si="19"/>
        <v>0.75</v>
      </c>
      <c r="Q39" s="329">
        <f t="shared" si="5"/>
        <v>0</v>
      </c>
      <c r="R39" s="35">
        <f t="shared" si="17"/>
        <v>0</v>
      </c>
      <c r="S39" s="414">
        <f t="shared" si="18"/>
        <v>0</v>
      </c>
      <c r="T39" s="880">
        <f>[5]Sheet1!$B453</f>
        <v>6.2566999999999999E-5</v>
      </c>
      <c r="U39" s="10">
        <f t="shared" ref="U39:U70" si="21">A39</f>
        <v>43550</v>
      </c>
      <c r="V39" s="881">
        <f t="shared" ref="V39:V70" si="22">T39*365/(A40-A39)</f>
        <v>2.2836954999999999E-2</v>
      </c>
    </row>
    <row r="40" spans="1:22" x14ac:dyDescent="0.25">
      <c r="A40" s="335">
        <f>A39+1</f>
        <v>43551</v>
      </c>
      <c r="B40" s="329">
        <f t="shared" si="0"/>
        <v>0</v>
      </c>
      <c r="C40" s="338">
        <f t="shared" si="8"/>
        <v>237366.83000000002</v>
      </c>
      <c r="D40" s="414">
        <f t="shared" ref="D40:D71" si="23">ROUND(C39*$T39,2)</f>
        <v>14.85</v>
      </c>
      <c r="E40" s="49">
        <f t="shared" si="20"/>
        <v>0</v>
      </c>
      <c r="F40" s="35">
        <f t="shared" si="10"/>
        <v>0</v>
      </c>
      <c r="G40" s="414">
        <f t="shared" ref="G40:G71" si="24">ROUND(F39*$T39,2)</f>
        <v>0</v>
      </c>
      <c r="H40" s="49">
        <f t="shared" si="2"/>
        <v>0</v>
      </c>
      <c r="I40" s="35">
        <f t="shared" si="12"/>
        <v>4975.410000000149</v>
      </c>
      <c r="J40" s="414">
        <f t="shared" ref="J40:J71" si="25">ROUND(I39*$T39,2)</f>
        <v>0.31</v>
      </c>
      <c r="K40" s="329">
        <f t="shared" si="3"/>
        <v>0</v>
      </c>
      <c r="L40" s="35">
        <f t="shared" si="14"/>
        <v>0</v>
      </c>
      <c r="M40" s="414">
        <f t="shared" ref="M40:M67" si="26">ROUND(L39*$T39,2)</f>
        <v>0</v>
      </c>
      <c r="N40" s="329">
        <f t="shared" si="4"/>
        <v>0</v>
      </c>
      <c r="O40" s="35">
        <f t="shared" si="16"/>
        <v>12020.55</v>
      </c>
      <c r="P40" s="414">
        <f t="shared" si="19"/>
        <v>0.75</v>
      </c>
      <c r="Q40" s="329">
        <f t="shared" si="5"/>
        <v>0</v>
      </c>
      <c r="R40" s="35">
        <f t="shared" si="17"/>
        <v>0</v>
      </c>
      <c r="S40" s="414">
        <f t="shared" ref="S40:S71" si="27">ROUND(R39*$T39,2)</f>
        <v>0</v>
      </c>
      <c r="T40" s="880">
        <f>[5]Sheet1!$B454</f>
        <v>6.3025000000000001E-5</v>
      </c>
      <c r="U40" s="10">
        <f t="shared" si="21"/>
        <v>43551</v>
      </c>
      <c r="V40" s="881">
        <f t="shared" si="22"/>
        <v>2.3004125E-2</v>
      </c>
    </row>
    <row r="41" spans="1:22" x14ac:dyDescent="0.25">
      <c r="A41" s="335">
        <f>A40+1</f>
        <v>43552</v>
      </c>
      <c r="B41" s="329">
        <f t="shared" si="0"/>
        <v>-75000</v>
      </c>
      <c r="C41" s="338">
        <f t="shared" si="8"/>
        <v>162366.83000000002</v>
      </c>
      <c r="D41" s="414">
        <f t="shared" si="23"/>
        <v>14.96</v>
      </c>
      <c r="E41" s="49">
        <f t="shared" si="20"/>
        <v>0</v>
      </c>
      <c r="F41" s="35">
        <f t="shared" si="10"/>
        <v>0</v>
      </c>
      <c r="G41" s="414">
        <f t="shared" si="24"/>
        <v>0</v>
      </c>
      <c r="H41" s="49">
        <f t="shared" si="2"/>
        <v>0</v>
      </c>
      <c r="I41" s="35">
        <f t="shared" si="12"/>
        <v>4975.410000000149</v>
      </c>
      <c r="J41" s="414">
        <f t="shared" si="25"/>
        <v>0.31</v>
      </c>
      <c r="K41" s="329">
        <f t="shared" si="3"/>
        <v>0</v>
      </c>
      <c r="L41" s="35">
        <f t="shared" si="14"/>
        <v>0</v>
      </c>
      <c r="M41" s="414">
        <f t="shared" si="26"/>
        <v>0</v>
      </c>
      <c r="N41" s="329">
        <f t="shared" si="4"/>
        <v>-12020.55</v>
      </c>
      <c r="O41" s="35">
        <f t="shared" si="16"/>
        <v>0</v>
      </c>
      <c r="P41" s="414">
        <f t="shared" ref="P41:P72" si="28">ROUND(O40*$T40,2)</f>
        <v>0.76</v>
      </c>
      <c r="Q41" s="329">
        <f t="shared" si="5"/>
        <v>0</v>
      </c>
      <c r="R41" s="35">
        <f t="shared" si="17"/>
        <v>0</v>
      </c>
      <c r="S41" s="414">
        <f t="shared" si="27"/>
        <v>0</v>
      </c>
      <c r="T41" s="880">
        <f>[5]Sheet1!$B455</f>
        <v>6.3493999999999999E-5</v>
      </c>
      <c r="U41" s="10">
        <f t="shared" si="21"/>
        <v>43552</v>
      </c>
      <c r="V41" s="881">
        <f t="shared" si="22"/>
        <v>2.3175310000000001E-2</v>
      </c>
    </row>
    <row r="42" spans="1:22" x14ac:dyDescent="0.25">
      <c r="A42" s="335">
        <f>A41+1</f>
        <v>43553</v>
      </c>
      <c r="B42" s="329">
        <f t="shared" si="0"/>
        <v>0</v>
      </c>
      <c r="C42" s="338">
        <f t="shared" si="8"/>
        <v>162366.83000000002</v>
      </c>
      <c r="D42" s="414">
        <f t="shared" si="23"/>
        <v>10.31</v>
      </c>
      <c r="E42" s="49">
        <f t="shared" si="20"/>
        <v>0</v>
      </c>
      <c r="F42" s="35">
        <f t="shared" si="10"/>
        <v>0</v>
      </c>
      <c r="G42" s="414">
        <f t="shared" si="24"/>
        <v>0</v>
      </c>
      <c r="H42" s="49">
        <f t="shared" si="2"/>
        <v>0</v>
      </c>
      <c r="I42" s="35">
        <f t="shared" si="12"/>
        <v>4975.410000000149</v>
      </c>
      <c r="J42" s="414">
        <f t="shared" si="25"/>
        <v>0.32</v>
      </c>
      <c r="K42" s="329">
        <f t="shared" si="3"/>
        <v>0</v>
      </c>
      <c r="L42" s="35">
        <f t="shared" si="14"/>
        <v>0</v>
      </c>
      <c r="M42" s="414">
        <f t="shared" si="26"/>
        <v>0</v>
      </c>
      <c r="N42" s="329">
        <f t="shared" si="4"/>
        <v>0</v>
      </c>
      <c r="O42" s="35">
        <f t="shared" si="16"/>
        <v>0</v>
      </c>
      <c r="P42" s="414">
        <f t="shared" si="28"/>
        <v>0</v>
      </c>
      <c r="Q42" s="329">
        <f t="shared" si="5"/>
        <v>0</v>
      </c>
      <c r="R42" s="35">
        <f t="shared" si="17"/>
        <v>0</v>
      </c>
      <c r="S42" s="414">
        <f t="shared" si="27"/>
        <v>0</v>
      </c>
      <c r="T42" s="880">
        <f>[5]Sheet1!$B456</f>
        <v>1.3067466666666667E-4</v>
      </c>
      <c r="U42" s="10">
        <f t="shared" si="21"/>
        <v>43553</v>
      </c>
      <c r="V42" s="881">
        <f t="shared" si="22"/>
        <v>2.3848126666666667E-2</v>
      </c>
    </row>
    <row r="43" spans="1:22" x14ac:dyDescent="0.25">
      <c r="A43" s="336">
        <f>A42+2</f>
        <v>43555</v>
      </c>
      <c r="B43" s="329">
        <f t="shared" si="0"/>
        <v>0</v>
      </c>
      <c r="C43" s="338">
        <f t="shared" si="8"/>
        <v>162366.83000000002</v>
      </c>
      <c r="D43" s="414">
        <f t="shared" si="23"/>
        <v>21.22</v>
      </c>
      <c r="E43" s="49">
        <f t="shared" si="20"/>
        <v>0</v>
      </c>
      <c r="F43" s="35">
        <f t="shared" si="10"/>
        <v>0</v>
      </c>
      <c r="G43" s="414">
        <f t="shared" si="24"/>
        <v>0</v>
      </c>
      <c r="H43" s="49">
        <f t="shared" si="2"/>
        <v>0</v>
      </c>
      <c r="I43" s="35">
        <f t="shared" si="12"/>
        <v>4975.410000000149</v>
      </c>
      <c r="J43" s="414">
        <f t="shared" si="25"/>
        <v>0.65</v>
      </c>
      <c r="K43" s="329">
        <f t="shared" si="3"/>
        <v>0</v>
      </c>
      <c r="L43" s="35">
        <f t="shared" si="14"/>
        <v>0</v>
      </c>
      <c r="M43" s="414">
        <f t="shared" si="26"/>
        <v>0</v>
      </c>
      <c r="N43" s="329">
        <f t="shared" si="4"/>
        <v>0</v>
      </c>
      <c r="O43" s="35">
        <f t="shared" si="16"/>
        <v>0</v>
      </c>
      <c r="P43" s="414">
        <f t="shared" si="28"/>
        <v>0</v>
      </c>
      <c r="Q43" s="329">
        <f t="shared" si="5"/>
        <v>0</v>
      </c>
      <c r="R43" s="35">
        <f t="shared" si="17"/>
        <v>0</v>
      </c>
      <c r="S43" s="414">
        <f t="shared" si="27"/>
        <v>0</v>
      </c>
      <c r="T43" s="880">
        <f>[5]Sheet1!$B457</f>
        <v>6.5337333333333335E-5</v>
      </c>
      <c r="U43" s="10">
        <f t="shared" si="21"/>
        <v>43555</v>
      </c>
      <c r="V43" s="881">
        <f t="shared" si="22"/>
        <v>2.3848126666666667E-2</v>
      </c>
    </row>
    <row r="44" spans="1:22" x14ac:dyDescent="0.25">
      <c r="A44" s="336">
        <f>A43+1</f>
        <v>43556</v>
      </c>
      <c r="B44" s="329">
        <f t="shared" si="0"/>
        <v>0</v>
      </c>
      <c r="C44" s="338">
        <f t="shared" si="8"/>
        <v>162366.83000000002</v>
      </c>
      <c r="D44" s="414">
        <f t="shared" si="23"/>
        <v>10.61</v>
      </c>
      <c r="E44" s="49">
        <f t="shared" si="20"/>
        <v>0</v>
      </c>
      <c r="F44" s="35">
        <f t="shared" si="10"/>
        <v>0</v>
      </c>
      <c r="G44" s="414">
        <f t="shared" si="24"/>
        <v>0</v>
      </c>
      <c r="H44" s="49">
        <f t="shared" si="2"/>
        <v>0</v>
      </c>
      <c r="I44" s="35">
        <f t="shared" si="12"/>
        <v>4975.410000000149</v>
      </c>
      <c r="J44" s="414">
        <f t="shared" si="25"/>
        <v>0.33</v>
      </c>
      <c r="K44" s="329">
        <f t="shared" si="3"/>
        <v>0</v>
      </c>
      <c r="L44" s="35">
        <f t="shared" si="14"/>
        <v>0</v>
      </c>
      <c r="M44" s="414">
        <f t="shared" si="26"/>
        <v>0</v>
      </c>
      <c r="N44" s="329">
        <f t="shared" si="4"/>
        <v>0</v>
      </c>
      <c r="O44" s="35">
        <f t="shared" si="16"/>
        <v>0</v>
      </c>
      <c r="P44" s="414">
        <f t="shared" si="28"/>
        <v>0</v>
      </c>
      <c r="Q44" s="329">
        <f t="shared" si="5"/>
        <v>0</v>
      </c>
      <c r="R44" s="35">
        <f t="shared" si="17"/>
        <v>0</v>
      </c>
      <c r="S44" s="414">
        <f t="shared" si="27"/>
        <v>0</v>
      </c>
      <c r="T44" s="880">
        <f>[5]Sheet1!$B458</f>
        <v>6.3436999999999996E-5</v>
      </c>
      <c r="U44" s="10">
        <f t="shared" si="21"/>
        <v>43556</v>
      </c>
      <c r="V44" s="881">
        <f t="shared" si="22"/>
        <v>2.3154504999999999E-2</v>
      </c>
    </row>
    <row r="45" spans="1:22" x14ac:dyDescent="0.25">
      <c r="A45" s="335">
        <f>A44+1</f>
        <v>43557</v>
      </c>
      <c r="B45" s="329">
        <f t="shared" si="0"/>
        <v>467.88</v>
      </c>
      <c r="C45" s="338">
        <f t="shared" si="8"/>
        <v>162834.71000000002</v>
      </c>
      <c r="D45" s="414">
        <f t="shared" si="23"/>
        <v>10.3</v>
      </c>
      <c r="E45" s="49">
        <f t="shared" si="20"/>
        <v>0</v>
      </c>
      <c r="F45" s="35">
        <f t="shared" si="10"/>
        <v>0</v>
      </c>
      <c r="G45" s="414">
        <f t="shared" si="24"/>
        <v>0</v>
      </c>
      <c r="H45" s="49">
        <f t="shared" si="2"/>
        <v>148.04</v>
      </c>
      <c r="I45" s="35">
        <f t="shared" si="12"/>
        <v>5123.450000000149</v>
      </c>
      <c r="J45" s="414">
        <f t="shared" si="25"/>
        <v>0.32</v>
      </c>
      <c r="K45" s="329">
        <f t="shared" si="3"/>
        <v>0</v>
      </c>
      <c r="L45" s="35">
        <f t="shared" si="14"/>
        <v>0</v>
      </c>
      <c r="M45" s="414">
        <f t="shared" si="26"/>
        <v>0</v>
      </c>
      <c r="N45" s="329">
        <f t="shared" si="4"/>
        <v>6.06</v>
      </c>
      <c r="O45" s="35">
        <f t="shared" si="16"/>
        <v>6.06</v>
      </c>
      <c r="P45" s="414">
        <f t="shared" si="28"/>
        <v>0</v>
      </c>
      <c r="Q45" s="329">
        <f t="shared" si="5"/>
        <v>0</v>
      </c>
      <c r="R45" s="35">
        <f t="shared" si="17"/>
        <v>0</v>
      </c>
      <c r="S45" s="414">
        <f t="shared" si="27"/>
        <v>0</v>
      </c>
      <c r="T45" s="880">
        <f>[5]Sheet1!$B459</f>
        <v>6.3437999999999998E-5</v>
      </c>
      <c r="U45" s="10">
        <f t="shared" si="21"/>
        <v>43557</v>
      </c>
      <c r="V45" s="881">
        <f t="shared" si="22"/>
        <v>2.3154870000000001E-2</v>
      </c>
    </row>
    <row r="46" spans="1:22" x14ac:dyDescent="0.25">
      <c r="A46" s="335">
        <f>A45+1</f>
        <v>43558</v>
      </c>
      <c r="B46" s="329">
        <f t="shared" si="0"/>
        <v>0</v>
      </c>
      <c r="C46" s="338">
        <f t="shared" si="8"/>
        <v>162834.71000000002</v>
      </c>
      <c r="D46" s="414">
        <f t="shared" si="23"/>
        <v>10.33</v>
      </c>
      <c r="E46" s="49">
        <f t="shared" si="20"/>
        <v>0</v>
      </c>
      <c r="F46" s="35">
        <f t="shared" si="10"/>
        <v>0</v>
      </c>
      <c r="G46" s="414">
        <f t="shared" si="24"/>
        <v>0</v>
      </c>
      <c r="H46" s="49">
        <f t="shared" si="2"/>
        <v>0</v>
      </c>
      <c r="I46" s="35">
        <f t="shared" si="12"/>
        <v>5123.450000000149</v>
      </c>
      <c r="J46" s="414">
        <f t="shared" si="25"/>
        <v>0.33</v>
      </c>
      <c r="K46" s="329">
        <f t="shared" si="3"/>
        <v>0</v>
      </c>
      <c r="L46" s="35">
        <f t="shared" si="14"/>
        <v>0</v>
      </c>
      <c r="M46" s="414">
        <f t="shared" si="26"/>
        <v>0</v>
      </c>
      <c r="N46" s="329">
        <f t="shared" si="4"/>
        <v>0</v>
      </c>
      <c r="O46" s="35">
        <f t="shared" si="16"/>
        <v>6.06</v>
      </c>
      <c r="P46" s="414">
        <f t="shared" si="28"/>
        <v>0</v>
      </c>
      <c r="Q46" s="329">
        <f t="shared" si="5"/>
        <v>0</v>
      </c>
      <c r="R46" s="35">
        <f t="shared" si="17"/>
        <v>0</v>
      </c>
      <c r="S46" s="414">
        <f t="shared" si="27"/>
        <v>0</v>
      </c>
      <c r="T46" s="880">
        <f>[5]Sheet1!$B460</f>
        <v>6.3396000000000001E-5</v>
      </c>
      <c r="U46" s="10">
        <f t="shared" si="21"/>
        <v>43558</v>
      </c>
      <c r="V46" s="881">
        <f t="shared" si="22"/>
        <v>2.313954E-2</v>
      </c>
    </row>
    <row r="47" spans="1:22" x14ac:dyDescent="0.25">
      <c r="A47" s="335">
        <f>A46+1</f>
        <v>43559</v>
      </c>
      <c r="B47" s="329">
        <f t="shared" si="0"/>
        <v>0</v>
      </c>
      <c r="C47" s="338">
        <f t="shared" si="8"/>
        <v>162834.71000000002</v>
      </c>
      <c r="D47" s="414">
        <f t="shared" si="23"/>
        <v>10.32</v>
      </c>
      <c r="E47" s="49">
        <f t="shared" si="20"/>
        <v>0</v>
      </c>
      <c r="F47" s="35">
        <f t="shared" si="10"/>
        <v>0</v>
      </c>
      <c r="G47" s="414">
        <f t="shared" si="24"/>
        <v>0</v>
      </c>
      <c r="H47" s="49">
        <f t="shared" si="2"/>
        <v>0</v>
      </c>
      <c r="I47" s="35">
        <f t="shared" si="12"/>
        <v>5123.450000000149</v>
      </c>
      <c r="J47" s="414">
        <f t="shared" si="25"/>
        <v>0.32</v>
      </c>
      <c r="K47" s="329">
        <f t="shared" si="3"/>
        <v>0</v>
      </c>
      <c r="L47" s="35">
        <f t="shared" si="14"/>
        <v>0</v>
      </c>
      <c r="M47" s="414">
        <f t="shared" si="26"/>
        <v>0</v>
      </c>
      <c r="N47" s="329">
        <f t="shared" si="4"/>
        <v>0</v>
      </c>
      <c r="O47" s="35">
        <f t="shared" si="16"/>
        <v>6.06</v>
      </c>
      <c r="P47" s="414">
        <f t="shared" si="28"/>
        <v>0</v>
      </c>
      <c r="Q47" s="329">
        <f t="shared" si="5"/>
        <v>0</v>
      </c>
      <c r="R47" s="35">
        <f t="shared" si="17"/>
        <v>0</v>
      </c>
      <c r="S47" s="414">
        <f t="shared" si="27"/>
        <v>0</v>
      </c>
      <c r="T47" s="880">
        <f>[5]Sheet1!$B461</f>
        <v>6.3422000000000004E-5</v>
      </c>
      <c r="U47" s="10">
        <f t="shared" si="21"/>
        <v>43559</v>
      </c>
      <c r="V47" s="881">
        <f t="shared" si="22"/>
        <v>2.3149030000000001E-2</v>
      </c>
    </row>
    <row r="48" spans="1:22" x14ac:dyDescent="0.25">
      <c r="A48" s="335">
        <f>A47+1</f>
        <v>43560</v>
      </c>
      <c r="B48" s="329">
        <f t="shared" si="0"/>
        <v>0</v>
      </c>
      <c r="C48" s="338">
        <f t="shared" si="8"/>
        <v>162834.71000000002</v>
      </c>
      <c r="D48" s="414">
        <f t="shared" si="23"/>
        <v>10.33</v>
      </c>
      <c r="E48" s="49">
        <f t="shared" si="20"/>
        <v>0</v>
      </c>
      <c r="F48" s="35">
        <f t="shared" si="10"/>
        <v>0</v>
      </c>
      <c r="G48" s="414">
        <f t="shared" si="24"/>
        <v>0</v>
      </c>
      <c r="H48" s="49">
        <f t="shared" si="2"/>
        <v>0</v>
      </c>
      <c r="I48" s="35">
        <f t="shared" si="12"/>
        <v>5123.450000000149</v>
      </c>
      <c r="J48" s="414">
        <f t="shared" si="25"/>
        <v>0.32</v>
      </c>
      <c r="K48" s="329">
        <f t="shared" si="3"/>
        <v>0</v>
      </c>
      <c r="L48" s="35">
        <f t="shared" si="14"/>
        <v>0</v>
      </c>
      <c r="M48" s="414">
        <f t="shared" si="26"/>
        <v>0</v>
      </c>
      <c r="N48" s="329">
        <f t="shared" si="4"/>
        <v>0</v>
      </c>
      <c r="O48" s="35">
        <f t="shared" si="16"/>
        <v>6.06</v>
      </c>
      <c r="P48" s="414">
        <f t="shared" si="28"/>
        <v>0</v>
      </c>
      <c r="Q48" s="329">
        <f t="shared" si="5"/>
        <v>0</v>
      </c>
      <c r="R48" s="35">
        <f t="shared" si="17"/>
        <v>0</v>
      </c>
      <c r="S48" s="414">
        <f t="shared" si="27"/>
        <v>0</v>
      </c>
      <c r="T48" s="880">
        <f>[5]Sheet1!$B462</f>
        <v>1.8997099999999999E-4</v>
      </c>
      <c r="U48" s="10">
        <f t="shared" si="21"/>
        <v>43560</v>
      </c>
      <c r="V48" s="881">
        <f t="shared" si="22"/>
        <v>2.3113138333333335E-2</v>
      </c>
    </row>
    <row r="49" spans="1:22" x14ac:dyDescent="0.25">
      <c r="A49" s="336">
        <f>A48+3</f>
        <v>43563</v>
      </c>
      <c r="B49" s="329">
        <f t="shared" si="0"/>
        <v>0</v>
      </c>
      <c r="C49" s="338">
        <f t="shared" si="8"/>
        <v>162834.71000000002</v>
      </c>
      <c r="D49" s="414">
        <f t="shared" si="23"/>
        <v>30.93</v>
      </c>
      <c r="E49" s="49">
        <f t="shared" si="20"/>
        <v>0</v>
      </c>
      <c r="F49" s="35">
        <f t="shared" si="10"/>
        <v>0</v>
      </c>
      <c r="G49" s="414">
        <f t="shared" si="24"/>
        <v>0</v>
      </c>
      <c r="H49" s="49">
        <f t="shared" si="2"/>
        <v>0</v>
      </c>
      <c r="I49" s="35">
        <f t="shared" si="12"/>
        <v>5123.450000000149</v>
      </c>
      <c r="J49" s="414">
        <f t="shared" si="25"/>
        <v>0.97</v>
      </c>
      <c r="K49" s="329">
        <f t="shared" si="3"/>
        <v>0</v>
      </c>
      <c r="L49" s="35">
        <f t="shared" si="14"/>
        <v>0</v>
      </c>
      <c r="M49" s="414">
        <f t="shared" si="26"/>
        <v>0</v>
      </c>
      <c r="N49" s="329">
        <f t="shared" si="4"/>
        <v>0</v>
      </c>
      <c r="O49" s="35">
        <f t="shared" si="16"/>
        <v>6.06</v>
      </c>
      <c r="P49" s="414">
        <f t="shared" si="28"/>
        <v>0</v>
      </c>
      <c r="Q49" s="329">
        <f t="shared" si="5"/>
        <v>0</v>
      </c>
      <c r="R49" s="35">
        <f t="shared" si="17"/>
        <v>0</v>
      </c>
      <c r="S49" s="414">
        <f t="shared" si="27"/>
        <v>0</v>
      </c>
      <c r="T49" s="880">
        <f>[5]Sheet1!$B463</f>
        <v>6.3306999999999995E-5</v>
      </c>
      <c r="U49" s="10">
        <f t="shared" si="21"/>
        <v>43563</v>
      </c>
      <c r="V49" s="881">
        <f t="shared" si="22"/>
        <v>2.3107054999999998E-2</v>
      </c>
    </row>
    <row r="50" spans="1:22" x14ac:dyDescent="0.25">
      <c r="A50" s="335">
        <f>A49+1</f>
        <v>43564</v>
      </c>
      <c r="B50" s="329">
        <f t="shared" si="0"/>
        <v>0</v>
      </c>
      <c r="C50" s="338">
        <f t="shared" si="8"/>
        <v>162834.71000000002</v>
      </c>
      <c r="D50" s="414">
        <f t="shared" si="23"/>
        <v>10.31</v>
      </c>
      <c r="E50" s="49">
        <f t="shared" si="20"/>
        <v>0</v>
      </c>
      <c r="F50" s="35">
        <f t="shared" si="10"/>
        <v>0</v>
      </c>
      <c r="G50" s="414">
        <f t="shared" si="24"/>
        <v>0</v>
      </c>
      <c r="H50" s="49">
        <f t="shared" si="2"/>
        <v>0</v>
      </c>
      <c r="I50" s="35">
        <f t="shared" si="12"/>
        <v>5123.450000000149</v>
      </c>
      <c r="J50" s="414">
        <f t="shared" si="25"/>
        <v>0.32</v>
      </c>
      <c r="K50" s="329">
        <f t="shared" si="3"/>
        <v>0</v>
      </c>
      <c r="L50" s="35">
        <f t="shared" si="14"/>
        <v>0</v>
      </c>
      <c r="M50" s="414">
        <f t="shared" si="26"/>
        <v>0</v>
      </c>
      <c r="N50" s="329">
        <f t="shared" si="4"/>
        <v>0</v>
      </c>
      <c r="O50" s="35">
        <f t="shared" si="16"/>
        <v>6.06</v>
      </c>
      <c r="P50" s="414">
        <f t="shared" si="28"/>
        <v>0</v>
      </c>
      <c r="Q50" s="329">
        <f t="shared" si="5"/>
        <v>0</v>
      </c>
      <c r="R50" s="35">
        <f t="shared" si="17"/>
        <v>0</v>
      </c>
      <c r="S50" s="414">
        <f t="shared" si="27"/>
        <v>0</v>
      </c>
      <c r="T50" s="880">
        <f>[5]Sheet1!$B464</f>
        <v>6.3102999999999995E-5</v>
      </c>
      <c r="U50" s="10">
        <f t="shared" si="21"/>
        <v>43564</v>
      </c>
      <c r="V50" s="881">
        <f t="shared" si="22"/>
        <v>2.3032594999999999E-2</v>
      </c>
    </row>
    <row r="51" spans="1:22" x14ac:dyDescent="0.25">
      <c r="A51" s="335">
        <f>A50+1</f>
        <v>43565</v>
      </c>
      <c r="B51" s="329">
        <f t="shared" si="0"/>
        <v>0</v>
      </c>
      <c r="C51" s="338">
        <f t="shared" si="8"/>
        <v>162834.71000000002</v>
      </c>
      <c r="D51" s="414">
        <f t="shared" si="23"/>
        <v>10.28</v>
      </c>
      <c r="E51" s="49">
        <f t="shared" si="20"/>
        <v>0</v>
      </c>
      <c r="F51" s="35">
        <f t="shared" si="10"/>
        <v>0</v>
      </c>
      <c r="G51" s="414">
        <f t="shared" si="24"/>
        <v>0</v>
      </c>
      <c r="H51" s="49">
        <f t="shared" si="2"/>
        <v>0</v>
      </c>
      <c r="I51" s="35">
        <f t="shared" si="12"/>
        <v>5123.450000000149</v>
      </c>
      <c r="J51" s="414">
        <f t="shared" si="25"/>
        <v>0.32</v>
      </c>
      <c r="K51" s="329">
        <f t="shared" si="3"/>
        <v>0</v>
      </c>
      <c r="L51" s="35">
        <f t="shared" si="14"/>
        <v>0</v>
      </c>
      <c r="M51" s="414">
        <f t="shared" si="26"/>
        <v>0</v>
      </c>
      <c r="N51" s="329">
        <f t="shared" si="4"/>
        <v>0</v>
      </c>
      <c r="O51" s="35">
        <f t="shared" si="16"/>
        <v>6.06</v>
      </c>
      <c r="P51" s="414">
        <f t="shared" si="28"/>
        <v>0</v>
      </c>
      <c r="Q51" s="329">
        <f t="shared" si="5"/>
        <v>0</v>
      </c>
      <c r="R51" s="35">
        <f t="shared" si="17"/>
        <v>0</v>
      </c>
      <c r="S51" s="414">
        <f t="shared" si="27"/>
        <v>0</v>
      </c>
      <c r="T51" s="880">
        <f>[5]Sheet1!$B465</f>
        <v>6.3198E-5</v>
      </c>
      <c r="U51" s="10">
        <f t="shared" si="21"/>
        <v>43565</v>
      </c>
      <c r="V51" s="881">
        <f t="shared" si="22"/>
        <v>2.3067270000000001E-2</v>
      </c>
    </row>
    <row r="52" spans="1:22" x14ac:dyDescent="0.25">
      <c r="A52" s="335">
        <f>A51+1</f>
        <v>43566</v>
      </c>
      <c r="B52" s="329">
        <f t="shared" si="0"/>
        <v>0</v>
      </c>
      <c r="C52" s="338">
        <f t="shared" si="8"/>
        <v>162834.71000000002</v>
      </c>
      <c r="D52" s="414">
        <f t="shared" si="23"/>
        <v>10.29</v>
      </c>
      <c r="E52" s="49">
        <f t="shared" si="20"/>
        <v>0</v>
      </c>
      <c r="F52" s="35">
        <f t="shared" si="10"/>
        <v>0</v>
      </c>
      <c r="G52" s="414">
        <f t="shared" si="24"/>
        <v>0</v>
      </c>
      <c r="H52" s="49">
        <f t="shared" si="2"/>
        <v>0</v>
      </c>
      <c r="I52" s="35">
        <f t="shared" si="12"/>
        <v>5123.450000000149</v>
      </c>
      <c r="J52" s="414">
        <f t="shared" si="25"/>
        <v>0.32</v>
      </c>
      <c r="K52" s="329">
        <f t="shared" si="3"/>
        <v>0</v>
      </c>
      <c r="L52" s="35">
        <f t="shared" si="14"/>
        <v>0</v>
      </c>
      <c r="M52" s="414">
        <f t="shared" si="26"/>
        <v>0</v>
      </c>
      <c r="N52" s="329">
        <f t="shared" si="4"/>
        <v>0</v>
      </c>
      <c r="O52" s="35">
        <f t="shared" si="16"/>
        <v>6.06</v>
      </c>
      <c r="P52" s="414">
        <f t="shared" si="28"/>
        <v>0</v>
      </c>
      <c r="Q52" s="329">
        <f t="shared" si="5"/>
        <v>0</v>
      </c>
      <c r="R52" s="35">
        <f t="shared" si="17"/>
        <v>0</v>
      </c>
      <c r="S52" s="414">
        <f t="shared" si="27"/>
        <v>0</v>
      </c>
      <c r="T52" s="880">
        <f>[5]Sheet1!$B466</f>
        <v>6.3022999999999996E-5</v>
      </c>
      <c r="U52" s="10">
        <f t="shared" si="21"/>
        <v>43566</v>
      </c>
      <c r="V52" s="881">
        <f t="shared" si="22"/>
        <v>2.3003394999999999E-2</v>
      </c>
    </row>
    <row r="53" spans="1:22" x14ac:dyDescent="0.25">
      <c r="A53" s="335">
        <f>A52+1</f>
        <v>43567</v>
      </c>
      <c r="B53" s="329">
        <f t="shared" si="0"/>
        <v>0</v>
      </c>
      <c r="C53" s="338">
        <f t="shared" si="8"/>
        <v>162834.71000000002</v>
      </c>
      <c r="D53" s="414">
        <f t="shared" si="23"/>
        <v>10.26</v>
      </c>
      <c r="E53" s="49">
        <f t="shared" si="20"/>
        <v>0</v>
      </c>
      <c r="F53" s="35">
        <f t="shared" si="10"/>
        <v>0</v>
      </c>
      <c r="G53" s="414">
        <f t="shared" si="24"/>
        <v>0</v>
      </c>
      <c r="H53" s="49">
        <f t="shared" si="2"/>
        <v>0</v>
      </c>
      <c r="I53" s="35">
        <f t="shared" si="12"/>
        <v>5123.450000000149</v>
      </c>
      <c r="J53" s="414">
        <f t="shared" si="25"/>
        <v>0.32</v>
      </c>
      <c r="K53" s="329">
        <f t="shared" si="3"/>
        <v>0</v>
      </c>
      <c r="L53" s="35">
        <f t="shared" si="14"/>
        <v>0</v>
      </c>
      <c r="M53" s="414">
        <f t="shared" si="26"/>
        <v>0</v>
      </c>
      <c r="N53" s="329">
        <f t="shared" si="4"/>
        <v>0</v>
      </c>
      <c r="O53" s="35">
        <f t="shared" si="16"/>
        <v>6.06</v>
      </c>
      <c r="P53" s="414">
        <f t="shared" si="28"/>
        <v>0</v>
      </c>
      <c r="Q53" s="329">
        <f t="shared" si="5"/>
        <v>0</v>
      </c>
      <c r="R53" s="35">
        <f t="shared" si="17"/>
        <v>0</v>
      </c>
      <c r="S53" s="414">
        <f t="shared" si="27"/>
        <v>0</v>
      </c>
      <c r="T53" s="880">
        <f>[5]Sheet1!$B467</f>
        <v>1.88932E-4</v>
      </c>
      <c r="U53" s="10">
        <f t="shared" si="21"/>
        <v>43567</v>
      </c>
      <c r="V53" s="881">
        <f t="shared" si="22"/>
        <v>2.2986726666666665E-2</v>
      </c>
    </row>
    <row r="54" spans="1:22" x14ac:dyDescent="0.25">
      <c r="A54" s="336">
        <f>A53+3</f>
        <v>43570</v>
      </c>
      <c r="B54" s="329">
        <f t="shared" si="0"/>
        <v>0</v>
      </c>
      <c r="C54" s="338">
        <f t="shared" si="8"/>
        <v>162834.71000000002</v>
      </c>
      <c r="D54" s="414">
        <f t="shared" si="23"/>
        <v>30.76</v>
      </c>
      <c r="E54" s="49">
        <f t="shared" si="20"/>
        <v>0</v>
      </c>
      <c r="F54" s="35">
        <f t="shared" si="10"/>
        <v>0</v>
      </c>
      <c r="G54" s="414">
        <f t="shared" si="24"/>
        <v>0</v>
      </c>
      <c r="H54" s="49">
        <f t="shared" si="2"/>
        <v>-114.41</v>
      </c>
      <c r="I54" s="35">
        <f t="shared" si="12"/>
        <v>5009.0400000001491</v>
      </c>
      <c r="J54" s="414">
        <f t="shared" si="25"/>
        <v>0.97</v>
      </c>
      <c r="K54" s="329">
        <f t="shared" si="3"/>
        <v>0</v>
      </c>
      <c r="L54" s="35">
        <f t="shared" si="14"/>
        <v>0</v>
      </c>
      <c r="M54" s="414">
        <f t="shared" si="26"/>
        <v>0</v>
      </c>
      <c r="N54" s="329">
        <f t="shared" si="4"/>
        <v>0</v>
      </c>
      <c r="O54" s="35">
        <f t="shared" si="16"/>
        <v>6.06</v>
      </c>
      <c r="P54" s="414">
        <f t="shared" si="28"/>
        <v>0</v>
      </c>
      <c r="Q54" s="329">
        <f t="shared" si="5"/>
        <v>0</v>
      </c>
      <c r="R54" s="35">
        <f t="shared" si="17"/>
        <v>0</v>
      </c>
      <c r="S54" s="414">
        <f t="shared" si="27"/>
        <v>0</v>
      </c>
      <c r="T54" s="880">
        <f>[5]Sheet1!$B468</f>
        <v>6.3181000000000004E-5</v>
      </c>
      <c r="U54" s="10">
        <f t="shared" si="21"/>
        <v>43570</v>
      </c>
      <c r="V54" s="881">
        <f t="shared" si="22"/>
        <v>2.3061065000000002E-2</v>
      </c>
    </row>
    <row r="55" spans="1:22" x14ac:dyDescent="0.25">
      <c r="A55" s="335">
        <f>A54+1</f>
        <v>43571</v>
      </c>
      <c r="B55" s="329">
        <f t="shared" si="0"/>
        <v>5889.68</v>
      </c>
      <c r="C55" s="338">
        <f t="shared" si="8"/>
        <v>168724.39</v>
      </c>
      <c r="D55" s="414">
        <f t="shared" si="23"/>
        <v>10.29</v>
      </c>
      <c r="E55" s="49">
        <f t="shared" si="20"/>
        <v>0</v>
      </c>
      <c r="F55" s="35">
        <f t="shared" si="10"/>
        <v>0</v>
      </c>
      <c r="G55" s="414">
        <f t="shared" si="24"/>
        <v>0</v>
      </c>
      <c r="H55" s="49">
        <f t="shared" si="2"/>
        <v>9662.3700000000008</v>
      </c>
      <c r="I55" s="35">
        <f t="shared" si="12"/>
        <v>14671.410000000149</v>
      </c>
      <c r="J55" s="414">
        <f t="shared" si="25"/>
        <v>0.32</v>
      </c>
      <c r="K55" s="329">
        <f t="shared" si="3"/>
        <v>0</v>
      </c>
      <c r="L55" s="35">
        <f t="shared" si="14"/>
        <v>0</v>
      </c>
      <c r="M55" s="414">
        <f t="shared" si="26"/>
        <v>0</v>
      </c>
      <c r="N55" s="329">
        <f t="shared" si="4"/>
        <v>0</v>
      </c>
      <c r="O55" s="35">
        <f t="shared" si="16"/>
        <v>6.06</v>
      </c>
      <c r="P55" s="414">
        <f t="shared" si="28"/>
        <v>0</v>
      </c>
      <c r="Q55" s="329">
        <f t="shared" si="5"/>
        <v>0</v>
      </c>
      <c r="R55" s="35">
        <f t="shared" si="17"/>
        <v>0</v>
      </c>
      <c r="S55" s="414">
        <f t="shared" si="27"/>
        <v>0</v>
      </c>
      <c r="T55" s="880">
        <f>[5]Sheet1!$B469</f>
        <v>6.3405999999999996E-5</v>
      </c>
      <c r="U55" s="10">
        <f t="shared" si="21"/>
        <v>43571</v>
      </c>
      <c r="V55" s="881">
        <f t="shared" si="22"/>
        <v>2.3143189999999998E-2</v>
      </c>
    </row>
    <row r="56" spans="1:22" x14ac:dyDescent="0.25">
      <c r="A56" s="335">
        <f>A55+1</f>
        <v>43572</v>
      </c>
      <c r="B56" s="329">
        <f t="shared" si="0"/>
        <v>0</v>
      </c>
      <c r="C56" s="338">
        <f t="shared" si="8"/>
        <v>168724.39</v>
      </c>
      <c r="D56" s="414">
        <f t="shared" si="23"/>
        <v>10.7</v>
      </c>
      <c r="E56" s="49">
        <f t="shared" si="20"/>
        <v>0</v>
      </c>
      <c r="F56" s="35">
        <f t="shared" si="10"/>
        <v>0</v>
      </c>
      <c r="G56" s="414">
        <f t="shared" si="24"/>
        <v>0</v>
      </c>
      <c r="H56" s="49">
        <f t="shared" si="2"/>
        <v>0</v>
      </c>
      <c r="I56" s="35">
        <f t="shared" si="12"/>
        <v>14671.410000000149</v>
      </c>
      <c r="J56" s="414">
        <f t="shared" si="25"/>
        <v>0.93</v>
      </c>
      <c r="K56" s="329">
        <f t="shared" si="3"/>
        <v>0</v>
      </c>
      <c r="L56" s="35">
        <f t="shared" si="14"/>
        <v>0</v>
      </c>
      <c r="M56" s="414">
        <f t="shared" si="26"/>
        <v>0</v>
      </c>
      <c r="N56" s="329">
        <f t="shared" si="4"/>
        <v>0</v>
      </c>
      <c r="O56" s="35">
        <f t="shared" si="16"/>
        <v>6.06</v>
      </c>
      <c r="P56" s="414">
        <f t="shared" si="28"/>
        <v>0</v>
      </c>
      <c r="Q56" s="329">
        <f t="shared" si="5"/>
        <v>0</v>
      </c>
      <c r="R56" s="35">
        <f t="shared" si="17"/>
        <v>0</v>
      </c>
      <c r="S56" s="414">
        <f t="shared" si="27"/>
        <v>0</v>
      </c>
      <c r="T56" s="880">
        <f>[5]Sheet1!$B470</f>
        <v>6.3851999999999998E-5</v>
      </c>
      <c r="U56" s="10">
        <f t="shared" si="21"/>
        <v>43572</v>
      </c>
      <c r="V56" s="881">
        <f t="shared" si="22"/>
        <v>2.330598E-2</v>
      </c>
    </row>
    <row r="57" spans="1:22" x14ac:dyDescent="0.25">
      <c r="A57" s="335">
        <f>A56+1</f>
        <v>43573</v>
      </c>
      <c r="B57" s="329">
        <f t="shared" si="0"/>
        <v>0</v>
      </c>
      <c r="C57" s="338">
        <f t="shared" si="8"/>
        <v>168724.39</v>
      </c>
      <c r="D57" s="414">
        <f t="shared" si="23"/>
        <v>10.77</v>
      </c>
      <c r="E57" s="49">
        <f t="shared" si="20"/>
        <v>0</v>
      </c>
      <c r="F57" s="35">
        <f t="shared" si="10"/>
        <v>0</v>
      </c>
      <c r="G57" s="414">
        <f t="shared" si="24"/>
        <v>0</v>
      </c>
      <c r="H57" s="49">
        <f t="shared" si="2"/>
        <v>0</v>
      </c>
      <c r="I57" s="35">
        <f t="shared" si="12"/>
        <v>14671.410000000149</v>
      </c>
      <c r="J57" s="414">
        <f t="shared" si="25"/>
        <v>0.94</v>
      </c>
      <c r="K57" s="329">
        <f t="shared" si="3"/>
        <v>0</v>
      </c>
      <c r="L57" s="35">
        <f t="shared" si="14"/>
        <v>0</v>
      </c>
      <c r="M57" s="414">
        <f t="shared" si="26"/>
        <v>0</v>
      </c>
      <c r="N57" s="329">
        <f t="shared" si="4"/>
        <v>0</v>
      </c>
      <c r="O57" s="35">
        <f t="shared" si="16"/>
        <v>6.06</v>
      </c>
      <c r="P57" s="414">
        <f t="shared" si="28"/>
        <v>0</v>
      </c>
      <c r="Q57" s="329">
        <f t="shared" si="5"/>
        <v>0</v>
      </c>
      <c r="R57" s="35">
        <f t="shared" si="17"/>
        <v>0</v>
      </c>
      <c r="S57" s="414">
        <f t="shared" si="27"/>
        <v>0</v>
      </c>
      <c r="T57" s="880">
        <f>[5]Sheet1!$B471</f>
        <v>2.5543300000000001E-4</v>
      </c>
      <c r="U57" s="10">
        <f t="shared" si="21"/>
        <v>43573</v>
      </c>
      <c r="V57" s="881">
        <f t="shared" si="22"/>
        <v>2.330826125E-2</v>
      </c>
    </row>
    <row r="58" spans="1:22" x14ac:dyDescent="0.25">
      <c r="A58" s="336">
        <f>A57+4</f>
        <v>43577</v>
      </c>
      <c r="B58" s="329">
        <f t="shared" si="0"/>
        <v>0</v>
      </c>
      <c r="C58" s="338">
        <f t="shared" si="8"/>
        <v>168724.39</v>
      </c>
      <c r="D58" s="414">
        <f t="shared" si="23"/>
        <v>43.1</v>
      </c>
      <c r="E58" s="49">
        <f t="shared" si="20"/>
        <v>0</v>
      </c>
      <c r="F58" s="35">
        <f t="shared" si="10"/>
        <v>0</v>
      </c>
      <c r="G58" s="414">
        <f t="shared" si="24"/>
        <v>0</v>
      </c>
      <c r="H58" s="49">
        <f t="shared" si="2"/>
        <v>0</v>
      </c>
      <c r="I58" s="35">
        <f t="shared" si="12"/>
        <v>14671.410000000149</v>
      </c>
      <c r="J58" s="414">
        <f t="shared" si="25"/>
        <v>3.75</v>
      </c>
      <c r="K58" s="329">
        <f t="shared" si="3"/>
        <v>0</v>
      </c>
      <c r="L58" s="35">
        <f t="shared" si="14"/>
        <v>0</v>
      </c>
      <c r="M58" s="414">
        <f t="shared" si="26"/>
        <v>0</v>
      </c>
      <c r="N58" s="329">
        <f t="shared" si="4"/>
        <v>0</v>
      </c>
      <c r="O58" s="35">
        <f t="shared" si="16"/>
        <v>6.06</v>
      </c>
      <c r="P58" s="414">
        <f t="shared" si="28"/>
        <v>0</v>
      </c>
      <c r="Q58" s="329">
        <f t="shared" si="5"/>
        <v>0</v>
      </c>
      <c r="R58" s="35">
        <f t="shared" si="17"/>
        <v>0</v>
      </c>
      <c r="S58" s="414">
        <f t="shared" si="27"/>
        <v>0</v>
      </c>
      <c r="T58" s="880">
        <f>[5]Sheet1!$B472</f>
        <v>6.2844999999999999E-5</v>
      </c>
      <c r="U58" s="10">
        <f t="shared" si="21"/>
        <v>43577</v>
      </c>
      <c r="V58" s="881">
        <f t="shared" si="22"/>
        <v>2.2938424999999998E-2</v>
      </c>
    </row>
    <row r="59" spans="1:22" x14ac:dyDescent="0.25">
      <c r="A59" s="335">
        <f>A58+1</f>
        <v>43578</v>
      </c>
      <c r="B59" s="329">
        <f t="shared" si="0"/>
        <v>0</v>
      </c>
      <c r="C59" s="338">
        <f t="shared" si="8"/>
        <v>168724.39</v>
      </c>
      <c r="D59" s="414">
        <f t="shared" si="23"/>
        <v>10.6</v>
      </c>
      <c r="E59" s="49">
        <f t="shared" si="20"/>
        <v>0</v>
      </c>
      <c r="F59" s="35">
        <f t="shared" si="10"/>
        <v>0</v>
      </c>
      <c r="G59" s="414">
        <f t="shared" si="24"/>
        <v>0</v>
      </c>
      <c r="H59" s="49">
        <f t="shared" si="2"/>
        <v>0</v>
      </c>
      <c r="I59" s="35">
        <f t="shared" si="12"/>
        <v>14671.410000000149</v>
      </c>
      <c r="J59" s="414">
        <f t="shared" si="25"/>
        <v>0.92</v>
      </c>
      <c r="K59" s="329">
        <f t="shared" si="3"/>
        <v>0</v>
      </c>
      <c r="L59" s="35">
        <f t="shared" si="14"/>
        <v>0</v>
      </c>
      <c r="M59" s="414">
        <f t="shared" si="26"/>
        <v>0</v>
      </c>
      <c r="N59" s="329">
        <f t="shared" si="4"/>
        <v>0</v>
      </c>
      <c r="O59" s="35">
        <f t="shared" si="16"/>
        <v>6.06</v>
      </c>
      <c r="P59" s="414">
        <f t="shared" si="28"/>
        <v>0</v>
      </c>
      <c r="Q59" s="329">
        <f t="shared" si="5"/>
        <v>0</v>
      </c>
      <c r="R59" s="35">
        <f t="shared" si="17"/>
        <v>0</v>
      </c>
      <c r="S59" s="414">
        <f t="shared" si="27"/>
        <v>0</v>
      </c>
      <c r="T59" s="880">
        <f>[5]Sheet1!$B473</f>
        <v>6.3668000000000001E-5</v>
      </c>
      <c r="U59" s="10">
        <f t="shared" si="21"/>
        <v>43578</v>
      </c>
      <c r="V59" s="881">
        <f t="shared" si="22"/>
        <v>2.323882E-2</v>
      </c>
    </row>
    <row r="60" spans="1:22" x14ac:dyDescent="0.25">
      <c r="A60" s="335">
        <f>A59+1</f>
        <v>43579</v>
      </c>
      <c r="B60" s="329">
        <f t="shared" si="0"/>
        <v>0</v>
      </c>
      <c r="C60" s="338">
        <f t="shared" si="8"/>
        <v>168724.39</v>
      </c>
      <c r="D60" s="414">
        <f t="shared" si="23"/>
        <v>10.74</v>
      </c>
      <c r="E60" s="49">
        <f t="shared" si="20"/>
        <v>0</v>
      </c>
      <c r="F60" s="35">
        <f t="shared" si="10"/>
        <v>0</v>
      </c>
      <c r="G60" s="414">
        <f t="shared" si="24"/>
        <v>0</v>
      </c>
      <c r="H60" s="49">
        <f t="shared" si="2"/>
        <v>0</v>
      </c>
      <c r="I60" s="35">
        <f t="shared" si="12"/>
        <v>14671.410000000149</v>
      </c>
      <c r="J60" s="414">
        <f t="shared" si="25"/>
        <v>0.93</v>
      </c>
      <c r="K60" s="329">
        <f t="shared" si="3"/>
        <v>0</v>
      </c>
      <c r="L60" s="35">
        <f t="shared" si="14"/>
        <v>0</v>
      </c>
      <c r="M60" s="414">
        <f t="shared" si="26"/>
        <v>0</v>
      </c>
      <c r="N60" s="329">
        <f t="shared" si="4"/>
        <v>0</v>
      </c>
      <c r="O60" s="35">
        <f t="shared" si="16"/>
        <v>6.06</v>
      </c>
      <c r="P60" s="414">
        <f t="shared" si="28"/>
        <v>0</v>
      </c>
      <c r="Q60" s="329">
        <f t="shared" si="5"/>
        <v>0</v>
      </c>
      <c r="R60" s="35">
        <f t="shared" si="17"/>
        <v>0</v>
      </c>
      <c r="S60" s="414">
        <f t="shared" si="27"/>
        <v>0</v>
      </c>
      <c r="T60" s="880">
        <f>[5]Sheet1!$B474</f>
        <v>6.3153999999999999E-5</v>
      </c>
      <c r="U60" s="10">
        <f t="shared" si="21"/>
        <v>43579</v>
      </c>
      <c r="V60" s="881">
        <f t="shared" si="22"/>
        <v>2.3051209999999999E-2</v>
      </c>
    </row>
    <row r="61" spans="1:22" x14ac:dyDescent="0.25">
      <c r="A61" s="335">
        <f>A60+1</f>
        <v>43580</v>
      </c>
      <c r="B61" s="329">
        <f t="shared" si="0"/>
        <v>0</v>
      </c>
      <c r="C61" s="338">
        <f t="shared" si="8"/>
        <v>168724.39</v>
      </c>
      <c r="D61" s="414">
        <f t="shared" si="23"/>
        <v>10.66</v>
      </c>
      <c r="E61" s="49">
        <f t="shared" si="20"/>
        <v>0</v>
      </c>
      <c r="F61" s="35">
        <f t="shared" si="10"/>
        <v>0</v>
      </c>
      <c r="G61" s="414">
        <f t="shared" si="24"/>
        <v>0</v>
      </c>
      <c r="H61" s="49">
        <f t="shared" si="2"/>
        <v>0</v>
      </c>
      <c r="I61" s="35">
        <f t="shared" si="12"/>
        <v>14671.410000000149</v>
      </c>
      <c r="J61" s="414">
        <f t="shared" si="25"/>
        <v>0.93</v>
      </c>
      <c r="K61" s="329">
        <f t="shared" si="3"/>
        <v>0</v>
      </c>
      <c r="L61" s="35">
        <f t="shared" si="14"/>
        <v>0</v>
      </c>
      <c r="M61" s="414">
        <f t="shared" si="26"/>
        <v>0</v>
      </c>
      <c r="N61" s="329">
        <f t="shared" si="4"/>
        <v>0</v>
      </c>
      <c r="O61" s="35">
        <f t="shared" si="16"/>
        <v>6.06</v>
      </c>
      <c r="P61" s="414">
        <f t="shared" si="28"/>
        <v>0</v>
      </c>
      <c r="Q61" s="329">
        <f t="shared" si="5"/>
        <v>0</v>
      </c>
      <c r="R61" s="35">
        <f t="shared" si="17"/>
        <v>0</v>
      </c>
      <c r="S61" s="414">
        <f t="shared" si="27"/>
        <v>0</v>
      </c>
      <c r="T61" s="880">
        <f>[5]Sheet1!$B475</f>
        <v>6.2856999999999998E-5</v>
      </c>
      <c r="U61" s="10">
        <f t="shared" si="21"/>
        <v>43580</v>
      </c>
      <c r="V61" s="881">
        <f t="shared" si="22"/>
        <v>2.2942805E-2</v>
      </c>
    </row>
    <row r="62" spans="1:22" x14ac:dyDescent="0.25">
      <c r="A62" s="335">
        <f>A61+1</f>
        <v>43581</v>
      </c>
      <c r="B62" s="329">
        <f t="shared" si="0"/>
        <v>0</v>
      </c>
      <c r="C62" s="338">
        <f t="shared" si="8"/>
        <v>168724.39</v>
      </c>
      <c r="D62" s="414">
        <f t="shared" si="23"/>
        <v>10.61</v>
      </c>
      <c r="E62" s="49">
        <f t="shared" si="20"/>
        <v>0</v>
      </c>
      <c r="F62" s="35">
        <f t="shared" si="10"/>
        <v>0</v>
      </c>
      <c r="G62" s="414">
        <f t="shared" si="24"/>
        <v>0</v>
      </c>
      <c r="H62" s="49">
        <f t="shared" si="2"/>
        <v>0</v>
      </c>
      <c r="I62" s="35">
        <f t="shared" si="12"/>
        <v>14671.410000000149</v>
      </c>
      <c r="J62" s="414">
        <f t="shared" si="25"/>
        <v>0.92</v>
      </c>
      <c r="K62" s="329">
        <f t="shared" si="3"/>
        <v>0</v>
      </c>
      <c r="L62" s="35">
        <f t="shared" si="14"/>
        <v>0</v>
      </c>
      <c r="M62" s="414">
        <f t="shared" si="26"/>
        <v>0</v>
      </c>
      <c r="N62" s="329">
        <f t="shared" si="4"/>
        <v>0</v>
      </c>
      <c r="O62" s="35">
        <f t="shared" si="16"/>
        <v>6.06</v>
      </c>
      <c r="P62" s="414">
        <f t="shared" si="28"/>
        <v>0</v>
      </c>
      <c r="Q62" s="329">
        <f t="shared" si="5"/>
        <v>0</v>
      </c>
      <c r="R62" s="35">
        <f t="shared" si="17"/>
        <v>0</v>
      </c>
      <c r="S62" s="414">
        <f t="shared" si="27"/>
        <v>0</v>
      </c>
      <c r="T62" s="880">
        <f>[5]Sheet1!$B476</f>
        <v>1.90039E-4</v>
      </c>
      <c r="U62" s="10">
        <f t="shared" si="21"/>
        <v>43581</v>
      </c>
      <c r="V62" s="881">
        <f t="shared" si="22"/>
        <v>2.3121411666666664E-2</v>
      </c>
    </row>
    <row r="63" spans="1:22" x14ac:dyDescent="0.25">
      <c r="A63" s="336">
        <f>A62+3</f>
        <v>43584</v>
      </c>
      <c r="B63" s="329">
        <f t="shared" si="0"/>
        <v>0</v>
      </c>
      <c r="C63" s="338">
        <f t="shared" si="8"/>
        <v>168724.39</v>
      </c>
      <c r="D63" s="414">
        <f t="shared" si="23"/>
        <v>32.06</v>
      </c>
      <c r="E63" s="49">
        <f t="shared" si="20"/>
        <v>0</v>
      </c>
      <c r="F63" s="35">
        <f t="shared" si="10"/>
        <v>0</v>
      </c>
      <c r="G63" s="414">
        <f t="shared" si="24"/>
        <v>0</v>
      </c>
      <c r="H63" s="49">
        <f t="shared" si="2"/>
        <v>0</v>
      </c>
      <c r="I63" s="35">
        <f t="shared" si="12"/>
        <v>14671.410000000149</v>
      </c>
      <c r="J63" s="414">
        <f t="shared" si="25"/>
        <v>2.79</v>
      </c>
      <c r="K63" s="329">
        <f t="shared" si="3"/>
        <v>0</v>
      </c>
      <c r="L63" s="35">
        <f t="shared" si="14"/>
        <v>0</v>
      </c>
      <c r="M63" s="414">
        <f t="shared" si="26"/>
        <v>0</v>
      </c>
      <c r="N63" s="329">
        <f t="shared" si="4"/>
        <v>0</v>
      </c>
      <c r="O63" s="35">
        <f t="shared" si="16"/>
        <v>6.06</v>
      </c>
      <c r="P63" s="414">
        <f t="shared" si="28"/>
        <v>0</v>
      </c>
      <c r="Q63" s="329">
        <f t="shared" si="5"/>
        <v>0</v>
      </c>
      <c r="R63" s="35">
        <f t="shared" si="17"/>
        <v>0</v>
      </c>
      <c r="S63" s="414">
        <f t="shared" si="27"/>
        <v>0</v>
      </c>
      <c r="T63" s="880">
        <f>[5]Sheet1!$B477</f>
        <v>6.3676000000000005E-5</v>
      </c>
      <c r="U63" s="10">
        <f t="shared" si="21"/>
        <v>43584</v>
      </c>
      <c r="V63" s="881">
        <f t="shared" si="22"/>
        <v>2.324174E-2</v>
      </c>
    </row>
    <row r="64" spans="1:22" x14ac:dyDescent="0.25">
      <c r="A64" s="335">
        <f>A63+1</f>
        <v>43585</v>
      </c>
      <c r="B64" s="329">
        <f t="shared" si="0"/>
        <v>0</v>
      </c>
      <c r="C64" s="338">
        <f t="shared" si="8"/>
        <v>168724.39</v>
      </c>
      <c r="D64" s="414">
        <f t="shared" si="23"/>
        <v>10.74</v>
      </c>
      <c r="E64" s="49">
        <f t="shared" si="20"/>
        <v>0</v>
      </c>
      <c r="F64" s="35">
        <f t="shared" si="10"/>
        <v>0</v>
      </c>
      <c r="G64" s="414">
        <f t="shared" si="24"/>
        <v>0</v>
      </c>
      <c r="H64" s="49">
        <f t="shared" si="2"/>
        <v>0</v>
      </c>
      <c r="I64" s="35">
        <f t="shared" si="12"/>
        <v>14671.410000000149</v>
      </c>
      <c r="J64" s="414">
        <f t="shared" si="25"/>
        <v>0.93</v>
      </c>
      <c r="K64" s="329">
        <f t="shared" si="3"/>
        <v>0</v>
      </c>
      <c r="L64" s="35">
        <f t="shared" si="14"/>
        <v>0</v>
      </c>
      <c r="M64" s="414">
        <f t="shared" si="26"/>
        <v>0</v>
      </c>
      <c r="N64" s="329">
        <f t="shared" si="4"/>
        <v>0</v>
      </c>
      <c r="O64" s="35">
        <f t="shared" si="16"/>
        <v>6.06</v>
      </c>
      <c r="P64" s="414">
        <f t="shared" si="28"/>
        <v>0</v>
      </c>
      <c r="Q64" s="329">
        <f t="shared" si="5"/>
        <v>0</v>
      </c>
      <c r="R64" s="35">
        <f t="shared" si="17"/>
        <v>0</v>
      </c>
      <c r="S64" s="414">
        <f t="shared" si="27"/>
        <v>0</v>
      </c>
      <c r="T64" s="880">
        <f>[5]Sheet1!$B478</f>
        <v>6.7183999999999999E-5</v>
      </c>
      <c r="U64" s="10">
        <f t="shared" si="21"/>
        <v>43585</v>
      </c>
      <c r="V64" s="881">
        <f t="shared" si="22"/>
        <v>2.4522160000000001E-2</v>
      </c>
    </row>
    <row r="65" spans="1:22" x14ac:dyDescent="0.25">
      <c r="A65" s="335">
        <f>A64+1</f>
        <v>43586</v>
      </c>
      <c r="B65" s="329">
        <f t="shared" si="0"/>
        <v>-31857.38</v>
      </c>
      <c r="C65" s="338">
        <f t="shared" si="8"/>
        <v>136867.01</v>
      </c>
      <c r="D65" s="414">
        <f t="shared" si="23"/>
        <v>11.34</v>
      </c>
      <c r="E65" s="49">
        <f t="shared" si="20"/>
        <v>0</v>
      </c>
      <c r="F65" s="35">
        <f t="shared" si="10"/>
        <v>0</v>
      </c>
      <c r="G65" s="414">
        <f t="shared" si="24"/>
        <v>0</v>
      </c>
      <c r="H65" s="49">
        <f t="shared" si="2"/>
        <v>-9004.9599999999991</v>
      </c>
      <c r="I65" s="35">
        <f t="shared" si="12"/>
        <v>5666.4500000001499</v>
      </c>
      <c r="J65" s="414">
        <f t="shared" si="25"/>
        <v>0.99</v>
      </c>
      <c r="K65" s="329">
        <f t="shared" si="3"/>
        <v>0</v>
      </c>
      <c r="L65" s="35">
        <f t="shared" si="14"/>
        <v>0</v>
      </c>
      <c r="M65" s="414">
        <f t="shared" si="26"/>
        <v>0</v>
      </c>
      <c r="N65" s="329">
        <f t="shared" si="4"/>
        <v>15572.92</v>
      </c>
      <c r="O65" s="35">
        <f t="shared" si="16"/>
        <v>15578.98</v>
      </c>
      <c r="P65" s="414">
        <f t="shared" si="28"/>
        <v>0</v>
      </c>
      <c r="Q65" s="329">
        <f t="shared" si="5"/>
        <v>0</v>
      </c>
      <c r="R65" s="35">
        <f t="shared" si="17"/>
        <v>0</v>
      </c>
      <c r="S65" s="414">
        <f t="shared" si="27"/>
        <v>0</v>
      </c>
      <c r="T65" s="880">
        <f>[5]Sheet1!$B479</f>
        <v>6.4282000000000006E-5</v>
      </c>
      <c r="U65" s="10">
        <f t="shared" si="21"/>
        <v>43586</v>
      </c>
      <c r="V65" s="881">
        <f t="shared" si="22"/>
        <v>2.3462930000000003E-2</v>
      </c>
    </row>
    <row r="66" spans="1:22" x14ac:dyDescent="0.25">
      <c r="A66" s="335">
        <f>A65+1</f>
        <v>43587</v>
      </c>
      <c r="B66" s="329">
        <f t="shared" si="0"/>
        <v>315.72000000000003</v>
      </c>
      <c r="C66" s="338">
        <f t="shared" si="8"/>
        <v>137182.73000000001</v>
      </c>
      <c r="D66" s="414">
        <f t="shared" si="23"/>
        <v>8.8000000000000007</v>
      </c>
      <c r="E66" s="49">
        <f t="shared" si="20"/>
        <v>0</v>
      </c>
      <c r="F66" s="35">
        <f t="shared" si="10"/>
        <v>0</v>
      </c>
      <c r="G66" s="414">
        <f t="shared" si="24"/>
        <v>0</v>
      </c>
      <c r="H66" s="49">
        <f t="shared" si="2"/>
        <v>18.86</v>
      </c>
      <c r="I66" s="35">
        <f t="shared" si="12"/>
        <v>5685.3100000001496</v>
      </c>
      <c r="J66" s="414">
        <f t="shared" si="25"/>
        <v>0.36</v>
      </c>
      <c r="K66" s="329">
        <f t="shared" si="3"/>
        <v>0</v>
      </c>
      <c r="L66" s="35">
        <f t="shared" si="14"/>
        <v>0</v>
      </c>
      <c r="M66" s="414">
        <f t="shared" si="26"/>
        <v>0</v>
      </c>
      <c r="N66" s="329">
        <f t="shared" si="4"/>
        <v>0</v>
      </c>
      <c r="O66" s="35">
        <f t="shared" si="16"/>
        <v>15578.98</v>
      </c>
      <c r="P66" s="414">
        <f t="shared" si="28"/>
        <v>1</v>
      </c>
      <c r="Q66" s="329">
        <f t="shared" si="5"/>
        <v>0</v>
      </c>
      <c r="R66" s="35">
        <f t="shared" si="17"/>
        <v>0</v>
      </c>
      <c r="S66" s="414">
        <f t="shared" si="27"/>
        <v>0</v>
      </c>
      <c r="T66" s="880">
        <f>[5]Sheet1!$B480</f>
        <v>6.3711E-5</v>
      </c>
      <c r="U66" s="10">
        <f t="shared" si="21"/>
        <v>43587</v>
      </c>
      <c r="V66" s="881">
        <f t="shared" si="22"/>
        <v>2.3254515E-2</v>
      </c>
    </row>
    <row r="67" spans="1:22" x14ac:dyDescent="0.25">
      <c r="A67" s="335">
        <f>A66+1</f>
        <v>43588</v>
      </c>
      <c r="B67" s="329">
        <f t="shared" si="0"/>
        <v>50000</v>
      </c>
      <c r="C67" s="338">
        <f t="shared" si="8"/>
        <v>187182.73</v>
      </c>
      <c r="D67" s="414">
        <f t="shared" si="23"/>
        <v>8.74</v>
      </c>
      <c r="E67" s="49">
        <f t="shared" si="20"/>
        <v>0</v>
      </c>
      <c r="F67" s="35">
        <f t="shared" si="10"/>
        <v>0</v>
      </c>
      <c r="G67" s="414">
        <f t="shared" si="24"/>
        <v>0</v>
      </c>
      <c r="H67" s="49">
        <f t="shared" si="2"/>
        <v>0</v>
      </c>
      <c r="I67" s="35">
        <f t="shared" si="12"/>
        <v>5685.3100000001496</v>
      </c>
      <c r="J67" s="414">
        <f t="shared" si="25"/>
        <v>0.36</v>
      </c>
      <c r="K67" s="329">
        <f t="shared" si="3"/>
        <v>0</v>
      </c>
      <c r="L67" s="35">
        <f t="shared" si="14"/>
        <v>0</v>
      </c>
      <c r="M67" s="414">
        <f t="shared" si="26"/>
        <v>0</v>
      </c>
      <c r="N67" s="329">
        <f t="shared" si="4"/>
        <v>0</v>
      </c>
      <c r="O67" s="35">
        <f t="shared" si="16"/>
        <v>15578.98</v>
      </c>
      <c r="P67" s="414">
        <f t="shared" si="28"/>
        <v>0.99</v>
      </c>
      <c r="Q67" s="329">
        <f t="shared" si="5"/>
        <v>0</v>
      </c>
      <c r="R67" s="35">
        <f t="shared" si="17"/>
        <v>0</v>
      </c>
      <c r="S67" s="414">
        <f t="shared" si="27"/>
        <v>0</v>
      </c>
      <c r="T67" s="880">
        <f>[5]Sheet1!$B481</f>
        <v>1.8918400000000001E-4</v>
      </c>
      <c r="U67" s="10">
        <f t="shared" si="21"/>
        <v>43588</v>
      </c>
      <c r="V67" s="881">
        <f t="shared" si="22"/>
        <v>2.3017386666666667E-2</v>
      </c>
    </row>
    <row r="68" spans="1:22" x14ac:dyDescent="0.25">
      <c r="A68" s="336">
        <f>A67+3</f>
        <v>43591</v>
      </c>
      <c r="B68" s="329">
        <f t="shared" si="0"/>
        <v>0</v>
      </c>
      <c r="C68" s="338">
        <f t="shared" si="8"/>
        <v>187182.73</v>
      </c>
      <c r="D68" s="414">
        <f t="shared" si="23"/>
        <v>35.409999999999997</v>
      </c>
      <c r="E68" s="49">
        <f t="shared" si="20"/>
        <v>0</v>
      </c>
      <c r="F68" s="35">
        <f t="shared" si="10"/>
        <v>0</v>
      </c>
      <c r="G68" s="414">
        <f t="shared" si="24"/>
        <v>0</v>
      </c>
      <c r="H68" s="49">
        <f t="shared" si="2"/>
        <v>0</v>
      </c>
      <c r="I68" s="35">
        <f t="shared" si="12"/>
        <v>5685.3100000001496</v>
      </c>
      <c r="J68" s="414">
        <f t="shared" si="25"/>
        <v>1.08</v>
      </c>
      <c r="K68" s="329">
        <f t="shared" si="3"/>
        <v>0</v>
      </c>
      <c r="L68" s="35">
        <f t="shared" si="14"/>
        <v>0</v>
      </c>
      <c r="M68" s="414">
        <f t="shared" ref="M68:M96" si="29">ROUND(L67*$T67,2)</f>
        <v>0</v>
      </c>
      <c r="N68" s="329">
        <f t="shared" si="4"/>
        <v>0</v>
      </c>
      <c r="O68" s="35">
        <f t="shared" si="16"/>
        <v>15578.98</v>
      </c>
      <c r="P68" s="414">
        <f t="shared" si="28"/>
        <v>2.95</v>
      </c>
      <c r="Q68" s="329">
        <f t="shared" si="5"/>
        <v>0</v>
      </c>
      <c r="R68" s="35">
        <f t="shared" si="17"/>
        <v>0</v>
      </c>
      <c r="S68" s="414">
        <f t="shared" si="27"/>
        <v>0</v>
      </c>
      <c r="T68" s="880">
        <f>[5]Sheet1!$B482</f>
        <v>6.2726999999999998E-5</v>
      </c>
      <c r="U68" s="10">
        <f t="shared" si="21"/>
        <v>43591</v>
      </c>
      <c r="V68" s="881">
        <f t="shared" si="22"/>
        <v>2.2895354999999999E-2</v>
      </c>
    </row>
    <row r="69" spans="1:22" x14ac:dyDescent="0.25">
      <c r="A69" s="335">
        <f>A68+1</f>
        <v>43592</v>
      </c>
      <c r="B69" s="329">
        <f t="shared" si="0"/>
        <v>0</v>
      </c>
      <c r="C69" s="338">
        <f t="shared" si="8"/>
        <v>187182.73</v>
      </c>
      <c r="D69" s="414">
        <f t="shared" si="23"/>
        <v>11.74</v>
      </c>
      <c r="E69" s="49">
        <f t="shared" si="20"/>
        <v>0</v>
      </c>
      <c r="F69" s="35">
        <f t="shared" si="10"/>
        <v>0</v>
      </c>
      <c r="G69" s="414">
        <f t="shared" si="24"/>
        <v>0</v>
      </c>
      <c r="H69" s="49">
        <f t="shared" si="2"/>
        <v>9597.3700000000008</v>
      </c>
      <c r="I69" s="35">
        <f t="shared" si="12"/>
        <v>15282.680000000149</v>
      </c>
      <c r="J69" s="414">
        <f t="shared" si="25"/>
        <v>0.36</v>
      </c>
      <c r="K69" s="329">
        <f t="shared" si="3"/>
        <v>0</v>
      </c>
      <c r="L69" s="35">
        <f t="shared" si="14"/>
        <v>0</v>
      </c>
      <c r="M69" s="414">
        <f t="shared" si="29"/>
        <v>0</v>
      </c>
      <c r="N69" s="329">
        <f t="shared" si="4"/>
        <v>0</v>
      </c>
      <c r="O69" s="35">
        <f t="shared" si="16"/>
        <v>15578.98</v>
      </c>
      <c r="P69" s="414">
        <f t="shared" si="28"/>
        <v>0.98</v>
      </c>
      <c r="Q69" s="329">
        <f t="shared" si="5"/>
        <v>0</v>
      </c>
      <c r="R69" s="35">
        <f t="shared" si="17"/>
        <v>0</v>
      </c>
      <c r="S69" s="414">
        <f t="shared" si="27"/>
        <v>0</v>
      </c>
      <c r="T69" s="880">
        <f>[5]Sheet1!$B483</f>
        <v>6.2961999999999998E-5</v>
      </c>
      <c r="U69" s="10">
        <f t="shared" si="21"/>
        <v>43592</v>
      </c>
      <c r="V69" s="881">
        <f t="shared" si="22"/>
        <v>2.2981129999999999E-2</v>
      </c>
    </row>
    <row r="70" spans="1:22" x14ac:dyDescent="0.25">
      <c r="A70" s="335">
        <f>A69+1</f>
        <v>43593</v>
      </c>
      <c r="B70" s="329">
        <f t="shared" si="0"/>
        <v>0</v>
      </c>
      <c r="C70" s="338">
        <f t="shared" si="8"/>
        <v>187182.73</v>
      </c>
      <c r="D70" s="414">
        <f t="shared" si="23"/>
        <v>11.79</v>
      </c>
      <c r="E70" s="49">
        <f t="shared" si="20"/>
        <v>0</v>
      </c>
      <c r="F70" s="35">
        <f t="shared" si="10"/>
        <v>0</v>
      </c>
      <c r="G70" s="414">
        <f t="shared" si="24"/>
        <v>0</v>
      </c>
      <c r="H70" s="49">
        <f t="shared" si="2"/>
        <v>0</v>
      </c>
      <c r="I70" s="35">
        <f t="shared" si="12"/>
        <v>15282.680000000149</v>
      </c>
      <c r="J70" s="414">
        <f t="shared" si="25"/>
        <v>0.96</v>
      </c>
      <c r="K70" s="329">
        <f t="shared" si="3"/>
        <v>0</v>
      </c>
      <c r="L70" s="35">
        <f t="shared" si="14"/>
        <v>0</v>
      </c>
      <c r="M70" s="414">
        <f t="shared" si="29"/>
        <v>0</v>
      </c>
      <c r="N70" s="329">
        <f t="shared" si="4"/>
        <v>0</v>
      </c>
      <c r="O70" s="35">
        <f t="shared" si="16"/>
        <v>15578.98</v>
      </c>
      <c r="P70" s="414">
        <f t="shared" si="28"/>
        <v>0.98</v>
      </c>
      <c r="Q70" s="329">
        <f t="shared" si="5"/>
        <v>0</v>
      </c>
      <c r="R70" s="35">
        <f t="shared" si="17"/>
        <v>0</v>
      </c>
      <c r="S70" s="414">
        <f t="shared" si="27"/>
        <v>0</v>
      </c>
      <c r="T70" s="880">
        <f>[5]Sheet1!$B484</f>
        <v>6.2816000000000003E-5</v>
      </c>
      <c r="U70" s="10">
        <f t="shared" si="21"/>
        <v>43593</v>
      </c>
      <c r="V70" s="881">
        <f t="shared" si="22"/>
        <v>2.2927840000000001E-2</v>
      </c>
    </row>
    <row r="71" spans="1:22" x14ac:dyDescent="0.25">
      <c r="A71" s="335">
        <f>A70+1</f>
        <v>43594</v>
      </c>
      <c r="B71" s="329">
        <f t="shared" ref="B71:B134" si="30">-SUMIFS(CF_Main,CF_Dates,$A71,CF_Descriptions,"MM Sweep")</f>
        <v>-9660</v>
      </c>
      <c r="C71" s="338">
        <f t="shared" si="8"/>
        <v>177522.73</v>
      </c>
      <c r="D71" s="414">
        <f t="shared" si="23"/>
        <v>11.76</v>
      </c>
      <c r="E71" s="49">
        <f t="shared" ref="E71:E134" si="31">-SUMIFS(CF_Main_EUR,CF_Dates,$A71,CF_Descriptions,"MM Sweep")</f>
        <v>0</v>
      </c>
      <c r="F71" s="35">
        <f t="shared" si="10"/>
        <v>0</v>
      </c>
      <c r="G71" s="414">
        <f t="shared" si="24"/>
        <v>0</v>
      </c>
      <c r="H71" s="49">
        <f t="shared" ref="H71:H134" si="32">-SUMIFS(CF_Expenses,CF_Dates,$A71,CF_Descriptions,"MM Sweep")</f>
        <v>0</v>
      </c>
      <c r="I71" s="35">
        <f t="shared" si="12"/>
        <v>15282.680000000149</v>
      </c>
      <c r="J71" s="414">
        <f t="shared" si="25"/>
        <v>0.96</v>
      </c>
      <c r="K71" s="329">
        <f t="shared" ref="K71:K134" si="33">-SUMIFS(CF_Margin,CF_Dates,$A71,CF_Descriptions,"MM Sweep")</f>
        <v>0</v>
      </c>
      <c r="L71" s="35">
        <f t="shared" si="14"/>
        <v>0</v>
      </c>
      <c r="M71" s="414">
        <f t="shared" si="29"/>
        <v>0</v>
      </c>
      <c r="N71" s="329">
        <f t="shared" ref="N71:N134" si="34">-SUMIFS(CF_Mgmt,CF_Dates,$A71,CF_Descriptions,"MM Sweep")</f>
        <v>0</v>
      </c>
      <c r="O71" s="35">
        <f t="shared" si="16"/>
        <v>15578.98</v>
      </c>
      <c r="P71" s="414">
        <f t="shared" si="28"/>
        <v>0.98</v>
      </c>
      <c r="Q71" s="329">
        <f t="shared" ref="Q71:Q134" si="35">-SUMIFS(CF_SubRedemp,CF_Dates,$A71,CF_Descriptions,"MM Sweep")</f>
        <v>0</v>
      </c>
      <c r="R71" s="35">
        <f t="shared" si="17"/>
        <v>0</v>
      </c>
      <c r="S71" s="414">
        <f t="shared" si="27"/>
        <v>0</v>
      </c>
      <c r="T71" s="880">
        <f>[5]Sheet1!$B485</f>
        <v>6.2566999999999999E-5</v>
      </c>
      <c r="U71" s="10">
        <f t="shared" ref="U71:U82" si="36">A71</f>
        <v>43594</v>
      </c>
      <c r="V71" s="881">
        <f t="shared" ref="V71:V82" si="37">T71*365/(A72-A71)</f>
        <v>2.2836954999999999E-2</v>
      </c>
    </row>
    <row r="72" spans="1:22" x14ac:dyDescent="0.25">
      <c r="A72" s="335">
        <f>A71+1</f>
        <v>43595</v>
      </c>
      <c r="B72" s="329">
        <f t="shared" si="30"/>
        <v>0</v>
      </c>
      <c r="C72" s="338">
        <f t="shared" ref="C72:C96" si="38">B72+C71</f>
        <v>177522.73</v>
      </c>
      <c r="D72" s="414">
        <f t="shared" ref="D72:D96" si="39">ROUND(C71*$T71,2)</f>
        <v>11.11</v>
      </c>
      <c r="E72" s="49">
        <f t="shared" si="31"/>
        <v>0</v>
      </c>
      <c r="F72" s="35">
        <f t="shared" ref="F72:F96" si="40">E72+F71</f>
        <v>0</v>
      </c>
      <c r="G72" s="414">
        <f t="shared" ref="G72:G96" si="41">ROUND(F71*$T71,2)</f>
        <v>0</v>
      </c>
      <c r="H72" s="49">
        <f t="shared" si="32"/>
        <v>0</v>
      </c>
      <c r="I72" s="35">
        <f t="shared" ref="I72:I96" si="42">H72+I71</f>
        <v>15282.680000000149</v>
      </c>
      <c r="J72" s="414">
        <f t="shared" ref="J72:J96" si="43">ROUND(I71*$T71,2)</f>
        <v>0.96</v>
      </c>
      <c r="K72" s="329">
        <f t="shared" si="33"/>
        <v>0</v>
      </c>
      <c r="L72" s="35">
        <f t="shared" ref="L72:L96" si="44">K72+L71</f>
        <v>0</v>
      </c>
      <c r="M72" s="414">
        <f t="shared" si="29"/>
        <v>0</v>
      </c>
      <c r="N72" s="329">
        <f t="shared" si="34"/>
        <v>0</v>
      </c>
      <c r="O72" s="35">
        <f t="shared" ref="O72:O96" si="45">N72+O71</f>
        <v>15578.98</v>
      </c>
      <c r="P72" s="414">
        <f t="shared" si="28"/>
        <v>0.97</v>
      </c>
      <c r="Q72" s="329">
        <f t="shared" si="35"/>
        <v>0</v>
      </c>
      <c r="R72" s="35">
        <f t="shared" ref="R72:R96" si="46">Q72+R71</f>
        <v>0</v>
      </c>
      <c r="S72" s="414">
        <f t="shared" ref="S72:S132" si="47">ROUND(R71*$T71,2)</f>
        <v>0</v>
      </c>
      <c r="T72" s="880">
        <f>[5]Sheet1!$B486</f>
        <v>1.86956E-4</v>
      </c>
      <c r="U72" s="10">
        <f t="shared" si="36"/>
        <v>43595</v>
      </c>
      <c r="V72" s="881">
        <f t="shared" si="37"/>
        <v>2.2746313333333334E-2</v>
      </c>
    </row>
    <row r="73" spans="1:22" x14ac:dyDescent="0.25">
      <c r="A73" s="336">
        <f>A72+3</f>
        <v>43598</v>
      </c>
      <c r="B73" s="329">
        <f t="shared" si="30"/>
        <v>0</v>
      </c>
      <c r="C73" s="338">
        <f t="shared" si="38"/>
        <v>177522.73</v>
      </c>
      <c r="D73" s="414">
        <f t="shared" si="39"/>
        <v>33.19</v>
      </c>
      <c r="E73" s="49">
        <f t="shared" si="31"/>
        <v>0</v>
      </c>
      <c r="F73" s="35">
        <f t="shared" si="40"/>
        <v>0</v>
      </c>
      <c r="G73" s="414">
        <f t="shared" si="41"/>
        <v>0</v>
      </c>
      <c r="H73" s="49">
        <f t="shared" si="32"/>
        <v>0</v>
      </c>
      <c r="I73" s="35">
        <f t="shared" si="42"/>
        <v>15282.680000000149</v>
      </c>
      <c r="J73" s="414">
        <f t="shared" si="43"/>
        <v>2.86</v>
      </c>
      <c r="K73" s="329">
        <f t="shared" si="33"/>
        <v>0</v>
      </c>
      <c r="L73" s="35">
        <f t="shared" si="44"/>
        <v>0</v>
      </c>
      <c r="M73" s="414">
        <f t="shared" si="29"/>
        <v>0</v>
      </c>
      <c r="N73" s="329">
        <f t="shared" si="34"/>
        <v>-15572.92</v>
      </c>
      <c r="O73" s="35">
        <f t="shared" si="45"/>
        <v>6.0599999999994907</v>
      </c>
      <c r="P73" s="414">
        <f t="shared" ref="P73:P96" si="48">ROUND(O72*$T72,2)</f>
        <v>2.91</v>
      </c>
      <c r="Q73" s="329">
        <f t="shared" si="35"/>
        <v>0</v>
      </c>
      <c r="R73" s="35">
        <f t="shared" si="46"/>
        <v>0</v>
      </c>
      <c r="S73" s="414">
        <f t="shared" si="47"/>
        <v>0</v>
      </c>
      <c r="T73" s="880">
        <f>[5]Sheet1!$B487</f>
        <v>6.2093000000000003E-5</v>
      </c>
      <c r="U73" s="10">
        <f t="shared" si="36"/>
        <v>43598</v>
      </c>
      <c r="V73" s="881">
        <f t="shared" si="37"/>
        <v>2.2663945000000001E-2</v>
      </c>
    </row>
    <row r="74" spans="1:22" x14ac:dyDescent="0.25">
      <c r="A74" s="335">
        <f>A73+1</f>
        <v>43599</v>
      </c>
      <c r="B74" s="329">
        <f t="shared" si="30"/>
        <v>0</v>
      </c>
      <c r="C74" s="338">
        <f t="shared" si="38"/>
        <v>177522.73</v>
      </c>
      <c r="D74" s="414">
        <f t="shared" si="39"/>
        <v>11.02</v>
      </c>
      <c r="E74" s="49">
        <f t="shared" si="31"/>
        <v>0</v>
      </c>
      <c r="F74" s="35">
        <f t="shared" si="40"/>
        <v>0</v>
      </c>
      <c r="G74" s="414">
        <f t="shared" si="41"/>
        <v>0</v>
      </c>
      <c r="H74" s="49">
        <f t="shared" si="32"/>
        <v>0</v>
      </c>
      <c r="I74" s="35">
        <f t="shared" si="42"/>
        <v>15282.680000000149</v>
      </c>
      <c r="J74" s="414">
        <f t="shared" si="43"/>
        <v>0.95</v>
      </c>
      <c r="K74" s="329">
        <f t="shared" si="33"/>
        <v>0</v>
      </c>
      <c r="L74" s="35">
        <f t="shared" si="44"/>
        <v>0</v>
      </c>
      <c r="M74" s="414">
        <f t="shared" si="29"/>
        <v>0</v>
      </c>
      <c r="N74" s="329">
        <f t="shared" si="34"/>
        <v>0</v>
      </c>
      <c r="O74" s="35">
        <f t="shared" si="45"/>
        <v>6.0599999999994907</v>
      </c>
      <c r="P74" s="414">
        <f t="shared" si="48"/>
        <v>0</v>
      </c>
      <c r="Q74" s="329">
        <f t="shared" si="35"/>
        <v>0</v>
      </c>
      <c r="R74" s="35">
        <f t="shared" si="46"/>
        <v>0</v>
      </c>
      <c r="S74" s="414">
        <f t="shared" si="47"/>
        <v>0</v>
      </c>
      <c r="T74" s="880">
        <f>[5]Sheet1!$B488</f>
        <v>6.2137999999999994E-5</v>
      </c>
      <c r="U74" s="10">
        <f t="shared" si="36"/>
        <v>43599</v>
      </c>
      <c r="V74" s="881">
        <f t="shared" si="37"/>
        <v>2.2680369999999998E-2</v>
      </c>
    </row>
    <row r="75" spans="1:22" x14ac:dyDescent="0.25">
      <c r="A75" s="335">
        <f>A74+1</f>
        <v>43600</v>
      </c>
      <c r="B75" s="329">
        <f t="shared" si="30"/>
        <v>0</v>
      </c>
      <c r="C75" s="338">
        <f t="shared" si="38"/>
        <v>177522.73</v>
      </c>
      <c r="D75" s="414">
        <f t="shared" si="39"/>
        <v>11.03</v>
      </c>
      <c r="E75" s="49">
        <f t="shared" si="31"/>
        <v>0</v>
      </c>
      <c r="F75" s="35">
        <f t="shared" si="40"/>
        <v>0</v>
      </c>
      <c r="G75" s="414">
        <f t="shared" si="41"/>
        <v>0</v>
      </c>
      <c r="H75" s="49">
        <f t="shared" si="32"/>
        <v>-114.43</v>
      </c>
      <c r="I75" s="35">
        <f t="shared" si="42"/>
        <v>15168.250000000149</v>
      </c>
      <c r="J75" s="414">
        <f t="shared" si="43"/>
        <v>0.95</v>
      </c>
      <c r="K75" s="329">
        <f t="shared" si="33"/>
        <v>0</v>
      </c>
      <c r="L75" s="35">
        <f t="shared" si="44"/>
        <v>0</v>
      </c>
      <c r="M75" s="414">
        <f t="shared" si="29"/>
        <v>0</v>
      </c>
      <c r="N75" s="329">
        <f t="shared" si="34"/>
        <v>0</v>
      </c>
      <c r="O75" s="35">
        <f t="shared" si="45"/>
        <v>6.0599999999994907</v>
      </c>
      <c r="P75" s="414">
        <f t="shared" si="48"/>
        <v>0</v>
      </c>
      <c r="Q75" s="329">
        <f t="shared" si="35"/>
        <v>0</v>
      </c>
      <c r="R75" s="35">
        <f t="shared" si="46"/>
        <v>0</v>
      </c>
      <c r="S75" s="414">
        <f t="shared" si="47"/>
        <v>0</v>
      </c>
      <c r="T75" s="880">
        <f>[5]Sheet1!$B489</f>
        <v>6.3280000000000004E-5</v>
      </c>
      <c r="U75" s="10">
        <f t="shared" si="36"/>
        <v>43600</v>
      </c>
      <c r="V75" s="881">
        <f t="shared" si="37"/>
        <v>2.3097200000000002E-2</v>
      </c>
    </row>
    <row r="76" spans="1:22" x14ac:dyDescent="0.25">
      <c r="A76" s="335">
        <f>A75+1</f>
        <v>43601</v>
      </c>
      <c r="B76" s="329">
        <f t="shared" si="30"/>
        <v>0</v>
      </c>
      <c r="C76" s="338">
        <f t="shared" si="38"/>
        <v>177522.73</v>
      </c>
      <c r="D76" s="414">
        <f t="shared" si="39"/>
        <v>11.23</v>
      </c>
      <c r="E76" s="49">
        <f t="shared" si="31"/>
        <v>0</v>
      </c>
      <c r="F76" s="35">
        <f t="shared" si="40"/>
        <v>0</v>
      </c>
      <c r="G76" s="414">
        <f t="shared" si="41"/>
        <v>0</v>
      </c>
      <c r="H76" s="49">
        <f t="shared" si="32"/>
        <v>0</v>
      </c>
      <c r="I76" s="35">
        <f t="shared" si="42"/>
        <v>15168.250000000149</v>
      </c>
      <c r="J76" s="414">
        <f t="shared" si="43"/>
        <v>0.96</v>
      </c>
      <c r="K76" s="329">
        <f t="shared" si="33"/>
        <v>0</v>
      </c>
      <c r="L76" s="35">
        <f t="shared" si="44"/>
        <v>0</v>
      </c>
      <c r="M76" s="414">
        <f t="shared" si="29"/>
        <v>0</v>
      </c>
      <c r="N76" s="329">
        <f t="shared" si="34"/>
        <v>0</v>
      </c>
      <c r="O76" s="35">
        <f t="shared" si="45"/>
        <v>6.0599999999994907</v>
      </c>
      <c r="P76" s="414">
        <f t="shared" si="48"/>
        <v>0</v>
      </c>
      <c r="Q76" s="329">
        <f t="shared" si="35"/>
        <v>0</v>
      </c>
      <c r="R76" s="35">
        <f t="shared" si="46"/>
        <v>0</v>
      </c>
      <c r="S76" s="414">
        <f t="shared" si="47"/>
        <v>0</v>
      </c>
      <c r="T76" s="880">
        <f>[5]Sheet1!$B490</f>
        <v>6.2860000000000005E-5</v>
      </c>
      <c r="U76" s="10">
        <f t="shared" si="36"/>
        <v>43601</v>
      </c>
      <c r="V76" s="881">
        <f t="shared" si="37"/>
        <v>2.2943900000000003E-2</v>
      </c>
    </row>
    <row r="77" spans="1:22" x14ac:dyDescent="0.25">
      <c r="A77" s="335">
        <f>A76+1</f>
        <v>43602</v>
      </c>
      <c r="B77" s="329">
        <f t="shared" si="30"/>
        <v>0</v>
      </c>
      <c r="C77" s="338">
        <f t="shared" si="38"/>
        <v>177522.73</v>
      </c>
      <c r="D77" s="414">
        <f t="shared" si="39"/>
        <v>11.16</v>
      </c>
      <c r="E77" s="49">
        <f t="shared" si="31"/>
        <v>0</v>
      </c>
      <c r="F77" s="35">
        <f t="shared" si="40"/>
        <v>0</v>
      </c>
      <c r="G77" s="414">
        <f t="shared" si="41"/>
        <v>0</v>
      </c>
      <c r="H77" s="49">
        <f t="shared" si="32"/>
        <v>0</v>
      </c>
      <c r="I77" s="35">
        <f t="shared" si="42"/>
        <v>15168.250000000149</v>
      </c>
      <c r="J77" s="414">
        <f t="shared" si="43"/>
        <v>0.95</v>
      </c>
      <c r="K77" s="329">
        <f t="shared" si="33"/>
        <v>0</v>
      </c>
      <c r="L77" s="35">
        <f t="shared" si="44"/>
        <v>0</v>
      </c>
      <c r="M77" s="414">
        <f t="shared" si="29"/>
        <v>0</v>
      </c>
      <c r="N77" s="329">
        <f t="shared" si="34"/>
        <v>0</v>
      </c>
      <c r="O77" s="35">
        <f t="shared" si="45"/>
        <v>6.0599999999994907</v>
      </c>
      <c r="P77" s="414">
        <f t="shared" si="48"/>
        <v>0</v>
      </c>
      <c r="Q77" s="329">
        <f t="shared" si="35"/>
        <v>0</v>
      </c>
      <c r="R77" s="35">
        <f t="shared" si="46"/>
        <v>0</v>
      </c>
      <c r="S77" s="414">
        <f t="shared" si="47"/>
        <v>0</v>
      </c>
      <c r="T77" s="880">
        <f>[5]Sheet1!$B491</f>
        <v>1.8798400000000001E-4</v>
      </c>
      <c r="U77" s="10">
        <f t="shared" si="36"/>
        <v>43602</v>
      </c>
      <c r="V77" s="881">
        <f t="shared" si="37"/>
        <v>2.287138666666667E-2</v>
      </c>
    </row>
    <row r="78" spans="1:22" x14ac:dyDescent="0.25">
      <c r="A78" s="336">
        <f>A77+3</f>
        <v>43605</v>
      </c>
      <c r="B78" s="329">
        <f t="shared" si="30"/>
        <v>0</v>
      </c>
      <c r="C78" s="338">
        <f t="shared" si="38"/>
        <v>177522.73</v>
      </c>
      <c r="D78" s="414">
        <f t="shared" si="39"/>
        <v>33.369999999999997</v>
      </c>
      <c r="E78" s="49">
        <f t="shared" si="31"/>
        <v>0</v>
      </c>
      <c r="F78" s="35">
        <f t="shared" si="40"/>
        <v>0</v>
      </c>
      <c r="G78" s="414">
        <f t="shared" si="41"/>
        <v>0</v>
      </c>
      <c r="H78" s="49">
        <f t="shared" si="32"/>
        <v>0</v>
      </c>
      <c r="I78" s="35">
        <f t="shared" si="42"/>
        <v>15168.250000000149</v>
      </c>
      <c r="J78" s="414">
        <f t="shared" si="43"/>
        <v>2.85</v>
      </c>
      <c r="K78" s="329">
        <f t="shared" si="33"/>
        <v>0</v>
      </c>
      <c r="L78" s="35">
        <f t="shared" si="44"/>
        <v>0</v>
      </c>
      <c r="M78" s="414">
        <f t="shared" si="29"/>
        <v>0</v>
      </c>
      <c r="N78" s="329">
        <f t="shared" si="34"/>
        <v>0</v>
      </c>
      <c r="O78" s="35">
        <f t="shared" si="45"/>
        <v>6.0599999999994907</v>
      </c>
      <c r="P78" s="414">
        <f t="shared" si="48"/>
        <v>0</v>
      </c>
      <c r="Q78" s="329">
        <f t="shared" si="35"/>
        <v>0</v>
      </c>
      <c r="R78" s="35">
        <f t="shared" si="46"/>
        <v>0</v>
      </c>
      <c r="S78" s="414">
        <f t="shared" si="47"/>
        <v>0</v>
      </c>
      <c r="T78" s="880">
        <f>[5]Sheet1!$B492</f>
        <v>6.2272000000000003E-5</v>
      </c>
      <c r="U78" s="10">
        <f t="shared" si="36"/>
        <v>43605</v>
      </c>
      <c r="V78" s="881">
        <f t="shared" si="37"/>
        <v>2.2729280000000001E-2</v>
      </c>
    </row>
    <row r="79" spans="1:22" x14ac:dyDescent="0.25">
      <c r="A79" s="335">
        <f>A78+1</f>
        <v>43606</v>
      </c>
      <c r="B79" s="329">
        <f t="shared" si="30"/>
        <v>0</v>
      </c>
      <c r="C79" s="338">
        <f t="shared" si="38"/>
        <v>177522.73</v>
      </c>
      <c r="D79" s="414">
        <f t="shared" si="39"/>
        <v>11.05</v>
      </c>
      <c r="E79" s="49">
        <f t="shared" si="31"/>
        <v>0</v>
      </c>
      <c r="F79" s="35">
        <f t="shared" si="40"/>
        <v>0</v>
      </c>
      <c r="G79" s="414">
        <f t="shared" si="41"/>
        <v>0</v>
      </c>
      <c r="H79" s="49">
        <f t="shared" si="32"/>
        <v>0</v>
      </c>
      <c r="I79" s="35">
        <f t="shared" si="42"/>
        <v>15168.250000000149</v>
      </c>
      <c r="J79" s="414">
        <f t="shared" si="43"/>
        <v>0.94</v>
      </c>
      <c r="K79" s="329">
        <f t="shared" si="33"/>
        <v>0</v>
      </c>
      <c r="L79" s="35">
        <f t="shared" si="44"/>
        <v>0</v>
      </c>
      <c r="M79" s="414">
        <f t="shared" si="29"/>
        <v>0</v>
      </c>
      <c r="N79" s="329">
        <f t="shared" si="34"/>
        <v>0</v>
      </c>
      <c r="O79" s="35">
        <f t="shared" si="45"/>
        <v>6.0599999999994907</v>
      </c>
      <c r="P79" s="414">
        <f t="shared" si="48"/>
        <v>0</v>
      </c>
      <c r="Q79" s="329">
        <f t="shared" si="35"/>
        <v>0</v>
      </c>
      <c r="R79" s="35">
        <f t="shared" si="46"/>
        <v>0</v>
      </c>
      <c r="S79" s="414">
        <f t="shared" si="47"/>
        <v>0</v>
      </c>
      <c r="T79" s="880">
        <f>[5]Sheet1!$B493</f>
        <v>6.2193999999999994E-5</v>
      </c>
      <c r="U79" s="10">
        <f t="shared" si="36"/>
        <v>43606</v>
      </c>
      <c r="V79" s="881">
        <f t="shared" si="37"/>
        <v>2.2700809999999998E-2</v>
      </c>
    </row>
    <row r="80" spans="1:22" x14ac:dyDescent="0.25">
      <c r="A80" s="335">
        <f>A79+1</f>
        <v>43607</v>
      </c>
      <c r="B80" s="329">
        <f t="shared" si="30"/>
        <v>0</v>
      </c>
      <c r="C80" s="338">
        <f t="shared" si="38"/>
        <v>177522.73</v>
      </c>
      <c r="D80" s="414">
        <f t="shared" si="39"/>
        <v>11.04</v>
      </c>
      <c r="E80" s="49">
        <f t="shared" si="31"/>
        <v>0</v>
      </c>
      <c r="F80" s="35">
        <f t="shared" si="40"/>
        <v>0</v>
      </c>
      <c r="G80" s="414">
        <f t="shared" si="41"/>
        <v>0</v>
      </c>
      <c r="H80" s="49">
        <f t="shared" si="32"/>
        <v>0</v>
      </c>
      <c r="I80" s="35">
        <f t="shared" si="42"/>
        <v>15168.250000000149</v>
      </c>
      <c r="J80" s="414">
        <f t="shared" si="43"/>
        <v>0.94</v>
      </c>
      <c r="K80" s="329">
        <f t="shared" si="33"/>
        <v>0</v>
      </c>
      <c r="L80" s="35">
        <f t="shared" si="44"/>
        <v>0</v>
      </c>
      <c r="M80" s="414">
        <f t="shared" si="29"/>
        <v>0</v>
      </c>
      <c r="N80" s="329">
        <f t="shared" si="34"/>
        <v>0</v>
      </c>
      <c r="O80" s="35">
        <f t="shared" si="45"/>
        <v>6.0599999999994907</v>
      </c>
      <c r="P80" s="414">
        <f t="shared" si="48"/>
        <v>0</v>
      </c>
      <c r="Q80" s="329">
        <f t="shared" si="35"/>
        <v>0</v>
      </c>
      <c r="R80" s="35">
        <f t="shared" si="46"/>
        <v>0</v>
      </c>
      <c r="S80" s="414">
        <f t="shared" si="47"/>
        <v>0</v>
      </c>
      <c r="T80" s="880">
        <f>[5]Sheet1!$B494</f>
        <v>6.1983000000000006E-5</v>
      </c>
      <c r="U80" s="10">
        <f t="shared" si="36"/>
        <v>43607</v>
      </c>
      <c r="V80" s="881">
        <f t="shared" si="37"/>
        <v>2.2623795000000002E-2</v>
      </c>
    </row>
    <row r="81" spans="1:22" x14ac:dyDescent="0.25">
      <c r="A81" s="335">
        <f>A80+1</f>
        <v>43608</v>
      </c>
      <c r="B81" s="329">
        <f t="shared" si="30"/>
        <v>0</v>
      </c>
      <c r="C81" s="338">
        <f t="shared" si="38"/>
        <v>177522.73</v>
      </c>
      <c r="D81" s="414">
        <f t="shared" si="39"/>
        <v>11</v>
      </c>
      <c r="E81" s="49">
        <f t="shared" si="31"/>
        <v>0</v>
      </c>
      <c r="F81" s="35">
        <f t="shared" si="40"/>
        <v>0</v>
      </c>
      <c r="G81" s="414">
        <f t="shared" si="41"/>
        <v>0</v>
      </c>
      <c r="H81" s="49">
        <f t="shared" si="32"/>
        <v>0</v>
      </c>
      <c r="I81" s="35">
        <f t="shared" si="42"/>
        <v>15168.250000000149</v>
      </c>
      <c r="J81" s="414">
        <f t="shared" si="43"/>
        <v>0.94</v>
      </c>
      <c r="K81" s="329">
        <f t="shared" si="33"/>
        <v>0</v>
      </c>
      <c r="L81" s="35">
        <f t="shared" si="44"/>
        <v>0</v>
      </c>
      <c r="M81" s="414">
        <f t="shared" si="29"/>
        <v>0</v>
      </c>
      <c r="N81" s="329">
        <f t="shared" si="34"/>
        <v>0</v>
      </c>
      <c r="O81" s="35">
        <f t="shared" si="45"/>
        <v>6.0599999999994907</v>
      </c>
      <c r="P81" s="414">
        <f t="shared" si="48"/>
        <v>0</v>
      </c>
      <c r="Q81" s="329">
        <f t="shared" si="35"/>
        <v>0</v>
      </c>
      <c r="R81" s="35">
        <f t="shared" si="46"/>
        <v>0</v>
      </c>
      <c r="S81" s="414">
        <f t="shared" si="47"/>
        <v>0</v>
      </c>
      <c r="T81" s="880">
        <f>[5]Sheet1!$B495</f>
        <v>6.1894000000000001E-5</v>
      </c>
      <c r="U81" s="10">
        <f t="shared" si="36"/>
        <v>43608</v>
      </c>
      <c r="V81" s="881">
        <f t="shared" si="37"/>
        <v>2.259131E-2</v>
      </c>
    </row>
    <row r="82" spans="1:22" x14ac:dyDescent="0.25">
      <c r="A82" s="335">
        <f>A81+1</f>
        <v>43609</v>
      </c>
      <c r="B82" s="329">
        <f t="shared" si="30"/>
        <v>0</v>
      </c>
      <c r="C82" s="338">
        <f t="shared" si="38"/>
        <v>177522.73</v>
      </c>
      <c r="D82" s="414">
        <f t="shared" si="39"/>
        <v>10.99</v>
      </c>
      <c r="E82" s="49">
        <f t="shared" si="31"/>
        <v>0</v>
      </c>
      <c r="F82" s="35">
        <f t="shared" si="40"/>
        <v>0</v>
      </c>
      <c r="G82" s="414">
        <f t="shared" si="41"/>
        <v>0</v>
      </c>
      <c r="H82" s="49">
        <f t="shared" si="32"/>
        <v>0</v>
      </c>
      <c r="I82" s="35">
        <f t="shared" si="42"/>
        <v>15168.250000000149</v>
      </c>
      <c r="J82" s="414">
        <f t="shared" si="43"/>
        <v>0.94</v>
      </c>
      <c r="K82" s="329">
        <f t="shared" si="33"/>
        <v>0</v>
      </c>
      <c r="L82" s="35">
        <f t="shared" si="44"/>
        <v>0</v>
      </c>
      <c r="M82" s="414">
        <f t="shared" si="29"/>
        <v>0</v>
      </c>
      <c r="N82" s="329">
        <f t="shared" si="34"/>
        <v>0</v>
      </c>
      <c r="O82" s="35">
        <f t="shared" si="45"/>
        <v>6.0599999999994907</v>
      </c>
      <c r="P82" s="414">
        <f t="shared" si="48"/>
        <v>0</v>
      </c>
      <c r="Q82" s="329">
        <f t="shared" si="35"/>
        <v>0</v>
      </c>
      <c r="R82" s="35">
        <f t="shared" si="46"/>
        <v>0</v>
      </c>
      <c r="S82" s="414">
        <f t="shared" si="47"/>
        <v>0</v>
      </c>
      <c r="T82" s="880">
        <f>[5]Sheet1!$B496</f>
        <v>2.4759499999999998E-4</v>
      </c>
      <c r="U82" s="10">
        <f t="shared" si="36"/>
        <v>43609</v>
      </c>
      <c r="V82" s="881">
        <f t="shared" si="37"/>
        <v>2.2593043749999996E-2</v>
      </c>
    </row>
    <row r="83" spans="1:22" x14ac:dyDescent="0.25">
      <c r="A83" s="336">
        <f>A82+4</f>
        <v>43613</v>
      </c>
      <c r="B83" s="329">
        <f t="shared" si="30"/>
        <v>0</v>
      </c>
      <c r="C83" s="338">
        <f t="shared" si="38"/>
        <v>177522.73</v>
      </c>
      <c r="D83" s="414">
        <f t="shared" si="39"/>
        <v>43.95</v>
      </c>
      <c r="E83" s="49">
        <f t="shared" si="31"/>
        <v>0</v>
      </c>
      <c r="F83" s="35">
        <f t="shared" si="40"/>
        <v>0</v>
      </c>
      <c r="G83" s="414">
        <f t="shared" si="41"/>
        <v>0</v>
      </c>
      <c r="H83" s="49">
        <f t="shared" si="32"/>
        <v>0</v>
      </c>
      <c r="I83" s="35">
        <f t="shared" si="42"/>
        <v>15168.250000000149</v>
      </c>
      <c r="J83" s="414">
        <f t="shared" si="43"/>
        <v>3.76</v>
      </c>
      <c r="K83" s="329">
        <f t="shared" si="33"/>
        <v>0</v>
      </c>
      <c r="L83" s="35">
        <f t="shared" si="44"/>
        <v>0</v>
      </c>
      <c r="M83" s="414">
        <f t="shared" si="29"/>
        <v>0</v>
      </c>
      <c r="N83" s="329">
        <f t="shared" si="34"/>
        <v>0</v>
      </c>
      <c r="O83" s="35">
        <f t="shared" si="45"/>
        <v>6.0599999999994907</v>
      </c>
      <c r="P83" s="414">
        <f t="shared" si="48"/>
        <v>0</v>
      </c>
      <c r="Q83" s="329">
        <f t="shared" si="35"/>
        <v>0</v>
      </c>
      <c r="R83" s="35">
        <f t="shared" si="46"/>
        <v>0</v>
      </c>
      <c r="S83" s="414">
        <f t="shared" si="47"/>
        <v>0</v>
      </c>
      <c r="T83" s="880">
        <f>[5]Sheet1!$B497</f>
        <v>6.2226999999999999E-5</v>
      </c>
      <c r="U83" s="10">
        <f t="shared" ref="U83:U114" si="49">A83</f>
        <v>43613</v>
      </c>
      <c r="V83" s="881">
        <f t="shared" ref="V83:V106" si="50">T83*365/(A84-A83)</f>
        <v>2.2712855000000001E-2</v>
      </c>
    </row>
    <row r="84" spans="1:22" x14ac:dyDescent="0.25">
      <c r="A84" s="335">
        <f t="shared" ref="A84:A92" si="51">A83+1</f>
        <v>43614</v>
      </c>
      <c r="B84" s="329">
        <f t="shared" si="30"/>
        <v>-19104.14</v>
      </c>
      <c r="C84" s="338">
        <f t="shared" si="38"/>
        <v>158418.59000000003</v>
      </c>
      <c r="D84" s="414">
        <f t="shared" si="39"/>
        <v>11.05</v>
      </c>
      <c r="E84" s="49">
        <f t="shared" si="31"/>
        <v>0</v>
      </c>
      <c r="F84" s="35">
        <f t="shared" si="40"/>
        <v>0</v>
      </c>
      <c r="G84" s="414">
        <f t="shared" si="41"/>
        <v>0</v>
      </c>
      <c r="H84" s="49">
        <f t="shared" si="32"/>
        <v>6537.47</v>
      </c>
      <c r="I84" s="35">
        <f t="shared" si="42"/>
        <v>21705.72000000015</v>
      </c>
      <c r="J84" s="414">
        <f t="shared" si="43"/>
        <v>0.94</v>
      </c>
      <c r="K84" s="329">
        <f t="shared" si="33"/>
        <v>0</v>
      </c>
      <c r="L84" s="35">
        <f t="shared" si="44"/>
        <v>0</v>
      </c>
      <c r="M84" s="414">
        <f t="shared" si="29"/>
        <v>0</v>
      </c>
      <c r="N84" s="329">
        <f t="shared" si="34"/>
        <v>12566.67</v>
      </c>
      <c r="O84" s="35">
        <f t="shared" si="45"/>
        <v>12572.73</v>
      </c>
      <c r="P84" s="414">
        <f t="shared" si="48"/>
        <v>0</v>
      </c>
      <c r="Q84" s="329">
        <f t="shared" si="35"/>
        <v>0</v>
      </c>
      <c r="R84" s="35">
        <f t="shared" si="46"/>
        <v>0</v>
      </c>
      <c r="S84" s="414">
        <f t="shared" si="47"/>
        <v>0</v>
      </c>
      <c r="T84" s="880">
        <f>[5]Sheet1!$B498</f>
        <v>6.2454999999999997E-5</v>
      </c>
      <c r="U84" s="10">
        <f t="shared" si="49"/>
        <v>43614</v>
      </c>
      <c r="V84" s="881">
        <f t="shared" si="50"/>
        <v>2.2796074999999999E-2</v>
      </c>
    </row>
    <row r="85" spans="1:22" x14ac:dyDescent="0.25">
      <c r="A85" s="335">
        <f t="shared" si="51"/>
        <v>43615</v>
      </c>
      <c r="B85" s="329">
        <f t="shared" si="30"/>
        <v>0</v>
      </c>
      <c r="C85" s="338">
        <f t="shared" si="38"/>
        <v>158418.59000000003</v>
      </c>
      <c r="D85" s="414">
        <f t="shared" si="39"/>
        <v>9.89</v>
      </c>
      <c r="E85" s="49">
        <f t="shared" si="31"/>
        <v>0</v>
      </c>
      <c r="F85" s="35">
        <f t="shared" si="40"/>
        <v>0</v>
      </c>
      <c r="G85" s="414">
        <f t="shared" si="41"/>
        <v>0</v>
      </c>
      <c r="H85" s="49">
        <f t="shared" si="32"/>
        <v>0</v>
      </c>
      <c r="I85" s="35">
        <f t="shared" si="42"/>
        <v>21705.72000000015</v>
      </c>
      <c r="J85" s="414">
        <f t="shared" si="43"/>
        <v>1.36</v>
      </c>
      <c r="K85" s="329">
        <f t="shared" si="33"/>
        <v>0</v>
      </c>
      <c r="L85" s="35">
        <f t="shared" si="44"/>
        <v>0</v>
      </c>
      <c r="M85" s="414">
        <f t="shared" si="29"/>
        <v>0</v>
      </c>
      <c r="N85" s="329">
        <f t="shared" si="34"/>
        <v>0</v>
      </c>
      <c r="O85" s="35">
        <f t="shared" si="45"/>
        <v>12572.73</v>
      </c>
      <c r="P85" s="414">
        <f t="shared" si="48"/>
        <v>0.79</v>
      </c>
      <c r="Q85" s="329">
        <f t="shared" si="35"/>
        <v>0</v>
      </c>
      <c r="R85" s="35">
        <f t="shared" si="46"/>
        <v>0</v>
      </c>
      <c r="S85" s="414">
        <f t="shared" si="47"/>
        <v>0</v>
      </c>
      <c r="T85" s="880">
        <f>[5]Sheet1!$B499</f>
        <v>6.2487E-5</v>
      </c>
      <c r="U85" s="10">
        <f t="shared" si="49"/>
        <v>43615</v>
      </c>
      <c r="V85" s="881">
        <f t="shared" si="50"/>
        <v>2.2807754999999999E-2</v>
      </c>
    </row>
    <row r="86" spans="1:22" x14ac:dyDescent="0.25">
      <c r="A86" s="335">
        <f t="shared" si="51"/>
        <v>43616</v>
      </c>
      <c r="B86" s="329">
        <f t="shared" si="30"/>
        <v>0</v>
      </c>
      <c r="C86" s="338">
        <f t="shared" si="38"/>
        <v>158418.59000000003</v>
      </c>
      <c r="D86" s="414">
        <f t="shared" si="39"/>
        <v>9.9</v>
      </c>
      <c r="E86" s="49">
        <f t="shared" si="31"/>
        <v>0</v>
      </c>
      <c r="F86" s="35">
        <f t="shared" si="40"/>
        <v>0</v>
      </c>
      <c r="G86" s="414">
        <f t="shared" si="41"/>
        <v>0</v>
      </c>
      <c r="H86" s="49">
        <f t="shared" si="32"/>
        <v>0</v>
      </c>
      <c r="I86" s="35">
        <f t="shared" si="42"/>
        <v>21705.72000000015</v>
      </c>
      <c r="J86" s="414">
        <f t="shared" si="43"/>
        <v>1.36</v>
      </c>
      <c r="K86" s="329">
        <f t="shared" si="33"/>
        <v>0</v>
      </c>
      <c r="L86" s="35">
        <f t="shared" si="44"/>
        <v>0</v>
      </c>
      <c r="M86" s="414">
        <f t="shared" si="29"/>
        <v>0</v>
      </c>
      <c r="N86" s="329">
        <f t="shared" si="34"/>
        <v>0</v>
      </c>
      <c r="O86" s="35">
        <f t="shared" si="45"/>
        <v>12572.73</v>
      </c>
      <c r="P86" s="414">
        <f t="shared" si="48"/>
        <v>0.79</v>
      </c>
      <c r="Q86" s="329">
        <f t="shared" si="35"/>
        <v>0</v>
      </c>
      <c r="R86" s="35">
        <f t="shared" si="46"/>
        <v>0</v>
      </c>
      <c r="S86" s="414">
        <f t="shared" si="47"/>
        <v>0</v>
      </c>
      <c r="T86" s="880">
        <f>[5]Sheet1!$B500</f>
        <v>6.3508000000000002E-5</v>
      </c>
      <c r="U86" s="10">
        <f t="shared" si="49"/>
        <v>43616</v>
      </c>
      <c r="V86" s="881">
        <f t="shared" si="50"/>
        <v>2.318042E-2</v>
      </c>
    </row>
    <row r="87" spans="1:22" x14ac:dyDescent="0.25">
      <c r="A87" s="335">
        <f t="shared" si="51"/>
        <v>43617</v>
      </c>
      <c r="B87" s="329">
        <f t="shared" si="30"/>
        <v>0</v>
      </c>
      <c r="C87" s="338">
        <f t="shared" si="38"/>
        <v>158418.59000000003</v>
      </c>
      <c r="D87" s="414">
        <f t="shared" si="39"/>
        <v>10.06</v>
      </c>
      <c r="E87" s="49">
        <f t="shared" si="31"/>
        <v>0</v>
      </c>
      <c r="F87" s="35">
        <f t="shared" si="40"/>
        <v>0</v>
      </c>
      <c r="G87" s="414">
        <f t="shared" si="41"/>
        <v>0</v>
      </c>
      <c r="H87" s="49">
        <f t="shared" si="32"/>
        <v>0</v>
      </c>
      <c r="I87" s="35">
        <f t="shared" si="42"/>
        <v>21705.72000000015</v>
      </c>
      <c r="J87" s="414">
        <f t="shared" si="43"/>
        <v>1.38</v>
      </c>
      <c r="K87" s="329">
        <f t="shared" si="33"/>
        <v>0</v>
      </c>
      <c r="L87" s="35">
        <f t="shared" si="44"/>
        <v>0</v>
      </c>
      <c r="M87" s="414">
        <f t="shared" si="29"/>
        <v>0</v>
      </c>
      <c r="N87" s="329">
        <f t="shared" si="34"/>
        <v>0</v>
      </c>
      <c r="O87" s="35">
        <f t="shared" si="45"/>
        <v>12572.73</v>
      </c>
      <c r="P87" s="414">
        <f t="shared" si="48"/>
        <v>0.8</v>
      </c>
      <c r="Q87" s="329">
        <f t="shared" si="35"/>
        <v>0</v>
      </c>
      <c r="R87" s="35">
        <f t="shared" si="46"/>
        <v>0</v>
      </c>
      <c r="S87" s="414">
        <f t="shared" si="47"/>
        <v>0</v>
      </c>
      <c r="T87" s="880">
        <f>[5]Sheet1!$B501</f>
        <v>1.27016E-4</v>
      </c>
      <c r="U87" s="10">
        <f t="shared" si="49"/>
        <v>43617</v>
      </c>
      <c r="V87" s="881">
        <f t="shared" si="50"/>
        <v>2.318042E-2</v>
      </c>
    </row>
    <row r="88" spans="1:22" x14ac:dyDescent="0.25">
      <c r="A88" s="336">
        <f>A87+2</f>
        <v>43619</v>
      </c>
      <c r="B88" s="329">
        <f t="shared" si="30"/>
        <v>0</v>
      </c>
      <c r="C88" s="338">
        <f t="shared" si="38"/>
        <v>158418.59000000003</v>
      </c>
      <c r="D88" s="414">
        <f t="shared" si="39"/>
        <v>20.12</v>
      </c>
      <c r="E88" s="49">
        <f t="shared" si="31"/>
        <v>0</v>
      </c>
      <c r="F88" s="35">
        <f t="shared" si="40"/>
        <v>0</v>
      </c>
      <c r="G88" s="414">
        <f t="shared" si="41"/>
        <v>0</v>
      </c>
      <c r="H88" s="49">
        <f t="shared" si="32"/>
        <v>0</v>
      </c>
      <c r="I88" s="35">
        <f t="shared" si="42"/>
        <v>21705.72000000015</v>
      </c>
      <c r="J88" s="414">
        <f t="shared" si="43"/>
        <v>2.76</v>
      </c>
      <c r="K88" s="329">
        <f t="shared" si="33"/>
        <v>0</v>
      </c>
      <c r="L88" s="35">
        <f t="shared" si="44"/>
        <v>0</v>
      </c>
      <c r="M88" s="414">
        <f t="shared" si="29"/>
        <v>0</v>
      </c>
      <c r="N88" s="329">
        <f t="shared" si="34"/>
        <v>0</v>
      </c>
      <c r="O88" s="35">
        <f t="shared" si="45"/>
        <v>12572.73</v>
      </c>
      <c r="P88" s="414">
        <f t="shared" si="48"/>
        <v>1.6</v>
      </c>
      <c r="Q88" s="329">
        <f t="shared" si="35"/>
        <v>0</v>
      </c>
      <c r="R88" s="35">
        <f t="shared" si="46"/>
        <v>0</v>
      </c>
      <c r="S88" s="414">
        <f t="shared" si="47"/>
        <v>0</v>
      </c>
      <c r="T88" s="880">
        <f>[5]Sheet1!$B502</f>
        <v>6.2269999999999998E-5</v>
      </c>
      <c r="U88" s="10">
        <f t="shared" si="49"/>
        <v>43619</v>
      </c>
      <c r="V88" s="881">
        <f t="shared" si="50"/>
        <v>2.272855E-2</v>
      </c>
    </row>
    <row r="89" spans="1:22" x14ac:dyDescent="0.25">
      <c r="A89" s="335">
        <f t="shared" si="51"/>
        <v>43620</v>
      </c>
      <c r="B89" s="329">
        <f t="shared" si="30"/>
        <v>50339.28</v>
      </c>
      <c r="C89" s="338">
        <f t="shared" si="38"/>
        <v>208757.87000000002</v>
      </c>
      <c r="D89" s="414">
        <f t="shared" si="39"/>
        <v>9.86</v>
      </c>
      <c r="E89" s="49">
        <f t="shared" si="31"/>
        <v>0</v>
      </c>
      <c r="F89" s="35">
        <f t="shared" si="40"/>
        <v>0</v>
      </c>
      <c r="G89" s="414">
        <f t="shared" si="41"/>
        <v>0</v>
      </c>
      <c r="H89" s="49">
        <f t="shared" si="32"/>
        <v>27.12</v>
      </c>
      <c r="I89" s="35">
        <f t="shared" si="42"/>
        <v>21732.840000000149</v>
      </c>
      <c r="J89" s="414">
        <f t="shared" si="43"/>
        <v>1.35</v>
      </c>
      <c r="K89" s="329">
        <f t="shared" si="33"/>
        <v>0</v>
      </c>
      <c r="L89" s="35">
        <f t="shared" si="44"/>
        <v>0</v>
      </c>
      <c r="M89" s="414">
        <f t="shared" si="29"/>
        <v>0</v>
      </c>
      <c r="N89" s="329">
        <f t="shared" si="34"/>
        <v>14.14</v>
      </c>
      <c r="O89" s="35">
        <f t="shared" si="45"/>
        <v>12586.869999999999</v>
      </c>
      <c r="P89" s="414">
        <f t="shared" si="48"/>
        <v>0.78</v>
      </c>
      <c r="Q89" s="329">
        <f t="shared" si="35"/>
        <v>0</v>
      </c>
      <c r="R89" s="35">
        <f t="shared" si="46"/>
        <v>0</v>
      </c>
      <c r="S89" s="414">
        <f t="shared" si="47"/>
        <v>0</v>
      </c>
      <c r="T89" s="880">
        <f>[5]Sheet1!$B503</f>
        <v>6.2057000000000006E-5</v>
      </c>
      <c r="U89" s="10">
        <f t="shared" si="49"/>
        <v>43620</v>
      </c>
      <c r="V89" s="881">
        <f t="shared" si="50"/>
        <v>2.2650805000000003E-2</v>
      </c>
    </row>
    <row r="90" spans="1:22" x14ac:dyDescent="0.25">
      <c r="A90" s="335">
        <f t="shared" si="51"/>
        <v>43621</v>
      </c>
      <c r="B90" s="329">
        <f t="shared" si="30"/>
        <v>-50000</v>
      </c>
      <c r="C90" s="338">
        <f t="shared" si="38"/>
        <v>158757.87000000002</v>
      </c>
      <c r="D90" s="414">
        <f t="shared" si="39"/>
        <v>12.95</v>
      </c>
      <c r="E90" s="49">
        <f t="shared" si="31"/>
        <v>0</v>
      </c>
      <c r="F90" s="35">
        <f t="shared" si="40"/>
        <v>0</v>
      </c>
      <c r="G90" s="414">
        <f t="shared" si="41"/>
        <v>0</v>
      </c>
      <c r="H90" s="49">
        <f t="shared" si="32"/>
        <v>0</v>
      </c>
      <c r="I90" s="35">
        <f t="shared" si="42"/>
        <v>21732.840000000149</v>
      </c>
      <c r="J90" s="414">
        <f t="shared" si="43"/>
        <v>1.35</v>
      </c>
      <c r="K90" s="329">
        <f t="shared" si="33"/>
        <v>0</v>
      </c>
      <c r="L90" s="35">
        <f t="shared" si="44"/>
        <v>0</v>
      </c>
      <c r="M90" s="414">
        <f t="shared" si="29"/>
        <v>0</v>
      </c>
      <c r="N90" s="329">
        <f t="shared" si="34"/>
        <v>0</v>
      </c>
      <c r="O90" s="35">
        <f t="shared" si="45"/>
        <v>12586.869999999999</v>
      </c>
      <c r="P90" s="414">
        <f t="shared" si="48"/>
        <v>0.78</v>
      </c>
      <c r="Q90" s="329">
        <f t="shared" si="35"/>
        <v>0</v>
      </c>
      <c r="R90" s="35">
        <f t="shared" si="46"/>
        <v>0</v>
      </c>
      <c r="S90" s="414">
        <f t="shared" si="47"/>
        <v>0</v>
      </c>
      <c r="T90" s="880">
        <f>[5]Sheet1!$B504</f>
        <v>6.1975000000000002E-5</v>
      </c>
      <c r="U90" s="10">
        <f t="shared" si="49"/>
        <v>43621</v>
      </c>
      <c r="V90" s="881">
        <f t="shared" si="50"/>
        <v>2.2620875000000002E-2</v>
      </c>
    </row>
    <row r="91" spans="1:22" x14ac:dyDescent="0.25">
      <c r="A91" s="335">
        <f t="shared" si="51"/>
        <v>43622</v>
      </c>
      <c r="B91" s="329">
        <f t="shared" si="30"/>
        <v>0</v>
      </c>
      <c r="C91" s="338">
        <f t="shared" si="38"/>
        <v>158757.87000000002</v>
      </c>
      <c r="D91" s="414">
        <f t="shared" si="39"/>
        <v>9.84</v>
      </c>
      <c r="E91" s="49">
        <f t="shared" si="31"/>
        <v>0</v>
      </c>
      <c r="F91" s="35">
        <f t="shared" si="40"/>
        <v>0</v>
      </c>
      <c r="G91" s="414">
        <f t="shared" si="41"/>
        <v>0</v>
      </c>
      <c r="H91" s="49">
        <f t="shared" si="32"/>
        <v>0</v>
      </c>
      <c r="I91" s="35">
        <f t="shared" si="42"/>
        <v>21732.840000000149</v>
      </c>
      <c r="J91" s="414">
        <f t="shared" si="43"/>
        <v>1.35</v>
      </c>
      <c r="K91" s="329">
        <f t="shared" si="33"/>
        <v>0</v>
      </c>
      <c r="L91" s="35">
        <f t="shared" si="44"/>
        <v>0</v>
      </c>
      <c r="M91" s="414">
        <f t="shared" si="29"/>
        <v>0</v>
      </c>
      <c r="N91" s="329">
        <f t="shared" si="34"/>
        <v>0</v>
      </c>
      <c r="O91" s="35">
        <f t="shared" si="45"/>
        <v>12586.869999999999</v>
      </c>
      <c r="P91" s="414">
        <f t="shared" si="48"/>
        <v>0.78</v>
      </c>
      <c r="Q91" s="329">
        <f t="shared" si="35"/>
        <v>0</v>
      </c>
      <c r="R91" s="35">
        <f t="shared" si="46"/>
        <v>0</v>
      </c>
      <c r="S91" s="414">
        <f t="shared" si="47"/>
        <v>0</v>
      </c>
      <c r="T91" s="880">
        <f>[5]Sheet1!$B505</f>
        <v>6.2055000000000001E-5</v>
      </c>
      <c r="U91" s="10">
        <f t="shared" si="49"/>
        <v>43622</v>
      </c>
      <c r="V91" s="881">
        <f t="shared" si="50"/>
        <v>2.2650075000000002E-2</v>
      </c>
    </row>
    <row r="92" spans="1:22" x14ac:dyDescent="0.25">
      <c r="A92" s="335">
        <f t="shared" si="51"/>
        <v>43623</v>
      </c>
      <c r="B92" s="329">
        <f t="shared" si="30"/>
        <v>0</v>
      </c>
      <c r="C92" s="338">
        <f t="shared" si="38"/>
        <v>158757.87000000002</v>
      </c>
      <c r="D92" s="414">
        <f t="shared" si="39"/>
        <v>9.85</v>
      </c>
      <c r="E92" s="49">
        <f t="shared" si="31"/>
        <v>0</v>
      </c>
      <c r="F92" s="35">
        <f t="shared" si="40"/>
        <v>0</v>
      </c>
      <c r="G92" s="414">
        <f t="shared" si="41"/>
        <v>0</v>
      </c>
      <c r="H92" s="49">
        <f t="shared" si="32"/>
        <v>0</v>
      </c>
      <c r="I92" s="35">
        <f t="shared" si="42"/>
        <v>21732.840000000149</v>
      </c>
      <c r="J92" s="414">
        <f t="shared" si="43"/>
        <v>1.35</v>
      </c>
      <c r="K92" s="329">
        <f t="shared" si="33"/>
        <v>0</v>
      </c>
      <c r="L92" s="35">
        <f t="shared" si="44"/>
        <v>0</v>
      </c>
      <c r="M92" s="414">
        <f t="shared" si="29"/>
        <v>0</v>
      </c>
      <c r="N92" s="329">
        <f t="shared" si="34"/>
        <v>0</v>
      </c>
      <c r="O92" s="35">
        <f t="shared" si="45"/>
        <v>12586.869999999999</v>
      </c>
      <c r="P92" s="414">
        <f t="shared" si="48"/>
        <v>0.78</v>
      </c>
      <c r="Q92" s="329">
        <f t="shared" si="35"/>
        <v>0</v>
      </c>
      <c r="R92" s="35">
        <f t="shared" si="46"/>
        <v>0</v>
      </c>
      <c r="S92" s="414">
        <f t="shared" si="47"/>
        <v>0</v>
      </c>
      <c r="T92" s="880">
        <f>[5]Sheet1!$B506</f>
        <v>1.86138E-4</v>
      </c>
      <c r="U92" s="10">
        <f t="shared" si="49"/>
        <v>43623</v>
      </c>
      <c r="V92" s="881">
        <f t="shared" si="50"/>
        <v>2.264679E-2</v>
      </c>
    </row>
    <row r="93" spans="1:22" x14ac:dyDescent="0.25">
      <c r="A93" s="336">
        <f>A92+3</f>
        <v>43626</v>
      </c>
      <c r="B93" s="329">
        <f t="shared" si="30"/>
        <v>0</v>
      </c>
      <c r="C93" s="338">
        <f t="shared" si="38"/>
        <v>158757.87000000002</v>
      </c>
      <c r="D93" s="414">
        <f t="shared" si="39"/>
        <v>29.55</v>
      </c>
      <c r="E93" s="49">
        <f t="shared" si="31"/>
        <v>0</v>
      </c>
      <c r="F93" s="35">
        <f t="shared" si="40"/>
        <v>0</v>
      </c>
      <c r="G93" s="414">
        <f t="shared" si="41"/>
        <v>0</v>
      </c>
      <c r="H93" s="49">
        <f t="shared" si="32"/>
        <v>0</v>
      </c>
      <c r="I93" s="35">
        <f t="shared" si="42"/>
        <v>21732.840000000149</v>
      </c>
      <c r="J93" s="414">
        <f t="shared" si="43"/>
        <v>4.05</v>
      </c>
      <c r="K93" s="329">
        <f t="shared" si="33"/>
        <v>0</v>
      </c>
      <c r="L93" s="35">
        <f t="shared" si="44"/>
        <v>0</v>
      </c>
      <c r="M93" s="414">
        <f t="shared" si="29"/>
        <v>0</v>
      </c>
      <c r="N93" s="329">
        <f t="shared" si="34"/>
        <v>0</v>
      </c>
      <c r="O93" s="35">
        <f t="shared" si="45"/>
        <v>12586.869999999999</v>
      </c>
      <c r="P93" s="414">
        <f t="shared" si="48"/>
        <v>2.34</v>
      </c>
      <c r="Q93" s="329">
        <f t="shared" si="35"/>
        <v>0</v>
      </c>
      <c r="R93" s="35">
        <f t="shared" si="46"/>
        <v>0</v>
      </c>
      <c r="S93" s="414">
        <f t="shared" si="47"/>
        <v>0</v>
      </c>
      <c r="T93" s="880">
        <f>[5]Sheet1!$B507</f>
        <v>6.1904999999999998E-5</v>
      </c>
      <c r="U93" s="10">
        <f t="shared" si="49"/>
        <v>43626</v>
      </c>
      <c r="V93" s="881">
        <f t="shared" si="50"/>
        <v>2.2595324999999999E-2</v>
      </c>
    </row>
    <row r="94" spans="1:22" x14ac:dyDescent="0.25">
      <c r="A94" s="335">
        <f>A93+1</f>
        <v>43627</v>
      </c>
      <c r="B94" s="329">
        <f t="shared" si="30"/>
        <v>-17096.060000000001</v>
      </c>
      <c r="C94" s="338">
        <f t="shared" si="38"/>
        <v>141661.81000000003</v>
      </c>
      <c r="D94" s="414">
        <f t="shared" si="39"/>
        <v>9.83</v>
      </c>
      <c r="E94" s="49">
        <f t="shared" si="31"/>
        <v>0</v>
      </c>
      <c r="F94" s="35">
        <f t="shared" si="40"/>
        <v>0</v>
      </c>
      <c r="G94" s="414">
        <f t="shared" si="41"/>
        <v>0</v>
      </c>
      <c r="H94" s="49">
        <f t="shared" si="32"/>
        <v>4570.9799999999996</v>
      </c>
      <c r="I94" s="35">
        <f t="shared" si="42"/>
        <v>26303.820000000149</v>
      </c>
      <c r="J94" s="414">
        <f t="shared" si="43"/>
        <v>1.35</v>
      </c>
      <c r="K94" s="329">
        <f t="shared" si="33"/>
        <v>0</v>
      </c>
      <c r="L94" s="35">
        <f t="shared" si="44"/>
        <v>0</v>
      </c>
      <c r="M94" s="414">
        <f t="shared" si="29"/>
        <v>0</v>
      </c>
      <c r="N94" s="329">
        <f t="shared" si="34"/>
        <v>0</v>
      </c>
      <c r="O94" s="35">
        <f t="shared" si="45"/>
        <v>12586.869999999999</v>
      </c>
      <c r="P94" s="414">
        <f t="shared" si="48"/>
        <v>0.78</v>
      </c>
      <c r="Q94" s="329">
        <f t="shared" si="35"/>
        <v>0</v>
      </c>
      <c r="R94" s="35">
        <f t="shared" si="46"/>
        <v>0</v>
      </c>
      <c r="S94" s="414">
        <f t="shared" si="47"/>
        <v>0</v>
      </c>
      <c r="T94" s="880">
        <f>[5]Sheet1!$B508</f>
        <v>6.1773999999999995E-5</v>
      </c>
      <c r="U94" s="10">
        <f t="shared" si="49"/>
        <v>43627</v>
      </c>
      <c r="V94" s="881">
        <f t="shared" si="50"/>
        <v>2.254751E-2</v>
      </c>
    </row>
    <row r="95" spans="1:22" x14ac:dyDescent="0.25">
      <c r="A95" s="335">
        <f>A94+1</f>
        <v>43628</v>
      </c>
      <c r="B95" s="329">
        <f t="shared" si="30"/>
        <v>0</v>
      </c>
      <c r="C95" s="338">
        <f t="shared" si="38"/>
        <v>141661.81000000003</v>
      </c>
      <c r="D95" s="414">
        <f t="shared" si="39"/>
        <v>8.75</v>
      </c>
      <c r="E95" s="49">
        <f t="shared" si="31"/>
        <v>0</v>
      </c>
      <c r="F95" s="35">
        <f t="shared" si="40"/>
        <v>0</v>
      </c>
      <c r="G95" s="414">
        <f t="shared" si="41"/>
        <v>0</v>
      </c>
      <c r="H95" s="49">
        <f t="shared" si="32"/>
        <v>0</v>
      </c>
      <c r="I95" s="35">
        <f t="shared" si="42"/>
        <v>26303.820000000149</v>
      </c>
      <c r="J95" s="414">
        <f t="shared" si="43"/>
        <v>1.62</v>
      </c>
      <c r="K95" s="329">
        <f t="shared" si="33"/>
        <v>0</v>
      </c>
      <c r="L95" s="35">
        <f t="shared" si="44"/>
        <v>0</v>
      </c>
      <c r="M95" s="414">
        <f t="shared" si="29"/>
        <v>0</v>
      </c>
      <c r="N95" s="329">
        <f t="shared" si="34"/>
        <v>0</v>
      </c>
      <c r="O95" s="35">
        <f t="shared" si="45"/>
        <v>12586.869999999999</v>
      </c>
      <c r="P95" s="414">
        <f t="shared" si="48"/>
        <v>0.78</v>
      </c>
      <c r="Q95" s="329">
        <f t="shared" si="35"/>
        <v>0</v>
      </c>
      <c r="R95" s="35">
        <f t="shared" si="46"/>
        <v>0</v>
      </c>
      <c r="S95" s="414">
        <f t="shared" si="47"/>
        <v>0</v>
      </c>
      <c r="T95" s="880">
        <f>[5]Sheet1!$B509</f>
        <v>6.1624999999999994E-5</v>
      </c>
      <c r="U95" s="10">
        <f t="shared" si="49"/>
        <v>43628</v>
      </c>
      <c r="V95" s="881">
        <f t="shared" si="50"/>
        <v>2.2493124999999999E-2</v>
      </c>
    </row>
    <row r="96" spans="1:22" x14ac:dyDescent="0.25">
      <c r="A96" s="335">
        <f>A95+1</f>
        <v>43629</v>
      </c>
      <c r="B96" s="329">
        <f t="shared" si="30"/>
        <v>0</v>
      </c>
      <c r="C96" s="338">
        <f t="shared" si="38"/>
        <v>141661.81000000003</v>
      </c>
      <c r="D96" s="414">
        <f t="shared" si="39"/>
        <v>8.73</v>
      </c>
      <c r="E96" s="49">
        <f t="shared" si="31"/>
        <v>0</v>
      </c>
      <c r="F96" s="35">
        <f t="shared" si="40"/>
        <v>0</v>
      </c>
      <c r="G96" s="414">
        <f t="shared" si="41"/>
        <v>0</v>
      </c>
      <c r="H96" s="49">
        <f t="shared" si="32"/>
        <v>0</v>
      </c>
      <c r="I96" s="35">
        <f t="shared" si="42"/>
        <v>26303.820000000149</v>
      </c>
      <c r="J96" s="414">
        <f t="shared" si="43"/>
        <v>1.62</v>
      </c>
      <c r="K96" s="329">
        <f t="shared" si="33"/>
        <v>0</v>
      </c>
      <c r="L96" s="35">
        <f t="shared" si="44"/>
        <v>0</v>
      </c>
      <c r="M96" s="414">
        <f t="shared" si="29"/>
        <v>0</v>
      </c>
      <c r="N96" s="329">
        <f t="shared" si="34"/>
        <v>0</v>
      </c>
      <c r="O96" s="35">
        <f t="shared" si="45"/>
        <v>12586.869999999999</v>
      </c>
      <c r="P96" s="414">
        <f t="shared" si="48"/>
        <v>0.78</v>
      </c>
      <c r="Q96" s="329">
        <f t="shared" si="35"/>
        <v>0</v>
      </c>
      <c r="R96" s="35">
        <f t="shared" si="46"/>
        <v>0</v>
      </c>
      <c r="S96" s="414">
        <f t="shared" si="47"/>
        <v>0</v>
      </c>
      <c r="T96" s="880">
        <f>[5]Sheet1!$B510</f>
        <v>6.1427999999999995E-5</v>
      </c>
      <c r="U96" s="10">
        <f t="shared" si="49"/>
        <v>43629</v>
      </c>
      <c r="V96" s="881">
        <f t="shared" si="50"/>
        <v>2.2421219999999999E-2</v>
      </c>
    </row>
    <row r="97" spans="1:22" x14ac:dyDescent="0.25">
      <c r="A97" s="335">
        <f>A96+1</f>
        <v>43630</v>
      </c>
      <c r="B97" s="329">
        <f t="shared" si="30"/>
        <v>0</v>
      </c>
      <c r="C97" s="338">
        <f t="shared" ref="C97:C132" si="52">B97+C96</f>
        <v>141661.81000000003</v>
      </c>
      <c r="D97" s="414">
        <f t="shared" ref="D97:D132" si="53">ROUND(C96*$T96,2)</f>
        <v>8.6999999999999993</v>
      </c>
      <c r="E97" s="49">
        <f t="shared" si="31"/>
        <v>0</v>
      </c>
      <c r="F97" s="35">
        <f t="shared" ref="F97:F132" si="54">E97+F96</f>
        <v>0</v>
      </c>
      <c r="G97" s="414">
        <f t="shared" ref="G97:G132" si="55">ROUND(F96*$T96,2)</f>
        <v>0</v>
      </c>
      <c r="H97" s="49">
        <f t="shared" si="32"/>
        <v>0</v>
      </c>
      <c r="I97" s="35">
        <f t="shared" ref="I97:I132" si="56">H97+I96</f>
        <v>26303.820000000149</v>
      </c>
      <c r="J97" s="414">
        <f t="shared" ref="J97:J132" si="57">ROUND(I96*$T96,2)</f>
        <v>1.62</v>
      </c>
      <c r="K97" s="329">
        <f t="shared" si="33"/>
        <v>0</v>
      </c>
      <c r="L97" s="35">
        <f t="shared" ref="L97:L132" si="58">K97+L96</f>
        <v>0</v>
      </c>
      <c r="M97" s="414">
        <f t="shared" ref="M97:M132" si="59">ROUND(L96*$T96,2)</f>
        <v>0</v>
      </c>
      <c r="N97" s="329">
        <f t="shared" si="34"/>
        <v>0</v>
      </c>
      <c r="O97" s="35">
        <f t="shared" ref="O97:O132" si="60">N97+O96</f>
        <v>12586.869999999999</v>
      </c>
      <c r="P97" s="414">
        <f t="shared" ref="P97:P132" si="61">ROUND(O96*$T96,2)</f>
        <v>0.77</v>
      </c>
      <c r="Q97" s="329">
        <f t="shared" si="35"/>
        <v>0</v>
      </c>
      <c r="R97" s="35">
        <f t="shared" ref="R97:R132" si="62">Q97+R96</f>
        <v>0</v>
      </c>
      <c r="S97" s="414">
        <f t="shared" si="47"/>
        <v>0</v>
      </c>
      <c r="T97" s="880">
        <f>[5]Sheet1!$B511</f>
        <v>1.83399E-4</v>
      </c>
      <c r="U97" s="10">
        <f t="shared" si="49"/>
        <v>43630</v>
      </c>
      <c r="V97" s="881">
        <f t="shared" si="50"/>
        <v>2.2313545000000001E-2</v>
      </c>
    </row>
    <row r="98" spans="1:22" x14ac:dyDescent="0.25">
      <c r="A98" s="336">
        <f>A97+3</f>
        <v>43633</v>
      </c>
      <c r="B98" s="329">
        <f t="shared" si="30"/>
        <v>0</v>
      </c>
      <c r="C98" s="338">
        <f t="shared" si="52"/>
        <v>141661.81000000003</v>
      </c>
      <c r="D98" s="414">
        <f t="shared" si="53"/>
        <v>25.98</v>
      </c>
      <c r="E98" s="49">
        <f t="shared" si="31"/>
        <v>0</v>
      </c>
      <c r="F98" s="35">
        <f t="shared" si="54"/>
        <v>0</v>
      </c>
      <c r="G98" s="414">
        <f t="shared" si="55"/>
        <v>0</v>
      </c>
      <c r="H98" s="49">
        <f t="shared" si="32"/>
        <v>0</v>
      </c>
      <c r="I98" s="35">
        <f t="shared" si="56"/>
        <v>26303.820000000149</v>
      </c>
      <c r="J98" s="414">
        <f t="shared" si="57"/>
        <v>4.82</v>
      </c>
      <c r="K98" s="329">
        <f t="shared" si="33"/>
        <v>0</v>
      </c>
      <c r="L98" s="35">
        <f t="shared" si="58"/>
        <v>0</v>
      </c>
      <c r="M98" s="414">
        <f t="shared" si="59"/>
        <v>0</v>
      </c>
      <c r="N98" s="329">
        <f t="shared" si="34"/>
        <v>0</v>
      </c>
      <c r="O98" s="35">
        <f t="shared" si="60"/>
        <v>12586.869999999999</v>
      </c>
      <c r="P98" s="414">
        <f t="shared" si="61"/>
        <v>2.31</v>
      </c>
      <c r="Q98" s="329">
        <f t="shared" si="35"/>
        <v>0</v>
      </c>
      <c r="R98" s="35">
        <f t="shared" si="62"/>
        <v>0</v>
      </c>
      <c r="S98" s="414">
        <f t="shared" si="47"/>
        <v>0</v>
      </c>
      <c r="T98" s="880">
        <f>[5]Sheet1!$B512</f>
        <v>6.1730999999999996E-5</v>
      </c>
      <c r="U98" s="10">
        <f t="shared" si="49"/>
        <v>43633</v>
      </c>
      <c r="V98" s="881">
        <f t="shared" si="50"/>
        <v>2.2531814999999997E-2</v>
      </c>
    </row>
    <row r="99" spans="1:22" x14ac:dyDescent="0.25">
      <c r="A99" s="335">
        <f>A98+1</f>
        <v>43634</v>
      </c>
      <c r="B99" s="329">
        <f t="shared" si="30"/>
        <v>51953.13</v>
      </c>
      <c r="C99" s="338">
        <f t="shared" si="52"/>
        <v>193614.94000000003</v>
      </c>
      <c r="D99" s="414">
        <f t="shared" si="53"/>
        <v>8.74</v>
      </c>
      <c r="E99" s="49">
        <f t="shared" si="31"/>
        <v>0</v>
      </c>
      <c r="F99" s="35">
        <f t="shared" si="54"/>
        <v>0</v>
      </c>
      <c r="G99" s="414">
        <f t="shared" si="55"/>
        <v>0</v>
      </c>
      <c r="H99" s="49">
        <f t="shared" si="32"/>
        <v>0</v>
      </c>
      <c r="I99" s="35">
        <f t="shared" si="56"/>
        <v>26303.820000000149</v>
      </c>
      <c r="J99" s="414">
        <f t="shared" si="57"/>
        <v>1.62</v>
      </c>
      <c r="K99" s="329">
        <f t="shared" si="33"/>
        <v>0</v>
      </c>
      <c r="L99" s="35">
        <f t="shared" si="58"/>
        <v>0</v>
      </c>
      <c r="M99" s="414">
        <f t="shared" si="59"/>
        <v>0</v>
      </c>
      <c r="N99" s="329">
        <f t="shared" si="34"/>
        <v>0</v>
      </c>
      <c r="O99" s="35">
        <f t="shared" si="60"/>
        <v>12586.869999999999</v>
      </c>
      <c r="P99" s="414">
        <f t="shared" si="61"/>
        <v>0.78</v>
      </c>
      <c r="Q99" s="329">
        <f t="shared" si="35"/>
        <v>0</v>
      </c>
      <c r="R99" s="35">
        <f t="shared" si="62"/>
        <v>0</v>
      </c>
      <c r="S99" s="414">
        <f t="shared" si="47"/>
        <v>0</v>
      </c>
      <c r="T99" s="880">
        <f>[5]Sheet1!$B513</f>
        <v>6.1421999999999996E-5</v>
      </c>
      <c r="U99" s="10">
        <f t="shared" si="49"/>
        <v>43634</v>
      </c>
      <c r="V99" s="881">
        <f t="shared" si="50"/>
        <v>2.241903E-2</v>
      </c>
    </row>
    <row r="100" spans="1:22" x14ac:dyDescent="0.25">
      <c r="A100" s="335">
        <f>A99+1</f>
        <v>43635</v>
      </c>
      <c r="B100" s="329">
        <f t="shared" si="30"/>
        <v>0</v>
      </c>
      <c r="C100" s="338">
        <f t="shared" si="52"/>
        <v>193614.94000000003</v>
      </c>
      <c r="D100" s="414">
        <f t="shared" si="53"/>
        <v>11.89</v>
      </c>
      <c r="E100" s="49">
        <f t="shared" si="31"/>
        <v>0</v>
      </c>
      <c r="F100" s="35">
        <f t="shared" si="54"/>
        <v>0</v>
      </c>
      <c r="G100" s="414">
        <f t="shared" si="55"/>
        <v>0</v>
      </c>
      <c r="H100" s="49">
        <f t="shared" si="32"/>
        <v>0</v>
      </c>
      <c r="I100" s="35">
        <f t="shared" si="56"/>
        <v>26303.820000000149</v>
      </c>
      <c r="J100" s="414">
        <f t="shared" si="57"/>
        <v>1.62</v>
      </c>
      <c r="K100" s="329">
        <f t="shared" si="33"/>
        <v>0</v>
      </c>
      <c r="L100" s="35">
        <f t="shared" si="58"/>
        <v>0</v>
      </c>
      <c r="M100" s="414">
        <f t="shared" si="59"/>
        <v>0</v>
      </c>
      <c r="N100" s="329">
        <f t="shared" si="34"/>
        <v>0</v>
      </c>
      <c r="O100" s="35">
        <f t="shared" si="60"/>
        <v>12586.869999999999</v>
      </c>
      <c r="P100" s="414">
        <f t="shared" si="61"/>
        <v>0.77</v>
      </c>
      <c r="Q100" s="329">
        <f t="shared" si="35"/>
        <v>0</v>
      </c>
      <c r="R100" s="35">
        <f t="shared" si="62"/>
        <v>0</v>
      </c>
      <c r="S100" s="414">
        <f t="shared" si="47"/>
        <v>0</v>
      </c>
      <c r="T100" s="880">
        <f>[5]Sheet1!$B514</f>
        <v>6.1239000000000001E-5</v>
      </c>
      <c r="U100" s="10">
        <f t="shared" si="49"/>
        <v>43635</v>
      </c>
      <c r="V100" s="881">
        <f t="shared" si="50"/>
        <v>2.2352235000000002E-2</v>
      </c>
    </row>
    <row r="101" spans="1:22" x14ac:dyDescent="0.25">
      <c r="A101" s="335">
        <f>A100+1</f>
        <v>43636</v>
      </c>
      <c r="B101" s="329">
        <f t="shared" si="30"/>
        <v>0</v>
      </c>
      <c r="C101" s="338">
        <f t="shared" si="52"/>
        <v>193614.94000000003</v>
      </c>
      <c r="D101" s="414">
        <f t="shared" si="53"/>
        <v>11.86</v>
      </c>
      <c r="E101" s="49">
        <f t="shared" si="31"/>
        <v>0</v>
      </c>
      <c r="F101" s="35">
        <f t="shared" si="54"/>
        <v>0</v>
      </c>
      <c r="G101" s="414">
        <f t="shared" si="55"/>
        <v>0</v>
      </c>
      <c r="H101" s="49">
        <f t="shared" si="32"/>
        <v>0</v>
      </c>
      <c r="I101" s="35">
        <f t="shared" si="56"/>
        <v>26303.820000000149</v>
      </c>
      <c r="J101" s="414">
        <f t="shared" si="57"/>
        <v>1.61</v>
      </c>
      <c r="K101" s="329">
        <f t="shared" si="33"/>
        <v>0</v>
      </c>
      <c r="L101" s="35">
        <f t="shared" si="58"/>
        <v>0</v>
      </c>
      <c r="M101" s="414">
        <f t="shared" si="59"/>
        <v>0</v>
      </c>
      <c r="N101" s="329">
        <f t="shared" si="34"/>
        <v>0</v>
      </c>
      <c r="O101" s="35">
        <f t="shared" si="60"/>
        <v>12586.869999999999</v>
      </c>
      <c r="P101" s="414">
        <f t="shared" si="61"/>
        <v>0.77</v>
      </c>
      <c r="Q101" s="329">
        <f t="shared" si="35"/>
        <v>0</v>
      </c>
      <c r="R101" s="35">
        <f t="shared" si="62"/>
        <v>0</v>
      </c>
      <c r="S101" s="414">
        <f t="shared" si="47"/>
        <v>0</v>
      </c>
      <c r="T101" s="880">
        <f>[5]Sheet1!$B515</f>
        <v>6.0757999999999997E-5</v>
      </c>
      <c r="U101" s="10">
        <f t="shared" si="49"/>
        <v>43636</v>
      </c>
      <c r="V101" s="881">
        <f t="shared" si="50"/>
        <v>2.2176669999999999E-2</v>
      </c>
    </row>
    <row r="102" spans="1:22" x14ac:dyDescent="0.25">
      <c r="A102" s="335">
        <f>A101+1</f>
        <v>43637</v>
      </c>
      <c r="B102" s="329">
        <f t="shared" si="30"/>
        <v>-17702.62</v>
      </c>
      <c r="C102" s="338">
        <f t="shared" si="52"/>
        <v>175912.32000000004</v>
      </c>
      <c r="D102" s="414">
        <f t="shared" si="53"/>
        <v>11.76</v>
      </c>
      <c r="E102" s="49">
        <f t="shared" si="31"/>
        <v>0</v>
      </c>
      <c r="F102" s="35">
        <f t="shared" si="54"/>
        <v>0</v>
      </c>
      <c r="G102" s="414">
        <f t="shared" si="55"/>
        <v>0</v>
      </c>
      <c r="H102" s="49">
        <f t="shared" si="32"/>
        <v>233.09</v>
      </c>
      <c r="I102" s="35">
        <f t="shared" si="56"/>
        <v>26536.910000000149</v>
      </c>
      <c r="J102" s="414">
        <f t="shared" si="57"/>
        <v>1.6</v>
      </c>
      <c r="K102" s="329">
        <f t="shared" si="33"/>
        <v>0</v>
      </c>
      <c r="L102" s="35">
        <f t="shared" si="58"/>
        <v>0</v>
      </c>
      <c r="M102" s="414">
        <f t="shared" si="59"/>
        <v>0</v>
      </c>
      <c r="N102" s="329">
        <f t="shared" si="34"/>
        <v>-12566.66</v>
      </c>
      <c r="O102" s="35">
        <f t="shared" si="60"/>
        <v>20.209999999999127</v>
      </c>
      <c r="P102" s="414">
        <f t="shared" si="61"/>
        <v>0.76</v>
      </c>
      <c r="Q102" s="329">
        <f t="shared" si="35"/>
        <v>0</v>
      </c>
      <c r="R102" s="35">
        <f t="shared" si="62"/>
        <v>0</v>
      </c>
      <c r="S102" s="414">
        <f t="shared" si="47"/>
        <v>0</v>
      </c>
      <c r="T102" s="880">
        <f>[5]Sheet1!$B516</f>
        <v>1.8365300000000001E-4</v>
      </c>
      <c r="U102" s="10">
        <f t="shared" si="49"/>
        <v>43637</v>
      </c>
      <c r="V102" s="881">
        <f t="shared" si="50"/>
        <v>2.2344448333333336E-2</v>
      </c>
    </row>
    <row r="103" spans="1:22" x14ac:dyDescent="0.25">
      <c r="A103" s="336">
        <f>A102+3</f>
        <v>43640</v>
      </c>
      <c r="B103" s="329">
        <f t="shared" si="30"/>
        <v>0</v>
      </c>
      <c r="C103" s="338">
        <f t="shared" si="52"/>
        <v>175912.32000000004</v>
      </c>
      <c r="D103" s="414">
        <f t="shared" si="53"/>
        <v>32.31</v>
      </c>
      <c r="E103" s="49">
        <f t="shared" si="31"/>
        <v>0</v>
      </c>
      <c r="F103" s="35">
        <f t="shared" si="54"/>
        <v>0</v>
      </c>
      <c r="G103" s="414">
        <f t="shared" si="55"/>
        <v>0</v>
      </c>
      <c r="H103" s="49">
        <f t="shared" si="32"/>
        <v>0</v>
      </c>
      <c r="I103" s="35">
        <f t="shared" si="56"/>
        <v>26536.910000000149</v>
      </c>
      <c r="J103" s="414">
        <f t="shared" si="57"/>
        <v>4.87</v>
      </c>
      <c r="K103" s="329">
        <f t="shared" si="33"/>
        <v>0</v>
      </c>
      <c r="L103" s="35">
        <f t="shared" si="58"/>
        <v>0</v>
      </c>
      <c r="M103" s="414">
        <f t="shared" si="59"/>
        <v>0</v>
      </c>
      <c r="N103" s="329">
        <f t="shared" si="34"/>
        <v>0</v>
      </c>
      <c r="O103" s="35">
        <f t="shared" si="60"/>
        <v>20.209999999999127</v>
      </c>
      <c r="P103" s="414">
        <f t="shared" si="61"/>
        <v>0</v>
      </c>
      <c r="Q103" s="329">
        <f t="shared" si="35"/>
        <v>0</v>
      </c>
      <c r="R103" s="35">
        <f t="shared" si="62"/>
        <v>0</v>
      </c>
      <c r="S103" s="414">
        <f t="shared" si="47"/>
        <v>0</v>
      </c>
      <c r="T103" s="880">
        <f>[5]Sheet1!$B517</f>
        <v>6.1193999999999997E-5</v>
      </c>
      <c r="U103" s="10">
        <f t="shared" si="49"/>
        <v>43640</v>
      </c>
      <c r="V103" s="881">
        <f t="shared" si="50"/>
        <v>2.2335809999999998E-2</v>
      </c>
    </row>
    <row r="104" spans="1:22" x14ac:dyDescent="0.25">
      <c r="A104" s="335">
        <f>A103+1</f>
        <v>43641</v>
      </c>
      <c r="B104" s="329">
        <f t="shared" si="30"/>
        <v>0</v>
      </c>
      <c r="C104" s="338">
        <f t="shared" si="52"/>
        <v>175912.32000000004</v>
      </c>
      <c r="D104" s="414">
        <f t="shared" si="53"/>
        <v>10.76</v>
      </c>
      <c r="E104" s="49">
        <f t="shared" si="31"/>
        <v>0</v>
      </c>
      <c r="F104" s="35">
        <f t="shared" si="54"/>
        <v>0</v>
      </c>
      <c r="G104" s="414">
        <f t="shared" si="55"/>
        <v>0</v>
      </c>
      <c r="H104" s="49">
        <f t="shared" si="32"/>
        <v>0</v>
      </c>
      <c r="I104" s="35">
        <f t="shared" si="56"/>
        <v>26536.910000000149</v>
      </c>
      <c r="J104" s="414">
        <f t="shared" si="57"/>
        <v>1.62</v>
      </c>
      <c r="K104" s="329">
        <f t="shared" si="33"/>
        <v>0</v>
      </c>
      <c r="L104" s="35">
        <f t="shared" si="58"/>
        <v>0</v>
      </c>
      <c r="M104" s="414">
        <f t="shared" si="59"/>
        <v>0</v>
      </c>
      <c r="N104" s="329">
        <f t="shared" si="34"/>
        <v>0</v>
      </c>
      <c r="O104" s="35">
        <f t="shared" si="60"/>
        <v>20.209999999999127</v>
      </c>
      <c r="P104" s="414">
        <f t="shared" si="61"/>
        <v>0</v>
      </c>
      <c r="Q104" s="329">
        <f t="shared" si="35"/>
        <v>0</v>
      </c>
      <c r="R104" s="35">
        <f t="shared" si="62"/>
        <v>0</v>
      </c>
      <c r="S104" s="414">
        <f t="shared" si="47"/>
        <v>0</v>
      </c>
      <c r="T104" s="880">
        <f>[5]Sheet1!$B518</f>
        <v>6.1457999999999993E-5</v>
      </c>
      <c r="U104" s="10">
        <f t="shared" si="49"/>
        <v>43641</v>
      </c>
      <c r="V104" s="881">
        <f t="shared" si="50"/>
        <v>2.2432169999999998E-2</v>
      </c>
    </row>
    <row r="105" spans="1:22" x14ac:dyDescent="0.25">
      <c r="A105" s="335">
        <f>A104+1</f>
        <v>43642</v>
      </c>
      <c r="B105" s="329">
        <f t="shared" si="30"/>
        <v>0</v>
      </c>
      <c r="C105" s="338">
        <f t="shared" si="52"/>
        <v>175912.32000000004</v>
      </c>
      <c r="D105" s="414">
        <f t="shared" si="53"/>
        <v>10.81</v>
      </c>
      <c r="E105" s="49">
        <f t="shared" si="31"/>
        <v>0</v>
      </c>
      <c r="F105" s="35">
        <f t="shared" si="54"/>
        <v>0</v>
      </c>
      <c r="G105" s="414">
        <f t="shared" si="55"/>
        <v>0</v>
      </c>
      <c r="H105" s="49">
        <f t="shared" si="32"/>
        <v>0</v>
      </c>
      <c r="I105" s="35">
        <f t="shared" si="56"/>
        <v>26536.910000000149</v>
      </c>
      <c r="J105" s="414">
        <f t="shared" si="57"/>
        <v>1.63</v>
      </c>
      <c r="K105" s="329">
        <f t="shared" si="33"/>
        <v>0</v>
      </c>
      <c r="L105" s="35">
        <f t="shared" si="58"/>
        <v>0</v>
      </c>
      <c r="M105" s="414">
        <f t="shared" si="59"/>
        <v>0</v>
      </c>
      <c r="N105" s="329">
        <f t="shared" si="34"/>
        <v>0</v>
      </c>
      <c r="O105" s="35">
        <f t="shared" si="60"/>
        <v>20.209999999999127</v>
      </c>
      <c r="P105" s="414">
        <f t="shared" si="61"/>
        <v>0</v>
      </c>
      <c r="Q105" s="329">
        <f t="shared" si="35"/>
        <v>0</v>
      </c>
      <c r="R105" s="35">
        <f t="shared" si="62"/>
        <v>0</v>
      </c>
      <c r="S105" s="414">
        <f t="shared" si="47"/>
        <v>0</v>
      </c>
      <c r="T105" s="880">
        <f>[5]Sheet1!$B519</f>
        <v>6.177E-5</v>
      </c>
      <c r="U105" s="10">
        <f t="shared" si="49"/>
        <v>43642</v>
      </c>
      <c r="V105" s="881">
        <f t="shared" si="50"/>
        <v>2.2546050000000002E-2</v>
      </c>
    </row>
    <row r="106" spans="1:22" x14ac:dyDescent="0.25">
      <c r="A106" s="335">
        <f>A105+1</f>
        <v>43643</v>
      </c>
      <c r="B106" s="329">
        <f t="shared" si="30"/>
        <v>0</v>
      </c>
      <c r="C106" s="338">
        <f t="shared" si="52"/>
        <v>175912.32000000004</v>
      </c>
      <c r="D106" s="414">
        <f t="shared" si="53"/>
        <v>10.87</v>
      </c>
      <c r="E106" s="49">
        <f t="shared" si="31"/>
        <v>0</v>
      </c>
      <c r="F106" s="35">
        <f t="shared" si="54"/>
        <v>0</v>
      </c>
      <c r="G106" s="414">
        <f t="shared" si="55"/>
        <v>0</v>
      </c>
      <c r="H106" s="49">
        <f t="shared" si="32"/>
        <v>0</v>
      </c>
      <c r="I106" s="35">
        <f t="shared" si="56"/>
        <v>26536.910000000149</v>
      </c>
      <c r="J106" s="414">
        <f t="shared" si="57"/>
        <v>1.64</v>
      </c>
      <c r="K106" s="329">
        <f t="shared" si="33"/>
        <v>0</v>
      </c>
      <c r="L106" s="35">
        <f t="shared" si="58"/>
        <v>0</v>
      </c>
      <c r="M106" s="414">
        <f t="shared" si="59"/>
        <v>0</v>
      </c>
      <c r="N106" s="329">
        <f t="shared" si="34"/>
        <v>0</v>
      </c>
      <c r="O106" s="35">
        <f t="shared" si="60"/>
        <v>20.209999999999127</v>
      </c>
      <c r="P106" s="414">
        <f t="shared" si="61"/>
        <v>0</v>
      </c>
      <c r="Q106" s="329">
        <f t="shared" si="35"/>
        <v>0</v>
      </c>
      <c r="R106" s="35">
        <f t="shared" si="62"/>
        <v>0</v>
      </c>
      <c r="S106" s="414">
        <f t="shared" si="47"/>
        <v>0</v>
      </c>
      <c r="T106" s="880">
        <f>[5]Sheet1!$B520</f>
        <v>6.1273999999999996E-5</v>
      </c>
      <c r="U106" s="10">
        <f t="shared" si="49"/>
        <v>43643</v>
      </c>
      <c r="V106" s="881">
        <f t="shared" si="50"/>
        <v>2.2365009999999998E-2</v>
      </c>
    </row>
    <row r="107" spans="1:22" x14ac:dyDescent="0.25">
      <c r="A107" s="335">
        <f>A106+1</f>
        <v>43644</v>
      </c>
      <c r="B107" s="329">
        <f t="shared" si="30"/>
        <v>0</v>
      </c>
      <c r="C107" s="338">
        <f t="shared" si="52"/>
        <v>175912.32000000004</v>
      </c>
      <c r="D107" s="414">
        <f t="shared" si="53"/>
        <v>10.78</v>
      </c>
      <c r="E107" s="49">
        <f t="shared" si="31"/>
        <v>0</v>
      </c>
      <c r="F107" s="35">
        <f t="shared" si="54"/>
        <v>0</v>
      </c>
      <c r="G107" s="414">
        <f t="shared" si="55"/>
        <v>0</v>
      </c>
      <c r="H107" s="49">
        <f t="shared" si="32"/>
        <v>0</v>
      </c>
      <c r="I107" s="35">
        <f t="shared" si="56"/>
        <v>26536.910000000149</v>
      </c>
      <c r="J107" s="414">
        <f t="shared" si="57"/>
        <v>1.63</v>
      </c>
      <c r="K107" s="329">
        <f t="shared" si="33"/>
        <v>0</v>
      </c>
      <c r="L107" s="35">
        <f t="shared" si="58"/>
        <v>0</v>
      </c>
      <c r="M107" s="414">
        <f t="shared" si="59"/>
        <v>0</v>
      </c>
      <c r="N107" s="329">
        <f t="shared" si="34"/>
        <v>0</v>
      </c>
      <c r="O107" s="35">
        <f t="shared" si="60"/>
        <v>20.209999999999127</v>
      </c>
      <c r="P107" s="414">
        <f t="shared" si="61"/>
        <v>0</v>
      </c>
      <c r="Q107" s="329">
        <f t="shared" si="35"/>
        <v>0</v>
      </c>
      <c r="R107" s="35">
        <f t="shared" si="62"/>
        <v>0</v>
      </c>
      <c r="S107" s="414">
        <f t="shared" si="47"/>
        <v>0</v>
      </c>
      <c r="T107" s="880">
        <f>[5]Sheet1!$B521</f>
        <v>1.23888E-4</v>
      </c>
      <c r="U107" s="10">
        <f t="shared" si="49"/>
        <v>43644</v>
      </c>
      <c r="V107" s="881">
        <f t="shared" ref="V107:V112" si="63">T107*365/(A108-A107)</f>
        <v>2.2609560000000001E-2</v>
      </c>
    </row>
    <row r="108" spans="1:22" x14ac:dyDescent="0.25">
      <c r="A108" s="990">
        <f>A107+2</f>
        <v>43646</v>
      </c>
      <c r="B108" s="329">
        <f t="shared" si="30"/>
        <v>0</v>
      </c>
      <c r="C108" s="338">
        <f t="shared" si="52"/>
        <v>175912.32000000004</v>
      </c>
      <c r="D108" s="414">
        <f t="shared" si="53"/>
        <v>21.79</v>
      </c>
      <c r="E108" s="49">
        <f t="shared" si="31"/>
        <v>0</v>
      </c>
      <c r="F108" s="35">
        <f t="shared" si="54"/>
        <v>0</v>
      </c>
      <c r="G108" s="414">
        <f t="shared" si="55"/>
        <v>0</v>
      </c>
      <c r="H108" s="49">
        <f t="shared" si="32"/>
        <v>0</v>
      </c>
      <c r="I108" s="35">
        <f t="shared" si="56"/>
        <v>26536.910000000149</v>
      </c>
      <c r="J108" s="414">
        <f t="shared" si="57"/>
        <v>3.29</v>
      </c>
      <c r="K108" s="329">
        <f t="shared" si="33"/>
        <v>0</v>
      </c>
      <c r="L108" s="35">
        <f t="shared" si="58"/>
        <v>0</v>
      </c>
      <c r="M108" s="414">
        <f t="shared" si="59"/>
        <v>0</v>
      </c>
      <c r="N108" s="329">
        <f t="shared" si="34"/>
        <v>0</v>
      </c>
      <c r="O108" s="35">
        <f t="shared" si="60"/>
        <v>20.209999999999127</v>
      </c>
      <c r="P108" s="414">
        <f t="shared" si="61"/>
        <v>0</v>
      </c>
      <c r="Q108" s="329">
        <f t="shared" si="35"/>
        <v>0</v>
      </c>
      <c r="R108" s="35">
        <f t="shared" si="62"/>
        <v>0</v>
      </c>
      <c r="S108" s="414">
        <f t="shared" si="47"/>
        <v>0</v>
      </c>
      <c r="T108" s="880">
        <f>[5]Sheet1!$B522</f>
        <v>6.1944000000000002E-5</v>
      </c>
      <c r="U108" s="10">
        <f t="shared" si="49"/>
        <v>43646</v>
      </c>
      <c r="V108" s="881">
        <f t="shared" si="63"/>
        <v>2.2609560000000001E-2</v>
      </c>
    </row>
    <row r="109" spans="1:22" x14ac:dyDescent="0.25">
      <c r="A109" s="335">
        <f>A108+1</f>
        <v>43647</v>
      </c>
      <c r="B109" s="329">
        <f t="shared" si="30"/>
        <v>0</v>
      </c>
      <c r="C109" s="338">
        <f t="shared" si="52"/>
        <v>175912.32000000004</v>
      </c>
      <c r="D109" s="414">
        <f t="shared" si="53"/>
        <v>10.9</v>
      </c>
      <c r="E109" s="49">
        <f t="shared" si="31"/>
        <v>0</v>
      </c>
      <c r="F109" s="35">
        <f t="shared" si="54"/>
        <v>0</v>
      </c>
      <c r="G109" s="414">
        <f t="shared" si="55"/>
        <v>0</v>
      </c>
      <c r="H109" s="49">
        <f t="shared" si="32"/>
        <v>0</v>
      </c>
      <c r="I109" s="35">
        <f t="shared" si="56"/>
        <v>26536.910000000149</v>
      </c>
      <c r="J109" s="414">
        <f t="shared" si="57"/>
        <v>1.64</v>
      </c>
      <c r="K109" s="329">
        <f t="shared" si="33"/>
        <v>0</v>
      </c>
      <c r="L109" s="35">
        <f t="shared" si="58"/>
        <v>0</v>
      </c>
      <c r="M109" s="414">
        <f t="shared" si="59"/>
        <v>0</v>
      </c>
      <c r="N109" s="329">
        <f t="shared" si="34"/>
        <v>0</v>
      </c>
      <c r="O109" s="35">
        <f t="shared" si="60"/>
        <v>20.209999999999127</v>
      </c>
      <c r="P109" s="414">
        <f t="shared" si="61"/>
        <v>0</v>
      </c>
      <c r="Q109" s="329">
        <f t="shared" si="35"/>
        <v>0</v>
      </c>
      <c r="R109" s="35">
        <f t="shared" si="62"/>
        <v>0</v>
      </c>
      <c r="S109" s="414">
        <f t="shared" si="47"/>
        <v>0</v>
      </c>
      <c r="T109" s="880">
        <f>[5]Sheet1!$B523</f>
        <v>6.1739E-5</v>
      </c>
      <c r="U109" s="10">
        <f t="shared" si="49"/>
        <v>43647</v>
      </c>
      <c r="V109" s="881">
        <f t="shared" si="63"/>
        <v>2.2534735E-2</v>
      </c>
    </row>
    <row r="110" spans="1:22" x14ac:dyDescent="0.25">
      <c r="A110" s="335">
        <f>A109+1</f>
        <v>43648</v>
      </c>
      <c r="B110" s="329">
        <f t="shared" si="30"/>
        <v>306.63</v>
      </c>
      <c r="C110" s="338">
        <f t="shared" si="52"/>
        <v>176218.95000000004</v>
      </c>
      <c r="D110" s="414">
        <f t="shared" si="53"/>
        <v>10.86</v>
      </c>
      <c r="E110" s="49">
        <f t="shared" si="31"/>
        <v>0</v>
      </c>
      <c r="F110" s="35">
        <f t="shared" si="54"/>
        <v>0</v>
      </c>
      <c r="G110" s="414">
        <f t="shared" si="55"/>
        <v>0</v>
      </c>
      <c r="H110" s="49">
        <f t="shared" si="32"/>
        <v>46.01</v>
      </c>
      <c r="I110" s="35">
        <f t="shared" si="56"/>
        <v>26582.920000000147</v>
      </c>
      <c r="J110" s="414">
        <f t="shared" si="57"/>
        <v>1.64</v>
      </c>
      <c r="K110" s="329">
        <f t="shared" si="33"/>
        <v>0</v>
      </c>
      <c r="L110" s="35">
        <f t="shared" si="58"/>
        <v>0</v>
      </c>
      <c r="M110" s="414">
        <f t="shared" si="59"/>
        <v>0</v>
      </c>
      <c r="N110" s="329">
        <f t="shared" si="34"/>
        <v>15.56</v>
      </c>
      <c r="O110" s="35">
        <f t="shared" si="60"/>
        <v>35.769999999999129</v>
      </c>
      <c r="P110" s="414">
        <f t="shared" si="61"/>
        <v>0</v>
      </c>
      <c r="Q110" s="329">
        <f t="shared" si="35"/>
        <v>0</v>
      </c>
      <c r="R110" s="35">
        <f t="shared" si="62"/>
        <v>0</v>
      </c>
      <c r="S110" s="414">
        <f t="shared" si="47"/>
        <v>0</v>
      </c>
      <c r="T110" s="880">
        <f>[5]Sheet1!$B524</f>
        <v>6.2408000000000003E-5</v>
      </c>
      <c r="U110" s="10">
        <f t="shared" si="49"/>
        <v>43648</v>
      </c>
      <c r="V110" s="881">
        <f t="shared" si="63"/>
        <v>2.2778920000000001E-2</v>
      </c>
    </row>
    <row r="111" spans="1:22" x14ac:dyDescent="0.25">
      <c r="A111" s="335">
        <f>A110+1</f>
        <v>43649</v>
      </c>
      <c r="B111" s="329">
        <f t="shared" si="30"/>
        <v>3562.71</v>
      </c>
      <c r="C111" s="338">
        <f t="shared" si="52"/>
        <v>179781.66000000003</v>
      </c>
      <c r="D111" s="414">
        <f t="shared" si="53"/>
        <v>11</v>
      </c>
      <c r="E111" s="49">
        <f t="shared" si="31"/>
        <v>0</v>
      </c>
      <c r="F111" s="35">
        <f t="shared" si="54"/>
        <v>0</v>
      </c>
      <c r="G111" s="414">
        <f t="shared" si="55"/>
        <v>0</v>
      </c>
      <c r="H111" s="49">
        <f t="shared" si="32"/>
        <v>0</v>
      </c>
      <c r="I111" s="35">
        <f t="shared" si="56"/>
        <v>26582.920000000147</v>
      </c>
      <c r="J111" s="414">
        <f t="shared" si="57"/>
        <v>1.66</v>
      </c>
      <c r="K111" s="329">
        <f t="shared" si="33"/>
        <v>0</v>
      </c>
      <c r="L111" s="35">
        <f t="shared" si="58"/>
        <v>0</v>
      </c>
      <c r="M111" s="414">
        <f t="shared" si="59"/>
        <v>0</v>
      </c>
      <c r="N111" s="329">
        <f t="shared" si="34"/>
        <v>0</v>
      </c>
      <c r="O111" s="35">
        <f t="shared" si="60"/>
        <v>35.769999999999129</v>
      </c>
      <c r="P111" s="414">
        <f t="shared" si="61"/>
        <v>0</v>
      </c>
      <c r="Q111" s="329">
        <f t="shared" si="35"/>
        <v>0</v>
      </c>
      <c r="R111" s="35">
        <f t="shared" si="62"/>
        <v>0</v>
      </c>
      <c r="S111" s="414">
        <f t="shared" si="47"/>
        <v>0</v>
      </c>
      <c r="T111" s="880">
        <f>[5]Sheet1!$B525</f>
        <v>1.2591300000000001E-4</v>
      </c>
      <c r="U111" s="10">
        <f t="shared" si="49"/>
        <v>43649</v>
      </c>
      <c r="V111" s="881">
        <f t="shared" si="63"/>
        <v>2.2979122500000001E-2</v>
      </c>
    </row>
    <row r="112" spans="1:22" x14ac:dyDescent="0.25">
      <c r="A112" s="336">
        <f>A111+2</f>
        <v>43651</v>
      </c>
      <c r="B112" s="329">
        <f t="shared" si="30"/>
        <v>3707.63</v>
      </c>
      <c r="C112" s="338">
        <f t="shared" si="52"/>
        <v>183489.29000000004</v>
      </c>
      <c r="D112" s="414">
        <f t="shared" si="53"/>
        <v>22.64</v>
      </c>
      <c r="E112" s="49">
        <f t="shared" si="31"/>
        <v>0</v>
      </c>
      <c r="F112" s="35">
        <f t="shared" si="54"/>
        <v>0</v>
      </c>
      <c r="G112" s="414">
        <f t="shared" si="55"/>
        <v>0</v>
      </c>
      <c r="H112" s="49">
        <f t="shared" si="32"/>
        <v>0</v>
      </c>
      <c r="I112" s="35">
        <f t="shared" si="56"/>
        <v>26582.920000000147</v>
      </c>
      <c r="J112" s="414">
        <f t="shared" si="57"/>
        <v>3.35</v>
      </c>
      <c r="K112" s="329">
        <f t="shared" si="33"/>
        <v>0</v>
      </c>
      <c r="L112" s="35">
        <f t="shared" si="58"/>
        <v>0</v>
      </c>
      <c r="M112" s="414">
        <f t="shared" si="59"/>
        <v>0</v>
      </c>
      <c r="N112" s="329">
        <f t="shared" si="34"/>
        <v>0</v>
      </c>
      <c r="O112" s="35">
        <f t="shared" si="60"/>
        <v>35.769999999999129</v>
      </c>
      <c r="P112" s="414">
        <f t="shared" si="61"/>
        <v>0</v>
      </c>
      <c r="Q112" s="329">
        <f t="shared" si="35"/>
        <v>0</v>
      </c>
      <c r="R112" s="35">
        <f t="shared" si="62"/>
        <v>0</v>
      </c>
      <c r="S112" s="414">
        <f t="shared" si="47"/>
        <v>0</v>
      </c>
      <c r="T112" s="880">
        <f>[5]Sheet1!$B526</f>
        <v>1.89808E-4</v>
      </c>
      <c r="U112" s="10">
        <f t="shared" si="49"/>
        <v>43651</v>
      </c>
      <c r="V112" s="881">
        <f t="shared" si="63"/>
        <v>2.3093306666666664E-2</v>
      </c>
    </row>
    <row r="113" spans="1:22" x14ac:dyDescent="0.25">
      <c r="A113" s="336">
        <f>A112+3</f>
        <v>43654</v>
      </c>
      <c r="B113" s="329">
        <f t="shared" si="30"/>
        <v>0</v>
      </c>
      <c r="C113" s="338">
        <f t="shared" si="52"/>
        <v>183489.29000000004</v>
      </c>
      <c r="D113" s="414">
        <f t="shared" si="53"/>
        <v>34.83</v>
      </c>
      <c r="E113" s="49">
        <f t="shared" si="31"/>
        <v>0</v>
      </c>
      <c r="F113" s="35">
        <f t="shared" si="54"/>
        <v>0</v>
      </c>
      <c r="G113" s="414">
        <f t="shared" si="55"/>
        <v>0</v>
      </c>
      <c r="H113" s="49">
        <f t="shared" si="32"/>
        <v>0</v>
      </c>
      <c r="I113" s="35">
        <f t="shared" si="56"/>
        <v>26582.920000000147</v>
      </c>
      <c r="J113" s="414">
        <f t="shared" si="57"/>
        <v>5.05</v>
      </c>
      <c r="K113" s="329">
        <f t="shared" si="33"/>
        <v>0</v>
      </c>
      <c r="L113" s="35">
        <f t="shared" si="58"/>
        <v>0</v>
      </c>
      <c r="M113" s="414">
        <f t="shared" si="59"/>
        <v>0</v>
      </c>
      <c r="N113" s="329">
        <f t="shared" si="34"/>
        <v>0</v>
      </c>
      <c r="O113" s="35">
        <f t="shared" si="60"/>
        <v>35.769999999999129</v>
      </c>
      <c r="P113" s="414">
        <f t="shared" si="61"/>
        <v>0.01</v>
      </c>
      <c r="Q113" s="329">
        <f t="shared" si="35"/>
        <v>0</v>
      </c>
      <c r="R113" s="35">
        <f t="shared" si="62"/>
        <v>0</v>
      </c>
      <c r="S113" s="414">
        <f t="shared" si="47"/>
        <v>0</v>
      </c>
      <c r="T113" s="880">
        <f>[5]Sheet1!$B527</f>
        <v>6.2467999999999999E-5</v>
      </c>
      <c r="U113" s="10">
        <f t="shared" si="49"/>
        <v>43654</v>
      </c>
      <c r="V113" s="881">
        <f t="shared" ref="V113:V144" si="64">T113*365/(A114-A113)</f>
        <v>2.2800819999999999E-2</v>
      </c>
    </row>
    <row r="114" spans="1:22" x14ac:dyDescent="0.25">
      <c r="A114" s="335">
        <f>A113+1</f>
        <v>43655</v>
      </c>
      <c r="B114" s="329">
        <f>-SUMIFS(CF_Main,CF_Dates,$A114,CF_Descriptions,"MM Sweep")</f>
        <v>23800000</v>
      </c>
      <c r="C114" s="338">
        <f t="shared" si="52"/>
        <v>23983489.289999999</v>
      </c>
      <c r="D114" s="414">
        <f t="shared" si="53"/>
        <v>11.46</v>
      </c>
      <c r="E114" s="49">
        <f t="shared" si="31"/>
        <v>0</v>
      </c>
      <c r="F114" s="35">
        <f t="shared" si="54"/>
        <v>0</v>
      </c>
      <c r="G114" s="414">
        <f t="shared" si="55"/>
        <v>0</v>
      </c>
      <c r="H114" s="49">
        <f t="shared" si="32"/>
        <v>0</v>
      </c>
      <c r="I114" s="35">
        <f t="shared" si="56"/>
        <v>26582.920000000147</v>
      </c>
      <c r="J114" s="414">
        <f t="shared" si="57"/>
        <v>1.66</v>
      </c>
      <c r="K114" s="329">
        <f t="shared" si="33"/>
        <v>0</v>
      </c>
      <c r="L114" s="35">
        <f t="shared" si="58"/>
        <v>0</v>
      </c>
      <c r="M114" s="414">
        <f t="shared" si="59"/>
        <v>0</v>
      </c>
      <c r="N114" s="329">
        <f t="shared" si="34"/>
        <v>0</v>
      </c>
      <c r="O114" s="35">
        <f t="shared" si="60"/>
        <v>35.769999999999129</v>
      </c>
      <c r="P114" s="414">
        <f t="shared" si="61"/>
        <v>0</v>
      </c>
      <c r="Q114" s="329">
        <f t="shared" si="35"/>
        <v>0</v>
      </c>
      <c r="R114" s="35">
        <f t="shared" si="62"/>
        <v>0</v>
      </c>
      <c r="S114" s="414">
        <f t="shared" si="47"/>
        <v>0</v>
      </c>
      <c r="T114" s="880">
        <f>[5]Sheet1!$B528</f>
        <v>6.2185000000000002E-5</v>
      </c>
      <c r="U114" s="10">
        <f t="shared" si="49"/>
        <v>43655</v>
      </c>
      <c r="V114" s="881">
        <f t="shared" si="64"/>
        <v>2.2697525E-2</v>
      </c>
    </row>
    <row r="115" spans="1:22" x14ac:dyDescent="0.25">
      <c r="A115" s="335">
        <f>A114+1</f>
        <v>43656</v>
      </c>
      <c r="B115" s="329">
        <f t="shared" si="30"/>
        <v>-1500000</v>
      </c>
      <c r="C115" s="338">
        <f t="shared" si="52"/>
        <v>22483489.289999999</v>
      </c>
      <c r="D115" s="414">
        <f t="shared" si="53"/>
        <v>1491.41</v>
      </c>
      <c r="E115" s="49">
        <f t="shared" si="31"/>
        <v>0</v>
      </c>
      <c r="F115" s="35">
        <f t="shared" si="54"/>
        <v>0</v>
      </c>
      <c r="G115" s="414">
        <f t="shared" si="55"/>
        <v>0</v>
      </c>
      <c r="H115" s="49">
        <f t="shared" si="32"/>
        <v>0</v>
      </c>
      <c r="I115" s="35">
        <f t="shared" si="56"/>
        <v>26582.920000000147</v>
      </c>
      <c r="J115" s="414">
        <f t="shared" si="57"/>
        <v>1.65</v>
      </c>
      <c r="K115" s="329">
        <f t="shared" si="33"/>
        <v>0</v>
      </c>
      <c r="L115" s="35">
        <f t="shared" si="58"/>
        <v>0</v>
      </c>
      <c r="M115" s="414">
        <f t="shared" si="59"/>
        <v>0</v>
      </c>
      <c r="N115" s="329">
        <f t="shared" si="34"/>
        <v>0</v>
      </c>
      <c r="O115" s="35">
        <f t="shared" si="60"/>
        <v>35.769999999999129</v>
      </c>
      <c r="P115" s="414">
        <f t="shared" si="61"/>
        <v>0</v>
      </c>
      <c r="Q115" s="329">
        <f t="shared" si="35"/>
        <v>0</v>
      </c>
      <c r="R115" s="35">
        <f t="shared" si="62"/>
        <v>0</v>
      </c>
      <c r="S115" s="414">
        <f t="shared" si="47"/>
        <v>0</v>
      </c>
      <c r="T115" s="880">
        <f>[5]Sheet1!$B529</f>
        <v>6.2098000000000001E-5</v>
      </c>
      <c r="U115" s="10">
        <f t="shared" ref="U115:U146" si="65">A115</f>
        <v>43656</v>
      </c>
      <c r="V115" s="881">
        <f t="shared" si="64"/>
        <v>2.2665770000000002E-2</v>
      </c>
    </row>
    <row r="116" spans="1:22" x14ac:dyDescent="0.25">
      <c r="A116" s="335">
        <f>A115+1</f>
        <v>43657</v>
      </c>
      <c r="B116" s="329">
        <f t="shared" si="30"/>
        <v>1500000</v>
      </c>
      <c r="C116" s="338">
        <f t="shared" si="52"/>
        <v>23983489.289999999</v>
      </c>
      <c r="D116" s="414">
        <f t="shared" si="53"/>
        <v>1396.18</v>
      </c>
      <c r="E116" s="49">
        <f t="shared" si="31"/>
        <v>0</v>
      </c>
      <c r="F116" s="35">
        <f t="shared" si="54"/>
        <v>0</v>
      </c>
      <c r="G116" s="414">
        <f t="shared" si="55"/>
        <v>0</v>
      </c>
      <c r="H116" s="49">
        <f t="shared" si="32"/>
        <v>0</v>
      </c>
      <c r="I116" s="35">
        <f t="shared" si="56"/>
        <v>26582.920000000147</v>
      </c>
      <c r="J116" s="414">
        <f t="shared" si="57"/>
        <v>1.65</v>
      </c>
      <c r="K116" s="329">
        <f t="shared" si="33"/>
        <v>0</v>
      </c>
      <c r="L116" s="35">
        <f t="shared" si="58"/>
        <v>0</v>
      </c>
      <c r="M116" s="414">
        <f t="shared" si="59"/>
        <v>0</v>
      </c>
      <c r="N116" s="329">
        <f t="shared" si="34"/>
        <v>0</v>
      </c>
      <c r="O116" s="35">
        <f t="shared" si="60"/>
        <v>35.769999999999129</v>
      </c>
      <c r="P116" s="414">
        <f t="shared" si="61"/>
        <v>0</v>
      </c>
      <c r="Q116" s="329">
        <f t="shared" si="35"/>
        <v>0</v>
      </c>
      <c r="R116" s="35">
        <f t="shared" si="62"/>
        <v>0</v>
      </c>
      <c r="S116" s="414">
        <f t="shared" si="47"/>
        <v>0</v>
      </c>
      <c r="T116" s="880">
        <f>[5]Sheet1!$B530</f>
        <v>6.1618999999999994E-5</v>
      </c>
      <c r="U116" s="10">
        <f t="shared" si="65"/>
        <v>43657</v>
      </c>
      <c r="V116" s="881">
        <f t="shared" si="64"/>
        <v>2.2490934999999997E-2</v>
      </c>
    </row>
    <row r="117" spans="1:22" x14ac:dyDescent="0.25">
      <c r="A117" s="335">
        <f>A116+1</f>
        <v>43658</v>
      </c>
      <c r="B117" s="329">
        <f t="shared" si="30"/>
        <v>0</v>
      </c>
      <c r="C117" s="338">
        <f t="shared" si="52"/>
        <v>23983489.289999999</v>
      </c>
      <c r="D117" s="414">
        <f t="shared" si="53"/>
        <v>1477.84</v>
      </c>
      <c r="E117" s="49">
        <f t="shared" si="31"/>
        <v>0</v>
      </c>
      <c r="F117" s="35">
        <f t="shared" si="54"/>
        <v>0</v>
      </c>
      <c r="G117" s="414">
        <f t="shared" si="55"/>
        <v>0</v>
      </c>
      <c r="H117" s="49">
        <f t="shared" si="32"/>
        <v>0</v>
      </c>
      <c r="I117" s="35">
        <f t="shared" si="56"/>
        <v>26582.920000000147</v>
      </c>
      <c r="J117" s="414">
        <f t="shared" si="57"/>
        <v>1.64</v>
      </c>
      <c r="K117" s="329">
        <f t="shared" si="33"/>
        <v>0</v>
      </c>
      <c r="L117" s="35">
        <f t="shared" si="58"/>
        <v>0</v>
      </c>
      <c r="M117" s="414">
        <f t="shared" si="59"/>
        <v>0</v>
      </c>
      <c r="N117" s="329">
        <f t="shared" si="34"/>
        <v>0</v>
      </c>
      <c r="O117" s="35">
        <f t="shared" si="60"/>
        <v>35.769999999999129</v>
      </c>
      <c r="P117" s="414">
        <f t="shared" si="61"/>
        <v>0</v>
      </c>
      <c r="Q117" s="329">
        <f t="shared" si="35"/>
        <v>0</v>
      </c>
      <c r="R117" s="35">
        <f t="shared" si="62"/>
        <v>0</v>
      </c>
      <c r="S117" s="414">
        <f t="shared" si="47"/>
        <v>0</v>
      </c>
      <c r="T117" s="880">
        <f>[5]Sheet1!$B531</f>
        <v>1.82461E-4</v>
      </c>
      <c r="U117" s="10">
        <f t="shared" si="65"/>
        <v>43658</v>
      </c>
      <c r="V117" s="881">
        <f t="shared" si="64"/>
        <v>2.2199421666666667E-2</v>
      </c>
    </row>
    <row r="118" spans="1:22" x14ac:dyDescent="0.25">
      <c r="A118" s="336">
        <f>A117+3</f>
        <v>43661</v>
      </c>
      <c r="B118" s="329">
        <f t="shared" si="30"/>
        <v>0</v>
      </c>
      <c r="C118" s="338">
        <f t="shared" si="52"/>
        <v>23983489.289999999</v>
      </c>
      <c r="D118" s="414">
        <f t="shared" si="53"/>
        <v>4376.05</v>
      </c>
      <c r="E118" s="49">
        <f t="shared" si="31"/>
        <v>0</v>
      </c>
      <c r="F118" s="35">
        <f t="shared" si="54"/>
        <v>0</v>
      </c>
      <c r="G118" s="414">
        <f t="shared" si="55"/>
        <v>0</v>
      </c>
      <c r="H118" s="49">
        <f t="shared" si="32"/>
        <v>-103.47</v>
      </c>
      <c r="I118" s="35">
        <f t="shared" si="56"/>
        <v>26479.450000000146</v>
      </c>
      <c r="J118" s="414">
        <f t="shared" si="57"/>
        <v>4.8499999999999996</v>
      </c>
      <c r="K118" s="329">
        <f t="shared" si="33"/>
        <v>0</v>
      </c>
      <c r="L118" s="35">
        <f t="shared" si="58"/>
        <v>0</v>
      </c>
      <c r="M118" s="414">
        <f t="shared" si="59"/>
        <v>0</v>
      </c>
      <c r="N118" s="329">
        <f t="shared" si="34"/>
        <v>0</v>
      </c>
      <c r="O118" s="35">
        <f t="shared" si="60"/>
        <v>35.769999999999129</v>
      </c>
      <c r="P118" s="414">
        <f t="shared" si="61"/>
        <v>0.01</v>
      </c>
      <c r="Q118" s="329">
        <f t="shared" si="35"/>
        <v>0</v>
      </c>
      <c r="R118" s="35">
        <f t="shared" si="62"/>
        <v>0</v>
      </c>
      <c r="S118" s="414">
        <f t="shared" si="47"/>
        <v>0</v>
      </c>
      <c r="T118" s="880">
        <f>[5]Sheet1!$B532</f>
        <v>6.1507000000000006E-5</v>
      </c>
      <c r="U118" s="10">
        <f t="shared" si="65"/>
        <v>43661</v>
      </c>
      <c r="V118" s="881">
        <f t="shared" si="64"/>
        <v>2.2450055000000003E-2</v>
      </c>
    </row>
    <row r="119" spans="1:22" x14ac:dyDescent="0.25">
      <c r="A119" s="335">
        <f>A118+1</f>
        <v>43662</v>
      </c>
      <c r="B119" s="329">
        <f t="shared" si="30"/>
        <v>0</v>
      </c>
      <c r="C119" s="338">
        <f t="shared" si="52"/>
        <v>23983489.289999999</v>
      </c>
      <c r="D119" s="414">
        <f t="shared" si="53"/>
        <v>1475.15</v>
      </c>
      <c r="E119" s="49">
        <f t="shared" si="31"/>
        <v>0</v>
      </c>
      <c r="F119" s="35">
        <f t="shared" si="54"/>
        <v>0</v>
      </c>
      <c r="G119" s="414">
        <f t="shared" si="55"/>
        <v>0</v>
      </c>
      <c r="H119" s="49">
        <f t="shared" si="32"/>
        <v>0</v>
      </c>
      <c r="I119" s="35">
        <f t="shared" si="56"/>
        <v>26479.450000000146</v>
      </c>
      <c r="J119" s="414">
        <f t="shared" si="57"/>
        <v>1.63</v>
      </c>
      <c r="K119" s="329">
        <f t="shared" si="33"/>
        <v>0</v>
      </c>
      <c r="L119" s="35">
        <f t="shared" si="58"/>
        <v>0</v>
      </c>
      <c r="M119" s="414">
        <f t="shared" si="59"/>
        <v>0</v>
      </c>
      <c r="N119" s="329">
        <f t="shared" si="34"/>
        <v>0</v>
      </c>
      <c r="O119" s="35">
        <f t="shared" si="60"/>
        <v>35.769999999999129</v>
      </c>
      <c r="P119" s="414">
        <f t="shared" si="61"/>
        <v>0</v>
      </c>
      <c r="Q119" s="329">
        <f t="shared" si="35"/>
        <v>0</v>
      </c>
      <c r="R119" s="35">
        <f t="shared" si="62"/>
        <v>0</v>
      </c>
      <c r="S119" s="414">
        <f t="shared" si="47"/>
        <v>0</v>
      </c>
      <c r="T119" s="880">
        <f>[5]Sheet1!$B533</f>
        <v>6.1743999999999997E-5</v>
      </c>
      <c r="U119" s="10">
        <f t="shared" si="65"/>
        <v>43662</v>
      </c>
      <c r="V119" s="881">
        <f t="shared" si="64"/>
        <v>2.2536560000000001E-2</v>
      </c>
    </row>
    <row r="120" spans="1:22" x14ac:dyDescent="0.25">
      <c r="A120" s="335">
        <f>A119+1</f>
        <v>43663</v>
      </c>
      <c r="B120" s="329">
        <f t="shared" si="30"/>
        <v>0</v>
      </c>
      <c r="C120" s="338">
        <f t="shared" si="52"/>
        <v>23983489.289999999</v>
      </c>
      <c r="D120" s="414">
        <f t="shared" si="53"/>
        <v>1480.84</v>
      </c>
      <c r="E120" s="49">
        <f t="shared" si="31"/>
        <v>0</v>
      </c>
      <c r="F120" s="35">
        <f t="shared" si="54"/>
        <v>0</v>
      </c>
      <c r="G120" s="414">
        <f t="shared" si="55"/>
        <v>0</v>
      </c>
      <c r="H120" s="49">
        <f t="shared" si="32"/>
        <v>0</v>
      </c>
      <c r="I120" s="35">
        <f t="shared" si="56"/>
        <v>26479.450000000146</v>
      </c>
      <c r="J120" s="414">
        <f t="shared" si="57"/>
        <v>1.63</v>
      </c>
      <c r="K120" s="329">
        <f t="shared" si="33"/>
        <v>0</v>
      </c>
      <c r="L120" s="35">
        <f t="shared" si="58"/>
        <v>0</v>
      </c>
      <c r="M120" s="414">
        <f t="shared" si="59"/>
        <v>0</v>
      </c>
      <c r="N120" s="329">
        <f t="shared" si="34"/>
        <v>0</v>
      </c>
      <c r="O120" s="35">
        <f t="shared" si="60"/>
        <v>35.769999999999129</v>
      </c>
      <c r="P120" s="414">
        <f t="shared" si="61"/>
        <v>0</v>
      </c>
      <c r="Q120" s="329">
        <f t="shared" si="35"/>
        <v>0</v>
      </c>
      <c r="R120" s="35">
        <f t="shared" si="62"/>
        <v>0</v>
      </c>
      <c r="S120" s="414">
        <f t="shared" si="47"/>
        <v>0</v>
      </c>
      <c r="T120" s="880">
        <f>[5]Sheet1!$B534</f>
        <v>6.1742999999999995E-5</v>
      </c>
      <c r="U120" s="10">
        <f t="shared" si="65"/>
        <v>43663</v>
      </c>
      <c r="V120" s="881">
        <f t="shared" si="64"/>
        <v>2.2536194999999998E-2</v>
      </c>
    </row>
    <row r="121" spans="1:22" x14ac:dyDescent="0.25">
      <c r="A121" s="335">
        <f>A120+1</f>
        <v>43664</v>
      </c>
      <c r="B121" s="329">
        <f>-SUMIFS(CF_Main,CF_Dates,$A121,CF_Descriptions,"MM Sweep")</f>
        <v>-23800000</v>
      </c>
      <c r="C121" s="338">
        <f t="shared" si="52"/>
        <v>183489.28999999911</v>
      </c>
      <c r="D121" s="414">
        <f t="shared" si="53"/>
        <v>1480.81</v>
      </c>
      <c r="E121" s="49">
        <f t="shared" si="31"/>
        <v>0</v>
      </c>
      <c r="F121" s="35">
        <f t="shared" si="54"/>
        <v>0</v>
      </c>
      <c r="G121" s="414">
        <f t="shared" si="55"/>
        <v>0</v>
      </c>
      <c r="H121" s="49">
        <f t="shared" si="32"/>
        <v>0</v>
      </c>
      <c r="I121" s="35">
        <f t="shared" si="56"/>
        <v>26479.450000000146</v>
      </c>
      <c r="J121" s="414">
        <f t="shared" si="57"/>
        <v>1.63</v>
      </c>
      <c r="K121" s="329">
        <f t="shared" si="33"/>
        <v>0</v>
      </c>
      <c r="L121" s="35">
        <f t="shared" si="58"/>
        <v>0</v>
      </c>
      <c r="M121" s="414">
        <f t="shared" si="59"/>
        <v>0</v>
      </c>
      <c r="N121" s="329">
        <f t="shared" si="34"/>
        <v>0</v>
      </c>
      <c r="O121" s="35">
        <f t="shared" si="60"/>
        <v>35.769999999999129</v>
      </c>
      <c r="P121" s="414">
        <f t="shared" si="61"/>
        <v>0</v>
      </c>
      <c r="Q121" s="329">
        <f t="shared" si="35"/>
        <v>0</v>
      </c>
      <c r="R121" s="35">
        <f t="shared" si="62"/>
        <v>0</v>
      </c>
      <c r="S121" s="414">
        <f t="shared" si="47"/>
        <v>0</v>
      </c>
      <c r="T121" s="880">
        <f>[5]Sheet1!$B535</f>
        <v>6.1440999999999997E-5</v>
      </c>
      <c r="U121" s="10">
        <f t="shared" si="65"/>
        <v>43664</v>
      </c>
      <c r="V121" s="881">
        <f t="shared" si="64"/>
        <v>2.2425964999999999E-2</v>
      </c>
    </row>
    <row r="122" spans="1:22" x14ac:dyDescent="0.25">
      <c r="A122" s="335">
        <f>A121+1</f>
        <v>43665</v>
      </c>
      <c r="B122" s="329">
        <f t="shared" si="30"/>
        <v>-55841.15</v>
      </c>
      <c r="C122" s="338">
        <f t="shared" si="52"/>
        <v>127648.13999999911</v>
      </c>
      <c r="D122" s="414">
        <f t="shared" si="53"/>
        <v>11.27</v>
      </c>
      <c r="E122" s="49">
        <f t="shared" si="31"/>
        <v>0</v>
      </c>
      <c r="F122" s="35">
        <f t="shared" si="54"/>
        <v>0</v>
      </c>
      <c r="G122" s="414">
        <f t="shared" si="55"/>
        <v>0</v>
      </c>
      <c r="H122" s="49">
        <f t="shared" si="32"/>
        <v>6762.9</v>
      </c>
      <c r="I122" s="35">
        <f t="shared" si="56"/>
        <v>33242.350000000144</v>
      </c>
      <c r="J122" s="414">
        <f t="shared" si="57"/>
        <v>1.63</v>
      </c>
      <c r="K122" s="329">
        <f t="shared" si="33"/>
        <v>0</v>
      </c>
      <c r="L122" s="35">
        <f t="shared" si="58"/>
        <v>0</v>
      </c>
      <c r="M122" s="414">
        <f t="shared" si="59"/>
        <v>0</v>
      </c>
      <c r="N122" s="329">
        <f t="shared" si="34"/>
        <v>0</v>
      </c>
      <c r="O122" s="35">
        <f t="shared" si="60"/>
        <v>35.769999999999129</v>
      </c>
      <c r="P122" s="414">
        <f t="shared" si="61"/>
        <v>0</v>
      </c>
      <c r="Q122" s="329">
        <f t="shared" si="35"/>
        <v>0</v>
      </c>
      <c r="R122" s="35">
        <f t="shared" si="62"/>
        <v>0</v>
      </c>
      <c r="S122" s="414">
        <f t="shared" si="47"/>
        <v>0</v>
      </c>
      <c r="T122" s="880">
        <f>[5]Sheet1!$B536</f>
        <v>1.8282699999999999E-4</v>
      </c>
      <c r="U122" s="10">
        <f t="shared" si="65"/>
        <v>43665</v>
      </c>
      <c r="V122" s="881">
        <f t="shared" si="64"/>
        <v>2.2243951666666664E-2</v>
      </c>
    </row>
    <row r="123" spans="1:22" x14ac:dyDescent="0.25">
      <c r="A123" s="336">
        <f>A122+3</f>
        <v>43668</v>
      </c>
      <c r="B123" s="329">
        <f t="shared" si="30"/>
        <v>0</v>
      </c>
      <c r="C123" s="338">
        <f t="shared" si="52"/>
        <v>127648.13999999911</v>
      </c>
      <c r="D123" s="414">
        <f t="shared" si="53"/>
        <v>23.34</v>
      </c>
      <c r="E123" s="49">
        <f t="shared" si="31"/>
        <v>0</v>
      </c>
      <c r="F123" s="35">
        <f t="shared" si="54"/>
        <v>0</v>
      </c>
      <c r="G123" s="414">
        <f t="shared" si="55"/>
        <v>0</v>
      </c>
      <c r="H123" s="49">
        <f t="shared" si="32"/>
        <v>0</v>
      </c>
      <c r="I123" s="35">
        <f t="shared" si="56"/>
        <v>33242.350000000144</v>
      </c>
      <c r="J123" s="414">
        <f t="shared" si="57"/>
        <v>6.08</v>
      </c>
      <c r="K123" s="329">
        <f t="shared" si="33"/>
        <v>0</v>
      </c>
      <c r="L123" s="35">
        <f t="shared" si="58"/>
        <v>0</v>
      </c>
      <c r="M123" s="414">
        <f t="shared" si="59"/>
        <v>0</v>
      </c>
      <c r="N123" s="329">
        <f t="shared" si="34"/>
        <v>0</v>
      </c>
      <c r="O123" s="35">
        <f t="shared" si="60"/>
        <v>35.769999999999129</v>
      </c>
      <c r="P123" s="414">
        <f t="shared" si="61"/>
        <v>0.01</v>
      </c>
      <c r="Q123" s="329">
        <f t="shared" si="35"/>
        <v>0</v>
      </c>
      <c r="R123" s="35">
        <f t="shared" si="62"/>
        <v>0</v>
      </c>
      <c r="S123" s="414">
        <f t="shared" si="47"/>
        <v>0</v>
      </c>
      <c r="T123" s="880">
        <f>[5]Sheet1!$B537</f>
        <v>6.0560000000000003E-5</v>
      </c>
      <c r="U123" s="10">
        <f t="shared" si="65"/>
        <v>43668</v>
      </c>
      <c r="V123" s="881">
        <f t="shared" si="64"/>
        <v>2.21044E-2</v>
      </c>
    </row>
    <row r="124" spans="1:22" x14ac:dyDescent="0.25">
      <c r="A124" s="335">
        <f>A123+1</f>
        <v>43669</v>
      </c>
      <c r="B124" s="329">
        <f t="shared" si="30"/>
        <v>-36656.800000000003</v>
      </c>
      <c r="C124" s="338">
        <f t="shared" si="52"/>
        <v>90991.339999999109</v>
      </c>
      <c r="D124" s="414">
        <f t="shared" si="53"/>
        <v>7.73</v>
      </c>
      <c r="E124" s="49">
        <f t="shared" si="31"/>
        <v>0</v>
      </c>
      <c r="F124" s="35">
        <f t="shared" si="54"/>
        <v>0</v>
      </c>
      <c r="G124" s="414">
        <f t="shared" si="55"/>
        <v>0</v>
      </c>
      <c r="H124" s="49">
        <f t="shared" si="32"/>
        <v>0</v>
      </c>
      <c r="I124" s="35">
        <f t="shared" si="56"/>
        <v>33242.350000000144</v>
      </c>
      <c r="J124" s="414">
        <f t="shared" si="57"/>
        <v>2.0099999999999998</v>
      </c>
      <c r="K124" s="329">
        <f t="shared" si="33"/>
        <v>0</v>
      </c>
      <c r="L124" s="35">
        <f t="shared" si="58"/>
        <v>0</v>
      </c>
      <c r="M124" s="414">
        <f t="shared" si="59"/>
        <v>0</v>
      </c>
      <c r="N124" s="329">
        <f t="shared" si="34"/>
        <v>0</v>
      </c>
      <c r="O124" s="35">
        <f t="shared" si="60"/>
        <v>35.769999999999129</v>
      </c>
      <c r="P124" s="414">
        <f t="shared" si="61"/>
        <v>0</v>
      </c>
      <c r="Q124" s="329">
        <f t="shared" si="35"/>
        <v>0</v>
      </c>
      <c r="R124" s="35">
        <f t="shared" si="62"/>
        <v>0</v>
      </c>
      <c r="S124" s="414">
        <f t="shared" si="47"/>
        <v>0</v>
      </c>
      <c r="T124" s="880">
        <f>[5]Sheet1!$B538</f>
        <v>6.0507000000000002E-5</v>
      </c>
      <c r="U124" s="10">
        <f t="shared" si="65"/>
        <v>43669</v>
      </c>
      <c r="V124" s="881">
        <f t="shared" si="64"/>
        <v>2.2085054999999999E-2</v>
      </c>
    </row>
    <row r="125" spans="1:22" x14ac:dyDescent="0.25">
      <c r="A125" s="335">
        <f>A124+1</f>
        <v>43670</v>
      </c>
      <c r="B125" s="329">
        <f t="shared" si="30"/>
        <v>0</v>
      </c>
      <c r="C125" s="338">
        <f t="shared" si="52"/>
        <v>90991.339999999109</v>
      </c>
      <c r="D125" s="414">
        <f t="shared" si="53"/>
        <v>5.51</v>
      </c>
      <c r="E125" s="49">
        <f t="shared" si="31"/>
        <v>0</v>
      </c>
      <c r="F125" s="35">
        <f t="shared" si="54"/>
        <v>0</v>
      </c>
      <c r="G125" s="414">
        <f t="shared" si="55"/>
        <v>0</v>
      </c>
      <c r="H125" s="49">
        <f t="shared" si="32"/>
        <v>0</v>
      </c>
      <c r="I125" s="35">
        <f t="shared" si="56"/>
        <v>33242.350000000144</v>
      </c>
      <c r="J125" s="414">
        <f t="shared" si="57"/>
        <v>2.0099999999999998</v>
      </c>
      <c r="K125" s="329">
        <f t="shared" si="33"/>
        <v>0</v>
      </c>
      <c r="L125" s="35">
        <f t="shared" si="58"/>
        <v>0</v>
      </c>
      <c r="M125" s="414">
        <f t="shared" si="59"/>
        <v>0</v>
      </c>
      <c r="N125" s="329">
        <f t="shared" si="34"/>
        <v>0</v>
      </c>
      <c r="O125" s="35">
        <f t="shared" si="60"/>
        <v>35.769999999999129</v>
      </c>
      <c r="P125" s="414">
        <f t="shared" si="61"/>
        <v>0</v>
      </c>
      <c r="Q125" s="329">
        <f t="shared" si="35"/>
        <v>0</v>
      </c>
      <c r="R125" s="35">
        <f t="shared" si="62"/>
        <v>0</v>
      </c>
      <c r="S125" s="414">
        <f t="shared" si="47"/>
        <v>0</v>
      </c>
      <c r="T125" s="880">
        <f>[5]Sheet1!$B539</f>
        <v>6.0724999999999999E-5</v>
      </c>
      <c r="U125" s="10">
        <f t="shared" si="65"/>
        <v>43670</v>
      </c>
      <c r="V125" s="881">
        <f t="shared" si="64"/>
        <v>2.2164625E-2</v>
      </c>
    </row>
    <row r="126" spans="1:22" x14ac:dyDescent="0.25">
      <c r="A126" s="335">
        <f>A125+1</f>
        <v>43671</v>
      </c>
      <c r="B126" s="329">
        <f t="shared" si="30"/>
        <v>0</v>
      </c>
      <c r="C126" s="338">
        <f t="shared" si="52"/>
        <v>90991.339999999109</v>
      </c>
      <c r="D126" s="414">
        <f t="shared" si="53"/>
        <v>5.53</v>
      </c>
      <c r="E126" s="49">
        <f t="shared" si="31"/>
        <v>0</v>
      </c>
      <c r="F126" s="35">
        <f t="shared" si="54"/>
        <v>0</v>
      </c>
      <c r="G126" s="414">
        <f t="shared" si="55"/>
        <v>0</v>
      </c>
      <c r="H126" s="49">
        <f t="shared" si="32"/>
        <v>0</v>
      </c>
      <c r="I126" s="35">
        <f t="shared" si="56"/>
        <v>33242.350000000144</v>
      </c>
      <c r="J126" s="414">
        <f t="shared" si="57"/>
        <v>2.02</v>
      </c>
      <c r="K126" s="329">
        <f t="shared" si="33"/>
        <v>0</v>
      </c>
      <c r="L126" s="35">
        <f t="shared" si="58"/>
        <v>0</v>
      </c>
      <c r="M126" s="414">
        <f t="shared" si="59"/>
        <v>0</v>
      </c>
      <c r="N126" s="329">
        <f t="shared" si="34"/>
        <v>0</v>
      </c>
      <c r="O126" s="35">
        <f t="shared" si="60"/>
        <v>35.769999999999129</v>
      </c>
      <c r="P126" s="414">
        <f t="shared" si="61"/>
        <v>0</v>
      </c>
      <c r="Q126" s="329">
        <f t="shared" si="35"/>
        <v>0</v>
      </c>
      <c r="R126" s="35">
        <f t="shared" si="62"/>
        <v>0</v>
      </c>
      <c r="S126" s="414">
        <f t="shared" si="47"/>
        <v>0</v>
      </c>
      <c r="T126" s="880">
        <f>[5]Sheet1!$B540</f>
        <v>6.0668000000000003E-5</v>
      </c>
      <c r="U126" s="10">
        <f t="shared" si="65"/>
        <v>43671</v>
      </c>
      <c r="V126" s="881">
        <f t="shared" si="64"/>
        <v>2.2143820000000002E-2</v>
      </c>
    </row>
    <row r="127" spans="1:22" x14ac:dyDescent="0.25">
      <c r="A127" s="335">
        <f>A126+1</f>
        <v>43672</v>
      </c>
      <c r="B127" s="329">
        <f t="shared" si="30"/>
        <v>0</v>
      </c>
      <c r="C127" s="338">
        <f t="shared" si="52"/>
        <v>90991.339999999109</v>
      </c>
      <c r="D127" s="414">
        <f t="shared" si="53"/>
        <v>5.52</v>
      </c>
      <c r="E127" s="49">
        <f t="shared" si="31"/>
        <v>0</v>
      </c>
      <c r="F127" s="35">
        <f t="shared" si="54"/>
        <v>0</v>
      </c>
      <c r="G127" s="414">
        <f t="shared" si="55"/>
        <v>0</v>
      </c>
      <c r="H127" s="49">
        <f t="shared" si="32"/>
        <v>0</v>
      </c>
      <c r="I127" s="35">
        <f t="shared" si="56"/>
        <v>33242.350000000144</v>
      </c>
      <c r="J127" s="414">
        <f t="shared" si="57"/>
        <v>2.02</v>
      </c>
      <c r="K127" s="329">
        <f t="shared" si="33"/>
        <v>0</v>
      </c>
      <c r="L127" s="35">
        <f t="shared" si="58"/>
        <v>0</v>
      </c>
      <c r="M127" s="414">
        <f t="shared" si="59"/>
        <v>0</v>
      </c>
      <c r="N127" s="329">
        <f t="shared" si="34"/>
        <v>0</v>
      </c>
      <c r="O127" s="35">
        <f t="shared" si="60"/>
        <v>35.769999999999129</v>
      </c>
      <c r="P127" s="414">
        <f t="shared" si="61"/>
        <v>0</v>
      </c>
      <c r="Q127" s="329">
        <f t="shared" si="35"/>
        <v>0</v>
      </c>
      <c r="R127" s="35">
        <f t="shared" si="62"/>
        <v>0</v>
      </c>
      <c r="S127" s="414">
        <f t="shared" si="47"/>
        <v>0</v>
      </c>
      <c r="T127" s="880">
        <f>[5]Sheet1!$B541</f>
        <v>1.8221700000000001E-4</v>
      </c>
      <c r="U127" s="10">
        <f t="shared" si="65"/>
        <v>43672</v>
      </c>
      <c r="V127" s="881">
        <f t="shared" si="64"/>
        <v>2.2169734999999999E-2</v>
      </c>
    </row>
    <row r="128" spans="1:22" x14ac:dyDescent="0.25">
      <c r="A128" s="336">
        <f>A127+3</f>
        <v>43675</v>
      </c>
      <c r="B128" s="329">
        <f t="shared" si="30"/>
        <v>0</v>
      </c>
      <c r="C128" s="338">
        <f t="shared" si="52"/>
        <v>90991.339999999109</v>
      </c>
      <c r="D128" s="414">
        <f t="shared" si="53"/>
        <v>16.579999999999998</v>
      </c>
      <c r="E128" s="49">
        <f t="shared" si="31"/>
        <v>0</v>
      </c>
      <c r="F128" s="35">
        <f t="shared" si="54"/>
        <v>0</v>
      </c>
      <c r="G128" s="414">
        <f t="shared" si="55"/>
        <v>0</v>
      </c>
      <c r="H128" s="49">
        <f t="shared" si="32"/>
        <v>0</v>
      </c>
      <c r="I128" s="35">
        <f t="shared" si="56"/>
        <v>33242.350000000144</v>
      </c>
      <c r="J128" s="414">
        <f t="shared" si="57"/>
        <v>6.06</v>
      </c>
      <c r="K128" s="329">
        <f t="shared" si="33"/>
        <v>0</v>
      </c>
      <c r="L128" s="35">
        <f t="shared" si="58"/>
        <v>0</v>
      </c>
      <c r="M128" s="414">
        <f t="shared" si="59"/>
        <v>0</v>
      </c>
      <c r="N128" s="329">
        <f t="shared" si="34"/>
        <v>0</v>
      </c>
      <c r="O128" s="35">
        <f t="shared" si="60"/>
        <v>35.769999999999129</v>
      </c>
      <c r="P128" s="414">
        <f t="shared" si="61"/>
        <v>0.01</v>
      </c>
      <c r="Q128" s="329">
        <f t="shared" si="35"/>
        <v>0</v>
      </c>
      <c r="R128" s="35">
        <f t="shared" si="62"/>
        <v>0</v>
      </c>
      <c r="S128" s="414">
        <f t="shared" si="47"/>
        <v>0</v>
      </c>
      <c r="T128" s="880">
        <f>[5]Sheet1!$B542</f>
        <v>6.0633E-5</v>
      </c>
      <c r="U128" s="10">
        <f t="shared" si="65"/>
        <v>43675</v>
      </c>
      <c r="V128" s="881">
        <f t="shared" si="64"/>
        <v>2.2131044999999998E-2</v>
      </c>
    </row>
    <row r="129" spans="1:22" x14ac:dyDescent="0.25">
      <c r="A129" s="335">
        <f>A128+1</f>
        <v>43676</v>
      </c>
      <c r="B129" s="329">
        <f t="shared" si="30"/>
        <v>0</v>
      </c>
      <c r="C129" s="338">
        <f t="shared" si="52"/>
        <v>90991.339999999109</v>
      </c>
      <c r="D129" s="414">
        <f t="shared" si="53"/>
        <v>5.52</v>
      </c>
      <c r="E129" s="49">
        <f t="shared" si="31"/>
        <v>0</v>
      </c>
      <c r="F129" s="35">
        <f t="shared" si="54"/>
        <v>0</v>
      </c>
      <c r="G129" s="414">
        <f t="shared" si="55"/>
        <v>0</v>
      </c>
      <c r="H129" s="49">
        <f t="shared" si="32"/>
        <v>0</v>
      </c>
      <c r="I129" s="35">
        <f t="shared" si="56"/>
        <v>33242.350000000144</v>
      </c>
      <c r="J129" s="414">
        <f t="shared" si="57"/>
        <v>2.02</v>
      </c>
      <c r="K129" s="329">
        <f t="shared" si="33"/>
        <v>0</v>
      </c>
      <c r="L129" s="35">
        <f t="shared" si="58"/>
        <v>0</v>
      </c>
      <c r="M129" s="414">
        <f t="shared" si="59"/>
        <v>0</v>
      </c>
      <c r="N129" s="329">
        <f t="shared" si="34"/>
        <v>0</v>
      </c>
      <c r="O129" s="35">
        <f t="shared" si="60"/>
        <v>35.769999999999129</v>
      </c>
      <c r="P129" s="414">
        <f t="shared" si="61"/>
        <v>0</v>
      </c>
      <c r="Q129" s="329">
        <f t="shared" si="35"/>
        <v>0</v>
      </c>
      <c r="R129" s="35">
        <f t="shared" si="62"/>
        <v>0</v>
      </c>
      <c r="S129" s="414">
        <f t="shared" si="47"/>
        <v>0</v>
      </c>
      <c r="T129" s="880">
        <f>[5]Sheet1!$B543</f>
        <v>6.0475E-5</v>
      </c>
      <c r="U129" s="10">
        <f t="shared" si="65"/>
        <v>43676</v>
      </c>
      <c r="V129" s="881">
        <f t="shared" si="64"/>
        <v>2.2073374999999999E-2</v>
      </c>
    </row>
    <row r="130" spans="1:22" x14ac:dyDescent="0.25">
      <c r="A130" s="335">
        <f>A129+1</f>
        <v>43677</v>
      </c>
      <c r="B130" s="329">
        <f t="shared" si="30"/>
        <v>-55102</v>
      </c>
      <c r="C130" s="338">
        <f t="shared" si="52"/>
        <v>35889.339999999109</v>
      </c>
      <c r="D130" s="414">
        <f t="shared" si="53"/>
        <v>5.5</v>
      </c>
      <c r="E130" s="49">
        <f t="shared" si="31"/>
        <v>0</v>
      </c>
      <c r="F130" s="35">
        <f t="shared" si="54"/>
        <v>0</v>
      </c>
      <c r="G130" s="414">
        <f t="shared" si="55"/>
        <v>0</v>
      </c>
      <c r="H130" s="49">
        <f t="shared" si="32"/>
        <v>0</v>
      </c>
      <c r="I130" s="35">
        <f t="shared" si="56"/>
        <v>33242.350000000144</v>
      </c>
      <c r="J130" s="414">
        <f t="shared" si="57"/>
        <v>2.0099999999999998</v>
      </c>
      <c r="K130" s="329">
        <f t="shared" si="33"/>
        <v>0</v>
      </c>
      <c r="L130" s="35">
        <f t="shared" si="58"/>
        <v>0</v>
      </c>
      <c r="M130" s="414">
        <f t="shared" si="59"/>
        <v>0</v>
      </c>
      <c r="N130" s="329">
        <f t="shared" si="34"/>
        <v>0</v>
      </c>
      <c r="O130" s="35">
        <f t="shared" si="60"/>
        <v>35.769999999999129</v>
      </c>
      <c r="P130" s="414">
        <f t="shared" si="61"/>
        <v>0</v>
      </c>
      <c r="Q130" s="329">
        <f t="shared" si="35"/>
        <v>0</v>
      </c>
      <c r="R130" s="35">
        <f t="shared" si="62"/>
        <v>0</v>
      </c>
      <c r="S130" s="414">
        <f t="shared" si="47"/>
        <v>0</v>
      </c>
      <c r="T130" s="880">
        <f>[5]Sheet1!$B544</f>
        <v>6.1947999999999997E-5</v>
      </c>
      <c r="U130" s="10">
        <f t="shared" si="65"/>
        <v>43677</v>
      </c>
      <c r="V130" s="881">
        <f t="shared" si="64"/>
        <v>2.2611019999999999E-2</v>
      </c>
    </row>
    <row r="131" spans="1:22" x14ac:dyDescent="0.25">
      <c r="A131" s="335">
        <f>A130+1</f>
        <v>43678</v>
      </c>
      <c r="B131" s="329">
        <f t="shared" si="30"/>
        <v>0</v>
      </c>
      <c r="C131" s="338">
        <f t="shared" si="52"/>
        <v>35889.339999999109</v>
      </c>
      <c r="D131" s="414">
        <f t="shared" si="53"/>
        <v>2.2200000000000002</v>
      </c>
      <c r="E131" s="49">
        <f t="shared" si="31"/>
        <v>0</v>
      </c>
      <c r="F131" s="35">
        <f t="shared" si="54"/>
        <v>0</v>
      </c>
      <c r="G131" s="414">
        <f t="shared" si="55"/>
        <v>0</v>
      </c>
      <c r="H131" s="49">
        <f t="shared" si="32"/>
        <v>0</v>
      </c>
      <c r="I131" s="35">
        <f t="shared" si="56"/>
        <v>33242.350000000144</v>
      </c>
      <c r="J131" s="414">
        <f t="shared" si="57"/>
        <v>2.06</v>
      </c>
      <c r="K131" s="329">
        <f t="shared" si="33"/>
        <v>0</v>
      </c>
      <c r="L131" s="35">
        <f t="shared" si="58"/>
        <v>0</v>
      </c>
      <c r="M131" s="414">
        <f t="shared" si="59"/>
        <v>0</v>
      </c>
      <c r="N131" s="329">
        <f t="shared" si="34"/>
        <v>0</v>
      </c>
      <c r="O131" s="35">
        <f t="shared" si="60"/>
        <v>35.769999999999129</v>
      </c>
      <c r="P131" s="414">
        <f t="shared" si="61"/>
        <v>0</v>
      </c>
      <c r="Q131" s="329">
        <f t="shared" si="35"/>
        <v>0</v>
      </c>
      <c r="R131" s="35">
        <f t="shared" si="62"/>
        <v>0</v>
      </c>
      <c r="S131" s="414">
        <f t="shared" si="47"/>
        <v>0</v>
      </c>
      <c r="T131" s="880">
        <f>[5]Sheet1!$B545</f>
        <v>5.8251000000000002E-5</v>
      </c>
      <c r="U131" s="10">
        <f t="shared" si="65"/>
        <v>43678</v>
      </c>
      <c r="V131" s="881">
        <f t="shared" si="64"/>
        <v>2.1261615000000001E-2</v>
      </c>
    </row>
    <row r="132" spans="1:22" x14ac:dyDescent="0.25">
      <c r="A132" s="335">
        <f>A131+1</f>
        <v>43679</v>
      </c>
      <c r="B132" s="329">
        <f t="shared" si="30"/>
        <v>13357.79</v>
      </c>
      <c r="C132" s="338">
        <f t="shared" si="52"/>
        <v>49247.12999999911</v>
      </c>
      <c r="D132" s="414">
        <f t="shared" si="53"/>
        <v>2.09</v>
      </c>
      <c r="E132" s="49">
        <f t="shared" si="31"/>
        <v>0</v>
      </c>
      <c r="F132" s="35">
        <f t="shared" si="54"/>
        <v>0</v>
      </c>
      <c r="G132" s="414">
        <f t="shared" si="55"/>
        <v>0</v>
      </c>
      <c r="H132" s="49">
        <f t="shared" si="32"/>
        <v>55.96</v>
      </c>
      <c r="I132" s="35">
        <f t="shared" si="56"/>
        <v>33298.310000000143</v>
      </c>
      <c r="J132" s="414">
        <f t="shared" si="57"/>
        <v>1.94</v>
      </c>
      <c r="K132" s="329">
        <f t="shared" si="33"/>
        <v>0</v>
      </c>
      <c r="L132" s="35">
        <f t="shared" si="58"/>
        <v>0</v>
      </c>
      <c r="M132" s="414">
        <f t="shared" si="59"/>
        <v>0</v>
      </c>
      <c r="N132" s="329">
        <f t="shared" si="34"/>
        <v>0.04</v>
      </c>
      <c r="O132" s="35">
        <f t="shared" si="60"/>
        <v>35.809999999999128</v>
      </c>
      <c r="P132" s="414">
        <f t="shared" si="61"/>
        <v>0</v>
      </c>
      <c r="Q132" s="329">
        <f t="shared" si="35"/>
        <v>0</v>
      </c>
      <c r="R132" s="35">
        <f t="shared" si="62"/>
        <v>0</v>
      </c>
      <c r="S132" s="414">
        <f t="shared" si="47"/>
        <v>0</v>
      </c>
      <c r="T132" s="880">
        <f>[5]Sheet1!$B546</f>
        <v>1.6991700000000001E-4</v>
      </c>
      <c r="U132" s="10">
        <f t="shared" si="65"/>
        <v>43679</v>
      </c>
      <c r="V132" s="881">
        <f t="shared" si="64"/>
        <v>2.0673235000000002E-2</v>
      </c>
    </row>
    <row r="133" spans="1:22" x14ac:dyDescent="0.25">
      <c r="A133" s="336">
        <f>A132+3</f>
        <v>43682</v>
      </c>
      <c r="B133" s="329">
        <f t="shared" si="30"/>
        <v>0</v>
      </c>
      <c r="C133" s="338">
        <f t="shared" ref="C133:C196" si="66">B133+C132</f>
        <v>49247.12999999911</v>
      </c>
      <c r="D133" s="414">
        <f t="shared" ref="D133:D196" si="67">ROUND(C132*$T132,2)</f>
        <v>8.3699999999999992</v>
      </c>
      <c r="E133" s="49">
        <f t="shared" si="31"/>
        <v>0</v>
      </c>
      <c r="F133" s="35">
        <f t="shared" ref="F133:F196" si="68">E133+F132</f>
        <v>0</v>
      </c>
      <c r="G133" s="414">
        <f t="shared" ref="G133:G196" si="69">ROUND(F132*$T132,2)</f>
        <v>0</v>
      </c>
      <c r="H133" s="49">
        <f t="shared" si="32"/>
        <v>0</v>
      </c>
      <c r="I133" s="35">
        <f t="shared" ref="I133:I196" si="70">H133+I132</f>
        <v>33298.310000000143</v>
      </c>
      <c r="J133" s="414">
        <f t="shared" ref="J133:J196" si="71">ROUND(I132*$T132,2)</f>
        <v>5.66</v>
      </c>
      <c r="K133" s="329">
        <f t="shared" si="33"/>
        <v>0</v>
      </c>
      <c r="L133" s="35">
        <f t="shared" ref="L133:L196" si="72">K133+L132</f>
        <v>0</v>
      </c>
      <c r="M133" s="414">
        <f t="shared" ref="M133:M196" si="73">ROUND(L132*$T132,2)</f>
        <v>0</v>
      </c>
      <c r="N133" s="329">
        <f t="shared" si="34"/>
        <v>0</v>
      </c>
      <c r="O133" s="35">
        <f t="shared" ref="O133:O196" si="74">N133+O132</f>
        <v>35.809999999999128</v>
      </c>
      <c r="P133" s="414">
        <f t="shared" ref="P133:P196" si="75">ROUND(O132*$T132,2)</f>
        <v>0.01</v>
      </c>
      <c r="Q133" s="329">
        <f t="shared" si="35"/>
        <v>0</v>
      </c>
      <c r="R133" s="35">
        <f t="shared" ref="R133:R196" si="76">Q133+R132</f>
        <v>0</v>
      </c>
      <c r="S133" s="414">
        <f t="shared" ref="S133:S196" si="77">ROUND(R132*$T132,2)</f>
        <v>0</v>
      </c>
      <c r="T133" s="880">
        <f>[5]Sheet1!$B547</f>
        <v>5.5983999999999998E-5</v>
      </c>
      <c r="U133" s="10">
        <f t="shared" si="65"/>
        <v>43682</v>
      </c>
      <c r="V133" s="881">
        <f t="shared" si="64"/>
        <v>2.043416E-2</v>
      </c>
    </row>
    <row r="134" spans="1:22" x14ac:dyDescent="0.25">
      <c r="A134" s="335">
        <f>A133+1</f>
        <v>43683</v>
      </c>
      <c r="B134" s="329">
        <f t="shared" si="30"/>
        <v>0</v>
      </c>
      <c r="C134" s="338">
        <f t="shared" si="66"/>
        <v>49247.12999999911</v>
      </c>
      <c r="D134" s="414">
        <f t="shared" si="67"/>
        <v>2.76</v>
      </c>
      <c r="E134" s="49">
        <f t="shared" si="31"/>
        <v>0</v>
      </c>
      <c r="F134" s="35">
        <f t="shared" si="68"/>
        <v>0</v>
      </c>
      <c r="G134" s="414">
        <f t="shared" si="69"/>
        <v>0</v>
      </c>
      <c r="H134" s="49">
        <f t="shared" si="32"/>
        <v>0</v>
      </c>
      <c r="I134" s="35">
        <f t="shared" si="70"/>
        <v>33298.310000000143</v>
      </c>
      <c r="J134" s="414">
        <f t="shared" si="71"/>
        <v>1.86</v>
      </c>
      <c r="K134" s="329">
        <f t="shared" si="33"/>
        <v>0</v>
      </c>
      <c r="L134" s="35">
        <f t="shared" si="72"/>
        <v>0</v>
      </c>
      <c r="M134" s="414">
        <f t="shared" si="73"/>
        <v>0</v>
      </c>
      <c r="N134" s="329">
        <f t="shared" si="34"/>
        <v>0</v>
      </c>
      <c r="O134" s="35">
        <f t="shared" si="74"/>
        <v>35.809999999999128</v>
      </c>
      <c r="P134" s="414">
        <f t="shared" si="75"/>
        <v>0</v>
      </c>
      <c r="Q134" s="329">
        <f t="shared" si="35"/>
        <v>0</v>
      </c>
      <c r="R134" s="35">
        <f t="shared" si="76"/>
        <v>0</v>
      </c>
      <c r="S134" s="414">
        <f t="shared" si="77"/>
        <v>0</v>
      </c>
      <c r="T134" s="880">
        <f>[5]Sheet1!$B548</f>
        <v>5.5313999999999999E-5</v>
      </c>
      <c r="U134" s="10">
        <f t="shared" si="65"/>
        <v>43683</v>
      </c>
      <c r="V134" s="881">
        <f t="shared" si="64"/>
        <v>2.018961E-2</v>
      </c>
    </row>
    <row r="135" spans="1:22" x14ac:dyDescent="0.25">
      <c r="A135" s="335">
        <f>A134+1</f>
        <v>43684</v>
      </c>
      <c r="B135" s="329">
        <f t="shared" ref="B135:B198" si="78">-SUMIFS(CF_Main,CF_Dates,$A135,CF_Descriptions,"MM Sweep")</f>
        <v>0</v>
      </c>
      <c r="C135" s="338">
        <f t="shared" si="66"/>
        <v>49247.12999999911</v>
      </c>
      <c r="D135" s="414">
        <f t="shared" si="67"/>
        <v>2.72</v>
      </c>
      <c r="E135" s="49">
        <f t="shared" ref="E135:E198" si="79">-SUMIFS(CF_Main_EUR,CF_Dates,$A135,CF_Descriptions,"MM Sweep")</f>
        <v>0</v>
      </c>
      <c r="F135" s="35">
        <f t="shared" si="68"/>
        <v>0</v>
      </c>
      <c r="G135" s="414">
        <f t="shared" si="69"/>
        <v>0</v>
      </c>
      <c r="H135" s="49">
        <f t="shared" ref="H135:H198" si="80">-SUMIFS(CF_Expenses,CF_Dates,$A135,CF_Descriptions,"MM Sweep")</f>
        <v>0</v>
      </c>
      <c r="I135" s="35">
        <f t="shared" si="70"/>
        <v>33298.310000000143</v>
      </c>
      <c r="J135" s="414">
        <f t="shared" si="71"/>
        <v>1.84</v>
      </c>
      <c r="K135" s="329">
        <f t="shared" ref="K135:K198" si="81">-SUMIFS(CF_Margin,CF_Dates,$A135,CF_Descriptions,"MM Sweep")</f>
        <v>0</v>
      </c>
      <c r="L135" s="35">
        <f t="shared" si="72"/>
        <v>0</v>
      </c>
      <c r="M135" s="414">
        <f t="shared" si="73"/>
        <v>0</v>
      </c>
      <c r="N135" s="329">
        <f t="shared" ref="N135:N198" si="82">-SUMIFS(CF_Mgmt,CF_Dates,$A135,CF_Descriptions,"MM Sweep")</f>
        <v>0</v>
      </c>
      <c r="O135" s="35">
        <f t="shared" si="74"/>
        <v>35.809999999999128</v>
      </c>
      <c r="P135" s="414">
        <f t="shared" si="75"/>
        <v>0</v>
      </c>
      <c r="Q135" s="329">
        <f t="shared" ref="Q135:Q198" si="83">-SUMIFS(CF_SubRedemp,CF_Dates,$A135,CF_Descriptions,"MM Sweep")</f>
        <v>0</v>
      </c>
      <c r="R135" s="35">
        <f t="shared" si="76"/>
        <v>0</v>
      </c>
      <c r="S135" s="414">
        <f t="shared" si="77"/>
        <v>0</v>
      </c>
      <c r="T135" s="880">
        <f>[5]Sheet1!$B549</f>
        <v>5.5206E-5</v>
      </c>
      <c r="U135" s="10">
        <f t="shared" si="65"/>
        <v>43684</v>
      </c>
      <c r="V135" s="881">
        <f t="shared" si="64"/>
        <v>2.0150189999999998E-2</v>
      </c>
    </row>
    <row r="136" spans="1:22" x14ac:dyDescent="0.25">
      <c r="A136" s="335">
        <f>A135+1</f>
        <v>43685</v>
      </c>
      <c r="B136" s="329">
        <f t="shared" si="78"/>
        <v>-578.24</v>
      </c>
      <c r="C136" s="338">
        <f t="shared" si="66"/>
        <v>48668.889999999112</v>
      </c>
      <c r="D136" s="414">
        <f t="shared" si="67"/>
        <v>2.72</v>
      </c>
      <c r="E136" s="49">
        <f t="shared" si="79"/>
        <v>0</v>
      </c>
      <c r="F136" s="35">
        <f t="shared" si="68"/>
        <v>0</v>
      </c>
      <c r="G136" s="414">
        <f t="shared" si="69"/>
        <v>0</v>
      </c>
      <c r="H136" s="49">
        <f t="shared" si="80"/>
        <v>0</v>
      </c>
      <c r="I136" s="35">
        <f t="shared" si="70"/>
        <v>33298.310000000143</v>
      </c>
      <c r="J136" s="414">
        <f t="shared" si="71"/>
        <v>1.84</v>
      </c>
      <c r="K136" s="329">
        <f t="shared" si="81"/>
        <v>0</v>
      </c>
      <c r="L136" s="35">
        <f t="shared" si="72"/>
        <v>0</v>
      </c>
      <c r="M136" s="414">
        <f t="shared" si="73"/>
        <v>0</v>
      </c>
      <c r="N136" s="329">
        <f t="shared" si="82"/>
        <v>0</v>
      </c>
      <c r="O136" s="35">
        <f t="shared" si="74"/>
        <v>35.809999999999128</v>
      </c>
      <c r="P136" s="414">
        <f t="shared" si="75"/>
        <v>0</v>
      </c>
      <c r="Q136" s="329">
        <f t="shared" si="83"/>
        <v>0</v>
      </c>
      <c r="R136" s="35">
        <f t="shared" si="76"/>
        <v>0</v>
      </c>
      <c r="S136" s="414">
        <f t="shared" si="77"/>
        <v>0</v>
      </c>
      <c r="T136" s="880">
        <f>[5]Sheet1!$B550</f>
        <v>5.486E-5</v>
      </c>
      <c r="U136" s="10">
        <f t="shared" si="65"/>
        <v>43685</v>
      </c>
      <c r="V136" s="881">
        <f t="shared" si="64"/>
        <v>2.0023900000000001E-2</v>
      </c>
    </row>
    <row r="137" spans="1:22" x14ac:dyDescent="0.25">
      <c r="A137" s="335">
        <f>A136+1</f>
        <v>43686</v>
      </c>
      <c r="B137" s="329">
        <f t="shared" si="78"/>
        <v>0</v>
      </c>
      <c r="C137" s="338">
        <f t="shared" si="66"/>
        <v>48668.889999999112</v>
      </c>
      <c r="D137" s="414">
        <f t="shared" si="67"/>
        <v>2.67</v>
      </c>
      <c r="E137" s="49">
        <f t="shared" si="79"/>
        <v>0</v>
      </c>
      <c r="F137" s="35">
        <f t="shared" si="68"/>
        <v>0</v>
      </c>
      <c r="G137" s="414">
        <f t="shared" si="69"/>
        <v>0</v>
      </c>
      <c r="H137" s="49">
        <f t="shared" si="80"/>
        <v>0</v>
      </c>
      <c r="I137" s="35">
        <f t="shared" si="70"/>
        <v>33298.310000000143</v>
      </c>
      <c r="J137" s="414">
        <f t="shared" si="71"/>
        <v>1.83</v>
      </c>
      <c r="K137" s="329">
        <f t="shared" si="81"/>
        <v>0</v>
      </c>
      <c r="L137" s="35">
        <f t="shared" si="72"/>
        <v>0</v>
      </c>
      <c r="M137" s="414">
        <f t="shared" si="73"/>
        <v>0</v>
      </c>
      <c r="N137" s="329">
        <f t="shared" si="82"/>
        <v>0</v>
      </c>
      <c r="O137" s="35">
        <f t="shared" si="74"/>
        <v>35.809999999999128</v>
      </c>
      <c r="P137" s="414">
        <f t="shared" si="75"/>
        <v>0</v>
      </c>
      <c r="Q137" s="329">
        <f t="shared" si="83"/>
        <v>0</v>
      </c>
      <c r="R137" s="35">
        <f t="shared" si="76"/>
        <v>0</v>
      </c>
      <c r="S137" s="414">
        <f t="shared" si="77"/>
        <v>0</v>
      </c>
      <c r="T137" s="880">
        <f>[5]Sheet1!$B551</f>
        <v>1.6542600000000001E-4</v>
      </c>
      <c r="U137" s="10">
        <f t="shared" si="65"/>
        <v>43686</v>
      </c>
      <c r="V137" s="881">
        <f t="shared" si="64"/>
        <v>2.0126830000000002E-2</v>
      </c>
    </row>
    <row r="138" spans="1:22" x14ac:dyDescent="0.25">
      <c r="A138" s="336">
        <f>A137+3</f>
        <v>43689</v>
      </c>
      <c r="B138" s="329">
        <f t="shared" si="78"/>
        <v>0</v>
      </c>
      <c r="C138" s="338">
        <f t="shared" si="66"/>
        <v>48668.889999999112</v>
      </c>
      <c r="D138" s="414">
        <f t="shared" si="67"/>
        <v>8.0500000000000007</v>
      </c>
      <c r="E138" s="49">
        <f t="shared" si="79"/>
        <v>0</v>
      </c>
      <c r="F138" s="35">
        <f t="shared" si="68"/>
        <v>0</v>
      </c>
      <c r="G138" s="414">
        <f t="shared" si="69"/>
        <v>0</v>
      </c>
      <c r="H138" s="49">
        <f t="shared" si="80"/>
        <v>0</v>
      </c>
      <c r="I138" s="35">
        <f t="shared" si="70"/>
        <v>33298.310000000143</v>
      </c>
      <c r="J138" s="414">
        <f t="shared" si="71"/>
        <v>5.51</v>
      </c>
      <c r="K138" s="329">
        <f t="shared" si="81"/>
        <v>0</v>
      </c>
      <c r="L138" s="35">
        <f t="shared" si="72"/>
        <v>0</v>
      </c>
      <c r="M138" s="414">
        <f t="shared" si="73"/>
        <v>0</v>
      </c>
      <c r="N138" s="329">
        <f t="shared" si="82"/>
        <v>0</v>
      </c>
      <c r="O138" s="35">
        <f t="shared" si="74"/>
        <v>35.809999999999128</v>
      </c>
      <c r="P138" s="414">
        <f t="shared" si="75"/>
        <v>0.01</v>
      </c>
      <c r="Q138" s="329">
        <f t="shared" si="83"/>
        <v>0</v>
      </c>
      <c r="R138" s="35">
        <f t="shared" si="76"/>
        <v>0</v>
      </c>
      <c r="S138" s="414">
        <f t="shared" si="77"/>
        <v>0</v>
      </c>
      <c r="T138" s="880">
        <f>[5]Sheet1!$B552</f>
        <v>5.5220999999999999E-5</v>
      </c>
      <c r="U138" s="10">
        <f t="shared" si="65"/>
        <v>43689</v>
      </c>
      <c r="V138" s="881">
        <f t="shared" si="64"/>
        <v>2.0155665E-2</v>
      </c>
    </row>
    <row r="139" spans="1:22" x14ac:dyDescent="0.25">
      <c r="A139" s="335">
        <f>A138+1</f>
        <v>43690</v>
      </c>
      <c r="B139" s="329">
        <f t="shared" si="78"/>
        <v>0</v>
      </c>
      <c r="C139" s="338">
        <f t="shared" si="66"/>
        <v>48668.889999999112</v>
      </c>
      <c r="D139" s="414">
        <f t="shared" si="67"/>
        <v>2.69</v>
      </c>
      <c r="E139" s="49">
        <f t="shared" si="79"/>
        <v>0</v>
      </c>
      <c r="F139" s="35">
        <f t="shared" si="68"/>
        <v>0</v>
      </c>
      <c r="G139" s="414">
        <f t="shared" si="69"/>
        <v>0</v>
      </c>
      <c r="H139" s="49">
        <f t="shared" si="80"/>
        <v>0</v>
      </c>
      <c r="I139" s="35">
        <f t="shared" si="70"/>
        <v>33298.310000000143</v>
      </c>
      <c r="J139" s="414">
        <f t="shared" si="71"/>
        <v>1.84</v>
      </c>
      <c r="K139" s="329">
        <f t="shared" si="81"/>
        <v>0</v>
      </c>
      <c r="L139" s="35">
        <f t="shared" si="72"/>
        <v>0</v>
      </c>
      <c r="M139" s="414">
        <f t="shared" si="73"/>
        <v>0</v>
      </c>
      <c r="N139" s="329">
        <f t="shared" si="82"/>
        <v>0</v>
      </c>
      <c r="O139" s="35">
        <f t="shared" si="74"/>
        <v>35.809999999999128</v>
      </c>
      <c r="P139" s="414">
        <f t="shared" si="75"/>
        <v>0</v>
      </c>
      <c r="Q139" s="329">
        <f t="shared" si="83"/>
        <v>0</v>
      </c>
      <c r="R139" s="35">
        <f t="shared" si="76"/>
        <v>0</v>
      </c>
      <c r="S139" s="414">
        <f t="shared" si="77"/>
        <v>0</v>
      </c>
      <c r="T139" s="880">
        <f>[5]Sheet1!$B553</f>
        <v>5.5699000000000003E-5</v>
      </c>
      <c r="U139" s="10">
        <f t="shared" si="65"/>
        <v>43690</v>
      </c>
      <c r="V139" s="881">
        <f t="shared" si="64"/>
        <v>2.0330135000000003E-2</v>
      </c>
    </row>
    <row r="140" spans="1:22" x14ac:dyDescent="0.25">
      <c r="A140" s="335">
        <f>A139+1</f>
        <v>43691</v>
      </c>
      <c r="B140" s="329">
        <f t="shared" si="78"/>
        <v>0</v>
      </c>
      <c r="C140" s="338">
        <f t="shared" si="66"/>
        <v>48668.889999999112</v>
      </c>
      <c r="D140" s="414">
        <f t="shared" si="67"/>
        <v>2.71</v>
      </c>
      <c r="E140" s="49">
        <f t="shared" si="79"/>
        <v>0</v>
      </c>
      <c r="F140" s="35">
        <f t="shared" si="68"/>
        <v>0</v>
      </c>
      <c r="G140" s="414">
        <f t="shared" si="69"/>
        <v>0</v>
      </c>
      <c r="H140" s="49">
        <f t="shared" si="80"/>
        <v>0</v>
      </c>
      <c r="I140" s="35">
        <f t="shared" si="70"/>
        <v>33298.310000000143</v>
      </c>
      <c r="J140" s="414">
        <f t="shared" si="71"/>
        <v>1.85</v>
      </c>
      <c r="K140" s="329">
        <f t="shared" si="81"/>
        <v>0</v>
      </c>
      <c r="L140" s="35">
        <f t="shared" si="72"/>
        <v>0</v>
      </c>
      <c r="M140" s="414">
        <f t="shared" si="73"/>
        <v>0</v>
      </c>
      <c r="N140" s="329">
        <f t="shared" si="82"/>
        <v>0</v>
      </c>
      <c r="O140" s="35">
        <f t="shared" si="74"/>
        <v>35.809999999999128</v>
      </c>
      <c r="P140" s="414">
        <f t="shared" si="75"/>
        <v>0</v>
      </c>
      <c r="Q140" s="329">
        <f t="shared" si="83"/>
        <v>0</v>
      </c>
      <c r="R140" s="35">
        <f t="shared" si="76"/>
        <v>0</v>
      </c>
      <c r="S140" s="414">
        <f t="shared" si="77"/>
        <v>0</v>
      </c>
      <c r="T140" s="880">
        <f>[5]Sheet1!$B554</f>
        <v>5.5421999999999999E-5</v>
      </c>
      <c r="U140" s="10">
        <f t="shared" si="65"/>
        <v>43691</v>
      </c>
      <c r="V140" s="881">
        <f t="shared" si="64"/>
        <v>2.0229029999999999E-2</v>
      </c>
    </row>
    <row r="141" spans="1:22" x14ac:dyDescent="0.25">
      <c r="A141" s="335">
        <f>A140+1</f>
        <v>43692</v>
      </c>
      <c r="B141" s="329">
        <f t="shared" si="78"/>
        <v>245632.37</v>
      </c>
      <c r="C141" s="338">
        <f t="shared" si="66"/>
        <v>294301.25999999908</v>
      </c>
      <c r="D141" s="414">
        <f t="shared" si="67"/>
        <v>2.7</v>
      </c>
      <c r="E141" s="49">
        <f t="shared" si="79"/>
        <v>0</v>
      </c>
      <c r="F141" s="35">
        <f t="shared" si="68"/>
        <v>0</v>
      </c>
      <c r="G141" s="414">
        <f t="shared" si="69"/>
        <v>0</v>
      </c>
      <c r="H141" s="49">
        <f t="shared" si="80"/>
        <v>103.28</v>
      </c>
      <c r="I141" s="35">
        <f t="shared" si="70"/>
        <v>33401.590000000142</v>
      </c>
      <c r="J141" s="414">
        <f t="shared" si="71"/>
        <v>1.85</v>
      </c>
      <c r="K141" s="329">
        <f t="shared" si="81"/>
        <v>0</v>
      </c>
      <c r="L141" s="35">
        <f t="shared" si="72"/>
        <v>0</v>
      </c>
      <c r="M141" s="414">
        <f t="shared" si="73"/>
        <v>0</v>
      </c>
      <c r="N141" s="329">
        <f t="shared" si="82"/>
        <v>0</v>
      </c>
      <c r="O141" s="35">
        <f t="shared" si="74"/>
        <v>35.809999999999128</v>
      </c>
      <c r="P141" s="414">
        <f t="shared" si="75"/>
        <v>0</v>
      </c>
      <c r="Q141" s="329">
        <f t="shared" si="83"/>
        <v>0</v>
      </c>
      <c r="R141" s="35">
        <f t="shared" si="76"/>
        <v>0</v>
      </c>
      <c r="S141" s="414">
        <f t="shared" si="77"/>
        <v>0</v>
      </c>
      <c r="T141" s="880">
        <f>[5]Sheet1!$B555</f>
        <v>5.5754999999999997E-5</v>
      </c>
      <c r="U141" s="10">
        <f t="shared" si="65"/>
        <v>43692</v>
      </c>
      <c r="V141" s="881">
        <f t="shared" si="64"/>
        <v>2.0350574999999999E-2</v>
      </c>
    </row>
    <row r="142" spans="1:22" x14ac:dyDescent="0.25">
      <c r="A142" s="335">
        <f>A141+1</f>
        <v>43693</v>
      </c>
      <c r="B142" s="329">
        <f t="shared" si="78"/>
        <v>0</v>
      </c>
      <c r="C142" s="338">
        <f t="shared" si="66"/>
        <v>294301.25999999908</v>
      </c>
      <c r="D142" s="414">
        <f t="shared" si="67"/>
        <v>16.41</v>
      </c>
      <c r="E142" s="49">
        <f t="shared" si="79"/>
        <v>0</v>
      </c>
      <c r="F142" s="35">
        <f t="shared" si="68"/>
        <v>0</v>
      </c>
      <c r="G142" s="414">
        <f t="shared" si="69"/>
        <v>0</v>
      </c>
      <c r="H142" s="49">
        <f t="shared" si="80"/>
        <v>0</v>
      </c>
      <c r="I142" s="35">
        <f t="shared" si="70"/>
        <v>33401.590000000142</v>
      </c>
      <c r="J142" s="414">
        <f t="shared" si="71"/>
        <v>1.86</v>
      </c>
      <c r="K142" s="329">
        <f t="shared" si="81"/>
        <v>0</v>
      </c>
      <c r="L142" s="35">
        <f t="shared" si="72"/>
        <v>0</v>
      </c>
      <c r="M142" s="414">
        <f t="shared" si="73"/>
        <v>0</v>
      </c>
      <c r="N142" s="329">
        <f t="shared" si="82"/>
        <v>0</v>
      </c>
      <c r="O142" s="35">
        <f t="shared" si="74"/>
        <v>35.809999999999128</v>
      </c>
      <c r="P142" s="414">
        <f t="shared" si="75"/>
        <v>0</v>
      </c>
      <c r="Q142" s="329">
        <f t="shared" si="83"/>
        <v>0</v>
      </c>
      <c r="R142" s="35">
        <f t="shared" si="76"/>
        <v>0</v>
      </c>
      <c r="S142" s="414">
        <f t="shared" si="77"/>
        <v>0</v>
      </c>
      <c r="T142" s="880">
        <f>[5]Sheet1!$B556</f>
        <v>1.65637E-4</v>
      </c>
      <c r="U142" s="10">
        <f t="shared" si="65"/>
        <v>43693</v>
      </c>
      <c r="V142" s="881">
        <f t="shared" si="64"/>
        <v>2.0152501666666666E-2</v>
      </c>
    </row>
    <row r="143" spans="1:22" x14ac:dyDescent="0.25">
      <c r="A143" s="336">
        <f>A142+3</f>
        <v>43696</v>
      </c>
      <c r="B143" s="329">
        <f t="shared" si="78"/>
        <v>0</v>
      </c>
      <c r="C143" s="338">
        <f t="shared" si="66"/>
        <v>294301.25999999908</v>
      </c>
      <c r="D143" s="414">
        <f t="shared" si="67"/>
        <v>48.75</v>
      </c>
      <c r="E143" s="49">
        <f t="shared" si="79"/>
        <v>0</v>
      </c>
      <c r="F143" s="35">
        <f t="shared" si="68"/>
        <v>0</v>
      </c>
      <c r="G143" s="414">
        <f t="shared" si="69"/>
        <v>0</v>
      </c>
      <c r="H143" s="49">
        <f t="shared" si="80"/>
        <v>0</v>
      </c>
      <c r="I143" s="35">
        <f t="shared" si="70"/>
        <v>33401.590000000142</v>
      </c>
      <c r="J143" s="414">
        <f t="shared" si="71"/>
        <v>5.53</v>
      </c>
      <c r="K143" s="329">
        <f t="shared" si="81"/>
        <v>0</v>
      </c>
      <c r="L143" s="35">
        <f t="shared" si="72"/>
        <v>0</v>
      </c>
      <c r="M143" s="414">
        <f t="shared" si="73"/>
        <v>0</v>
      </c>
      <c r="N143" s="329">
        <f t="shared" si="82"/>
        <v>0</v>
      </c>
      <c r="O143" s="35">
        <f t="shared" si="74"/>
        <v>35.809999999999128</v>
      </c>
      <c r="P143" s="414">
        <f t="shared" si="75"/>
        <v>0.01</v>
      </c>
      <c r="Q143" s="329">
        <f t="shared" si="83"/>
        <v>0</v>
      </c>
      <c r="R143" s="35">
        <f t="shared" si="76"/>
        <v>0</v>
      </c>
      <c r="S143" s="414">
        <f t="shared" si="77"/>
        <v>0</v>
      </c>
      <c r="T143" s="880">
        <f>[5]Sheet1!$B557</f>
        <v>5.4746000000000001E-5</v>
      </c>
      <c r="U143" s="10">
        <f t="shared" si="65"/>
        <v>43696</v>
      </c>
      <c r="V143" s="881">
        <f t="shared" si="64"/>
        <v>1.998229E-2</v>
      </c>
    </row>
    <row r="144" spans="1:22" x14ac:dyDescent="0.25">
      <c r="A144" s="335">
        <f>A143+1</f>
        <v>43697</v>
      </c>
      <c r="B144" s="329">
        <f t="shared" si="78"/>
        <v>-200000</v>
      </c>
      <c r="C144" s="338">
        <f t="shared" si="66"/>
        <v>94301.259999999078</v>
      </c>
      <c r="D144" s="414">
        <f t="shared" si="67"/>
        <v>16.11</v>
      </c>
      <c r="E144" s="49">
        <f t="shared" si="79"/>
        <v>0</v>
      </c>
      <c r="F144" s="35">
        <f t="shared" si="68"/>
        <v>0</v>
      </c>
      <c r="G144" s="414">
        <f t="shared" si="69"/>
        <v>0</v>
      </c>
      <c r="H144" s="49">
        <f t="shared" si="80"/>
        <v>0</v>
      </c>
      <c r="I144" s="35">
        <f t="shared" si="70"/>
        <v>33401.590000000142</v>
      </c>
      <c r="J144" s="414">
        <f t="shared" si="71"/>
        <v>1.83</v>
      </c>
      <c r="K144" s="329">
        <f t="shared" si="81"/>
        <v>0</v>
      </c>
      <c r="L144" s="35">
        <f t="shared" si="72"/>
        <v>0</v>
      </c>
      <c r="M144" s="414">
        <f t="shared" si="73"/>
        <v>0</v>
      </c>
      <c r="N144" s="329">
        <f t="shared" si="82"/>
        <v>0</v>
      </c>
      <c r="O144" s="35">
        <f t="shared" si="74"/>
        <v>35.809999999999128</v>
      </c>
      <c r="P144" s="414">
        <f t="shared" si="75"/>
        <v>0</v>
      </c>
      <c r="Q144" s="329">
        <f t="shared" si="83"/>
        <v>0</v>
      </c>
      <c r="R144" s="35">
        <f t="shared" si="76"/>
        <v>0</v>
      </c>
      <c r="S144" s="414">
        <f t="shared" si="77"/>
        <v>0</v>
      </c>
      <c r="T144" s="880">
        <f>[5]Sheet1!$B558</f>
        <v>5.4880000000000003E-5</v>
      </c>
      <c r="U144" s="10">
        <f t="shared" si="65"/>
        <v>43697</v>
      </c>
      <c r="V144" s="881">
        <f t="shared" si="64"/>
        <v>2.0031200000000002E-2</v>
      </c>
    </row>
    <row r="145" spans="1:22" x14ac:dyDescent="0.25">
      <c r="A145" s="335">
        <f>A144+1</f>
        <v>43698</v>
      </c>
      <c r="B145" s="329">
        <f t="shared" si="78"/>
        <v>0</v>
      </c>
      <c r="C145" s="338">
        <f t="shared" si="66"/>
        <v>94301.259999999078</v>
      </c>
      <c r="D145" s="414">
        <f t="shared" si="67"/>
        <v>5.18</v>
      </c>
      <c r="E145" s="49">
        <f t="shared" si="79"/>
        <v>0</v>
      </c>
      <c r="F145" s="35">
        <f t="shared" si="68"/>
        <v>0</v>
      </c>
      <c r="G145" s="414">
        <f t="shared" si="69"/>
        <v>0</v>
      </c>
      <c r="H145" s="49">
        <f t="shared" si="80"/>
        <v>0</v>
      </c>
      <c r="I145" s="35">
        <f t="shared" si="70"/>
        <v>33401.590000000142</v>
      </c>
      <c r="J145" s="414">
        <f t="shared" si="71"/>
        <v>1.83</v>
      </c>
      <c r="K145" s="329">
        <f t="shared" si="81"/>
        <v>0</v>
      </c>
      <c r="L145" s="35">
        <f t="shared" si="72"/>
        <v>0</v>
      </c>
      <c r="M145" s="414">
        <f t="shared" si="73"/>
        <v>0</v>
      </c>
      <c r="N145" s="329">
        <f t="shared" si="82"/>
        <v>0</v>
      </c>
      <c r="O145" s="35">
        <f t="shared" si="74"/>
        <v>35.809999999999128</v>
      </c>
      <c r="P145" s="414">
        <f t="shared" si="75"/>
        <v>0</v>
      </c>
      <c r="Q145" s="329">
        <f t="shared" si="83"/>
        <v>0</v>
      </c>
      <c r="R145" s="35">
        <f t="shared" si="76"/>
        <v>0</v>
      </c>
      <c r="S145" s="414">
        <f t="shared" si="77"/>
        <v>0</v>
      </c>
      <c r="T145" s="880">
        <f>[5]Sheet1!$B559</f>
        <v>5.4410000000000003E-5</v>
      </c>
      <c r="U145" s="10">
        <f t="shared" si="65"/>
        <v>43698</v>
      </c>
      <c r="V145" s="881">
        <f t="shared" ref="V145:V176" si="84">T145*365/(A146-A145)</f>
        <v>1.985965E-2</v>
      </c>
    </row>
    <row r="146" spans="1:22" x14ac:dyDescent="0.25">
      <c r="A146" s="335">
        <f>A145+1</f>
        <v>43699</v>
      </c>
      <c r="B146" s="329">
        <f t="shared" si="78"/>
        <v>-24025.85</v>
      </c>
      <c r="C146" s="338">
        <f t="shared" si="66"/>
        <v>70275.409999999072</v>
      </c>
      <c r="D146" s="414">
        <f t="shared" si="67"/>
        <v>5.13</v>
      </c>
      <c r="E146" s="49">
        <f t="shared" si="79"/>
        <v>0</v>
      </c>
      <c r="F146" s="35">
        <f t="shared" si="68"/>
        <v>0</v>
      </c>
      <c r="G146" s="414">
        <f t="shared" si="69"/>
        <v>0</v>
      </c>
      <c r="H146" s="49">
        <f t="shared" si="80"/>
        <v>1375.19</v>
      </c>
      <c r="I146" s="35">
        <f t="shared" si="70"/>
        <v>34776.780000000144</v>
      </c>
      <c r="J146" s="414">
        <f t="shared" si="71"/>
        <v>1.82</v>
      </c>
      <c r="K146" s="329">
        <f t="shared" si="81"/>
        <v>0</v>
      </c>
      <c r="L146" s="35">
        <f t="shared" si="72"/>
        <v>0</v>
      </c>
      <c r="M146" s="414">
        <f t="shared" si="73"/>
        <v>0</v>
      </c>
      <c r="N146" s="329">
        <f t="shared" si="82"/>
        <v>0</v>
      </c>
      <c r="O146" s="35">
        <f t="shared" si="74"/>
        <v>35.809999999999128</v>
      </c>
      <c r="P146" s="414">
        <f t="shared" si="75"/>
        <v>0</v>
      </c>
      <c r="Q146" s="329">
        <f t="shared" si="83"/>
        <v>0</v>
      </c>
      <c r="R146" s="35">
        <f t="shared" si="76"/>
        <v>0</v>
      </c>
      <c r="S146" s="414">
        <f t="shared" si="77"/>
        <v>0</v>
      </c>
      <c r="T146" s="880">
        <f>[5]Sheet1!$B560</f>
        <v>5.4036999999999998E-5</v>
      </c>
      <c r="U146" s="10">
        <f t="shared" si="65"/>
        <v>43699</v>
      </c>
      <c r="V146" s="881">
        <f t="shared" si="84"/>
        <v>1.9723504999999999E-2</v>
      </c>
    </row>
    <row r="147" spans="1:22" x14ac:dyDescent="0.25">
      <c r="A147" s="335">
        <f>A146+1</f>
        <v>43700</v>
      </c>
      <c r="B147" s="329">
        <f t="shared" si="78"/>
        <v>0</v>
      </c>
      <c r="C147" s="338">
        <f t="shared" si="66"/>
        <v>70275.409999999072</v>
      </c>
      <c r="D147" s="414">
        <f t="shared" si="67"/>
        <v>3.8</v>
      </c>
      <c r="E147" s="49">
        <f t="shared" si="79"/>
        <v>0</v>
      </c>
      <c r="F147" s="35">
        <f t="shared" si="68"/>
        <v>0</v>
      </c>
      <c r="G147" s="414">
        <f t="shared" si="69"/>
        <v>0</v>
      </c>
      <c r="H147" s="49">
        <f t="shared" si="80"/>
        <v>0</v>
      </c>
      <c r="I147" s="35">
        <f t="shared" si="70"/>
        <v>34776.780000000144</v>
      </c>
      <c r="J147" s="414">
        <f t="shared" si="71"/>
        <v>1.88</v>
      </c>
      <c r="K147" s="329">
        <f t="shared" si="81"/>
        <v>0</v>
      </c>
      <c r="L147" s="35">
        <f t="shared" si="72"/>
        <v>0</v>
      </c>
      <c r="M147" s="414">
        <f t="shared" si="73"/>
        <v>0</v>
      </c>
      <c r="N147" s="329">
        <f t="shared" si="82"/>
        <v>0</v>
      </c>
      <c r="O147" s="35">
        <f t="shared" si="74"/>
        <v>35.809999999999128</v>
      </c>
      <c r="P147" s="414">
        <f t="shared" si="75"/>
        <v>0</v>
      </c>
      <c r="Q147" s="329">
        <f t="shared" si="83"/>
        <v>0</v>
      </c>
      <c r="R147" s="35">
        <f t="shared" si="76"/>
        <v>0</v>
      </c>
      <c r="S147" s="414">
        <f t="shared" si="77"/>
        <v>0</v>
      </c>
      <c r="T147" s="880">
        <f>[5]Sheet1!$B561</f>
        <v>1.62292E-4</v>
      </c>
      <c r="U147" s="10">
        <f t="shared" ref="U147:U176" si="85">A147</f>
        <v>43700</v>
      </c>
      <c r="V147" s="881">
        <f t="shared" si="84"/>
        <v>1.9745526666666666E-2</v>
      </c>
    </row>
    <row r="148" spans="1:22" x14ac:dyDescent="0.25">
      <c r="A148" s="336">
        <f>A147+3</f>
        <v>43703</v>
      </c>
      <c r="B148" s="329">
        <f t="shared" si="78"/>
        <v>0</v>
      </c>
      <c r="C148" s="338">
        <f t="shared" si="66"/>
        <v>70275.409999999072</v>
      </c>
      <c r="D148" s="414">
        <f t="shared" si="67"/>
        <v>11.41</v>
      </c>
      <c r="E148" s="49">
        <f t="shared" si="79"/>
        <v>0</v>
      </c>
      <c r="F148" s="35">
        <f t="shared" si="68"/>
        <v>0</v>
      </c>
      <c r="G148" s="414">
        <f t="shared" si="69"/>
        <v>0</v>
      </c>
      <c r="H148" s="49">
        <f t="shared" si="80"/>
        <v>0</v>
      </c>
      <c r="I148" s="35">
        <f t="shared" si="70"/>
        <v>34776.780000000144</v>
      </c>
      <c r="J148" s="414">
        <f t="shared" si="71"/>
        <v>5.64</v>
      </c>
      <c r="K148" s="329">
        <f t="shared" si="81"/>
        <v>0</v>
      </c>
      <c r="L148" s="35">
        <f t="shared" si="72"/>
        <v>0</v>
      </c>
      <c r="M148" s="414">
        <f t="shared" si="73"/>
        <v>0</v>
      </c>
      <c r="N148" s="329">
        <f t="shared" si="82"/>
        <v>0</v>
      </c>
      <c r="O148" s="35">
        <f t="shared" si="74"/>
        <v>35.809999999999128</v>
      </c>
      <c r="P148" s="414">
        <f t="shared" si="75"/>
        <v>0.01</v>
      </c>
      <c r="Q148" s="329">
        <f t="shared" si="83"/>
        <v>0</v>
      </c>
      <c r="R148" s="35">
        <f t="shared" si="76"/>
        <v>0</v>
      </c>
      <c r="S148" s="414">
        <f t="shared" si="77"/>
        <v>0</v>
      </c>
      <c r="T148" s="880">
        <f>[5]Sheet1!$B562</f>
        <v>5.4276E-5</v>
      </c>
      <c r="U148" s="10">
        <f t="shared" si="85"/>
        <v>43703</v>
      </c>
      <c r="V148" s="881">
        <f t="shared" si="84"/>
        <v>1.981074E-2</v>
      </c>
    </row>
    <row r="149" spans="1:22" x14ac:dyDescent="0.25">
      <c r="A149" s="335">
        <f>A148+1</f>
        <v>43704</v>
      </c>
      <c r="B149" s="329">
        <f t="shared" si="78"/>
        <v>0</v>
      </c>
      <c r="C149" s="338">
        <f t="shared" si="66"/>
        <v>70275.409999999072</v>
      </c>
      <c r="D149" s="414">
        <f t="shared" si="67"/>
        <v>3.81</v>
      </c>
      <c r="E149" s="49">
        <f t="shared" si="79"/>
        <v>0</v>
      </c>
      <c r="F149" s="35">
        <f t="shared" si="68"/>
        <v>0</v>
      </c>
      <c r="G149" s="414">
        <f t="shared" si="69"/>
        <v>0</v>
      </c>
      <c r="H149" s="49">
        <f t="shared" si="80"/>
        <v>0</v>
      </c>
      <c r="I149" s="35">
        <f t="shared" si="70"/>
        <v>34776.780000000144</v>
      </c>
      <c r="J149" s="414">
        <f t="shared" si="71"/>
        <v>1.89</v>
      </c>
      <c r="K149" s="329">
        <f t="shared" si="81"/>
        <v>0</v>
      </c>
      <c r="L149" s="35">
        <f t="shared" si="72"/>
        <v>0</v>
      </c>
      <c r="M149" s="414">
        <f t="shared" si="73"/>
        <v>0</v>
      </c>
      <c r="N149" s="329">
        <f t="shared" si="82"/>
        <v>0</v>
      </c>
      <c r="O149" s="35">
        <f t="shared" si="74"/>
        <v>35.809999999999128</v>
      </c>
      <c r="P149" s="414">
        <f t="shared" si="75"/>
        <v>0</v>
      </c>
      <c r="Q149" s="329">
        <f t="shared" si="83"/>
        <v>0</v>
      </c>
      <c r="R149" s="35">
        <f t="shared" si="76"/>
        <v>0</v>
      </c>
      <c r="S149" s="414">
        <f t="shared" si="77"/>
        <v>0</v>
      </c>
      <c r="T149" s="880">
        <f>[5]Sheet1!$B563</f>
        <v>5.4898000000000002E-5</v>
      </c>
      <c r="U149" s="10">
        <f t="shared" si="85"/>
        <v>43704</v>
      </c>
      <c r="V149" s="881">
        <f t="shared" si="84"/>
        <v>2.003777E-2</v>
      </c>
    </row>
    <row r="150" spans="1:22" x14ac:dyDescent="0.25">
      <c r="A150" s="335">
        <f>A149+1</f>
        <v>43705</v>
      </c>
      <c r="B150" s="329">
        <f t="shared" si="78"/>
        <v>0</v>
      </c>
      <c r="C150" s="338">
        <f t="shared" si="66"/>
        <v>70275.409999999072</v>
      </c>
      <c r="D150" s="414">
        <f t="shared" si="67"/>
        <v>3.86</v>
      </c>
      <c r="E150" s="49">
        <f t="shared" si="79"/>
        <v>0</v>
      </c>
      <c r="F150" s="35">
        <f t="shared" si="68"/>
        <v>0</v>
      </c>
      <c r="G150" s="414">
        <f t="shared" si="69"/>
        <v>0</v>
      </c>
      <c r="H150" s="49">
        <f t="shared" si="80"/>
        <v>0</v>
      </c>
      <c r="I150" s="35">
        <f t="shared" si="70"/>
        <v>34776.780000000144</v>
      </c>
      <c r="J150" s="414">
        <f t="shared" si="71"/>
        <v>1.91</v>
      </c>
      <c r="K150" s="329">
        <f t="shared" si="81"/>
        <v>0</v>
      </c>
      <c r="L150" s="35">
        <f t="shared" si="72"/>
        <v>0</v>
      </c>
      <c r="M150" s="414">
        <f t="shared" si="73"/>
        <v>0</v>
      </c>
      <c r="N150" s="329">
        <f t="shared" si="82"/>
        <v>0</v>
      </c>
      <c r="O150" s="35">
        <f t="shared" si="74"/>
        <v>35.809999999999128</v>
      </c>
      <c r="P150" s="414">
        <f t="shared" si="75"/>
        <v>0</v>
      </c>
      <c r="Q150" s="329">
        <f t="shared" si="83"/>
        <v>0</v>
      </c>
      <c r="R150" s="35">
        <f t="shared" si="76"/>
        <v>0</v>
      </c>
      <c r="S150" s="414">
        <f t="shared" si="77"/>
        <v>0</v>
      </c>
      <c r="T150" s="880">
        <f>[5]Sheet1!$B564</f>
        <v>5.4793000000000002E-5</v>
      </c>
      <c r="U150" s="10">
        <f t="shared" si="85"/>
        <v>43705</v>
      </c>
      <c r="V150" s="881">
        <f t="shared" si="84"/>
        <v>1.9999445000000001E-2</v>
      </c>
    </row>
    <row r="151" spans="1:22" x14ac:dyDescent="0.25">
      <c r="A151" s="335">
        <f>A150+1</f>
        <v>43706</v>
      </c>
      <c r="B151" s="329">
        <f t="shared" si="78"/>
        <v>0</v>
      </c>
      <c r="C151" s="338">
        <f t="shared" si="66"/>
        <v>70275.409999999072</v>
      </c>
      <c r="D151" s="414">
        <f t="shared" si="67"/>
        <v>3.85</v>
      </c>
      <c r="E151" s="49">
        <f t="shared" si="79"/>
        <v>0</v>
      </c>
      <c r="F151" s="35">
        <f t="shared" si="68"/>
        <v>0</v>
      </c>
      <c r="G151" s="414">
        <f t="shared" si="69"/>
        <v>0</v>
      </c>
      <c r="H151" s="49">
        <f t="shared" si="80"/>
        <v>0</v>
      </c>
      <c r="I151" s="35">
        <f t="shared" si="70"/>
        <v>34776.780000000144</v>
      </c>
      <c r="J151" s="414">
        <f t="shared" si="71"/>
        <v>1.91</v>
      </c>
      <c r="K151" s="329">
        <f t="shared" si="81"/>
        <v>0</v>
      </c>
      <c r="L151" s="35">
        <f t="shared" si="72"/>
        <v>0</v>
      </c>
      <c r="M151" s="414">
        <f t="shared" si="73"/>
        <v>0</v>
      </c>
      <c r="N151" s="329">
        <f t="shared" si="82"/>
        <v>0</v>
      </c>
      <c r="O151" s="35">
        <f t="shared" si="74"/>
        <v>35.809999999999128</v>
      </c>
      <c r="P151" s="414">
        <f t="shared" si="75"/>
        <v>0</v>
      </c>
      <c r="Q151" s="329">
        <f t="shared" si="83"/>
        <v>0</v>
      </c>
      <c r="R151" s="35">
        <f t="shared" si="76"/>
        <v>0</v>
      </c>
      <c r="S151" s="414">
        <f t="shared" si="77"/>
        <v>0</v>
      </c>
      <c r="T151" s="880">
        <f>[5]Sheet1!$B565</f>
        <v>5.4589000000000002E-5</v>
      </c>
      <c r="U151" s="10">
        <f t="shared" si="85"/>
        <v>43706</v>
      </c>
      <c r="V151" s="881">
        <f t="shared" si="84"/>
        <v>1.9924984999999999E-2</v>
      </c>
    </row>
    <row r="152" spans="1:22" x14ac:dyDescent="0.25">
      <c r="A152" s="335">
        <f>A151+1</f>
        <v>43707</v>
      </c>
      <c r="B152" s="329">
        <f t="shared" si="78"/>
        <v>0</v>
      </c>
      <c r="C152" s="338">
        <f t="shared" si="66"/>
        <v>70275.409999999072</v>
      </c>
      <c r="D152" s="414">
        <f t="shared" si="67"/>
        <v>3.84</v>
      </c>
      <c r="E152" s="49">
        <f t="shared" si="79"/>
        <v>0</v>
      </c>
      <c r="F152" s="35">
        <f t="shared" si="68"/>
        <v>0</v>
      </c>
      <c r="G152" s="414">
        <f t="shared" si="69"/>
        <v>0</v>
      </c>
      <c r="H152" s="49">
        <f t="shared" si="80"/>
        <v>0</v>
      </c>
      <c r="I152" s="35">
        <f t="shared" si="70"/>
        <v>34776.780000000144</v>
      </c>
      <c r="J152" s="414">
        <f t="shared" si="71"/>
        <v>1.9</v>
      </c>
      <c r="K152" s="329">
        <f t="shared" si="81"/>
        <v>0</v>
      </c>
      <c r="L152" s="35">
        <f t="shared" si="72"/>
        <v>0</v>
      </c>
      <c r="M152" s="414">
        <f t="shared" si="73"/>
        <v>0</v>
      </c>
      <c r="N152" s="329">
        <f t="shared" si="82"/>
        <v>0</v>
      </c>
      <c r="O152" s="35">
        <f t="shared" si="74"/>
        <v>35.809999999999128</v>
      </c>
      <c r="P152" s="414">
        <f t="shared" si="75"/>
        <v>0</v>
      </c>
      <c r="Q152" s="329">
        <f t="shared" si="83"/>
        <v>0</v>
      </c>
      <c r="R152" s="35">
        <f t="shared" si="76"/>
        <v>0</v>
      </c>
      <c r="S152" s="414">
        <f t="shared" si="77"/>
        <v>0</v>
      </c>
      <c r="T152" s="880">
        <f>[5]Sheet1!$B566</f>
        <v>5.4965E-5</v>
      </c>
      <c r="U152" s="10">
        <f t="shared" si="85"/>
        <v>43707</v>
      </c>
      <c r="V152" s="881">
        <f t="shared" si="84"/>
        <v>2.0062225E-2</v>
      </c>
    </row>
    <row r="153" spans="1:22" x14ac:dyDescent="0.25">
      <c r="A153" s="995">
        <f>A152+1</f>
        <v>43708</v>
      </c>
      <c r="B153" s="329">
        <f t="shared" si="78"/>
        <v>0</v>
      </c>
      <c r="C153" s="338">
        <f t="shared" si="66"/>
        <v>70275.409999999072</v>
      </c>
      <c r="D153" s="414">
        <f t="shared" si="67"/>
        <v>3.86</v>
      </c>
      <c r="E153" s="49">
        <f t="shared" si="79"/>
        <v>0</v>
      </c>
      <c r="F153" s="35">
        <f t="shared" si="68"/>
        <v>0</v>
      </c>
      <c r="G153" s="414">
        <f t="shared" si="69"/>
        <v>0</v>
      </c>
      <c r="H153" s="49">
        <f t="shared" si="80"/>
        <v>0</v>
      </c>
      <c r="I153" s="35">
        <f t="shared" si="70"/>
        <v>34776.780000000144</v>
      </c>
      <c r="J153" s="414">
        <f t="shared" si="71"/>
        <v>1.91</v>
      </c>
      <c r="K153" s="329">
        <f t="shared" si="81"/>
        <v>0</v>
      </c>
      <c r="L153" s="35">
        <f t="shared" si="72"/>
        <v>0</v>
      </c>
      <c r="M153" s="414">
        <f t="shared" si="73"/>
        <v>0</v>
      </c>
      <c r="N153" s="329">
        <f t="shared" si="82"/>
        <v>0</v>
      </c>
      <c r="O153" s="35">
        <f t="shared" si="74"/>
        <v>35.809999999999128</v>
      </c>
      <c r="P153" s="414">
        <f t="shared" si="75"/>
        <v>0</v>
      </c>
      <c r="Q153" s="329">
        <f t="shared" si="83"/>
        <v>0</v>
      </c>
      <c r="R153" s="35">
        <f t="shared" si="76"/>
        <v>0</v>
      </c>
      <c r="S153" s="414">
        <f t="shared" si="77"/>
        <v>0</v>
      </c>
      <c r="T153" s="880">
        <f>[5]Sheet1!$B567</f>
        <v>5.4965E-5</v>
      </c>
      <c r="U153" s="10">
        <f t="shared" si="85"/>
        <v>43708</v>
      </c>
      <c r="V153" s="881">
        <f t="shared" si="84"/>
        <v>1.00311125E-2</v>
      </c>
    </row>
    <row r="154" spans="1:22" x14ac:dyDescent="0.25">
      <c r="A154" s="336">
        <v>43710</v>
      </c>
      <c r="B154" s="329">
        <f t="shared" si="78"/>
        <v>0</v>
      </c>
      <c r="C154" s="338">
        <f t="shared" si="66"/>
        <v>70275.409999999072</v>
      </c>
      <c r="D154" s="414">
        <f t="shared" si="67"/>
        <v>3.86</v>
      </c>
      <c r="E154" s="49">
        <f t="shared" si="79"/>
        <v>0</v>
      </c>
      <c r="F154" s="35">
        <f t="shared" si="68"/>
        <v>0</v>
      </c>
      <c r="G154" s="414">
        <f t="shared" si="69"/>
        <v>0</v>
      </c>
      <c r="H154" s="49">
        <f t="shared" si="80"/>
        <v>0</v>
      </c>
      <c r="I154" s="35">
        <f t="shared" si="70"/>
        <v>34776.780000000144</v>
      </c>
      <c r="J154" s="414">
        <f t="shared" si="71"/>
        <v>1.91</v>
      </c>
      <c r="K154" s="329">
        <f t="shared" si="81"/>
        <v>0</v>
      </c>
      <c r="L154" s="35">
        <f t="shared" si="72"/>
        <v>0</v>
      </c>
      <c r="M154" s="414">
        <f t="shared" si="73"/>
        <v>0</v>
      </c>
      <c r="N154" s="329">
        <f t="shared" si="82"/>
        <v>0</v>
      </c>
      <c r="O154" s="35">
        <f t="shared" si="74"/>
        <v>35.809999999999128</v>
      </c>
      <c r="P154" s="414">
        <f t="shared" si="75"/>
        <v>0</v>
      </c>
      <c r="Q154" s="329">
        <f t="shared" si="83"/>
        <v>0</v>
      </c>
      <c r="R154" s="35">
        <f t="shared" si="76"/>
        <v>0</v>
      </c>
      <c r="S154" s="414">
        <f t="shared" si="77"/>
        <v>0</v>
      </c>
      <c r="T154" s="880">
        <f>[5]Sheet1!$B568</f>
        <v>1.0993E-4</v>
      </c>
      <c r="U154" s="10">
        <f t="shared" si="85"/>
        <v>43710</v>
      </c>
      <c r="V154" s="881">
        <f t="shared" si="84"/>
        <v>4.0124449999999999E-2</v>
      </c>
    </row>
    <row r="155" spans="1:22" x14ac:dyDescent="0.25">
      <c r="A155" s="996">
        <f>A154+1</f>
        <v>43711</v>
      </c>
      <c r="B155" s="329">
        <f t="shared" si="78"/>
        <v>0</v>
      </c>
      <c r="C155" s="338">
        <f t="shared" si="66"/>
        <v>70275.409999999072</v>
      </c>
      <c r="D155" s="414">
        <f t="shared" si="67"/>
        <v>7.73</v>
      </c>
      <c r="E155" s="49">
        <f t="shared" si="79"/>
        <v>0</v>
      </c>
      <c r="F155" s="35">
        <f t="shared" si="68"/>
        <v>0</v>
      </c>
      <c r="G155" s="414">
        <f t="shared" si="69"/>
        <v>0</v>
      </c>
      <c r="H155" s="49">
        <f t="shared" si="80"/>
        <v>0</v>
      </c>
      <c r="I155" s="35">
        <f t="shared" si="70"/>
        <v>34776.780000000144</v>
      </c>
      <c r="J155" s="414">
        <f t="shared" si="71"/>
        <v>3.82</v>
      </c>
      <c r="K155" s="329">
        <f t="shared" si="81"/>
        <v>0</v>
      </c>
      <c r="L155" s="35">
        <f t="shared" si="72"/>
        <v>0</v>
      </c>
      <c r="M155" s="414">
        <f t="shared" si="73"/>
        <v>0</v>
      </c>
      <c r="N155" s="329">
        <f t="shared" si="82"/>
        <v>0</v>
      </c>
      <c r="O155" s="35">
        <f t="shared" si="74"/>
        <v>35.809999999999128</v>
      </c>
      <c r="P155" s="414">
        <f t="shared" si="75"/>
        <v>0</v>
      </c>
      <c r="Q155" s="329">
        <f t="shared" si="83"/>
        <v>0</v>
      </c>
      <c r="R155" s="35">
        <f t="shared" si="76"/>
        <v>0</v>
      </c>
      <c r="S155" s="414">
        <f t="shared" si="77"/>
        <v>0</v>
      </c>
      <c r="T155" s="880">
        <f>[5]Sheet1!$B569</f>
        <v>5.4589999999999997E-5</v>
      </c>
      <c r="U155" s="10">
        <f t="shared" si="85"/>
        <v>43711</v>
      </c>
      <c r="V155" s="881">
        <f t="shared" si="84"/>
        <v>1.9925349999999998E-2</v>
      </c>
    </row>
    <row r="156" spans="1:22" x14ac:dyDescent="0.25">
      <c r="A156" s="335">
        <f>A155+1</f>
        <v>43712</v>
      </c>
      <c r="B156" s="329">
        <f t="shared" si="78"/>
        <v>167.37</v>
      </c>
      <c r="C156" s="338">
        <f t="shared" si="66"/>
        <v>70442.779999999068</v>
      </c>
      <c r="D156" s="414">
        <f t="shared" si="67"/>
        <v>3.84</v>
      </c>
      <c r="E156" s="49">
        <f t="shared" si="79"/>
        <v>0</v>
      </c>
      <c r="F156" s="35">
        <f t="shared" si="68"/>
        <v>0</v>
      </c>
      <c r="G156" s="414">
        <f t="shared" si="69"/>
        <v>0</v>
      </c>
      <c r="H156" s="49">
        <f t="shared" si="80"/>
        <v>57.85</v>
      </c>
      <c r="I156" s="35">
        <f t="shared" si="70"/>
        <v>34834.630000000143</v>
      </c>
      <c r="J156" s="414">
        <f t="shared" si="71"/>
        <v>1.9</v>
      </c>
      <c r="K156" s="329">
        <f t="shared" si="81"/>
        <v>0</v>
      </c>
      <c r="L156" s="35">
        <f t="shared" si="72"/>
        <v>0</v>
      </c>
      <c r="M156" s="414">
        <f t="shared" si="73"/>
        <v>0</v>
      </c>
      <c r="N156" s="329">
        <f t="shared" si="82"/>
        <v>0.04</v>
      </c>
      <c r="O156" s="35">
        <f t="shared" si="74"/>
        <v>35.849999999999127</v>
      </c>
      <c r="P156" s="414">
        <f t="shared" si="75"/>
        <v>0</v>
      </c>
      <c r="Q156" s="329">
        <f t="shared" si="83"/>
        <v>0</v>
      </c>
      <c r="R156" s="35">
        <f t="shared" si="76"/>
        <v>0</v>
      </c>
      <c r="S156" s="414">
        <f t="shared" si="77"/>
        <v>0</v>
      </c>
      <c r="T156" s="880">
        <f>[5]Sheet1!$B570</f>
        <v>5.5986000000000002E-5</v>
      </c>
      <c r="U156" s="10">
        <f t="shared" si="85"/>
        <v>43712</v>
      </c>
      <c r="V156" s="881">
        <f t="shared" si="84"/>
        <v>2.0434890000000001E-2</v>
      </c>
    </row>
    <row r="157" spans="1:22" x14ac:dyDescent="0.25">
      <c r="A157" s="335">
        <f>A156+1</f>
        <v>43713</v>
      </c>
      <c r="B157" s="329">
        <f t="shared" si="78"/>
        <v>0</v>
      </c>
      <c r="C157" s="338">
        <f t="shared" si="66"/>
        <v>70442.779999999068</v>
      </c>
      <c r="D157" s="414">
        <f t="shared" si="67"/>
        <v>3.94</v>
      </c>
      <c r="E157" s="49">
        <f t="shared" si="79"/>
        <v>0</v>
      </c>
      <c r="F157" s="35">
        <f t="shared" si="68"/>
        <v>0</v>
      </c>
      <c r="G157" s="414">
        <f t="shared" si="69"/>
        <v>0</v>
      </c>
      <c r="H157" s="49">
        <f t="shared" si="80"/>
        <v>0</v>
      </c>
      <c r="I157" s="35">
        <f t="shared" si="70"/>
        <v>34834.630000000143</v>
      </c>
      <c r="J157" s="414">
        <f t="shared" si="71"/>
        <v>1.95</v>
      </c>
      <c r="K157" s="329">
        <f t="shared" si="81"/>
        <v>0</v>
      </c>
      <c r="L157" s="35">
        <f t="shared" si="72"/>
        <v>0</v>
      </c>
      <c r="M157" s="414">
        <f t="shared" si="73"/>
        <v>0</v>
      </c>
      <c r="N157" s="329">
        <f t="shared" si="82"/>
        <v>0</v>
      </c>
      <c r="O157" s="35">
        <f t="shared" si="74"/>
        <v>35.849999999999127</v>
      </c>
      <c r="P157" s="414">
        <f t="shared" si="75"/>
        <v>0</v>
      </c>
      <c r="Q157" s="329">
        <f t="shared" si="83"/>
        <v>0</v>
      </c>
      <c r="R157" s="35">
        <f t="shared" si="76"/>
        <v>0</v>
      </c>
      <c r="S157" s="414">
        <f t="shared" si="77"/>
        <v>0</v>
      </c>
      <c r="T157" s="880">
        <f>[5]Sheet1!$B571</f>
        <v>5.5986000000000002E-5</v>
      </c>
      <c r="U157" s="10">
        <f t="shared" si="85"/>
        <v>43713</v>
      </c>
      <c r="V157" s="881">
        <f t="shared" si="84"/>
        <v>2.0434890000000001E-2</v>
      </c>
    </row>
    <row r="158" spans="1:22" x14ac:dyDescent="0.25">
      <c r="A158" s="335">
        <f>A157+1</f>
        <v>43714</v>
      </c>
      <c r="B158" s="329">
        <f t="shared" si="78"/>
        <v>0</v>
      </c>
      <c r="C158" s="338">
        <f t="shared" si="66"/>
        <v>70442.779999999068</v>
      </c>
      <c r="D158" s="414">
        <f t="shared" si="67"/>
        <v>3.94</v>
      </c>
      <c r="E158" s="49">
        <f t="shared" si="79"/>
        <v>0</v>
      </c>
      <c r="F158" s="35">
        <f t="shared" si="68"/>
        <v>0</v>
      </c>
      <c r="G158" s="414">
        <f t="shared" si="69"/>
        <v>0</v>
      </c>
      <c r="H158" s="49">
        <f t="shared" si="80"/>
        <v>0</v>
      </c>
      <c r="I158" s="35">
        <f t="shared" si="70"/>
        <v>34834.630000000143</v>
      </c>
      <c r="J158" s="414">
        <f t="shared" si="71"/>
        <v>1.95</v>
      </c>
      <c r="K158" s="329">
        <f t="shared" si="81"/>
        <v>0</v>
      </c>
      <c r="L158" s="35">
        <f t="shared" si="72"/>
        <v>0</v>
      </c>
      <c r="M158" s="414">
        <f t="shared" si="73"/>
        <v>0</v>
      </c>
      <c r="N158" s="329">
        <f t="shared" si="82"/>
        <v>0</v>
      </c>
      <c r="O158" s="35">
        <f t="shared" si="74"/>
        <v>35.849999999999127</v>
      </c>
      <c r="P158" s="414">
        <f t="shared" si="75"/>
        <v>0</v>
      </c>
      <c r="Q158" s="329">
        <f t="shared" si="83"/>
        <v>0</v>
      </c>
      <c r="R158" s="35">
        <f t="shared" si="76"/>
        <v>0</v>
      </c>
      <c r="S158" s="414">
        <f t="shared" si="77"/>
        <v>0</v>
      </c>
      <c r="T158" s="880">
        <f>[5]Sheet1!$B572</f>
        <v>1.66572E-4</v>
      </c>
      <c r="U158" s="10">
        <f t="shared" si="85"/>
        <v>43714</v>
      </c>
      <c r="V158" s="881">
        <f t="shared" si="84"/>
        <v>2.0266260000000001E-2</v>
      </c>
    </row>
    <row r="159" spans="1:22" x14ac:dyDescent="0.25">
      <c r="A159" s="335">
        <v>43717</v>
      </c>
      <c r="B159" s="329">
        <f t="shared" si="78"/>
        <v>0</v>
      </c>
      <c r="C159" s="338">
        <f t="shared" si="66"/>
        <v>70442.779999999068</v>
      </c>
      <c r="D159" s="414">
        <f t="shared" si="67"/>
        <v>11.73</v>
      </c>
      <c r="E159" s="49">
        <f t="shared" si="79"/>
        <v>0</v>
      </c>
      <c r="F159" s="35">
        <f t="shared" si="68"/>
        <v>0</v>
      </c>
      <c r="G159" s="414">
        <f t="shared" si="69"/>
        <v>0</v>
      </c>
      <c r="H159" s="49">
        <f t="shared" si="80"/>
        <v>0</v>
      </c>
      <c r="I159" s="35">
        <f t="shared" si="70"/>
        <v>34834.630000000143</v>
      </c>
      <c r="J159" s="414">
        <f t="shared" si="71"/>
        <v>5.8</v>
      </c>
      <c r="K159" s="329">
        <f t="shared" si="81"/>
        <v>0</v>
      </c>
      <c r="L159" s="35">
        <f t="shared" si="72"/>
        <v>0</v>
      </c>
      <c r="M159" s="414">
        <f t="shared" si="73"/>
        <v>0</v>
      </c>
      <c r="N159" s="329">
        <f t="shared" si="82"/>
        <v>0</v>
      </c>
      <c r="O159" s="35">
        <f t="shared" si="74"/>
        <v>35.849999999999127</v>
      </c>
      <c r="P159" s="414">
        <f t="shared" si="75"/>
        <v>0.01</v>
      </c>
      <c r="Q159" s="329">
        <f t="shared" si="83"/>
        <v>0</v>
      </c>
      <c r="R159" s="35">
        <f t="shared" si="76"/>
        <v>0</v>
      </c>
      <c r="S159" s="414">
        <f t="shared" si="77"/>
        <v>0</v>
      </c>
      <c r="T159" s="880">
        <f>[5]Sheet1!$B573</f>
        <v>5.4521000000000002E-5</v>
      </c>
      <c r="U159" s="10">
        <f t="shared" si="85"/>
        <v>43717</v>
      </c>
      <c r="V159" s="881">
        <f t="shared" si="84"/>
        <v>1.9900165000000001E-2</v>
      </c>
    </row>
    <row r="160" spans="1:22" x14ac:dyDescent="0.25">
      <c r="A160" s="996">
        <f>A159+1</f>
        <v>43718</v>
      </c>
      <c r="B160" s="329">
        <f t="shared" si="78"/>
        <v>0</v>
      </c>
      <c r="C160" s="338">
        <f t="shared" si="66"/>
        <v>70442.779999999068</v>
      </c>
      <c r="D160" s="414">
        <f t="shared" si="67"/>
        <v>3.84</v>
      </c>
      <c r="E160" s="49">
        <f t="shared" si="79"/>
        <v>0</v>
      </c>
      <c r="F160" s="35">
        <f t="shared" si="68"/>
        <v>0</v>
      </c>
      <c r="G160" s="414">
        <f t="shared" si="69"/>
        <v>0</v>
      </c>
      <c r="H160" s="49">
        <f t="shared" si="80"/>
        <v>0</v>
      </c>
      <c r="I160" s="35">
        <f t="shared" si="70"/>
        <v>34834.630000000143</v>
      </c>
      <c r="J160" s="414">
        <f t="shared" si="71"/>
        <v>1.9</v>
      </c>
      <c r="K160" s="329">
        <f t="shared" si="81"/>
        <v>0</v>
      </c>
      <c r="L160" s="35">
        <f t="shared" si="72"/>
        <v>0</v>
      </c>
      <c r="M160" s="414">
        <f t="shared" si="73"/>
        <v>0</v>
      </c>
      <c r="N160" s="329">
        <f t="shared" si="82"/>
        <v>0</v>
      </c>
      <c r="O160" s="35">
        <f t="shared" si="74"/>
        <v>35.849999999999127</v>
      </c>
      <c r="P160" s="414">
        <f t="shared" si="75"/>
        <v>0</v>
      </c>
      <c r="Q160" s="329">
        <f t="shared" si="83"/>
        <v>0</v>
      </c>
      <c r="R160" s="35">
        <f t="shared" si="76"/>
        <v>0</v>
      </c>
      <c r="S160" s="414">
        <f t="shared" si="77"/>
        <v>0</v>
      </c>
      <c r="T160" s="880">
        <f>[5]Sheet1!$B574</f>
        <v>5.4920000000000003E-5</v>
      </c>
      <c r="U160" s="10">
        <f t="shared" si="85"/>
        <v>43718</v>
      </c>
      <c r="V160" s="881">
        <f t="shared" si="84"/>
        <v>2.0045800000000003E-2</v>
      </c>
    </row>
    <row r="161" spans="1:22" x14ac:dyDescent="0.25">
      <c r="A161" s="996">
        <f>A160+1</f>
        <v>43719</v>
      </c>
      <c r="B161" s="329">
        <f t="shared" si="78"/>
        <v>0</v>
      </c>
      <c r="C161" s="338">
        <f t="shared" si="66"/>
        <v>70442.779999999068</v>
      </c>
      <c r="D161" s="414">
        <f t="shared" si="67"/>
        <v>3.87</v>
      </c>
      <c r="E161" s="49">
        <f t="shared" si="79"/>
        <v>0</v>
      </c>
      <c r="F161" s="35">
        <f t="shared" si="68"/>
        <v>0</v>
      </c>
      <c r="G161" s="414">
        <f t="shared" si="69"/>
        <v>0</v>
      </c>
      <c r="H161" s="49">
        <f t="shared" si="80"/>
        <v>0</v>
      </c>
      <c r="I161" s="35">
        <f t="shared" si="70"/>
        <v>34834.630000000143</v>
      </c>
      <c r="J161" s="414">
        <f t="shared" si="71"/>
        <v>1.91</v>
      </c>
      <c r="K161" s="329">
        <f t="shared" si="81"/>
        <v>0</v>
      </c>
      <c r="L161" s="35">
        <f t="shared" si="72"/>
        <v>0</v>
      </c>
      <c r="M161" s="414">
        <f t="shared" si="73"/>
        <v>0</v>
      </c>
      <c r="N161" s="329">
        <f t="shared" si="82"/>
        <v>0</v>
      </c>
      <c r="O161" s="35">
        <f t="shared" si="74"/>
        <v>35.849999999999127</v>
      </c>
      <c r="P161" s="414">
        <f t="shared" si="75"/>
        <v>0</v>
      </c>
      <c r="Q161" s="329">
        <f t="shared" si="83"/>
        <v>0</v>
      </c>
      <c r="R161" s="35">
        <f t="shared" si="76"/>
        <v>0</v>
      </c>
      <c r="S161" s="414">
        <f t="shared" si="77"/>
        <v>0</v>
      </c>
      <c r="T161" s="880">
        <f>[5]Sheet1!$B575</f>
        <v>5.5130000000000002E-5</v>
      </c>
      <c r="U161" s="10">
        <f t="shared" si="85"/>
        <v>43719</v>
      </c>
      <c r="V161" s="881">
        <f t="shared" si="84"/>
        <v>2.012245E-2</v>
      </c>
    </row>
    <row r="162" spans="1:22" x14ac:dyDescent="0.25">
      <c r="A162" s="996">
        <f>A161+1</f>
        <v>43720</v>
      </c>
      <c r="B162" s="329">
        <f t="shared" si="78"/>
        <v>0</v>
      </c>
      <c r="C162" s="338">
        <f t="shared" si="66"/>
        <v>70442.779999999068</v>
      </c>
      <c r="D162" s="414">
        <f t="shared" si="67"/>
        <v>3.88</v>
      </c>
      <c r="E162" s="49">
        <f t="shared" si="79"/>
        <v>0</v>
      </c>
      <c r="F162" s="35">
        <f t="shared" si="68"/>
        <v>0</v>
      </c>
      <c r="G162" s="414">
        <f t="shared" si="69"/>
        <v>0</v>
      </c>
      <c r="H162" s="49">
        <f t="shared" si="80"/>
        <v>0</v>
      </c>
      <c r="I162" s="35">
        <f t="shared" si="70"/>
        <v>34834.630000000143</v>
      </c>
      <c r="J162" s="414">
        <f t="shared" si="71"/>
        <v>1.92</v>
      </c>
      <c r="K162" s="329">
        <f t="shared" si="81"/>
        <v>0</v>
      </c>
      <c r="L162" s="35">
        <f t="shared" si="72"/>
        <v>0</v>
      </c>
      <c r="M162" s="414">
        <f t="shared" si="73"/>
        <v>0</v>
      </c>
      <c r="N162" s="329">
        <f t="shared" si="82"/>
        <v>0</v>
      </c>
      <c r="O162" s="35">
        <f t="shared" si="74"/>
        <v>35.849999999999127</v>
      </c>
      <c r="P162" s="414">
        <f t="shared" si="75"/>
        <v>0</v>
      </c>
      <c r="Q162" s="329">
        <f t="shared" si="83"/>
        <v>0</v>
      </c>
      <c r="R162" s="35">
        <f t="shared" si="76"/>
        <v>0</v>
      </c>
      <c r="S162" s="414">
        <f t="shared" si="77"/>
        <v>0</v>
      </c>
      <c r="T162" s="880">
        <f>[5]Sheet1!$B576</f>
        <v>5.5454999999999997E-5</v>
      </c>
      <c r="U162" s="10">
        <f t="shared" si="85"/>
        <v>43720</v>
      </c>
      <c r="V162" s="881">
        <f t="shared" si="84"/>
        <v>2.0241074999999997E-2</v>
      </c>
    </row>
    <row r="163" spans="1:22" x14ac:dyDescent="0.25">
      <c r="A163" s="996">
        <f>A162+1</f>
        <v>43721</v>
      </c>
      <c r="B163" s="329">
        <f t="shared" si="78"/>
        <v>0</v>
      </c>
      <c r="C163" s="338">
        <f t="shared" si="66"/>
        <v>70442.779999999068</v>
      </c>
      <c r="D163" s="414">
        <f t="shared" si="67"/>
        <v>3.91</v>
      </c>
      <c r="E163" s="49">
        <f t="shared" si="79"/>
        <v>0</v>
      </c>
      <c r="F163" s="35">
        <f t="shared" si="68"/>
        <v>0</v>
      </c>
      <c r="G163" s="414">
        <f t="shared" si="69"/>
        <v>0</v>
      </c>
      <c r="H163" s="49">
        <f t="shared" si="80"/>
        <v>0</v>
      </c>
      <c r="I163" s="35">
        <f t="shared" si="70"/>
        <v>34834.630000000143</v>
      </c>
      <c r="J163" s="414">
        <f t="shared" si="71"/>
        <v>1.93</v>
      </c>
      <c r="K163" s="329">
        <f t="shared" si="81"/>
        <v>0</v>
      </c>
      <c r="L163" s="35">
        <f t="shared" si="72"/>
        <v>0</v>
      </c>
      <c r="M163" s="414">
        <f t="shared" si="73"/>
        <v>0</v>
      </c>
      <c r="N163" s="329">
        <f t="shared" si="82"/>
        <v>0</v>
      </c>
      <c r="O163" s="35">
        <f t="shared" si="74"/>
        <v>35.849999999999127</v>
      </c>
      <c r="P163" s="414">
        <f t="shared" si="75"/>
        <v>0</v>
      </c>
      <c r="Q163" s="329">
        <f t="shared" si="83"/>
        <v>0</v>
      </c>
      <c r="R163" s="35">
        <f t="shared" si="76"/>
        <v>0</v>
      </c>
      <c r="S163" s="414">
        <f t="shared" si="77"/>
        <v>0</v>
      </c>
      <c r="T163" s="880">
        <f>[5]Sheet1!$B577</f>
        <v>1.6692500000000001E-4</v>
      </c>
      <c r="U163" s="10">
        <f t="shared" si="85"/>
        <v>43721</v>
      </c>
      <c r="V163" s="881">
        <f t="shared" si="84"/>
        <v>2.0309208333333332E-2</v>
      </c>
    </row>
    <row r="164" spans="1:22" x14ac:dyDescent="0.25">
      <c r="A164" s="336">
        <f>A163+3</f>
        <v>43724</v>
      </c>
      <c r="B164" s="329">
        <f t="shared" si="78"/>
        <v>-55346.44</v>
      </c>
      <c r="C164" s="338">
        <f t="shared" si="66"/>
        <v>15096.339999999065</v>
      </c>
      <c r="D164" s="414">
        <f t="shared" si="67"/>
        <v>11.76</v>
      </c>
      <c r="E164" s="49">
        <f t="shared" si="79"/>
        <v>0</v>
      </c>
      <c r="F164" s="35">
        <f t="shared" si="68"/>
        <v>0</v>
      </c>
      <c r="G164" s="414">
        <f t="shared" si="69"/>
        <v>0</v>
      </c>
      <c r="H164" s="49">
        <f t="shared" si="80"/>
        <v>0</v>
      </c>
      <c r="I164" s="35">
        <f t="shared" si="70"/>
        <v>34834.630000000143</v>
      </c>
      <c r="J164" s="414">
        <f t="shared" si="71"/>
        <v>5.81</v>
      </c>
      <c r="K164" s="329">
        <f t="shared" si="81"/>
        <v>0</v>
      </c>
      <c r="L164" s="35">
        <f t="shared" si="72"/>
        <v>0</v>
      </c>
      <c r="M164" s="414">
        <f t="shared" si="73"/>
        <v>0</v>
      </c>
      <c r="N164" s="329">
        <f t="shared" si="82"/>
        <v>0</v>
      </c>
      <c r="O164" s="35">
        <f t="shared" si="74"/>
        <v>35.849999999999127</v>
      </c>
      <c r="P164" s="414">
        <f t="shared" si="75"/>
        <v>0.01</v>
      </c>
      <c r="Q164" s="329">
        <f t="shared" si="83"/>
        <v>0</v>
      </c>
      <c r="R164" s="35">
        <f t="shared" si="76"/>
        <v>0</v>
      </c>
      <c r="S164" s="414">
        <f t="shared" si="77"/>
        <v>0</v>
      </c>
      <c r="T164" s="880">
        <f>[5]Sheet1!$B578</f>
        <v>5.8430000000000001E-5</v>
      </c>
      <c r="U164" s="10">
        <f t="shared" si="85"/>
        <v>43724</v>
      </c>
      <c r="V164" s="881">
        <f t="shared" si="84"/>
        <v>2.1326950000000001E-2</v>
      </c>
    </row>
    <row r="165" spans="1:22" x14ac:dyDescent="0.25">
      <c r="A165" s="335">
        <f>A164+1</f>
        <v>43725</v>
      </c>
      <c r="B165" s="329">
        <f t="shared" si="78"/>
        <v>0</v>
      </c>
      <c r="C165" s="338">
        <f t="shared" si="66"/>
        <v>15096.339999999065</v>
      </c>
      <c r="D165" s="414">
        <f t="shared" si="67"/>
        <v>0.88</v>
      </c>
      <c r="E165" s="49">
        <f t="shared" si="79"/>
        <v>0</v>
      </c>
      <c r="F165" s="35">
        <f t="shared" si="68"/>
        <v>0</v>
      </c>
      <c r="G165" s="414">
        <f t="shared" si="69"/>
        <v>0</v>
      </c>
      <c r="H165" s="49">
        <f t="shared" si="80"/>
        <v>0</v>
      </c>
      <c r="I165" s="35">
        <f t="shared" si="70"/>
        <v>34834.630000000143</v>
      </c>
      <c r="J165" s="414">
        <f t="shared" si="71"/>
        <v>2.04</v>
      </c>
      <c r="K165" s="329">
        <f t="shared" si="81"/>
        <v>0</v>
      </c>
      <c r="L165" s="35">
        <f t="shared" si="72"/>
        <v>0</v>
      </c>
      <c r="M165" s="414">
        <f t="shared" si="73"/>
        <v>0</v>
      </c>
      <c r="N165" s="329">
        <f t="shared" si="82"/>
        <v>0</v>
      </c>
      <c r="O165" s="35">
        <f t="shared" si="74"/>
        <v>35.849999999999127</v>
      </c>
      <c r="P165" s="414">
        <f t="shared" si="75"/>
        <v>0</v>
      </c>
      <c r="Q165" s="329">
        <f t="shared" si="83"/>
        <v>0</v>
      </c>
      <c r="R165" s="35">
        <f t="shared" si="76"/>
        <v>0</v>
      </c>
      <c r="S165" s="414">
        <f t="shared" si="77"/>
        <v>0</v>
      </c>
      <c r="T165" s="880">
        <f>[5]Sheet1!$B579</f>
        <v>9.6340000000000003E-5</v>
      </c>
      <c r="U165" s="10">
        <f t="shared" si="85"/>
        <v>43725</v>
      </c>
      <c r="V165" s="881">
        <f t="shared" si="84"/>
        <v>3.5164100000000004E-2</v>
      </c>
    </row>
    <row r="166" spans="1:22" x14ac:dyDescent="0.25">
      <c r="A166" s="335">
        <f>A165+1</f>
        <v>43726</v>
      </c>
      <c r="B166" s="329">
        <f t="shared" si="78"/>
        <v>0</v>
      </c>
      <c r="C166" s="338">
        <f t="shared" si="66"/>
        <v>15096.339999999065</v>
      </c>
      <c r="D166" s="414">
        <f t="shared" si="67"/>
        <v>1.45</v>
      </c>
      <c r="E166" s="49">
        <f t="shared" si="79"/>
        <v>0</v>
      </c>
      <c r="F166" s="35">
        <f t="shared" si="68"/>
        <v>0</v>
      </c>
      <c r="G166" s="414">
        <f t="shared" si="69"/>
        <v>0</v>
      </c>
      <c r="H166" s="49">
        <f t="shared" si="80"/>
        <v>-103.53</v>
      </c>
      <c r="I166" s="35">
        <f t="shared" si="70"/>
        <v>34731.100000000144</v>
      </c>
      <c r="J166" s="414">
        <f t="shared" si="71"/>
        <v>3.36</v>
      </c>
      <c r="K166" s="329">
        <f t="shared" si="81"/>
        <v>0</v>
      </c>
      <c r="L166" s="35">
        <f t="shared" si="72"/>
        <v>0</v>
      </c>
      <c r="M166" s="414">
        <f t="shared" si="73"/>
        <v>0</v>
      </c>
      <c r="N166" s="329">
        <f t="shared" si="82"/>
        <v>0</v>
      </c>
      <c r="O166" s="35">
        <f t="shared" si="74"/>
        <v>35.849999999999127</v>
      </c>
      <c r="P166" s="414">
        <f t="shared" si="75"/>
        <v>0</v>
      </c>
      <c r="Q166" s="329">
        <f t="shared" si="83"/>
        <v>0</v>
      </c>
      <c r="R166" s="35">
        <f t="shared" si="76"/>
        <v>0</v>
      </c>
      <c r="S166" s="414">
        <f t="shared" si="77"/>
        <v>0</v>
      </c>
      <c r="T166" s="880">
        <f>[5]Sheet1!$B580</f>
        <v>6.8062E-5</v>
      </c>
      <c r="U166" s="10">
        <f t="shared" si="85"/>
        <v>43726</v>
      </c>
      <c r="V166" s="881">
        <f t="shared" si="84"/>
        <v>2.4842630000000001E-2</v>
      </c>
    </row>
    <row r="167" spans="1:22" x14ac:dyDescent="0.25">
      <c r="A167" s="335">
        <f>A166+1</f>
        <v>43727</v>
      </c>
      <c r="B167" s="329">
        <f t="shared" si="78"/>
        <v>79150.429999999993</v>
      </c>
      <c r="C167" s="338">
        <f t="shared" si="66"/>
        <v>94246.769999999058</v>
      </c>
      <c r="D167" s="414">
        <f t="shared" si="67"/>
        <v>1.03</v>
      </c>
      <c r="E167" s="49">
        <f t="shared" si="79"/>
        <v>0</v>
      </c>
      <c r="F167" s="35">
        <f t="shared" si="68"/>
        <v>0</v>
      </c>
      <c r="G167" s="414">
        <f t="shared" si="69"/>
        <v>0</v>
      </c>
      <c r="H167" s="49">
        <f t="shared" si="80"/>
        <v>0</v>
      </c>
      <c r="I167" s="35">
        <f t="shared" si="70"/>
        <v>34731.100000000144</v>
      </c>
      <c r="J167" s="414">
        <f t="shared" si="71"/>
        <v>2.36</v>
      </c>
      <c r="K167" s="329">
        <f t="shared" si="81"/>
        <v>0</v>
      </c>
      <c r="L167" s="35">
        <f t="shared" si="72"/>
        <v>0</v>
      </c>
      <c r="M167" s="414">
        <f t="shared" si="73"/>
        <v>0</v>
      </c>
      <c r="N167" s="329">
        <f t="shared" si="82"/>
        <v>0</v>
      </c>
      <c r="O167" s="35">
        <f t="shared" si="74"/>
        <v>35.849999999999127</v>
      </c>
      <c r="P167" s="414">
        <f t="shared" si="75"/>
        <v>0</v>
      </c>
      <c r="Q167" s="329">
        <f t="shared" si="83"/>
        <v>0</v>
      </c>
      <c r="R167" s="35">
        <f t="shared" si="76"/>
        <v>0</v>
      </c>
      <c r="S167" s="414">
        <f t="shared" si="77"/>
        <v>0</v>
      </c>
      <c r="T167" s="880">
        <f>[5]Sheet1!$B581</f>
        <v>5.1907999999999998E-5</v>
      </c>
      <c r="U167" s="10">
        <f t="shared" si="85"/>
        <v>43727</v>
      </c>
      <c r="V167" s="881">
        <f t="shared" si="84"/>
        <v>1.8946419999999999E-2</v>
      </c>
    </row>
    <row r="168" spans="1:22" x14ac:dyDescent="0.25">
      <c r="A168" s="335">
        <f>A167+1</f>
        <v>43728</v>
      </c>
      <c r="B168" s="329">
        <f t="shared" si="78"/>
        <v>-26345.879999999997</v>
      </c>
      <c r="C168" s="338">
        <f t="shared" si="66"/>
        <v>67900.889999999054</v>
      </c>
      <c r="D168" s="414">
        <f t="shared" si="67"/>
        <v>4.8899999999999997</v>
      </c>
      <c r="E168" s="49">
        <f t="shared" si="79"/>
        <v>0</v>
      </c>
      <c r="F168" s="35">
        <f t="shared" si="68"/>
        <v>0</v>
      </c>
      <c r="G168" s="414">
        <f t="shared" si="69"/>
        <v>0</v>
      </c>
      <c r="H168" s="49">
        <f t="shared" si="80"/>
        <v>6312.04</v>
      </c>
      <c r="I168" s="35">
        <f t="shared" si="70"/>
        <v>41043.140000000145</v>
      </c>
      <c r="J168" s="414">
        <f t="shared" si="71"/>
        <v>1.8</v>
      </c>
      <c r="K168" s="329">
        <f t="shared" si="81"/>
        <v>0</v>
      </c>
      <c r="L168" s="35">
        <f t="shared" si="72"/>
        <v>0</v>
      </c>
      <c r="M168" s="414">
        <f t="shared" si="73"/>
        <v>0</v>
      </c>
      <c r="N168" s="329">
        <f t="shared" si="82"/>
        <v>0</v>
      </c>
      <c r="O168" s="35">
        <f t="shared" si="74"/>
        <v>35.849999999999127</v>
      </c>
      <c r="P168" s="414">
        <f t="shared" si="75"/>
        <v>0</v>
      </c>
      <c r="Q168" s="329">
        <f t="shared" si="83"/>
        <v>0</v>
      </c>
      <c r="R168" s="35">
        <f t="shared" si="76"/>
        <v>0</v>
      </c>
      <c r="S168" s="414">
        <f t="shared" si="77"/>
        <v>0</v>
      </c>
      <c r="T168" s="880">
        <f>[5]Sheet1!$B582</f>
        <v>1.5127900000000001E-4</v>
      </c>
      <c r="U168" s="10">
        <f t="shared" si="85"/>
        <v>43728</v>
      </c>
      <c r="V168" s="881">
        <f t="shared" si="84"/>
        <v>1.8405611666666669E-2</v>
      </c>
    </row>
    <row r="169" spans="1:22" x14ac:dyDescent="0.25">
      <c r="A169" s="336">
        <f>A168+3</f>
        <v>43731</v>
      </c>
      <c r="B169" s="329">
        <f t="shared" si="78"/>
        <v>231787.6</v>
      </c>
      <c r="C169" s="338">
        <f t="shared" si="66"/>
        <v>299688.48999999906</v>
      </c>
      <c r="D169" s="414">
        <f t="shared" si="67"/>
        <v>10.27</v>
      </c>
      <c r="E169" s="49">
        <f t="shared" si="79"/>
        <v>0</v>
      </c>
      <c r="F169" s="35">
        <f t="shared" si="68"/>
        <v>0</v>
      </c>
      <c r="G169" s="414">
        <f t="shared" si="69"/>
        <v>0</v>
      </c>
      <c r="H169" s="49">
        <f t="shared" si="80"/>
        <v>0</v>
      </c>
      <c r="I169" s="35">
        <f t="shared" si="70"/>
        <v>41043.140000000145</v>
      </c>
      <c r="J169" s="414">
        <f t="shared" si="71"/>
        <v>6.21</v>
      </c>
      <c r="K169" s="329">
        <f t="shared" si="81"/>
        <v>0</v>
      </c>
      <c r="L169" s="35">
        <f t="shared" si="72"/>
        <v>0</v>
      </c>
      <c r="M169" s="414">
        <f t="shared" si="73"/>
        <v>0</v>
      </c>
      <c r="N169" s="329">
        <f t="shared" si="82"/>
        <v>0</v>
      </c>
      <c r="O169" s="35">
        <f t="shared" si="74"/>
        <v>35.849999999999127</v>
      </c>
      <c r="P169" s="414">
        <f t="shared" si="75"/>
        <v>0.01</v>
      </c>
      <c r="Q169" s="329">
        <f t="shared" si="83"/>
        <v>0</v>
      </c>
      <c r="R169" s="35">
        <f t="shared" si="76"/>
        <v>0</v>
      </c>
      <c r="S169" s="414">
        <f t="shared" si="77"/>
        <v>0</v>
      </c>
      <c r="T169" s="880">
        <f>[5]Sheet1!$B583</f>
        <v>4.9684000000000001E-5</v>
      </c>
      <c r="U169" s="10">
        <f t="shared" si="85"/>
        <v>43731</v>
      </c>
      <c r="V169" s="881">
        <f t="shared" si="84"/>
        <v>1.813466E-2</v>
      </c>
    </row>
    <row r="170" spans="1:22" x14ac:dyDescent="0.25">
      <c r="A170" s="335">
        <f>A169+1</f>
        <v>43732</v>
      </c>
      <c r="B170" s="329">
        <f t="shared" si="78"/>
        <v>0</v>
      </c>
      <c r="C170" s="338">
        <f t="shared" si="66"/>
        <v>299688.48999999906</v>
      </c>
      <c r="D170" s="414">
        <f t="shared" si="67"/>
        <v>14.89</v>
      </c>
      <c r="E170" s="49">
        <f t="shared" si="79"/>
        <v>0</v>
      </c>
      <c r="F170" s="35">
        <f t="shared" si="68"/>
        <v>0</v>
      </c>
      <c r="G170" s="414">
        <f t="shared" si="69"/>
        <v>0</v>
      </c>
      <c r="H170" s="49">
        <f t="shared" si="80"/>
        <v>0</v>
      </c>
      <c r="I170" s="35">
        <f t="shared" si="70"/>
        <v>41043.140000000145</v>
      </c>
      <c r="J170" s="414">
        <f t="shared" si="71"/>
        <v>2.04</v>
      </c>
      <c r="K170" s="329">
        <f t="shared" si="81"/>
        <v>0</v>
      </c>
      <c r="L170" s="35">
        <f t="shared" si="72"/>
        <v>0</v>
      </c>
      <c r="M170" s="414">
        <f t="shared" si="73"/>
        <v>0</v>
      </c>
      <c r="N170" s="329">
        <f t="shared" si="82"/>
        <v>0</v>
      </c>
      <c r="O170" s="35">
        <f t="shared" si="74"/>
        <v>35.849999999999127</v>
      </c>
      <c r="P170" s="414">
        <f t="shared" si="75"/>
        <v>0</v>
      </c>
      <c r="Q170" s="329">
        <f t="shared" si="83"/>
        <v>0</v>
      </c>
      <c r="R170" s="35">
        <f t="shared" si="76"/>
        <v>0</v>
      </c>
      <c r="S170" s="414">
        <f t="shared" si="77"/>
        <v>0</v>
      </c>
      <c r="T170" s="880">
        <f>[5]Sheet1!$B584</f>
        <v>5.126E-5</v>
      </c>
      <c r="U170" s="10">
        <f t="shared" si="85"/>
        <v>43732</v>
      </c>
      <c r="V170" s="881">
        <f t="shared" si="84"/>
        <v>1.8709900000000002E-2</v>
      </c>
    </row>
    <row r="171" spans="1:22" x14ac:dyDescent="0.25">
      <c r="A171" s="335">
        <f>A170+1</f>
        <v>43733</v>
      </c>
      <c r="B171" s="329">
        <f t="shared" si="78"/>
        <v>-200000</v>
      </c>
      <c r="C171" s="338">
        <f t="shared" si="66"/>
        <v>99688.489999999059</v>
      </c>
      <c r="D171" s="414">
        <f t="shared" si="67"/>
        <v>15.36</v>
      </c>
      <c r="E171" s="49">
        <f t="shared" si="79"/>
        <v>0</v>
      </c>
      <c r="F171" s="35">
        <f t="shared" si="68"/>
        <v>0</v>
      </c>
      <c r="G171" s="414">
        <f t="shared" si="69"/>
        <v>0</v>
      </c>
      <c r="H171" s="49">
        <f t="shared" si="80"/>
        <v>0</v>
      </c>
      <c r="I171" s="35">
        <f t="shared" si="70"/>
        <v>41043.140000000145</v>
      </c>
      <c r="J171" s="414">
        <f t="shared" si="71"/>
        <v>2.1</v>
      </c>
      <c r="K171" s="329">
        <f t="shared" si="81"/>
        <v>0</v>
      </c>
      <c r="L171" s="35">
        <f t="shared" si="72"/>
        <v>0</v>
      </c>
      <c r="M171" s="414">
        <f t="shared" si="73"/>
        <v>0</v>
      </c>
      <c r="N171" s="329">
        <f t="shared" si="82"/>
        <v>0</v>
      </c>
      <c r="O171" s="35">
        <f t="shared" si="74"/>
        <v>35.849999999999127</v>
      </c>
      <c r="P171" s="414">
        <f t="shared" si="75"/>
        <v>0</v>
      </c>
      <c r="Q171" s="329">
        <f t="shared" si="83"/>
        <v>0</v>
      </c>
      <c r="R171" s="35">
        <f t="shared" si="76"/>
        <v>0</v>
      </c>
      <c r="S171" s="414">
        <f t="shared" si="77"/>
        <v>0</v>
      </c>
      <c r="T171" s="880">
        <f>[5]Sheet1!$B585</f>
        <v>5.1873000000000003E-5</v>
      </c>
      <c r="U171" s="10">
        <f t="shared" si="85"/>
        <v>43733</v>
      </c>
      <c r="V171" s="881">
        <f t="shared" si="84"/>
        <v>1.8933645000000002E-2</v>
      </c>
    </row>
    <row r="172" spans="1:22" x14ac:dyDescent="0.25">
      <c r="A172" s="335">
        <f>A171+1</f>
        <v>43734</v>
      </c>
      <c r="B172" s="329">
        <f t="shared" si="78"/>
        <v>0</v>
      </c>
      <c r="C172" s="338">
        <f t="shared" si="66"/>
        <v>99688.489999999059</v>
      </c>
      <c r="D172" s="414">
        <f t="shared" si="67"/>
        <v>5.17</v>
      </c>
      <c r="E172" s="49">
        <f t="shared" si="79"/>
        <v>0</v>
      </c>
      <c r="F172" s="35">
        <f t="shared" si="68"/>
        <v>0</v>
      </c>
      <c r="G172" s="414">
        <f t="shared" si="69"/>
        <v>0</v>
      </c>
      <c r="H172" s="49">
        <f t="shared" si="80"/>
        <v>0</v>
      </c>
      <c r="I172" s="35">
        <f t="shared" si="70"/>
        <v>41043.140000000145</v>
      </c>
      <c r="J172" s="414">
        <f t="shared" si="71"/>
        <v>2.13</v>
      </c>
      <c r="K172" s="329">
        <f t="shared" si="81"/>
        <v>0</v>
      </c>
      <c r="L172" s="35">
        <f t="shared" si="72"/>
        <v>0</v>
      </c>
      <c r="M172" s="414">
        <f t="shared" si="73"/>
        <v>0</v>
      </c>
      <c r="N172" s="329">
        <f t="shared" si="82"/>
        <v>0</v>
      </c>
      <c r="O172" s="35">
        <f t="shared" si="74"/>
        <v>35.849999999999127</v>
      </c>
      <c r="P172" s="414">
        <f t="shared" si="75"/>
        <v>0</v>
      </c>
      <c r="Q172" s="329">
        <f t="shared" si="83"/>
        <v>0</v>
      </c>
      <c r="R172" s="35">
        <f t="shared" si="76"/>
        <v>0</v>
      </c>
      <c r="S172" s="414">
        <f t="shared" si="77"/>
        <v>0</v>
      </c>
      <c r="T172" s="880">
        <f>[5]Sheet1!$B586</f>
        <v>5.0047999999999999E-5</v>
      </c>
      <c r="U172" s="10">
        <f t="shared" si="85"/>
        <v>43734</v>
      </c>
      <c r="V172" s="881">
        <f t="shared" si="84"/>
        <v>1.8267519999999999E-2</v>
      </c>
    </row>
    <row r="173" spans="1:22" x14ac:dyDescent="0.25">
      <c r="A173" s="335">
        <f>A172+1</f>
        <v>43735</v>
      </c>
      <c r="B173" s="329">
        <f t="shared" si="78"/>
        <v>0</v>
      </c>
      <c r="C173" s="338">
        <f t="shared" si="66"/>
        <v>99688.489999999059</v>
      </c>
      <c r="D173" s="414">
        <f t="shared" si="67"/>
        <v>4.99</v>
      </c>
      <c r="E173" s="49">
        <f t="shared" si="79"/>
        <v>0</v>
      </c>
      <c r="F173" s="35">
        <f t="shared" si="68"/>
        <v>0</v>
      </c>
      <c r="G173" s="414">
        <f t="shared" si="69"/>
        <v>0</v>
      </c>
      <c r="H173" s="49">
        <f t="shared" si="80"/>
        <v>0</v>
      </c>
      <c r="I173" s="35">
        <f t="shared" si="70"/>
        <v>41043.140000000145</v>
      </c>
      <c r="J173" s="414">
        <f t="shared" si="71"/>
        <v>2.0499999999999998</v>
      </c>
      <c r="K173" s="329">
        <f t="shared" si="81"/>
        <v>0</v>
      </c>
      <c r="L173" s="35">
        <f t="shared" si="72"/>
        <v>0</v>
      </c>
      <c r="M173" s="414">
        <f t="shared" si="73"/>
        <v>0</v>
      </c>
      <c r="N173" s="329">
        <f t="shared" si="82"/>
        <v>0</v>
      </c>
      <c r="O173" s="35">
        <f t="shared" si="74"/>
        <v>35.849999999999127</v>
      </c>
      <c r="P173" s="414">
        <f t="shared" si="75"/>
        <v>0</v>
      </c>
      <c r="Q173" s="329">
        <f t="shared" si="83"/>
        <v>0</v>
      </c>
      <c r="R173" s="35">
        <f t="shared" si="76"/>
        <v>0</v>
      </c>
      <c r="S173" s="414">
        <f t="shared" si="77"/>
        <v>0</v>
      </c>
      <c r="T173" s="880">
        <f>[5]Sheet1!$B587</f>
        <v>1.49054E-4</v>
      </c>
      <c r="U173" s="10">
        <f t="shared" si="85"/>
        <v>43735</v>
      </c>
      <c r="V173" s="881">
        <f t="shared" si="84"/>
        <v>1.8134903333333334E-2</v>
      </c>
    </row>
    <row r="174" spans="1:22" x14ac:dyDescent="0.25">
      <c r="A174" s="336">
        <f>A173+3</f>
        <v>43738</v>
      </c>
      <c r="B174" s="329">
        <f t="shared" si="78"/>
        <v>0</v>
      </c>
      <c r="C174" s="338">
        <f t="shared" si="66"/>
        <v>99688.489999999059</v>
      </c>
      <c r="D174" s="414">
        <f t="shared" si="67"/>
        <v>14.86</v>
      </c>
      <c r="E174" s="49">
        <f t="shared" si="79"/>
        <v>0</v>
      </c>
      <c r="F174" s="35">
        <f t="shared" si="68"/>
        <v>0</v>
      </c>
      <c r="G174" s="414">
        <f t="shared" si="69"/>
        <v>0</v>
      </c>
      <c r="H174" s="49">
        <f t="shared" si="80"/>
        <v>0</v>
      </c>
      <c r="I174" s="35">
        <f t="shared" si="70"/>
        <v>41043.140000000145</v>
      </c>
      <c r="J174" s="414">
        <f t="shared" si="71"/>
        <v>6.12</v>
      </c>
      <c r="K174" s="329">
        <f t="shared" si="81"/>
        <v>0</v>
      </c>
      <c r="L174" s="35">
        <f t="shared" si="72"/>
        <v>0</v>
      </c>
      <c r="M174" s="414">
        <f t="shared" si="73"/>
        <v>0</v>
      </c>
      <c r="N174" s="329">
        <f t="shared" si="82"/>
        <v>0</v>
      </c>
      <c r="O174" s="35">
        <f t="shared" si="74"/>
        <v>35.849999999999127</v>
      </c>
      <c r="P174" s="414">
        <f t="shared" si="75"/>
        <v>0.01</v>
      </c>
      <c r="Q174" s="329">
        <f t="shared" si="83"/>
        <v>0</v>
      </c>
      <c r="R174" s="35">
        <f t="shared" si="76"/>
        <v>0</v>
      </c>
      <c r="S174" s="414">
        <f t="shared" si="77"/>
        <v>0</v>
      </c>
      <c r="T174" s="880">
        <f>[5]Sheet1!$B588</f>
        <v>5.3353999999999998E-5</v>
      </c>
      <c r="U174" s="10">
        <f t="shared" si="85"/>
        <v>43738</v>
      </c>
      <c r="V174" s="881">
        <f t="shared" si="84"/>
        <v>1.9474209999999999E-2</v>
      </c>
    </row>
    <row r="175" spans="1:22" x14ac:dyDescent="0.25">
      <c r="A175" s="335">
        <f>A174+1</f>
        <v>43739</v>
      </c>
      <c r="B175" s="329">
        <f t="shared" si="78"/>
        <v>0</v>
      </c>
      <c r="C175" s="338">
        <f t="shared" si="66"/>
        <v>99688.489999999059</v>
      </c>
      <c r="D175" s="414">
        <f t="shared" si="67"/>
        <v>5.32</v>
      </c>
      <c r="E175" s="49">
        <f t="shared" si="79"/>
        <v>0</v>
      </c>
      <c r="F175" s="35">
        <f t="shared" si="68"/>
        <v>0</v>
      </c>
      <c r="G175" s="414">
        <f t="shared" si="69"/>
        <v>0</v>
      </c>
      <c r="H175" s="49">
        <f t="shared" si="80"/>
        <v>0</v>
      </c>
      <c r="I175" s="35">
        <f t="shared" si="70"/>
        <v>41043.140000000145</v>
      </c>
      <c r="J175" s="414">
        <f t="shared" si="71"/>
        <v>2.19</v>
      </c>
      <c r="K175" s="329">
        <f t="shared" si="81"/>
        <v>0</v>
      </c>
      <c r="L175" s="35">
        <f t="shared" si="72"/>
        <v>0</v>
      </c>
      <c r="M175" s="414">
        <f t="shared" si="73"/>
        <v>0</v>
      </c>
      <c r="N175" s="329">
        <f t="shared" si="82"/>
        <v>0</v>
      </c>
      <c r="O175" s="35">
        <f t="shared" si="74"/>
        <v>35.849999999999127</v>
      </c>
      <c r="P175" s="414">
        <f t="shared" si="75"/>
        <v>0</v>
      </c>
      <c r="Q175" s="329">
        <f t="shared" si="83"/>
        <v>0</v>
      </c>
      <c r="R175" s="35">
        <f t="shared" si="76"/>
        <v>0</v>
      </c>
      <c r="S175" s="414">
        <f t="shared" si="77"/>
        <v>0</v>
      </c>
      <c r="T175" s="880">
        <f>[5]Sheet1!$B589</f>
        <v>5.1280999999999999E-5</v>
      </c>
      <c r="U175" s="10">
        <f t="shared" si="85"/>
        <v>43739</v>
      </c>
      <c r="V175" s="881">
        <f t="shared" si="84"/>
        <v>1.8717564999999999E-2</v>
      </c>
    </row>
    <row r="176" spans="1:22" x14ac:dyDescent="0.25">
      <c r="A176" s="335">
        <f>A175+1</f>
        <v>43740</v>
      </c>
      <c r="B176" s="329">
        <f t="shared" si="78"/>
        <v>173.44</v>
      </c>
      <c r="C176" s="338">
        <f t="shared" si="66"/>
        <v>99861.929999999062</v>
      </c>
      <c r="D176" s="414">
        <f t="shared" si="67"/>
        <v>5.1100000000000003</v>
      </c>
      <c r="E176" s="49">
        <f t="shared" si="79"/>
        <v>0</v>
      </c>
      <c r="F176" s="35">
        <f t="shared" si="68"/>
        <v>0</v>
      </c>
      <c r="G176" s="414">
        <f t="shared" si="69"/>
        <v>0</v>
      </c>
      <c r="H176" s="49">
        <f t="shared" si="80"/>
        <v>61.29</v>
      </c>
      <c r="I176" s="35">
        <f t="shared" si="70"/>
        <v>41104.430000000146</v>
      </c>
      <c r="J176" s="414">
        <f t="shared" si="71"/>
        <v>2.1</v>
      </c>
      <c r="K176" s="329">
        <f t="shared" si="81"/>
        <v>0</v>
      </c>
      <c r="L176" s="35">
        <f t="shared" si="72"/>
        <v>0</v>
      </c>
      <c r="M176" s="414">
        <f t="shared" si="73"/>
        <v>0</v>
      </c>
      <c r="N176" s="329">
        <f t="shared" si="82"/>
        <v>-35.85</v>
      </c>
      <c r="O176" s="35">
        <f t="shared" si="74"/>
        <v>-8.7396756498492323E-13</v>
      </c>
      <c r="P176" s="414">
        <f t="shared" si="75"/>
        <v>0</v>
      </c>
      <c r="Q176" s="329">
        <f t="shared" si="83"/>
        <v>0</v>
      </c>
      <c r="R176" s="35">
        <f t="shared" si="76"/>
        <v>0</v>
      </c>
      <c r="S176" s="414">
        <f t="shared" si="77"/>
        <v>0</v>
      </c>
      <c r="T176" s="880">
        <f>[5]Sheet1!$B590</f>
        <v>4.9160999999999999E-5</v>
      </c>
      <c r="U176" s="10">
        <f t="shared" si="85"/>
        <v>43740</v>
      </c>
      <c r="V176" s="881">
        <f t="shared" si="84"/>
        <v>1.7943765E-2</v>
      </c>
    </row>
    <row r="177" spans="1:22" x14ac:dyDescent="0.25">
      <c r="A177" s="335">
        <f>A176+1</f>
        <v>43741</v>
      </c>
      <c r="B177" s="329">
        <f t="shared" si="78"/>
        <v>0</v>
      </c>
      <c r="C177" s="338">
        <f t="shared" si="66"/>
        <v>99861.929999999062</v>
      </c>
      <c r="D177" s="414">
        <f t="shared" si="67"/>
        <v>4.91</v>
      </c>
      <c r="E177" s="49">
        <f t="shared" si="79"/>
        <v>0</v>
      </c>
      <c r="F177" s="35">
        <f t="shared" si="68"/>
        <v>0</v>
      </c>
      <c r="G177" s="414">
        <f t="shared" si="69"/>
        <v>0</v>
      </c>
      <c r="H177" s="49">
        <f t="shared" si="80"/>
        <v>0</v>
      </c>
      <c r="I177" s="35">
        <f t="shared" si="70"/>
        <v>41104.430000000146</v>
      </c>
      <c r="J177" s="414">
        <f t="shared" si="71"/>
        <v>2.02</v>
      </c>
      <c r="K177" s="329">
        <f t="shared" si="81"/>
        <v>0</v>
      </c>
      <c r="L177" s="35">
        <f t="shared" si="72"/>
        <v>0</v>
      </c>
      <c r="M177" s="414">
        <f t="shared" si="73"/>
        <v>0</v>
      </c>
      <c r="N177" s="329">
        <f t="shared" si="82"/>
        <v>0</v>
      </c>
      <c r="O177" s="35">
        <f t="shared" si="74"/>
        <v>-8.7396756498492323E-13</v>
      </c>
      <c r="P177" s="414">
        <f t="shared" si="75"/>
        <v>0</v>
      </c>
      <c r="Q177" s="329">
        <f t="shared" si="83"/>
        <v>0</v>
      </c>
      <c r="R177" s="35">
        <f t="shared" si="76"/>
        <v>0</v>
      </c>
      <c r="S177" s="414">
        <f t="shared" si="77"/>
        <v>0</v>
      </c>
      <c r="T177" s="880">
        <f>[5]Sheet1!$B591</f>
        <v>4.8908E-5</v>
      </c>
      <c r="U177" s="10">
        <f t="shared" ref="U177" si="86">A177</f>
        <v>43741</v>
      </c>
      <c r="V177" s="881">
        <f t="shared" ref="V177" si="87">T177*365/(A178-A177)</f>
        <v>1.785142E-2</v>
      </c>
    </row>
    <row r="178" spans="1:22" x14ac:dyDescent="0.25">
      <c r="A178" s="335">
        <f>A177+1</f>
        <v>43742</v>
      </c>
      <c r="B178" s="329">
        <f t="shared" si="78"/>
        <v>0</v>
      </c>
      <c r="C178" s="338">
        <f t="shared" si="66"/>
        <v>99861.929999999062</v>
      </c>
      <c r="D178" s="414">
        <f t="shared" si="67"/>
        <v>4.88</v>
      </c>
      <c r="E178" s="49">
        <f t="shared" si="79"/>
        <v>0</v>
      </c>
      <c r="F178" s="35">
        <f t="shared" si="68"/>
        <v>0</v>
      </c>
      <c r="G178" s="414">
        <f t="shared" si="69"/>
        <v>0</v>
      </c>
      <c r="H178" s="49">
        <f t="shared" si="80"/>
        <v>0</v>
      </c>
      <c r="I178" s="35">
        <f t="shared" si="70"/>
        <v>41104.430000000146</v>
      </c>
      <c r="J178" s="414">
        <f t="shared" si="71"/>
        <v>2.0099999999999998</v>
      </c>
      <c r="K178" s="329">
        <f t="shared" si="81"/>
        <v>0</v>
      </c>
      <c r="L178" s="35">
        <f t="shared" si="72"/>
        <v>0</v>
      </c>
      <c r="M178" s="414">
        <f t="shared" si="73"/>
        <v>0</v>
      </c>
      <c r="N178" s="329">
        <f t="shared" si="82"/>
        <v>0</v>
      </c>
      <c r="O178" s="35">
        <f t="shared" si="74"/>
        <v>-8.7396756498492323E-13</v>
      </c>
      <c r="P178" s="414">
        <f t="shared" si="75"/>
        <v>0</v>
      </c>
      <c r="Q178" s="329">
        <f t="shared" si="83"/>
        <v>0</v>
      </c>
      <c r="R178" s="35">
        <f t="shared" si="76"/>
        <v>0</v>
      </c>
      <c r="S178" s="414">
        <f t="shared" si="77"/>
        <v>0</v>
      </c>
      <c r="T178" s="880">
        <f>[5]Sheet1!$B592</f>
        <v>1.4568400000000001E-4</v>
      </c>
      <c r="U178" s="10">
        <f t="shared" ref="U178" si="88">A178</f>
        <v>43742</v>
      </c>
      <c r="V178" s="881">
        <f t="shared" ref="V178" si="89">T178*365/(A179-A178)</f>
        <v>1.7724886666666669E-2</v>
      </c>
    </row>
    <row r="179" spans="1:22" x14ac:dyDescent="0.25">
      <c r="A179" s="336">
        <f>A178+3</f>
        <v>43745</v>
      </c>
      <c r="B179" s="329">
        <f t="shared" si="78"/>
        <v>-5096.58</v>
      </c>
      <c r="C179" s="338">
        <f t="shared" si="66"/>
        <v>94765.34999999906</v>
      </c>
      <c r="D179" s="414">
        <f t="shared" si="67"/>
        <v>14.55</v>
      </c>
      <c r="E179" s="49">
        <f t="shared" si="79"/>
        <v>0</v>
      </c>
      <c r="F179" s="35">
        <f t="shared" si="68"/>
        <v>0</v>
      </c>
      <c r="G179" s="414">
        <f t="shared" si="69"/>
        <v>0</v>
      </c>
      <c r="H179" s="49">
        <f t="shared" si="80"/>
        <v>0</v>
      </c>
      <c r="I179" s="35">
        <f t="shared" si="70"/>
        <v>41104.430000000146</v>
      </c>
      <c r="J179" s="414">
        <f t="shared" si="71"/>
        <v>5.99</v>
      </c>
      <c r="K179" s="329">
        <f t="shared" si="81"/>
        <v>0</v>
      </c>
      <c r="L179" s="35">
        <f t="shared" si="72"/>
        <v>0</v>
      </c>
      <c r="M179" s="414">
        <f t="shared" si="73"/>
        <v>0</v>
      </c>
      <c r="N179" s="329">
        <f t="shared" si="82"/>
        <v>0</v>
      </c>
      <c r="O179" s="35">
        <f t="shared" si="74"/>
        <v>-8.7396756498492323E-13</v>
      </c>
      <c r="P179" s="414">
        <f t="shared" si="75"/>
        <v>0</v>
      </c>
      <c r="Q179" s="329">
        <f t="shared" si="83"/>
        <v>0</v>
      </c>
      <c r="R179" s="35">
        <f t="shared" si="76"/>
        <v>0</v>
      </c>
      <c r="S179" s="414">
        <f t="shared" si="77"/>
        <v>0</v>
      </c>
      <c r="T179" s="880">
        <f>[5]Sheet1!$B593</f>
        <v>4.8563999999999998E-5</v>
      </c>
      <c r="U179" s="10">
        <f t="shared" ref="U179" si="90">A179</f>
        <v>43745</v>
      </c>
      <c r="V179" s="881">
        <f t="shared" ref="V179" si="91">T179*365/(A180-A179)</f>
        <v>1.772586E-2</v>
      </c>
    </row>
    <row r="180" spans="1:22" x14ac:dyDescent="0.25">
      <c r="A180" s="335">
        <f>A179+1</f>
        <v>43746</v>
      </c>
      <c r="B180" s="329">
        <f t="shared" si="78"/>
        <v>-2704.12</v>
      </c>
      <c r="C180" s="338">
        <f t="shared" si="66"/>
        <v>92061.229999999065</v>
      </c>
      <c r="D180" s="414">
        <f t="shared" si="67"/>
        <v>4.5999999999999996</v>
      </c>
      <c r="E180" s="49">
        <f t="shared" si="79"/>
        <v>0</v>
      </c>
      <c r="F180" s="35">
        <f t="shared" si="68"/>
        <v>0</v>
      </c>
      <c r="G180" s="414">
        <f t="shared" si="69"/>
        <v>0</v>
      </c>
      <c r="H180" s="49">
        <f t="shared" si="80"/>
        <v>0</v>
      </c>
      <c r="I180" s="35">
        <f t="shared" si="70"/>
        <v>41104.430000000146</v>
      </c>
      <c r="J180" s="414">
        <f t="shared" si="71"/>
        <v>2</v>
      </c>
      <c r="K180" s="329">
        <f t="shared" si="81"/>
        <v>0</v>
      </c>
      <c r="L180" s="35">
        <f t="shared" si="72"/>
        <v>0</v>
      </c>
      <c r="M180" s="414">
        <f t="shared" si="73"/>
        <v>0</v>
      </c>
      <c r="N180" s="329">
        <f t="shared" si="82"/>
        <v>0</v>
      </c>
      <c r="O180" s="35">
        <f t="shared" si="74"/>
        <v>-8.7396756498492323E-13</v>
      </c>
      <c r="P180" s="414">
        <f t="shared" si="75"/>
        <v>0</v>
      </c>
      <c r="Q180" s="329">
        <f t="shared" si="83"/>
        <v>0</v>
      </c>
      <c r="R180" s="35">
        <f t="shared" si="76"/>
        <v>0</v>
      </c>
      <c r="S180" s="414">
        <f t="shared" si="77"/>
        <v>0</v>
      </c>
      <c r="T180" s="880">
        <f>[5]Sheet1!$B594</f>
        <v>4.8523999999999998E-5</v>
      </c>
      <c r="U180" s="10">
        <f t="shared" ref="U180" si="92">A180</f>
        <v>43746</v>
      </c>
      <c r="V180" s="881">
        <f t="shared" ref="V180" si="93">T180*365/(A181-A180)</f>
        <v>1.771126E-2</v>
      </c>
    </row>
    <row r="181" spans="1:22" x14ac:dyDescent="0.25">
      <c r="A181" s="335">
        <f>A180+1</f>
        <v>43747</v>
      </c>
      <c r="B181" s="329">
        <f t="shared" si="78"/>
        <v>0</v>
      </c>
      <c r="C181" s="338">
        <f t="shared" si="66"/>
        <v>92061.229999999065</v>
      </c>
      <c r="D181" s="414">
        <f t="shared" si="67"/>
        <v>4.47</v>
      </c>
      <c r="E181" s="49">
        <f t="shared" si="79"/>
        <v>0</v>
      </c>
      <c r="F181" s="35">
        <f t="shared" si="68"/>
        <v>0</v>
      </c>
      <c r="G181" s="414">
        <f t="shared" si="69"/>
        <v>0</v>
      </c>
      <c r="H181" s="49">
        <f t="shared" si="80"/>
        <v>0</v>
      </c>
      <c r="I181" s="35">
        <f t="shared" si="70"/>
        <v>41104.430000000146</v>
      </c>
      <c r="J181" s="414">
        <f t="shared" si="71"/>
        <v>1.99</v>
      </c>
      <c r="K181" s="329">
        <f t="shared" si="81"/>
        <v>0</v>
      </c>
      <c r="L181" s="35">
        <f t="shared" si="72"/>
        <v>0</v>
      </c>
      <c r="M181" s="414">
        <f t="shared" si="73"/>
        <v>0</v>
      </c>
      <c r="N181" s="329">
        <f t="shared" si="82"/>
        <v>0</v>
      </c>
      <c r="O181" s="35">
        <f t="shared" si="74"/>
        <v>-8.7396756498492323E-13</v>
      </c>
      <c r="P181" s="414">
        <f t="shared" si="75"/>
        <v>0</v>
      </c>
      <c r="Q181" s="329">
        <f t="shared" si="83"/>
        <v>0</v>
      </c>
      <c r="R181" s="35">
        <f t="shared" si="76"/>
        <v>0</v>
      </c>
      <c r="S181" s="414">
        <f t="shared" si="77"/>
        <v>0</v>
      </c>
      <c r="T181" s="880">
        <f>[5]Sheet1!$B595</f>
        <v>4.8605E-5</v>
      </c>
      <c r="U181" s="10">
        <f t="shared" ref="U181" si="94">A181</f>
        <v>43747</v>
      </c>
      <c r="V181" s="881">
        <f t="shared" ref="V181" si="95">T181*365/(A182-A181)</f>
        <v>1.7740824999999998E-2</v>
      </c>
    </row>
    <row r="182" spans="1:22" x14ac:dyDescent="0.25">
      <c r="A182" s="335">
        <f>A181+1</f>
        <v>43748</v>
      </c>
      <c r="B182" s="329">
        <f t="shared" si="78"/>
        <v>0</v>
      </c>
      <c r="C182" s="338">
        <f t="shared" si="66"/>
        <v>92061.229999999065</v>
      </c>
      <c r="D182" s="414">
        <f t="shared" si="67"/>
        <v>4.47</v>
      </c>
      <c r="E182" s="49">
        <f t="shared" si="79"/>
        <v>0</v>
      </c>
      <c r="F182" s="35">
        <f t="shared" si="68"/>
        <v>0</v>
      </c>
      <c r="G182" s="414">
        <f t="shared" si="69"/>
        <v>0</v>
      </c>
      <c r="H182" s="49">
        <f t="shared" si="80"/>
        <v>0</v>
      </c>
      <c r="I182" s="35">
        <f t="shared" si="70"/>
        <v>41104.430000000146</v>
      </c>
      <c r="J182" s="414">
        <f t="shared" si="71"/>
        <v>2</v>
      </c>
      <c r="K182" s="329">
        <f t="shared" si="81"/>
        <v>0</v>
      </c>
      <c r="L182" s="35">
        <f t="shared" si="72"/>
        <v>0</v>
      </c>
      <c r="M182" s="414">
        <f t="shared" si="73"/>
        <v>0</v>
      </c>
      <c r="N182" s="329">
        <f t="shared" si="82"/>
        <v>0</v>
      </c>
      <c r="O182" s="35">
        <f t="shared" si="74"/>
        <v>-8.7396756498492323E-13</v>
      </c>
      <c r="P182" s="414">
        <f t="shared" si="75"/>
        <v>0</v>
      </c>
      <c r="Q182" s="329">
        <f t="shared" si="83"/>
        <v>0</v>
      </c>
      <c r="R182" s="35">
        <f t="shared" si="76"/>
        <v>0</v>
      </c>
      <c r="S182" s="414">
        <f t="shared" si="77"/>
        <v>0</v>
      </c>
      <c r="T182" s="880">
        <f>[5]Sheet1!$B596</f>
        <v>4.8297000000000002E-5</v>
      </c>
      <c r="U182" s="10">
        <f t="shared" ref="U182" si="96">A182</f>
        <v>43748</v>
      </c>
      <c r="V182" s="881">
        <f t="shared" ref="V182" si="97">T182*365/(A183-A182)</f>
        <v>1.7628405E-2</v>
      </c>
    </row>
    <row r="183" spans="1:22" x14ac:dyDescent="0.25">
      <c r="A183" s="335">
        <f>A182+1</f>
        <v>43749</v>
      </c>
      <c r="B183" s="329">
        <f t="shared" si="78"/>
        <v>0</v>
      </c>
      <c r="C183" s="338">
        <f t="shared" si="66"/>
        <v>92061.229999999065</v>
      </c>
      <c r="D183" s="414">
        <f t="shared" si="67"/>
        <v>4.45</v>
      </c>
      <c r="E183" s="49">
        <f t="shared" si="79"/>
        <v>0</v>
      </c>
      <c r="F183" s="35">
        <f t="shared" si="68"/>
        <v>0</v>
      </c>
      <c r="G183" s="414">
        <f t="shared" si="69"/>
        <v>0</v>
      </c>
      <c r="H183" s="49">
        <f t="shared" si="80"/>
        <v>0</v>
      </c>
      <c r="I183" s="35">
        <f t="shared" si="70"/>
        <v>41104.430000000146</v>
      </c>
      <c r="J183" s="414">
        <f t="shared" si="71"/>
        <v>1.99</v>
      </c>
      <c r="K183" s="329">
        <f t="shared" si="81"/>
        <v>0</v>
      </c>
      <c r="L183" s="35">
        <f t="shared" si="72"/>
        <v>0</v>
      </c>
      <c r="M183" s="414">
        <f t="shared" si="73"/>
        <v>0</v>
      </c>
      <c r="N183" s="329">
        <f t="shared" si="82"/>
        <v>0</v>
      </c>
      <c r="O183" s="35">
        <f t="shared" si="74"/>
        <v>-8.7396756498492323E-13</v>
      </c>
      <c r="P183" s="414">
        <f t="shared" si="75"/>
        <v>0</v>
      </c>
      <c r="Q183" s="329">
        <f t="shared" si="83"/>
        <v>0</v>
      </c>
      <c r="R183" s="35">
        <f t="shared" si="76"/>
        <v>0</v>
      </c>
      <c r="S183" s="414">
        <f t="shared" si="77"/>
        <v>0</v>
      </c>
      <c r="T183" s="880">
        <f>[5]Sheet1!$B597</f>
        <v>1.44988E-4</v>
      </c>
      <c r="U183" s="10">
        <f t="shared" ref="U183" si="98">A183</f>
        <v>43749</v>
      </c>
      <c r="V183" s="881">
        <f t="shared" ref="V183" si="99">T183*365/(A184-A183)</f>
        <v>1.7640206666666668E-2</v>
      </c>
    </row>
    <row r="184" spans="1:22" x14ac:dyDescent="0.25">
      <c r="A184" s="336">
        <f>A183+3</f>
        <v>43752</v>
      </c>
      <c r="B184" s="329">
        <f t="shared" si="78"/>
        <v>0</v>
      </c>
      <c r="C184" s="338">
        <f t="shared" si="66"/>
        <v>92061.229999999065</v>
      </c>
      <c r="D184" s="414">
        <f t="shared" si="67"/>
        <v>13.35</v>
      </c>
      <c r="E184" s="49">
        <f t="shared" si="79"/>
        <v>0</v>
      </c>
      <c r="F184" s="35">
        <f t="shared" si="68"/>
        <v>0</v>
      </c>
      <c r="G184" s="414">
        <f t="shared" si="69"/>
        <v>0</v>
      </c>
      <c r="H184" s="49">
        <f t="shared" si="80"/>
        <v>0</v>
      </c>
      <c r="I184" s="35">
        <f t="shared" si="70"/>
        <v>41104.430000000146</v>
      </c>
      <c r="J184" s="414">
        <f t="shared" si="71"/>
        <v>5.96</v>
      </c>
      <c r="K184" s="329">
        <f t="shared" si="81"/>
        <v>0</v>
      </c>
      <c r="L184" s="35">
        <f t="shared" si="72"/>
        <v>0</v>
      </c>
      <c r="M184" s="414">
        <f t="shared" si="73"/>
        <v>0</v>
      </c>
      <c r="N184" s="329">
        <f t="shared" si="82"/>
        <v>0</v>
      </c>
      <c r="O184" s="35">
        <f t="shared" si="74"/>
        <v>-8.7396756498492323E-13</v>
      </c>
      <c r="P184" s="414">
        <f t="shared" si="75"/>
        <v>0</v>
      </c>
      <c r="Q184" s="329">
        <f t="shared" si="83"/>
        <v>0</v>
      </c>
      <c r="R184" s="35">
        <f t="shared" si="76"/>
        <v>0</v>
      </c>
      <c r="S184" s="414">
        <f t="shared" si="77"/>
        <v>0</v>
      </c>
      <c r="T184" s="880">
        <f>[5]Sheet1!$B598</f>
        <v>4.8128999999999999E-5</v>
      </c>
      <c r="U184" s="10">
        <f t="shared" ref="U184" si="100">A184</f>
        <v>43752</v>
      </c>
      <c r="V184" s="881">
        <f t="shared" ref="V184" si="101">T184*365/(A185-A184)</f>
        <v>1.7567085E-2</v>
      </c>
    </row>
    <row r="185" spans="1:22" x14ac:dyDescent="0.25">
      <c r="A185" s="335">
        <f>A184+1</f>
        <v>43753</v>
      </c>
      <c r="B185" s="329">
        <f t="shared" si="78"/>
        <v>0</v>
      </c>
      <c r="C185" s="338">
        <f t="shared" si="66"/>
        <v>92061.229999999065</v>
      </c>
      <c r="D185" s="414">
        <f t="shared" si="67"/>
        <v>4.43</v>
      </c>
      <c r="E185" s="49">
        <f t="shared" si="79"/>
        <v>0</v>
      </c>
      <c r="F185" s="35">
        <f t="shared" si="68"/>
        <v>0</v>
      </c>
      <c r="G185" s="414">
        <f t="shared" si="69"/>
        <v>0</v>
      </c>
      <c r="H185" s="49">
        <f t="shared" si="80"/>
        <v>0</v>
      </c>
      <c r="I185" s="35">
        <f t="shared" si="70"/>
        <v>41104.430000000146</v>
      </c>
      <c r="J185" s="414">
        <f t="shared" si="71"/>
        <v>1.98</v>
      </c>
      <c r="K185" s="329">
        <f t="shared" si="81"/>
        <v>0</v>
      </c>
      <c r="L185" s="35">
        <f t="shared" si="72"/>
        <v>0</v>
      </c>
      <c r="M185" s="414">
        <f t="shared" si="73"/>
        <v>0</v>
      </c>
      <c r="N185" s="329">
        <f t="shared" si="82"/>
        <v>0</v>
      </c>
      <c r="O185" s="35">
        <f t="shared" si="74"/>
        <v>-8.7396756498492323E-13</v>
      </c>
      <c r="P185" s="414">
        <f t="shared" si="75"/>
        <v>0</v>
      </c>
      <c r="Q185" s="329">
        <f t="shared" si="83"/>
        <v>0</v>
      </c>
      <c r="R185" s="35">
        <f t="shared" si="76"/>
        <v>0</v>
      </c>
      <c r="S185" s="414">
        <f t="shared" si="77"/>
        <v>0</v>
      </c>
      <c r="T185" s="880">
        <f>[5]Sheet1!$B599</f>
        <v>4.9449E-5</v>
      </c>
      <c r="U185" s="10">
        <f t="shared" ref="U185" si="102">A185</f>
        <v>43753</v>
      </c>
      <c r="V185" s="881">
        <f t="shared" ref="V185" si="103">T185*365/(A186-A185)</f>
        <v>1.8048885000000001E-2</v>
      </c>
    </row>
    <row r="186" spans="1:22" x14ac:dyDescent="0.25">
      <c r="A186" s="335">
        <f>A185+1</f>
        <v>43754</v>
      </c>
      <c r="B186" s="329">
        <f t="shared" si="78"/>
        <v>262667.27</v>
      </c>
      <c r="C186" s="338">
        <f t="shared" si="66"/>
        <v>354728.49999999907</v>
      </c>
      <c r="D186" s="414">
        <f t="shared" si="67"/>
        <v>4.55</v>
      </c>
      <c r="E186" s="49">
        <f t="shared" si="79"/>
        <v>0</v>
      </c>
      <c r="F186" s="35">
        <f t="shared" si="68"/>
        <v>0</v>
      </c>
      <c r="G186" s="414">
        <f t="shared" si="69"/>
        <v>0</v>
      </c>
      <c r="H186" s="49">
        <f t="shared" si="80"/>
        <v>-103.61</v>
      </c>
      <c r="I186" s="35">
        <f t="shared" si="70"/>
        <v>41000.820000000145</v>
      </c>
      <c r="J186" s="414">
        <f t="shared" si="71"/>
        <v>2.0299999999999998</v>
      </c>
      <c r="K186" s="329">
        <f t="shared" si="81"/>
        <v>0</v>
      </c>
      <c r="L186" s="35">
        <f t="shared" si="72"/>
        <v>0</v>
      </c>
      <c r="M186" s="414">
        <f t="shared" si="73"/>
        <v>0</v>
      </c>
      <c r="N186" s="329">
        <f t="shared" si="82"/>
        <v>0</v>
      </c>
      <c r="O186" s="35">
        <f t="shared" si="74"/>
        <v>-8.7396756498492323E-13</v>
      </c>
      <c r="P186" s="414">
        <f t="shared" si="75"/>
        <v>0</v>
      </c>
      <c r="Q186" s="329">
        <f t="shared" si="83"/>
        <v>0</v>
      </c>
      <c r="R186" s="35">
        <f t="shared" si="76"/>
        <v>0</v>
      </c>
      <c r="S186" s="414">
        <f t="shared" si="77"/>
        <v>0</v>
      </c>
      <c r="T186" s="880">
        <f>[5]Sheet1!$B600</f>
        <v>5.0986000000000003E-5</v>
      </c>
      <c r="U186" s="10">
        <f t="shared" ref="U186" si="104">A186</f>
        <v>43754</v>
      </c>
      <c r="V186" s="881">
        <f t="shared" ref="V186" si="105">T186*365/(A187-A186)</f>
        <v>1.860989E-2</v>
      </c>
    </row>
    <row r="187" spans="1:22" x14ac:dyDescent="0.25">
      <c r="A187" s="335">
        <f>A186+1</f>
        <v>43755</v>
      </c>
      <c r="B187" s="329">
        <f t="shared" si="78"/>
        <v>-47522</v>
      </c>
      <c r="C187" s="338">
        <f t="shared" si="66"/>
        <v>307206.49999999907</v>
      </c>
      <c r="D187" s="414">
        <f t="shared" si="67"/>
        <v>18.09</v>
      </c>
      <c r="E187" s="49">
        <f t="shared" si="79"/>
        <v>0</v>
      </c>
      <c r="F187" s="35">
        <f t="shared" si="68"/>
        <v>0</v>
      </c>
      <c r="G187" s="414">
        <f t="shared" si="69"/>
        <v>0</v>
      </c>
      <c r="H187" s="49">
        <f t="shared" si="80"/>
        <v>6988.33</v>
      </c>
      <c r="I187" s="35">
        <f t="shared" si="70"/>
        <v>47989.150000000147</v>
      </c>
      <c r="J187" s="414">
        <f t="shared" si="71"/>
        <v>2.09</v>
      </c>
      <c r="K187" s="329">
        <f t="shared" si="81"/>
        <v>0</v>
      </c>
      <c r="L187" s="35">
        <f t="shared" si="72"/>
        <v>0</v>
      </c>
      <c r="M187" s="414">
        <f t="shared" si="73"/>
        <v>0</v>
      </c>
      <c r="N187" s="329">
        <f t="shared" si="82"/>
        <v>20533.669999999998</v>
      </c>
      <c r="O187" s="35">
        <f t="shared" si="74"/>
        <v>20533.669999999998</v>
      </c>
      <c r="P187" s="414">
        <f t="shared" si="75"/>
        <v>0</v>
      </c>
      <c r="Q187" s="329">
        <f t="shared" si="83"/>
        <v>0</v>
      </c>
      <c r="R187" s="35">
        <f t="shared" si="76"/>
        <v>0</v>
      </c>
      <c r="S187" s="414">
        <f t="shared" si="77"/>
        <v>0</v>
      </c>
      <c r="T187" s="880">
        <f>[5]Sheet1!$B601</f>
        <v>4.9564999999999997E-5</v>
      </c>
      <c r="U187" s="10">
        <f t="shared" ref="U187" si="106">A187</f>
        <v>43755</v>
      </c>
      <c r="V187" s="881">
        <f t="shared" ref="V187" si="107">T187*365/(A188-A187)</f>
        <v>1.8091224999999999E-2</v>
      </c>
    </row>
    <row r="188" spans="1:22" x14ac:dyDescent="0.25">
      <c r="A188" s="335">
        <f>A187+1</f>
        <v>43756</v>
      </c>
      <c r="B188" s="329">
        <f t="shared" si="78"/>
        <v>0</v>
      </c>
      <c r="C188" s="338">
        <f t="shared" si="66"/>
        <v>307206.49999999907</v>
      </c>
      <c r="D188" s="414">
        <f t="shared" si="67"/>
        <v>15.23</v>
      </c>
      <c r="E188" s="49">
        <f t="shared" si="79"/>
        <v>0</v>
      </c>
      <c r="F188" s="35">
        <f t="shared" si="68"/>
        <v>0</v>
      </c>
      <c r="G188" s="414">
        <f t="shared" si="69"/>
        <v>0</v>
      </c>
      <c r="H188" s="49">
        <f t="shared" si="80"/>
        <v>0</v>
      </c>
      <c r="I188" s="35">
        <f t="shared" si="70"/>
        <v>47989.150000000147</v>
      </c>
      <c r="J188" s="414">
        <f t="shared" si="71"/>
        <v>2.38</v>
      </c>
      <c r="K188" s="329">
        <f t="shared" si="81"/>
        <v>0</v>
      </c>
      <c r="L188" s="35">
        <f t="shared" si="72"/>
        <v>0</v>
      </c>
      <c r="M188" s="414">
        <f t="shared" si="73"/>
        <v>0</v>
      </c>
      <c r="N188" s="329">
        <f t="shared" si="82"/>
        <v>-20533.669999999998</v>
      </c>
      <c r="O188" s="35">
        <f t="shared" si="74"/>
        <v>0</v>
      </c>
      <c r="P188" s="414">
        <f t="shared" si="75"/>
        <v>1.02</v>
      </c>
      <c r="Q188" s="329">
        <f t="shared" si="83"/>
        <v>0</v>
      </c>
      <c r="R188" s="35">
        <f t="shared" si="76"/>
        <v>0</v>
      </c>
      <c r="S188" s="414">
        <f t="shared" si="77"/>
        <v>0</v>
      </c>
      <c r="T188" s="880">
        <f>[5]Sheet1!$B602</f>
        <v>1.4596300000000001E-4</v>
      </c>
      <c r="U188" s="10">
        <f t="shared" ref="U188" si="108">A188</f>
        <v>43756</v>
      </c>
      <c r="V188" s="881">
        <f t="shared" ref="V188" si="109">T188*365/(A189-A188)</f>
        <v>1.7758831666666669E-2</v>
      </c>
    </row>
    <row r="189" spans="1:22" x14ac:dyDescent="0.25">
      <c r="A189" s="336">
        <f>A188+3</f>
        <v>43759</v>
      </c>
      <c r="B189" s="329">
        <f t="shared" si="78"/>
        <v>0</v>
      </c>
      <c r="C189" s="338">
        <f t="shared" si="66"/>
        <v>307206.49999999907</v>
      </c>
      <c r="D189" s="414">
        <f t="shared" si="67"/>
        <v>44.84</v>
      </c>
      <c r="E189" s="49">
        <f t="shared" si="79"/>
        <v>0</v>
      </c>
      <c r="F189" s="35">
        <f t="shared" si="68"/>
        <v>0</v>
      </c>
      <c r="G189" s="414">
        <f t="shared" si="69"/>
        <v>0</v>
      </c>
      <c r="H189" s="49">
        <f t="shared" si="80"/>
        <v>0</v>
      </c>
      <c r="I189" s="35">
        <f t="shared" si="70"/>
        <v>47989.150000000147</v>
      </c>
      <c r="J189" s="414">
        <f t="shared" si="71"/>
        <v>7</v>
      </c>
      <c r="K189" s="329">
        <f t="shared" si="81"/>
        <v>0</v>
      </c>
      <c r="L189" s="35">
        <f t="shared" si="72"/>
        <v>0</v>
      </c>
      <c r="M189" s="414">
        <f t="shared" si="73"/>
        <v>0</v>
      </c>
      <c r="N189" s="329">
        <f t="shared" si="82"/>
        <v>0</v>
      </c>
      <c r="O189" s="35">
        <f t="shared" si="74"/>
        <v>0</v>
      </c>
      <c r="P189" s="414">
        <f t="shared" si="75"/>
        <v>0</v>
      </c>
      <c r="Q189" s="329">
        <f t="shared" si="83"/>
        <v>0</v>
      </c>
      <c r="R189" s="35">
        <f t="shared" si="76"/>
        <v>0</v>
      </c>
      <c r="S189" s="414">
        <f t="shared" si="77"/>
        <v>0</v>
      </c>
      <c r="T189" s="880">
        <f>[5]Sheet1!$B603</f>
        <v>4.7845E-5</v>
      </c>
      <c r="U189" s="10">
        <f t="shared" ref="U189" si="110">A189</f>
        <v>43759</v>
      </c>
      <c r="V189" s="881">
        <f t="shared" ref="V189" si="111">T189*365/(A190-A189)</f>
        <v>1.7463425000000001E-2</v>
      </c>
    </row>
    <row r="190" spans="1:22" x14ac:dyDescent="0.25">
      <c r="A190" s="335">
        <f>A189+1</f>
        <v>43760</v>
      </c>
      <c r="B190" s="329">
        <f t="shared" si="78"/>
        <v>0</v>
      </c>
      <c r="C190" s="338">
        <f t="shared" si="66"/>
        <v>307206.49999999907</v>
      </c>
      <c r="D190" s="414">
        <f t="shared" si="67"/>
        <v>14.7</v>
      </c>
      <c r="E190" s="49">
        <f t="shared" si="79"/>
        <v>0</v>
      </c>
      <c r="F190" s="35">
        <f t="shared" si="68"/>
        <v>0</v>
      </c>
      <c r="G190" s="414">
        <f t="shared" si="69"/>
        <v>0</v>
      </c>
      <c r="H190" s="49">
        <f t="shared" si="80"/>
        <v>0</v>
      </c>
      <c r="I190" s="35">
        <f t="shared" si="70"/>
        <v>47989.150000000147</v>
      </c>
      <c r="J190" s="414">
        <f t="shared" si="71"/>
        <v>2.2999999999999998</v>
      </c>
      <c r="K190" s="329">
        <f t="shared" si="81"/>
        <v>0</v>
      </c>
      <c r="L190" s="35">
        <f t="shared" si="72"/>
        <v>0</v>
      </c>
      <c r="M190" s="414">
        <f t="shared" si="73"/>
        <v>0</v>
      </c>
      <c r="N190" s="329">
        <f t="shared" si="82"/>
        <v>0</v>
      </c>
      <c r="O190" s="35">
        <f t="shared" si="74"/>
        <v>0</v>
      </c>
      <c r="P190" s="414">
        <f t="shared" si="75"/>
        <v>0</v>
      </c>
      <c r="Q190" s="329">
        <f t="shared" si="83"/>
        <v>0</v>
      </c>
      <c r="R190" s="35">
        <f t="shared" si="76"/>
        <v>0</v>
      </c>
      <c r="S190" s="414">
        <f t="shared" si="77"/>
        <v>0</v>
      </c>
      <c r="T190" s="880">
        <f>[5]Sheet1!$B604</f>
        <v>4.8294000000000002E-5</v>
      </c>
      <c r="U190" s="10">
        <f t="shared" ref="U190" si="112">A190</f>
        <v>43760</v>
      </c>
      <c r="V190" s="881">
        <f t="shared" ref="V190" si="113">T190*365/(A191-A190)</f>
        <v>1.762731E-2</v>
      </c>
    </row>
    <row r="191" spans="1:22" x14ac:dyDescent="0.25">
      <c r="A191" s="335">
        <f>A190+1</f>
        <v>43761</v>
      </c>
      <c r="B191" s="329">
        <f t="shared" si="78"/>
        <v>0</v>
      </c>
      <c r="C191" s="338">
        <f t="shared" si="66"/>
        <v>307206.49999999907</v>
      </c>
      <c r="D191" s="414">
        <f t="shared" si="67"/>
        <v>14.84</v>
      </c>
      <c r="E191" s="49">
        <f t="shared" si="79"/>
        <v>0</v>
      </c>
      <c r="F191" s="35">
        <f t="shared" si="68"/>
        <v>0</v>
      </c>
      <c r="G191" s="414">
        <f t="shared" si="69"/>
        <v>0</v>
      </c>
      <c r="H191" s="49">
        <f t="shared" si="80"/>
        <v>0</v>
      </c>
      <c r="I191" s="35">
        <f t="shared" si="70"/>
        <v>47989.150000000147</v>
      </c>
      <c r="J191" s="414">
        <f t="shared" si="71"/>
        <v>2.3199999999999998</v>
      </c>
      <c r="K191" s="329">
        <f t="shared" si="81"/>
        <v>0</v>
      </c>
      <c r="L191" s="35">
        <f t="shared" si="72"/>
        <v>0</v>
      </c>
      <c r="M191" s="414">
        <f t="shared" si="73"/>
        <v>0</v>
      </c>
      <c r="N191" s="329">
        <f t="shared" si="82"/>
        <v>0</v>
      </c>
      <c r="O191" s="35">
        <f t="shared" si="74"/>
        <v>0</v>
      </c>
      <c r="P191" s="414">
        <f t="shared" si="75"/>
        <v>0</v>
      </c>
      <c r="Q191" s="329">
        <f t="shared" si="83"/>
        <v>0</v>
      </c>
      <c r="R191" s="35">
        <f t="shared" si="76"/>
        <v>0</v>
      </c>
      <c r="S191" s="414">
        <f t="shared" si="77"/>
        <v>0</v>
      </c>
      <c r="T191" s="880">
        <f>[5]Sheet1!$B605</f>
        <v>4.8133999999999997E-5</v>
      </c>
      <c r="U191" s="10">
        <f t="shared" ref="U191" si="114">A191</f>
        <v>43761</v>
      </c>
      <c r="V191" s="881">
        <f t="shared" ref="V191" si="115">T191*365/(A192-A191)</f>
        <v>1.756891E-2</v>
      </c>
    </row>
    <row r="192" spans="1:22" x14ac:dyDescent="0.25">
      <c r="A192" s="335">
        <f>A191+1</f>
        <v>43762</v>
      </c>
      <c r="B192" s="329">
        <f t="shared" si="78"/>
        <v>0</v>
      </c>
      <c r="C192" s="338">
        <f t="shared" si="66"/>
        <v>307206.49999999907</v>
      </c>
      <c r="D192" s="414">
        <f t="shared" si="67"/>
        <v>14.79</v>
      </c>
      <c r="E192" s="49">
        <f t="shared" si="79"/>
        <v>0</v>
      </c>
      <c r="F192" s="35">
        <f t="shared" si="68"/>
        <v>0</v>
      </c>
      <c r="G192" s="414">
        <f t="shared" si="69"/>
        <v>0</v>
      </c>
      <c r="H192" s="49">
        <f t="shared" si="80"/>
        <v>0</v>
      </c>
      <c r="I192" s="35">
        <f t="shared" si="70"/>
        <v>47989.150000000147</v>
      </c>
      <c r="J192" s="414">
        <f t="shared" si="71"/>
        <v>2.31</v>
      </c>
      <c r="K192" s="329">
        <f t="shared" si="81"/>
        <v>0</v>
      </c>
      <c r="L192" s="35">
        <f t="shared" si="72"/>
        <v>0</v>
      </c>
      <c r="M192" s="414">
        <f t="shared" si="73"/>
        <v>0</v>
      </c>
      <c r="N192" s="329">
        <f t="shared" si="82"/>
        <v>0</v>
      </c>
      <c r="O192" s="35">
        <f t="shared" si="74"/>
        <v>0</v>
      </c>
      <c r="P192" s="414">
        <f t="shared" si="75"/>
        <v>0</v>
      </c>
      <c r="Q192" s="329">
        <f t="shared" si="83"/>
        <v>0</v>
      </c>
      <c r="R192" s="35">
        <f t="shared" si="76"/>
        <v>0</v>
      </c>
      <c r="S192" s="414">
        <f t="shared" si="77"/>
        <v>0</v>
      </c>
      <c r="T192" s="880">
        <f>[5]Sheet1!$B606</f>
        <v>4.8157E-5</v>
      </c>
      <c r="U192" s="10">
        <f t="shared" ref="U192" si="116">A192</f>
        <v>43762</v>
      </c>
      <c r="V192" s="881">
        <f t="shared" ref="V192" si="117">T192*365/(A193-A192)</f>
        <v>1.7577305000000001E-2</v>
      </c>
    </row>
    <row r="193" spans="1:22" x14ac:dyDescent="0.25">
      <c r="A193" s="335">
        <f>A192+1</f>
        <v>43763</v>
      </c>
      <c r="B193" s="329">
        <f t="shared" si="78"/>
        <v>0</v>
      </c>
      <c r="C193" s="338">
        <f t="shared" si="66"/>
        <v>307206.49999999907</v>
      </c>
      <c r="D193" s="414">
        <f t="shared" si="67"/>
        <v>14.79</v>
      </c>
      <c r="E193" s="49">
        <f t="shared" si="79"/>
        <v>0</v>
      </c>
      <c r="F193" s="35">
        <f t="shared" si="68"/>
        <v>0</v>
      </c>
      <c r="G193" s="414">
        <f t="shared" si="69"/>
        <v>0</v>
      </c>
      <c r="H193" s="49">
        <f t="shared" si="80"/>
        <v>0</v>
      </c>
      <c r="I193" s="35">
        <f t="shared" si="70"/>
        <v>47989.150000000147</v>
      </c>
      <c r="J193" s="414">
        <f t="shared" si="71"/>
        <v>2.31</v>
      </c>
      <c r="K193" s="329">
        <f t="shared" si="81"/>
        <v>0</v>
      </c>
      <c r="L193" s="35">
        <f t="shared" si="72"/>
        <v>0</v>
      </c>
      <c r="M193" s="414">
        <f t="shared" si="73"/>
        <v>0</v>
      </c>
      <c r="N193" s="329">
        <f t="shared" si="82"/>
        <v>0</v>
      </c>
      <c r="O193" s="35">
        <f t="shared" si="74"/>
        <v>0</v>
      </c>
      <c r="P193" s="414">
        <f t="shared" si="75"/>
        <v>0</v>
      </c>
      <c r="Q193" s="329">
        <f t="shared" si="83"/>
        <v>0</v>
      </c>
      <c r="R193" s="35">
        <f t="shared" si="76"/>
        <v>0</v>
      </c>
      <c r="S193" s="414">
        <f t="shared" si="77"/>
        <v>0</v>
      </c>
      <c r="T193" s="880">
        <f>[5]Sheet1!$B607</f>
        <v>1.4306099999999999E-4</v>
      </c>
      <c r="U193" s="10">
        <f t="shared" ref="U193" si="118">A193</f>
        <v>43763</v>
      </c>
      <c r="V193" s="881">
        <f t="shared" ref="V193" si="119">T193*365/(A194-A193)</f>
        <v>1.7405754999999998E-2</v>
      </c>
    </row>
    <row r="194" spans="1:22" x14ac:dyDescent="0.25">
      <c r="A194" s="336">
        <f>A193+3</f>
        <v>43766</v>
      </c>
      <c r="B194" s="329">
        <f t="shared" si="78"/>
        <v>0</v>
      </c>
      <c r="C194" s="338">
        <f t="shared" si="66"/>
        <v>307206.49999999907</v>
      </c>
      <c r="D194" s="414">
        <f t="shared" si="67"/>
        <v>43.95</v>
      </c>
      <c r="E194" s="49">
        <f t="shared" si="79"/>
        <v>0</v>
      </c>
      <c r="F194" s="35">
        <f t="shared" si="68"/>
        <v>0</v>
      </c>
      <c r="G194" s="414">
        <f t="shared" si="69"/>
        <v>0</v>
      </c>
      <c r="H194" s="49">
        <f t="shared" si="80"/>
        <v>0</v>
      </c>
      <c r="I194" s="35">
        <f t="shared" si="70"/>
        <v>47989.150000000147</v>
      </c>
      <c r="J194" s="414">
        <f t="shared" si="71"/>
        <v>6.87</v>
      </c>
      <c r="K194" s="329">
        <f t="shared" si="81"/>
        <v>0</v>
      </c>
      <c r="L194" s="35">
        <f t="shared" si="72"/>
        <v>0</v>
      </c>
      <c r="M194" s="414">
        <f t="shared" si="73"/>
        <v>0</v>
      </c>
      <c r="N194" s="329">
        <f t="shared" si="82"/>
        <v>0</v>
      </c>
      <c r="O194" s="35">
        <f t="shared" si="74"/>
        <v>0</v>
      </c>
      <c r="P194" s="414">
        <f t="shared" si="75"/>
        <v>0</v>
      </c>
      <c r="Q194" s="329">
        <f t="shared" si="83"/>
        <v>0</v>
      </c>
      <c r="R194" s="35">
        <f t="shared" si="76"/>
        <v>0</v>
      </c>
      <c r="S194" s="414">
        <f t="shared" si="77"/>
        <v>0</v>
      </c>
      <c r="T194" s="880">
        <f>[5]Sheet1!$B608</f>
        <v>4.7159E-5</v>
      </c>
      <c r="U194" s="10">
        <f t="shared" ref="U194" si="120">A194</f>
        <v>43766</v>
      </c>
      <c r="V194" s="881">
        <f t="shared" ref="V194" si="121">T194*365/(A195-A194)</f>
        <v>1.7213035000000002E-2</v>
      </c>
    </row>
    <row r="195" spans="1:22" x14ac:dyDescent="0.25">
      <c r="A195" s="335">
        <f>A194+1</f>
        <v>43767</v>
      </c>
      <c r="B195" s="329">
        <f t="shared" si="78"/>
        <v>0</v>
      </c>
      <c r="C195" s="338">
        <f t="shared" si="66"/>
        <v>307206.49999999907</v>
      </c>
      <c r="D195" s="414">
        <f t="shared" si="67"/>
        <v>14.49</v>
      </c>
      <c r="E195" s="49">
        <f t="shared" si="79"/>
        <v>0</v>
      </c>
      <c r="F195" s="35">
        <f t="shared" si="68"/>
        <v>0</v>
      </c>
      <c r="G195" s="414">
        <f t="shared" si="69"/>
        <v>0</v>
      </c>
      <c r="H195" s="49">
        <f t="shared" si="80"/>
        <v>0</v>
      </c>
      <c r="I195" s="35">
        <f t="shared" si="70"/>
        <v>47989.150000000147</v>
      </c>
      <c r="J195" s="414">
        <f t="shared" si="71"/>
        <v>2.2599999999999998</v>
      </c>
      <c r="K195" s="329">
        <f t="shared" si="81"/>
        <v>0</v>
      </c>
      <c r="L195" s="35">
        <f t="shared" si="72"/>
        <v>0</v>
      </c>
      <c r="M195" s="414">
        <f t="shared" si="73"/>
        <v>0</v>
      </c>
      <c r="N195" s="329">
        <f t="shared" si="82"/>
        <v>0</v>
      </c>
      <c r="O195" s="35">
        <f t="shared" si="74"/>
        <v>0</v>
      </c>
      <c r="P195" s="414">
        <f t="shared" si="75"/>
        <v>0</v>
      </c>
      <c r="Q195" s="329">
        <f t="shared" si="83"/>
        <v>0</v>
      </c>
      <c r="R195" s="35">
        <f t="shared" si="76"/>
        <v>0</v>
      </c>
      <c r="S195" s="414">
        <f t="shared" si="77"/>
        <v>0</v>
      </c>
      <c r="T195" s="880">
        <f>[5]Sheet1!$B609</f>
        <v>4.7151999999999998E-5</v>
      </c>
      <c r="U195" s="10">
        <f t="shared" ref="U195" si="122">A195</f>
        <v>43767</v>
      </c>
      <c r="V195" s="881">
        <f t="shared" ref="V195" si="123">T195*365/(A196-A195)</f>
        <v>1.721048E-2</v>
      </c>
    </row>
    <row r="196" spans="1:22" x14ac:dyDescent="0.25">
      <c r="A196" s="335">
        <f>A195+1</f>
        <v>43768</v>
      </c>
      <c r="B196" s="329">
        <f t="shared" si="78"/>
        <v>0</v>
      </c>
      <c r="C196" s="338">
        <f t="shared" si="66"/>
        <v>307206.49999999907</v>
      </c>
      <c r="D196" s="414">
        <f t="shared" si="67"/>
        <v>14.49</v>
      </c>
      <c r="E196" s="49">
        <f t="shared" si="79"/>
        <v>0</v>
      </c>
      <c r="F196" s="35">
        <f t="shared" si="68"/>
        <v>0</v>
      </c>
      <c r="G196" s="414">
        <f t="shared" si="69"/>
        <v>0</v>
      </c>
      <c r="H196" s="49">
        <f t="shared" si="80"/>
        <v>0</v>
      </c>
      <c r="I196" s="35">
        <f t="shared" si="70"/>
        <v>47989.150000000147</v>
      </c>
      <c r="J196" s="414">
        <f t="shared" si="71"/>
        <v>2.2599999999999998</v>
      </c>
      <c r="K196" s="329">
        <f t="shared" si="81"/>
        <v>0</v>
      </c>
      <c r="L196" s="35">
        <f t="shared" si="72"/>
        <v>0</v>
      </c>
      <c r="M196" s="414">
        <f t="shared" si="73"/>
        <v>0</v>
      </c>
      <c r="N196" s="329">
        <f t="shared" si="82"/>
        <v>0</v>
      </c>
      <c r="O196" s="35">
        <f t="shared" si="74"/>
        <v>0</v>
      </c>
      <c r="P196" s="414">
        <f t="shared" si="75"/>
        <v>0</v>
      </c>
      <c r="Q196" s="329">
        <f t="shared" si="83"/>
        <v>0</v>
      </c>
      <c r="R196" s="35">
        <f t="shared" si="76"/>
        <v>0</v>
      </c>
      <c r="S196" s="414">
        <f t="shared" si="77"/>
        <v>0</v>
      </c>
      <c r="T196" s="880">
        <f>[5]Sheet1!$B610</f>
        <v>4.7275999999999999E-5</v>
      </c>
      <c r="U196" s="10">
        <f t="shared" ref="U196" si="124">A196</f>
        <v>43768</v>
      </c>
      <c r="V196" s="881">
        <f t="shared" ref="V196" si="125">T196*365/(A197-A196)</f>
        <v>1.7255739999999999E-2</v>
      </c>
    </row>
    <row r="197" spans="1:22" x14ac:dyDescent="0.25">
      <c r="A197" s="335">
        <f>A196+1</f>
        <v>43769</v>
      </c>
      <c r="B197" s="329">
        <f t="shared" si="78"/>
        <v>1509569.88</v>
      </c>
      <c r="C197" s="338">
        <f t="shared" ref="C197:C213" si="126">B197+C196</f>
        <v>1816776.379999999</v>
      </c>
      <c r="D197" s="414">
        <f t="shared" ref="D197:D213" si="127">ROUND(C196*$T196,2)</f>
        <v>14.52</v>
      </c>
      <c r="E197" s="49">
        <f t="shared" si="79"/>
        <v>0</v>
      </c>
      <c r="F197" s="35">
        <f t="shared" ref="F197:F213" si="128">E197+F196</f>
        <v>0</v>
      </c>
      <c r="G197" s="414">
        <f t="shared" ref="G197:G213" si="129">ROUND(F196*$T196,2)</f>
        <v>0</v>
      </c>
      <c r="H197" s="49">
        <f t="shared" si="80"/>
        <v>0</v>
      </c>
      <c r="I197" s="35">
        <f t="shared" ref="I197:I213" si="130">H197+I196</f>
        <v>47989.150000000147</v>
      </c>
      <c r="J197" s="414">
        <f t="shared" ref="J197:J213" si="131">ROUND(I196*$T196,2)</f>
        <v>2.27</v>
      </c>
      <c r="K197" s="329">
        <f t="shared" si="81"/>
        <v>0</v>
      </c>
      <c r="L197" s="35">
        <f t="shared" ref="L197:L213" si="132">K197+L196</f>
        <v>0</v>
      </c>
      <c r="M197" s="414">
        <f t="shared" ref="M197:M213" si="133">ROUND(L196*$T196,2)</f>
        <v>0</v>
      </c>
      <c r="N197" s="329">
        <f t="shared" si="82"/>
        <v>0</v>
      </c>
      <c r="O197" s="35">
        <f t="shared" ref="O197:O213" si="134">N197+O196</f>
        <v>0</v>
      </c>
      <c r="P197" s="414">
        <f t="shared" ref="P197:P213" si="135">ROUND(O196*$T196,2)</f>
        <v>0</v>
      </c>
      <c r="Q197" s="329">
        <f t="shared" si="83"/>
        <v>0</v>
      </c>
      <c r="R197" s="35">
        <f t="shared" ref="R197:R213" si="136">Q197+R196</f>
        <v>0</v>
      </c>
      <c r="S197" s="414">
        <f t="shared" ref="S197:S213" si="137">ROUND(R196*$T196,2)</f>
        <v>0</v>
      </c>
      <c r="T197" s="880">
        <f>[5]Sheet1!$B611</f>
        <v>4.6329000000000003E-5</v>
      </c>
      <c r="U197" s="10">
        <f t="shared" ref="U197" si="138">A197</f>
        <v>43769</v>
      </c>
      <c r="V197" s="881">
        <f t="shared" ref="V197" si="139">T197*365/(A198-A197)</f>
        <v>1.6910085000000002E-2</v>
      </c>
    </row>
    <row r="198" spans="1:22" x14ac:dyDescent="0.25">
      <c r="A198" s="335">
        <f>A197+1</f>
        <v>43770</v>
      </c>
      <c r="B198" s="329">
        <f t="shared" si="78"/>
        <v>0</v>
      </c>
      <c r="C198" s="338">
        <f t="shared" si="126"/>
        <v>1816776.379999999</v>
      </c>
      <c r="D198" s="414">
        <f t="shared" si="127"/>
        <v>84.17</v>
      </c>
      <c r="E198" s="49">
        <f t="shared" si="79"/>
        <v>0</v>
      </c>
      <c r="F198" s="35">
        <f t="shared" si="128"/>
        <v>0</v>
      </c>
      <c r="G198" s="414">
        <f t="shared" si="129"/>
        <v>0</v>
      </c>
      <c r="H198" s="49">
        <f t="shared" si="80"/>
        <v>0</v>
      </c>
      <c r="I198" s="35">
        <f t="shared" si="130"/>
        <v>47989.150000000147</v>
      </c>
      <c r="J198" s="414">
        <f t="shared" si="131"/>
        <v>2.2200000000000002</v>
      </c>
      <c r="K198" s="329">
        <f t="shared" si="81"/>
        <v>0</v>
      </c>
      <c r="L198" s="35">
        <f t="shared" si="132"/>
        <v>0</v>
      </c>
      <c r="M198" s="414">
        <f t="shared" si="133"/>
        <v>0</v>
      </c>
      <c r="N198" s="329">
        <f t="shared" si="82"/>
        <v>0</v>
      </c>
      <c r="O198" s="35">
        <f t="shared" si="134"/>
        <v>0</v>
      </c>
      <c r="P198" s="414">
        <f t="shared" si="135"/>
        <v>0</v>
      </c>
      <c r="Q198" s="329">
        <f t="shared" si="83"/>
        <v>0</v>
      </c>
      <c r="R198" s="35">
        <f t="shared" si="136"/>
        <v>0</v>
      </c>
      <c r="S198" s="414">
        <f t="shared" si="137"/>
        <v>0</v>
      </c>
      <c r="T198" s="880">
        <f>[5]Sheet1!$B612</f>
        <v>1.30338E-4</v>
      </c>
      <c r="U198" s="10">
        <f t="shared" ref="U198" si="140">A198</f>
        <v>43770</v>
      </c>
      <c r="V198" s="881">
        <f t="shared" ref="V198" si="141">T198*365/(A199-A198)</f>
        <v>1.585779E-2</v>
      </c>
    </row>
    <row r="199" spans="1:22" x14ac:dyDescent="0.25">
      <c r="A199" s="336">
        <f>A198+3</f>
        <v>43773</v>
      </c>
      <c r="B199" s="329">
        <f t="shared" ref="B199:B262" si="142">-SUMIFS(CF_Main,CF_Dates,$A199,CF_Descriptions,"MM Sweep")</f>
        <v>-79099.11</v>
      </c>
      <c r="C199" s="338">
        <f t="shared" si="126"/>
        <v>1737677.2699999989</v>
      </c>
      <c r="D199" s="414">
        <f t="shared" si="127"/>
        <v>236.79</v>
      </c>
      <c r="E199" s="49">
        <f t="shared" ref="E199:E262" si="143">-SUMIFS(CF_Main_EUR,CF_Dates,$A199,CF_Descriptions,"MM Sweep")</f>
        <v>0</v>
      </c>
      <c r="F199" s="35">
        <f t="shared" si="128"/>
        <v>0</v>
      </c>
      <c r="G199" s="414">
        <f t="shared" si="129"/>
        <v>0</v>
      </c>
      <c r="H199" s="49">
        <f t="shared" ref="H199:H262" si="144">-SUMIFS(CF_Expenses,CF_Dates,$A199,CF_Descriptions,"MM Sweep")</f>
        <v>66.66</v>
      </c>
      <c r="I199" s="35">
        <f t="shared" si="130"/>
        <v>48055.81000000015</v>
      </c>
      <c r="J199" s="414">
        <f t="shared" si="131"/>
        <v>6.25</v>
      </c>
      <c r="K199" s="329">
        <f t="shared" ref="K199:K262" si="145">-SUMIFS(CF_Margin,CF_Dates,$A199,CF_Descriptions,"MM Sweep")</f>
        <v>0</v>
      </c>
      <c r="L199" s="35">
        <f t="shared" si="132"/>
        <v>0</v>
      </c>
      <c r="M199" s="414">
        <f t="shared" si="133"/>
        <v>0</v>
      </c>
      <c r="N199" s="329">
        <f t="shared" ref="N199:N262" si="146">-SUMIFS(CF_Mgmt,CF_Dates,$A199,CF_Descriptions,"MM Sweep")</f>
        <v>1.02</v>
      </c>
      <c r="O199" s="35">
        <f t="shared" si="134"/>
        <v>1.02</v>
      </c>
      <c r="P199" s="414">
        <f t="shared" si="135"/>
        <v>0</v>
      </c>
      <c r="Q199" s="329">
        <f t="shared" ref="Q199:Q262" si="147">-SUMIFS(CF_SubRedemp,CF_Dates,$A199,CF_Descriptions,"MM Sweep")</f>
        <v>0</v>
      </c>
      <c r="R199" s="35">
        <f t="shared" si="136"/>
        <v>0</v>
      </c>
      <c r="S199" s="414">
        <f t="shared" si="137"/>
        <v>0</v>
      </c>
      <c r="T199" s="880">
        <f>[5]Sheet1!$B613</f>
        <v>4.1983000000000001E-5</v>
      </c>
      <c r="U199" s="10">
        <f t="shared" ref="U199" si="148">A199</f>
        <v>43773</v>
      </c>
      <c r="V199" s="881">
        <f t="shared" ref="V199" si="149">T199*365/(A200-A199)</f>
        <v>1.5323795000000001E-2</v>
      </c>
    </row>
    <row r="200" spans="1:22" x14ac:dyDescent="0.25">
      <c r="A200" s="335">
        <f>A199+1</f>
        <v>43774</v>
      </c>
      <c r="B200" s="329">
        <f t="shared" si="142"/>
        <v>0</v>
      </c>
      <c r="C200" s="338">
        <f t="shared" si="126"/>
        <v>1737677.2699999989</v>
      </c>
      <c r="D200" s="414">
        <f t="shared" si="127"/>
        <v>72.95</v>
      </c>
      <c r="E200" s="49">
        <f t="shared" si="143"/>
        <v>0</v>
      </c>
      <c r="F200" s="35">
        <f t="shared" si="128"/>
        <v>0</v>
      </c>
      <c r="G200" s="414">
        <f t="shared" si="129"/>
        <v>0</v>
      </c>
      <c r="H200" s="49">
        <f t="shared" si="144"/>
        <v>0</v>
      </c>
      <c r="I200" s="35">
        <f t="shared" si="130"/>
        <v>48055.81000000015</v>
      </c>
      <c r="J200" s="414">
        <f t="shared" si="131"/>
        <v>2.02</v>
      </c>
      <c r="K200" s="329">
        <f t="shared" si="145"/>
        <v>0</v>
      </c>
      <c r="L200" s="35">
        <f t="shared" si="132"/>
        <v>0</v>
      </c>
      <c r="M200" s="414">
        <f t="shared" si="133"/>
        <v>0</v>
      </c>
      <c r="N200" s="329">
        <f t="shared" si="146"/>
        <v>0</v>
      </c>
      <c r="O200" s="35">
        <f t="shared" si="134"/>
        <v>1.02</v>
      </c>
      <c r="P200" s="414">
        <f t="shared" si="135"/>
        <v>0</v>
      </c>
      <c r="Q200" s="329">
        <f t="shared" si="147"/>
        <v>0</v>
      </c>
      <c r="R200" s="35">
        <f t="shared" si="136"/>
        <v>0</v>
      </c>
      <c r="S200" s="414">
        <f t="shared" si="137"/>
        <v>0</v>
      </c>
      <c r="T200" s="880">
        <f>[5]Sheet1!$B614</f>
        <v>4.248E-5</v>
      </c>
      <c r="U200" s="10">
        <f t="shared" ref="U200" si="150">A200</f>
        <v>43774</v>
      </c>
      <c r="V200" s="881">
        <f t="shared" ref="V200" si="151">T200*365/(A201-A200)</f>
        <v>1.55052E-2</v>
      </c>
    </row>
    <row r="201" spans="1:22" x14ac:dyDescent="0.25">
      <c r="A201" s="335">
        <f>A200+1</f>
        <v>43775</v>
      </c>
      <c r="B201" s="329">
        <f t="shared" si="142"/>
        <v>-734936.13</v>
      </c>
      <c r="C201" s="338">
        <f t="shared" si="126"/>
        <v>1002741.1399999988</v>
      </c>
      <c r="D201" s="414">
        <f t="shared" si="127"/>
        <v>73.819999999999993</v>
      </c>
      <c r="E201" s="49">
        <f t="shared" si="143"/>
        <v>0</v>
      </c>
      <c r="F201" s="35">
        <f t="shared" si="128"/>
        <v>0</v>
      </c>
      <c r="G201" s="414">
        <f t="shared" si="129"/>
        <v>0</v>
      </c>
      <c r="H201" s="49">
        <f t="shared" si="144"/>
        <v>0</v>
      </c>
      <c r="I201" s="35">
        <f t="shared" si="130"/>
        <v>48055.81000000015</v>
      </c>
      <c r="J201" s="414">
        <f t="shared" si="131"/>
        <v>2.04</v>
      </c>
      <c r="K201" s="329">
        <f t="shared" si="145"/>
        <v>0</v>
      </c>
      <c r="L201" s="35">
        <f t="shared" si="132"/>
        <v>0</v>
      </c>
      <c r="M201" s="414">
        <f t="shared" si="133"/>
        <v>0</v>
      </c>
      <c r="N201" s="329">
        <f t="shared" si="146"/>
        <v>0</v>
      </c>
      <c r="O201" s="35">
        <f t="shared" si="134"/>
        <v>1.02</v>
      </c>
      <c r="P201" s="414">
        <f t="shared" si="135"/>
        <v>0</v>
      </c>
      <c r="Q201" s="329">
        <f t="shared" si="147"/>
        <v>0</v>
      </c>
      <c r="R201" s="35">
        <f t="shared" si="136"/>
        <v>0</v>
      </c>
      <c r="S201" s="414">
        <f t="shared" si="137"/>
        <v>0</v>
      </c>
      <c r="T201" s="880">
        <f>[5]Sheet1!$B615</f>
        <v>4.2456999999999997E-5</v>
      </c>
      <c r="U201" s="10">
        <f t="shared" ref="U201" si="152">A201</f>
        <v>43775</v>
      </c>
      <c r="V201" s="881">
        <f t="shared" ref="V201" si="153">T201*365/(A202-A201)</f>
        <v>1.5496804999999999E-2</v>
      </c>
    </row>
    <row r="202" spans="1:22" x14ac:dyDescent="0.25">
      <c r="A202" s="335">
        <f>A201+1</f>
        <v>43776</v>
      </c>
      <c r="B202" s="329">
        <f t="shared" si="142"/>
        <v>0</v>
      </c>
      <c r="C202" s="338">
        <f t="shared" si="126"/>
        <v>1002741.1399999988</v>
      </c>
      <c r="D202" s="414">
        <f t="shared" si="127"/>
        <v>42.57</v>
      </c>
      <c r="E202" s="49">
        <f t="shared" si="143"/>
        <v>0</v>
      </c>
      <c r="F202" s="35">
        <f t="shared" si="128"/>
        <v>0</v>
      </c>
      <c r="G202" s="414">
        <f t="shared" si="129"/>
        <v>0</v>
      </c>
      <c r="H202" s="49">
        <f t="shared" si="144"/>
        <v>0</v>
      </c>
      <c r="I202" s="35">
        <f t="shared" si="130"/>
        <v>48055.81000000015</v>
      </c>
      <c r="J202" s="414">
        <f t="shared" si="131"/>
        <v>2.04</v>
      </c>
      <c r="K202" s="329">
        <f t="shared" si="145"/>
        <v>0</v>
      </c>
      <c r="L202" s="35">
        <f t="shared" si="132"/>
        <v>0</v>
      </c>
      <c r="M202" s="414">
        <f t="shared" si="133"/>
        <v>0</v>
      </c>
      <c r="N202" s="329">
        <f t="shared" si="146"/>
        <v>0</v>
      </c>
      <c r="O202" s="35">
        <f t="shared" si="134"/>
        <v>1.02</v>
      </c>
      <c r="P202" s="414">
        <f t="shared" si="135"/>
        <v>0</v>
      </c>
      <c r="Q202" s="329">
        <f t="shared" si="147"/>
        <v>0</v>
      </c>
      <c r="R202" s="35">
        <f t="shared" si="136"/>
        <v>0</v>
      </c>
      <c r="S202" s="414">
        <f t="shared" si="137"/>
        <v>0</v>
      </c>
      <c r="T202" s="880">
        <f>[5]Sheet1!$B616</f>
        <v>4.2385000000000002E-5</v>
      </c>
      <c r="U202" s="10">
        <f t="shared" ref="U202" si="154">A202</f>
        <v>43776</v>
      </c>
      <c r="V202" s="881">
        <f t="shared" ref="V202" si="155">T202*365/(A203-A202)</f>
        <v>1.5470525000000001E-2</v>
      </c>
    </row>
    <row r="203" spans="1:22" x14ac:dyDescent="0.25">
      <c r="A203" s="335">
        <f>A202+1</f>
        <v>43777</v>
      </c>
      <c r="B203" s="329">
        <f t="shared" si="142"/>
        <v>0</v>
      </c>
      <c r="C203" s="338">
        <f t="shared" si="126"/>
        <v>1002741.1399999988</v>
      </c>
      <c r="D203" s="414">
        <f t="shared" si="127"/>
        <v>42.5</v>
      </c>
      <c r="E203" s="49">
        <f t="shared" si="143"/>
        <v>0</v>
      </c>
      <c r="F203" s="35">
        <f t="shared" si="128"/>
        <v>0</v>
      </c>
      <c r="G203" s="414">
        <f t="shared" si="129"/>
        <v>0</v>
      </c>
      <c r="H203" s="49">
        <f t="shared" si="144"/>
        <v>0</v>
      </c>
      <c r="I203" s="35">
        <f t="shared" si="130"/>
        <v>48055.81000000015</v>
      </c>
      <c r="J203" s="414">
        <f t="shared" si="131"/>
        <v>2.04</v>
      </c>
      <c r="K203" s="329">
        <f t="shared" si="145"/>
        <v>0</v>
      </c>
      <c r="L203" s="35">
        <f t="shared" si="132"/>
        <v>0</v>
      </c>
      <c r="M203" s="414">
        <f t="shared" si="133"/>
        <v>0</v>
      </c>
      <c r="N203" s="329">
        <f t="shared" si="146"/>
        <v>0</v>
      </c>
      <c r="O203" s="35">
        <f t="shared" si="134"/>
        <v>1.02</v>
      </c>
      <c r="P203" s="414">
        <f t="shared" si="135"/>
        <v>0</v>
      </c>
      <c r="Q203" s="329">
        <f t="shared" si="147"/>
        <v>0</v>
      </c>
      <c r="R203" s="35">
        <f t="shared" si="136"/>
        <v>0</v>
      </c>
      <c r="S203" s="414">
        <f t="shared" si="137"/>
        <v>0</v>
      </c>
      <c r="T203" s="880">
        <f>[5]Sheet1!$B617</f>
        <v>1.2690100000000001E-4</v>
      </c>
      <c r="U203" s="10">
        <f t="shared" ref="U203:U204" si="156">A203</f>
        <v>43777</v>
      </c>
      <c r="V203" s="881">
        <f t="shared" ref="V203:V204" si="157">T203*365/(A204-A203)</f>
        <v>1.5439621666666667E-2</v>
      </c>
    </row>
    <row r="204" spans="1:22" x14ac:dyDescent="0.25">
      <c r="A204" s="336">
        <f>A203+3</f>
        <v>43780</v>
      </c>
      <c r="B204" s="329">
        <f t="shared" si="142"/>
        <v>0</v>
      </c>
      <c r="C204" s="338">
        <f t="shared" si="126"/>
        <v>1002741.1399999988</v>
      </c>
      <c r="D204" s="414">
        <f t="shared" si="127"/>
        <v>127.25</v>
      </c>
      <c r="E204" s="49">
        <f t="shared" si="143"/>
        <v>0</v>
      </c>
      <c r="F204" s="35">
        <f t="shared" si="128"/>
        <v>0</v>
      </c>
      <c r="G204" s="414">
        <f t="shared" si="129"/>
        <v>0</v>
      </c>
      <c r="H204" s="49">
        <f t="shared" si="144"/>
        <v>0</v>
      </c>
      <c r="I204" s="35">
        <f t="shared" si="130"/>
        <v>48055.81000000015</v>
      </c>
      <c r="J204" s="414">
        <f t="shared" si="131"/>
        <v>6.1</v>
      </c>
      <c r="K204" s="329">
        <f t="shared" si="145"/>
        <v>0</v>
      </c>
      <c r="L204" s="35">
        <f t="shared" si="132"/>
        <v>0</v>
      </c>
      <c r="M204" s="414">
        <f t="shared" si="133"/>
        <v>0</v>
      </c>
      <c r="N204" s="329">
        <f t="shared" si="146"/>
        <v>0</v>
      </c>
      <c r="O204" s="35">
        <f t="shared" si="134"/>
        <v>1.02</v>
      </c>
      <c r="P204" s="414">
        <f t="shared" si="135"/>
        <v>0</v>
      </c>
      <c r="Q204" s="329">
        <f t="shared" si="147"/>
        <v>0</v>
      </c>
      <c r="R204" s="35">
        <f t="shared" si="136"/>
        <v>0</v>
      </c>
      <c r="S204" s="414">
        <f t="shared" si="137"/>
        <v>0</v>
      </c>
      <c r="T204" s="880">
        <f>[5]Sheet1!$B618</f>
        <v>4.2284999999999999E-5</v>
      </c>
      <c r="U204" s="10">
        <f t="shared" si="156"/>
        <v>43780</v>
      </c>
      <c r="V204" s="881">
        <f t="shared" si="157"/>
        <v>1.5434025000000001E-2</v>
      </c>
    </row>
    <row r="205" spans="1:22" x14ac:dyDescent="0.25">
      <c r="A205" s="335">
        <f>A204+1</f>
        <v>43781</v>
      </c>
      <c r="B205" s="329">
        <f t="shared" si="142"/>
        <v>0</v>
      </c>
      <c r="C205" s="338">
        <f t="shared" si="126"/>
        <v>1002741.1399999988</v>
      </c>
      <c r="D205" s="414">
        <f t="shared" si="127"/>
        <v>42.4</v>
      </c>
      <c r="E205" s="49">
        <f t="shared" si="143"/>
        <v>0</v>
      </c>
      <c r="F205" s="35">
        <f t="shared" si="128"/>
        <v>0</v>
      </c>
      <c r="G205" s="414">
        <f t="shared" si="129"/>
        <v>0</v>
      </c>
      <c r="H205" s="49">
        <f t="shared" si="144"/>
        <v>0</v>
      </c>
      <c r="I205" s="35">
        <f t="shared" si="130"/>
        <v>48055.81000000015</v>
      </c>
      <c r="J205" s="414">
        <f t="shared" si="131"/>
        <v>2.0299999999999998</v>
      </c>
      <c r="K205" s="329">
        <f t="shared" si="145"/>
        <v>0</v>
      </c>
      <c r="L205" s="35">
        <f t="shared" si="132"/>
        <v>0</v>
      </c>
      <c r="M205" s="414">
        <f t="shared" si="133"/>
        <v>0</v>
      </c>
      <c r="N205" s="329">
        <f t="shared" si="146"/>
        <v>0</v>
      </c>
      <c r="O205" s="35">
        <f t="shared" si="134"/>
        <v>1.02</v>
      </c>
      <c r="P205" s="414">
        <f t="shared" si="135"/>
        <v>0</v>
      </c>
      <c r="Q205" s="329">
        <f t="shared" si="147"/>
        <v>0</v>
      </c>
      <c r="R205" s="35">
        <f t="shared" si="136"/>
        <v>0</v>
      </c>
      <c r="S205" s="414">
        <f t="shared" si="137"/>
        <v>0</v>
      </c>
      <c r="T205" s="880">
        <f>[5]Sheet1!$B619</f>
        <v>4.2367999999999998E-5</v>
      </c>
      <c r="U205" s="10">
        <f t="shared" ref="U205" si="158">A205</f>
        <v>43781</v>
      </c>
      <c r="V205" s="881">
        <f t="shared" ref="V205" si="159">T205*365/(A206-A205)</f>
        <v>1.546432E-2</v>
      </c>
    </row>
    <row r="206" spans="1:22" x14ac:dyDescent="0.25">
      <c r="A206" s="335">
        <f>A205+1</f>
        <v>43782</v>
      </c>
      <c r="B206" s="329">
        <f t="shared" si="142"/>
        <v>0</v>
      </c>
      <c r="C206" s="338">
        <f t="shared" si="126"/>
        <v>1002741.1399999988</v>
      </c>
      <c r="D206" s="414">
        <f t="shared" si="127"/>
        <v>42.48</v>
      </c>
      <c r="E206" s="49">
        <f t="shared" si="143"/>
        <v>0</v>
      </c>
      <c r="F206" s="35">
        <f t="shared" si="128"/>
        <v>0</v>
      </c>
      <c r="G206" s="414">
        <f t="shared" si="129"/>
        <v>0</v>
      </c>
      <c r="H206" s="49">
        <f t="shared" si="144"/>
        <v>0</v>
      </c>
      <c r="I206" s="35">
        <f t="shared" si="130"/>
        <v>48055.81000000015</v>
      </c>
      <c r="J206" s="414">
        <f t="shared" si="131"/>
        <v>2.04</v>
      </c>
      <c r="K206" s="329">
        <f t="shared" si="145"/>
        <v>0</v>
      </c>
      <c r="L206" s="35">
        <f t="shared" si="132"/>
        <v>0</v>
      </c>
      <c r="M206" s="414">
        <f t="shared" si="133"/>
        <v>0</v>
      </c>
      <c r="N206" s="329">
        <f t="shared" si="146"/>
        <v>0</v>
      </c>
      <c r="O206" s="35">
        <f t="shared" si="134"/>
        <v>1.02</v>
      </c>
      <c r="P206" s="414">
        <f t="shared" si="135"/>
        <v>0</v>
      </c>
      <c r="Q206" s="329">
        <f t="shared" si="147"/>
        <v>0</v>
      </c>
      <c r="R206" s="35">
        <f t="shared" si="136"/>
        <v>0</v>
      </c>
      <c r="S206" s="414">
        <f t="shared" si="137"/>
        <v>0</v>
      </c>
      <c r="T206" s="880">
        <f>[5]Sheet1!$B620</f>
        <v>4.2355999999999999E-5</v>
      </c>
      <c r="U206" s="10">
        <f t="shared" ref="U206" si="160">A206</f>
        <v>43782</v>
      </c>
      <c r="V206" s="881">
        <f t="shared" ref="V206" si="161">T206*365/(A207-A206)</f>
        <v>1.545994E-2</v>
      </c>
    </row>
    <row r="207" spans="1:22" x14ac:dyDescent="0.25">
      <c r="A207" s="335">
        <f>A206+1</f>
        <v>43783</v>
      </c>
      <c r="B207" s="329">
        <f t="shared" si="142"/>
        <v>0</v>
      </c>
      <c r="C207" s="338">
        <f t="shared" si="126"/>
        <v>1002741.1399999988</v>
      </c>
      <c r="D207" s="414">
        <f t="shared" si="127"/>
        <v>42.47</v>
      </c>
      <c r="E207" s="49">
        <f t="shared" si="143"/>
        <v>0</v>
      </c>
      <c r="F207" s="35">
        <f t="shared" si="128"/>
        <v>0</v>
      </c>
      <c r="G207" s="414">
        <f t="shared" si="129"/>
        <v>0</v>
      </c>
      <c r="H207" s="49">
        <f t="shared" si="144"/>
        <v>0</v>
      </c>
      <c r="I207" s="35">
        <f t="shared" si="130"/>
        <v>48055.81000000015</v>
      </c>
      <c r="J207" s="414">
        <f t="shared" si="131"/>
        <v>2.04</v>
      </c>
      <c r="K207" s="329">
        <f t="shared" si="145"/>
        <v>0</v>
      </c>
      <c r="L207" s="35">
        <f t="shared" si="132"/>
        <v>0</v>
      </c>
      <c r="M207" s="414">
        <f t="shared" si="133"/>
        <v>0</v>
      </c>
      <c r="N207" s="329">
        <f t="shared" si="146"/>
        <v>0</v>
      </c>
      <c r="O207" s="35">
        <f t="shared" si="134"/>
        <v>1.02</v>
      </c>
      <c r="P207" s="414">
        <f t="shared" si="135"/>
        <v>0</v>
      </c>
      <c r="Q207" s="329">
        <f t="shared" si="147"/>
        <v>0</v>
      </c>
      <c r="R207" s="35">
        <f t="shared" si="136"/>
        <v>0</v>
      </c>
      <c r="S207" s="414">
        <f t="shared" si="137"/>
        <v>0</v>
      </c>
      <c r="T207" s="880">
        <f>[5]Sheet1!$B621</f>
        <v>4.2469999999999998E-5</v>
      </c>
      <c r="U207" s="10">
        <f t="shared" ref="U207" si="162">A207</f>
        <v>43783</v>
      </c>
      <c r="V207" s="881">
        <f t="shared" ref="V207" si="163">T207*365/(A208-A207)</f>
        <v>1.5501549999999999E-2</v>
      </c>
    </row>
    <row r="208" spans="1:22" x14ac:dyDescent="0.25">
      <c r="A208" s="335">
        <f>A207+1</f>
        <v>43784</v>
      </c>
      <c r="B208" s="329">
        <f t="shared" si="142"/>
        <v>-115506.36</v>
      </c>
      <c r="C208" s="338">
        <f t="shared" si="126"/>
        <v>887234.77999999886</v>
      </c>
      <c r="D208" s="414">
        <f t="shared" si="127"/>
        <v>42.59</v>
      </c>
      <c r="E208" s="49">
        <f t="shared" si="143"/>
        <v>0</v>
      </c>
      <c r="F208" s="35">
        <f t="shared" si="128"/>
        <v>0</v>
      </c>
      <c r="G208" s="414">
        <f t="shared" si="129"/>
        <v>0</v>
      </c>
      <c r="H208" s="49">
        <f t="shared" si="144"/>
        <v>6537.47</v>
      </c>
      <c r="I208" s="35">
        <f t="shared" si="130"/>
        <v>54593.280000000152</v>
      </c>
      <c r="J208" s="414">
        <f t="shared" si="131"/>
        <v>2.04</v>
      </c>
      <c r="K208" s="329">
        <f t="shared" si="145"/>
        <v>0</v>
      </c>
      <c r="L208" s="35">
        <f t="shared" si="132"/>
        <v>0</v>
      </c>
      <c r="M208" s="414">
        <f t="shared" si="133"/>
        <v>0</v>
      </c>
      <c r="N208" s="329">
        <f t="shared" si="146"/>
        <v>19179.59</v>
      </c>
      <c r="O208" s="35">
        <f t="shared" si="134"/>
        <v>19180.61</v>
      </c>
      <c r="P208" s="414">
        <f t="shared" si="135"/>
        <v>0</v>
      </c>
      <c r="Q208" s="329">
        <f t="shared" si="147"/>
        <v>0</v>
      </c>
      <c r="R208" s="35">
        <f t="shared" si="136"/>
        <v>0</v>
      </c>
      <c r="S208" s="414">
        <f t="shared" si="137"/>
        <v>0</v>
      </c>
      <c r="T208" s="880">
        <f>[5]Sheet1!$B622</f>
        <v>1.26914E-4</v>
      </c>
      <c r="U208" s="10">
        <f t="shared" ref="U208" si="164">A208</f>
        <v>43784</v>
      </c>
      <c r="V208" s="881">
        <f t="shared" ref="V208" si="165">T208*365/(A209-A208)</f>
        <v>1.5441203333333334E-2</v>
      </c>
    </row>
    <row r="209" spans="1:22" x14ac:dyDescent="0.25">
      <c r="A209" s="336">
        <f>A208+3</f>
        <v>43787</v>
      </c>
      <c r="B209" s="329">
        <f t="shared" si="142"/>
        <v>0</v>
      </c>
      <c r="C209" s="338">
        <f t="shared" si="126"/>
        <v>887234.77999999886</v>
      </c>
      <c r="D209" s="414">
        <f t="shared" si="127"/>
        <v>112.6</v>
      </c>
      <c r="E209" s="49">
        <f t="shared" si="143"/>
        <v>0</v>
      </c>
      <c r="F209" s="35">
        <f t="shared" si="128"/>
        <v>0</v>
      </c>
      <c r="G209" s="414">
        <f t="shared" si="129"/>
        <v>0</v>
      </c>
      <c r="H209" s="49">
        <f t="shared" si="144"/>
        <v>0</v>
      </c>
      <c r="I209" s="35">
        <f t="shared" si="130"/>
        <v>54593.280000000152</v>
      </c>
      <c r="J209" s="414">
        <f t="shared" si="131"/>
        <v>6.93</v>
      </c>
      <c r="K209" s="329">
        <f t="shared" si="145"/>
        <v>0</v>
      </c>
      <c r="L209" s="35">
        <f t="shared" si="132"/>
        <v>0</v>
      </c>
      <c r="M209" s="414">
        <f t="shared" si="133"/>
        <v>0</v>
      </c>
      <c r="N209" s="329">
        <f t="shared" si="146"/>
        <v>0</v>
      </c>
      <c r="O209" s="35">
        <f t="shared" si="134"/>
        <v>19180.61</v>
      </c>
      <c r="P209" s="414">
        <f t="shared" si="135"/>
        <v>2.4300000000000002</v>
      </c>
      <c r="Q209" s="329">
        <f t="shared" si="147"/>
        <v>0</v>
      </c>
      <c r="R209" s="35">
        <f t="shared" si="136"/>
        <v>0</v>
      </c>
      <c r="S209" s="414">
        <f t="shared" si="137"/>
        <v>0</v>
      </c>
      <c r="T209" s="880">
        <f>[5]Sheet1!$B623</f>
        <v>4.2116000000000001E-5</v>
      </c>
      <c r="U209" s="10">
        <f>A209</f>
        <v>43787</v>
      </c>
      <c r="V209" s="881">
        <f>T209*365/(A210-A209)</f>
        <v>1.537234E-2</v>
      </c>
    </row>
    <row r="210" spans="1:22" x14ac:dyDescent="0.25">
      <c r="A210" s="335">
        <f>A209+1</f>
        <v>43788</v>
      </c>
      <c r="B210" s="329">
        <f t="shared" si="142"/>
        <v>0</v>
      </c>
      <c r="C210" s="338">
        <f t="shared" si="126"/>
        <v>887234.77999999886</v>
      </c>
      <c r="D210" s="414">
        <f t="shared" si="127"/>
        <v>37.369999999999997</v>
      </c>
      <c r="E210" s="49">
        <f t="shared" si="143"/>
        <v>0</v>
      </c>
      <c r="F210" s="35">
        <f t="shared" si="128"/>
        <v>0</v>
      </c>
      <c r="G210" s="414">
        <f t="shared" si="129"/>
        <v>0</v>
      </c>
      <c r="H210" s="49">
        <f t="shared" si="144"/>
        <v>-103</v>
      </c>
      <c r="I210" s="35">
        <f t="shared" si="130"/>
        <v>54490.280000000152</v>
      </c>
      <c r="J210" s="414">
        <f t="shared" si="131"/>
        <v>2.2999999999999998</v>
      </c>
      <c r="K210" s="329">
        <f t="shared" si="145"/>
        <v>0</v>
      </c>
      <c r="L210" s="35">
        <f t="shared" si="132"/>
        <v>0</v>
      </c>
      <c r="M210" s="414">
        <f t="shared" si="133"/>
        <v>0</v>
      </c>
      <c r="N210" s="329">
        <f t="shared" si="146"/>
        <v>-19179.59</v>
      </c>
      <c r="O210" s="35">
        <f t="shared" si="134"/>
        <v>1.0200000000004366</v>
      </c>
      <c r="P210" s="414">
        <f t="shared" si="135"/>
        <v>0.81</v>
      </c>
      <c r="Q210" s="329">
        <f t="shared" si="147"/>
        <v>0</v>
      </c>
      <c r="R210" s="35">
        <f t="shared" si="136"/>
        <v>0</v>
      </c>
      <c r="S210" s="414">
        <f t="shared" si="137"/>
        <v>0</v>
      </c>
      <c r="T210" s="880">
        <f>[5]Sheet1!$B624</f>
        <v>4.1936E-5</v>
      </c>
      <c r="U210" s="10">
        <f>A210</f>
        <v>43788</v>
      </c>
      <c r="V210" s="881">
        <f>T210*365/(A211-A210)</f>
        <v>1.530664E-2</v>
      </c>
    </row>
    <row r="211" spans="1:22" x14ac:dyDescent="0.25">
      <c r="A211" s="335">
        <f>A210+1</f>
        <v>43789</v>
      </c>
      <c r="B211" s="329">
        <f t="shared" si="142"/>
        <v>0</v>
      </c>
      <c r="C211" s="338">
        <f t="shared" si="126"/>
        <v>887234.77999999886</v>
      </c>
      <c r="D211" s="414">
        <f t="shared" si="127"/>
        <v>37.21</v>
      </c>
      <c r="E211" s="49">
        <f t="shared" si="143"/>
        <v>0</v>
      </c>
      <c r="F211" s="35">
        <f t="shared" si="128"/>
        <v>0</v>
      </c>
      <c r="G211" s="414">
        <f t="shared" si="129"/>
        <v>0</v>
      </c>
      <c r="H211" s="49">
        <f t="shared" si="144"/>
        <v>0</v>
      </c>
      <c r="I211" s="35">
        <f t="shared" si="130"/>
        <v>54490.280000000152</v>
      </c>
      <c r="J211" s="414">
        <f t="shared" si="131"/>
        <v>2.29</v>
      </c>
      <c r="K211" s="329">
        <f t="shared" si="145"/>
        <v>0</v>
      </c>
      <c r="L211" s="35">
        <f t="shared" si="132"/>
        <v>0</v>
      </c>
      <c r="M211" s="414">
        <f t="shared" si="133"/>
        <v>0</v>
      </c>
      <c r="N211" s="329">
        <f t="shared" si="146"/>
        <v>0</v>
      </c>
      <c r="O211" s="35">
        <f t="shared" si="134"/>
        <v>1.0200000000004366</v>
      </c>
      <c r="P211" s="414">
        <f t="shared" si="135"/>
        <v>0</v>
      </c>
      <c r="Q211" s="329">
        <f t="shared" si="147"/>
        <v>0</v>
      </c>
      <c r="R211" s="35">
        <f t="shared" si="136"/>
        <v>0</v>
      </c>
      <c r="S211" s="414">
        <f t="shared" si="137"/>
        <v>0</v>
      </c>
      <c r="T211" s="880">
        <f>[5]Sheet1!$B625</f>
        <v>4.2067000000000002E-5</v>
      </c>
      <c r="U211" s="10">
        <f>A211</f>
        <v>43789</v>
      </c>
      <c r="V211" s="881">
        <f>T211*365/(A212-A211)</f>
        <v>1.5354455000000001E-2</v>
      </c>
    </row>
    <row r="212" spans="1:22" x14ac:dyDescent="0.25">
      <c r="A212" s="335">
        <f>A211+1</f>
        <v>43790</v>
      </c>
      <c r="B212" s="329">
        <f t="shared" si="142"/>
        <v>0</v>
      </c>
      <c r="C212" s="338">
        <f t="shared" si="126"/>
        <v>887234.77999999886</v>
      </c>
      <c r="D212" s="414">
        <f t="shared" si="127"/>
        <v>37.32</v>
      </c>
      <c r="E212" s="49">
        <f t="shared" si="143"/>
        <v>0</v>
      </c>
      <c r="F212" s="35">
        <f t="shared" si="128"/>
        <v>0</v>
      </c>
      <c r="G212" s="414">
        <f t="shared" si="129"/>
        <v>0</v>
      </c>
      <c r="H212" s="49">
        <f t="shared" si="144"/>
        <v>0</v>
      </c>
      <c r="I212" s="35">
        <f t="shared" si="130"/>
        <v>54490.280000000152</v>
      </c>
      <c r="J212" s="414">
        <f t="shared" si="131"/>
        <v>2.29</v>
      </c>
      <c r="K212" s="329">
        <f t="shared" si="145"/>
        <v>0</v>
      </c>
      <c r="L212" s="35">
        <f t="shared" si="132"/>
        <v>0</v>
      </c>
      <c r="M212" s="414">
        <f t="shared" si="133"/>
        <v>0</v>
      </c>
      <c r="N212" s="329">
        <f t="shared" si="146"/>
        <v>0</v>
      </c>
      <c r="O212" s="35">
        <f t="shared" si="134"/>
        <v>1.0200000000004366</v>
      </c>
      <c r="P212" s="414">
        <f t="shared" si="135"/>
        <v>0</v>
      </c>
      <c r="Q212" s="329">
        <f t="shared" si="147"/>
        <v>0</v>
      </c>
      <c r="R212" s="35">
        <f t="shared" si="136"/>
        <v>0</v>
      </c>
      <c r="S212" s="414">
        <f t="shared" si="137"/>
        <v>0</v>
      </c>
      <c r="T212" s="880">
        <f>[5]Sheet1!$B626</f>
        <v>4.1989000000000001E-5</v>
      </c>
      <c r="U212" s="10">
        <f t="shared" ref="U212:U213" si="166">A212</f>
        <v>43790</v>
      </c>
      <c r="V212" s="881">
        <f t="shared" ref="V212:V213" si="167">T212*365/(A213-A212)</f>
        <v>1.5325985E-2</v>
      </c>
    </row>
    <row r="213" spans="1:22" x14ac:dyDescent="0.25">
      <c r="A213" s="335">
        <f>A212+1</f>
        <v>43791</v>
      </c>
      <c r="B213" s="329">
        <f t="shared" si="142"/>
        <v>-101319.98</v>
      </c>
      <c r="C213" s="338">
        <f t="shared" si="126"/>
        <v>785914.79999999888</v>
      </c>
      <c r="D213" s="414">
        <f t="shared" si="127"/>
        <v>37.25</v>
      </c>
      <c r="E213" s="49">
        <f t="shared" si="143"/>
        <v>0</v>
      </c>
      <c r="F213" s="35">
        <f t="shared" si="128"/>
        <v>0</v>
      </c>
      <c r="G213" s="414">
        <f t="shared" si="129"/>
        <v>0</v>
      </c>
      <c r="H213" s="49">
        <f t="shared" si="144"/>
        <v>0</v>
      </c>
      <c r="I213" s="35">
        <f t="shared" si="130"/>
        <v>54490.280000000152</v>
      </c>
      <c r="J213" s="414">
        <f t="shared" si="131"/>
        <v>2.29</v>
      </c>
      <c r="K213" s="329">
        <f t="shared" si="145"/>
        <v>0</v>
      </c>
      <c r="L213" s="35">
        <f t="shared" si="132"/>
        <v>0</v>
      </c>
      <c r="M213" s="414">
        <f t="shared" si="133"/>
        <v>0</v>
      </c>
      <c r="N213" s="329">
        <f t="shared" si="146"/>
        <v>0</v>
      </c>
      <c r="O213" s="35">
        <f t="shared" si="134"/>
        <v>1.0200000000004366</v>
      </c>
      <c r="P213" s="414">
        <f t="shared" si="135"/>
        <v>0</v>
      </c>
      <c r="Q213" s="329">
        <f t="shared" si="147"/>
        <v>0</v>
      </c>
      <c r="R213" s="35">
        <f t="shared" si="136"/>
        <v>0</v>
      </c>
      <c r="S213" s="414">
        <f t="shared" si="137"/>
        <v>0</v>
      </c>
      <c r="T213" s="880">
        <f>[5]Sheet1!$B627</f>
        <v>1.2676699999999999E-4</v>
      </c>
      <c r="U213" s="10">
        <f t="shared" si="166"/>
        <v>43791</v>
      </c>
      <c r="V213" s="881">
        <f t="shared" si="167"/>
        <v>1.5423318333333332E-2</v>
      </c>
    </row>
    <row r="214" spans="1:22" x14ac:dyDescent="0.25">
      <c r="A214" s="336">
        <f>A213+3</f>
        <v>43794</v>
      </c>
      <c r="B214" s="329">
        <f t="shared" si="142"/>
        <v>495547.44</v>
      </c>
      <c r="C214" s="338">
        <f t="shared" ref="C214:C232" si="168">B214+C213</f>
        <v>1281462.2399999988</v>
      </c>
      <c r="D214" s="414">
        <f t="shared" ref="D214:D232" si="169">ROUND(C213*$T213,2)</f>
        <v>99.63</v>
      </c>
      <c r="E214" s="49">
        <f t="shared" si="143"/>
        <v>0</v>
      </c>
      <c r="F214" s="35">
        <f t="shared" ref="F214:F232" si="170">E214+F213</f>
        <v>0</v>
      </c>
      <c r="G214" s="414">
        <f t="shared" ref="G214:G232" si="171">ROUND(F213*$T213,2)</f>
        <v>0</v>
      </c>
      <c r="H214" s="49">
        <f t="shared" si="144"/>
        <v>0</v>
      </c>
      <c r="I214" s="35">
        <f t="shared" ref="I214:I232" si="172">H214+I213</f>
        <v>54490.280000000152</v>
      </c>
      <c r="J214" s="414">
        <f t="shared" ref="J214:J232" si="173">ROUND(I213*$T213,2)</f>
        <v>6.91</v>
      </c>
      <c r="K214" s="329">
        <f t="shared" si="145"/>
        <v>0</v>
      </c>
      <c r="L214" s="35">
        <f t="shared" ref="L214:L232" si="174">K214+L213</f>
        <v>0</v>
      </c>
      <c r="M214" s="414">
        <f t="shared" ref="M214:M232" si="175">ROUND(L213*$T213,2)</f>
        <v>0</v>
      </c>
      <c r="N214" s="329">
        <f t="shared" si="146"/>
        <v>0</v>
      </c>
      <c r="O214" s="35">
        <f t="shared" ref="O214:O232" si="176">N214+O213</f>
        <v>1.0200000000004366</v>
      </c>
      <c r="P214" s="414">
        <f t="shared" ref="P214:P232" si="177">ROUND(O213*$T213,2)</f>
        <v>0</v>
      </c>
      <c r="Q214" s="329">
        <f t="shared" si="147"/>
        <v>0</v>
      </c>
      <c r="R214" s="35">
        <f t="shared" ref="R214:R232" si="178">Q214+R213</f>
        <v>0</v>
      </c>
      <c r="S214" s="414">
        <f t="shared" ref="S214:S232" si="179">ROUND(R213*$T213,2)</f>
        <v>0</v>
      </c>
      <c r="T214" s="880">
        <f>[5]Sheet1!$B628</f>
        <v>4.1962000000000002E-5</v>
      </c>
      <c r="U214" s="10">
        <f t="shared" ref="U214" si="180">A214</f>
        <v>43794</v>
      </c>
      <c r="V214" s="881">
        <f t="shared" ref="V214" si="181">T214*365/(A215-A214)</f>
        <v>1.5316130000000001E-2</v>
      </c>
    </row>
    <row r="215" spans="1:22" x14ac:dyDescent="0.25">
      <c r="A215" s="335">
        <f>A214+1</f>
        <v>43795</v>
      </c>
      <c r="B215" s="329">
        <f t="shared" si="142"/>
        <v>-495547.44</v>
      </c>
      <c r="C215" s="338">
        <f t="shared" si="168"/>
        <v>785914.79999999888</v>
      </c>
      <c r="D215" s="414">
        <f t="shared" si="169"/>
        <v>53.77</v>
      </c>
      <c r="E215" s="49">
        <f t="shared" si="143"/>
        <v>0</v>
      </c>
      <c r="F215" s="35">
        <f t="shared" si="170"/>
        <v>0</v>
      </c>
      <c r="G215" s="414">
        <f t="shared" si="171"/>
        <v>0</v>
      </c>
      <c r="H215" s="49">
        <f t="shared" si="144"/>
        <v>-5375</v>
      </c>
      <c r="I215" s="35">
        <f t="shared" si="172"/>
        <v>49115.280000000152</v>
      </c>
      <c r="J215" s="414">
        <f t="shared" si="173"/>
        <v>2.29</v>
      </c>
      <c r="K215" s="329">
        <f t="shared" si="145"/>
        <v>0</v>
      </c>
      <c r="L215" s="35">
        <f t="shared" si="174"/>
        <v>0</v>
      </c>
      <c r="M215" s="414">
        <f t="shared" si="175"/>
        <v>0</v>
      </c>
      <c r="N215" s="329">
        <f t="shared" si="146"/>
        <v>0</v>
      </c>
      <c r="O215" s="35">
        <f t="shared" si="176"/>
        <v>1.0200000000004366</v>
      </c>
      <c r="P215" s="414">
        <f t="shared" si="177"/>
        <v>0</v>
      </c>
      <c r="Q215" s="329">
        <f t="shared" si="147"/>
        <v>0</v>
      </c>
      <c r="R215" s="35">
        <f t="shared" si="178"/>
        <v>0</v>
      </c>
      <c r="S215" s="414">
        <f t="shared" si="179"/>
        <v>0</v>
      </c>
      <c r="T215" s="880">
        <f>[5]Sheet1!$B629</f>
        <v>4.1659999999999998E-5</v>
      </c>
      <c r="U215" s="10">
        <f t="shared" ref="U215" si="182">A215</f>
        <v>43795</v>
      </c>
      <c r="V215" s="881">
        <f t="shared" ref="V215" si="183">T215*365/(A216-A215)</f>
        <v>1.52059E-2</v>
      </c>
    </row>
    <row r="216" spans="1:22" x14ac:dyDescent="0.25">
      <c r="A216" s="335">
        <f>A215+1</f>
        <v>43796</v>
      </c>
      <c r="B216" s="329">
        <f t="shared" si="142"/>
        <v>-774633.75</v>
      </c>
      <c r="C216" s="338">
        <f t="shared" si="168"/>
        <v>11281.049999998882</v>
      </c>
      <c r="D216" s="414">
        <f t="shared" si="169"/>
        <v>32.74</v>
      </c>
      <c r="E216" s="49">
        <f t="shared" si="143"/>
        <v>0</v>
      </c>
      <c r="F216" s="35">
        <f t="shared" si="170"/>
        <v>0</v>
      </c>
      <c r="G216" s="414">
        <f t="shared" si="171"/>
        <v>0</v>
      </c>
      <c r="H216" s="49">
        <f t="shared" si="144"/>
        <v>0</v>
      </c>
      <c r="I216" s="35">
        <f t="shared" si="172"/>
        <v>49115.280000000152</v>
      </c>
      <c r="J216" s="414">
        <f t="shared" si="173"/>
        <v>2.0499999999999998</v>
      </c>
      <c r="K216" s="329">
        <f t="shared" si="145"/>
        <v>0</v>
      </c>
      <c r="L216" s="35">
        <f t="shared" si="174"/>
        <v>0</v>
      </c>
      <c r="M216" s="414">
        <f t="shared" si="175"/>
        <v>0</v>
      </c>
      <c r="N216" s="329">
        <f t="shared" si="146"/>
        <v>0</v>
      </c>
      <c r="O216" s="35">
        <f t="shared" si="176"/>
        <v>1.0200000000004366</v>
      </c>
      <c r="P216" s="414">
        <f t="shared" si="177"/>
        <v>0</v>
      </c>
      <c r="Q216" s="329">
        <f t="shared" si="147"/>
        <v>0</v>
      </c>
      <c r="R216" s="35">
        <f t="shared" si="178"/>
        <v>0</v>
      </c>
      <c r="S216" s="414">
        <f t="shared" si="179"/>
        <v>0</v>
      </c>
      <c r="T216" s="880">
        <f>[5]Sheet1!$B630</f>
        <v>8.3345999999999998E-5</v>
      </c>
      <c r="U216" s="10">
        <f t="shared" ref="U216" si="184">A216</f>
        <v>43796</v>
      </c>
      <c r="V216" s="881">
        <f t="shared" ref="V216" si="185">T216*365/(A217-A216)</f>
        <v>1.5210645E-2</v>
      </c>
    </row>
    <row r="217" spans="1:22" x14ac:dyDescent="0.25">
      <c r="A217" s="336">
        <f>A216+2</f>
        <v>43798</v>
      </c>
      <c r="B217" s="329">
        <f t="shared" si="142"/>
        <v>0</v>
      </c>
      <c r="C217" s="338">
        <f t="shared" si="168"/>
        <v>11281.049999998882</v>
      </c>
      <c r="D217" s="414">
        <f t="shared" si="169"/>
        <v>0.94</v>
      </c>
      <c r="E217" s="49">
        <f t="shared" si="143"/>
        <v>0</v>
      </c>
      <c r="F217" s="35">
        <f t="shared" si="170"/>
        <v>0</v>
      </c>
      <c r="G217" s="414">
        <f t="shared" si="171"/>
        <v>0</v>
      </c>
      <c r="H217" s="49">
        <f t="shared" si="144"/>
        <v>0</v>
      </c>
      <c r="I217" s="35">
        <f t="shared" si="172"/>
        <v>49115.280000000152</v>
      </c>
      <c r="J217" s="414">
        <f t="shared" si="173"/>
        <v>4.09</v>
      </c>
      <c r="K217" s="329">
        <f t="shared" si="145"/>
        <v>0</v>
      </c>
      <c r="L217" s="35">
        <f t="shared" si="174"/>
        <v>0</v>
      </c>
      <c r="M217" s="414">
        <f t="shared" si="175"/>
        <v>0</v>
      </c>
      <c r="N217" s="329">
        <f t="shared" si="146"/>
        <v>0</v>
      </c>
      <c r="O217" s="35">
        <f t="shared" si="176"/>
        <v>1.0200000000004366</v>
      </c>
      <c r="P217" s="414">
        <f t="shared" si="177"/>
        <v>0</v>
      </c>
      <c r="Q217" s="329">
        <f t="shared" si="147"/>
        <v>0</v>
      </c>
      <c r="R217" s="35">
        <f t="shared" si="178"/>
        <v>0</v>
      </c>
      <c r="S217" s="414">
        <f t="shared" si="179"/>
        <v>0</v>
      </c>
      <c r="T217" s="880">
        <f>[5]Sheet1!$B631</f>
        <v>4.2620999999999997E-5</v>
      </c>
      <c r="U217" s="10">
        <f t="shared" ref="U217" si="186">A217</f>
        <v>43798</v>
      </c>
      <c r="V217" s="881">
        <f t="shared" ref="V217" si="187">T217*365/(A218-A217)</f>
        <v>1.5556664999999999E-2</v>
      </c>
    </row>
    <row r="218" spans="1:22" x14ac:dyDescent="0.25">
      <c r="A218" s="336">
        <f>A217+1</f>
        <v>43799</v>
      </c>
      <c r="B218" s="329">
        <f t="shared" si="142"/>
        <v>0</v>
      </c>
      <c r="C218" s="338">
        <f t="shared" si="168"/>
        <v>11281.049999998882</v>
      </c>
      <c r="D218" s="414">
        <f t="shared" si="169"/>
        <v>0.48</v>
      </c>
      <c r="E218" s="49">
        <f t="shared" si="143"/>
        <v>0</v>
      </c>
      <c r="F218" s="35">
        <f t="shared" si="170"/>
        <v>0</v>
      </c>
      <c r="G218" s="414">
        <f t="shared" si="171"/>
        <v>0</v>
      </c>
      <c r="H218" s="49">
        <f t="shared" si="144"/>
        <v>0</v>
      </c>
      <c r="I218" s="35">
        <f t="shared" si="172"/>
        <v>49115.280000000152</v>
      </c>
      <c r="J218" s="414">
        <f t="shared" si="173"/>
        <v>2.09</v>
      </c>
      <c r="K218" s="329">
        <f t="shared" si="145"/>
        <v>0</v>
      </c>
      <c r="L218" s="35">
        <f t="shared" si="174"/>
        <v>0</v>
      </c>
      <c r="M218" s="414">
        <f t="shared" si="175"/>
        <v>0</v>
      </c>
      <c r="N218" s="329">
        <f t="shared" si="146"/>
        <v>0</v>
      </c>
      <c r="O218" s="35">
        <f t="shared" si="176"/>
        <v>1.0200000000004366</v>
      </c>
      <c r="P218" s="414">
        <f t="shared" si="177"/>
        <v>0</v>
      </c>
      <c r="Q218" s="329">
        <f t="shared" si="147"/>
        <v>0</v>
      </c>
      <c r="R218" s="35">
        <f t="shared" si="178"/>
        <v>0</v>
      </c>
      <c r="S218" s="414">
        <f t="shared" si="179"/>
        <v>0</v>
      </c>
      <c r="T218" s="880">
        <f>[5]Sheet1!$B632</f>
        <v>4.2620999999999997E-5</v>
      </c>
      <c r="U218" s="10">
        <f t="shared" ref="U218" si="188">A218</f>
        <v>43799</v>
      </c>
      <c r="V218" s="881">
        <f t="shared" ref="V218" si="189">T218*365/(A219-A218)</f>
        <v>1.5556664999999999E-2</v>
      </c>
    </row>
    <row r="219" spans="1:22" x14ac:dyDescent="0.25">
      <c r="A219" s="336">
        <f t="shared" ref="A219:A220" si="190">A218+1</f>
        <v>43800</v>
      </c>
      <c r="B219" s="329">
        <f t="shared" si="142"/>
        <v>0</v>
      </c>
      <c r="C219" s="338">
        <f t="shared" si="168"/>
        <v>11281.049999998882</v>
      </c>
      <c r="D219" s="414">
        <f t="shared" si="169"/>
        <v>0.48</v>
      </c>
      <c r="E219" s="49">
        <f t="shared" si="143"/>
        <v>0</v>
      </c>
      <c r="F219" s="35">
        <f t="shared" si="170"/>
        <v>0</v>
      </c>
      <c r="G219" s="414">
        <f t="shared" si="171"/>
        <v>0</v>
      </c>
      <c r="H219" s="49">
        <f t="shared" si="144"/>
        <v>0</v>
      </c>
      <c r="I219" s="35">
        <f t="shared" si="172"/>
        <v>49115.280000000152</v>
      </c>
      <c r="J219" s="414">
        <f t="shared" si="173"/>
        <v>2.09</v>
      </c>
      <c r="K219" s="329">
        <f t="shared" si="145"/>
        <v>0</v>
      </c>
      <c r="L219" s="35">
        <f t="shared" si="174"/>
        <v>0</v>
      </c>
      <c r="M219" s="414">
        <f t="shared" si="175"/>
        <v>0</v>
      </c>
      <c r="N219" s="329">
        <f t="shared" si="146"/>
        <v>0</v>
      </c>
      <c r="O219" s="35">
        <f t="shared" si="176"/>
        <v>1.0200000000004366</v>
      </c>
      <c r="P219" s="414">
        <f t="shared" si="177"/>
        <v>0</v>
      </c>
      <c r="Q219" s="329">
        <f t="shared" si="147"/>
        <v>0</v>
      </c>
      <c r="R219" s="35">
        <f t="shared" si="178"/>
        <v>0</v>
      </c>
      <c r="S219" s="414">
        <f t="shared" si="179"/>
        <v>0</v>
      </c>
      <c r="T219" s="880">
        <f>[5]Sheet1!$B633</f>
        <v>4.2620999999999997E-5</v>
      </c>
      <c r="U219" s="10">
        <f t="shared" ref="U219" si="191">A219</f>
        <v>43800</v>
      </c>
      <c r="V219" s="881">
        <f t="shared" ref="V219" si="192">T219*365/(A220-A219)</f>
        <v>1.5556664999999999E-2</v>
      </c>
    </row>
    <row r="220" spans="1:22" x14ac:dyDescent="0.25">
      <c r="A220" s="336">
        <f t="shared" si="190"/>
        <v>43801</v>
      </c>
      <c r="B220" s="329">
        <f t="shared" si="142"/>
        <v>0</v>
      </c>
      <c r="C220" s="338">
        <f t="shared" si="168"/>
        <v>11281.049999998882</v>
      </c>
      <c r="D220" s="414">
        <f t="shared" si="169"/>
        <v>0.48</v>
      </c>
      <c r="E220" s="49">
        <f t="shared" si="143"/>
        <v>0</v>
      </c>
      <c r="F220" s="35">
        <f t="shared" si="170"/>
        <v>0</v>
      </c>
      <c r="G220" s="414">
        <f t="shared" si="171"/>
        <v>0</v>
      </c>
      <c r="H220" s="49">
        <f t="shared" si="144"/>
        <v>0</v>
      </c>
      <c r="I220" s="35">
        <f t="shared" si="172"/>
        <v>49115.280000000152</v>
      </c>
      <c r="J220" s="414">
        <f t="shared" si="173"/>
        <v>2.09</v>
      </c>
      <c r="K220" s="329">
        <f t="shared" si="145"/>
        <v>0</v>
      </c>
      <c r="L220" s="35">
        <f t="shared" si="174"/>
        <v>0</v>
      </c>
      <c r="M220" s="414">
        <f t="shared" si="175"/>
        <v>0</v>
      </c>
      <c r="N220" s="329">
        <f t="shared" si="146"/>
        <v>0</v>
      </c>
      <c r="O220" s="35">
        <f t="shared" si="176"/>
        <v>1.0200000000004366</v>
      </c>
      <c r="P220" s="414">
        <f t="shared" si="177"/>
        <v>0</v>
      </c>
      <c r="Q220" s="329">
        <f t="shared" si="147"/>
        <v>0</v>
      </c>
      <c r="R220" s="35">
        <f t="shared" si="178"/>
        <v>0</v>
      </c>
      <c r="S220" s="414">
        <f t="shared" si="179"/>
        <v>0</v>
      </c>
      <c r="T220" s="880">
        <f>[5]Sheet1!$B634</f>
        <v>4.2617999999999998E-5</v>
      </c>
      <c r="U220" s="10">
        <f t="shared" ref="U220" si="193">A220</f>
        <v>43801</v>
      </c>
      <c r="V220" s="881">
        <f t="shared" ref="V220" si="194">T220*365/(A221-A220)</f>
        <v>1.5555569999999999E-2</v>
      </c>
    </row>
    <row r="221" spans="1:22" x14ac:dyDescent="0.25">
      <c r="A221" s="335">
        <f>A220+1</f>
        <v>43802</v>
      </c>
      <c r="B221" s="329">
        <f t="shared" si="142"/>
        <v>1215.6099999999999</v>
      </c>
      <c r="C221" s="338">
        <f t="shared" si="168"/>
        <v>12496.659999998883</v>
      </c>
      <c r="D221" s="414">
        <f t="shared" si="169"/>
        <v>0.48</v>
      </c>
      <c r="E221" s="49">
        <f t="shared" si="143"/>
        <v>0</v>
      </c>
      <c r="F221" s="35">
        <f t="shared" si="170"/>
        <v>0</v>
      </c>
      <c r="G221" s="414">
        <f t="shared" si="171"/>
        <v>0</v>
      </c>
      <c r="H221" s="49">
        <f t="shared" si="144"/>
        <v>64.27</v>
      </c>
      <c r="I221" s="35">
        <f t="shared" si="172"/>
        <v>49179.550000000148</v>
      </c>
      <c r="J221" s="414">
        <f t="shared" si="173"/>
        <v>2.09</v>
      </c>
      <c r="K221" s="329">
        <f t="shared" si="145"/>
        <v>0</v>
      </c>
      <c r="L221" s="35">
        <f t="shared" si="174"/>
        <v>0</v>
      </c>
      <c r="M221" s="414">
        <f t="shared" si="175"/>
        <v>0</v>
      </c>
      <c r="N221" s="329">
        <f t="shared" si="146"/>
        <v>2.4300000000000002</v>
      </c>
      <c r="O221" s="35">
        <f t="shared" si="176"/>
        <v>3.4500000000004367</v>
      </c>
      <c r="P221" s="414">
        <f t="shared" si="177"/>
        <v>0</v>
      </c>
      <c r="Q221" s="329">
        <f t="shared" si="147"/>
        <v>0</v>
      </c>
      <c r="R221" s="35">
        <f t="shared" si="178"/>
        <v>0</v>
      </c>
      <c r="S221" s="414">
        <f t="shared" si="179"/>
        <v>0</v>
      </c>
      <c r="T221" s="880">
        <f>[5]Sheet1!$B635</f>
        <v>4.2027999999999998E-5</v>
      </c>
      <c r="U221" s="10">
        <f t="shared" ref="U221" si="195">A221</f>
        <v>43802</v>
      </c>
      <c r="V221" s="881">
        <f t="shared" ref="V221" si="196">T221*365/(A222-A221)</f>
        <v>1.534022E-2</v>
      </c>
    </row>
    <row r="222" spans="1:22" x14ac:dyDescent="0.25">
      <c r="A222" s="335">
        <f>A221+1</f>
        <v>43803</v>
      </c>
      <c r="B222" s="329">
        <f t="shared" si="142"/>
        <v>0</v>
      </c>
      <c r="C222" s="338">
        <f t="shared" si="168"/>
        <v>12496.659999998883</v>
      </c>
      <c r="D222" s="414">
        <f t="shared" si="169"/>
        <v>0.53</v>
      </c>
      <c r="E222" s="49">
        <f t="shared" si="143"/>
        <v>0</v>
      </c>
      <c r="F222" s="35">
        <f t="shared" si="170"/>
        <v>0</v>
      </c>
      <c r="G222" s="414">
        <f t="shared" si="171"/>
        <v>0</v>
      </c>
      <c r="H222" s="49">
        <f t="shared" si="144"/>
        <v>0</v>
      </c>
      <c r="I222" s="35">
        <f t="shared" si="172"/>
        <v>49179.550000000148</v>
      </c>
      <c r="J222" s="414">
        <f t="shared" si="173"/>
        <v>2.0699999999999998</v>
      </c>
      <c r="K222" s="329">
        <f t="shared" si="145"/>
        <v>0</v>
      </c>
      <c r="L222" s="35">
        <f t="shared" si="174"/>
        <v>0</v>
      </c>
      <c r="M222" s="414">
        <f t="shared" si="175"/>
        <v>0</v>
      </c>
      <c r="N222" s="329">
        <f t="shared" si="146"/>
        <v>0</v>
      </c>
      <c r="O222" s="35">
        <f t="shared" si="176"/>
        <v>3.4500000000004367</v>
      </c>
      <c r="P222" s="414">
        <f t="shared" si="177"/>
        <v>0</v>
      </c>
      <c r="Q222" s="329">
        <f t="shared" si="147"/>
        <v>0</v>
      </c>
      <c r="R222" s="35">
        <f t="shared" si="178"/>
        <v>0</v>
      </c>
      <c r="S222" s="414">
        <f t="shared" si="179"/>
        <v>0</v>
      </c>
      <c r="T222" s="880">
        <f>[5]Sheet1!$B636</f>
        <v>4.1665000000000002E-5</v>
      </c>
      <c r="U222" s="10">
        <f t="shared" ref="U222" si="197">A222</f>
        <v>43803</v>
      </c>
      <c r="V222" s="881">
        <f t="shared" ref="V222" si="198">T222*365/(A223-A222)</f>
        <v>1.5207725E-2</v>
      </c>
    </row>
    <row r="223" spans="1:22" x14ac:dyDescent="0.25">
      <c r="A223" s="335">
        <f>A222+1</f>
        <v>43804</v>
      </c>
      <c r="B223" s="329">
        <f t="shared" si="142"/>
        <v>0</v>
      </c>
      <c r="C223" s="338">
        <f t="shared" si="168"/>
        <v>12496.659999998883</v>
      </c>
      <c r="D223" s="414">
        <f t="shared" si="169"/>
        <v>0.52</v>
      </c>
      <c r="E223" s="49">
        <f t="shared" si="143"/>
        <v>0</v>
      </c>
      <c r="F223" s="35">
        <f t="shared" si="170"/>
        <v>0</v>
      </c>
      <c r="G223" s="414">
        <f t="shared" si="171"/>
        <v>0</v>
      </c>
      <c r="H223" s="49">
        <f t="shared" si="144"/>
        <v>4508.6000000000004</v>
      </c>
      <c r="I223" s="35">
        <f t="shared" si="172"/>
        <v>53688.150000000147</v>
      </c>
      <c r="J223" s="414">
        <f t="shared" si="173"/>
        <v>2.0499999999999998</v>
      </c>
      <c r="K223" s="329">
        <f t="shared" si="145"/>
        <v>0</v>
      </c>
      <c r="L223" s="35">
        <f t="shared" si="174"/>
        <v>0</v>
      </c>
      <c r="M223" s="414">
        <f t="shared" si="175"/>
        <v>0</v>
      </c>
      <c r="N223" s="329">
        <f t="shared" si="146"/>
        <v>41000</v>
      </c>
      <c r="O223" s="35">
        <f t="shared" si="176"/>
        <v>41003.449999999997</v>
      </c>
      <c r="P223" s="414">
        <f t="shared" si="177"/>
        <v>0</v>
      </c>
      <c r="Q223" s="329">
        <f t="shared" si="147"/>
        <v>0</v>
      </c>
      <c r="R223" s="35">
        <f t="shared" si="178"/>
        <v>0</v>
      </c>
      <c r="S223" s="414">
        <f t="shared" si="179"/>
        <v>0</v>
      </c>
      <c r="T223" s="880">
        <f>[5]Sheet1!$B637</f>
        <v>4.1739999999999997E-5</v>
      </c>
      <c r="U223" s="10">
        <f t="shared" ref="U223" si="199">A223</f>
        <v>43804</v>
      </c>
      <c r="V223" s="881">
        <f t="shared" ref="V223" si="200">T223*365/(A224-A223)</f>
        <v>1.52351E-2</v>
      </c>
    </row>
    <row r="224" spans="1:22" x14ac:dyDescent="0.25">
      <c r="A224" s="335">
        <f>A223+1</f>
        <v>43805</v>
      </c>
      <c r="B224" s="329">
        <f t="shared" si="142"/>
        <v>0</v>
      </c>
      <c r="C224" s="338">
        <f t="shared" si="168"/>
        <v>12496.659999998883</v>
      </c>
      <c r="D224" s="414">
        <f t="shared" si="169"/>
        <v>0.52</v>
      </c>
      <c r="E224" s="49">
        <f t="shared" si="143"/>
        <v>0</v>
      </c>
      <c r="F224" s="35">
        <f t="shared" si="170"/>
        <v>0</v>
      </c>
      <c r="G224" s="414">
        <f t="shared" si="171"/>
        <v>0</v>
      </c>
      <c r="H224" s="49">
        <f t="shared" si="144"/>
        <v>0</v>
      </c>
      <c r="I224" s="35">
        <f t="shared" si="172"/>
        <v>53688.150000000147</v>
      </c>
      <c r="J224" s="414">
        <f t="shared" si="173"/>
        <v>2.2400000000000002</v>
      </c>
      <c r="K224" s="329">
        <f t="shared" si="145"/>
        <v>0</v>
      </c>
      <c r="L224" s="35">
        <f t="shared" si="174"/>
        <v>0</v>
      </c>
      <c r="M224" s="414">
        <f t="shared" si="175"/>
        <v>0</v>
      </c>
      <c r="N224" s="329">
        <f t="shared" si="146"/>
        <v>0</v>
      </c>
      <c r="O224" s="35">
        <f t="shared" si="176"/>
        <v>41003.449999999997</v>
      </c>
      <c r="P224" s="414">
        <f t="shared" si="177"/>
        <v>1.71</v>
      </c>
      <c r="Q224" s="329">
        <f t="shared" si="147"/>
        <v>0</v>
      </c>
      <c r="R224" s="35">
        <f t="shared" si="178"/>
        <v>0</v>
      </c>
      <c r="S224" s="414">
        <f t="shared" si="179"/>
        <v>0</v>
      </c>
      <c r="T224" s="880">
        <f>[5]Sheet1!$B638</f>
        <v>1.2548299999999999E-4</v>
      </c>
      <c r="U224" s="10">
        <f t="shared" ref="U224" si="201">A224</f>
        <v>43805</v>
      </c>
      <c r="V224" s="881">
        <f t="shared" ref="V224" si="202">T224*365/(A225-A224)</f>
        <v>1.5267098333333333E-2</v>
      </c>
    </row>
    <row r="225" spans="1:22" x14ac:dyDescent="0.25">
      <c r="A225" s="336">
        <f>A224+3</f>
        <v>43808</v>
      </c>
      <c r="B225" s="329">
        <f t="shared" si="142"/>
        <v>0</v>
      </c>
      <c r="C225" s="338">
        <f t="shared" si="168"/>
        <v>12496.659999998883</v>
      </c>
      <c r="D225" s="414">
        <f t="shared" si="169"/>
        <v>1.57</v>
      </c>
      <c r="E225" s="49">
        <f t="shared" si="143"/>
        <v>0</v>
      </c>
      <c r="F225" s="35">
        <f t="shared" si="170"/>
        <v>0</v>
      </c>
      <c r="G225" s="414">
        <f t="shared" si="171"/>
        <v>0</v>
      </c>
      <c r="H225" s="49">
        <f t="shared" si="144"/>
        <v>-5134.75</v>
      </c>
      <c r="I225" s="35">
        <f t="shared" si="172"/>
        <v>48553.400000000147</v>
      </c>
      <c r="J225" s="414">
        <f t="shared" si="173"/>
        <v>6.74</v>
      </c>
      <c r="K225" s="329">
        <f t="shared" si="145"/>
        <v>0</v>
      </c>
      <c r="L225" s="35">
        <f t="shared" si="174"/>
        <v>0</v>
      </c>
      <c r="M225" s="414">
        <f t="shared" si="175"/>
        <v>0</v>
      </c>
      <c r="N225" s="329">
        <f t="shared" si="146"/>
        <v>0</v>
      </c>
      <c r="O225" s="35">
        <f t="shared" si="176"/>
        <v>41003.449999999997</v>
      </c>
      <c r="P225" s="414">
        <f t="shared" si="177"/>
        <v>5.15</v>
      </c>
      <c r="Q225" s="329">
        <f t="shared" si="147"/>
        <v>0</v>
      </c>
      <c r="R225" s="35">
        <f t="shared" si="178"/>
        <v>0</v>
      </c>
      <c r="S225" s="414">
        <f t="shared" si="179"/>
        <v>0</v>
      </c>
      <c r="T225" s="880">
        <f>[5]Sheet1!$B639</f>
        <v>4.1717000000000001E-5</v>
      </c>
      <c r="U225" s="10">
        <f t="shared" ref="U225" si="203">A225</f>
        <v>43808</v>
      </c>
      <c r="V225" s="881">
        <f t="shared" ref="V225" si="204">T225*365/(A226-A225)</f>
        <v>1.5226705E-2</v>
      </c>
    </row>
    <row r="226" spans="1:22" x14ac:dyDescent="0.25">
      <c r="A226" s="335">
        <f>A225+1</f>
        <v>43809</v>
      </c>
      <c r="B226" s="329">
        <f t="shared" si="142"/>
        <v>0</v>
      </c>
      <c r="C226" s="338">
        <f t="shared" si="168"/>
        <v>12496.659999998883</v>
      </c>
      <c r="D226" s="414">
        <f t="shared" si="169"/>
        <v>0.52</v>
      </c>
      <c r="E226" s="49">
        <f t="shared" si="143"/>
        <v>0</v>
      </c>
      <c r="F226" s="35">
        <f t="shared" si="170"/>
        <v>0</v>
      </c>
      <c r="G226" s="414">
        <f t="shared" si="171"/>
        <v>0</v>
      </c>
      <c r="H226" s="49">
        <f t="shared" si="144"/>
        <v>0</v>
      </c>
      <c r="I226" s="35">
        <f t="shared" si="172"/>
        <v>48553.400000000147</v>
      </c>
      <c r="J226" s="414">
        <f t="shared" si="173"/>
        <v>2.0299999999999998</v>
      </c>
      <c r="K226" s="329">
        <f t="shared" si="145"/>
        <v>0</v>
      </c>
      <c r="L226" s="35">
        <f t="shared" si="174"/>
        <v>0</v>
      </c>
      <c r="M226" s="414">
        <f t="shared" si="175"/>
        <v>0</v>
      </c>
      <c r="N226" s="329">
        <f t="shared" si="146"/>
        <v>0</v>
      </c>
      <c r="O226" s="35">
        <f t="shared" si="176"/>
        <v>41003.449999999997</v>
      </c>
      <c r="P226" s="414">
        <f t="shared" si="177"/>
        <v>1.71</v>
      </c>
      <c r="Q226" s="329">
        <f t="shared" si="147"/>
        <v>0</v>
      </c>
      <c r="R226" s="35">
        <f t="shared" si="178"/>
        <v>0</v>
      </c>
      <c r="S226" s="414">
        <f t="shared" si="179"/>
        <v>0</v>
      </c>
      <c r="T226" s="880">
        <f>[5]Sheet1!$B640</f>
        <v>4.1480000000000003E-5</v>
      </c>
      <c r="U226" s="10">
        <f t="shared" ref="U226" si="205">A226</f>
        <v>43809</v>
      </c>
      <c r="V226" s="881">
        <f t="shared" ref="V226" si="206">T226*365/(A227-A226)</f>
        <v>1.5140200000000001E-2</v>
      </c>
    </row>
    <row r="227" spans="1:22" x14ac:dyDescent="0.25">
      <c r="A227" s="335">
        <f>A226+1</f>
        <v>43810</v>
      </c>
      <c r="B227" s="329">
        <f t="shared" si="142"/>
        <v>0</v>
      </c>
      <c r="C227" s="338">
        <f t="shared" si="168"/>
        <v>12496.659999998883</v>
      </c>
      <c r="D227" s="414">
        <f t="shared" si="169"/>
        <v>0.52</v>
      </c>
      <c r="E227" s="49">
        <f t="shared" si="143"/>
        <v>0</v>
      </c>
      <c r="F227" s="35">
        <f t="shared" si="170"/>
        <v>0</v>
      </c>
      <c r="G227" s="414">
        <f t="shared" si="171"/>
        <v>0</v>
      </c>
      <c r="H227" s="49">
        <f t="shared" si="144"/>
        <v>0</v>
      </c>
      <c r="I227" s="35">
        <f t="shared" si="172"/>
        <v>48553.400000000147</v>
      </c>
      <c r="J227" s="414">
        <f t="shared" si="173"/>
        <v>2.0099999999999998</v>
      </c>
      <c r="K227" s="329">
        <f t="shared" si="145"/>
        <v>0</v>
      </c>
      <c r="L227" s="35">
        <f t="shared" si="174"/>
        <v>0</v>
      </c>
      <c r="M227" s="414">
        <f t="shared" si="175"/>
        <v>0</v>
      </c>
      <c r="N227" s="329">
        <f t="shared" si="146"/>
        <v>0</v>
      </c>
      <c r="O227" s="35">
        <f t="shared" si="176"/>
        <v>41003.449999999997</v>
      </c>
      <c r="P227" s="414">
        <f t="shared" si="177"/>
        <v>1.7</v>
      </c>
      <c r="Q227" s="329">
        <f t="shared" si="147"/>
        <v>0</v>
      </c>
      <c r="R227" s="35">
        <f t="shared" si="178"/>
        <v>0</v>
      </c>
      <c r="S227" s="414">
        <f t="shared" si="179"/>
        <v>0</v>
      </c>
      <c r="T227" s="880">
        <f>[5]Sheet1!$B641</f>
        <v>4.1427000000000002E-5</v>
      </c>
      <c r="U227" s="10">
        <f t="shared" ref="U227" si="207">A227</f>
        <v>43810</v>
      </c>
      <c r="V227" s="881">
        <f t="shared" ref="V227" si="208">T227*365/(A228-A227)</f>
        <v>1.5120855000000001E-2</v>
      </c>
    </row>
    <row r="228" spans="1:22" x14ac:dyDescent="0.25">
      <c r="A228" s="335">
        <f>A227+1</f>
        <v>43811</v>
      </c>
      <c r="B228" s="329">
        <f t="shared" si="142"/>
        <v>0</v>
      </c>
      <c r="C228" s="338">
        <f t="shared" si="168"/>
        <v>12496.659999998883</v>
      </c>
      <c r="D228" s="414">
        <f t="shared" si="169"/>
        <v>0.52</v>
      </c>
      <c r="E228" s="49">
        <f t="shared" si="143"/>
        <v>0</v>
      </c>
      <c r="F228" s="35">
        <f t="shared" si="170"/>
        <v>0</v>
      </c>
      <c r="G228" s="414">
        <f t="shared" si="171"/>
        <v>0</v>
      </c>
      <c r="H228" s="49">
        <f t="shared" si="144"/>
        <v>0</v>
      </c>
      <c r="I228" s="35">
        <f t="shared" si="172"/>
        <v>48553.400000000147</v>
      </c>
      <c r="J228" s="414">
        <f t="shared" si="173"/>
        <v>2.0099999999999998</v>
      </c>
      <c r="K228" s="329">
        <f t="shared" si="145"/>
        <v>0</v>
      </c>
      <c r="L228" s="35">
        <f t="shared" si="174"/>
        <v>0</v>
      </c>
      <c r="M228" s="414">
        <f t="shared" si="175"/>
        <v>0</v>
      </c>
      <c r="N228" s="329">
        <f t="shared" si="146"/>
        <v>0</v>
      </c>
      <c r="O228" s="35">
        <f t="shared" si="176"/>
        <v>41003.449999999997</v>
      </c>
      <c r="P228" s="414">
        <f t="shared" si="177"/>
        <v>1.7</v>
      </c>
      <c r="Q228" s="329">
        <f t="shared" si="147"/>
        <v>0</v>
      </c>
      <c r="R228" s="35">
        <f t="shared" si="178"/>
        <v>0</v>
      </c>
      <c r="S228" s="414">
        <f t="shared" si="179"/>
        <v>0</v>
      </c>
      <c r="T228" s="880">
        <f>[5]Sheet1!$B642</f>
        <v>4.1312E-5</v>
      </c>
      <c r="U228" s="10">
        <f t="shared" ref="U228" si="209">A228</f>
        <v>43811</v>
      </c>
      <c r="V228" s="881">
        <f t="shared" ref="V228" si="210">T228*365/(A229-A228)</f>
        <v>1.5078879999999999E-2</v>
      </c>
    </row>
    <row r="229" spans="1:22" x14ac:dyDescent="0.25">
      <c r="A229" s="335">
        <f>A228+1</f>
        <v>43812</v>
      </c>
      <c r="B229" s="329">
        <f t="shared" si="142"/>
        <v>0</v>
      </c>
      <c r="C229" s="338">
        <f t="shared" si="168"/>
        <v>12496.659999998883</v>
      </c>
      <c r="D229" s="414">
        <f t="shared" si="169"/>
        <v>0.52</v>
      </c>
      <c r="E229" s="49">
        <f t="shared" si="143"/>
        <v>0</v>
      </c>
      <c r="F229" s="35">
        <f t="shared" si="170"/>
        <v>0</v>
      </c>
      <c r="G229" s="414">
        <f t="shared" si="171"/>
        <v>0</v>
      </c>
      <c r="H229" s="49">
        <f t="shared" si="144"/>
        <v>0</v>
      </c>
      <c r="I229" s="35">
        <f t="shared" si="172"/>
        <v>48553.400000000147</v>
      </c>
      <c r="J229" s="414">
        <f t="shared" si="173"/>
        <v>2.0099999999999998</v>
      </c>
      <c r="K229" s="329">
        <f t="shared" si="145"/>
        <v>0</v>
      </c>
      <c r="L229" s="35">
        <f t="shared" si="174"/>
        <v>0</v>
      </c>
      <c r="M229" s="414">
        <f t="shared" si="175"/>
        <v>0</v>
      </c>
      <c r="N229" s="329">
        <f t="shared" si="146"/>
        <v>0</v>
      </c>
      <c r="O229" s="35">
        <f t="shared" si="176"/>
        <v>41003.449999999997</v>
      </c>
      <c r="P229" s="414">
        <f t="shared" si="177"/>
        <v>1.69</v>
      </c>
      <c r="Q229" s="329">
        <f t="shared" si="147"/>
        <v>0</v>
      </c>
      <c r="R229" s="35">
        <f t="shared" si="178"/>
        <v>0</v>
      </c>
      <c r="S229" s="414">
        <f t="shared" si="179"/>
        <v>0</v>
      </c>
      <c r="T229" s="880">
        <f>[5]Sheet1!$B643</f>
        <v>1.24423E-4</v>
      </c>
      <c r="U229" s="10">
        <f t="shared" ref="U229" si="211">A229</f>
        <v>43812</v>
      </c>
      <c r="V229" s="881">
        <f t="shared" ref="V229" si="212">T229*365/(A230-A229)</f>
        <v>1.5138131666666665E-2</v>
      </c>
    </row>
    <row r="230" spans="1:22" x14ac:dyDescent="0.25">
      <c r="A230" s="336">
        <f>A229+3</f>
        <v>43815</v>
      </c>
      <c r="B230" s="329">
        <f t="shared" si="142"/>
        <v>0</v>
      </c>
      <c r="C230" s="338">
        <f t="shared" si="168"/>
        <v>12496.659999998883</v>
      </c>
      <c r="D230" s="414">
        <f t="shared" si="169"/>
        <v>1.55</v>
      </c>
      <c r="E230" s="49">
        <f t="shared" si="143"/>
        <v>0</v>
      </c>
      <c r="F230" s="35">
        <f t="shared" si="170"/>
        <v>0</v>
      </c>
      <c r="G230" s="414">
        <f t="shared" si="171"/>
        <v>0</v>
      </c>
      <c r="H230" s="49">
        <f t="shared" si="144"/>
        <v>-103.22</v>
      </c>
      <c r="I230" s="35">
        <f t="shared" si="172"/>
        <v>48450.180000000146</v>
      </c>
      <c r="J230" s="414">
        <f t="shared" si="173"/>
        <v>6.04</v>
      </c>
      <c r="K230" s="329">
        <f t="shared" si="145"/>
        <v>0</v>
      </c>
      <c r="L230" s="35">
        <f t="shared" si="174"/>
        <v>0</v>
      </c>
      <c r="M230" s="414">
        <f t="shared" si="175"/>
        <v>0</v>
      </c>
      <c r="N230" s="329">
        <f t="shared" si="146"/>
        <v>0</v>
      </c>
      <c r="O230" s="35">
        <f t="shared" si="176"/>
        <v>41003.449999999997</v>
      </c>
      <c r="P230" s="414">
        <f t="shared" si="177"/>
        <v>5.0999999999999996</v>
      </c>
      <c r="Q230" s="329">
        <f t="shared" si="147"/>
        <v>0</v>
      </c>
      <c r="R230" s="35">
        <f t="shared" si="178"/>
        <v>0</v>
      </c>
      <c r="S230" s="414">
        <f t="shared" si="179"/>
        <v>0</v>
      </c>
      <c r="T230" s="880">
        <f>[5]Sheet1!$B644</f>
        <v>4.1817999999999998E-5</v>
      </c>
      <c r="U230" s="10">
        <f t="shared" ref="U230:U231" si="213">A230</f>
        <v>43815</v>
      </c>
      <c r="V230" s="881">
        <f t="shared" ref="V230:V231" si="214">T230*365/(A231-A230)</f>
        <v>1.5263569999999999E-2</v>
      </c>
    </row>
    <row r="231" spans="1:22" x14ac:dyDescent="0.25">
      <c r="A231" s="335">
        <f>A230+1</f>
        <v>43816</v>
      </c>
      <c r="B231" s="329">
        <f t="shared" si="142"/>
        <v>23643.910000000003</v>
      </c>
      <c r="C231" s="338">
        <f t="shared" si="168"/>
        <v>36140.569999998886</v>
      </c>
      <c r="D231" s="414">
        <f t="shared" si="169"/>
        <v>0.52</v>
      </c>
      <c r="E231" s="49">
        <f t="shared" si="143"/>
        <v>0</v>
      </c>
      <c r="F231" s="35">
        <f t="shared" si="170"/>
        <v>0</v>
      </c>
      <c r="G231" s="414">
        <f t="shared" si="171"/>
        <v>0</v>
      </c>
      <c r="H231" s="49">
        <f t="shared" si="144"/>
        <v>2479.73</v>
      </c>
      <c r="I231" s="35">
        <f t="shared" si="172"/>
        <v>50929.910000000149</v>
      </c>
      <c r="J231" s="414">
        <f t="shared" si="173"/>
        <v>2.0299999999999998</v>
      </c>
      <c r="K231" s="329">
        <f t="shared" si="145"/>
        <v>0</v>
      </c>
      <c r="L231" s="35">
        <f t="shared" si="174"/>
        <v>0</v>
      </c>
      <c r="M231" s="414">
        <f t="shared" si="175"/>
        <v>0</v>
      </c>
      <c r="N231" s="329">
        <f t="shared" si="146"/>
        <v>-41000</v>
      </c>
      <c r="O231" s="35">
        <f t="shared" si="176"/>
        <v>3.4499999999970896</v>
      </c>
      <c r="P231" s="414">
        <f t="shared" si="177"/>
        <v>1.71</v>
      </c>
      <c r="Q231" s="329">
        <f t="shared" si="147"/>
        <v>0</v>
      </c>
      <c r="R231" s="35">
        <f t="shared" si="178"/>
        <v>0</v>
      </c>
      <c r="S231" s="414">
        <f t="shared" si="179"/>
        <v>0</v>
      </c>
      <c r="T231" s="880">
        <f>[5]Sheet1!$B645</f>
        <v>4.1875000000000001E-5</v>
      </c>
      <c r="U231" s="10">
        <f t="shared" si="213"/>
        <v>43816</v>
      </c>
      <c r="V231" s="881">
        <f t="shared" si="214"/>
        <v>1.5284375000000001E-2</v>
      </c>
    </row>
    <row r="232" spans="1:22" x14ac:dyDescent="0.25">
      <c r="A232" s="335">
        <f>A231+1</f>
        <v>43817</v>
      </c>
      <c r="B232" s="329">
        <f t="shared" si="142"/>
        <v>0</v>
      </c>
      <c r="C232" s="338">
        <f t="shared" si="168"/>
        <v>36140.569999998886</v>
      </c>
      <c r="D232" s="414">
        <f t="shared" si="169"/>
        <v>1.51</v>
      </c>
      <c r="E232" s="49">
        <f t="shared" si="143"/>
        <v>0</v>
      </c>
      <c r="F232" s="35">
        <f t="shared" si="170"/>
        <v>0</v>
      </c>
      <c r="G232" s="414">
        <f t="shared" si="171"/>
        <v>0</v>
      </c>
      <c r="H232" s="49">
        <f t="shared" si="144"/>
        <v>0</v>
      </c>
      <c r="I232" s="35">
        <f t="shared" si="172"/>
        <v>50929.910000000149</v>
      </c>
      <c r="J232" s="414">
        <f t="shared" si="173"/>
        <v>2.13</v>
      </c>
      <c r="K232" s="329">
        <f t="shared" si="145"/>
        <v>0</v>
      </c>
      <c r="L232" s="35">
        <f t="shared" si="174"/>
        <v>0</v>
      </c>
      <c r="M232" s="414">
        <f t="shared" si="175"/>
        <v>0</v>
      </c>
      <c r="N232" s="329">
        <f t="shared" si="146"/>
        <v>0</v>
      </c>
      <c r="O232" s="35">
        <f t="shared" si="176"/>
        <v>3.4499999999970896</v>
      </c>
      <c r="P232" s="414">
        <f t="shared" si="177"/>
        <v>0</v>
      </c>
      <c r="Q232" s="329">
        <f t="shared" si="147"/>
        <v>0</v>
      </c>
      <c r="R232" s="35">
        <f t="shared" si="178"/>
        <v>0</v>
      </c>
      <c r="S232" s="414">
        <f t="shared" si="179"/>
        <v>0</v>
      </c>
      <c r="T232" s="880">
        <f>[5]Sheet1!$B646</f>
        <v>4.1559E-5</v>
      </c>
      <c r="U232" s="10">
        <f t="shared" ref="U232" si="215">A232</f>
        <v>43817</v>
      </c>
      <c r="V232" s="881">
        <f t="shared" ref="V232" si="216">T232*365/(A233-A232)</f>
        <v>1.5169034999999999E-2</v>
      </c>
    </row>
    <row r="233" spans="1:22" x14ac:dyDescent="0.25">
      <c r="A233" s="335">
        <f>A232+1</f>
        <v>43818</v>
      </c>
      <c r="B233" s="329">
        <f t="shared" si="142"/>
        <v>0</v>
      </c>
      <c r="C233" s="338">
        <f t="shared" ref="C233:C287" si="217">B233+C232</f>
        <v>36140.569999998886</v>
      </c>
      <c r="D233" s="414">
        <f t="shared" ref="D233:D287" si="218">ROUND(C232*$T232,2)</f>
        <v>1.5</v>
      </c>
      <c r="E233" s="49">
        <f t="shared" si="143"/>
        <v>0</v>
      </c>
      <c r="F233" s="35">
        <f t="shared" ref="F233:F287" si="219">E233+F232</f>
        <v>0</v>
      </c>
      <c r="G233" s="414">
        <f t="shared" ref="G233:G287" si="220">ROUND(F232*$T232,2)</f>
        <v>0</v>
      </c>
      <c r="H233" s="49">
        <f t="shared" si="144"/>
        <v>0</v>
      </c>
      <c r="I233" s="35">
        <f t="shared" ref="I233:I287" si="221">H233+I232</f>
        <v>50929.910000000149</v>
      </c>
      <c r="J233" s="414">
        <f t="shared" ref="J233:J287" si="222">ROUND(I232*$T232,2)</f>
        <v>2.12</v>
      </c>
      <c r="K233" s="329">
        <f t="shared" si="145"/>
        <v>0</v>
      </c>
      <c r="L233" s="35">
        <f t="shared" ref="L233:L287" si="223">K233+L232</f>
        <v>0</v>
      </c>
      <c r="M233" s="414">
        <f t="shared" ref="M233:M287" si="224">ROUND(L232*$T232,2)</f>
        <v>0</v>
      </c>
      <c r="N233" s="329">
        <f t="shared" si="146"/>
        <v>0</v>
      </c>
      <c r="O233" s="35">
        <f t="shared" ref="O233:O287" si="225">N233+O232</f>
        <v>3.4499999999970896</v>
      </c>
      <c r="P233" s="414">
        <f t="shared" ref="P233:P287" si="226">ROUND(O232*$T232,2)</f>
        <v>0</v>
      </c>
      <c r="Q233" s="329">
        <f t="shared" si="147"/>
        <v>0</v>
      </c>
      <c r="R233" s="35">
        <f t="shared" ref="R233:R287" si="227">Q233+R232</f>
        <v>0</v>
      </c>
      <c r="S233" s="414">
        <f t="shared" ref="S233:S287" si="228">ROUND(R232*$T232,2)</f>
        <v>0</v>
      </c>
      <c r="T233" s="880">
        <f>[5]Sheet1!$B647</f>
        <v>4.1687000000000003E-5</v>
      </c>
      <c r="U233" s="10">
        <f t="shared" ref="U233" si="229">A233</f>
        <v>43818</v>
      </c>
      <c r="V233" s="881">
        <f t="shared" ref="V233" si="230">T233*365/(A234-A233)</f>
        <v>1.5215755000000001E-2</v>
      </c>
    </row>
    <row r="234" spans="1:22" x14ac:dyDescent="0.25">
      <c r="A234" s="335">
        <f>A233+1</f>
        <v>43819</v>
      </c>
      <c r="B234" s="329">
        <f t="shared" si="142"/>
        <v>0</v>
      </c>
      <c r="C234" s="338">
        <f t="shared" si="217"/>
        <v>36140.569999998886</v>
      </c>
      <c r="D234" s="414">
        <f t="shared" si="218"/>
        <v>1.51</v>
      </c>
      <c r="E234" s="49">
        <f t="shared" si="143"/>
        <v>0</v>
      </c>
      <c r="F234" s="35">
        <f t="shared" si="219"/>
        <v>0</v>
      </c>
      <c r="G234" s="414">
        <f t="shared" si="220"/>
        <v>0</v>
      </c>
      <c r="H234" s="49">
        <f t="shared" si="144"/>
        <v>0</v>
      </c>
      <c r="I234" s="35">
        <f t="shared" si="221"/>
        <v>50929.910000000149</v>
      </c>
      <c r="J234" s="414">
        <f t="shared" si="222"/>
        <v>2.12</v>
      </c>
      <c r="K234" s="329">
        <f t="shared" si="145"/>
        <v>0</v>
      </c>
      <c r="L234" s="35">
        <f t="shared" si="223"/>
        <v>0</v>
      </c>
      <c r="M234" s="414">
        <f t="shared" si="224"/>
        <v>0</v>
      </c>
      <c r="N234" s="329">
        <f t="shared" si="146"/>
        <v>0</v>
      </c>
      <c r="O234" s="35">
        <f t="shared" si="225"/>
        <v>3.4499999999970896</v>
      </c>
      <c r="P234" s="414">
        <f t="shared" si="226"/>
        <v>0</v>
      </c>
      <c r="Q234" s="329">
        <f t="shared" si="147"/>
        <v>0</v>
      </c>
      <c r="R234" s="35">
        <f t="shared" si="227"/>
        <v>0</v>
      </c>
      <c r="S234" s="414">
        <f t="shared" si="228"/>
        <v>0</v>
      </c>
      <c r="T234" s="880">
        <f>[5]Sheet1!$B648</f>
        <v>1.2365999999999999E-4</v>
      </c>
      <c r="U234" s="10">
        <f t="shared" ref="U234" si="231">A234</f>
        <v>43819</v>
      </c>
      <c r="V234" s="881">
        <f t="shared" ref="V234" si="232">T234*365/(A235-A234)</f>
        <v>1.5045299999999999E-2</v>
      </c>
    </row>
    <row r="235" spans="1:22" x14ac:dyDescent="0.25">
      <c r="A235" s="336">
        <f>A234+3</f>
        <v>43822</v>
      </c>
      <c r="B235" s="329">
        <f t="shared" si="142"/>
        <v>0</v>
      </c>
      <c r="C235" s="338">
        <f t="shared" si="217"/>
        <v>36140.569999998886</v>
      </c>
      <c r="D235" s="414">
        <f t="shared" si="218"/>
        <v>4.47</v>
      </c>
      <c r="E235" s="49">
        <f t="shared" si="143"/>
        <v>0</v>
      </c>
      <c r="F235" s="35">
        <f t="shared" si="219"/>
        <v>0</v>
      </c>
      <c r="G235" s="414">
        <f t="shared" si="220"/>
        <v>0</v>
      </c>
      <c r="H235" s="49">
        <f t="shared" si="144"/>
        <v>0</v>
      </c>
      <c r="I235" s="35">
        <f t="shared" si="221"/>
        <v>50929.910000000149</v>
      </c>
      <c r="J235" s="414">
        <f t="shared" si="222"/>
        <v>6.3</v>
      </c>
      <c r="K235" s="329">
        <f t="shared" si="145"/>
        <v>0</v>
      </c>
      <c r="L235" s="35">
        <f t="shared" si="223"/>
        <v>0</v>
      </c>
      <c r="M235" s="414">
        <f t="shared" si="224"/>
        <v>0</v>
      </c>
      <c r="N235" s="329">
        <f t="shared" si="146"/>
        <v>0</v>
      </c>
      <c r="O235" s="35">
        <f t="shared" si="225"/>
        <v>3.4499999999970896</v>
      </c>
      <c r="P235" s="414">
        <f t="shared" si="226"/>
        <v>0</v>
      </c>
      <c r="Q235" s="329">
        <f t="shared" si="147"/>
        <v>0</v>
      </c>
      <c r="R235" s="35">
        <f t="shared" si="227"/>
        <v>0</v>
      </c>
      <c r="S235" s="414">
        <f t="shared" si="228"/>
        <v>0</v>
      </c>
      <c r="T235" s="880">
        <f>[5]Sheet1!$B649</f>
        <v>4.1023999999999999E-5</v>
      </c>
      <c r="U235" s="10">
        <f t="shared" ref="U235" si="233">A235</f>
        <v>43822</v>
      </c>
      <c r="V235" s="881">
        <f t="shared" ref="V235" si="234">T235*365/(A236-A235)</f>
        <v>1.4973759999999999E-2</v>
      </c>
    </row>
    <row r="236" spans="1:22" x14ac:dyDescent="0.25">
      <c r="A236" s="335">
        <f>A235+1</f>
        <v>43823</v>
      </c>
      <c r="B236" s="329">
        <f t="shared" si="142"/>
        <v>265022.32</v>
      </c>
      <c r="C236" s="338">
        <f t="shared" si="217"/>
        <v>301162.88999999891</v>
      </c>
      <c r="D236" s="414">
        <f t="shared" si="218"/>
        <v>1.48</v>
      </c>
      <c r="E236" s="49">
        <f t="shared" si="143"/>
        <v>0</v>
      </c>
      <c r="F236" s="35">
        <f t="shared" si="219"/>
        <v>0</v>
      </c>
      <c r="G236" s="414">
        <f t="shared" si="220"/>
        <v>0</v>
      </c>
      <c r="H236" s="49">
        <f t="shared" si="144"/>
        <v>0</v>
      </c>
      <c r="I236" s="35">
        <f t="shared" si="221"/>
        <v>50929.910000000149</v>
      </c>
      <c r="J236" s="414">
        <f t="shared" si="222"/>
        <v>2.09</v>
      </c>
      <c r="K236" s="329">
        <f t="shared" si="145"/>
        <v>0</v>
      </c>
      <c r="L236" s="35">
        <f t="shared" si="223"/>
        <v>0</v>
      </c>
      <c r="M236" s="414">
        <f t="shared" si="224"/>
        <v>0</v>
      </c>
      <c r="N236" s="329">
        <f t="shared" si="146"/>
        <v>0</v>
      </c>
      <c r="O236" s="35">
        <f t="shared" si="225"/>
        <v>3.4499999999970896</v>
      </c>
      <c r="P236" s="414">
        <f t="shared" si="226"/>
        <v>0</v>
      </c>
      <c r="Q236" s="329">
        <f t="shared" si="147"/>
        <v>0</v>
      </c>
      <c r="R236" s="35">
        <f t="shared" si="227"/>
        <v>0</v>
      </c>
      <c r="S236" s="414">
        <f t="shared" si="228"/>
        <v>0</v>
      </c>
      <c r="T236" s="880">
        <f>[5]Sheet1!$B650</f>
        <v>8.2436999999999997E-5</v>
      </c>
      <c r="U236" s="10">
        <f t="shared" ref="U236" si="235">A236</f>
        <v>43823</v>
      </c>
      <c r="V236" s="881">
        <f t="shared" ref="V236" si="236">T236*365/(A237-A236)</f>
        <v>1.50447525E-2</v>
      </c>
    </row>
    <row r="237" spans="1:22" x14ac:dyDescent="0.25">
      <c r="A237" s="336">
        <f>A236+2</f>
        <v>43825</v>
      </c>
      <c r="B237" s="329">
        <f t="shared" si="142"/>
        <v>0</v>
      </c>
      <c r="C237" s="338">
        <f t="shared" si="217"/>
        <v>301162.88999999891</v>
      </c>
      <c r="D237" s="414">
        <f t="shared" si="218"/>
        <v>24.83</v>
      </c>
      <c r="E237" s="49">
        <f t="shared" si="143"/>
        <v>0</v>
      </c>
      <c r="F237" s="35">
        <f t="shared" si="219"/>
        <v>0</v>
      </c>
      <c r="G237" s="414">
        <f t="shared" si="220"/>
        <v>0</v>
      </c>
      <c r="H237" s="49">
        <f t="shared" si="144"/>
        <v>0</v>
      </c>
      <c r="I237" s="35">
        <f t="shared" si="221"/>
        <v>50929.910000000149</v>
      </c>
      <c r="J237" s="414">
        <f t="shared" si="222"/>
        <v>4.2</v>
      </c>
      <c r="K237" s="329">
        <f t="shared" si="145"/>
        <v>0</v>
      </c>
      <c r="L237" s="35">
        <f t="shared" si="223"/>
        <v>0</v>
      </c>
      <c r="M237" s="414">
        <f t="shared" si="224"/>
        <v>0</v>
      </c>
      <c r="N237" s="329">
        <f t="shared" si="146"/>
        <v>0</v>
      </c>
      <c r="O237" s="35">
        <f t="shared" si="225"/>
        <v>3.4499999999970896</v>
      </c>
      <c r="P237" s="414">
        <f t="shared" si="226"/>
        <v>0</v>
      </c>
      <c r="Q237" s="329">
        <f t="shared" si="147"/>
        <v>0</v>
      </c>
      <c r="R237" s="35">
        <f t="shared" si="227"/>
        <v>0</v>
      </c>
      <c r="S237" s="414">
        <f t="shared" si="228"/>
        <v>0</v>
      </c>
      <c r="T237" s="880">
        <f>[5]Sheet1!$B651</f>
        <v>4.1241E-5</v>
      </c>
      <c r="U237" s="10">
        <f t="shared" ref="U237" si="237">A237</f>
        <v>43825</v>
      </c>
      <c r="V237" s="881">
        <f t="shared" ref="V237" si="238">T237*365/(A238-A237)</f>
        <v>1.5052965E-2</v>
      </c>
    </row>
    <row r="238" spans="1:22" x14ac:dyDescent="0.25">
      <c r="A238" s="335">
        <f>A237+1</f>
        <v>43826</v>
      </c>
      <c r="B238" s="329">
        <f t="shared" si="142"/>
        <v>0</v>
      </c>
      <c r="C238" s="338">
        <f t="shared" si="217"/>
        <v>301162.88999999891</v>
      </c>
      <c r="D238" s="414">
        <f t="shared" si="218"/>
        <v>12.42</v>
      </c>
      <c r="E238" s="49">
        <f t="shared" si="143"/>
        <v>0</v>
      </c>
      <c r="F238" s="35">
        <f t="shared" si="219"/>
        <v>0</v>
      </c>
      <c r="G238" s="414">
        <f t="shared" si="220"/>
        <v>0</v>
      </c>
      <c r="H238" s="49">
        <f t="shared" si="144"/>
        <v>0</v>
      </c>
      <c r="I238" s="35">
        <f t="shared" si="221"/>
        <v>50929.910000000149</v>
      </c>
      <c r="J238" s="414">
        <f t="shared" si="222"/>
        <v>2.1</v>
      </c>
      <c r="K238" s="329">
        <f t="shared" si="145"/>
        <v>0</v>
      </c>
      <c r="L238" s="35">
        <f t="shared" si="223"/>
        <v>0</v>
      </c>
      <c r="M238" s="414">
        <f t="shared" si="224"/>
        <v>0</v>
      </c>
      <c r="N238" s="329">
        <f t="shared" si="146"/>
        <v>0</v>
      </c>
      <c r="O238" s="35">
        <f t="shared" si="225"/>
        <v>3.4499999999970896</v>
      </c>
      <c r="P238" s="414">
        <f t="shared" si="226"/>
        <v>0</v>
      </c>
      <c r="Q238" s="329">
        <f t="shared" si="147"/>
        <v>0</v>
      </c>
      <c r="R238" s="35">
        <f t="shared" si="227"/>
        <v>0</v>
      </c>
      <c r="S238" s="414">
        <f t="shared" si="228"/>
        <v>0</v>
      </c>
      <c r="T238" s="880">
        <f>[5]Sheet1!$B652</f>
        <v>1.2433400000000001E-4</v>
      </c>
      <c r="U238" s="10">
        <f t="shared" ref="U238" si="239">A238</f>
        <v>43826</v>
      </c>
      <c r="V238" s="881">
        <f t="shared" ref="V238" si="240">T238*365/(A239-A238)</f>
        <v>1.5127303333333335E-2</v>
      </c>
    </row>
    <row r="239" spans="1:22" x14ac:dyDescent="0.25">
      <c r="A239" s="336">
        <f>A238+3</f>
        <v>43829</v>
      </c>
      <c r="B239" s="329">
        <f t="shared" si="142"/>
        <v>0</v>
      </c>
      <c r="C239" s="338">
        <f t="shared" si="217"/>
        <v>301162.88999999891</v>
      </c>
      <c r="D239" s="414">
        <f t="shared" si="218"/>
        <v>37.44</v>
      </c>
      <c r="E239" s="49">
        <f t="shared" si="143"/>
        <v>0</v>
      </c>
      <c r="F239" s="35">
        <f t="shared" si="219"/>
        <v>0</v>
      </c>
      <c r="G239" s="414">
        <f t="shared" si="220"/>
        <v>0</v>
      </c>
      <c r="H239" s="49">
        <f t="shared" si="144"/>
        <v>0</v>
      </c>
      <c r="I239" s="35">
        <f t="shared" si="221"/>
        <v>50929.910000000149</v>
      </c>
      <c r="J239" s="414">
        <f t="shared" si="222"/>
        <v>6.33</v>
      </c>
      <c r="K239" s="329">
        <f t="shared" si="145"/>
        <v>0</v>
      </c>
      <c r="L239" s="35">
        <f t="shared" si="223"/>
        <v>0</v>
      </c>
      <c r="M239" s="414">
        <f t="shared" si="224"/>
        <v>0</v>
      </c>
      <c r="N239" s="329">
        <f t="shared" si="146"/>
        <v>0</v>
      </c>
      <c r="O239" s="35">
        <f t="shared" si="225"/>
        <v>3.4499999999970896</v>
      </c>
      <c r="P239" s="414">
        <f t="shared" si="226"/>
        <v>0</v>
      </c>
      <c r="Q239" s="329">
        <f t="shared" si="147"/>
        <v>0</v>
      </c>
      <c r="R239" s="35">
        <f t="shared" si="227"/>
        <v>0</v>
      </c>
      <c r="S239" s="414">
        <f t="shared" si="228"/>
        <v>0</v>
      </c>
      <c r="T239" s="880">
        <f>[5]Sheet1!$B653</f>
        <v>4.1508000000000003E-5</v>
      </c>
      <c r="U239" s="10">
        <f t="shared" ref="U239" si="241">A239</f>
        <v>43829</v>
      </c>
      <c r="V239" s="881">
        <f t="shared" ref="V239" si="242">T239*365/(A240-A239)</f>
        <v>1.5150420000000001E-2</v>
      </c>
    </row>
    <row r="240" spans="1:22" x14ac:dyDescent="0.25">
      <c r="A240" s="335">
        <f>A239+1</f>
        <v>43830</v>
      </c>
      <c r="B240" s="329">
        <f t="shared" si="142"/>
        <v>-15259.8</v>
      </c>
      <c r="C240" s="338">
        <f t="shared" si="217"/>
        <v>285903.08999999892</v>
      </c>
      <c r="D240" s="414">
        <f t="shared" si="218"/>
        <v>12.5</v>
      </c>
      <c r="E240" s="49">
        <f t="shared" si="143"/>
        <v>0</v>
      </c>
      <c r="F240" s="35">
        <f t="shared" si="219"/>
        <v>0</v>
      </c>
      <c r="G240" s="414">
        <f t="shared" si="220"/>
        <v>0</v>
      </c>
      <c r="H240" s="49">
        <f t="shared" si="144"/>
        <v>0</v>
      </c>
      <c r="I240" s="35">
        <f t="shared" si="221"/>
        <v>50929.910000000149</v>
      </c>
      <c r="J240" s="414">
        <f t="shared" si="222"/>
        <v>2.11</v>
      </c>
      <c r="K240" s="329">
        <f t="shared" si="145"/>
        <v>0</v>
      </c>
      <c r="L240" s="35">
        <f t="shared" si="223"/>
        <v>0</v>
      </c>
      <c r="M240" s="414">
        <f t="shared" si="224"/>
        <v>0</v>
      </c>
      <c r="N240" s="329">
        <f t="shared" si="146"/>
        <v>3381.45</v>
      </c>
      <c r="O240" s="35">
        <f t="shared" si="225"/>
        <v>3384.8999999999969</v>
      </c>
      <c r="P240" s="414">
        <f t="shared" si="226"/>
        <v>0</v>
      </c>
      <c r="Q240" s="329">
        <f t="shared" si="147"/>
        <v>0</v>
      </c>
      <c r="R240" s="35">
        <f t="shared" si="227"/>
        <v>0</v>
      </c>
      <c r="S240" s="414">
        <f t="shared" si="228"/>
        <v>0</v>
      </c>
      <c r="T240" s="880">
        <f>[5]Sheet1!$B654</f>
        <v>4.1704000000000006E-5</v>
      </c>
      <c r="U240" s="10">
        <f t="shared" ref="U240" si="243">A240</f>
        <v>43830</v>
      </c>
      <c r="V240" s="881">
        <f t="shared" ref="V240" si="244">T240*365/(A241-A240)</f>
        <v>1.5221960000000001E-2</v>
      </c>
    </row>
    <row r="241" spans="1:22" x14ac:dyDescent="0.25">
      <c r="A241" s="336">
        <f>A240+1</f>
        <v>43831</v>
      </c>
      <c r="B241" s="329">
        <f t="shared" si="142"/>
        <v>0</v>
      </c>
      <c r="C241" s="338">
        <f t="shared" si="217"/>
        <v>285903.08999999892</v>
      </c>
      <c r="D241" s="414">
        <f t="shared" si="218"/>
        <v>11.92</v>
      </c>
      <c r="E241" s="49">
        <f t="shared" si="143"/>
        <v>0</v>
      </c>
      <c r="F241" s="35">
        <f t="shared" si="219"/>
        <v>0</v>
      </c>
      <c r="G241" s="414">
        <f t="shared" si="220"/>
        <v>0</v>
      </c>
      <c r="H241" s="49">
        <f t="shared" si="144"/>
        <v>0</v>
      </c>
      <c r="I241" s="35">
        <f t="shared" si="221"/>
        <v>50929.910000000149</v>
      </c>
      <c r="J241" s="414">
        <f t="shared" si="222"/>
        <v>2.12</v>
      </c>
      <c r="K241" s="329">
        <f t="shared" si="145"/>
        <v>0</v>
      </c>
      <c r="L241" s="35">
        <f t="shared" si="223"/>
        <v>0</v>
      </c>
      <c r="M241" s="414">
        <f t="shared" si="224"/>
        <v>0</v>
      </c>
      <c r="N241" s="329">
        <f t="shared" si="146"/>
        <v>0</v>
      </c>
      <c r="O241" s="35">
        <f t="shared" si="225"/>
        <v>3384.8999999999969</v>
      </c>
      <c r="P241" s="414">
        <f t="shared" si="226"/>
        <v>0.14000000000000001</v>
      </c>
      <c r="Q241" s="329">
        <f t="shared" si="147"/>
        <v>0</v>
      </c>
      <c r="R241" s="35">
        <f t="shared" si="227"/>
        <v>0</v>
      </c>
      <c r="S241" s="414">
        <f t="shared" si="228"/>
        <v>0</v>
      </c>
      <c r="T241" s="880">
        <f>[5]Sheet1!$B655</f>
        <v>4.1704000000000006E-5</v>
      </c>
      <c r="U241" s="10">
        <f t="shared" ref="U241:U242" si="245">A241</f>
        <v>43831</v>
      </c>
      <c r="V241" s="881">
        <f t="shared" ref="V241:V242" si="246">T241*365/(A242-A241)</f>
        <v>1.5221960000000001E-2</v>
      </c>
    </row>
    <row r="242" spans="1:22" x14ac:dyDescent="0.25">
      <c r="A242" s="335">
        <f>A241+1</f>
        <v>43832</v>
      </c>
      <c r="B242" s="329">
        <f t="shared" si="142"/>
        <v>0</v>
      </c>
      <c r="C242" s="338">
        <f t="shared" si="217"/>
        <v>285903.08999999892</v>
      </c>
      <c r="D242" s="414">
        <f t="shared" si="218"/>
        <v>11.92</v>
      </c>
      <c r="E242" s="49">
        <f t="shared" si="143"/>
        <v>0</v>
      </c>
      <c r="F242" s="35">
        <f t="shared" si="219"/>
        <v>0</v>
      </c>
      <c r="G242" s="414">
        <f t="shared" si="220"/>
        <v>0</v>
      </c>
      <c r="H242" s="49">
        <f t="shared" si="144"/>
        <v>3381.45</v>
      </c>
      <c r="I242" s="35">
        <f t="shared" si="221"/>
        <v>54311.360000000146</v>
      </c>
      <c r="J242" s="414">
        <f t="shared" si="222"/>
        <v>2.12</v>
      </c>
      <c r="K242" s="329">
        <f t="shared" si="145"/>
        <v>0</v>
      </c>
      <c r="L242" s="35">
        <f t="shared" si="223"/>
        <v>0</v>
      </c>
      <c r="M242" s="414">
        <f t="shared" si="224"/>
        <v>0</v>
      </c>
      <c r="N242" s="329">
        <f t="shared" si="146"/>
        <v>-3381.45</v>
      </c>
      <c r="O242" s="35">
        <f t="shared" si="225"/>
        <v>3.4499999999970896</v>
      </c>
      <c r="P242" s="414">
        <f t="shared" si="226"/>
        <v>0.14000000000000001</v>
      </c>
      <c r="Q242" s="329">
        <f t="shared" si="147"/>
        <v>0</v>
      </c>
      <c r="R242" s="35">
        <f t="shared" si="227"/>
        <v>0</v>
      </c>
      <c r="S242" s="414">
        <f t="shared" si="228"/>
        <v>0</v>
      </c>
      <c r="T242" s="880">
        <f>[5]Sheet1!$B656</f>
        <v>4.0988999999999997E-5</v>
      </c>
      <c r="U242" s="10">
        <f t="shared" si="245"/>
        <v>43832</v>
      </c>
      <c r="V242" s="881">
        <f t="shared" si="246"/>
        <v>1.4960985E-2</v>
      </c>
    </row>
    <row r="243" spans="1:22" x14ac:dyDescent="0.25">
      <c r="A243" s="335">
        <f>A242+1</f>
        <v>43833</v>
      </c>
      <c r="B243" s="329">
        <f t="shared" si="142"/>
        <v>117.83</v>
      </c>
      <c r="C243" s="338">
        <f t="shared" si="217"/>
        <v>286020.91999999894</v>
      </c>
      <c r="D243" s="414">
        <f t="shared" si="218"/>
        <v>11.72</v>
      </c>
      <c r="E243" s="49">
        <f t="shared" si="143"/>
        <v>0</v>
      </c>
      <c r="F243" s="35">
        <f t="shared" si="219"/>
        <v>0</v>
      </c>
      <c r="G243" s="414">
        <f t="shared" si="220"/>
        <v>0</v>
      </c>
      <c r="H243" s="49">
        <f t="shared" si="144"/>
        <v>65.03</v>
      </c>
      <c r="I243" s="35">
        <f t="shared" si="221"/>
        <v>54376.390000000145</v>
      </c>
      <c r="J243" s="414">
        <f t="shared" si="222"/>
        <v>2.23</v>
      </c>
      <c r="K243" s="329">
        <f t="shared" si="145"/>
        <v>0</v>
      </c>
      <c r="L243" s="35">
        <f t="shared" si="223"/>
        <v>0</v>
      </c>
      <c r="M243" s="414">
        <f t="shared" si="224"/>
        <v>0</v>
      </c>
      <c r="N243" s="329">
        <f t="shared" si="146"/>
        <v>20.61</v>
      </c>
      <c r="O243" s="35">
        <f t="shared" si="225"/>
        <v>24.059999999997089</v>
      </c>
      <c r="P243" s="414">
        <f t="shared" si="226"/>
        <v>0</v>
      </c>
      <c r="Q243" s="329">
        <f t="shared" si="147"/>
        <v>0</v>
      </c>
      <c r="R243" s="35">
        <f t="shared" si="227"/>
        <v>0</v>
      </c>
      <c r="S243" s="414">
        <f t="shared" si="228"/>
        <v>0</v>
      </c>
      <c r="T243" s="880">
        <f>[5]Sheet1!$B657</f>
        <v>1.2299199999999999E-4</v>
      </c>
      <c r="U243" s="10">
        <f t="shared" ref="U243" si="247">A243</f>
        <v>43833</v>
      </c>
      <c r="V243" s="881">
        <f t="shared" ref="V243" si="248">T243*365/(A244-A243)</f>
        <v>1.4964026666666665E-2</v>
      </c>
    </row>
    <row r="244" spans="1:22" x14ac:dyDescent="0.25">
      <c r="A244" s="336">
        <f>A243+3</f>
        <v>43836</v>
      </c>
      <c r="B244" s="329">
        <f t="shared" si="142"/>
        <v>0</v>
      </c>
      <c r="C244" s="338">
        <f t="shared" si="217"/>
        <v>286020.91999999894</v>
      </c>
      <c r="D244" s="414">
        <f t="shared" si="218"/>
        <v>35.18</v>
      </c>
      <c r="E244" s="49">
        <f t="shared" si="143"/>
        <v>0</v>
      </c>
      <c r="F244" s="35">
        <f t="shared" si="219"/>
        <v>0</v>
      </c>
      <c r="G244" s="414">
        <f t="shared" si="220"/>
        <v>0</v>
      </c>
      <c r="H244" s="49">
        <f t="shared" si="144"/>
        <v>0</v>
      </c>
      <c r="I244" s="35">
        <f t="shared" si="221"/>
        <v>54376.390000000145</v>
      </c>
      <c r="J244" s="414">
        <f t="shared" si="222"/>
        <v>6.69</v>
      </c>
      <c r="K244" s="329">
        <f t="shared" si="145"/>
        <v>0</v>
      </c>
      <c r="L244" s="35">
        <f t="shared" si="223"/>
        <v>0</v>
      </c>
      <c r="M244" s="414">
        <f t="shared" si="224"/>
        <v>0</v>
      </c>
      <c r="N244" s="329">
        <f t="shared" si="146"/>
        <v>0</v>
      </c>
      <c r="O244" s="35">
        <f t="shared" si="225"/>
        <v>24.059999999997089</v>
      </c>
      <c r="P244" s="414">
        <f t="shared" si="226"/>
        <v>0</v>
      </c>
      <c r="Q244" s="329">
        <f t="shared" si="147"/>
        <v>0</v>
      </c>
      <c r="R244" s="35">
        <f t="shared" si="227"/>
        <v>0</v>
      </c>
      <c r="S244" s="414">
        <f t="shared" si="228"/>
        <v>0</v>
      </c>
      <c r="T244" s="880">
        <f>[5]Sheet1!$B658</f>
        <v>4.1220999999999997E-5</v>
      </c>
      <c r="U244" s="10">
        <f t="shared" ref="U244" si="249">A244</f>
        <v>43836</v>
      </c>
      <c r="V244" s="881">
        <f t="shared" ref="V244" si="250">T244*365/(A245-A244)</f>
        <v>1.5045665E-2</v>
      </c>
    </row>
    <row r="245" spans="1:22" x14ac:dyDescent="0.25">
      <c r="A245" s="335">
        <f>A244+1</f>
        <v>43837</v>
      </c>
      <c r="B245" s="329">
        <f t="shared" si="142"/>
        <v>0</v>
      </c>
      <c r="C245" s="338">
        <f t="shared" si="217"/>
        <v>286020.91999999894</v>
      </c>
      <c r="D245" s="414">
        <f t="shared" si="218"/>
        <v>11.79</v>
      </c>
      <c r="E245" s="49">
        <f t="shared" si="143"/>
        <v>0</v>
      </c>
      <c r="F245" s="35">
        <f t="shared" si="219"/>
        <v>0</v>
      </c>
      <c r="G245" s="414">
        <f t="shared" si="220"/>
        <v>0</v>
      </c>
      <c r="H245" s="49">
        <f t="shared" si="144"/>
        <v>0</v>
      </c>
      <c r="I245" s="35">
        <f t="shared" si="221"/>
        <v>54376.390000000145</v>
      </c>
      <c r="J245" s="414">
        <f t="shared" si="222"/>
        <v>2.2400000000000002</v>
      </c>
      <c r="K245" s="329">
        <f t="shared" si="145"/>
        <v>0</v>
      </c>
      <c r="L245" s="35">
        <f t="shared" si="223"/>
        <v>0</v>
      </c>
      <c r="M245" s="414">
        <f t="shared" si="224"/>
        <v>0</v>
      </c>
      <c r="N245" s="329">
        <f t="shared" si="146"/>
        <v>0</v>
      </c>
      <c r="O245" s="35">
        <f t="shared" si="225"/>
        <v>24.059999999997089</v>
      </c>
      <c r="P245" s="414">
        <f t="shared" si="226"/>
        <v>0</v>
      </c>
      <c r="Q245" s="329">
        <f t="shared" si="147"/>
        <v>0</v>
      </c>
      <c r="R245" s="35">
        <f t="shared" si="227"/>
        <v>0</v>
      </c>
      <c r="S245" s="414">
        <f t="shared" si="228"/>
        <v>0</v>
      </c>
      <c r="T245" s="880">
        <f>[5]Sheet1!$B659</f>
        <v>4.1003E-5</v>
      </c>
      <c r="U245" s="10">
        <f t="shared" ref="U245" si="251">A245</f>
        <v>43837</v>
      </c>
      <c r="V245" s="881">
        <f t="shared" ref="V245" si="252">T245*365/(A246-A245)</f>
        <v>1.4966095E-2</v>
      </c>
    </row>
    <row r="246" spans="1:22" x14ac:dyDescent="0.25">
      <c r="A246" s="335">
        <f>A245+1</f>
        <v>43838</v>
      </c>
      <c r="B246" s="329">
        <f t="shared" si="142"/>
        <v>0</v>
      </c>
      <c r="C246" s="338">
        <f t="shared" si="217"/>
        <v>286020.91999999894</v>
      </c>
      <c r="D246" s="414">
        <f t="shared" si="218"/>
        <v>11.73</v>
      </c>
      <c r="E246" s="49">
        <f t="shared" si="143"/>
        <v>0</v>
      </c>
      <c r="F246" s="35">
        <f t="shared" si="219"/>
        <v>0</v>
      </c>
      <c r="G246" s="414">
        <f t="shared" si="220"/>
        <v>0</v>
      </c>
      <c r="H246" s="49">
        <f t="shared" si="144"/>
        <v>0</v>
      </c>
      <c r="I246" s="35">
        <f t="shared" si="221"/>
        <v>54376.390000000145</v>
      </c>
      <c r="J246" s="414">
        <f t="shared" si="222"/>
        <v>2.23</v>
      </c>
      <c r="K246" s="329">
        <f t="shared" si="145"/>
        <v>0</v>
      </c>
      <c r="L246" s="35">
        <f t="shared" si="223"/>
        <v>0</v>
      </c>
      <c r="M246" s="414">
        <f t="shared" si="224"/>
        <v>0</v>
      </c>
      <c r="N246" s="329">
        <f t="shared" si="146"/>
        <v>0</v>
      </c>
      <c r="O246" s="35">
        <f t="shared" si="225"/>
        <v>24.059999999997089</v>
      </c>
      <c r="P246" s="414">
        <f t="shared" si="226"/>
        <v>0</v>
      </c>
      <c r="Q246" s="329">
        <f t="shared" si="147"/>
        <v>0</v>
      </c>
      <c r="R246" s="35">
        <f t="shared" si="227"/>
        <v>0</v>
      </c>
      <c r="S246" s="414">
        <f t="shared" si="228"/>
        <v>0</v>
      </c>
      <c r="T246" s="880">
        <f>[5]Sheet1!$B660</f>
        <v>4.1165999999999999E-5</v>
      </c>
      <c r="U246" s="10">
        <f t="shared" ref="U246" si="253">A246</f>
        <v>43838</v>
      </c>
      <c r="V246" s="881">
        <f t="shared" ref="V246" si="254">T246*365/(A247-A246)</f>
        <v>1.502559E-2</v>
      </c>
    </row>
    <row r="247" spans="1:22" x14ac:dyDescent="0.25">
      <c r="A247" s="335">
        <f>A246+1</f>
        <v>43839</v>
      </c>
      <c r="B247" s="329">
        <f t="shared" si="142"/>
        <v>0</v>
      </c>
      <c r="C247" s="338">
        <f t="shared" si="217"/>
        <v>286020.91999999894</v>
      </c>
      <c r="D247" s="414">
        <f t="shared" si="218"/>
        <v>11.77</v>
      </c>
      <c r="E247" s="49">
        <f t="shared" si="143"/>
        <v>0</v>
      </c>
      <c r="F247" s="35">
        <f t="shared" si="219"/>
        <v>0</v>
      </c>
      <c r="G247" s="414">
        <f t="shared" si="220"/>
        <v>0</v>
      </c>
      <c r="H247" s="49">
        <f t="shared" si="144"/>
        <v>0</v>
      </c>
      <c r="I247" s="35">
        <f t="shared" si="221"/>
        <v>54376.390000000145</v>
      </c>
      <c r="J247" s="414">
        <f t="shared" si="222"/>
        <v>2.2400000000000002</v>
      </c>
      <c r="K247" s="329">
        <f t="shared" si="145"/>
        <v>0</v>
      </c>
      <c r="L247" s="35">
        <f t="shared" si="223"/>
        <v>0</v>
      </c>
      <c r="M247" s="414">
        <f t="shared" si="224"/>
        <v>0</v>
      </c>
      <c r="N247" s="329">
        <f t="shared" si="146"/>
        <v>0</v>
      </c>
      <c r="O247" s="35">
        <f t="shared" si="225"/>
        <v>24.059999999997089</v>
      </c>
      <c r="P247" s="414">
        <f t="shared" si="226"/>
        <v>0</v>
      </c>
      <c r="Q247" s="329">
        <f t="shared" si="147"/>
        <v>0</v>
      </c>
      <c r="R247" s="35">
        <f t="shared" si="227"/>
        <v>0</v>
      </c>
      <c r="S247" s="414">
        <f t="shared" si="228"/>
        <v>0</v>
      </c>
      <c r="T247" s="880">
        <f>[5]Sheet1!$B661</f>
        <v>4.1044999999999998E-5</v>
      </c>
      <c r="U247" s="10">
        <f t="shared" ref="U247" si="255">A247</f>
        <v>43839</v>
      </c>
      <c r="V247" s="881">
        <f t="shared" ref="V247" si="256">T247*365/(A248-A247)</f>
        <v>1.4981425E-2</v>
      </c>
    </row>
    <row r="248" spans="1:22" x14ac:dyDescent="0.25">
      <c r="A248" s="335">
        <f>A247+1</f>
        <v>43840</v>
      </c>
      <c r="B248" s="329">
        <f t="shared" si="142"/>
        <v>0</v>
      </c>
      <c r="C248" s="338">
        <f t="shared" si="217"/>
        <v>286020.91999999894</v>
      </c>
      <c r="D248" s="414">
        <f t="shared" si="218"/>
        <v>11.74</v>
      </c>
      <c r="E248" s="49">
        <f t="shared" si="143"/>
        <v>0</v>
      </c>
      <c r="F248" s="35">
        <f t="shared" si="219"/>
        <v>0</v>
      </c>
      <c r="G248" s="414">
        <f t="shared" si="220"/>
        <v>0</v>
      </c>
      <c r="H248" s="49">
        <f t="shared" si="144"/>
        <v>0</v>
      </c>
      <c r="I248" s="35">
        <f t="shared" si="221"/>
        <v>54376.390000000145</v>
      </c>
      <c r="J248" s="414">
        <f t="shared" si="222"/>
        <v>2.23</v>
      </c>
      <c r="K248" s="329">
        <f t="shared" si="145"/>
        <v>0</v>
      </c>
      <c r="L248" s="35">
        <f t="shared" si="223"/>
        <v>0</v>
      </c>
      <c r="M248" s="414">
        <f t="shared" si="224"/>
        <v>0</v>
      </c>
      <c r="N248" s="329">
        <f t="shared" si="146"/>
        <v>0</v>
      </c>
      <c r="O248" s="35">
        <f t="shared" si="225"/>
        <v>24.059999999997089</v>
      </c>
      <c r="P248" s="414">
        <f t="shared" si="226"/>
        <v>0</v>
      </c>
      <c r="Q248" s="329">
        <f t="shared" si="147"/>
        <v>0</v>
      </c>
      <c r="R248" s="35">
        <f t="shared" si="227"/>
        <v>0</v>
      </c>
      <c r="S248" s="414">
        <f t="shared" si="228"/>
        <v>0</v>
      </c>
      <c r="T248" s="880">
        <f>[5]Sheet1!$B662</f>
        <v>1.2298699999999999E-4</v>
      </c>
      <c r="U248" s="10">
        <f t="shared" ref="U248" si="257">A248</f>
        <v>43840</v>
      </c>
      <c r="V248" s="881">
        <f t="shared" ref="V248" si="258">T248*365/(A249-A248)</f>
        <v>1.4963418333333332E-2</v>
      </c>
    </row>
    <row r="249" spans="1:22" x14ac:dyDescent="0.25">
      <c r="A249" s="336">
        <f>A248+3</f>
        <v>43843</v>
      </c>
      <c r="B249" s="329">
        <f t="shared" si="142"/>
        <v>0</v>
      </c>
      <c r="C249" s="338">
        <f t="shared" si="217"/>
        <v>286020.91999999894</v>
      </c>
      <c r="D249" s="414">
        <f t="shared" si="218"/>
        <v>35.18</v>
      </c>
      <c r="E249" s="49">
        <f t="shared" si="143"/>
        <v>0</v>
      </c>
      <c r="F249" s="35">
        <f t="shared" si="219"/>
        <v>0</v>
      </c>
      <c r="G249" s="414">
        <f t="shared" si="220"/>
        <v>0</v>
      </c>
      <c r="H249" s="49">
        <f t="shared" si="144"/>
        <v>0</v>
      </c>
      <c r="I249" s="35">
        <f t="shared" si="221"/>
        <v>54376.390000000145</v>
      </c>
      <c r="J249" s="414">
        <f t="shared" si="222"/>
        <v>6.69</v>
      </c>
      <c r="K249" s="329">
        <f t="shared" si="145"/>
        <v>0</v>
      </c>
      <c r="L249" s="35">
        <f t="shared" si="223"/>
        <v>0</v>
      </c>
      <c r="M249" s="414">
        <f t="shared" si="224"/>
        <v>0</v>
      </c>
      <c r="N249" s="329">
        <f t="shared" si="146"/>
        <v>0</v>
      </c>
      <c r="O249" s="35">
        <f t="shared" si="225"/>
        <v>24.059999999997089</v>
      </c>
      <c r="P249" s="414">
        <f t="shared" si="226"/>
        <v>0</v>
      </c>
      <c r="Q249" s="329">
        <f t="shared" si="147"/>
        <v>0</v>
      </c>
      <c r="R249" s="35">
        <f t="shared" si="227"/>
        <v>0</v>
      </c>
      <c r="S249" s="414">
        <f t="shared" si="228"/>
        <v>0</v>
      </c>
      <c r="T249" s="880">
        <f>[5]Sheet1!$B663</f>
        <v>4.0976000000000002E-5</v>
      </c>
      <c r="U249" s="10">
        <f t="shared" ref="U249" si="259">A249</f>
        <v>43843</v>
      </c>
      <c r="V249" s="881">
        <f t="shared" ref="V249" si="260">T249*365/(A250-A249)</f>
        <v>1.4956240000000001E-2</v>
      </c>
    </row>
    <row r="250" spans="1:22" x14ac:dyDescent="0.25">
      <c r="A250" s="335">
        <f>A249+1</f>
        <v>43844</v>
      </c>
      <c r="B250" s="329">
        <f t="shared" si="142"/>
        <v>0</v>
      </c>
      <c r="C250" s="338">
        <f t="shared" si="217"/>
        <v>286020.91999999894</v>
      </c>
      <c r="D250" s="414">
        <f t="shared" si="218"/>
        <v>11.72</v>
      </c>
      <c r="E250" s="49">
        <f t="shared" si="143"/>
        <v>0</v>
      </c>
      <c r="F250" s="35">
        <f t="shared" si="219"/>
        <v>0</v>
      </c>
      <c r="G250" s="414">
        <f t="shared" si="220"/>
        <v>0</v>
      </c>
      <c r="H250" s="49">
        <f t="shared" si="144"/>
        <v>0</v>
      </c>
      <c r="I250" s="35">
        <f t="shared" si="221"/>
        <v>54376.390000000145</v>
      </c>
      <c r="J250" s="414">
        <f t="shared" si="222"/>
        <v>2.23</v>
      </c>
      <c r="K250" s="329">
        <f t="shared" si="145"/>
        <v>0</v>
      </c>
      <c r="L250" s="35">
        <f t="shared" si="223"/>
        <v>0</v>
      </c>
      <c r="M250" s="414">
        <f t="shared" si="224"/>
        <v>0</v>
      </c>
      <c r="N250" s="329">
        <f t="shared" si="146"/>
        <v>0</v>
      </c>
      <c r="O250" s="35">
        <f t="shared" si="225"/>
        <v>24.059999999997089</v>
      </c>
      <c r="P250" s="414">
        <f t="shared" si="226"/>
        <v>0</v>
      </c>
      <c r="Q250" s="329">
        <f t="shared" si="147"/>
        <v>0</v>
      </c>
      <c r="R250" s="35">
        <f t="shared" si="227"/>
        <v>0</v>
      </c>
      <c r="S250" s="414">
        <f t="shared" si="228"/>
        <v>0</v>
      </c>
      <c r="T250" s="880">
        <f>[5]Sheet1!$B664</f>
        <v>4.1115999999999997E-5</v>
      </c>
      <c r="U250" s="10">
        <f t="shared" ref="U250" si="261">A250</f>
        <v>43844</v>
      </c>
      <c r="V250" s="881">
        <f t="shared" ref="V250" si="262">T250*365/(A251-A250)</f>
        <v>1.5007339999999999E-2</v>
      </c>
    </row>
    <row r="251" spans="1:22" x14ac:dyDescent="0.25">
      <c r="A251" s="335">
        <f>A250+1</f>
        <v>43845</v>
      </c>
      <c r="B251" s="329">
        <f t="shared" si="142"/>
        <v>0</v>
      </c>
      <c r="C251" s="338">
        <f t="shared" si="217"/>
        <v>286020.91999999894</v>
      </c>
      <c r="D251" s="414">
        <f t="shared" si="218"/>
        <v>11.76</v>
      </c>
      <c r="E251" s="49">
        <f t="shared" si="143"/>
        <v>0</v>
      </c>
      <c r="F251" s="35">
        <f t="shared" si="219"/>
        <v>0</v>
      </c>
      <c r="G251" s="414">
        <f t="shared" si="220"/>
        <v>0</v>
      </c>
      <c r="H251" s="49">
        <f t="shared" si="144"/>
        <v>0</v>
      </c>
      <c r="I251" s="35">
        <f t="shared" si="221"/>
        <v>54376.390000000145</v>
      </c>
      <c r="J251" s="414">
        <f t="shared" si="222"/>
        <v>2.2400000000000002</v>
      </c>
      <c r="K251" s="329">
        <f t="shared" si="145"/>
        <v>0</v>
      </c>
      <c r="L251" s="35">
        <f t="shared" si="223"/>
        <v>0</v>
      </c>
      <c r="M251" s="414">
        <f t="shared" si="224"/>
        <v>0</v>
      </c>
      <c r="N251" s="329">
        <f t="shared" si="146"/>
        <v>0</v>
      </c>
      <c r="O251" s="35">
        <f t="shared" si="225"/>
        <v>24.059999999997089</v>
      </c>
      <c r="P251" s="414">
        <f t="shared" si="226"/>
        <v>0</v>
      </c>
      <c r="Q251" s="329">
        <f t="shared" si="147"/>
        <v>0</v>
      </c>
      <c r="R251" s="35">
        <f t="shared" si="227"/>
        <v>0</v>
      </c>
      <c r="S251" s="414">
        <f t="shared" si="228"/>
        <v>0</v>
      </c>
      <c r="T251" s="880">
        <f>[5]Sheet1!$B665</f>
        <v>4.1174000000000003E-5</v>
      </c>
      <c r="U251" s="10">
        <f t="shared" ref="U251" si="263">A251</f>
        <v>43845</v>
      </c>
      <c r="V251" s="881">
        <f t="shared" ref="V251" si="264">T251*365/(A252-A251)</f>
        <v>1.502851E-2</v>
      </c>
    </row>
    <row r="252" spans="1:22" x14ac:dyDescent="0.25">
      <c r="A252" s="335">
        <f>A251+1</f>
        <v>43846</v>
      </c>
      <c r="B252" s="329">
        <f t="shared" si="142"/>
        <v>0</v>
      </c>
      <c r="C252" s="338">
        <f t="shared" si="217"/>
        <v>286020.91999999894</v>
      </c>
      <c r="D252" s="414">
        <f t="shared" si="218"/>
        <v>11.78</v>
      </c>
      <c r="E252" s="49">
        <f t="shared" si="143"/>
        <v>0</v>
      </c>
      <c r="F252" s="35">
        <f t="shared" si="219"/>
        <v>0</v>
      </c>
      <c r="G252" s="414">
        <f t="shared" si="220"/>
        <v>0</v>
      </c>
      <c r="H252" s="49">
        <f t="shared" si="144"/>
        <v>0</v>
      </c>
      <c r="I252" s="35">
        <f t="shared" si="221"/>
        <v>54376.390000000145</v>
      </c>
      <c r="J252" s="414">
        <f t="shared" si="222"/>
        <v>2.2400000000000002</v>
      </c>
      <c r="K252" s="329">
        <f t="shared" si="145"/>
        <v>0</v>
      </c>
      <c r="L252" s="35">
        <f t="shared" si="223"/>
        <v>0</v>
      </c>
      <c r="M252" s="414">
        <f t="shared" si="224"/>
        <v>0</v>
      </c>
      <c r="N252" s="329">
        <f t="shared" si="146"/>
        <v>0</v>
      </c>
      <c r="O252" s="35">
        <f t="shared" si="225"/>
        <v>24.059999999997089</v>
      </c>
      <c r="P252" s="414">
        <f t="shared" si="226"/>
        <v>0</v>
      </c>
      <c r="Q252" s="329">
        <f t="shared" si="147"/>
        <v>0</v>
      </c>
      <c r="R252" s="35">
        <f t="shared" si="227"/>
        <v>0</v>
      </c>
      <c r="S252" s="414">
        <f t="shared" si="228"/>
        <v>0</v>
      </c>
      <c r="T252" s="880">
        <f>[5]Sheet1!$B666</f>
        <v>4.1164000000000001E-5</v>
      </c>
      <c r="U252" s="10">
        <f t="shared" ref="U252" si="265">A252</f>
        <v>43846</v>
      </c>
      <c r="V252" s="881">
        <f t="shared" ref="V252" si="266">T252*365/(A253-A252)</f>
        <v>1.5024860000000001E-2</v>
      </c>
    </row>
    <row r="253" spans="1:22" x14ac:dyDescent="0.25">
      <c r="A253" s="335">
        <f>A252+1</f>
        <v>43847</v>
      </c>
      <c r="B253" s="329">
        <f t="shared" si="142"/>
        <v>-69601.33</v>
      </c>
      <c r="C253" s="338">
        <f t="shared" si="217"/>
        <v>216419.58999999892</v>
      </c>
      <c r="D253" s="414">
        <f t="shared" si="218"/>
        <v>11.77</v>
      </c>
      <c r="E253" s="49">
        <f t="shared" si="143"/>
        <v>0</v>
      </c>
      <c r="F253" s="35">
        <f t="shared" si="219"/>
        <v>0</v>
      </c>
      <c r="G253" s="414">
        <f t="shared" si="220"/>
        <v>0</v>
      </c>
      <c r="H253" s="49">
        <f t="shared" si="144"/>
        <v>0</v>
      </c>
      <c r="I253" s="35">
        <f t="shared" si="221"/>
        <v>54376.390000000145</v>
      </c>
      <c r="J253" s="414">
        <f t="shared" si="222"/>
        <v>2.2400000000000002</v>
      </c>
      <c r="K253" s="329">
        <f t="shared" si="145"/>
        <v>0</v>
      </c>
      <c r="L253" s="35">
        <f t="shared" si="223"/>
        <v>0</v>
      </c>
      <c r="M253" s="414">
        <f t="shared" si="224"/>
        <v>0</v>
      </c>
      <c r="N253" s="329">
        <f t="shared" si="146"/>
        <v>0</v>
      </c>
      <c r="O253" s="35">
        <f t="shared" si="225"/>
        <v>24.059999999997089</v>
      </c>
      <c r="P253" s="414">
        <f t="shared" si="226"/>
        <v>0</v>
      </c>
      <c r="Q253" s="329">
        <f t="shared" si="147"/>
        <v>0</v>
      </c>
      <c r="R253" s="35">
        <f t="shared" si="227"/>
        <v>0</v>
      </c>
      <c r="S253" s="414">
        <f t="shared" si="228"/>
        <v>0</v>
      </c>
      <c r="T253" s="880">
        <f>[5]Sheet1!$B667</f>
        <v>1.6427400000000001E-4</v>
      </c>
      <c r="U253" s="10">
        <f t="shared" ref="U253" si="267">A253</f>
        <v>43847</v>
      </c>
      <c r="V253" s="881">
        <f t="shared" ref="V253" si="268">T253*365/(A254-A253)</f>
        <v>1.49900025E-2</v>
      </c>
    </row>
    <row r="254" spans="1:22" x14ac:dyDescent="0.25">
      <c r="A254" s="336">
        <f>A253+4</f>
        <v>43851</v>
      </c>
      <c r="B254" s="329">
        <f t="shared" si="142"/>
        <v>0</v>
      </c>
      <c r="C254" s="338">
        <f t="shared" si="217"/>
        <v>216419.58999999892</v>
      </c>
      <c r="D254" s="414">
        <f t="shared" si="218"/>
        <v>35.549999999999997</v>
      </c>
      <c r="E254" s="49">
        <f t="shared" si="143"/>
        <v>0</v>
      </c>
      <c r="F254" s="35">
        <f t="shared" si="219"/>
        <v>0</v>
      </c>
      <c r="G254" s="414">
        <f t="shared" si="220"/>
        <v>0</v>
      </c>
      <c r="H254" s="49">
        <f t="shared" si="144"/>
        <v>-103.63</v>
      </c>
      <c r="I254" s="35">
        <f t="shared" si="221"/>
        <v>54272.760000000148</v>
      </c>
      <c r="J254" s="414">
        <f t="shared" si="222"/>
        <v>8.93</v>
      </c>
      <c r="K254" s="329">
        <f t="shared" si="145"/>
        <v>0</v>
      </c>
      <c r="L254" s="35">
        <f t="shared" si="223"/>
        <v>0</v>
      </c>
      <c r="M254" s="414">
        <f t="shared" si="224"/>
        <v>0</v>
      </c>
      <c r="N254" s="329">
        <f t="shared" si="146"/>
        <v>0</v>
      </c>
      <c r="O254" s="35">
        <f t="shared" si="225"/>
        <v>24.059999999997089</v>
      </c>
      <c r="P254" s="414">
        <f t="shared" si="226"/>
        <v>0</v>
      </c>
      <c r="Q254" s="329">
        <f t="shared" si="147"/>
        <v>0</v>
      </c>
      <c r="R254" s="35">
        <f t="shared" si="227"/>
        <v>0</v>
      </c>
      <c r="S254" s="414">
        <f t="shared" si="228"/>
        <v>0</v>
      </c>
      <c r="T254" s="880">
        <f>[5]Sheet1!$B668</f>
        <v>4.0534000000000002E-5</v>
      </c>
      <c r="U254" s="10">
        <f t="shared" ref="U254" si="269">A254</f>
        <v>43851</v>
      </c>
      <c r="V254" s="881">
        <f t="shared" ref="V254" si="270">T254*365/(A255-A254)</f>
        <v>1.4794910000000001E-2</v>
      </c>
    </row>
    <row r="255" spans="1:22" x14ac:dyDescent="0.25">
      <c r="A255" s="335">
        <f>A254+1</f>
        <v>43852</v>
      </c>
      <c r="B255" s="329">
        <f t="shared" si="142"/>
        <v>0</v>
      </c>
      <c r="C255" s="338">
        <f t="shared" si="217"/>
        <v>216419.58999999892</v>
      </c>
      <c r="D255" s="414">
        <f t="shared" si="218"/>
        <v>8.77</v>
      </c>
      <c r="E255" s="49">
        <f t="shared" si="143"/>
        <v>0</v>
      </c>
      <c r="F255" s="35">
        <f t="shared" si="219"/>
        <v>0</v>
      </c>
      <c r="G255" s="414">
        <f t="shared" si="220"/>
        <v>0</v>
      </c>
      <c r="H255" s="49">
        <f t="shared" si="144"/>
        <v>0</v>
      </c>
      <c r="I255" s="35">
        <f t="shared" si="221"/>
        <v>54272.760000000148</v>
      </c>
      <c r="J255" s="414">
        <f t="shared" si="222"/>
        <v>2.2000000000000002</v>
      </c>
      <c r="K255" s="329">
        <f t="shared" si="145"/>
        <v>0</v>
      </c>
      <c r="L255" s="35">
        <f t="shared" si="223"/>
        <v>0</v>
      </c>
      <c r="M255" s="414">
        <f t="shared" si="224"/>
        <v>0</v>
      </c>
      <c r="N255" s="329">
        <f t="shared" si="146"/>
        <v>0</v>
      </c>
      <c r="O255" s="35">
        <f t="shared" si="225"/>
        <v>24.059999999997089</v>
      </c>
      <c r="P255" s="414">
        <f t="shared" si="226"/>
        <v>0</v>
      </c>
      <c r="Q255" s="329">
        <f t="shared" si="147"/>
        <v>0</v>
      </c>
      <c r="R255" s="35">
        <f t="shared" si="227"/>
        <v>0</v>
      </c>
      <c r="S255" s="414">
        <f t="shared" si="228"/>
        <v>0</v>
      </c>
      <c r="T255" s="880">
        <f>[5]Sheet1!$B669</f>
        <v>4.0636000000000002E-5</v>
      </c>
      <c r="U255" s="10">
        <f t="shared" ref="U255" si="271">A255</f>
        <v>43852</v>
      </c>
      <c r="V255" s="881">
        <f t="shared" ref="V255" si="272">T255*365/(A256-A255)</f>
        <v>1.4832140000000001E-2</v>
      </c>
    </row>
    <row r="256" spans="1:22" x14ac:dyDescent="0.25">
      <c r="A256" s="335">
        <f>A255+1</f>
        <v>43853</v>
      </c>
      <c r="B256" s="329">
        <f t="shared" si="142"/>
        <v>-21869.16</v>
      </c>
      <c r="C256" s="338">
        <f t="shared" si="217"/>
        <v>194550.42999999892</v>
      </c>
      <c r="D256" s="414">
        <f t="shared" si="218"/>
        <v>8.7899999999999991</v>
      </c>
      <c r="E256" s="49">
        <f t="shared" si="143"/>
        <v>0</v>
      </c>
      <c r="F256" s="35">
        <f t="shared" si="219"/>
        <v>0</v>
      </c>
      <c r="G256" s="414">
        <f t="shared" si="220"/>
        <v>0</v>
      </c>
      <c r="H256" s="49">
        <f t="shared" si="144"/>
        <v>0</v>
      </c>
      <c r="I256" s="35">
        <f t="shared" si="221"/>
        <v>54272.760000000148</v>
      </c>
      <c r="J256" s="414">
        <f t="shared" si="222"/>
        <v>2.21</v>
      </c>
      <c r="K256" s="329">
        <f t="shared" si="145"/>
        <v>0</v>
      </c>
      <c r="L256" s="35">
        <f t="shared" si="223"/>
        <v>0</v>
      </c>
      <c r="M256" s="414">
        <f t="shared" si="224"/>
        <v>0</v>
      </c>
      <c r="N256" s="329">
        <f t="shared" si="146"/>
        <v>0</v>
      </c>
      <c r="O256" s="35">
        <f t="shared" si="225"/>
        <v>24.059999999997089</v>
      </c>
      <c r="P256" s="414">
        <f t="shared" si="226"/>
        <v>0</v>
      </c>
      <c r="Q256" s="329">
        <f t="shared" si="147"/>
        <v>0</v>
      </c>
      <c r="R256" s="35">
        <f t="shared" si="227"/>
        <v>0</v>
      </c>
      <c r="S256" s="414">
        <f t="shared" si="228"/>
        <v>0</v>
      </c>
      <c r="T256" s="880">
        <f>[5]Sheet1!$B670</f>
        <v>4.0824000000000001E-5</v>
      </c>
      <c r="U256" s="10">
        <f t="shared" ref="U256" si="273">A256</f>
        <v>43853</v>
      </c>
      <c r="V256" s="881">
        <f t="shared" ref="V256" si="274">T256*365/(A257-A256)</f>
        <v>1.4900760000000001E-2</v>
      </c>
    </row>
    <row r="257" spans="1:22" x14ac:dyDescent="0.25">
      <c r="A257" s="335">
        <f>A256+1</f>
        <v>43854</v>
      </c>
      <c r="B257" s="329">
        <f t="shared" si="142"/>
        <v>0</v>
      </c>
      <c r="C257" s="338">
        <f t="shared" si="217"/>
        <v>194550.42999999892</v>
      </c>
      <c r="D257" s="414">
        <f t="shared" si="218"/>
        <v>7.94</v>
      </c>
      <c r="E257" s="49">
        <f t="shared" si="143"/>
        <v>0</v>
      </c>
      <c r="F257" s="35">
        <f t="shared" si="219"/>
        <v>0</v>
      </c>
      <c r="G257" s="414">
        <f t="shared" si="220"/>
        <v>0</v>
      </c>
      <c r="H257" s="49">
        <f t="shared" si="144"/>
        <v>0</v>
      </c>
      <c r="I257" s="35">
        <f t="shared" si="221"/>
        <v>54272.760000000148</v>
      </c>
      <c r="J257" s="414">
        <f t="shared" si="222"/>
        <v>2.2200000000000002</v>
      </c>
      <c r="K257" s="329">
        <f t="shared" si="145"/>
        <v>0</v>
      </c>
      <c r="L257" s="35">
        <f t="shared" si="223"/>
        <v>0</v>
      </c>
      <c r="M257" s="414">
        <f t="shared" si="224"/>
        <v>0</v>
      </c>
      <c r="N257" s="329">
        <f t="shared" si="146"/>
        <v>0</v>
      </c>
      <c r="O257" s="35">
        <f t="shared" si="225"/>
        <v>24.059999999997089</v>
      </c>
      <c r="P257" s="414">
        <f t="shared" si="226"/>
        <v>0</v>
      </c>
      <c r="Q257" s="329">
        <f t="shared" si="147"/>
        <v>0</v>
      </c>
      <c r="R257" s="35">
        <f t="shared" si="227"/>
        <v>0</v>
      </c>
      <c r="S257" s="414">
        <f t="shared" si="228"/>
        <v>0</v>
      </c>
      <c r="T257" s="880">
        <f>[5]Sheet1!$B671</f>
        <v>1.2255499999999999E-4</v>
      </c>
      <c r="U257" s="10">
        <f t="shared" ref="U257" si="275">A257</f>
        <v>43854</v>
      </c>
      <c r="V257" s="881">
        <f t="shared" ref="V257" si="276">T257*365/(A258-A257)</f>
        <v>1.4910858333333332E-2</v>
      </c>
    </row>
    <row r="258" spans="1:22" x14ac:dyDescent="0.25">
      <c r="A258" s="336">
        <f>A257+3</f>
        <v>43857</v>
      </c>
      <c r="B258" s="329">
        <f t="shared" si="142"/>
        <v>0</v>
      </c>
      <c r="C258" s="338">
        <f t="shared" si="217"/>
        <v>194550.42999999892</v>
      </c>
      <c r="D258" s="414">
        <f t="shared" si="218"/>
        <v>23.84</v>
      </c>
      <c r="E258" s="49">
        <f t="shared" si="143"/>
        <v>0</v>
      </c>
      <c r="F258" s="35">
        <f t="shared" si="219"/>
        <v>0</v>
      </c>
      <c r="G258" s="414">
        <f t="shared" si="220"/>
        <v>0</v>
      </c>
      <c r="H258" s="49">
        <f t="shared" si="144"/>
        <v>0</v>
      </c>
      <c r="I258" s="35">
        <f t="shared" si="221"/>
        <v>54272.760000000148</v>
      </c>
      <c r="J258" s="414">
        <f t="shared" si="222"/>
        <v>6.65</v>
      </c>
      <c r="K258" s="329">
        <f t="shared" si="145"/>
        <v>0</v>
      </c>
      <c r="L258" s="35">
        <f t="shared" si="223"/>
        <v>0</v>
      </c>
      <c r="M258" s="414">
        <f t="shared" si="224"/>
        <v>0</v>
      </c>
      <c r="N258" s="329">
        <f t="shared" si="146"/>
        <v>0</v>
      </c>
      <c r="O258" s="35">
        <f t="shared" si="225"/>
        <v>24.059999999997089</v>
      </c>
      <c r="P258" s="414">
        <f t="shared" si="226"/>
        <v>0</v>
      </c>
      <c r="Q258" s="329">
        <f t="shared" si="147"/>
        <v>0</v>
      </c>
      <c r="R258" s="35">
        <f t="shared" si="227"/>
        <v>0</v>
      </c>
      <c r="S258" s="414">
        <f t="shared" si="228"/>
        <v>0</v>
      </c>
      <c r="T258" s="880">
        <f>[5]Sheet1!$B672</f>
        <v>4.0556000000000003E-5</v>
      </c>
      <c r="U258" s="10">
        <f t="shared" ref="U258" si="277">A258</f>
        <v>43857</v>
      </c>
      <c r="V258" s="881">
        <f t="shared" ref="V258" si="278">T258*365/(A259-A258)</f>
        <v>1.4802940000000001E-2</v>
      </c>
    </row>
    <row r="259" spans="1:22" x14ac:dyDescent="0.25">
      <c r="A259" s="335">
        <f>A258+1</f>
        <v>43858</v>
      </c>
      <c r="B259" s="329">
        <f t="shared" si="142"/>
        <v>0</v>
      </c>
      <c r="C259" s="338">
        <f t="shared" si="217"/>
        <v>194550.42999999892</v>
      </c>
      <c r="D259" s="414">
        <f t="shared" si="218"/>
        <v>7.89</v>
      </c>
      <c r="E259" s="49">
        <f t="shared" si="143"/>
        <v>0</v>
      </c>
      <c r="F259" s="35">
        <f t="shared" si="219"/>
        <v>0</v>
      </c>
      <c r="G259" s="414">
        <f t="shared" si="220"/>
        <v>0</v>
      </c>
      <c r="H259" s="49">
        <f t="shared" si="144"/>
        <v>0</v>
      </c>
      <c r="I259" s="35">
        <f t="shared" si="221"/>
        <v>54272.760000000148</v>
      </c>
      <c r="J259" s="414">
        <f t="shared" si="222"/>
        <v>2.2000000000000002</v>
      </c>
      <c r="K259" s="329">
        <f t="shared" si="145"/>
        <v>0</v>
      </c>
      <c r="L259" s="35">
        <f t="shared" si="223"/>
        <v>0</v>
      </c>
      <c r="M259" s="414">
        <f t="shared" si="224"/>
        <v>0</v>
      </c>
      <c r="N259" s="329">
        <f t="shared" si="146"/>
        <v>0</v>
      </c>
      <c r="O259" s="35">
        <f t="shared" si="225"/>
        <v>24.059999999997089</v>
      </c>
      <c r="P259" s="414">
        <f t="shared" si="226"/>
        <v>0</v>
      </c>
      <c r="Q259" s="329">
        <f t="shared" si="147"/>
        <v>0</v>
      </c>
      <c r="R259" s="35">
        <f t="shared" si="227"/>
        <v>0</v>
      </c>
      <c r="S259" s="414">
        <f t="shared" si="228"/>
        <v>0</v>
      </c>
      <c r="T259" s="880">
        <f>[5]Sheet1!$B673</f>
        <v>4.0750000000000001E-5</v>
      </c>
      <c r="U259" s="10">
        <f t="shared" ref="U259" si="279">A259</f>
        <v>43858</v>
      </c>
      <c r="V259" s="881">
        <f t="shared" ref="V259" si="280">T259*365/(A260-A259)</f>
        <v>1.487375E-2</v>
      </c>
    </row>
    <row r="260" spans="1:22" x14ac:dyDescent="0.25">
      <c r="A260" s="335">
        <f>A259+1</f>
        <v>43859</v>
      </c>
      <c r="B260" s="329">
        <f t="shared" si="142"/>
        <v>0</v>
      </c>
      <c r="C260" s="338">
        <f t="shared" si="217"/>
        <v>194550.42999999892</v>
      </c>
      <c r="D260" s="414">
        <f t="shared" si="218"/>
        <v>7.93</v>
      </c>
      <c r="E260" s="49">
        <f t="shared" si="143"/>
        <v>0</v>
      </c>
      <c r="F260" s="35">
        <f t="shared" si="219"/>
        <v>0</v>
      </c>
      <c r="G260" s="414">
        <f t="shared" si="220"/>
        <v>0</v>
      </c>
      <c r="H260" s="49">
        <f t="shared" si="144"/>
        <v>0</v>
      </c>
      <c r="I260" s="35">
        <f t="shared" si="221"/>
        <v>54272.760000000148</v>
      </c>
      <c r="J260" s="414">
        <f t="shared" si="222"/>
        <v>2.21</v>
      </c>
      <c r="K260" s="329">
        <f t="shared" si="145"/>
        <v>0</v>
      </c>
      <c r="L260" s="35">
        <f t="shared" si="223"/>
        <v>0</v>
      </c>
      <c r="M260" s="414">
        <f t="shared" si="224"/>
        <v>0</v>
      </c>
      <c r="N260" s="329">
        <f t="shared" si="146"/>
        <v>0</v>
      </c>
      <c r="O260" s="35">
        <f t="shared" si="225"/>
        <v>24.059999999997089</v>
      </c>
      <c r="P260" s="414">
        <f t="shared" si="226"/>
        <v>0</v>
      </c>
      <c r="Q260" s="329">
        <f t="shared" si="147"/>
        <v>0</v>
      </c>
      <c r="R260" s="35">
        <f t="shared" si="227"/>
        <v>0</v>
      </c>
      <c r="S260" s="414">
        <f t="shared" si="228"/>
        <v>0</v>
      </c>
      <c r="T260" s="880">
        <f>[5]Sheet1!$B674</f>
        <v>4.0707999999999997E-5</v>
      </c>
      <c r="U260" s="10">
        <f t="shared" ref="U260" si="281">A260</f>
        <v>43859</v>
      </c>
      <c r="V260" s="881">
        <f t="shared" ref="V260" si="282">T260*365/(A261-A260)</f>
        <v>1.4858419999999999E-2</v>
      </c>
    </row>
    <row r="261" spans="1:22" x14ac:dyDescent="0.25">
      <c r="A261" s="335">
        <f>A260+1</f>
        <v>43860</v>
      </c>
      <c r="B261" s="329">
        <f t="shared" si="142"/>
        <v>0</v>
      </c>
      <c r="C261" s="338">
        <f t="shared" si="217"/>
        <v>194550.42999999892</v>
      </c>
      <c r="D261" s="414">
        <f t="shared" si="218"/>
        <v>7.92</v>
      </c>
      <c r="E261" s="49">
        <f t="shared" si="143"/>
        <v>0</v>
      </c>
      <c r="F261" s="35">
        <f t="shared" si="219"/>
        <v>0</v>
      </c>
      <c r="G261" s="414">
        <f t="shared" si="220"/>
        <v>0</v>
      </c>
      <c r="H261" s="49">
        <f t="shared" si="144"/>
        <v>0</v>
      </c>
      <c r="I261" s="35">
        <f t="shared" si="221"/>
        <v>54272.760000000148</v>
      </c>
      <c r="J261" s="414">
        <f t="shared" si="222"/>
        <v>2.21</v>
      </c>
      <c r="K261" s="329">
        <f t="shared" si="145"/>
        <v>0</v>
      </c>
      <c r="L261" s="35">
        <f t="shared" si="223"/>
        <v>0</v>
      </c>
      <c r="M261" s="414">
        <f t="shared" si="224"/>
        <v>0</v>
      </c>
      <c r="N261" s="329">
        <f t="shared" si="146"/>
        <v>0</v>
      </c>
      <c r="O261" s="35">
        <f t="shared" si="225"/>
        <v>24.059999999997089</v>
      </c>
      <c r="P261" s="414">
        <f t="shared" si="226"/>
        <v>0</v>
      </c>
      <c r="Q261" s="329">
        <f t="shared" si="147"/>
        <v>0</v>
      </c>
      <c r="R261" s="35">
        <f t="shared" si="227"/>
        <v>0</v>
      </c>
      <c r="S261" s="414">
        <f t="shared" si="228"/>
        <v>0</v>
      </c>
      <c r="T261" s="880">
        <f>[5]Sheet1!$B675</f>
        <v>4.1044999999999998E-5</v>
      </c>
      <c r="U261" s="10">
        <f t="shared" ref="U261" si="283">A261</f>
        <v>43860</v>
      </c>
      <c r="V261" s="881">
        <f t="shared" ref="V261" si="284">T261*365/(A262-A261)</f>
        <v>1.4981425E-2</v>
      </c>
    </row>
    <row r="262" spans="1:22" x14ac:dyDescent="0.25">
      <c r="A262" s="335">
        <f>A261+1</f>
        <v>43861</v>
      </c>
      <c r="B262" s="329">
        <f t="shared" si="142"/>
        <v>0</v>
      </c>
      <c r="C262" s="338">
        <f t="shared" si="217"/>
        <v>194550.42999999892</v>
      </c>
      <c r="D262" s="414">
        <f t="shared" si="218"/>
        <v>7.99</v>
      </c>
      <c r="E262" s="49">
        <f t="shared" si="143"/>
        <v>0</v>
      </c>
      <c r="F262" s="35">
        <f t="shared" si="219"/>
        <v>0</v>
      </c>
      <c r="G262" s="414">
        <f t="shared" si="220"/>
        <v>0</v>
      </c>
      <c r="H262" s="49">
        <f t="shared" si="144"/>
        <v>0</v>
      </c>
      <c r="I262" s="35">
        <f t="shared" si="221"/>
        <v>54272.760000000148</v>
      </c>
      <c r="J262" s="414">
        <f t="shared" si="222"/>
        <v>2.23</v>
      </c>
      <c r="K262" s="329">
        <f t="shared" si="145"/>
        <v>0</v>
      </c>
      <c r="L262" s="35">
        <f t="shared" si="223"/>
        <v>0</v>
      </c>
      <c r="M262" s="414">
        <f t="shared" si="224"/>
        <v>0</v>
      </c>
      <c r="N262" s="329">
        <f t="shared" si="146"/>
        <v>0</v>
      </c>
      <c r="O262" s="35">
        <f t="shared" si="225"/>
        <v>24.059999999997089</v>
      </c>
      <c r="P262" s="414">
        <f t="shared" si="226"/>
        <v>0</v>
      </c>
      <c r="Q262" s="329">
        <f t="shared" si="147"/>
        <v>0</v>
      </c>
      <c r="R262" s="35">
        <f t="shared" si="227"/>
        <v>0</v>
      </c>
      <c r="S262" s="414">
        <f t="shared" si="228"/>
        <v>0</v>
      </c>
      <c r="T262" s="880">
        <f>[5]Sheet1!$B676</f>
        <v>4.1492000000000002E-5</v>
      </c>
      <c r="U262" s="10">
        <f t="shared" ref="U262" si="285">A262</f>
        <v>43861</v>
      </c>
      <c r="V262" s="881">
        <f t="shared" ref="V262" si="286">T262*365/(A263-A262)</f>
        <v>1.5144580000000001E-2</v>
      </c>
    </row>
    <row r="263" spans="1:22" x14ac:dyDescent="0.25">
      <c r="A263" s="335">
        <f>A262+1</f>
        <v>43862</v>
      </c>
      <c r="B263" s="329">
        <f t="shared" ref="B263:B326" si="287">-SUMIFS(CF_Main,CF_Dates,$A263,CF_Descriptions,"MM Sweep")</f>
        <v>0</v>
      </c>
      <c r="C263" s="338">
        <f t="shared" si="217"/>
        <v>194550.42999999892</v>
      </c>
      <c r="D263" s="414">
        <f t="shared" si="218"/>
        <v>8.07</v>
      </c>
      <c r="E263" s="49">
        <f t="shared" ref="E263:E326" si="288">-SUMIFS(CF_Main_EUR,CF_Dates,$A263,CF_Descriptions,"MM Sweep")</f>
        <v>0</v>
      </c>
      <c r="F263" s="35">
        <f t="shared" si="219"/>
        <v>0</v>
      </c>
      <c r="G263" s="414">
        <f t="shared" si="220"/>
        <v>0</v>
      </c>
      <c r="H263" s="49">
        <f t="shared" ref="H263:H326" si="289">-SUMIFS(CF_Expenses,CF_Dates,$A263,CF_Descriptions,"MM Sweep")</f>
        <v>0</v>
      </c>
      <c r="I263" s="35">
        <f t="shared" si="221"/>
        <v>54272.760000000148</v>
      </c>
      <c r="J263" s="414">
        <f t="shared" si="222"/>
        <v>2.25</v>
      </c>
      <c r="K263" s="329">
        <f t="shared" ref="K263:K326" si="290">-SUMIFS(CF_Margin,CF_Dates,$A263,CF_Descriptions,"MM Sweep")</f>
        <v>0</v>
      </c>
      <c r="L263" s="35">
        <f t="shared" si="223"/>
        <v>0</v>
      </c>
      <c r="M263" s="414">
        <f t="shared" si="224"/>
        <v>0</v>
      </c>
      <c r="N263" s="329">
        <f t="shared" ref="N263:N326" si="291">-SUMIFS(CF_Mgmt,CF_Dates,$A263,CF_Descriptions,"MM Sweep")</f>
        <v>0</v>
      </c>
      <c r="O263" s="35">
        <f t="shared" si="225"/>
        <v>24.059999999997089</v>
      </c>
      <c r="P263" s="414">
        <f t="shared" si="226"/>
        <v>0</v>
      </c>
      <c r="Q263" s="329">
        <f t="shared" ref="Q263:Q326" si="292">-SUMIFS(CF_SubRedemp,CF_Dates,$A263,CF_Descriptions,"MM Sweep")</f>
        <v>0</v>
      </c>
      <c r="R263" s="35">
        <f t="shared" si="227"/>
        <v>0</v>
      </c>
      <c r="S263" s="414">
        <f t="shared" si="228"/>
        <v>0</v>
      </c>
      <c r="T263" s="880">
        <f>[5]Sheet1!$B677</f>
        <v>8.2984000000000004E-5</v>
      </c>
      <c r="U263" s="10">
        <f t="shared" ref="U263" si="293">A263</f>
        <v>43862</v>
      </c>
      <c r="V263" s="881">
        <f t="shared" ref="V263" si="294">T263*365/(A264-A263)</f>
        <v>1.5144580000000001E-2</v>
      </c>
    </row>
    <row r="264" spans="1:22" x14ac:dyDescent="0.25">
      <c r="A264" s="336">
        <f>A263+2</f>
        <v>43864</v>
      </c>
      <c r="B264" s="329">
        <f t="shared" si="287"/>
        <v>0</v>
      </c>
      <c r="C264" s="338">
        <f t="shared" si="217"/>
        <v>194550.42999999892</v>
      </c>
      <c r="D264" s="414">
        <f t="shared" si="218"/>
        <v>16.14</v>
      </c>
      <c r="E264" s="49">
        <f t="shared" si="288"/>
        <v>0</v>
      </c>
      <c r="F264" s="35">
        <f t="shared" si="219"/>
        <v>0</v>
      </c>
      <c r="G264" s="414">
        <f t="shared" si="220"/>
        <v>0</v>
      </c>
      <c r="H264" s="49">
        <f t="shared" si="289"/>
        <v>0</v>
      </c>
      <c r="I264" s="35">
        <f t="shared" si="221"/>
        <v>54272.760000000148</v>
      </c>
      <c r="J264" s="414">
        <f t="shared" si="222"/>
        <v>4.5</v>
      </c>
      <c r="K264" s="329">
        <f t="shared" si="290"/>
        <v>0</v>
      </c>
      <c r="L264" s="35">
        <f t="shared" si="223"/>
        <v>0</v>
      </c>
      <c r="M264" s="414">
        <f t="shared" si="224"/>
        <v>0</v>
      </c>
      <c r="N264" s="329">
        <f t="shared" si="291"/>
        <v>0</v>
      </c>
      <c r="O264" s="35">
        <f t="shared" si="225"/>
        <v>24.059999999997089</v>
      </c>
      <c r="P264" s="414">
        <f t="shared" si="226"/>
        <v>0</v>
      </c>
      <c r="Q264" s="329">
        <f t="shared" si="292"/>
        <v>0</v>
      </c>
      <c r="R264" s="35">
        <f t="shared" si="227"/>
        <v>0</v>
      </c>
      <c r="S264" s="414">
        <f t="shared" si="228"/>
        <v>0</v>
      </c>
      <c r="T264" s="880">
        <f>[5]Sheet1!$B678</f>
        <v>4.1195000000000001E-5</v>
      </c>
      <c r="U264" s="10">
        <f t="shared" ref="U264" si="295">A264</f>
        <v>43864</v>
      </c>
      <c r="V264" s="881">
        <f t="shared" ref="V264" si="296">T264*365/(A265-A264)</f>
        <v>1.5036175000000001E-2</v>
      </c>
    </row>
    <row r="265" spans="1:22" x14ac:dyDescent="0.25">
      <c r="A265" s="335">
        <f>A264+1</f>
        <v>43865</v>
      </c>
      <c r="B265" s="329">
        <f t="shared" si="287"/>
        <v>0</v>
      </c>
      <c r="C265" s="338">
        <f t="shared" si="217"/>
        <v>194550.42999999892</v>
      </c>
      <c r="D265" s="414">
        <f t="shared" si="218"/>
        <v>8.01</v>
      </c>
      <c r="E265" s="49">
        <f t="shared" si="288"/>
        <v>0</v>
      </c>
      <c r="F265" s="35">
        <f t="shared" si="219"/>
        <v>0</v>
      </c>
      <c r="G265" s="414">
        <f t="shared" si="220"/>
        <v>0</v>
      </c>
      <c r="H265" s="49">
        <f t="shared" si="289"/>
        <v>0</v>
      </c>
      <c r="I265" s="35">
        <f t="shared" si="221"/>
        <v>54272.760000000148</v>
      </c>
      <c r="J265" s="414">
        <f t="shared" si="222"/>
        <v>2.2400000000000002</v>
      </c>
      <c r="K265" s="329">
        <f t="shared" si="290"/>
        <v>0</v>
      </c>
      <c r="L265" s="35">
        <f t="shared" si="223"/>
        <v>0</v>
      </c>
      <c r="M265" s="414">
        <f t="shared" si="224"/>
        <v>0</v>
      </c>
      <c r="N265" s="329">
        <f t="shared" si="291"/>
        <v>0</v>
      </c>
      <c r="O265" s="35">
        <f t="shared" si="225"/>
        <v>24.059999999997089</v>
      </c>
      <c r="P265" s="414">
        <f t="shared" si="226"/>
        <v>0</v>
      </c>
      <c r="Q265" s="329">
        <f t="shared" si="292"/>
        <v>0</v>
      </c>
      <c r="R265" s="35">
        <f t="shared" si="227"/>
        <v>0</v>
      </c>
      <c r="S265" s="414">
        <f t="shared" si="228"/>
        <v>0</v>
      </c>
      <c r="T265" s="880">
        <f>[5]Sheet1!$B679</f>
        <v>4.1406999999999998E-5</v>
      </c>
      <c r="U265" s="10">
        <f t="shared" ref="U265" si="297">A265</f>
        <v>43865</v>
      </c>
      <c r="V265" s="881">
        <f t="shared" ref="V265" si="298">T265*365/(A266-A265)</f>
        <v>1.5113554999999999E-2</v>
      </c>
    </row>
    <row r="266" spans="1:22" x14ac:dyDescent="0.25">
      <c r="A266" s="335">
        <f>A265+1</f>
        <v>43866</v>
      </c>
      <c r="B266" s="329">
        <f t="shared" si="287"/>
        <v>312.75</v>
      </c>
      <c r="C266" s="338">
        <f t="shared" si="217"/>
        <v>194863.17999999892</v>
      </c>
      <c r="D266" s="414">
        <f t="shared" si="218"/>
        <v>8.06</v>
      </c>
      <c r="E266" s="49">
        <f t="shared" si="288"/>
        <v>0</v>
      </c>
      <c r="F266" s="35">
        <f t="shared" si="219"/>
        <v>0</v>
      </c>
      <c r="G266" s="414">
        <f t="shared" si="220"/>
        <v>0</v>
      </c>
      <c r="H266" s="49">
        <f t="shared" si="289"/>
        <v>-16931.07</v>
      </c>
      <c r="I266" s="35">
        <f t="shared" si="221"/>
        <v>37341.690000000148</v>
      </c>
      <c r="J266" s="414">
        <f t="shared" si="222"/>
        <v>2.25</v>
      </c>
      <c r="K266" s="329">
        <f t="shared" si="290"/>
        <v>0</v>
      </c>
      <c r="L266" s="35">
        <f t="shared" si="223"/>
        <v>0</v>
      </c>
      <c r="M266" s="414">
        <f t="shared" si="224"/>
        <v>0</v>
      </c>
      <c r="N266" s="329">
        <f t="shared" si="291"/>
        <v>0.14000000000000001</v>
      </c>
      <c r="O266" s="35">
        <f t="shared" si="225"/>
        <v>24.19999999999709</v>
      </c>
      <c r="P266" s="414">
        <f t="shared" si="226"/>
        <v>0</v>
      </c>
      <c r="Q266" s="329">
        <f t="shared" si="292"/>
        <v>0</v>
      </c>
      <c r="R266" s="35">
        <f t="shared" si="227"/>
        <v>0</v>
      </c>
      <c r="S266" s="414">
        <f t="shared" si="228"/>
        <v>0</v>
      </c>
      <c r="T266" s="880">
        <f>[5]Sheet1!$B680</f>
        <v>4.1502999999999999E-5</v>
      </c>
      <c r="U266" s="10">
        <f t="shared" ref="U266" si="299">A266</f>
        <v>43866</v>
      </c>
      <c r="V266" s="881">
        <f t="shared" ref="V266" si="300">T266*365/(A267-A266)</f>
        <v>1.5148594999999999E-2</v>
      </c>
    </row>
    <row r="267" spans="1:22" x14ac:dyDescent="0.25">
      <c r="A267" s="335">
        <f>A266+1</f>
        <v>43867</v>
      </c>
      <c r="B267" s="329">
        <f t="shared" si="287"/>
        <v>0</v>
      </c>
      <c r="C267" s="338">
        <f t="shared" si="217"/>
        <v>194863.17999999892</v>
      </c>
      <c r="D267" s="414">
        <f t="shared" si="218"/>
        <v>8.09</v>
      </c>
      <c r="E267" s="49">
        <f t="shared" si="288"/>
        <v>0</v>
      </c>
      <c r="F267" s="35">
        <f t="shared" si="219"/>
        <v>0</v>
      </c>
      <c r="G267" s="414">
        <f t="shared" si="220"/>
        <v>0</v>
      </c>
      <c r="H267" s="49">
        <f t="shared" si="289"/>
        <v>0</v>
      </c>
      <c r="I267" s="35">
        <f t="shared" si="221"/>
        <v>37341.690000000148</v>
      </c>
      <c r="J267" s="414">
        <f t="shared" si="222"/>
        <v>1.55</v>
      </c>
      <c r="K267" s="329">
        <f t="shared" si="290"/>
        <v>0</v>
      </c>
      <c r="L267" s="35">
        <f t="shared" si="223"/>
        <v>0</v>
      </c>
      <c r="M267" s="414">
        <f t="shared" si="224"/>
        <v>0</v>
      </c>
      <c r="N267" s="329">
        <f t="shared" si="291"/>
        <v>0</v>
      </c>
      <c r="O267" s="35">
        <f t="shared" si="225"/>
        <v>24.19999999999709</v>
      </c>
      <c r="P267" s="414">
        <f t="shared" si="226"/>
        <v>0</v>
      </c>
      <c r="Q267" s="329">
        <f t="shared" si="292"/>
        <v>0</v>
      </c>
      <c r="R267" s="35">
        <f t="shared" si="227"/>
        <v>0</v>
      </c>
      <c r="S267" s="414">
        <f t="shared" si="228"/>
        <v>0</v>
      </c>
      <c r="T267" s="880">
        <f>[5]Sheet1!$B681</f>
        <v>4.1452999999999998E-5</v>
      </c>
      <c r="U267" s="10">
        <f t="shared" ref="U267" si="301">A267</f>
        <v>43867</v>
      </c>
      <c r="V267" s="881">
        <f t="shared" ref="V267" si="302">T267*365/(A268-A267)</f>
        <v>1.5130345E-2</v>
      </c>
    </row>
    <row r="268" spans="1:22" x14ac:dyDescent="0.25">
      <c r="A268" s="335">
        <f>A267+1</f>
        <v>43868</v>
      </c>
      <c r="B268" s="329">
        <f t="shared" si="287"/>
        <v>0</v>
      </c>
      <c r="C268" s="338">
        <f t="shared" si="217"/>
        <v>194863.17999999892</v>
      </c>
      <c r="D268" s="414">
        <f t="shared" si="218"/>
        <v>8.08</v>
      </c>
      <c r="E268" s="49">
        <f t="shared" si="288"/>
        <v>0</v>
      </c>
      <c r="F268" s="35">
        <f t="shared" si="219"/>
        <v>0</v>
      </c>
      <c r="G268" s="414">
        <f t="shared" si="220"/>
        <v>0</v>
      </c>
      <c r="H268" s="49">
        <f t="shared" si="289"/>
        <v>0</v>
      </c>
      <c r="I268" s="35">
        <f t="shared" si="221"/>
        <v>37341.690000000148</v>
      </c>
      <c r="J268" s="414">
        <f t="shared" si="222"/>
        <v>1.55</v>
      </c>
      <c r="K268" s="329">
        <f t="shared" si="290"/>
        <v>0</v>
      </c>
      <c r="L268" s="35">
        <f t="shared" si="223"/>
        <v>0</v>
      </c>
      <c r="M268" s="414">
        <f t="shared" si="224"/>
        <v>0</v>
      </c>
      <c r="N268" s="329">
        <f t="shared" si="291"/>
        <v>0</v>
      </c>
      <c r="O268" s="35">
        <f t="shared" si="225"/>
        <v>24.19999999999709</v>
      </c>
      <c r="P268" s="414">
        <f t="shared" si="226"/>
        <v>0</v>
      </c>
      <c r="Q268" s="329">
        <f t="shared" si="292"/>
        <v>0</v>
      </c>
      <c r="R268" s="35">
        <f t="shared" si="227"/>
        <v>0</v>
      </c>
      <c r="S268" s="414">
        <f t="shared" si="228"/>
        <v>0</v>
      </c>
      <c r="T268" s="880">
        <f>[5]Sheet1!$B682</f>
        <v>1.24046E-4</v>
      </c>
      <c r="U268" s="10">
        <f t="shared" ref="U268" si="303">A268</f>
        <v>43868</v>
      </c>
      <c r="V268" s="881">
        <f t="shared" ref="V268" si="304">T268*365/(A269-A268)</f>
        <v>1.5092263333333333E-2</v>
      </c>
    </row>
    <row r="269" spans="1:22" x14ac:dyDescent="0.25">
      <c r="A269" s="336">
        <f>A268+3</f>
        <v>43871</v>
      </c>
      <c r="B269" s="329">
        <f t="shared" si="287"/>
        <v>0</v>
      </c>
      <c r="C269" s="338">
        <f t="shared" si="217"/>
        <v>194863.17999999892</v>
      </c>
      <c r="D269" s="414">
        <f t="shared" si="218"/>
        <v>24.17</v>
      </c>
      <c r="E269" s="49">
        <f t="shared" si="288"/>
        <v>0</v>
      </c>
      <c r="F269" s="35">
        <f t="shared" si="219"/>
        <v>0</v>
      </c>
      <c r="G269" s="414">
        <f t="shared" si="220"/>
        <v>0</v>
      </c>
      <c r="H269" s="49">
        <f t="shared" si="289"/>
        <v>0</v>
      </c>
      <c r="I269" s="35">
        <f t="shared" si="221"/>
        <v>37341.690000000148</v>
      </c>
      <c r="J269" s="414">
        <f t="shared" si="222"/>
        <v>4.63</v>
      </c>
      <c r="K269" s="329">
        <f t="shared" si="290"/>
        <v>0</v>
      </c>
      <c r="L269" s="35">
        <f t="shared" si="223"/>
        <v>0</v>
      </c>
      <c r="M269" s="414">
        <f t="shared" si="224"/>
        <v>0</v>
      </c>
      <c r="N269" s="329">
        <f t="shared" si="291"/>
        <v>0</v>
      </c>
      <c r="O269" s="35">
        <f t="shared" si="225"/>
        <v>24.19999999999709</v>
      </c>
      <c r="P269" s="414">
        <f t="shared" si="226"/>
        <v>0</v>
      </c>
      <c r="Q269" s="329">
        <f t="shared" si="292"/>
        <v>0</v>
      </c>
      <c r="R269" s="35">
        <f t="shared" si="227"/>
        <v>0</v>
      </c>
      <c r="S269" s="414">
        <f t="shared" si="228"/>
        <v>0</v>
      </c>
      <c r="T269" s="880">
        <f>[5]Sheet1!$B683</f>
        <v>4.1269000000000001E-5</v>
      </c>
      <c r="U269" s="10">
        <f t="shared" ref="U269" si="305">A269</f>
        <v>43871</v>
      </c>
      <c r="V269" s="881">
        <f t="shared" ref="V269" si="306">T269*365/(A270-A269)</f>
        <v>1.5063185E-2</v>
      </c>
    </row>
    <row r="270" spans="1:22" x14ac:dyDescent="0.25">
      <c r="A270" s="335">
        <f>A269+1</f>
        <v>43872</v>
      </c>
      <c r="B270" s="329">
        <f t="shared" si="287"/>
        <v>0</v>
      </c>
      <c r="C270" s="338">
        <f t="shared" si="217"/>
        <v>194863.17999999892</v>
      </c>
      <c r="D270" s="414">
        <f t="shared" si="218"/>
        <v>8.0399999999999991</v>
      </c>
      <c r="E270" s="49">
        <f t="shared" si="288"/>
        <v>0</v>
      </c>
      <c r="F270" s="35">
        <f t="shared" si="219"/>
        <v>0</v>
      </c>
      <c r="G270" s="414">
        <f t="shared" si="220"/>
        <v>0</v>
      </c>
      <c r="H270" s="49">
        <f t="shared" si="289"/>
        <v>0</v>
      </c>
      <c r="I270" s="35">
        <f t="shared" si="221"/>
        <v>37341.690000000148</v>
      </c>
      <c r="J270" s="414">
        <f t="shared" si="222"/>
        <v>1.54</v>
      </c>
      <c r="K270" s="329">
        <f t="shared" si="290"/>
        <v>0</v>
      </c>
      <c r="L270" s="35">
        <f t="shared" si="223"/>
        <v>0</v>
      </c>
      <c r="M270" s="414">
        <f t="shared" si="224"/>
        <v>0</v>
      </c>
      <c r="N270" s="329">
        <f t="shared" si="291"/>
        <v>0</v>
      </c>
      <c r="O270" s="35">
        <f t="shared" si="225"/>
        <v>24.19999999999709</v>
      </c>
      <c r="P270" s="414">
        <f t="shared" si="226"/>
        <v>0</v>
      </c>
      <c r="Q270" s="329">
        <f t="shared" si="292"/>
        <v>0</v>
      </c>
      <c r="R270" s="35">
        <f t="shared" si="227"/>
        <v>0</v>
      </c>
      <c r="S270" s="414">
        <f t="shared" si="228"/>
        <v>0</v>
      </c>
      <c r="T270" s="880">
        <f>[5]Sheet1!$B684</f>
        <v>4.1437999999999999E-5</v>
      </c>
      <c r="U270" s="10">
        <f t="shared" ref="U270" si="307">A270</f>
        <v>43872</v>
      </c>
      <c r="V270" s="881">
        <f t="shared" ref="V270" si="308">T270*365/(A271-A270)</f>
        <v>1.512487E-2</v>
      </c>
    </row>
    <row r="271" spans="1:22" x14ac:dyDescent="0.25">
      <c r="A271" s="335">
        <f>A270+1</f>
        <v>43873</v>
      </c>
      <c r="B271" s="329">
        <f t="shared" si="287"/>
        <v>0</v>
      </c>
      <c r="C271" s="338">
        <f t="shared" si="217"/>
        <v>194863.17999999892</v>
      </c>
      <c r="D271" s="414">
        <f t="shared" si="218"/>
        <v>8.07</v>
      </c>
      <c r="E271" s="49">
        <f t="shared" si="288"/>
        <v>0</v>
      </c>
      <c r="F271" s="35">
        <f t="shared" si="219"/>
        <v>0</v>
      </c>
      <c r="G271" s="414">
        <f t="shared" si="220"/>
        <v>0</v>
      </c>
      <c r="H271" s="49">
        <f t="shared" si="289"/>
        <v>0</v>
      </c>
      <c r="I271" s="35">
        <f t="shared" si="221"/>
        <v>37341.690000000148</v>
      </c>
      <c r="J271" s="414">
        <f t="shared" si="222"/>
        <v>1.55</v>
      </c>
      <c r="K271" s="329">
        <f t="shared" si="290"/>
        <v>0</v>
      </c>
      <c r="L271" s="35">
        <f t="shared" si="223"/>
        <v>0</v>
      </c>
      <c r="M271" s="414">
        <f t="shared" si="224"/>
        <v>0</v>
      </c>
      <c r="N271" s="329">
        <f t="shared" si="291"/>
        <v>0</v>
      </c>
      <c r="O271" s="35">
        <f t="shared" si="225"/>
        <v>24.19999999999709</v>
      </c>
      <c r="P271" s="414">
        <f t="shared" si="226"/>
        <v>0</v>
      </c>
      <c r="Q271" s="329">
        <f t="shared" si="292"/>
        <v>0</v>
      </c>
      <c r="R271" s="35">
        <f t="shared" si="227"/>
        <v>0</v>
      </c>
      <c r="S271" s="414">
        <f t="shared" si="228"/>
        <v>0</v>
      </c>
      <c r="T271" s="880">
        <f>[5]Sheet1!$B685</f>
        <v>4.1267999999999999E-5</v>
      </c>
      <c r="U271" s="10">
        <f t="shared" ref="U271" si="309">A271</f>
        <v>43873</v>
      </c>
      <c r="V271" s="881">
        <f t="shared" ref="V271" si="310">T271*365/(A272-A271)</f>
        <v>1.5062819999999999E-2</v>
      </c>
    </row>
    <row r="272" spans="1:22" x14ac:dyDescent="0.25">
      <c r="A272" s="335">
        <f>A271+1</f>
        <v>43874</v>
      </c>
      <c r="B272" s="329">
        <f t="shared" si="287"/>
        <v>0</v>
      </c>
      <c r="C272" s="338">
        <f t="shared" si="217"/>
        <v>194863.17999999892</v>
      </c>
      <c r="D272" s="414">
        <f t="shared" si="218"/>
        <v>8.0399999999999991</v>
      </c>
      <c r="E272" s="49">
        <f t="shared" si="288"/>
        <v>0</v>
      </c>
      <c r="F272" s="35">
        <f t="shared" si="219"/>
        <v>0</v>
      </c>
      <c r="G272" s="414">
        <f t="shared" si="220"/>
        <v>0</v>
      </c>
      <c r="H272" s="49">
        <f t="shared" si="289"/>
        <v>0</v>
      </c>
      <c r="I272" s="35">
        <f t="shared" si="221"/>
        <v>37341.690000000148</v>
      </c>
      <c r="J272" s="414">
        <f t="shared" si="222"/>
        <v>1.54</v>
      </c>
      <c r="K272" s="329">
        <f t="shared" si="290"/>
        <v>0</v>
      </c>
      <c r="L272" s="35">
        <f t="shared" si="223"/>
        <v>0</v>
      </c>
      <c r="M272" s="414">
        <f t="shared" si="224"/>
        <v>0</v>
      </c>
      <c r="N272" s="329">
        <f t="shared" si="291"/>
        <v>0</v>
      </c>
      <c r="O272" s="35">
        <f t="shared" si="225"/>
        <v>24.19999999999709</v>
      </c>
      <c r="P272" s="414">
        <f t="shared" si="226"/>
        <v>0</v>
      </c>
      <c r="Q272" s="329">
        <f t="shared" si="292"/>
        <v>0</v>
      </c>
      <c r="R272" s="35">
        <f t="shared" si="227"/>
        <v>0</v>
      </c>
      <c r="S272" s="414">
        <f t="shared" si="228"/>
        <v>0</v>
      </c>
      <c r="T272" s="880">
        <f>[5]Sheet1!$B686</f>
        <v>4.1069999999999998E-5</v>
      </c>
      <c r="U272" s="10">
        <f t="shared" ref="U272:U273" si="311">A272</f>
        <v>43874</v>
      </c>
      <c r="V272" s="881">
        <f t="shared" ref="V272:V273" si="312">T272*365/(A273-A272)</f>
        <v>1.499055E-2</v>
      </c>
    </row>
    <row r="273" spans="1:22" x14ac:dyDescent="0.25">
      <c r="A273" s="335">
        <f>A272+1</f>
        <v>43875</v>
      </c>
      <c r="B273" s="329">
        <f t="shared" si="287"/>
        <v>0</v>
      </c>
      <c r="C273" s="338">
        <f t="shared" si="217"/>
        <v>194863.17999999892</v>
      </c>
      <c r="D273" s="414">
        <f t="shared" si="218"/>
        <v>8</v>
      </c>
      <c r="E273" s="49">
        <f t="shared" si="288"/>
        <v>0</v>
      </c>
      <c r="F273" s="35">
        <f t="shared" si="219"/>
        <v>0</v>
      </c>
      <c r="G273" s="414">
        <f t="shared" si="220"/>
        <v>0</v>
      </c>
      <c r="H273" s="49">
        <f t="shared" si="289"/>
        <v>0</v>
      </c>
      <c r="I273" s="35">
        <f t="shared" si="221"/>
        <v>37341.690000000148</v>
      </c>
      <c r="J273" s="414">
        <f t="shared" si="222"/>
        <v>1.53</v>
      </c>
      <c r="K273" s="329">
        <f t="shared" si="290"/>
        <v>0</v>
      </c>
      <c r="L273" s="35">
        <f t="shared" si="223"/>
        <v>0</v>
      </c>
      <c r="M273" s="414">
        <f t="shared" si="224"/>
        <v>0</v>
      </c>
      <c r="N273" s="329">
        <f t="shared" si="291"/>
        <v>0</v>
      </c>
      <c r="O273" s="35">
        <f t="shared" si="225"/>
        <v>24.19999999999709</v>
      </c>
      <c r="P273" s="414">
        <f t="shared" si="226"/>
        <v>0</v>
      </c>
      <c r="Q273" s="329">
        <f t="shared" si="292"/>
        <v>0</v>
      </c>
      <c r="R273" s="35">
        <f t="shared" si="227"/>
        <v>0</v>
      </c>
      <c r="S273" s="414">
        <f t="shared" si="228"/>
        <v>0</v>
      </c>
      <c r="T273" s="880">
        <f>[5]Sheet1!$B687</f>
        <v>1.6506299999999999E-4</v>
      </c>
      <c r="U273" s="10">
        <f t="shared" si="311"/>
        <v>43875</v>
      </c>
      <c r="V273" s="881">
        <f t="shared" si="312"/>
        <v>1.506199875E-2</v>
      </c>
    </row>
    <row r="274" spans="1:22" x14ac:dyDescent="0.25">
      <c r="A274" s="336">
        <f>A273+4</f>
        <v>43879</v>
      </c>
      <c r="B274" s="329">
        <f t="shared" si="287"/>
        <v>0</v>
      </c>
      <c r="C274" s="338">
        <f t="shared" si="217"/>
        <v>194863.17999999892</v>
      </c>
      <c r="D274" s="414">
        <f t="shared" si="218"/>
        <v>32.159999999999997</v>
      </c>
      <c r="E274" s="49">
        <f t="shared" si="288"/>
        <v>0</v>
      </c>
      <c r="F274" s="35">
        <f t="shared" si="219"/>
        <v>0</v>
      </c>
      <c r="G274" s="414">
        <f t="shared" si="220"/>
        <v>0</v>
      </c>
      <c r="H274" s="49">
        <f t="shared" si="289"/>
        <v>0</v>
      </c>
      <c r="I274" s="35">
        <f t="shared" si="221"/>
        <v>37341.690000000148</v>
      </c>
      <c r="J274" s="414">
        <f t="shared" si="222"/>
        <v>6.16</v>
      </c>
      <c r="K274" s="329">
        <f t="shared" si="290"/>
        <v>0</v>
      </c>
      <c r="L274" s="35">
        <f t="shared" si="223"/>
        <v>0</v>
      </c>
      <c r="M274" s="414">
        <f t="shared" si="224"/>
        <v>0</v>
      </c>
      <c r="N274" s="329">
        <f t="shared" si="291"/>
        <v>0</v>
      </c>
      <c r="O274" s="35">
        <f t="shared" si="225"/>
        <v>24.19999999999709</v>
      </c>
      <c r="P274" s="414">
        <f t="shared" si="226"/>
        <v>0</v>
      </c>
      <c r="Q274" s="329">
        <f t="shared" si="292"/>
        <v>0</v>
      </c>
      <c r="R274" s="35">
        <f t="shared" si="227"/>
        <v>0</v>
      </c>
      <c r="S274" s="414">
        <f t="shared" si="228"/>
        <v>0</v>
      </c>
      <c r="T274" s="880">
        <f>[5]Sheet1!$B688</f>
        <v>4.1269000000000001E-5</v>
      </c>
      <c r="U274" s="10">
        <f t="shared" ref="U274:U275" si="313">A274</f>
        <v>43879</v>
      </c>
      <c r="V274" s="881">
        <f t="shared" ref="V274:V275" si="314">T274*365/(A275-A274)</f>
        <v>1.5063185E-2</v>
      </c>
    </row>
    <row r="275" spans="1:22" x14ac:dyDescent="0.25">
      <c r="A275" s="335">
        <f>A274+1</f>
        <v>43880</v>
      </c>
      <c r="B275" s="329">
        <f t="shared" si="287"/>
        <v>0</v>
      </c>
      <c r="C275" s="338">
        <f t="shared" si="217"/>
        <v>194863.17999999892</v>
      </c>
      <c r="D275" s="414">
        <f t="shared" si="218"/>
        <v>8.0399999999999991</v>
      </c>
      <c r="E275" s="49">
        <f t="shared" si="288"/>
        <v>0</v>
      </c>
      <c r="F275" s="35">
        <f t="shared" si="219"/>
        <v>0</v>
      </c>
      <c r="G275" s="414">
        <f t="shared" si="220"/>
        <v>0</v>
      </c>
      <c r="H275" s="49">
        <f t="shared" si="289"/>
        <v>0</v>
      </c>
      <c r="I275" s="35">
        <f t="shared" si="221"/>
        <v>37341.690000000148</v>
      </c>
      <c r="J275" s="414">
        <f t="shared" si="222"/>
        <v>1.54</v>
      </c>
      <c r="K275" s="329">
        <f t="shared" si="290"/>
        <v>0</v>
      </c>
      <c r="L275" s="35">
        <f t="shared" si="223"/>
        <v>0</v>
      </c>
      <c r="M275" s="414">
        <f t="shared" si="224"/>
        <v>0</v>
      </c>
      <c r="N275" s="329">
        <f t="shared" si="291"/>
        <v>0</v>
      </c>
      <c r="O275" s="35">
        <f t="shared" si="225"/>
        <v>24.19999999999709</v>
      </c>
      <c r="P275" s="414">
        <f t="shared" si="226"/>
        <v>0</v>
      </c>
      <c r="Q275" s="329">
        <f t="shared" si="292"/>
        <v>0</v>
      </c>
      <c r="R275" s="35">
        <f t="shared" si="227"/>
        <v>0</v>
      </c>
      <c r="S275" s="414">
        <f t="shared" si="228"/>
        <v>0</v>
      </c>
      <c r="T275" s="880">
        <f>[5]Sheet1!$B689</f>
        <v>4.1326999999999999E-5</v>
      </c>
      <c r="U275" s="10">
        <f t="shared" si="313"/>
        <v>43880</v>
      </c>
      <c r="V275" s="881">
        <f t="shared" si="314"/>
        <v>1.5084354999999999E-2</v>
      </c>
    </row>
    <row r="276" spans="1:22" x14ac:dyDescent="0.25">
      <c r="A276" s="335">
        <f>A275+1</f>
        <v>43881</v>
      </c>
      <c r="B276" s="329">
        <f t="shared" si="287"/>
        <v>0</v>
      </c>
      <c r="C276" s="338">
        <f t="shared" si="217"/>
        <v>194863.17999999892</v>
      </c>
      <c r="D276" s="414">
        <f t="shared" si="218"/>
        <v>8.0500000000000007</v>
      </c>
      <c r="E276" s="49">
        <f t="shared" si="288"/>
        <v>0</v>
      </c>
      <c r="F276" s="35">
        <f t="shared" si="219"/>
        <v>0</v>
      </c>
      <c r="G276" s="414">
        <f t="shared" si="220"/>
        <v>0</v>
      </c>
      <c r="H276" s="49">
        <f t="shared" si="289"/>
        <v>0</v>
      </c>
      <c r="I276" s="35">
        <f t="shared" si="221"/>
        <v>37341.690000000148</v>
      </c>
      <c r="J276" s="414">
        <f t="shared" si="222"/>
        <v>1.54</v>
      </c>
      <c r="K276" s="329">
        <f t="shared" si="290"/>
        <v>0</v>
      </c>
      <c r="L276" s="35">
        <f t="shared" si="223"/>
        <v>0</v>
      </c>
      <c r="M276" s="414">
        <f t="shared" si="224"/>
        <v>0</v>
      </c>
      <c r="N276" s="329">
        <f t="shared" si="291"/>
        <v>0</v>
      </c>
      <c r="O276" s="35">
        <f t="shared" si="225"/>
        <v>24.19999999999709</v>
      </c>
      <c r="P276" s="414">
        <f t="shared" si="226"/>
        <v>0</v>
      </c>
      <c r="Q276" s="329">
        <f t="shared" si="292"/>
        <v>0</v>
      </c>
      <c r="R276" s="35">
        <f t="shared" si="227"/>
        <v>0</v>
      </c>
      <c r="S276" s="414">
        <f t="shared" si="228"/>
        <v>0</v>
      </c>
      <c r="T276" s="880">
        <f>[5]Sheet1!$B690</f>
        <v>4.1356000000000002E-5</v>
      </c>
      <c r="U276" s="10">
        <f t="shared" ref="U276" si="315">A276</f>
        <v>43881</v>
      </c>
      <c r="V276" s="881">
        <f t="shared" ref="V276" si="316">T276*365/(A277-A276)</f>
        <v>1.5094940000000001E-2</v>
      </c>
    </row>
    <row r="277" spans="1:22" x14ac:dyDescent="0.25">
      <c r="A277" s="335">
        <f>A276+1</f>
        <v>43882</v>
      </c>
      <c r="B277" s="329">
        <f t="shared" si="287"/>
        <v>0</v>
      </c>
      <c r="C277" s="338">
        <f t="shared" si="217"/>
        <v>194863.17999999892</v>
      </c>
      <c r="D277" s="414">
        <f t="shared" si="218"/>
        <v>8.06</v>
      </c>
      <c r="E277" s="49">
        <f t="shared" si="288"/>
        <v>0</v>
      </c>
      <c r="F277" s="35">
        <f t="shared" si="219"/>
        <v>0</v>
      </c>
      <c r="G277" s="414">
        <f t="shared" si="220"/>
        <v>0</v>
      </c>
      <c r="H277" s="49">
        <f t="shared" si="289"/>
        <v>0</v>
      </c>
      <c r="I277" s="35">
        <f t="shared" si="221"/>
        <v>37341.690000000148</v>
      </c>
      <c r="J277" s="414">
        <f t="shared" si="222"/>
        <v>1.54</v>
      </c>
      <c r="K277" s="329">
        <f t="shared" si="290"/>
        <v>0</v>
      </c>
      <c r="L277" s="35">
        <f t="shared" si="223"/>
        <v>0</v>
      </c>
      <c r="M277" s="414">
        <f t="shared" si="224"/>
        <v>0</v>
      </c>
      <c r="N277" s="329">
        <f t="shared" si="291"/>
        <v>0</v>
      </c>
      <c r="O277" s="35">
        <f t="shared" si="225"/>
        <v>24.19999999999709</v>
      </c>
      <c r="P277" s="414">
        <f t="shared" si="226"/>
        <v>0</v>
      </c>
      <c r="Q277" s="329">
        <f t="shared" si="292"/>
        <v>0</v>
      </c>
      <c r="R277" s="35">
        <f t="shared" si="227"/>
        <v>0</v>
      </c>
      <c r="S277" s="414">
        <f t="shared" si="228"/>
        <v>0</v>
      </c>
      <c r="T277" s="880">
        <f>[5]Sheet1!$B691</f>
        <v>1.2368500000000001E-4</v>
      </c>
      <c r="U277" s="10">
        <f t="shared" ref="U277" si="317">A277</f>
        <v>43882</v>
      </c>
      <c r="V277" s="881">
        <f t="shared" ref="V277" si="318">T277*365/(A278-A277)</f>
        <v>1.5048341666666668E-2</v>
      </c>
    </row>
    <row r="278" spans="1:22" x14ac:dyDescent="0.25">
      <c r="A278" s="336">
        <f>A277+3</f>
        <v>43885</v>
      </c>
      <c r="B278" s="329">
        <f t="shared" si="287"/>
        <v>0</v>
      </c>
      <c r="C278" s="338">
        <f t="shared" si="217"/>
        <v>194863.17999999892</v>
      </c>
      <c r="D278" s="414">
        <f t="shared" si="218"/>
        <v>24.1</v>
      </c>
      <c r="E278" s="49">
        <f t="shared" si="288"/>
        <v>0</v>
      </c>
      <c r="F278" s="35">
        <f t="shared" si="219"/>
        <v>0</v>
      </c>
      <c r="G278" s="414">
        <f t="shared" si="220"/>
        <v>0</v>
      </c>
      <c r="H278" s="49">
        <f t="shared" si="289"/>
        <v>0</v>
      </c>
      <c r="I278" s="35">
        <f t="shared" si="221"/>
        <v>37341.690000000148</v>
      </c>
      <c r="J278" s="414">
        <f t="shared" si="222"/>
        <v>4.62</v>
      </c>
      <c r="K278" s="329">
        <f t="shared" si="290"/>
        <v>0</v>
      </c>
      <c r="L278" s="35">
        <f t="shared" si="223"/>
        <v>0</v>
      </c>
      <c r="M278" s="414">
        <f t="shared" si="224"/>
        <v>0</v>
      </c>
      <c r="N278" s="329">
        <f t="shared" si="291"/>
        <v>0</v>
      </c>
      <c r="O278" s="35">
        <f t="shared" si="225"/>
        <v>24.19999999999709</v>
      </c>
      <c r="P278" s="414">
        <f t="shared" si="226"/>
        <v>0</v>
      </c>
      <c r="Q278" s="329">
        <f t="shared" si="292"/>
        <v>0</v>
      </c>
      <c r="R278" s="35">
        <f t="shared" si="227"/>
        <v>0</v>
      </c>
      <c r="S278" s="414">
        <f t="shared" si="228"/>
        <v>0</v>
      </c>
      <c r="T278" s="880">
        <f>[5]Sheet1!$B692</f>
        <v>4.1007999999999998E-5</v>
      </c>
      <c r="U278" s="10">
        <f t="shared" ref="U278" si="319">A278</f>
        <v>43885</v>
      </c>
      <c r="V278" s="881">
        <f t="shared" ref="V278" si="320">T278*365/(A279-A278)</f>
        <v>1.4967919999999999E-2</v>
      </c>
    </row>
    <row r="279" spans="1:22" x14ac:dyDescent="0.25">
      <c r="A279" s="335">
        <f t="shared" ref="A279:A289" si="321">A278+1</f>
        <v>43886</v>
      </c>
      <c r="B279" s="329">
        <f t="shared" si="287"/>
        <v>0</v>
      </c>
      <c r="C279" s="338">
        <f t="shared" si="217"/>
        <v>194863.17999999892</v>
      </c>
      <c r="D279" s="414">
        <f t="shared" si="218"/>
        <v>7.99</v>
      </c>
      <c r="E279" s="49">
        <f t="shared" si="288"/>
        <v>0</v>
      </c>
      <c r="F279" s="35">
        <f t="shared" si="219"/>
        <v>0</v>
      </c>
      <c r="G279" s="414">
        <f t="shared" si="220"/>
        <v>0</v>
      </c>
      <c r="H279" s="49">
        <f t="shared" si="289"/>
        <v>0</v>
      </c>
      <c r="I279" s="35">
        <f t="shared" si="221"/>
        <v>37341.690000000148</v>
      </c>
      <c r="J279" s="414">
        <f t="shared" si="222"/>
        <v>1.53</v>
      </c>
      <c r="K279" s="329">
        <f t="shared" si="290"/>
        <v>0</v>
      </c>
      <c r="L279" s="35">
        <f t="shared" si="223"/>
        <v>0</v>
      </c>
      <c r="M279" s="414">
        <f t="shared" si="224"/>
        <v>0</v>
      </c>
      <c r="N279" s="329">
        <f t="shared" si="291"/>
        <v>0</v>
      </c>
      <c r="O279" s="35">
        <f t="shared" si="225"/>
        <v>24.19999999999709</v>
      </c>
      <c r="P279" s="414">
        <f t="shared" si="226"/>
        <v>0</v>
      </c>
      <c r="Q279" s="329">
        <f t="shared" si="292"/>
        <v>0</v>
      </c>
      <c r="R279" s="35">
        <f t="shared" si="227"/>
        <v>0</v>
      </c>
      <c r="S279" s="414">
        <f t="shared" si="228"/>
        <v>0</v>
      </c>
      <c r="T279" s="880">
        <f>[5]Sheet1!$B693</f>
        <v>4.0920999999999997E-5</v>
      </c>
      <c r="U279" s="10">
        <f t="shared" ref="U279" si="322">A279</f>
        <v>43886</v>
      </c>
      <c r="V279" s="881">
        <f t="shared" ref="V279" si="323">T279*365/(A280-A279)</f>
        <v>1.4936165E-2</v>
      </c>
    </row>
    <row r="280" spans="1:22" x14ac:dyDescent="0.25">
      <c r="A280" s="335">
        <f t="shared" si="321"/>
        <v>43887</v>
      </c>
      <c r="B280" s="329">
        <f t="shared" si="287"/>
        <v>0</v>
      </c>
      <c r="C280" s="338">
        <f t="shared" si="217"/>
        <v>194863.17999999892</v>
      </c>
      <c r="D280" s="414">
        <f t="shared" si="218"/>
        <v>7.97</v>
      </c>
      <c r="E280" s="49">
        <f t="shared" si="288"/>
        <v>0</v>
      </c>
      <c r="F280" s="35">
        <f t="shared" si="219"/>
        <v>0</v>
      </c>
      <c r="G280" s="414">
        <f t="shared" si="220"/>
        <v>0</v>
      </c>
      <c r="H280" s="49">
        <f t="shared" si="289"/>
        <v>0</v>
      </c>
      <c r="I280" s="35">
        <f t="shared" si="221"/>
        <v>37341.690000000148</v>
      </c>
      <c r="J280" s="414">
        <f t="shared" si="222"/>
        <v>1.53</v>
      </c>
      <c r="K280" s="329">
        <f t="shared" si="290"/>
        <v>0</v>
      </c>
      <c r="L280" s="35">
        <f t="shared" si="223"/>
        <v>0</v>
      </c>
      <c r="M280" s="414">
        <f t="shared" si="224"/>
        <v>0</v>
      </c>
      <c r="N280" s="329">
        <f t="shared" si="291"/>
        <v>0</v>
      </c>
      <c r="O280" s="35">
        <f t="shared" si="225"/>
        <v>24.19999999999709</v>
      </c>
      <c r="P280" s="414">
        <f t="shared" si="226"/>
        <v>0</v>
      </c>
      <c r="Q280" s="329">
        <f t="shared" si="292"/>
        <v>0</v>
      </c>
      <c r="R280" s="35">
        <f t="shared" si="227"/>
        <v>0</v>
      </c>
      <c r="S280" s="414">
        <f t="shared" si="228"/>
        <v>0</v>
      </c>
      <c r="T280" s="880">
        <f>[5]Sheet1!$B694</f>
        <v>4.1198000000000001E-5</v>
      </c>
      <c r="U280" s="10">
        <f t="shared" ref="U280" si="324">A280</f>
        <v>43887</v>
      </c>
      <c r="V280" s="881">
        <f t="shared" ref="V280" si="325">T280*365/(A281-A280)</f>
        <v>1.503727E-2</v>
      </c>
    </row>
    <row r="281" spans="1:22" x14ac:dyDescent="0.25">
      <c r="A281" s="335">
        <f t="shared" si="321"/>
        <v>43888</v>
      </c>
      <c r="B281" s="329">
        <f t="shared" si="287"/>
        <v>0</v>
      </c>
      <c r="C281" s="338">
        <f t="shared" si="217"/>
        <v>194863.17999999892</v>
      </c>
      <c r="D281" s="414">
        <f t="shared" si="218"/>
        <v>8.0299999999999994</v>
      </c>
      <c r="E281" s="49">
        <f t="shared" si="288"/>
        <v>0</v>
      </c>
      <c r="F281" s="35">
        <f t="shared" si="219"/>
        <v>0</v>
      </c>
      <c r="G281" s="414">
        <f t="shared" si="220"/>
        <v>0</v>
      </c>
      <c r="H281" s="49">
        <f t="shared" si="289"/>
        <v>-5663.86</v>
      </c>
      <c r="I281" s="35">
        <f t="shared" si="221"/>
        <v>31677.830000000147</v>
      </c>
      <c r="J281" s="414">
        <f t="shared" si="222"/>
        <v>1.54</v>
      </c>
      <c r="K281" s="329">
        <f t="shared" si="290"/>
        <v>0</v>
      </c>
      <c r="L281" s="35">
        <f t="shared" si="223"/>
        <v>0</v>
      </c>
      <c r="M281" s="414">
        <f t="shared" si="224"/>
        <v>0</v>
      </c>
      <c r="N281" s="329">
        <f t="shared" si="291"/>
        <v>0</v>
      </c>
      <c r="O281" s="35">
        <f t="shared" si="225"/>
        <v>24.19999999999709</v>
      </c>
      <c r="P281" s="414">
        <f t="shared" si="226"/>
        <v>0</v>
      </c>
      <c r="Q281" s="329">
        <f t="shared" si="292"/>
        <v>0</v>
      </c>
      <c r="R281" s="35">
        <f t="shared" si="227"/>
        <v>0</v>
      </c>
      <c r="S281" s="414">
        <f t="shared" si="228"/>
        <v>0</v>
      </c>
      <c r="T281" s="880">
        <f>[5]Sheet1!$B695</f>
        <v>4.0966E-5</v>
      </c>
      <c r="U281" s="10">
        <f t="shared" ref="U281:U282" si="326">A281</f>
        <v>43888</v>
      </c>
      <c r="V281" s="881">
        <f t="shared" ref="V281:V282" si="327">T281*365/(A282-A281)</f>
        <v>1.495259E-2</v>
      </c>
    </row>
    <row r="282" spans="1:22" x14ac:dyDescent="0.25">
      <c r="A282" s="335">
        <f t="shared" si="321"/>
        <v>43889</v>
      </c>
      <c r="B282" s="329">
        <f t="shared" si="287"/>
        <v>0</v>
      </c>
      <c r="C282" s="338">
        <f t="shared" si="217"/>
        <v>194863.17999999892</v>
      </c>
      <c r="D282" s="414">
        <f t="shared" si="218"/>
        <v>7.98</v>
      </c>
      <c r="E282" s="49">
        <f t="shared" si="288"/>
        <v>0</v>
      </c>
      <c r="F282" s="35">
        <f t="shared" si="219"/>
        <v>0</v>
      </c>
      <c r="G282" s="414">
        <f t="shared" si="220"/>
        <v>0</v>
      </c>
      <c r="H282" s="49">
        <f t="shared" si="289"/>
        <v>0</v>
      </c>
      <c r="I282" s="35">
        <f t="shared" si="221"/>
        <v>31677.830000000147</v>
      </c>
      <c r="J282" s="414">
        <f t="shared" si="222"/>
        <v>1.3</v>
      </c>
      <c r="K282" s="329">
        <f t="shared" si="290"/>
        <v>0</v>
      </c>
      <c r="L282" s="35">
        <f t="shared" si="223"/>
        <v>0</v>
      </c>
      <c r="M282" s="414">
        <f t="shared" si="224"/>
        <v>0</v>
      </c>
      <c r="N282" s="329">
        <f t="shared" si="291"/>
        <v>0</v>
      </c>
      <c r="O282" s="35">
        <f t="shared" si="225"/>
        <v>24.19999999999709</v>
      </c>
      <c r="P282" s="414">
        <f t="shared" si="226"/>
        <v>0</v>
      </c>
      <c r="Q282" s="329">
        <f t="shared" si="292"/>
        <v>0</v>
      </c>
      <c r="R282" s="35">
        <f t="shared" si="227"/>
        <v>0</v>
      </c>
      <c r="S282" s="414">
        <f t="shared" si="228"/>
        <v>0</v>
      </c>
      <c r="T282" s="880">
        <f>[5]Sheet1!$B696</f>
        <v>4.0744000000000002E-5</v>
      </c>
      <c r="U282" s="10">
        <f t="shared" si="326"/>
        <v>43889</v>
      </c>
      <c r="V282" s="881">
        <f t="shared" si="327"/>
        <v>1.4871560000000001E-2</v>
      </c>
    </row>
    <row r="283" spans="1:22" x14ac:dyDescent="0.25">
      <c r="A283" s="336">
        <f t="shared" si="321"/>
        <v>43890</v>
      </c>
      <c r="B283" s="329">
        <f t="shared" si="287"/>
        <v>0</v>
      </c>
      <c r="C283" s="338">
        <f t="shared" si="217"/>
        <v>194863.17999999892</v>
      </c>
      <c r="D283" s="414">
        <f t="shared" si="218"/>
        <v>7.94</v>
      </c>
      <c r="E283" s="49">
        <f t="shared" si="288"/>
        <v>0</v>
      </c>
      <c r="F283" s="35">
        <f t="shared" si="219"/>
        <v>0</v>
      </c>
      <c r="G283" s="414">
        <f t="shared" si="220"/>
        <v>0</v>
      </c>
      <c r="H283" s="49">
        <f t="shared" si="289"/>
        <v>0</v>
      </c>
      <c r="I283" s="35">
        <f t="shared" si="221"/>
        <v>31677.830000000147</v>
      </c>
      <c r="J283" s="414">
        <f t="shared" si="222"/>
        <v>1.29</v>
      </c>
      <c r="K283" s="329">
        <f t="shared" si="290"/>
        <v>0</v>
      </c>
      <c r="L283" s="35">
        <f t="shared" si="223"/>
        <v>0</v>
      </c>
      <c r="M283" s="414">
        <f t="shared" si="224"/>
        <v>0</v>
      </c>
      <c r="N283" s="329">
        <f t="shared" si="291"/>
        <v>0</v>
      </c>
      <c r="O283" s="35">
        <f t="shared" si="225"/>
        <v>24.19999999999709</v>
      </c>
      <c r="P283" s="414">
        <f t="shared" si="226"/>
        <v>0</v>
      </c>
      <c r="Q283" s="329">
        <f t="shared" si="292"/>
        <v>0</v>
      </c>
      <c r="R283" s="35">
        <f t="shared" si="227"/>
        <v>0</v>
      </c>
      <c r="S283" s="414">
        <f t="shared" si="228"/>
        <v>0</v>
      </c>
      <c r="T283" s="880">
        <f>[5]Sheet1!$B697</f>
        <v>4.0744000000000002E-5</v>
      </c>
      <c r="U283" s="10">
        <f t="shared" ref="U283:U284" si="328">A283</f>
        <v>43890</v>
      </c>
      <c r="V283" s="881">
        <f t="shared" ref="V283:V284" si="329">T283*365/(A284-A283)</f>
        <v>1.4871560000000001E-2</v>
      </c>
    </row>
    <row r="284" spans="1:22" x14ac:dyDescent="0.25">
      <c r="A284" s="336">
        <f t="shared" si="321"/>
        <v>43891</v>
      </c>
      <c r="B284" s="329">
        <f t="shared" si="287"/>
        <v>0</v>
      </c>
      <c r="C284" s="338">
        <f t="shared" si="217"/>
        <v>194863.17999999892</v>
      </c>
      <c r="D284" s="414">
        <f t="shared" si="218"/>
        <v>7.94</v>
      </c>
      <c r="E284" s="49">
        <f t="shared" si="288"/>
        <v>0</v>
      </c>
      <c r="F284" s="35">
        <f t="shared" si="219"/>
        <v>0</v>
      </c>
      <c r="G284" s="414">
        <f t="shared" si="220"/>
        <v>0</v>
      </c>
      <c r="H284" s="49">
        <f t="shared" si="289"/>
        <v>0</v>
      </c>
      <c r="I284" s="35">
        <f t="shared" si="221"/>
        <v>31677.830000000147</v>
      </c>
      <c r="J284" s="414">
        <f t="shared" si="222"/>
        <v>1.29</v>
      </c>
      <c r="K284" s="329">
        <f t="shared" si="290"/>
        <v>0</v>
      </c>
      <c r="L284" s="35">
        <f t="shared" si="223"/>
        <v>0</v>
      </c>
      <c r="M284" s="414">
        <f t="shared" si="224"/>
        <v>0</v>
      </c>
      <c r="N284" s="329">
        <f t="shared" si="291"/>
        <v>0</v>
      </c>
      <c r="O284" s="35">
        <f t="shared" si="225"/>
        <v>24.19999999999709</v>
      </c>
      <c r="P284" s="414">
        <f t="shared" si="226"/>
        <v>0</v>
      </c>
      <c r="Q284" s="329">
        <f t="shared" si="292"/>
        <v>0</v>
      </c>
      <c r="R284" s="35">
        <f t="shared" si="227"/>
        <v>0</v>
      </c>
      <c r="S284" s="414">
        <f t="shared" si="228"/>
        <v>0</v>
      </c>
      <c r="T284" s="880">
        <f>[5]Sheet1!$B698</f>
        <v>4.0744000000000002E-5</v>
      </c>
      <c r="U284" s="10">
        <f t="shared" si="328"/>
        <v>43891</v>
      </c>
      <c r="V284" s="881">
        <f t="shared" si="329"/>
        <v>1.4871560000000001E-2</v>
      </c>
    </row>
    <row r="285" spans="1:22" x14ac:dyDescent="0.25">
      <c r="A285" s="336">
        <f t="shared" si="321"/>
        <v>43892</v>
      </c>
      <c r="B285" s="329">
        <f t="shared" si="287"/>
        <v>0</v>
      </c>
      <c r="C285" s="338">
        <f t="shared" si="217"/>
        <v>194863.17999999892</v>
      </c>
      <c r="D285" s="414">
        <f t="shared" si="218"/>
        <v>7.94</v>
      </c>
      <c r="E285" s="49">
        <f t="shared" si="288"/>
        <v>0</v>
      </c>
      <c r="F285" s="35">
        <f t="shared" si="219"/>
        <v>0</v>
      </c>
      <c r="G285" s="414">
        <f t="shared" si="220"/>
        <v>0</v>
      </c>
      <c r="H285" s="49">
        <f t="shared" si="289"/>
        <v>0</v>
      </c>
      <c r="I285" s="35">
        <f t="shared" si="221"/>
        <v>31677.830000000147</v>
      </c>
      <c r="J285" s="414">
        <f t="shared" si="222"/>
        <v>1.29</v>
      </c>
      <c r="K285" s="329">
        <f t="shared" si="290"/>
        <v>0</v>
      </c>
      <c r="L285" s="35">
        <f t="shared" si="223"/>
        <v>0</v>
      </c>
      <c r="M285" s="414">
        <f t="shared" si="224"/>
        <v>0</v>
      </c>
      <c r="N285" s="329">
        <f t="shared" si="291"/>
        <v>0</v>
      </c>
      <c r="O285" s="35">
        <f t="shared" si="225"/>
        <v>24.19999999999709</v>
      </c>
      <c r="P285" s="414">
        <f t="shared" si="226"/>
        <v>0</v>
      </c>
      <c r="Q285" s="329">
        <f t="shared" si="292"/>
        <v>0</v>
      </c>
      <c r="R285" s="35">
        <f t="shared" si="227"/>
        <v>0</v>
      </c>
      <c r="S285" s="414">
        <f t="shared" si="228"/>
        <v>0</v>
      </c>
      <c r="T285" s="880">
        <f>[5]Sheet1!$B699</f>
        <v>4.0941E-5</v>
      </c>
      <c r="U285" s="10">
        <f t="shared" ref="U285" si="330">A285</f>
        <v>43892</v>
      </c>
      <c r="V285" s="881">
        <f t="shared" ref="V285" si="331">T285*365/(A286-A285)</f>
        <v>1.4943465E-2</v>
      </c>
    </row>
    <row r="286" spans="1:22" x14ac:dyDescent="0.25">
      <c r="A286" s="335">
        <f t="shared" si="321"/>
        <v>43893</v>
      </c>
      <c r="B286" s="329">
        <f t="shared" si="287"/>
        <v>232.97</v>
      </c>
      <c r="C286" s="338">
        <f t="shared" si="217"/>
        <v>195096.14999999892</v>
      </c>
      <c r="D286" s="414">
        <f t="shared" si="218"/>
        <v>7.98</v>
      </c>
      <c r="E286" s="49">
        <f t="shared" si="288"/>
        <v>0</v>
      </c>
      <c r="F286" s="35">
        <f t="shared" si="219"/>
        <v>0</v>
      </c>
      <c r="G286" s="414">
        <f t="shared" si="220"/>
        <v>0</v>
      </c>
      <c r="H286" s="49">
        <f t="shared" si="289"/>
        <v>46.76</v>
      </c>
      <c r="I286" s="35">
        <f t="shared" si="221"/>
        <v>31724.590000000146</v>
      </c>
      <c r="J286" s="414">
        <f t="shared" si="222"/>
        <v>1.3</v>
      </c>
      <c r="K286" s="329">
        <f t="shared" si="290"/>
        <v>0</v>
      </c>
      <c r="L286" s="35">
        <f t="shared" si="223"/>
        <v>0</v>
      </c>
      <c r="M286" s="414">
        <f t="shared" si="224"/>
        <v>0</v>
      </c>
      <c r="N286" s="329">
        <f t="shared" si="291"/>
        <v>0</v>
      </c>
      <c r="O286" s="35">
        <f t="shared" si="225"/>
        <v>24.19999999999709</v>
      </c>
      <c r="P286" s="414">
        <f t="shared" si="226"/>
        <v>0</v>
      </c>
      <c r="Q286" s="329">
        <f t="shared" si="292"/>
        <v>0</v>
      </c>
      <c r="R286" s="35">
        <f t="shared" si="227"/>
        <v>0</v>
      </c>
      <c r="S286" s="414">
        <f t="shared" si="228"/>
        <v>0</v>
      </c>
      <c r="T286" s="880">
        <f>[5]Sheet1!$B700</f>
        <v>4.0058999999999997E-5</v>
      </c>
      <c r="U286" s="10">
        <f t="shared" ref="U286:U290" si="332">A286</f>
        <v>43893</v>
      </c>
      <c r="V286" s="881">
        <f t="shared" ref="V286:V290" si="333">T286*365/(A287-A286)</f>
        <v>1.4621535E-2</v>
      </c>
    </row>
    <row r="287" spans="1:22" x14ac:dyDescent="0.25">
      <c r="A287" s="335">
        <f t="shared" si="321"/>
        <v>43894</v>
      </c>
      <c r="B287" s="329">
        <f t="shared" si="287"/>
        <v>0</v>
      </c>
      <c r="C287" s="338">
        <f t="shared" si="217"/>
        <v>195096.14999999892</v>
      </c>
      <c r="D287" s="414">
        <f t="shared" si="218"/>
        <v>7.82</v>
      </c>
      <c r="E287" s="49">
        <f t="shared" si="288"/>
        <v>0</v>
      </c>
      <c r="F287" s="35">
        <f t="shared" si="219"/>
        <v>0</v>
      </c>
      <c r="G287" s="414">
        <f t="shared" si="220"/>
        <v>0</v>
      </c>
      <c r="H287" s="49">
        <f t="shared" si="289"/>
        <v>0</v>
      </c>
      <c r="I287" s="35">
        <f t="shared" si="221"/>
        <v>31724.590000000146</v>
      </c>
      <c r="J287" s="414">
        <f t="shared" si="222"/>
        <v>1.27</v>
      </c>
      <c r="K287" s="329">
        <f t="shared" si="290"/>
        <v>0</v>
      </c>
      <c r="L287" s="35">
        <f t="shared" si="223"/>
        <v>0</v>
      </c>
      <c r="M287" s="414">
        <f t="shared" si="224"/>
        <v>0</v>
      </c>
      <c r="N287" s="329">
        <f t="shared" si="291"/>
        <v>0</v>
      </c>
      <c r="O287" s="35">
        <f t="shared" si="225"/>
        <v>24.19999999999709</v>
      </c>
      <c r="P287" s="414">
        <f t="shared" si="226"/>
        <v>0</v>
      </c>
      <c r="Q287" s="329">
        <f t="shared" si="292"/>
        <v>0</v>
      </c>
      <c r="R287" s="35">
        <f t="shared" si="227"/>
        <v>0</v>
      </c>
      <c r="S287" s="414">
        <f t="shared" si="228"/>
        <v>0</v>
      </c>
      <c r="T287" s="880">
        <f>[5]Sheet1!$B701</f>
        <v>3.7027999999999999E-5</v>
      </c>
      <c r="U287" s="10">
        <f t="shared" si="332"/>
        <v>43894</v>
      </c>
      <c r="V287" s="881">
        <f t="shared" si="333"/>
        <v>1.351522E-2</v>
      </c>
    </row>
    <row r="288" spans="1:22" x14ac:dyDescent="0.25">
      <c r="A288" s="335">
        <f t="shared" si="321"/>
        <v>43895</v>
      </c>
      <c r="B288" s="329">
        <f t="shared" si="287"/>
        <v>0</v>
      </c>
      <c r="C288" s="338">
        <f t="shared" ref="C288:C315" si="334">B288+C287</f>
        <v>195096.14999999892</v>
      </c>
      <c r="D288" s="414">
        <f t="shared" ref="D288:D315" si="335">ROUND(C287*$T287,2)</f>
        <v>7.22</v>
      </c>
      <c r="E288" s="49">
        <f t="shared" si="288"/>
        <v>0</v>
      </c>
      <c r="F288" s="35">
        <f t="shared" ref="F288:F315" si="336">E288+F287</f>
        <v>0</v>
      </c>
      <c r="G288" s="414">
        <f t="shared" ref="G288:G315" si="337">ROUND(F287*$T287,2)</f>
        <v>0</v>
      </c>
      <c r="H288" s="49">
        <f t="shared" si="289"/>
        <v>0</v>
      </c>
      <c r="I288" s="35">
        <f t="shared" ref="I288:I315" si="338">H288+I287</f>
        <v>31724.590000000146</v>
      </c>
      <c r="J288" s="414">
        <f t="shared" ref="J288:J315" si="339">ROUND(I287*$T287,2)</f>
        <v>1.17</v>
      </c>
      <c r="K288" s="329">
        <f t="shared" si="290"/>
        <v>0</v>
      </c>
      <c r="L288" s="35">
        <f t="shared" ref="L288:L315" si="340">K288+L287</f>
        <v>0</v>
      </c>
      <c r="M288" s="414">
        <f t="shared" ref="M288:M315" si="341">ROUND(L287*$T287,2)</f>
        <v>0</v>
      </c>
      <c r="N288" s="329">
        <f t="shared" si="291"/>
        <v>0</v>
      </c>
      <c r="O288" s="35">
        <f t="shared" ref="O288:O315" si="342">N288+O287</f>
        <v>24.19999999999709</v>
      </c>
      <c r="P288" s="414">
        <f t="shared" ref="P288:P315" si="343">ROUND(O287*$T287,2)</f>
        <v>0</v>
      </c>
      <c r="Q288" s="329">
        <f t="shared" si="292"/>
        <v>0</v>
      </c>
      <c r="R288" s="35">
        <f t="shared" ref="R288:R315" si="344">Q288+R287</f>
        <v>0</v>
      </c>
      <c r="S288" s="414">
        <f t="shared" ref="S288:S315" si="345">ROUND(R287*$T287,2)</f>
        <v>0</v>
      </c>
      <c r="T288" s="880">
        <f>[5]Sheet1!$B702</f>
        <v>3.2988999999999999E-5</v>
      </c>
      <c r="U288" s="10">
        <f t="shared" si="332"/>
        <v>43895</v>
      </c>
      <c r="V288" s="881">
        <f t="shared" si="333"/>
        <v>1.2040984999999999E-2</v>
      </c>
    </row>
    <row r="289" spans="1:22" x14ac:dyDescent="0.25">
      <c r="A289" s="335">
        <f t="shared" si="321"/>
        <v>43896</v>
      </c>
      <c r="B289" s="329">
        <f t="shared" si="287"/>
        <v>0</v>
      </c>
      <c r="C289" s="338">
        <f t="shared" si="334"/>
        <v>195096.14999999892</v>
      </c>
      <c r="D289" s="414">
        <f t="shared" si="335"/>
        <v>6.44</v>
      </c>
      <c r="E289" s="49">
        <f t="shared" si="288"/>
        <v>0</v>
      </c>
      <c r="F289" s="35">
        <f t="shared" si="336"/>
        <v>0</v>
      </c>
      <c r="G289" s="414">
        <f t="shared" si="337"/>
        <v>0</v>
      </c>
      <c r="H289" s="49">
        <f t="shared" si="289"/>
        <v>0</v>
      </c>
      <c r="I289" s="35">
        <f t="shared" si="338"/>
        <v>31724.590000000146</v>
      </c>
      <c r="J289" s="414">
        <f t="shared" si="339"/>
        <v>1.05</v>
      </c>
      <c r="K289" s="329">
        <f t="shared" si="290"/>
        <v>0</v>
      </c>
      <c r="L289" s="35">
        <f t="shared" si="340"/>
        <v>0</v>
      </c>
      <c r="M289" s="414">
        <f t="shared" si="341"/>
        <v>0</v>
      </c>
      <c r="N289" s="329">
        <f t="shared" si="291"/>
        <v>0</v>
      </c>
      <c r="O289" s="35">
        <f t="shared" si="342"/>
        <v>24.19999999999709</v>
      </c>
      <c r="P289" s="414">
        <f t="shared" si="343"/>
        <v>0</v>
      </c>
      <c r="Q289" s="329">
        <f t="shared" si="292"/>
        <v>0</v>
      </c>
      <c r="R289" s="35">
        <f t="shared" si="344"/>
        <v>0</v>
      </c>
      <c r="S289" s="414">
        <f t="shared" si="345"/>
        <v>0</v>
      </c>
      <c r="T289" s="880">
        <f>[5]Sheet1!$B703</f>
        <v>9.5778000000000004E-5</v>
      </c>
      <c r="U289" s="10">
        <f t="shared" si="332"/>
        <v>43896</v>
      </c>
      <c r="V289" s="881">
        <f t="shared" si="333"/>
        <v>1.165299E-2</v>
      </c>
    </row>
    <row r="290" spans="1:22" x14ac:dyDescent="0.25">
      <c r="A290" s="336">
        <f>A289+3</f>
        <v>43899</v>
      </c>
      <c r="B290" s="329">
        <f t="shared" si="287"/>
        <v>-15620.63</v>
      </c>
      <c r="C290" s="338">
        <f t="shared" si="334"/>
        <v>179475.51999999891</v>
      </c>
      <c r="D290" s="414">
        <f t="shared" si="335"/>
        <v>18.690000000000001</v>
      </c>
      <c r="E290" s="49">
        <f t="shared" si="288"/>
        <v>0</v>
      </c>
      <c r="F290" s="35">
        <f t="shared" si="336"/>
        <v>0</v>
      </c>
      <c r="G290" s="414">
        <f t="shared" si="337"/>
        <v>0</v>
      </c>
      <c r="H290" s="49">
        <f t="shared" si="289"/>
        <v>0</v>
      </c>
      <c r="I290" s="35">
        <f t="shared" si="338"/>
        <v>31724.590000000146</v>
      </c>
      <c r="J290" s="414">
        <f t="shared" si="339"/>
        <v>3.04</v>
      </c>
      <c r="K290" s="329">
        <f t="shared" si="290"/>
        <v>0</v>
      </c>
      <c r="L290" s="35">
        <f t="shared" si="340"/>
        <v>0</v>
      </c>
      <c r="M290" s="414">
        <f t="shared" si="341"/>
        <v>0</v>
      </c>
      <c r="N290" s="329">
        <f t="shared" si="291"/>
        <v>0</v>
      </c>
      <c r="O290" s="35">
        <f t="shared" si="342"/>
        <v>24.19999999999709</v>
      </c>
      <c r="P290" s="414">
        <f t="shared" si="343"/>
        <v>0</v>
      </c>
      <c r="Q290" s="329">
        <f t="shared" si="292"/>
        <v>0</v>
      </c>
      <c r="R290" s="35">
        <f t="shared" si="344"/>
        <v>0</v>
      </c>
      <c r="S290" s="414">
        <f t="shared" si="345"/>
        <v>0</v>
      </c>
      <c r="T290" s="880">
        <f>[5]Sheet1!$B704</f>
        <v>3.1503E-5</v>
      </c>
      <c r="U290" s="10">
        <f t="shared" si="332"/>
        <v>43899</v>
      </c>
      <c r="V290" s="881">
        <f t="shared" si="333"/>
        <v>1.1498595E-2</v>
      </c>
    </row>
    <row r="291" spans="1:22" x14ac:dyDescent="0.25">
      <c r="A291" s="335">
        <f>A290+1</f>
        <v>43900</v>
      </c>
      <c r="B291" s="329">
        <f t="shared" si="287"/>
        <v>0</v>
      </c>
      <c r="C291" s="338">
        <f t="shared" si="334"/>
        <v>179475.51999999891</v>
      </c>
      <c r="D291" s="414">
        <f t="shared" si="335"/>
        <v>5.65</v>
      </c>
      <c r="E291" s="49">
        <f t="shared" si="288"/>
        <v>0</v>
      </c>
      <c r="F291" s="35">
        <f t="shared" si="336"/>
        <v>0</v>
      </c>
      <c r="G291" s="414">
        <f t="shared" si="337"/>
        <v>0</v>
      </c>
      <c r="H291" s="49">
        <f t="shared" si="289"/>
        <v>0</v>
      </c>
      <c r="I291" s="35">
        <f t="shared" si="338"/>
        <v>31724.590000000146</v>
      </c>
      <c r="J291" s="414">
        <f t="shared" si="339"/>
        <v>1</v>
      </c>
      <c r="K291" s="329">
        <f t="shared" si="290"/>
        <v>0</v>
      </c>
      <c r="L291" s="35">
        <f t="shared" si="340"/>
        <v>0</v>
      </c>
      <c r="M291" s="414">
        <f t="shared" si="341"/>
        <v>0</v>
      </c>
      <c r="N291" s="329">
        <f t="shared" si="291"/>
        <v>0</v>
      </c>
      <c r="O291" s="35">
        <f t="shared" si="342"/>
        <v>24.19999999999709</v>
      </c>
      <c r="P291" s="414">
        <f t="shared" si="343"/>
        <v>0</v>
      </c>
      <c r="Q291" s="329">
        <f t="shared" si="292"/>
        <v>0</v>
      </c>
      <c r="R291" s="35">
        <f t="shared" si="344"/>
        <v>0</v>
      </c>
      <c r="S291" s="414">
        <f t="shared" si="345"/>
        <v>0</v>
      </c>
      <c r="T291" s="880">
        <f>[5]Sheet1!$B705</f>
        <v>2.9275999999999999E-5</v>
      </c>
      <c r="U291" s="10">
        <f t="shared" ref="U291" si="346">A291</f>
        <v>43900</v>
      </c>
      <c r="V291" s="881">
        <f t="shared" ref="V291" si="347">T291*365/(A292-A291)</f>
        <v>1.0685739999999999E-2</v>
      </c>
    </row>
    <row r="292" spans="1:22" x14ac:dyDescent="0.25">
      <c r="A292" s="335">
        <f>A291+1</f>
        <v>43901</v>
      </c>
      <c r="B292" s="329">
        <f t="shared" si="287"/>
        <v>-72342.95</v>
      </c>
      <c r="C292" s="338">
        <f t="shared" si="334"/>
        <v>107132.56999999892</v>
      </c>
      <c r="D292" s="414">
        <f t="shared" si="335"/>
        <v>5.25</v>
      </c>
      <c r="E292" s="49">
        <f t="shared" si="288"/>
        <v>0</v>
      </c>
      <c r="F292" s="35">
        <f t="shared" si="336"/>
        <v>0</v>
      </c>
      <c r="G292" s="414">
        <f t="shared" si="337"/>
        <v>0</v>
      </c>
      <c r="H292" s="49">
        <f t="shared" si="289"/>
        <v>16005.53</v>
      </c>
      <c r="I292" s="35">
        <f t="shared" si="338"/>
        <v>47730.120000000148</v>
      </c>
      <c r="J292" s="414">
        <f t="shared" si="339"/>
        <v>0.93</v>
      </c>
      <c r="K292" s="329">
        <f t="shared" si="290"/>
        <v>0</v>
      </c>
      <c r="L292" s="35">
        <f t="shared" si="340"/>
        <v>0</v>
      </c>
      <c r="M292" s="414">
        <f t="shared" si="341"/>
        <v>0</v>
      </c>
      <c r="N292" s="329">
        <f t="shared" si="291"/>
        <v>0</v>
      </c>
      <c r="O292" s="35">
        <f t="shared" si="342"/>
        <v>24.19999999999709</v>
      </c>
      <c r="P292" s="414">
        <f t="shared" si="343"/>
        <v>0</v>
      </c>
      <c r="Q292" s="329">
        <f t="shared" si="292"/>
        <v>0</v>
      </c>
      <c r="R292" s="35">
        <f t="shared" si="344"/>
        <v>0</v>
      </c>
      <c r="S292" s="414">
        <f t="shared" si="345"/>
        <v>0</v>
      </c>
      <c r="T292" s="880">
        <f>[5]Sheet1!$B706</f>
        <v>2.9116999999999999E-5</v>
      </c>
      <c r="U292" s="10">
        <f t="shared" ref="U292" si="348">A292</f>
        <v>43901</v>
      </c>
      <c r="V292" s="881">
        <f t="shared" ref="V292" si="349">T292*365/(A293-A292)</f>
        <v>1.0627704999999999E-2</v>
      </c>
    </row>
    <row r="293" spans="1:22" x14ac:dyDescent="0.25">
      <c r="A293" s="335">
        <f>A292+1</f>
        <v>43902</v>
      </c>
      <c r="B293" s="329">
        <f t="shared" si="287"/>
        <v>0</v>
      </c>
      <c r="C293" s="338">
        <f t="shared" si="334"/>
        <v>107132.56999999892</v>
      </c>
      <c r="D293" s="414">
        <f t="shared" si="335"/>
        <v>3.12</v>
      </c>
      <c r="E293" s="49">
        <f t="shared" si="288"/>
        <v>0</v>
      </c>
      <c r="F293" s="35">
        <f t="shared" si="336"/>
        <v>0</v>
      </c>
      <c r="G293" s="414">
        <f t="shared" si="337"/>
        <v>0</v>
      </c>
      <c r="H293" s="49">
        <f t="shared" si="289"/>
        <v>0</v>
      </c>
      <c r="I293" s="35">
        <f t="shared" si="338"/>
        <v>47730.120000000148</v>
      </c>
      <c r="J293" s="414">
        <f t="shared" si="339"/>
        <v>1.39</v>
      </c>
      <c r="K293" s="329">
        <f t="shared" si="290"/>
        <v>0</v>
      </c>
      <c r="L293" s="35">
        <f t="shared" si="340"/>
        <v>0</v>
      </c>
      <c r="M293" s="414">
        <f t="shared" si="341"/>
        <v>0</v>
      </c>
      <c r="N293" s="329">
        <f t="shared" si="291"/>
        <v>0</v>
      </c>
      <c r="O293" s="35">
        <f t="shared" si="342"/>
        <v>24.19999999999709</v>
      </c>
      <c r="P293" s="414">
        <f t="shared" si="343"/>
        <v>0</v>
      </c>
      <c r="Q293" s="329">
        <f t="shared" si="292"/>
        <v>0</v>
      </c>
      <c r="R293" s="35">
        <f t="shared" si="344"/>
        <v>0</v>
      </c>
      <c r="S293" s="414">
        <f t="shared" si="345"/>
        <v>0</v>
      </c>
      <c r="T293" s="880">
        <f>[5]Sheet1!$B707</f>
        <v>2.9178000000000001E-5</v>
      </c>
      <c r="U293" s="10">
        <f t="shared" ref="U293" si="350">A293</f>
        <v>43902</v>
      </c>
      <c r="V293" s="881">
        <f t="shared" ref="V293" si="351">T293*365/(A294-A293)</f>
        <v>1.064997E-2</v>
      </c>
    </row>
    <row r="294" spans="1:22" x14ac:dyDescent="0.25">
      <c r="A294" s="335">
        <f>A293+1</f>
        <v>43903</v>
      </c>
      <c r="B294" s="329">
        <f t="shared" si="287"/>
        <v>0</v>
      </c>
      <c r="C294" s="338">
        <f t="shared" si="334"/>
        <v>107132.56999999892</v>
      </c>
      <c r="D294" s="414">
        <f t="shared" si="335"/>
        <v>3.13</v>
      </c>
      <c r="E294" s="49">
        <f t="shared" si="288"/>
        <v>0</v>
      </c>
      <c r="F294" s="35">
        <f t="shared" si="336"/>
        <v>0</v>
      </c>
      <c r="G294" s="414">
        <f t="shared" si="337"/>
        <v>0</v>
      </c>
      <c r="H294" s="49">
        <f t="shared" si="289"/>
        <v>0</v>
      </c>
      <c r="I294" s="35">
        <f t="shared" si="338"/>
        <v>47730.120000000148</v>
      </c>
      <c r="J294" s="414">
        <f t="shared" si="339"/>
        <v>1.39</v>
      </c>
      <c r="K294" s="329">
        <f t="shared" si="290"/>
        <v>0</v>
      </c>
      <c r="L294" s="35">
        <f t="shared" si="340"/>
        <v>0</v>
      </c>
      <c r="M294" s="414">
        <f t="shared" si="341"/>
        <v>0</v>
      </c>
      <c r="N294" s="329">
        <f t="shared" si="291"/>
        <v>0</v>
      </c>
      <c r="O294" s="35">
        <f t="shared" si="342"/>
        <v>24.19999999999709</v>
      </c>
      <c r="P294" s="414">
        <f t="shared" si="343"/>
        <v>0</v>
      </c>
      <c r="Q294" s="329">
        <f t="shared" si="292"/>
        <v>0</v>
      </c>
      <c r="R294" s="35">
        <f t="shared" si="344"/>
        <v>0</v>
      </c>
      <c r="S294" s="414">
        <f t="shared" si="345"/>
        <v>0</v>
      </c>
      <c r="T294" s="880">
        <f>[5]Sheet1!$B708</f>
        <v>8.6577999999999997E-5</v>
      </c>
      <c r="U294" s="10">
        <f t="shared" ref="U294:U304" si="352">A294</f>
        <v>43903</v>
      </c>
      <c r="V294" s="881">
        <f t="shared" ref="V294:V304" si="353">T294*365/(A295-A294)</f>
        <v>1.0533656666666667E-2</v>
      </c>
    </row>
    <row r="295" spans="1:22" x14ac:dyDescent="0.25">
      <c r="A295" s="336">
        <f>A294+3</f>
        <v>43906</v>
      </c>
      <c r="B295" s="329">
        <f t="shared" si="287"/>
        <v>-63519.5999999989</v>
      </c>
      <c r="C295" s="338">
        <f t="shared" si="334"/>
        <v>43612.970000000016</v>
      </c>
      <c r="D295" s="414">
        <f t="shared" si="335"/>
        <v>9.2799999999999994</v>
      </c>
      <c r="E295" s="49">
        <f t="shared" si="288"/>
        <v>0</v>
      </c>
      <c r="F295" s="35">
        <f t="shared" si="336"/>
        <v>0</v>
      </c>
      <c r="G295" s="414">
        <f t="shared" si="337"/>
        <v>0</v>
      </c>
      <c r="H295" s="49">
        <f t="shared" si="289"/>
        <v>0</v>
      </c>
      <c r="I295" s="35">
        <f t="shared" si="338"/>
        <v>47730.120000000148</v>
      </c>
      <c r="J295" s="414">
        <f t="shared" si="339"/>
        <v>4.13</v>
      </c>
      <c r="K295" s="329">
        <f t="shared" si="290"/>
        <v>0</v>
      </c>
      <c r="L295" s="35">
        <f t="shared" si="340"/>
        <v>0</v>
      </c>
      <c r="M295" s="414">
        <f t="shared" si="341"/>
        <v>0</v>
      </c>
      <c r="N295" s="329">
        <f t="shared" si="291"/>
        <v>0</v>
      </c>
      <c r="O295" s="35">
        <f t="shared" si="342"/>
        <v>24.19999999999709</v>
      </c>
      <c r="P295" s="414">
        <f t="shared" si="343"/>
        <v>0</v>
      </c>
      <c r="Q295" s="329">
        <f t="shared" si="292"/>
        <v>0</v>
      </c>
      <c r="R295" s="35">
        <f t="shared" si="344"/>
        <v>0</v>
      </c>
      <c r="S295" s="414">
        <f t="shared" si="345"/>
        <v>0</v>
      </c>
      <c r="T295" s="880">
        <f>[5]Sheet1!$B709</f>
        <v>2.1092000000000001E-5</v>
      </c>
      <c r="U295" s="10">
        <f t="shared" si="352"/>
        <v>43906</v>
      </c>
      <c r="V295" s="881">
        <f t="shared" si="353"/>
        <v>7.69858E-3</v>
      </c>
    </row>
    <row r="296" spans="1:22" x14ac:dyDescent="0.25">
      <c r="A296" s="335">
        <f>A295+1</f>
        <v>43907</v>
      </c>
      <c r="B296" s="329">
        <f t="shared" si="287"/>
        <v>-30452.760000000017</v>
      </c>
      <c r="C296" s="338">
        <f t="shared" si="334"/>
        <v>13160.21</v>
      </c>
      <c r="D296" s="414">
        <f t="shared" si="335"/>
        <v>0.92</v>
      </c>
      <c r="E296" s="49">
        <f t="shared" si="288"/>
        <v>0</v>
      </c>
      <c r="F296" s="35">
        <f t="shared" si="336"/>
        <v>0</v>
      </c>
      <c r="G296" s="414">
        <f t="shared" si="337"/>
        <v>0</v>
      </c>
      <c r="H296" s="49">
        <f t="shared" si="289"/>
        <v>1127.1500000000001</v>
      </c>
      <c r="I296" s="35">
        <f t="shared" si="338"/>
        <v>48857.27000000015</v>
      </c>
      <c r="J296" s="414">
        <f t="shared" si="339"/>
        <v>1.01</v>
      </c>
      <c r="K296" s="329">
        <f t="shared" si="290"/>
        <v>0</v>
      </c>
      <c r="L296" s="35">
        <f t="shared" si="340"/>
        <v>0</v>
      </c>
      <c r="M296" s="414">
        <f t="shared" si="341"/>
        <v>0</v>
      </c>
      <c r="N296" s="329">
        <f t="shared" si="291"/>
        <v>0</v>
      </c>
      <c r="O296" s="35">
        <f t="shared" si="342"/>
        <v>24.19999999999709</v>
      </c>
      <c r="P296" s="414">
        <f t="shared" si="343"/>
        <v>0</v>
      </c>
      <c r="Q296" s="329">
        <f t="shared" si="292"/>
        <v>0</v>
      </c>
      <c r="R296" s="35">
        <f t="shared" si="344"/>
        <v>0</v>
      </c>
      <c r="S296" s="414">
        <f t="shared" si="345"/>
        <v>0</v>
      </c>
      <c r="T296" s="880">
        <f>[5]Sheet1!$B710</f>
        <v>1.6813999999999999E-5</v>
      </c>
      <c r="U296" s="10">
        <f t="shared" si="352"/>
        <v>43907</v>
      </c>
      <c r="V296" s="881">
        <f t="shared" si="353"/>
        <v>6.1371099999999994E-3</v>
      </c>
    </row>
    <row r="297" spans="1:22" x14ac:dyDescent="0.25">
      <c r="A297" s="335">
        <f>A296+1</f>
        <v>43908</v>
      </c>
      <c r="B297" s="329">
        <f t="shared" si="287"/>
        <v>0</v>
      </c>
      <c r="C297" s="338">
        <f t="shared" si="334"/>
        <v>13160.21</v>
      </c>
      <c r="D297" s="414">
        <f t="shared" si="335"/>
        <v>0.22</v>
      </c>
      <c r="E297" s="49">
        <f t="shared" si="288"/>
        <v>0</v>
      </c>
      <c r="F297" s="35">
        <f t="shared" si="336"/>
        <v>0</v>
      </c>
      <c r="G297" s="414">
        <f t="shared" si="337"/>
        <v>0</v>
      </c>
      <c r="H297" s="49">
        <f t="shared" si="289"/>
        <v>0</v>
      </c>
      <c r="I297" s="35">
        <f t="shared" si="338"/>
        <v>48857.27000000015</v>
      </c>
      <c r="J297" s="414">
        <f t="shared" si="339"/>
        <v>0.82</v>
      </c>
      <c r="K297" s="329">
        <f t="shared" si="290"/>
        <v>0</v>
      </c>
      <c r="L297" s="35">
        <f t="shared" si="340"/>
        <v>0</v>
      </c>
      <c r="M297" s="414">
        <f t="shared" si="341"/>
        <v>0</v>
      </c>
      <c r="N297" s="329">
        <f t="shared" si="291"/>
        <v>0</v>
      </c>
      <c r="O297" s="35">
        <f t="shared" si="342"/>
        <v>24.19999999999709</v>
      </c>
      <c r="P297" s="414">
        <f t="shared" si="343"/>
        <v>0</v>
      </c>
      <c r="Q297" s="329">
        <f t="shared" si="292"/>
        <v>0</v>
      </c>
      <c r="R297" s="35">
        <f t="shared" si="344"/>
        <v>0</v>
      </c>
      <c r="S297" s="414">
        <f t="shared" si="345"/>
        <v>0</v>
      </c>
      <c r="T297" s="880">
        <f>[5]Sheet1!$B711</f>
        <v>1.6818000000000001E-5</v>
      </c>
      <c r="U297" s="10">
        <f t="shared" si="352"/>
        <v>43908</v>
      </c>
      <c r="V297" s="881">
        <f t="shared" si="353"/>
        <v>6.1385700000000003E-3</v>
      </c>
    </row>
    <row r="298" spans="1:22" x14ac:dyDescent="0.25">
      <c r="A298" s="335">
        <f>A297+1</f>
        <v>43909</v>
      </c>
      <c r="B298" s="329">
        <f t="shared" si="287"/>
        <v>0</v>
      </c>
      <c r="C298" s="338">
        <f t="shared" si="334"/>
        <v>13160.21</v>
      </c>
      <c r="D298" s="414">
        <f t="shared" si="335"/>
        <v>0.22</v>
      </c>
      <c r="E298" s="49">
        <f t="shared" si="288"/>
        <v>0</v>
      </c>
      <c r="F298" s="35">
        <f t="shared" si="336"/>
        <v>0</v>
      </c>
      <c r="G298" s="414">
        <f t="shared" si="337"/>
        <v>0</v>
      </c>
      <c r="H298" s="49">
        <f t="shared" si="289"/>
        <v>0</v>
      </c>
      <c r="I298" s="35">
        <f t="shared" si="338"/>
        <v>48857.27000000015</v>
      </c>
      <c r="J298" s="414">
        <f t="shared" si="339"/>
        <v>0.82</v>
      </c>
      <c r="K298" s="329">
        <f t="shared" si="290"/>
        <v>0</v>
      </c>
      <c r="L298" s="35">
        <f t="shared" si="340"/>
        <v>0</v>
      </c>
      <c r="M298" s="414">
        <f t="shared" si="341"/>
        <v>0</v>
      </c>
      <c r="N298" s="329">
        <f t="shared" si="291"/>
        <v>0</v>
      </c>
      <c r="O298" s="35">
        <f t="shared" si="342"/>
        <v>24.19999999999709</v>
      </c>
      <c r="P298" s="414">
        <f t="shared" si="343"/>
        <v>0</v>
      </c>
      <c r="Q298" s="329">
        <f t="shared" si="292"/>
        <v>0</v>
      </c>
      <c r="R298" s="35">
        <f t="shared" si="344"/>
        <v>0</v>
      </c>
      <c r="S298" s="414">
        <f t="shared" si="345"/>
        <v>0</v>
      </c>
      <c r="T298" s="880">
        <f>[5]Sheet1!$B712</f>
        <v>1.1148999999999999E-5</v>
      </c>
      <c r="U298" s="10">
        <f t="shared" si="352"/>
        <v>43909</v>
      </c>
      <c r="V298" s="881">
        <f t="shared" si="353"/>
        <v>4.069385E-3</v>
      </c>
    </row>
    <row r="299" spans="1:22" x14ac:dyDescent="0.25">
      <c r="A299" s="335">
        <f>A298+1</f>
        <v>43910</v>
      </c>
      <c r="B299" s="329">
        <f t="shared" si="287"/>
        <v>0</v>
      </c>
      <c r="C299" s="338">
        <f t="shared" si="334"/>
        <v>13160.21</v>
      </c>
      <c r="D299" s="414">
        <f t="shared" si="335"/>
        <v>0.15</v>
      </c>
      <c r="E299" s="49">
        <f t="shared" si="288"/>
        <v>0</v>
      </c>
      <c r="F299" s="35">
        <f t="shared" si="336"/>
        <v>0</v>
      </c>
      <c r="G299" s="414">
        <f t="shared" si="337"/>
        <v>0</v>
      </c>
      <c r="H299" s="49">
        <f t="shared" si="289"/>
        <v>0</v>
      </c>
      <c r="I299" s="35">
        <f t="shared" si="338"/>
        <v>48857.27000000015</v>
      </c>
      <c r="J299" s="414">
        <f t="shared" si="339"/>
        <v>0.54</v>
      </c>
      <c r="K299" s="329">
        <f t="shared" si="290"/>
        <v>0</v>
      </c>
      <c r="L299" s="35">
        <f t="shared" si="340"/>
        <v>0</v>
      </c>
      <c r="M299" s="414">
        <f t="shared" si="341"/>
        <v>0</v>
      </c>
      <c r="N299" s="329">
        <f t="shared" si="291"/>
        <v>0</v>
      </c>
      <c r="O299" s="35">
        <f t="shared" si="342"/>
        <v>24.19999999999709</v>
      </c>
      <c r="P299" s="414">
        <f t="shared" si="343"/>
        <v>0</v>
      </c>
      <c r="Q299" s="329">
        <f t="shared" si="292"/>
        <v>0</v>
      </c>
      <c r="R299" s="35">
        <f t="shared" si="344"/>
        <v>0</v>
      </c>
      <c r="S299" s="414">
        <f t="shared" si="345"/>
        <v>0</v>
      </c>
      <c r="T299" s="880">
        <f>[5]Sheet1!$B713</f>
        <v>2.9383999999999999E-5</v>
      </c>
      <c r="U299" s="10">
        <f t="shared" si="352"/>
        <v>43910</v>
      </c>
      <c r="V299" s="881">
        <f t="shared" si="353"/>
        <v>3.5750533333333331E-3</v>
      </c>
    </row>
    <row r="300" spans="1:22" x14ac:dyDescent="0.25">
      <c r="A300" s="336">
        <f>A299+3</f>
        <v>43913</v>
      </c>
      <c r="B300" s="329">
        <f t="shared" si="287"/>
        <v>0</v>
      </c>
      <c r="C300" s="338">
        <f t="shared" si="334"/>
        <v>13160.21</v>
      </c>
      <c r="D300" s="414">
        <f t="shared" si="335"/>
        <v>0.39</v>
      </c>
      <c r="E300" s="49">
        <f t="shared" si="288"/>
        <v>0</v>
      </c>
      <c r="F300" s="35">
        <f t="shared" si="336"/>
        <v>0</v>
      </c>
      <c r="G300" s="414">
        <f t="shared" si="337"/>
        <v>0</v>
      </c>
      <c r="H300" s="49">
        <f t="shared" si="289"/>
        <v>0</v>
      </c>
      <c r="I300" s="35">
        <f t="shared" si="338"/>
        <v>48857.27000000015</v>
      </c>
      <c r="J300" s="414">
        <f t="shared" si="339"/>
        <v>1.44</v>
      </c>
      <c r="K300" s="329">
        <f t="shared" si="290"/>
        <v>0</v>
      </c>
      <c r="L300" s="35">
        <f t="shared" si="340"/>
        <v>0</v>
      </c>
      <c r="M300" s="414">
        <f t="shared" si="341"/>
        <v>0</v>
      </c>
      <c r="N300" s="329">
        <f t="shared" si="291"/>
        <v>0</v>
      </c>
      <c r="O300" s="35">
        <f t="shared" si="342"/>
        <v>24.19999999999709</v>
      </c>
      <c r="P300" s="414">
        <f t="shared" si="343"/>
        <v>0</v>
      </c>
      <c r="Q300" s="329">
        <f t="shared" si="292"/>
        <v>0</v>
      </c>
      <c r="R300" s="35">
        <f t="shared" si="344"/>
        <v>0</v>
      </c>
      <c r="S300" s="414">
        <f t="shared" si="345"/>
        <v>0</v>
      </c>
      <c r="T300" s="880">
        <f>[5]Sheet1!$B714</f>
        <v>8.5089999999999993E-6</v>
      </c>
      <c r="U300" s="10">
        <f t="shared" si="352"/>
        <v>43913</v>
      </c>
      <c r="V300" s="881">
        <f t="shared" si="353"/>
        <v>3.1057849999999998E-3</v>
      </c>
    </row>
    <row r="301" spans="1:22" x14ac:dyDescent="0.25">
      <c r="A301" s="335">
        <f>A300+1</f>
        <v>43914</v>
      </c>
      <c r="B301" s="329">
        <f t="shared" si="287"/>
        <v>0</v>
      </c>
      <c r="C301" s="338">
        <f t="shared" si="334"/>
        <v>13160.21</v>
      </c>
      <c r="D301" s="414">
        <f t="shared" si="335"/>
        <v>0.11</v>
      </c>
      <c r="E301" s="49">
        <f t="shared" si="288"/>
        <v>0</v>
      </c>
      <c r="F301" s="35">
        <f t="shared" si="336"/>
        <v>0</v>
      </c>
      <c r="G301" s="414">
        <f t="shared" si="337"/>
        <v>0</v>
      </c>
      <c r="H301" s="49">
        <f t="shared" si="289"/>
        <v>0</v>
      </c>
      <c r="I301" s="35">
        <f t="shared" si="338"/>
        <v>48857.27000000015</v>
      </c>
      <c r="J301" s="414">
        <f t="shared" si="339"/>
        <v>0.42</v>
      </c>
      <c r="K301" s="329">
        <f t="shared" si="290"/>
        <v>0</v>
      </c>
      <c r="L301" s="35">
        <f t="shared" si="340"/>
        <v>0</v>
      </c>
      <c r="M301" s="414">
        <f t="shared" si="341"/>
        <v>0</v>
      </c>
      <c r="N301" s="329">
        <f t="shared" si="291"/>
        <v>0</v>
      </c>
      <c r="O301" s="35">
        <f t="shared" si="342"/>
        <v>24.19999999999709</v>
      </c>
      <c r="P301" s="414">
        <f t="shared" si="343"/>
        <v>0</v>
      </c>
      <c r="Q301" s="329">
        <f t="shared" si="292"/>
        <v>0</v>
      </c>
      <c r="R301" s="35">
        <f t="shared" si="344"/>
        <v>0</v>
      </c>
      <c r="S301" s="414">
        <f t="shared" si="345"/>
        <v>0</v>
      </c>
      <c r="T301" s="880">
        <f>[5]Sheet1!$B715</f>
        <v>8.3240000000000003E-6</v>
      </c>
      <c r="U301" s="10">
        <f t="shared" si="352"/>
        <v>43914</v>
      </c>
      <c r="V301" s="881">
        <f t="shared" si="353"/>
        <v>3.0382600000000001E-3</v>
      </c>
    </row>
    <row r="302" spans="1:22" x14ac:dyDescent="0.25">
      <c r="A302" s="335">
        <f>A301+1</f>
        <v>43915</v>
      </c>
      <c r="B302" s="329">
        <f t="shared" si="287"/>
        <v>0</v>
      </c>
      <c r="C302" s="338">
        <f t="shared" si="334"/>
        <v>13160.21</v>
      </c>
      <c r="D302" s="414">
        <f t="shared" si="335"/>
        <v>0.11</v>
      </c>
      <c r="E302" s="49">
        <f t="shared" si="288"/>
        <v>0</v>
      </c>
      <c r="F302" s="35">
        <f t="shared" si="336"/>
        <v>0</v>
      </c>
      <c r="G302" s="414">
        <f t="shared" si="337"/>
        <v>0</v>
      </c>
      <c r="H302" s="49">
        <f t="shared" si="289"/>
        <v>0</v>
      </c>
      <c r="I302" s="35">
        <f t="shared" si="338"/>
        <v>48857.27000000015</v>
      </c>
      <c r="J302" s="414">
        <f t="shared" si="339"/>
        <v>0.41</v>
      </c>
      <c r="K302" s="329">
        <f t="shared" si="290"/>
        <v>0</v>
      </c>
      <c r="L302" s="35">
        <f t="shared" si="340"/>
        <v>0</v>
      </c>
      <c r="M302" s="414">
        <f t="shared" si="341"/>
        <v>0</v>
      </c>
      <c r="N302" s="329">
        <f t="shared" si="291"/>
        <v>0</v>
      </c>
      <c r="O302" s="35">
        <f t="shared" si="342"/>
        <v>24.19999999999709</v>
      </c>
      <c r="P302" s="414">
        <f t="shared" si="343"/>
        <v>0</v>
      </c>
      <c r="Q302" s="329">
        <f t="shared" si="292"/>
        <v>0</v>
      </c>
      <c r="R302" s="35">
        <f t="shared" si="344"/>
        <v>0</v>
      </c>
      <c r="S302" s="414">
        <f t="shared" si="345"/>
        <v>0</v>
      </c>
      <c r="T302" s="880">
        <f>[5]Sheet1!$B716</f>
        <v>8.1839999999999999E-6</v>
      </c>
      <c r="U302" s="10">
        <f t="shared" si="352"/>
        <v>43915</v>
      </c>
      <c r="V302" s="881">
        <f t="shared" si="353"/>
        <v>2.98716E-3</v>
      </c>
    </row>
    <row r="303" spans="1:22" x14ac:dyDescent="0.25">
      <c r="A303" s="335">
        <f>A302+1</f>
        <v>43916</v>
      </c>
      <c r="B303" s="329">
        <f t="shared" si="287"/>
        <v>0</v>
      </c>
      <c r="C303" s="338">
        <f t="shared" si="334"/>
        <v>13160.21</v>
      </c>
      <c r="D303" s="414">
        <f t="shared" si="335"/>
        <v>0.11</v>
      </c>
      <c r="E303" s="49">
        <f t="shared" si="288"/>
        <v>0</v>
      </c>
      <c r="F303" s="35">
        <f t="shared" si="336"/>
        <v>0</v>
      </c>
      <c r="G303" s="414">
        <f t="shared" si="337"/>
        <v>0</v>
      </c>
      <c r="H303" s="49">
        <f t="shared" si="289"/>
        <v>0</v>
      </c>
      <c r="I303" s="35">
        <f t="shared" si="338"/>
        <v>48857.27000000015</v>
      </c>
      <c r="J303" s="414">
        <f t="shared" si="339"/>
        <v>0.4</v>
      </c>
      <c r="K303" s="329">
        <f t="shared" si="290"/>
        <v>0</v>
      </c>
      <c r="L303" s="35">
        <f t="shared" si="340"/>
        <v>0</v>
      </c>
      <c r="M303" s="414">
        <f t="shared" si="341"/>
        <v>0</v>
      </c>
      <c r="N303" s="329">
        <f t="shared" si="291"/>
        <v>0</v>
      </c>
      <c r="O303" s="35">
        <f t="shared" si="342"/>
        <v>24.19999999999709</v>
      </c>
      <c r="P303" s="414">
        <f t="shared" si="343"/>
        <v>0</v>
      </c>
      <c r="Q303" s="329">
        <f t="shared" si="292"/>
        <v>0</v>
      </c>
      <c r="R303" s="35">
        <f t="shared" si="344"/>
        <v>0</v>
      </c>
      <c r="S303" s="414">
        <f t="shared" si="345"/>
        <v>0</v>
      </c>
      <c r="T303" s="880">
        <f>[5]Sheet1!$B717</f>
        <v>8.191E-6</v>
      </c>
      <c r="U303" s="10">
        <f t="shared" si="352"/>
        <v>43916</v>
      </c>
      <c r="V303" s="881">
        <f t="shared" si="353"/>
        <v>2.989715E-3</v>
      </c>
    </row>
    <row r="304" spans="1:22" x14ac:dyDescent="0.25">
      <c r="A304" s="335">
        <f>A303+1</f>
        <v>43917</v>
      </c>
      <c r="B304" s="329">
        <f t="shared" si="287"/>
        <v>0</v>
      </c>
      <c r="C304" s="338">
        <f t="shared" si="334"/>
        <v>13160.21</v>
      </c>
      <c r="D304" s="414">
        <f t="shared" si="335"/>
        <v>0.11</v>
      </c>
      <c r="E304" s="49">
        <f t="shared" si="288"/>
        <v>0</v>
      </c>
      <c r="F304" s="35">
        <f t="shared" si="336"/>
        <v>0</v>
      </c>
      <c r="G304" s="414">
        <f t="shared" si="337"/>
        <v>0</v>
      </c>
      <c r="H304" s="49">
        <f t="shared" si="289"/>
        <v>0</v>
      </c>
      <c r="I304" s="35">
        <f t="shared" si="338"/>
        <v>48857.27000000015</v>
      </c>
      <c r="J304" s="414">
        <f t="shared" si="339"/>
        <v>0.4</v>
      </c>
      <c r="K304" s="329">
        <f t="shared" si="290"/>
        <v>0</v>
      </c>
      <c r="L304" s="35">
        <f t="shared" si="340"/>
        <v>0</v>
      </c>
      <c r="M304" s="414">
        <f t="shared" si="341"/>
        <v>0</v>
      </c>
      <c r="N304" s="329">
        <f t="shared" si="291"/>
        <v>0</v>
      </c>
      <c r="O304" s="35">
        <f t="shared" si="342"/>
        <v>24.19999999999709</v>
      </c>
      <c r="P304" s="414">
        <f t="shared" si="343"/>
        <v>0</v>
      </c>
      <c r="Q304" s="329">
        <f t="shared" si="292"/>
        <v>0</v>
      </c>
      <c r="R304" s="35">
        <f t="shared" si="344"/>
        <v>0</v>
      </c>
      <c r="S304" s="414">
        <f t="shared" si="345"/>
        <v>0</v>
      </c>
      <c r="T304" s="880">
        <f>[5]Sheet1!$B718</f>
        <v>2.3845E-5</v>
      </c>
      <c r="U304" s="10">
        <f t="shared" si="352"/>
        <v>43917</v>
      </c>
      <c r="V304" s="881">
        <f t="shared" si="353"/>
        <v>2.9011416666666662E-3</v>
      </c>
    </row>
    <row r="305" spans="1:22" x14ac:dyDescent="0.25">
      <c r="A305" s="336">
        <f>A304+3</f>
        <v>43920</v>
      </c>
      <c r="B305" s="329">
        <f t="shared" si="287"/>
        <v>0</v>
      </c>
      <c r="C305" s="338">
        <f t="shared" si="334"/>
        <v>13160.21</v>
      </c>
      <c r="D305" s="414">
        <f t="shared" si="335"/>
        <v>0.31</v>
      </c>
      <c r="E305" s="49">
        <f t="shared" si="288"/>
        <v>0</v>
      </c>
      <c r="F305" s="35">
        <f t="shared" si="336"/>
        <v>0</v>
      </c>
      <c r="G305" s="414">
        <f t="shared" si="337"/>
        <v>0</v>
      </c>
      <c r="H305" s="49">
        <f t="shared" si="289"/>
        <v>0</v>
      </c>
      <c r="I305" s="35">
        <f t="shared" si="338"/>
        <v>48857.27000000015</v>
      </c>
      <c r="J305" s="414">
        <f t="shared" si="339"/>
        <v>1.17</v>
      </c>
      <c r="K305" s="329">
        <f t="shared" si="290"/>
        <v>0</v>
      </c>
      <c r="L305" s="35">
        <f t="shared" si="340"/>
        <v>0</v>
      </c>
      <c r="M305" s="414">
        <f t="shared" si="341"/>
        <v>0</v>
      </c>
      <c r="N305" s="329">
        <f t="shared" si="291"/>
        <v>0</v>
      </c>
      <c r="O305" s="35">
        <f t="shared" si="342"/>
        <v>24.19999999999709</v>
      </c>
      <c r="P305" s="414">
        <f t="shared" si="343"/>
        <v>0</v>
      </c>
      <c r="Q305" s="329">
        <f t="shared" si="292"/>
        <v>0</v>
      </c>
      <c r="R305" s="35">
        <f t="shared" si="344"/>
        <v>0</v>
      </c>
      <c r="S305" s="414">
        <f t="shared" si="345"/>
        <v>0</v>
      </c>
      <c r="T305" s="880">
        <f>[5]Sheet1!$B719</f>
        <v>7.9389999999999997E-6</v>
      </c>
      <c r="U305" s="10">
        <f t="shared" ref="U305" si="354">A305</f>
        <v>43920</v>
      </c>
      <c r="V305" s="881">
        <f t="shared" ref="V305" si="355">T305*365/(A306-A305)</f>
        <v>2.8977349999999998E-3</v>
      </c>
    </row>
    <row r="306" spans="1:22" x14ac:dyDescent="0.25">
      <c r="A306" s="335">
        <f>A305+1</f>
        <v>43921</v>
      </c>
      <c r="B306" s="329">
        <f t="shared" si="287"/>
        <v>0</v>
      </c>
      <c r="C306" s="338">
        <f t="shared" si="334"/>
        <v>13160.21</v>
      </c>
      <c r="D306" s="414">
        <f t="shared" si="335"/>
        <v>0.1</v>
      </c>
      <c r="E306" s="49">
        <f t="shared" si="288"/>
        <v>0</v>
      </c>
      <c r="F306" s="35">
        <f t="shared" si="336"/>
        <v>0</v>
      </c>
      <c r="G306" s="414">
        <f t="shared" si="337"/>
        <v>0</v>
      </c>
      <c r="H306" s="49">
        <f t="shared" si="289"/>
        <v>0</v>
      </c>
      <c r="I306" s="35">
        <f t="shared" si="338"/>
        <v>48857.27000000015</v>
      </c>
      <c r="J306" s="414">
        <f t="shared" si="339"/>
        <v>0.39</v>
      </c>
      <c r="K306" s="329">
        <f t="shared" si="290"/>
        <v>0</v>
      </c>
      <c r="L306" s="35">
        <f t="shared" si="340"/>
        <v>0</v>
      </c>
      <c r="M306" s="414">
        <f t="shared" si="341"/>
        <v>0</v>
      </c>
      <c r="N306" s="329">
        <f t="shared" si="291"/>
        <v>0</v>
      </c>
      <c r="O306" s="35">
        <f t="shared" si="342"/>
        <v>24.19999999999709</v>
      </c>
      <c r="P306" s="414">
        <f t="shared" si="343"/>
        <v>0</v>
      </c>
      <c r="Q306" s="329">
        <f t="shared" si="292"/>
        <v>0</v>
      </c>
      <c r="R306" s="35">
        <f t="shared" si="344"/>
        <v>0</v>
      </c>
      <c r="S306" s="414">
        <f t="shared" si="345"/>
        <v>0</v>
      </c>
      <c r="T306" s="880">
        <f>[5]Sheet1!$B720</f>
        <v>7.4449999999999999E-6</v>
      </c>
      <c r="U306" s="10">
        <f t="shared" ref="U306:U315" si="356">A306</f>
        <v>43921</v>
      </c>
      <c r="V306" s="881">
        <f t="shared" ref="V306:V315" si="357">T306*365/(A307-A306)</f>
        <v>2.7174249999999999E-3</v>
      </c>
    </row>
    <row r="307" spans="1:22" x14ac:dyDescent="0.25">
      <c r="A307" s="335">
        <f>A306+1</f>
        <v>43922</v>
      </c>
      <c r="B307" s="329">
        <f t="shared" si="287"/>
        <v>0</v>
      </c>
      <c r="C307" s="338">
        <f t="shared" si="334"/>
        <v>13160.21</v>
      </c>
      <c r="D307" s="414">
        <f t="shared" si="335"/>
        <v>0.1</v>
      </c>
      <c r="E307" s="49">
        <f t="shared" si="288"/>
        <v>0</v>
      </c>
      <c r="F307" s="35">
        <f t="shared" si="336"/>
        <v>0</v>
      </c>
      <c r="G307" s="414">
        <f t="shared" si="337"/>
        <v>0</v>
      </c>
      <c r="H307" s="49">
        <f t="shared" si="289"/>
        <v>0</v>
      </c>
      <c r="I307" s="35">
        <f t="shared" si="338"/>
        <v>48857.27000000015</v>
      </c>
      <c r="J307" s="414">
        <f t="shared" si="339"/>
        <v>0.36</v>
      </c>
      <c r="K307" s="329">
        <f t="shared" si="290"/>
        <v>0</v>
      </c>
      <c r="L307" s="35">
        <f t="shared" si="340"/>
        <v>0</v>
      </c>
      <c r="M307" s="414">
        <f t="shared" si="341"/>
        <v>0</v>
      </c>
      <c r="N307" s="329">
        <f t="shared" si="291"/>
        <v>0</v>
      </c>
      <c r="O307" s="35">
        <f t="shared" si="342"/>
        <v>24.19999999999709</v>
      </c>
      <c r="P307" s="414">
        <f t="shared" si="343"/>
        <v>0</v>
      </c>
      <c r="Q307" s="329">
        <f t="shared" si="292"/>
        <v>0</v>
      </c>
      <c r="R307" s="35">
        <f t="shared" si="344"/>
        <v>0</v>
      </c>
      <c r="S307" s="414">
        <f t="shared" si="345"/>
        <v>0</v>
      </c>
      <c r="T307" s="880">
        <f>[5]Sheet1!$B721</f>
        <v>7.2389999999999996E-6</v>
      </c>
      <c r="U307" s="10">
        <f t="shared" si="356"/>
        <v>43922</v>
      </c>
      <c r="V307" s="881">
        <f t="shared" si="357"/>
        <v>2.6422349999999997E-3</v>
      </c>
    </row>
    <row r="308" spans="1:22" x14ac:dyDescent="0.25">
      <c r="A308" s="335">
        <f>A307+1</f>
        <v>43923</v>
      </c>
      <c r="B308" s="329">
        <f t="shared" si="287"/>
        <v>85.37</v>
      </c>
      <c r="C308" s="338">
        <f t="shared" si="334"/>
        <v>13245.58</v>
      </c>
      <c r="D308" s="414">
        <f t="shared" si="335"/>
        <v>0.1</v>
      </c>
      <c r="E308" s="49">
        <f t="shared" si="288"/>
        <v>0</v>
      </c>
      <c r="F308" s="35">
        <f t="shared" si="336"/>
        <v>0</v>
      </c>
      <c r="G308" s="414">
        <f t="shared" si="337"/>
        <v>0</v>
      </c>
      <c r="H308" s="49">
        <f t="shared" si="289"/>
        <v>26.14</v>
      </c>
      <c r="I308" s="35">
        <f t="shared" si="338"/>
        <v>48883.410000000149</v>
      </c>
      <c r="J308" s="414">
        <f t="shared" si="339"/>
        <v>0.35</v>
      </c>
      <c r="K308" s="329">
        <f t="shared" si="290"/>
        <v>0</v>
      </c>
      <c r="L308" s="35">
        <f t="shared" si="340"/>
        <v>0</v>
      </c>
      <c r="M308" s="414">
        <f t="shared" si="341"/>
        <v>0</v>
      </c>
      <c r="N308" s="329">
        <f t="shared" si="291"/>
        <v>0</v>
      </c>
      <c r="O308" s="35">
        <f t="shared" si="342"/>
        <v>24.19999999999709</v>
      </c>
      <c r="P308" s="414">
        <f t="shared" si="343"/>
        <v>0</v>
      </c>
      <c r="Q308" s="329">
        <f t="shared" si="292"/>
        <v>0</v>
      </c>
      <c r="R308" s="35">
        <f t="shared" si="344"/>
        <v>0</v>
      </c>
      <c r="S308" s="414">
        <f t="shared" si="345"/>
        <v>0</v>
      </c>
      <c r="T308" s="880">
        <f>[5]Sheet1!$B722</f>
        <v>6.6200000000000001E-6</v>
      </c>
      <c r="U308" s="10">
        <f t="shared" si="356"/>
        <v>43923</v>
      </c>
      <c r="V308" s="881">
        <f t="shared" si="357"/>
        <v>2.4163000000000001E-3</v>
      </c>
    </row>
    <row r="309" spans="1:22" x14ac:dyDescent="0.25">
      <c r="A309" s="335">
        <f>A308+1</f>
        <v>43924</v>
      </c>
      <c r="B309" s="329">
        <f t="shared" si="287"/>
        <v>0</v>
      </c>
      <c r="C309" s="338">
        <f t="shared" si="334"/>
        <v>13245.58</v>
      </c>
      <c r="D309" s="414">
        <f t="shared" si="335"/>
        <v>0.09</v>
      </c>
      <c r="E309" s="49">
        <f t="shared" si="288"/>
        <v>0</v>
      </c>
      <c r="F309" s="35">
        <f t="shared" si="336"/>
        <v>0</v>
      </c>
      <c r="G309" s="414">
        <f t="shared" si="337"/>
        <v>0</v>
      </c>
      <c r="H309" s="49">
        <f t="shared" si="289"/>
        <v>0</v>
      </c>
      <c r="I309" s="35">
        <f t="shared" si="338"/>
        <v>48883.410000000149</v>
      </c>
      <c r="J309" s="414">
        <f t="shared" si="339"/>
        <v>0.32</v>
      </c>
      <c r="K309" s="329">
        <f t="shared" si="290"/>
        <v>0</v>
      </c>
      <c r="L309" s="35">
        <f t="shared" si="340"/>
        <v>0</v>
      </c>
      <c r="M309" s="414">
        <f t="shared" si="341"/>
        <v>0</v>
      </c>
      <c r="N309" s="329">
        <f t="shared" si="291"/>
        <v>0</v>
      </c>
      <c r="O309" s="35">
        <f t="shared" si="342"/>
        <v>24.19999999999709</v>
      </c>
      <c r="P309" s="414">
        <f t="shared" si="343"/>
        <v>0</v>
      </c>
      <c r="Q309" s="329">
        <f t="shared" si="292"/>
        <v>0</v>
      </c>
      <c r="R309" s="35">
        <f t="shared" si="344"/>
        <v>0</v>
      </c>
      <c r="S309" s="414">
        <f t="shared" si="345"/>
        <v>0</v>
      </c>
      <c r="T309" s="880">
        <f>[5]Sheet1!$B723</f>
        <v>2.1094000000000002E-5</v>
      </c>
      <c r="U309" s="10">
        <f t="shared" si="356"/>
        <v>43924</v>
      </c>
      <c r="V309" s="881">
        <f t="shared" si="357"/>
        <v>2.5664366666666668E-3</v>
      </c>
    </row>
    <row r="310" spans="1:22" x14ac:dyDescent="0.25">
      <c r="A310" s="336">
        <f>A309+3</f>
        <v>43927</v>
      </c>
      <c r="B310" s="329">
        <f t="shared" si="287"/>
        <v>0</v>
      </c>
      <c r="C310" s="338">
        <f t="shared" si="334"/>
        <v>13245.58</v>
      </c>
      <c r="D310" s="414">
        <f t="shared" si="335"/>
        <v>0.28000000000000003</v>
      </c>
      <c r="E310" s="49">
        <f t="shared" si="288"/>
        <v>0</v>
      </c>
      <c r="F310" s="35">
        <f t="shared" si="336"/>
        <v>0</v>
      </c>
      <c r="G310" s="414">
        <f t="shared" si="337"/>
        <v>0</v>
      </c>
      <c r="H310" s="49">
        <f t="shared" si="289"/>
        <v>0</v>
      </c>
      <c r="I310" s="35">
        <f t="shared" si="338"/>
        <v>48883.410000000149</v>
      </c>
      <c r="J310" s="414">
        <f t="shared" si="339"/>
        <v>1.03</v>
      </c>
      <c r="K310" s="329">
        <f t="shared" si="290"/>
        <v>0</v>
      </c>
      <c r="L310" s="35">
        <f t="shared" si="340"/>
        <v>0</v>
      </c>
      <c r="M310" s="414">
        <f t="shared" si="341"/>
        <v>0</v>
      </c>
      <c r="N310" s="329">
        <f t="shared" si="291"/>
        <v>0</v>
      </c>
      <c r="O310" s="35">
        <f t="shared" si="342"/>
        <v>24.19999999999709</v>
      </c>
      <c r="P310" s="414">
        <f t="shared" si="343"/>
        <v>0</v>
      </c>
      <c r="Q310" s="329">
        <f t="shared" si="292"/>
        <v>0</v>
      </c>
      <c r="R310" s="35">
        <f t="shared" si="344"/>
        <v>0</v>
      </c>
      <c r="S310" s="414">
        <f t="shared" si="345"/>
        <v>0</v>
      </c>
      <c r="T310" s="880">
        <f>[5]Sheet1!$B724</f>
        <v>6.3040000000000001E-6</v>
      </c>
      <c r="U310" s="10">
        <f t="shared" si="356"/>
        <v>43927</v>
      </c>
      <c r="V310" s="881">
        <f t="shared" si="357"/>
        <v>2.3009599999999999E-3</v>
      </c>
    </row>
    <row r="311" spans="1:22" x14ac:dyDescent="0.25">
      <c r="A311" s="335">
        <f>A310+1</f>
        <v>43928</v>
      </c>
      <c r="B311" s="329">
        <f t="shared" si="287"/>
        <v>0</v>
      </c>
      <c r="C311" s="338">
        <f t="shared" si="334"/>
        <v>13245.58</v>
      </c>
      <c r="D311" s="414">
        <f t="shared" si="335"/>
        <v>0.08</v>
      </c>
      <c r="E311" s="49">
        <f t="shared" si="288"/>
        <v>0</v>
      </c>
      <c r="F311" s="35">
        <f t="shared" si="336"/>
        <v>0</v>
      </c>
      <c r="G311" s="414">
        <f t="shared" si="337"/>
        <v>0</v>
      </c>
      <c r="H311" s="49">
        <f t="shared" si="289"/>
        <v>0</v>
      </c>
      <c r="I311" s="35">
        <f t="shared" si="338"/>
        <v>48883.410000000149</v>
      </c>
      <c r="J311" s="414">
        <f t="shared" si="339"/>
        <v>0.31</v>
      </c>
      <c r="K311" s="329">
        <f t="shared" si="290"/>
        <v>0</v>
      </c>
      <c r="L311" s="35">
        <f t="shared" si="340"/>
        <v>0</v>
      </c>
      <c r="M311" s="414">
        <f t="shared" si="341"/>
        <v>0</v>
      </c>
      <c r="N311" s="329">
        <f t="shared" si="291"/>
        <v>0</v>
      </c>
      <c r="O311" s="35">
        <f t="shared" si="342"/>
        <v>24.19999999999709</v>
      </c>
      <c r="P311" s="414">
        <f t="shared" si="343"/>
        <v>0</v>
      </c>
      <c r="Q311" s="329">
        <f t="shared" si="292"/>
        <v>0</v>
      </c>
      <c r="R311" s="35">
        <f t="shared" si="344"/>
        <v>0</v>
      </c>
      <c r="S311" s="414">
        <f t="shared" si="345"/>
        <v>0</v>
      </c>
      <c r="T311" s="880">
        <f>[5]Sheet1!$B725</f>
        <v>6.3679999999999998E-6</v>
      </c>
      <c r="U311" s="10">
        <f t="shared" si="356"/>
        <v>43928</v>
      </c>
      <c r="V311" s="881">
        <f t="shared" si="357"/>
        <v>2.3243199999999999E-3</v>
      </c>
    </row>
    <row r="312" spans="1:22" x14ac:dyDescent="0.25">
      <c r="A312" s="335">
        <f>A311+1</f>
        <v>43929</v>
      </c>
      <c r="B312" s="329">
        <f t="shared" si="287"/>
        <v>0</v>
      </c>
      <c r="C312" s="338">
        <f t="shared" si="334"/>
        <v>13245.58</v>
      </c>
      <c r="D312" s="414">
        <f t="shared" si="335"/>
        <v>0.08</v>
      </c>
      <c r="E312" s="49">
        <f t="shared" si="288"/>
        <v>0</v>
      </c>
      <c r="F312" s="35">
        <f t="shared" si="336"/>
        <v>0</v>
      </c>
      <c r="G312" s="414">
        <f t="shared" si="337"/>
        <v>0</v>
      </c>
      <c r="H312" s="49">
        <f t="shared" si="289"/>
        <v>0</v>
      </c>
      <c r="I312" s="35">
        <f t="shared" si="338"/>
        <v>48883.410000000149</v>
      </c>
      <c r="J312" s="414">
        <f t="shared" si="339"/>
        <v>0.31</v>
      </c>
      <c r="K312" s="329">
        <f t="shared" si="290"/>
        <v>0</v>
      </c>
      <c r="L312" s="35">
        <f t="shared" si="340"/>
        <v>0</v>
      </c>
      <c r="M312" s="414">
        <f t="shared" si="341"/>
        <v>0</v>
      </c>
      <c r="N312" s="329">
        <f t="shared" si="291"/>
        <v>0</v>
      </c>
      <c r="O312" s="35">
        <f t="shared" si="342"/>
        <v>24.19999999999709</v>
      </c>
      <c r="P312" s="414">
        <f t="shared" si="343"/>
        <v>0</v>
      </c>
      <c r="Q312" s="329">
        <f t="shared" si="292"/>
        <v>0</v>
      </c>
      <c r="R312" s="35">
        <f t="shared" si="344"/>
        <v>0</v>
      </c>
      <c r="S312" s="414">
        <f t="shared" si="345"/>
        <v>0</v>
      </c>
      <c r="T312" s="880">
        <f>[5]Sheet1!$B726</f>
        <v>6.4849999999999997E-6</v>
      </c>
      <c r="U312" s="10">
        <f t="shared" si="356"/>
        <v>43929</v>
      </c>
      <c r="V312" s="881">
        <f t="shared" si="357"/>
        <v>2.367025E-3</v>
      </c>
    </row>
    <row r="313" spans="1:22" x14ac:dyDescent="0.25">
      <c r="A313" s="335">
        <f>A312+1</f>
        <v>43930</v>
      </c>
      <c r="B313" s="329">
        <f t="shared" si="287"/>
        <v>188831.92</v>
      </c>
      <c r="C313" s="338">
        <f t="shared" si="334"/>
        <v>202077.5</v>
      </c>
      <c r="D313" s="414">
        <f t="shared" si="335"/>
        <v>0.09</v>
      </c>
      <c r="E313" s="49">
        <f t="shared" si="288"/>
        <v>0</v>
      </c>
      <c r="F313" s="35">
        <f t="shared" si="336"/>
        <v>0</v>
      </c>
      <c r="G313" s="414">
        <f t="shared" si="337"/>
        <v>0</v>
      </c>
      <c r="H313" s="49">
        <f t="shared" si="289"/>
        <v>0</v>
      </c>
      <c r="I313" s="35">
        <f t="shared" si="338"/>
        <v>48883.410000000149</v>
      </c>
      <c r="J313" s="414">
        <f t="shared" si="339"/>
        <v>0.32</v>
      </c>
      <c r="K313" s="329">
        <f t="shared" si="290"/>
        <v>0</v>
      </c>
      <c r="L313" s="35">
        <f t="shared" si="340"/>
        <v>0</v>
      </c>
      <c r="M313" s="414">
        <f t="shared" si="341"/>
        <v>0</v>
      </c>
      <c r="N313" s="329">
        <f t="shared" si="291"/>
        <v>0</v>
      </c>
      <c r="O313" s="35">
        <f t="shared" si="342"/>
        <v>24.19999999999709</v>
      </c>
      <c r="P313" s="414">
        <f t="shared" si="343"/>
        <v>0</v>
      </c>
      <c r="Q313" s="329">
        <f t="shared" si="292"/>
        <v>0</v>
      </c>
      <c r="R313" s="35">
        <f t="shared" si="344"/>
        <v>0</v>
      </c>
      <c r="S313" s="414">
        <f t="shared" si="345"/>
        <v>0</v>
      </c>
      <c r="T313" s="880">
        <f>[5]Sheet1!$B727</f>
        <v>2.6662999999999999E-5</v>
      </c>
      <c r="U313" s="10">
        <f t="shared" si="356"/>
        <v>43930</v>
      </c>
      <c r="V313" s="881">
        <f t="shared" si="357"/>
        <v>2.4329987500000001E-3</v>
      </c>
    </row>
    <row r="314" spans="1:22" x14ac:dyDescent="0.25">
      <c r="A314" s="336">
        <f>A313+4</f>
        <v>43934</v>
      </c>
      <c r="B314" s="329">
        <f t="shared" si="287"/>
        <v>0</v>
      </c>
      <c r="C314" s="338">
        <f t="shared" si="334"/>
        <v>202077.5</v>
      </c>
      <c r="D314" s="414">
        <f t="shared" si="335"/>
        <v>5.39</v>
      </c>
      <c r="E314" s="49">
        <f t="shared" si="288"/>
        <v>0</v>
      </c>
      <c r="F314" s="35">
        <f t="shared" si="336"/>
        <v>0</v>
      </c>
      <c r="G314" s="414">
        <f t="shared" si="337"/>
        <v>0</v>
      </c>
      <c r="H314" s="49">
        <f t="shared" si="289"/>
        <v>0</v>
      </c>
      <c r="I314" s="35">
        <f t="shared" si="338"/>
        <v>48883.410000000149</v>
      </c>
      <c r="J314" s="414">
        <f t="shared" si="339"/>
        <v>1.3</v>
      </c>
      <c r="K314" s="329">
        <f t="shared" si="290"/>
        <v>0</v>
      </c>
      <c r="L314" s="35">
        <f t="shared" si="340"/>
        <v>0</v>
      </c>
      <c r="M314" s="414">
        <f t="shared" si="341"/>
        <v>0</v>
      </c>
      <c r="N314" s="329">
        <f t="shared" si="291"/>
        <v>0</v>
      </c>
      <c r="O314" s="35">
        <f t="shared" si="342"/>
        <v>24.19999999999709</v>
      </c>
      <c r="P314" s="414">
        <f t="shared" si="343"/>
        <v>0</v>
      </c>
      <c r="Q314" s="329">
        <f t="shared" si="292"/>
        <v>0</v>
      </c>
      <c r="R314" s="35">
        <f t="shared" si="344"/>
        <v>0</v>
      </c>
      <c r="S314" s="414">
        <f t="shared" si="345"/>
        <v>0</v>
      </c>
      <c r="T314" s="880">
        <f>[5]Sheet1!$B728</f>
        <v>6.1179999999999997E-6</v>
      </c>
      <c r="U314" s="10">
        <f t="shared" si="356"/>
        <v>43934</v>
      </c>
      <c r="V314" s="881">
        <f t="shared" si="357"/>
        <v>2.2330699999999998E-3</v>
      </c>
    </row>
    <row r="315" spans="1:22" x14ac:dyDescent="0.25">
      <c r="A315" s="335">
        <f>A314+1</f>
        <v>43935</v>
      </c>
      <c r="B315" s="329">
        <f t="shared" si="287"/>
        <v>0</v>
      </c>
      <c r="C315" s="338">
        <f t="shared" si="334"/>
        <v>202077.5</v>
      </c>
      <c r="D315" s="414">
        <f t="shared" si="335"/>
        <v>1.24</v>
      </c>
      <c r="E315" s="49">
        <f t="shared" si="288"/>
        <v>0</v>
      </c>
      <c r="F315" s="35">
        <f t="shared" si="336"/>
        <v>0</v>
      </c>
      <c r="G315" s="414">
        <f t="shared" si="337"/>
        <v>0</v>
      </c>
      <c r="H315" s="49">
        <f t="shared" si="289"/>
        <v>0</v>
      </c>
      <c r="I315" s="35">
        <f t="shared" si="338"/>
        <v>48883.410000000149</v>
      </c>
      <c r="J315" s="414">
        <f t="shared" si="339"/>
        <v>0.3</v>
      </c>
      <c r="K315" s="329">
        <f t="shared" si="290"/>
        <v>0</v>
      </c>
      <c r="L315" s="35">
        <f t="shared" si="340"/>
        <v>0</v>
      </c>
      <c r="M315" s="414">
        <f t="shared" si="341"/>
        <v>0</v>
      </c>
      <c r="N315" s="329">
        <f t="shared" si="291"/>
        <v>0</v>
      </c>
      <c r="O315" s="35">
        <f t="shared" si="342"/>
        <v>24.19999999999709</v>
      </c>
      <c r="P315" s="414">
        <f t="shared" si="343"/>
        <v>0</v>
      </c>
      <c r="Q315" s="329">
        <f t="shared" si="292"/>
        <v>0</v>
      </c>
      <c r="R315" s="35">
        <f t="shared" si="344"/>
        <v>0</v>
      </c>
      <c r="S315" s="414">
        <f t="shared" si="345"/>
        <v>0</v>
      </c>
      <c r="T315" s="880">
        <f>[5]Sheet1!$B729</f>
        <v>6.7179999999999999E-6</v>
      </c>
      <c r="U315" s="10">
        <f t="shared" si="356"/>
        <v>43935</v>
      </c>
      <c r="V315" s="881">
        <f t="shared" si="357"/>
        <v>2.4520699999999998E-3</v>
      </c>
    </row>
    <row r="316" spans="1:22" x14ac:dyDescent="0.25">
      <c r="A316" s="335">
        <f>A315+1</f>
        <v>43936</v>
      </c>
      <c r="B316" s="329">
        <f t="shared" si="287"/>
        <v>0</v>
      </c>
      <c r="C316" s="338">
        <f t="shared" ref="C316:C339" si="358">B316+C315</f>
        <v>202077.5</v>
      </c>
      <c r="D316" s="414">
        <f t="shared" ref="D316:D339" si="359">ROUND(C315*$T315,2)</f>
        <v>1.36</v>
      </c>
      <c r="E316" s="49">
        <f t="shared" si="288"/>
        <v>0</v>
      </c>
      <c r="F316" s="35">
        <f t="shared" ref="F316:F339" si="360">E316+F315</f>
        <v>0</v>
      </c>
      <c r="G316" s="414">
        <f t="shared" ref="G316:G339" si="361">ROUND(F315*$T315,2)</f>
        <v>0</v>
      </c>
      <c r="H316" s="49">
        <f t="shared" si="289"/>
        <v>0</v>
      </c>
      <c r="I316" s="35">
        <f t="shared" ref="I316:I339" si="362">H316+I315</f>
        <v>48883.410000000149</v>
      </c>
      <c r="J316" s="414">
        <f t="shared" ref="J316:J339" si="363">ROUND(I315*$T315,2)</f>
        <v>0.33</v>
      </c>
      <c r="K316" s="329">
        <f t="shared" si="290"/>
        <v>0</v>
      </c>
      <c r="L316" s="35">
        <f t="shared" ref="L316:L339" si="364">K316+L315</f>
        <v>0</v>
      </c>
      <c r="M316" s="414">
        <f t="shared" ref="M316:M339" si="365">ROUND(L315*$T315,2)</f>
        <v>0</v>
      </c>
      <c r="N316" s="329">
        <f t="shared" si="291"/>
        <v>0</v>
      </c>
      <c r="O316" s="35">
        <f t="shared" ref="O316:O339" si="366">N316+O315</f>
        <v>24.19999999999709</v>
      </c>
      <c r="P316" s="414">
        <f t="shared" ref="P316:P339" si="367">ROUND(O315*$T315,2)</f>
        <v>0</v>
      </c>
      <c r="Q316" s="329">
        <f t="shared" si="292"/>
        <v>0</v>
      </c>
      <c r="R316" s="35">
        <f t="shared" ref="R316:R339" si="368">Q316+R315</f>
        <v>0</v>
      </c>
      <c r="S316" s="414">
        <f t="shared" ref="S316:S339" si="369">ROUND(R315*$T315,2)</f>
        <v>0</v>
      </c>
      <c r="T316" s="880">
        <f>[5]Sheet1!$B730</f>
        <v>6.8159999999999996E-6</v>
      </c>
      <c r="U316" s="10">
        <f t="shared" ref="U316:U334" si="370">A316</f>
        <v>43936</v>
      </c>
      <c r="V316" s="881">
        <f t="shared" ref="V316:V334" si="371">T316*365/(A317-A316)</f>
        <v>2.4878399999999998E-3</v>
      </c>
    </row>
    <row r="317" spans="1:22" x14ac:dyDescent="0.25">
      <c r="A317" s="335">
        <f>A316+1</f>
        <v>43937</v>
      </c>
      <c r="B317" s="329">
        <f t="shared" si="287"/>
        <v>0</v>
      </c>
      <c r="C317" s="338">
        <f t="shared" si="358"/>
        <v>202077.5</v>
      </c>
      <c r="D317" s="414">
        <f t="shared" si="359"/>
        <v>1.38</v>
      </c>
      <c r="E317" s="49">
        <f t="shared" si="288"/>
        <v>0</v>
      </c>
      <c r="F317" s="35">
        <f t="shared" si="360"/>
        <v>0</v>
      </c>
      <c r="G317" s="414">
        <f t="shared" si="361"/>
        <v>0</v>
      </c>
      <c r="H317" s="49">
        <f t="shared" si="289"/>
        <v>0</v>
      </c>
      <c r="I317" s="35">
        <f t="shared" si="362"/>
        <v>48883.410000000149</v>
      </c>
      <c r="J317" s="414">
        <f t="shared" si="363"/>
        <v>0.33</v>
      </c>
      <c r="K317" s="329">
        <f t="shared" si="290"/>
        <v>0</v>
      </c>
      <c r="L317" s="35">
        <f t="shared" si="364"/>
        <v>0</v>
      </c>
      <c r="M317" s="414">
        <f t="shared" si="365"/>
        <v>0</v>
      </c>
      <c r="N317" s="329">
        <f t="shared" si="291"/>
        <v>0</v>
      </c>
      <c r="O317" s="35">
        <f t="shared" si="366"/>
        <v>24.19999999999709</v>
      </c>
      <c r="P317" s="414">
        <f t="shared" si="367"/>
        <v>0</v>
      </c>
      <c r="Q317" s="329">
        <f t="shared" si="292"/>
        <v>0</v>
      </c>
      <c r="R317" s="35">
        <f t="shared" si="368"/>
        <v>0</v>
      </c>
      <c r="S317" s="414">
        <f t="shared" si="369"/>
        <v>0</v>
      </c>
      <c r="T317" s="880">
        <f>[5]Sheet1!$B731</f>
        <v>5.8039999999999998E-6</v>
      </c>
      <c r="U317" s="10">
        <f t="shared" si="370"/>
        <v>43937</v>
      </c>
      <c r="V317" s="881">
        <f t="shared" si="371"/>
        <v>2.11846E-3</v>
      </c>
    </row>
    <row r="318" spans="1:22" x14ac:dyDescent="0.25">
      <c r="A318" s="335">
        <f>A317+1</f>
        <v>43938</v>
      </c>
      <c r="B318" s="329">
        <f t="shared" si="287"/>
        <v>0</v>
      </c>
      <c r="C318" s="338">
        <f t="shared" si="358"/>
        <v>202077.5</v>
      </c>
      <c r="D318" s="414">
        <f t="shared" si="359"/>
        <v>1.17</v>
      </c>
      <c r="E318" s="49">
        <f t="shared" si="288"/>
        <v>0</v>
      </c>
      <c r="F318" s="35">
        <f t="shared" si="360"/>
        <v>0</v>
      </c>
      <c r="G318" s="414">
        <f t="shared" si="361"/>
        <v>0</v>
      </c>
      <c r="H318" s="49">
        <f t="shared" si="289"/>
        <v>0</v>
      </c>
      <c r="I318" s="35">
        <f t="shared" si="362"/>
        <v>48883.410000000149</v>
      </c>
      <c r="J318" s="414">
        <f t="shared" si="363"/>
        <v>0.28000000000000003</v>
      </c>
      <c r="K318" s="329">
        <f t="shared" si="290"/>
        <v>0</v>
      </c>
      <c r="L318" s="35">
        <f t="shared" si="364"/>
        <v>0</v>
      </c>
      <c r="M318" s="414">
        <f t="shared" si="365"/>
        <v>0</v>
      </c>
      <c r="N318" s="329">
        <f t="shared" si="291"/>
        <v>0</v>
      </c>
      <c r="O318" s="35">
        <f t="shared" si="366"/>
        <v>24.19999999999709</v>
      </c>
      <c r="P318" s="414">
        <f t="shared" si="367"/>
        <v>0</v>
      </c>
      <c r="Q318" s="329">
        <f t="shared" si="292"/>
        <v>0</v>
      </c>
      <c r="R318" s="35">
        <f t="shared" si="368"/>
        <v>0</v>
      </c>
      <c r="S318" s="414">
        <f t="shared" si="369"/>
        <v>0</v>
      </c>
      <c r="T318" s="880">
        <f>[5]Sheet1!$B732</f>
        <v>1.7944E-5</v>
      </c>
      <c r="U318" s="10">
        <f t="shared" si="370"/>
        <v>43938</v>
      </c>
      <c r="V318" s="881">
        <f t="shared" si="371"/>
        <v>2.1831866666666669E-3</v>
      </c>
    </row>
    <row r="319" spans="1:22" x14ac:dyDescent="0.25">
      <c r="A319" s="336">
        <f>A318+3</f>
        <v>43941</v>
      </c>
      <c r="B319" s="329">
        <f t="shared" si="287"/>
        <v>0</v>
      </c>
      <c r="C319" s="338">
        <f t="shared" si="358"/>
        <v>202077.5</v>
      </c>
      <c r="D319" s="414">
        <f t="shared" si="359"/>
        <v>3.63</v>
      </c>
      <c r="E319" s="49">
        <f t="shared" si="288"/>
        <v>0</v>
      </c>
      <c r="F319" s="35">
        <f t="shared" si="360"/>
        <v>0</v>
      </c>
      <c r="G319" s="414">
        <f t="shared" si="361"/>
        <v>0</v>
      </c>
      <c r="H319" s="49">
        <f t="shared" si="289"/>
        <v>-208.54</v>
      </c>
      <c r="I319" s="35">
        <f t="shared" si="362"/>
        <v>48674.870000000148</v>
      </c>
      <c r="J319" s="414">
        <f t="shared" si="363"/>
        <v>0.88</v>
      </c>
      <c r="K319" s="329">
        <f t="shared" si="290"/>
        <v>0</v>
      </c>
      <c r="L319" s="35">
        <f t="shared" si="364"/>
        <v>0</v>
      </c>
      <c r="M319" s="414">
        <f t="shared" si="365"/>
        <v>0</v>
      </c>
      <c r="N319" s="329">
        <f t="shared" si="291"/>
        <v>0</v>
      </c>
      <c r="O319" s="35">
        <f t="shared" si="366"/>
        <v>24.19999999999709</v>
      </c>
      <c r="P319" s="414">
        <f t="shared" si="367"/>
        <v>0</v>
      </c>
      <c r="Q319" s="329">
        <f t="shared" si="292"/>
        <v>0</v>
      </c>
      <c r="R319" s="35">
        <f t="shared" si="368"/>
        <v>0</v>
      </c>
      <c r="S319" s="414">
        <f t="shared" si="369"/>
        <v>0</v>
      </c>
      <c r="T319" s="880">
        <f>[5]Sheet1!$B733</f>
        <v>5.9270000000000002E-6</v>
      </c>
      <c r="U319" s="10">
        <f t="shared" si="370"/>
        <v>43941</v>
      </c>
      <c r="V319" s="881">
        <f t="shared" si="371"/>
        <v>2.1633550000000001E-3</v>
      </c>
    </row>
    <row r="320" spans="1:22" x14ac:dyDescent="0.25">
      <c r="A320" s="335">
        <f>A319+1</f>
        <v>43942</v>
      </c>
      <c r="B320" s="329">
        <f t="shared" si="287"/>
        <v>0</v>
      </c>
      <c r="C320" s="338">
        <f t="shared" si="358"/>
        <v>202077.5</v>
      </c>
      <c r="D320" s="414">
        <f t="shared" si="359"/>
        <v>1.2</v>
      </c>
      <c r="E320" s="49">
        <f t="shared" si="288"/>
        <v>0</v>
      </c>
      <c r="F320" s="35">
        <f t="shared" si="360"/>
        <v>0</v>
      </c>
      <c r="G320" s="414">
        <f t="shared" si="361"/>
        <v>0</v>
      </c>
      <c r="H320" s="49">
        <f t="shared" si="289"/>
        <v>0</v>
      </c>
      <c r="I320" s="35">
        <f t="shared" si="362"/>
        <v>48674.870000000148</v>
      </c>
      <c r="J320" s="414">
        <f t="shared" si="363"/>
        <v>0.28999999999999998</v>
      </c>
      <c r="K320" s="329">
        <f t="shared" si="290"/>
        <v>0</v>
      </c>
      <c r="L320" s="35">
        <f t="shared" si="364"/>
        <v>0</v>
      </c>
      <c r="M320" s="414">
        <f t="shared" si="365"/>
        <v>0</v>
      </c>
      <c r="N320" s="329">
        <f t="shared" si="291"/>
        <v>0</v>
      </c>
      <c r="O320" s="35">
        <f t="shared" si="366"/>
        <v>24.19999999999709</v>
      </c>
      <c r="P320" s="414">
        <f t="shared" si="367"/>
        <v>0</v>
      </c>
      <c r="Q320" s="329">
        <f t="shared" si="292"/>
        <v>0</v>
      </c>
      <c r="R320" s="35">
        <f t="shared" si="368"/>
        <v>0</v>
      </c>
      <c r="S320" s="414">
        <f t="shared" si="369"/>
        <v>0</v>
      </c>
      <c r="T320" s="880">
        <f>[5]Sheet1!$B734</f>
        <v>5.2669999999999997E-6</v>
      </c>
      <c r="U320" s="10">
        <f t="shared" si="370"/>
        <v>43942</v>
      </c>
      <c r="V320" s="881">
        <f t="shared" si="371"/>
        <v>1.922455E-3</v>
      </c>
    </row>
    <row r="321" spans="1:22" x14ac:dyDescent="0.25">
      <c r="A321" s="335">
        <f>A320+1</f>
        <v>43943</v>
      </c>
      <c r="B321" s="329">
        <f t="shared" si="287"/>
        <v>-79806.78</v>
      </c>
      <c r="C321" s="338">
        <f t="shared" si="358"/>
        <v>122270.72</v>
      </c>
      <c r="D321" s="414">
        <f t="shared" si="359"/>
        <v>1.06</v>
      </c>
      <c r="E321" s="49">
        <f t="shared" si="288"/>
        <v>0</v>
      </c>
      <c r="F321" s="35">
        <f t="shared" si="360"/>
        <v>0</v>
      </c>
      <c r="G321" s="414">
        <f t="shared" si="361"/>
        <v>0</v>
      </c>
      <c r="H321" s="49">
        <f t="shared" si="289"/>
        <v>0</v>
      </c>
      <c r="I321" s="35">
        <f t="shared" si="362"/>
        <v>48674.870000000148</v>
      </c>
      <c r="J321" s="414">
        <f t="shared" si="363"/>
        <v>0.26</v>
      </c>
      <c r="K321" s="329">
        <f t="shared" si="290"/>
        <v>0</v>
      </c>
      <c r="L321" s="35">
        <f t="shared" si="364"/>
        <v>0</v>
      </c>
      <c r="M321" s="414">
        <f t="shared" si="365"/>
        <v>0</v>
      </c>
      <c r="N321" s="329">
        <f t="shared" si="291"/>
        <v>0</v>
      </c>
      <c r="O321" s="35">
        <f t="shared" si="366"/>
        <v>24.19999999999709</v>
      </c>
      <c r="P321" s="414">
        <f t="shared" si="367"/>
        <v>0</v>
      </c>
      <c r="Q321" s="329">
        <f t="shared" si="292"/>
        <v>0</v>
      </c>
      <c r="R321" s="35">
        <f t="shared" si="368"/>
        <v>0</v>
      </c>
      <c r="S321" s="414">
        <f t="shared" si="369"/>
        <v>0</v>
      </c>
      <c r="T321" s="880">
        <f>[5]Sheet1!$B735</f>
        <v>4.9420000000000003E-6</v>
      </c>
      <c r="U321" s="10">
        <f t="shared" si="370"/>
        <v>43943</v>
      </c>
      <c r="V321" s="881">
        <f t="shared" si="371"/>
        <v>1.8038300000000002E-3</v>
      </c>
    </row>
    <row r="322" spans="1:22" x14ac:dyDescent="0.25">
      <c r="A322" s="335">
        <f>A321+1</f>
        <v>43944</v>
      </c>
      <c r="B322" s="329">
        <f t="shared" si="287"/>
        <v>0</v>
      </c>
      <c r="C322" s="338">
        <f t="shared" si="358"/>
        <v>122270.72</v>
      </c>
      <c r="D322" s="414">
        <f t="shared" si="359"/>
        <v>0.6</v>
      </c>
      <c r="E322" s="49">
        <f t="shared" si="288"/>
        <v>0</v>
      </c>
      <c r="F322" s="35">
        <f t="shared" si="360"/>
        <v>0</v>
      </c>
      <c r="G322" s="414">
        <f t="shared" si="361"/>
        <v>0</v>
      </c>
      <c r="H322" s="49">
        <f t="shared" si="289"/>
        <v>0</v>
      </c>
      <c r="I322" s="35">
        <f t="shared" si="362"/>
        <v>48674.870000000148</v>
      </c>
      <c r="J322" s="414">
        <f t="shared" si="363"/>
        <v>0.24</v>
      </c>
      <c r="K322" s="329">
        <f t="shared" si="290"/>
        <v>0</v>
      </c>
      <c r="L322" s="35">
        <f t="shared" si="364"/>
        <v>0</v>
      </c>
      <c r="M322" s="414">
        <f t="shared" si="365"/>
        <v>0</v>
      </c>
      <c r="N322" s="329">
        <f t="shared" si="291"/>
        <v>0</v>
      </c>
      <c r="O322" s="35">
        <f t="shared" si="366"/>
        <v>24.19999999999709</v>
      </c>
      <c r="P322" s="414">
        <f t="shared" si="367"/>
        <v>0</v>
      </c>
      <c r="Q322" s="329">
        <f t="shared" si="292"/>
        <v>0</v>
      </c>
      <c r="R322" s="35">
        <f t="shared" si="368"/>
        <v>0</v>
      </c>
      <c r="S322" s="414">
        <f t="shared" si="369"/>
        <v>0</v>
      </c>
      <c r="T322" s="880">
        <f>[5]Sheet1!$B736</f>
        <v>5.0429999999999998E-6</v>
      </c>
      <c r="U322" s="10">
        <f t="shared" si="370"/>
        <v>43944</v>
      </c>
      <c r="V322" s="881">
        <f t="shared" si="371"/>
        <v>1.8406949999999998E-3</v>
      </c>
    </row>
    <row r="323" spans="1:22" x14ac:dyDescent="0.25">
      <c r="A323" s="335">
        <f>A322+1</f>
        <v>43945</v>
      </c>
      <c r="B323" s="329">
        <f t="shared" si="287"/>
        <v>-1926.6</v>
      </c>
      <c r="C323" s="338">
        <f t="shared" si="358"/>
        <v>120344.12</v>
      </c>
      <c r="D323" s="414">
        <f t="shared" si="359"/>
        <v>0.62</v>
      </c>
      <c r="E323" s="49">
        <f t="shared" si="288"/>
        <v>0</v>
      </c>
      <c r="F323" s="35">
        <f t="shared" si="360"/>
        <v>0</v>
      </c>
      <c r="G323" s="414">
        <f t="shared" si="361"/>
        <v>0</v>
      </c>
      <c r="H323" s="49">
        <f t="shared" si="289"/>
        <v>-8000</v>
      </c>
      <c r="I323" s="35">
        <f t="shared" si="362"/>
        <v>40674.870000000148</v>
      </c>
      <c r="J323" s="414">
        <f t="shared" si="363"/>
        <v>0.25</v>
      </c>
      <c r="K323" s="329">
        <f t="shared" si="290"/>
        <v>0</v>
      </c>
      <c r="L323" s="35">
        <f t="shared" si="364"/>
        <v>0</v>
      </c>
      <c r="M323" s="414">
        <f t="shared" si="365"/>
        <v>0</v>
      </c>
      <c r="N323" s="329">
        <f t="shared" si="291"/>
        <v>0</v>
      </c>
      <c r="O323" s="35">
        <f t="shared" si="366"/>
        <v>24.19999999999709</v>
      </c>
      <c r="P323" s="414">
        <f t="shared" si="367"/>
        <v>0</v>
      </c>
      <c r="Q323" s="329">
        <f t="shared" si="292"/>
        <v>0</v>
      </c>
      <c r="R323" s="35">
        <f t="shared" si="368"/>
        <v>0</v>
      </c>
      <c r="S323" s="414">
        <f t="shared" si="369"/>
        <v>0</v>
      </c>
      <c r="T323" s="880">
        <f>[5]Sheet1!$B737</f>
        <v>1.537E-5</v>
      </c>
      <c r="U323" s="10">
        <f t="shared" si="370"/>
        <v>43945</v>
      </c>
      <c r="V323" s="881">
        <f t="shared" si="371"/>
        <v>1.8700166666666667E-3</v>
      </c>
    </row>
    <row r="324" spans="1:22" x14ac:dyDescent="0.25">
      <c r="A324" s="336">
        <f>A323+3</f>
        <v>43948</v>
      </c>
      <c r="B324" s="329">
        <f t="shared" si="287"/>
        <v>0</v>
      </c>
      <c r="C324" s="338">
        <f t="shared" si="358"/>
        <v>120344.12</v>
      </c>
      <c r="D324" s="414">
        <f t="shared" si="359"/>
        <v>1.85</v>
      </c>
      <c r="E324" s="49">
        <f t="shared" si="288"/>
        <v>0</v>
      </c>
      <c r="F324" s="35">
        <f t="shared" si="360"/>
        <v>0</v>
      </c>
      <c r="G324" s="414">
        <f t="shared" si="361"/>
        <v>0</v>
      </c>
      <c r="H324" s="49">
        <f t="shared" si="289"/>
        <v>0</v>
      </c>
      <c r="I324" s="35">
        <f t="shared" si="362"/>
        <v>40674.870000000148</v>
      </c>
      <c r="J324" s="414">
        <f t="shared" si="363"/>
        <v>0.63</v>
      </c>
      <c r="K324" s="329">
        <f t="shared" si="290"/>
        <v>0</v>
      </c>
      <c r="L324" s="35">
        <f t="shared" si="364"/>
        <v>0</v>
      </c>
      <c r="M324" s="414">
        <f t="shared" si="365"/>
        <v>0</v>
      </c>
      <c r="N324" s="329">
        <f t="shared" si="291"/>
        <v>0</v>
      </c>
      <c r="O324" s="35">
        <f t="shared" si="366"/>
        <v>24.19999999999709</v>
      </c>
      <c r="P324" s="414">
        <f t="shared" si="367"/>
        <v>0</v>
      </c>
      <c r="Q324" s="329">
        <f t="shared" si="292"/>
        <v>0</v>
      </c>
      <c r="R324" s="35">
        <f t="shared" si="368"/>
        <v>0</v>
      </c>
      <c r="S324" s="414">
        <f t="shared" si="369"/>
        <v>0</v>
      </c>
      <c r="T324" s="880">
        <f>[5]Sheet1!$B738</f>
        <v>4.7500000000000003E-6</v>
      </c>
      <c r="U324" s="10">
        <f t="shared" si="370"/>
        <v>43948</v>
      </c>
      <c r="V324" s="881">
        <f t="shared" si="371"/>
        <v>1.73375E-3</v>
      </c>
    </row>
    <row r="325" spans="1:22" x14ac:dyDescent="0.25">
      <c r="A325" s="335">
        <f>A324+1</f>
        <v>43949</v>
      </c>
      <c r="B325" s="329">
        <f t="shared" si="287"/>
        <v>0</v>
      </c>
      <c r="C325" s="338">
        <f t="shared" si="358"/>
        <v>120344.12</v>
      </c>
      <c r="D325" s="414">
        <f t="shared" si="359"/>
        <v>0.56999999999999995</v>
      </c>
      <c r="E325" s="49">
        <f t="shared" si="288"/>
        <v>0</v>
      </c>
      <c r="F325" s="35">
        <f t="shared" si="360"/>
        <v>0</v>
      </c>
      <c r="G325" s="414">
        <f t="shared" si="361"/>
        <v>0</v>
      </c>
      <c r="H325" s="49">
        <f t="shared" si="289"/>
        <v>0</v>
      </c>
      <c r="I325" s="35">
        <f t="shared" si="362"/>
        <v>40674.870000000148</v>
      </c>
      <c r="J325" s="414">
        <f t="shared" si="363"/>
        <v>0.19</v>
      </c>
      <c r="K325" s="329">
        <f t="shared" si="290"/>
        <v>0</v>
      </c>
      <c r="L325" s="35">
        <f t="shared" si="364"/>
        <v>0</v>
      </c>
      <c r="M325" s="414">
        <f t="shared" si="365"/>
        <v>0</v>
      </c>
      <c r="N325" s="329">
        <f t="shared" si="291"/>
        <v>0</v>
      </c>
      <c r="O325" s="35">
        <f t="shared" si="366"/>
        <v>24.19999999999709</v>
      </c>
      <c r="P325" s="414">
        <f t="shared" si="367"/>
        <v>0</v>
      </c>
      <c r="Q325" s="329">
        <f t="shared" si="292"/>
        <v>0</v>
      </c>
      <c r="R325" s="35">
        <f t="shared" si="368"/>
        <v>0</v>
      </c>
      <c r="S325" s="414">
        <f t="shared" si="369"/>
        <v>0</v>
      </c>
      <c r="T325" s="880">
        <f>[5]Sheet1!$B739</f>
        <v>4.8319999999999996E-6</v>
      </c>
      <c r="U325" s="10">
        <f t="shared" si="370"/>
        <v>43949</v>
      </c>
      <c r="V325" s="881">
        <f t="shared" si="371"/>
        <v>1.7636799999999999E-3</v>
      </c>
    </row>
    <row r="326" spans="1:22" x14ac:dyDescent="0.25">
      <c r="A326" s="335">
        <f>A325+1</f>
        <v>43950</v>
      </c>
      <c r="B326" s="329">
        <f t="shared" si="287"/>
        <v>0</v>
      </c>
      <c r="C326" s="338">
        <f t="shared" si="358"/>
        <v>120344.12</v>
      </c>
      <c r="D326" s="414">
        <f t="shared" si="359"/>
        <v>0.57999999999999996</v>
      </c>
      <c r="E326" s="49">
        <f t="shared" si="288"/>
        <v>0</v>
      </c>
      <c r="F326" s="35">
        <f t="shared" si="360"/>
        <v>0</v>
      </c>
      <c r="G326" s="414">
        <f t="shared" si="361"/>
        <v>0</v>
      </c>
      <c r="H326" s="49">
        <f t="shared" si="289"/>
        <v>0</v>
      </c>
      <c r="I326" s="35">
        <f t="shared" si="362"/>
        <v>40674.870000000148</v>
      </c>
      <c r="J326" s="414">
        <f t="shared" si="363"/>
        <v>0.2</v>
      </c>
      <c r="K326" s="329">
        <f t="shared" si="290"/>
        <v>0</v>
      </c>
      <c r="L326" s="35">
        <f t="shared" si="364"/>
        <v>0</v>
      </c>
      <c r="M326" s="414">
        <f t="shared" si="365"/>
        <v>0</v>
      </c>
      <c r="N326" s="329">
        <f t="shared" si="291"/>
        <v>0</v>
      </c>
      <c r="O326" s="35">
        <f t="shared" si="366"/>
        <v>24.19999999999709</v>
      </c>
      <c r="P326" s="414">
        <f t="shared" si="367"/>
        <v>0</v>
      </c>
      <c r="Q326" s="329">
        <f t="shared" si="292"/>
        <v>0</v>
      </c>
      <c r="R326" s="35">
        <f t="shared" si="368"/>
        <v>0</v>
      </c>
      <c r="S326" s="414">
        <f t="shared" si="369"/>
        <v>0</v>
      </c>
      <c r="T326" s="880">
        <f>[5]Sheet1!$B740</f>
        <v>4.3769999999999998E-6</v>
      </c>
      <c r="U326" s="10">
        <f t="shared" si="370"/>
        <v>43950</v>
      </c>
      <c r="V326" s="881">
        <f t="shared" si="371"/>
        <v>1.597605E-3</v>
      </c>
    </row>
    <row r="327" spans="1:22" x14ac:dyDescent="0.25">
      <c r="A327" s="335">
        <f>A326+1</f>
        <v>43951</v>
      </c>
      <c r="B327" s="329">
        <f t="shared" ref="B327:B390" si="372">-SUMIFS(CF_Main,CF_Dates,$A327,CF_Descriptions,"MM Sweep")</f>
        <v>945683.75</v>
      </c>
      <c r="C327" s="338">
        <f t="shared" si="358"/>
        <v>1066027.8700000001</v>
      </c>
      <c r="D327" s="414">
        <f t="shared" si="359"/>
        <v>0.53</v>
      </c>
      <c r="E327" s="49">
        <f t="shared" ref="E327:E390" si="373">-SUMIFS(CF_Main_EUR,CF_Dates,$A327,CF_Descriptions,"MM Sweep")</f>
        <v>0</v>
      </c>
      <c r="F327" s="35">
        <f t="shared" si="360"/>
        <v>0</v>
      </c>
      <c r="G327" s="414">
        <f t="shared" si="361"/>
        <v>0</v>
      </c>
      <c r="H327" s="49">
        <f t="shared" ref="H327:H390" si="374">-SUMIFS(CF_Expenses,CF_Dates,$A327,CF_Descriptions,"MM Sweep")</f>
        <v>0</v>
      </c>
      <c r="I327" s="35">
        <f t="shared" si="362"/>
        <v>40674.870000000148</v>
      </c>
      <c r="J327" s="414">
        <f t="shared" si="363"/>
        <v>0.18</v>
      </c>
      <c r="K327" s="329">
        <f t="shared" ref="K327:K390" si="375">-SUMIFS(CF_Margin,CF_Dates,$A327,CF_Descriptions,"MM Sweep")</f>
        <v>0</v>
      </c>
      <c r="L327" s="35">
        <f t="shared" si="364"/>
        <v>0</v>
      </c>
      <c r="M327" s="414">
        <f t="shared" si="365"/>
        <v>0</v>
      </c>
      <c r="N327" s="329">
        <f t="shared" ref="N327:N390" si="376">-SUMIFS(CF_Mgmt,CF_Dates,$A327,CF_Descriptions,"MM Sweep")</f>
        <v>0</v>
      </c>
      <c r="O327" s="35">
        <f t="shared" si="366"/>
        <v>24.19999999999709</v>
      </c>
      <c r="P327" s="414">
        <f t="shared" si="367"/>
        <v>0</v>
      </c>
      <c r="Q327" s="329">
        <f t="shared" ref="Q327:Q390" si="377">-SUMIFS(CF_SubRedemp,CF_Dates,$A327,CF_Descriptions,"MM Sweep")</f>
        <v>0</v>
      </c>
      <c r="R327" s="35">
        <f t="shared" si="368"/>
        <v>0</v>
      </c>
      <c r="S327" s="414">
        <f t="shared" si="369"/>
        <v>0</v>
      </c>
      <c r="T327" s="880">
        <f>[5]Sheet1!$B741</f>
        <v>4.1819999999999999E-6</v>
      </c>
      <c r="U327" s="10">
        <f t="shared" si="370"/>
        <v>43951</v>
      </c>
      <c r="V327" s="881">
        <f t="shared" si="371"/>
        <v>1.5264300000000001E-3</v>
      </c>
    </row>
    <row r="328" spans="1:22" x14ac:dyDescent="0.25">
      <c r="A328" s="335">
        <f>A327+1</f>
        <v>43952</v>
      </c>
      <c r="B328" s="329">
        <f t="shared" si="372"/>
        <v>0</v>
      </c>
      <c r="C328" s="338">
        <f t="shared" si="358"/>
        <v>1066027.8700000001</v>
      </c>
      <c r="D328" s="414">
        <f t="shared" si="359"/>
        <v>4.46</v>
      </c>
      <c r="E328" s="49">
        <f t="shared" si="373"/>
        <v>0</v>
      </c>
      <c r="F328" s="35">
        <f t="shared" si="360"/>
        <v>0</v>
      </c>
      <c r="G328" s="414">
        <f t="shared" si="361"/>
        <v>0</v>
      </c>
      <c r="H328" s="49">
        <f t="shared" si="374"/>
        <v>0</v>
      </c>
      <c r="I328" s="35">
        <f t="shared" si="362"/>
        <v>40674.870000000148</v>
      </c>
      <c r="J328" s="414">
        <f t="shared" si="363"/>
        <v>0.17</v>
      </c>
      <c r="K328" s="329">
        <f t="shared" si="375"/>
        <v>0</v>
      </c>
      <c r="L328" s="35">
        <f t="shared" si="364"/>
        <v>0</v>
      </c>
      <c r="M328" s="414">
        <f t="shared" si="365"/>
        <v>0</v>
      </c>
      <c r="N328" s="329">
        <f t="shared" si="376"/>
        <v>0</v>
      </c>
      <c r="O328" s="35">
        <f t="shared" si="366"/>
        <v>24.19999999999709</v>
      </c>
      <c r="P328" s="414">
        <f t="shared" si="367"/>
        <v>0</v>
      </c>
      <c r="Q328" s="329">
        <f t="shared" si="377"/>
        <v>0</v>
      </c>
      <c r="R328" s="35">
        <f t="shared" si="368"/>
        <v>0</v>
      </c>
      <c r="S328" s="414">
        <f t="shared" si="369"/>
        <v>0</v>
      </c>
      <c r="T328" s="880">
        <f>[5]Sheet1!$B742</f>
        <v>1.0891E-5</v>
      </c>
      <c r="U328" s="10">
        <f t="shared" si="370"/>
        <v>43952</v>
      </c>
      <c r="V328" s="881">
        <f t="shared" si="371"/>
        <v>1.3250716666666667E-3</v>
      </c>
    </row>
    <row r="329" spans="1:22" x14ac:dyDescent="0.25">
      <c r="A329" s="336">
        <f>A328+3</f>
        <v>43955</v>
      </c>
      <c r="B329" s="329">
        <f t="shared" si="372"/>
        <v>34.83</v>
      </c>
      <c r="C329" s="338">
        <f t="shared" si="358"/>
        <v>1066062.7000000002</v>
      </c>
      <c r="D329" s="414">
        <f t="shared" si="359"/>
        <v>11.61</v>
      </c>
      <c r="E329" s="49">
        <f t="shared" si="373"/>
        <v>0</v>
      </c>
      <c r="F329" s="35">
        <f t="shared" si="360"/>
        <v>0</v>
      </c>
      <c r="G329" s="414">
        <f t="shared" si="361"/>
        <v>0</v>
      </c>
      <c r="H329" s="49">
        <f t="shared" si="374"/>
        <v>0</v>
      </c>
      <c r="I329" s="35">
        <f t="shared" si="362"/>
        <v>40674.870000000148</v>
      </c>
      <c r="J329" s="414">
        <f t="shared" si="363"/>
        <v>0.44</v>
      </c>
      <c r="K329" s="329">
        <f t="shared" si="375"/>
        <v>0</v>
      </c>
      <c r="L329" s="35">
        <f t="shared" si="364"/>
        <v>0</v>
      </c>
      <c r="M329" s="414">
        <f t="shared" si="365"/>
        <v>0</v>
      </c>
      <c r="N329" s="329">
        <f t="shared" si="376"/>
        <v>0</v>
      </c>
      <c r="O329" s="35">
        <f t="shared" si="366"/>
        <v>24.19999999999709</v>
      </c>
      <c r="P329" s="414">
        <f t="shared" si="367"/>
        <v>0</v>
      </c>
      <c r="Q329" s="329">
        <f t="shared" si="377"/>
        <v>0</v>
      </c>
      <c r="R329" s="35">
        <f t="shared" si="368"/>
        <v>0</v>
      </c>
      <c r="S329" s="414">
        <f t="shared" si="369"/>
        <v>0</v>
      </c>
      <c r="T329" s="880">
        <f>[5]Sheet1!$B743</f>
        <v>3.8210000000000003E-6</v>
      </c>
      <c r="U329" s="10">
        <f t="shared" si="370"/>
        <v>43955</v>
      </c>
      <c r="V329" s="881">
        <f t="shared" si="371"/>
        <v>1.3946650000000002E-3</v>
      </c>
    </row>
    <row r="330" spans="1:22" x14ac:dyDescent="0.25">
      <c r="A330" s="335">
        <f>A329+1</f>
        <v>43956</v>
      </c>
      <c r="B330" s="329">
        <f t="shared" si="372"/>
        <v>0</v>
      </c>
      <c r="C330" s="338">
        <f t="shared" si="358"/>
        <v>1066062.7000000002</v>
      </c>
      <c r="D330" s="414">
        <f t="shared" si="359"/>
        <v>4.07</v>
      </c>
      <c r="E330" s="49">
        <f t="shared" si="373"/>
        <v>0</v>
      </c>
      <c r="F330" s="35">
        <f t="shared" si="360"/>
        <v>0</v>
      </c>
      <c r="G330" s="414">
        <f t="shared" si="361"/>
        <v>0</v>
      </c>
      <c r="H330" s="49">
        <f t="shared" si="374"/>
        <v>0</v>
      </c>
      <c r="I330" s="35">
        <f t="shared" si="362"/>
        <v>40674.870000000148</v>
      </c>
      <c r="J330" s="414">
        <f t="shared" si="363"/>
        <v>0.16</v>
      </c>
      <c r="K330" s="329">
        <f t="shared" si="375"/>
        <v>0</v>
      </c>
      <c r="L330" s="35">
        <f t="shared" si="364"/>
        <v>0</v>
      </c>
      <c r="M330" s="414">
        <f t="shared" si="365"/>
        <v>0</v>
      </c>
      <c r="N330" s="329">
        <f t="shared" si="376"/>
        <v>0</v>
      </c>
      <c r="O330" s="35">
        <f t="shared" si="366"/>
        <v>24.19999999999709</v>
      </c>
      <c r="P330" s="414">
        <f t="shared" si="367"/>
        <v>0</v>
      </c>
      <c r="Q330" s="329">
        <f t="shared" si="377"/>
        <v>0</v>
      </c>
      <c r="R330" s="35">
        <f t="shared" si="368"/>
        <v>0</v>
      </c>
      <c r="S330" s="414">
        <f t="shared" si="369"/>
        <v>0</v>
      </c>
      <c r="T330" s="880">
        <f>[5]Sheet1!$B744</f>
        <v>4.1559999999999997E-6</v>
      </c>
      <c r="U330" s="10">
        <f t="shared" si="370"/>
        <v>43956</v>
      </c>
      <c r="V330" s="881">
        <f t="shared" si="371"/>
        <v>1.5169399999999998E-3</v>
      </c>
    </row>
    <row r="331" spans="1:22" x14ac:dyDescent="0.25">
      <c r="A331" s="335">
        <f>A330+1</f>
        <v>43957</v>
      </c>
      <c r="B331" s="329">
        <f t="shared" si="372"/>
        <v>0</v>
      </c>
      <c r="C331" s="338">
        <f t="shared" si="358"/>
        <v>1066062.7000000002</v>
      </c>
      <c r="D331" s="414">
        <f t="shared" si="359"/>
        <v>4.43</v>
      </c>
      <c r="E331" s="49">
        <f t="shared" si="373"/>
        <v>0</v>
      </c>
      <c r="F331" s="35">
        <f t="shared" si="360"/>
        <v>0</v>
      </c>
      <c r="G331" s="414">
        <f t="shared" si="361"/>
        <v>0</v>
      </c>
      <c r="H331" s="49">
        <f t="shared" si="374"/>
        <v>0</v>
      </c>
      <c r="I331" s="35">
        <f t="shared" si="362"/>
        <v>40674.870000000148</v>
      </c>
      <c r="J331" s="414">
        <f t="shared" si="363"/>
        <v>0.17</v>
      </c>
      <c r="K331" s="329">
        <f t="shared" si="375"/>
        <v>0</v>
      </c>
      <c r="L331" s="35">
        <f t="shared" si="364"/>
        <v>0</v>
      </c>
      <c r="M331" s="414">
        <f t="shared" si="365"/>
        <v>0</v>
      </c>
      <c r="N331" s="329">
        <f t="shared" si="376"/>
        <v>0</v>
      </c>
      <c r="O331" s="35">
        <f t="shared" si="366"/>
        <v>24.19999999999709</v>
      </c>
      <c r="P331" s="414">
        <f t="shared" si="367"/>
        <v>0</v>
      </c>
      <c r="Q331" s="329">
        <f t="shared" si="377"/>
        <v>0</v>
      </c>
      <c r="R331" s="35">
        <f t="shared" si="368"/>
        <v>0</v>
      </c>
      <c r="S331" s="414">
        <f t="shared" si="369"/>
        <v>0</v>
      </c>
      <c r="T331" s="880">
        <f>[5]Sheet1!$B745</f>
        <v>4.1350000000000002E-6</v>
      </c>
      <c r="U331" s="10">
        <f t="shared" si="370"/>
        <v>43957</v>
      </c>
      <c r="V331" s="881">
        <f t="shared" si="371"/>
        <v>1.509275E-3</v>
      </c>
    </row>
    <row r="332" spans="1:22" x14ac:dyDescent="0.25">
      <c r="A332" s="335">
        <f>A331+1</f>
        <v>43958</v>
      </c>
      <c r="B332" s="329">
        <f t="shared" si="372"/>
        <v>0</v>
      </c>
      <c r="C332" s="338">
        <f t="shared" si="358"/>
        <v>1066062.7000000002</v>
      </c>
      <c r="D332" s="414">
        <f t="shared" si="359"/>
        <v>4.41</v>
      </c>
      <c r="E332" s="49">
        <f t="shared" si="373"/>
        <v>0</v>
      </c>
      <c r="F332" s="35">
        <f t="shared" si="360"/>
        <v>0</v>
      </c>
      <c r="G332" s="414">
        <f t="shared" si="361"/>
        <v>0</v>
      </c>
      <c r="H332" s="49">
        <f t="shared" si="374"/>
        <v>0</v>
      </c>
      <c r="I332" s="35">
        <f t="shared" si="362"/>
        <v>40674.870000000148</v>
      </c>
      <c r="J332" s="414">
        <f t="shared" si="363"/>
        <v>0.17</v>
      </c>
      <c r="K332" s="329">
        <f t="shared" si="375"/>
        <v>0</v>
      </c>
      <c r="L332" s="35">
        <f t="shared" si="364"/>
        <v>0</v>
      </c>
      <c r="M332" s="414">
        <f t="shared" si="365"/>
        <v>0</v>
      </c>
      <c r="N332" s="329">
        <f t="shared" si="376"/>
        <v>0</v>
      </c>
      <c r="O332" s="35">
        <f t="shared" si="366"/>
        <v>24.19999999999709</v>
      </c>
      <c r="P332" s="414">
        <f t="shared" si="367"/>
        <v>0</v>
      </c>
      <c r="Q332" s="329">
        <f t="shared" si="377"/>
        <v>0</v>
      </c>
      <c r="R332" s="35">
        <f t="shared" si="368"/>
        <v>0</v>
      </c>
      <c r="S332" s="414">
        <f t="shared" si="369"/>
        <v>0</v>
      </c>
      <c r="T332" s="880">
        <f>[5]Sheet1!$B746</f>
        <v>3.7979999999999999E-6</v>
      </c>
      <c r="U332" s="10">
        <f t="shared" si="370"/>
        <v>43958</v>
      </c>
      <c r="V332" s="881">
        <f t="shared" si="371"/>
        <v>1.38627E-3</v>
      </c>
    </row>
    <row r="333" spans="1:22" x14ac:dyDescent="0.25">
      <c r="A333" s="335">
        <f>A332+1</f>
        <v>43959</v>
      </c>
      <c r="B333" s="329">
        <f t="shared" si="372"/>
        <v>0</v>
      </c>
      <c r="C333" s="338">
        <f t="shared" si="358"/>
        <v>1066062.7000000002</v>
      </c>
      <c r="D333" s="414">
        <f t="shared" si="359"/>
        <v>4.05</v>
      </c>
      <c r="E333" s="49">
        <f t="shared" si="373"/>
        <v>0</v>
      </c>
      <c r="F333" s="35">
        <f t="shared" si="360"/>
        <v>0</v>
      </c>
      <c r="G333" s="414">
        <f t="shared" si="361"/>
        <v>0</v>
      </c>
      <c r="H333" s="49">
        <f t="shared" si="374"/>
        <v>0</v>
      </c>
      <c r="I333" s="35">
        <f t="shared" si="362"/>
        <v>40674.870000000148</v>
      </c>
      <c r="J333" s="414">
        <f t="shared" si="363"/>
        <v>0.15</v>
      </c>
      <c r="K333" s="329">
        <f t="shared" si="375"/>
        <v>0</v>
      </c>
      <c r="L333" s="35">
        <f t="shared" si="364"/>
        <v>0</v>
      </c>
      <c r="M333" s="414">
        <f t="shared" si="365"/>
        <v>0</v>
      </c>
      <c r="N333" s="329">
        <f t="shared" si="376"/>
        <v>0</v>
      </c>
      <c r="O333" s="35">
        <f t="shared" si="366"/>
        <v>24.19999999999709</v>
      </c>
      <c r="P333" s="414">
        <f t="shared" si="367"/>
        <v>0</v>
      </c>
      <c r="Q333" s="329">
        <f t="shared" si="377"/>
        <v>0</v>
      </c>
      <c r="R333" s="35">
        <f t="shared" si="368"/>
        <v>0</v>
      </c>
      <c r="S333" s="414">
        <f t="shared" si="369"/>
        <v>0</v>
      </c>
      <c r="T333" s="880">
        <f>[5]Sheet1!$B747</f>
        <v>1.17E-5</v>
      </c>
      <c r="U333" s="10">
        <f t="shared" si="370"/>
        <v>43959</v>
      </c>
      <c r="V333" s="881">
        <f t="shared" si="371"/>
        <v>1.4235000000000001E-3</v>
      </c>
    </row>
    <row r="334" spans="1:22" x14ac:dyDescent="0.25">
      <c r="A334" s="336">
        <f>A333+3</f>
        <v>43962</v>
      </c>
      <c r="B334" s="329">
        <f t="shared" si="372"/>
        <v>-945683.75</v>
      </c>
      <c r="C334" s="338">
        <f t="shared" si="358"/>
        <v>120378.95000000019</v>
      </c>
      <c r="D334" s="414">
        <f t="shared" si="359"/>
        <v>12.47</v>
      </c>
      <c r="E334" s="49">
        <f t="shared" si="373"/>
        <v>0</v>
      </c>
      <c r="F334" s="35">
        <f t="shared" si="360"/>
        <v>0</v>
      </c>
      <c r="G334" s="414">
        <f t="shared" si="361"/>
        <v>0</v>
      </c>
      <c r="H334" s="49">
        <f t="shared" si="374"/>
        <v>0</v>
      </c>
      <c r="I334" s="35">
        <f t="shared" si="362"/>
        <v>40674.870000000148</v>
      </c>
      <c r="J334" s="414">
        <f t="shared" si="363"/>
        <v>0.48</v>
      </c>
      <c r="K334" s="329">
        <f t="shared" si="375"/>
        <v>0</v>
      </c>
      <c r="L334" s="35">
        <f t="shared" si="364"/>
        <v>0</v>
      </c>
      <c r="M334" s="414">
        <f t="shared" si="365"/>
        <v>0</v>
      </c>
      <c r="N334" s="329">
        <f t="shared" si="376"/>
        <v>0</v>
      </c>
      <c r="O334" s="35">
        <f t="shared" si="366"/>
        <v>24.19999999999709</v>
      </c>
      <c r="P334" s="414">
        <f t="shared" si="367"/>
        <v>0</v>
      </c>
      <c r="Q334" s="329">
        <f t="shared" si="377"/>
        <v>0</v>
      </c>
      <c r="R334" s="35">
        <f t="shared" si="368"/>
        <v>0</v>
      </c>
      <c r="S334" s="414">
        <f t="shared" si="369"/>
        <v>0</v>
      </c>
      <c r="T334" s="880">
        <f>[5]Sheet1!$B748</f>
        <v>3.6179999999999999E-6</v>
      </c>
      <c r="U334" s="10">
        <f t="shared" si="370"/>
        <v>43962</v>
      </c>
      <c r="V334" s="881">
        <f t="shared" si="371"/>
        <v>1.3205700000000001E-3</v>
      </c>
    </row>
    <row r="335" spans="1:22" x14ac:dyDescent="0.25">
      <c r="A335" s="335">
        <f>A334+1</f>
        <v>43963</v>
      </c>
      <c r="B335" s="329">
        <f t="shared" si="372"/>
        <v>0</v>
      </c>
      <c r="C335" s="338">
        <f t="shared" si="358"/>
        <v>120378.95000000019</v>
      </c>
      <c r="D335" s="414">
        <f t="shared" si="359"/>
        <v>0.44</v>
      </c>
      <c r="E335" s="49">
        <f t="shared" si="373"/>
        <v>0</v>
      </c>
      <c r="F335" s="35">
        <f t="shared" si="360"/>
        <v>0</v>
      </c>
      <c r="G335" s="414">
        <f t="shared" si="361"/>
        <v>0</v>
      </c>
      <c r="H335" s="49">
        <f t="shared" si="374"/>
        <v>0</v>
      </c>
      <c r="I335" s="35">
        <f t="shared" si="362"/>
        <v>40674.870000000148</v>
      </c>
      <c r="J335" s="414">
        <f t="shared" si="363"/>
        <v>0.15</v>
      </c>
      <c r="K335" s="329">
        <f t="shared" si="375"/>
        <v>0</v>
      </c>
      <c r="L335" s="35">
        <f t="shared" si="364"/>
        <v>0</v>
      </c>
      <c r="M335" s="414">
        <f t="shared" si="365"/>
        <v>0</v>
      </c>
      <c r="N335" s="329">
        <f t="shared" si="376"/>
        <v>0</v>
      </c>
      <c r="O335" s="35">
        <f t="shared" si="366"/>
        <v>24.19999999999709</v>
      </c>
      <c r="P335" s="414">
        <f t="shared" si="367"/>
        <v>0</v>
      </c>
      <c r="Q335" s="329">
        <f t="shared" si="377"/>
        <v>0</v>
      </c>
      <c r="R335" s="35">
        <f t="shared" si="368"/>
        <v>0</v>
      </c>
      <c r="S335" s="414">
        <f t="shared" si="369"/>
        <v>0</v>
      </c>
      <c r="T335" s="880">
        <f>[5]Sheet1!$B749</f>
        <v>3.6480000000000001E-6</v>
      </c>
      <c r="U335" s="10">
        <f t="shared" ref="U335:U339" si="378">A335</f>
        <v>43963</v>
      </c>
      <c r="V335" s="881">
        <f t="shared" ref="V335:V339" si="379">T335*365/(A336-A335)</f>
        <v>1.3315200000000001E-3</v>
      </c>
    </row>
    <row r="336" spans="1:22" x14ac:dyDescent="0.25">
      <c r="A336" s="335">
        <f>A335+1</f>
        <v>43964</v>
      </c>
      <c r="B336" s="329">
        <f t="shared" si="372"/>
        <v>0</v>
      </c>
      <c r="C336" s="338">
        <f t="shared" si="358"/>
        <v>120378.95000000019</v>
      </c>
      <c r="D336" s="414">
        <f t="shared" si="359"/>
        <v>0.44</v>
      </c>
      <c r="E336" s="49">
        <f t="shared" si="373"/>
        <v>0</v>
      </c>
      <c r="F336" s="35">
        <f t="shared" si="360"/>
        <v>0</v>
      </c>
      <c r="G336" s="414">
        <f t="shared" si="361"/>
        <v>0</v>
      </c>
      <c r="H336" s="49">
        <f t="shared" si="374"/>
        <v>0</v>
      </c>
      <c r="I336" s="35">
        <f t="shared" si="362"/>
        <v>40674.870000000148</v>
      </c>
      <c r="J336" s="414">
        <f t="shared" si="363"/>
        <v>0.15</v>
      </c>
      <c r="K336" s="329">
        <f t="shared" si="375"/>
        <v>0</v>
      </c>
      <c r="L336" s="35">
        <f t="shared" si="364"/>
        <v>0</v>
      </c>
      <c r="M336" s="414">
        <f t="shared" si="365"/>
        <v>0</v>
      </c>
      <c r="N336" s="329">
        <f t="shared" si="376"/>
        <v>0</v>
      </c>
      <c r="O336" s="35">
        <f t="shared" si="366"/>
        <v>24.19999999999709</v>
      </c>
      <c r="P336" s="414">
        <f t="shared" si="367"/>
        <v>0</v>
      </c>
      <c r="Q336" s="329">
        <f t="shared" si="377"/>
        <v>0</v>
      </c>
      <c r="R336" s="35">
        <f t="shared" si="368"/>
        <v>0</v>
      </c>
      <c r="S336" s="414">
        <f t="shared" si="369"/>
        <v>0</v>
      </c>
      <c r="T336" s="880">
        <f>[5]Sheet1!$B750</f>
        <v>3.455E-6</v>
      </c>
      <c r="U336" s="10">
        <f t="shared" si="378"/>
        <v>43964</v>
      </c>
      <c r="V336" s="881">
        <f t="shared" si="379"/>
        <v>1.261075E-3</v>
      </c>
    </row>
    <row r="337" spans="1:22" x14ac:dyDescent="0.25">
      <c r="A337" s="335">
        <f>A336+1</f>
        <v>43965</v>
      </c>
      <c r="B337" s="329">
        <f t="shared" si="372"/>
        <v>0</v>
      </c>
      <c r="C337" s="338">
        <f t="shared" si="358"/>
        <v>120378.95000000019</v>
      </c>
      <c r="D337" s="414">
        <f t="shared" si="359"/>
        <v>0.42</v>
      </c>
      <c r="E337" s="49">
        <f t="shared" si="373"/>
        <v>0</v>
      </c>
      <c r="F337" s="35">
        <f t="shared" si="360"/>
        <v>0</v>
      </c>
      <c r="G337" s="414">
        <f t="shared" si="361"/>
        <v>0</v>
      </c>
      <c r="H337" s="49">
        <f t="shared" si="374"/>
        <v>0</v>
      </c>
      <c r="I337" s="35">
        <f t="shared" si="362"/>
        <v>40674.870000000148</v>
      </c>
      <c r="J337" s="414">
        <f t="shared" si="363"/>
        <v>0.14000000000000001</v>
      </c>
      <c r="K337" s="329">
        <f t="shared" si="375"/>
        <v>0</v>
      </c>
      <c r="L337" s="35">
        <f t="shared" si="364"/>
        <v>0</v>
      </c>
      <c r="M337" s="414">
        <f t="shared" si="365"/>
        <v>0</v>
      </c>
      <c r="N337" s="329">
        <f t="shared" si="376"/>
        <v>0</v>
      </c>
      <c r="O337" s="35">
        <f t="shared" si="366"/>
        <v>24.19999999999709</v>
      </c>
      <c r="P337" s="414">
        <f t="shared" si="367"/>
        <v>0</v>
      </c>
      <c r="Q337" s="329">
        <f t="shared" si="377"/>
        <v>0</v>
      </c>
      <c r="R337" s="35">
        <f t="shared" si="368"/>
        <v>0</v>
      </c>
      <c r="S337" s="414">
        <f t="shared" si="369"/>
        <v>0</v>
      </c>
      <c r="T337" s="880">
        <f>[5]Sheet1!$B751</f>
        <v>3.3699999999999999E-6</v>
      </c>
      <c r="U337" s="10">
        <f t="shared" si="378"/>
        <v>43965</v>
      </c>
      <c r="V337" s="881">
        <f t="shared" si="379"/>
        <v>1.2300499999999999E-3</v>
      </c>
    </row>
    <row r="338" spans="1:22" x14ac:dyDescent="0.25">
      <c r="A338" s="335">
        <f>A337+1</f>
        <v>43966</v>
      </c>
      <c r="B338" s="329">
        <f t="shared" si="372"/>
        <v>-63845.179999999993</v>
      </c>
      <c r="C338" s="338">
        <f t="shared" si="358"/>
        <v>56533.770000000193</v>
      </c>
      <c r="D338" s="414">
        <f t="shared" si="359"/>
        <v>0.41</v>
      </c>
      <c r="E338" s="49">
        <f t="shared" si="373"/>
        <v>0</v>
      </c>
      <c r="F338" s="35">
        <f t="shared" si="360"/>
        <v>0</v>
      </c>
      <c r="G338" s="414">
        <f t="shared" si="361"/>
        <v>0</v>
      </c>
      <c r="H338" s="49">
        <f t="shared" si="374"/>
        <v>13525.8</v>
      </c>
      <c r="I338" s="35">
        <f t="shared" si="362"/>
        <v>54200.670000000144</v>
      </c>
      <c r="J338" s="414">
        <f t="shared" si="363"/>
        <v>0.14000000000000001</v>
      </c>
      <c r="K338" s="329">
        <f t="shared" si="375"/>
        <v>0</v>
      </c>
      <c r="L338" s="35">
        <f t="shared" si="364"/>
        <v>0</v>
      </c>
      <c r="M338" s="414">
        <f t="shared" si="365"/>
        <v>0</v>
      </c>
      <c r="N338" s="329">
        <f t="shared" si="376"/>
        <v>0</v>
      </c>
      <c r="O338" s="35">
        <f t="shared" si="366"/>
        <v>24.19999999999709</v>
      </c>
      <c r="P338" s="414">
        <f t="shared" si="367"/>
        <v>0</v>
      </c>
      <c r="Q338" s="329">
        <f t="shared" si="377"/>
        <v>0</v>
      </c>
      <c r="R338" s="35">
        <f t="shared" si="368"/>
        <v>0</v>
      </c>
      <c r="S338" s="414">
        <f t="shared" si="369"/>
        <v>0</v>
      </c>
      <c r="T338" s="880">
        <f>[5]Sheet1!$B752</f>
        <v>8.2740000000000007E-6</v>
      </c>
      <c r="U338" s="10">
        <f t="shared" si="378"/>
        <v>43966</v>
      </c>
      <c r="V338" s="881">
        <f t="shared" si="379"/>
        <v>1.0066700000000001E-3</v>
      </c>
    </row>
    <row r="339" spans="1:22" x14ac:dyDescent="0.25">
      <c r="A339" s="336">
        <f>A338+3</f>
        <v>43969</v>
      </c>
      <c r="B339" s="329">
        <f t="shared" si="372"/>
        <v>0</v>
      </c>
      <c r="C339" s="338">
        <f t="shared" si="358"/>
        <v>56533.770000000193</v>
      </c>
      <c r="D339" s="414">
        <f t="shared" si="359"/>
        <v>0.47</v>
      </c>
      <c r="E339" s="49">
        <f t="shared" si="373"/>
        <v>0</v>
      </c>
      <c r="F339" s="35">
        <f t="shared" si="360"/>
        <v>0</v>
      </c>
      <c r="G339" s="414">
        <f t="shared" si="361"/>
        <v>0</v>
      </c>
      <c r="H339" s="49">
        <f t="shared" si="374"/>
        <v>0</v>
      </c>
      <c r="I339" s="35">
        <f t="shared" si="362"/>
        <v>54200.670000000144</v>
      </c>
      <c r="J339" s="414">
        <f t="shared" si="363"/>
        <v>0.45</v>
      </c>
      <c r="K339" s="329">
        <f t="shared" si="375"/>
        <v>0</v>
      </c>
      <c r="L339" s="35">
        <f t="shared" si="364"/>
        <v>0</v>
      </c>
      <c r="M339" s="414">
        <f t="shared" si="365"/>
        <v>0</v>
      </c>
      <c r="N339" s="329">
        <f t="shared" si="376"/>
        <v>0</v>
      </c>
      <c r="O339" s="35">
        <f t="shared" si="366"/>
        <v>24.19999999999709</v>
      </c>
      <c r="P339" s="414">
        <f t="shared" si="367"/>
        <v>0</v>
      </c>
      <c r="Q339" s="329">
        <f t="shared" si="377"/>
        <v>0</v>
      </c>
      <c r="R339" s="35">
        <f t="shared" si="368"/>
        <v>0</v>
      </c>
      <c r="S339" s="414">
        <f t="shared" si="369"/>
        <v>0</v>
      </c>
      <c r="T339" s="880">
        <f>[5]Sheet1!$B753</f>
        <v>3.0680000000000001E-6</v>
      </c>
      <c r="U339" s="10">
        <f t="shared" si="378"/>
        <v>43969</v>
      </c>
      <c r="V339" s="881">
        <f t="shared" si="379"/>
        <v>1.1198200000000001E-3</v>
      </c>
    </row>
    <row r="340" spans="1:22" x14ac:dyDescent="0.25">
      <c r="A340" s="335">
        <f>A339+1</f>
        <v>43970</v>
      </c>
      <c r="B340" s="329">
        <f t="shared" si="372"/>
        <v>0</v>
      </c>
      <c r="C340" s="338">
        <f t="shared" ref="C340:C366" si="380">B340+C339</f>
        <v>56533.770000000193</v>
      </c>
      <c r="D340" s="414">
        <f t="shared" ref="D340:D366" si="381">ROUND(C339*$T339,2)</f>
        <v>0.17</v>
      </c>
      <c r="E340" s="49">
        <f t="shared" si="373"/>
        <v>0</v>
      </c>
      <c r="F340" s="35">
        <f t="shared" ref="F340:F366" si="382">E340+F339</f>
        <v>0</v>
      </c>
      <c r="G340" s="414">
        <f t="shared" ref="G340:G366" si="383">ROUND(F339*$T339,2)</f>
        <v>0</v>
      </c>
      <c r="H340" s="49">
        <f t="shared" si="374"/>
        <v>0</v>
      </c>
      <c r="I340" s="35">
        <f t="shared" ref="I340:I366" si="384">H340+I339</f>
        <v>54200.670000000144</v>
      </c>
      <c r="J340" s="414">
        <f t="shared" ref="J340:J366" si="385">ROUND(I339*$T339,2)</f>
        <v>0.17</v>
      </c>
      <c r="K340" s="329">
        <f t="shared" si="375"/>
        <v>0</v>
      </c>
      <c r="L340" s="35">
        <f t="shared" ref="L340:L366" si="386">K340+L339</f>
        <v>0</v>
      </c>
      <c r="M340" s="414">
        <f t="shared" ref="M340:M366" si="387">ROUND(L339*$T339,2)</f>
        <v>0</v>
      </c>
      <c r="N340" s="329">
        <f t="shared" si="376"/>
        <v>0</v>
      </c>
      <c r="O340" s="35">
        <f t="shared" ref="O340:O366" si="388">N340+O339</f>
        <v>24.19999999999709</v>
      </c>
      <c r="P340" s="414">
        <f t="shared" ref="P340:P366" si="389">ROUND(O339*$T339,2)</f>
        <v>0</v>
      </c>
      <c r="Q340" s="329">
        <f t="shared" si="377"/>
        <v>0</v>
      </c>
      <c r="R340" s="35">
        <f t="shared" ref="R340:R366" si="390">Q340+R339</f>
        <v>0</v>
      </c>
      <c r="S340" s="414">
        <f t="shared" ref="S340:S366" si="391">ROUND(R339*$T339,2)</f>
        <v>0</v>
      </c>
      <c r="T340" s="880">
        <f>[5]Sheet1!$B754</f>
        <v>2.8930000000000001E-6</v>
      </c>
      <c r="U340" s="10">
        <f t="shared" ref="U340:U343" si="392">A340</f>
        <v>43970</v>
      </c>
      <c r="V340" s="881">
        <f t="shared" ref="V340:V343" si="393">T340*365/(A341-A340)</f>
        <v>1.055945E-3</v>
      </c>
    </row>
    <row r="341" spans="1:22" x14ac:dyDescent="0.25">
      <c r="A341" s="335">
        <f>A340+1</f>
        <v>43971</v>
      </c>
      <c r="B341" s="329">
        <f t="shared" si="372"/>
        <v>0</v>
      </c>
      <c r="C341" s="338">
        <f t="shared" si="380"/>
        <v>56533.770000000193</v>
      </c>
      <c r="D341" s="414">
        <f t="shared" si="381"/>
        <v>0.16</v>
      </c>
      <c r="E341" s="49">
        <f t="shared" si="373"/>
        <v>0</v>
      </c>
      <c r="F341" s="35">
        <f t="shared" si="382"/>
        <v>0</v>
      </c>
      <c r="G341" s="414">
        <f t="shared" si="383"/>
        <v>0</v>
      </c>
      <c r="H341" s="49">
        <f t="shared" si="374"/>
        <v>0</v>
      </c>
      <c r="I341" s="35">
        <f t="shared" si="384"/>
        <v>54200.670000000144</v>
      </c>
      <c r="J341" s="414">
        <f t="shared" si="385"/>
        <v>0.16</v>
      </c>
      <c r="K341" s="329">
        <f t="shared" si="375"/>
        <v>0</v>
      </c>
      <c r="L341" s="35">
        <f t="shared" si="386"/>
        <v>0</v>
      </c>
      <c r="M341" s="414">
        <f t="shared" si="387"/>
        <v>0</v>
      </c>
      <c r="N341" s="329">
        <f t="shared" si="376"/>
        <v>0</v>
      </c>
      <c r="O341" s="35">
        <f t="shared" si="388"/>
        <v>24.19999999999709</v>
      </c>
      <c r="P341" s="414">
        <f t="shared" si="389"/>
        <v>0</v>
      </c>
      <c r="Q341" s="329">
        <f t="shared" si="377"/>
        <v>0</v>
      </c>
      <c r="R341" s="35">
        <f t="shared" si="390"/>
        <v>0</v>
      </c>
      <c r="S341" s="414">
        <f t="shared" si="391"/>
        <v>0</v>
      </c>
      <c r="T341" s="880">
        <f>[5]Sheet1!$B755</f>
        <v>2.12E-6</v>
      </c>
      <c r="U341" s="10">
        <f t="shared" si="392"/>
        <v>43971</v>
      </c>
      <c r="V341" s="881">
        <f t="shared" si="393"/>
        <v>7.7380000000000005E-4</v>
      </c>
    </row>
    <row r="342" spans="1:22" x14ac:dyDescent="0.25">
      <c r="A342" s="335">
        <f>A341+1</f>
        <v>43972</v>
      </c>
      <c r="B342" s="329">
        <f t="shared" si="372"/>
        <v>-6500</v>
      </c>
      <c r="C342" s="338">
        <f t="shared" si="380"/>
        <v>50033.770000000193</v>
      </c>
      <c r="D342" s="414">
        <f t="shared" si="381"/>
        <v>0.12</v>
      </c>
      <c r="E342" s="49">
        <f t="shared" si="373"/>
        <v>0</v>
      </c>
      <c r="F342" s="35">
        <f t="shared" si="382"/>
        <v>0</v>
      </c>
      <c r="G342" s="414">
        <f t="shared" si="383"/>
        <v>0</v>
      </c>
      <c r="H342" s="49">
        <f t="shared" si="374"/>
        <v>0</v>
      </c>
      <c r="I342" s="35">
        <f t="shared" si="384"/>
        <v>54200.670000000144</v>
      </c>
      <c r="J342" s="414">
        <f t="shared" si="385"/>
        <v>0.11</v>
      </c>
      <c r="K342" s="329">
        <f t="shared" si="375"/>
        <v>0</v>
      </c>
      <c r="L342" s="35">
        <f t="shared" si="386"/>
        <v>0</v>
      </c>
      <c r="M342" s="414">
        <f t="shared" si="387"/>
        <v>0</v>
      </c>
      <c r="N342" s="329">
        <f t="shared" si="376"/>
        <v>0</v>
      </c>
      <c r="O342" s="35">
        <f t="shared" si="388"/>
        <v>24.19999999999709</v>
      </c>
      <c r="P342" s="414">
        <f t="shared" si="389"/>
        <v>0</v>
      </c>
      <c r="Q342" s="329">
        <f t="shared" si="377"/>
        <v>0</v>
      </c>
      <c r="R342" s="35">
        <f t="shared" si="390"/>
        <v>0</v>
      </c>
      <c r="S342" s="414">
        <f t="shared" si="391"/>
        <v>0</v>
      </c>
      <c r="T342" s="880">
        <f>[5]Sheet1!$B756</f>
        <v>2.058E-6</v>
      </c>
      <c r="U342" s="10">
        <f t="shared" si="392"/>
        <v>43972</v>
      </c>
      <c r="V342" s="881">
        <f t="shared" si="393"/>
        <v>7.5117000000000001E-4</v>
      </c>
    </row>
    <row r="343" spans="1:22" x14ac:dyDescent="0.25">
      <c r="A343" s="335">
        <f>A342+1</f>
        <v>43973</v>
      </c>
      <c r="B343" s="329">
        <f t="shared" si="372"/>
        <v>0</v>
      </c>
      <c r="C343" s="338">
        <f t="shared" si="380"/>
        <v>50033.770000000193</v>
      </c>
      <c r="D343" s="414">
        <f t="shared" si="381"/>
        <v>0.1</v>
      </c>
      <c r="E343" s="49">
        <f t="shared" si="373"/>
        <v>0</v>
      </c>
      <c r="F343" s="35">
        <f t="shared" si="382"/>
        <v>0</v>
      </c>
      <c r="G343" s="414">
        <f t="shared" si="383"/>
        <v>0</v>
      </c>
      <c r="H343" s="49">
        <f t="shared" si="374"/>
        <v>-104.86</v>
      </c>
      <c r="I343" s="35">
        <f t="shared" si="384"/>
        <v>54095.810000000143</v>
      </c>
      <c r="J343" s="414">
        <f t="shared" si="385"/>
        <v>0.11</v>
      </c>
      <c r="K343" s="329">
        <f t="shared" si="375"/>
        <v>0</v>
      </c>
      <c r="L343" s="35">
        <f t="shared" si="386"/>
        <v>0</v>
      </c>
      <c r="M343" s="414">
        <f t="shared" si="387"/>
        <v>0</v>
      </c>
      <c r="N343" s="329">
        <f t="shared" si="376"/>
        <v>0</v>
      </c>
      <c r="O343" s="35">
        <f t="shared" si="388"/>
        <v>24.19999999999709</v>
      </c>
      <c r="P343" s="414">
        <f t="shared" si="389"/>
        <v>0</v>
      </c>
      <c r="Q343" s="329">
        <f t="shared" si="377"/>
        <v>0</v>
      </c>
      <c r="R343" s="35">
        <f t="shared" si="390"/>
        <v>0</v>
      </c>
      <c r="S343" s="414">
        <f t="shared" si="391"/>
        <v>0</v>
      </c>
      <c r="T343" s="880">
        <f>[5]Sheet1!$B757</f>
        <v>8.9719999999999998E-6</v>
      </c>
      <c r="U343" s="10">
        <f t="shared" si="392"/>
        <v>43973</v>
      </c>
      <c r="V343" s="881">
        <f t="shared" si="393"/>
        <v>8.1869500000000003E-4</v>
      </c>
    </row>
    <row r="344" spans="1:22" x14ac:dyDescent="0.25">
      <c r="A344" s="336">
        <f>A343+4</f>
        <v>43977</v>
      </c>
      <c r="B344" s="329">
        <f t="shared" si="372"/>
        <v>59101.18</v>
      </c>
      <c r="C344" s="338">
        <f t="shared" si="380"/>
        <v>109134.95000000019</v>
      </c>
      <c r="D344" s="414">
        <f t="shared" si="381"/>
        <v>0.45</v>
      </c>
      <c r="E344" s="49">
        <f t="shared" si="373"/>
        <v>0</v>
      </c>
      <c r="F344" s="35">
        <f t="shared" si="382"/>
        <v>0</v>
      </c>
      <c r="G344" s="414">
        <f t="shared" si="383"/>
        <v>0</v>
      </c>
      <c r="H344" s="49">
        <f t="shared" si="374"/>
        <v>0</v>
      </c>
      <c r="I344" s="35">
        <f t="shared" si="384"/>
        <v>54095.810000000143</v>
      </c>
      <c r="J344" s="414">
        <f t="shared" si="385"/>
        <v>0.49</v>
      </c>
      <c r="K344" s="329">
        <f t="shared" si="375"/>
        <v>0</v>
      </c>
      <c r="L344" s="35">
        <f t="shared" si="386"/>
        <v>0</v>
      </c>
      <c r="M344" s="414">
        <f t="shared" si="387"/>
        <v>0</v>
      </c>
      <c r="N344" s="329">
        <f t="shared" si="376"/>
        <v>0</v>
      </c>
      <c r="O344" s="35">
        <f t="shared" si="388"/>
        <v>24.19999999999709</v>
      </c>
      <c r="P344" s="414">
        <f t="shared" si="389"/>
        <v>0</v>
      </c>
      <c r="Q344" s="329">
        <f t="shared" si="377"/>
        <v>0</v>
      </c>
      <c r="R344" s="35">
        <f t="shared" si="390"/>
        <v>0</v>
      </c>
      <c r="S344" s="414">
        <f t="shared" si="391"/>
        <v>0</v>
      </c>
      <c r="T344" s="880">
        <f>[5]Sheet1!$B758</f>
        <v>2.661E-6</v>
      </c>
      <c r="U344" s="10">
        <f t="shared" ref="U344:U350" si="394">A344</f>
        <v>43977</v>
      </c>
      <c r="V344" s="881">
        <f t="shared" ref="V344:V350" si="395">T344*365/(A345-A344)</f>
        <v>9.7126500000000002E-4</v>
      </c>
    </row>
    <row r="345" spans="1:22" x14ac:dyDescent="0.25">
      <c r="A345" s="335">
        <f>A344+1</f>
        <v>43978</v>
      </c>
      <c r="B345" s="329">
        <f t="shared" si="372"/>
        <v>0</v>
      </c>
      <c r="C345" s="338">
        <f t="shared" si="380"/>
        <v>109134.95000000019</v>
      </c>
      <c r="D345" s="414">
        <f t="shared" si="381"/>
        <v>0.28999999999999998</v>
      </c>
      <c r="E345" s="49">
        <f t="shared" si="373"/>
        <v>0</v>
      </c>
      <c r="F345" s="35">
        <f t="shared" si="382"/>
        <v>0</v>
      </c>
      <c r="G345" s="414">
        <f t="shared" si="383"/>
        <v>0</v>
      </c>
      <c r="H345" s="49">
        <f t="shared" si="374"/>
        <v>0</v>
      </c>
      <c r="I345" s="35">
        <f t="shared" si="384"/>
        <v>54095.810000000143</v>
      </c>
      <c r="J345" s="414">
        <f t="shared" si="385"/>
        <v>0.14000000000000001</v>
      </c>
      <c r="K345" s="329">
        <f t="shared" si="375"/>
        <v>0</v>
      </c>
      <c r="L345" s="35">
        <f t="shared" si="386"/>
        <v>0</v>
      </c>
      <c r="M345" s="414">
        <f t="shared" si="387"/>
        <v>0</v>
      </c>
      <c r="N345" s="329">
        <f t="shared" si="376"/>
        <v>0</v>
      </c>
      <c r="O345" s="35">
        <f t="shared" si="388"/>
        <v>24.19999999999709</v>
      </c>
      <c r="P345" s="414">
        <f t="shared" si="389"/>
        <v>0</v>
      </c>
      <c r="Q345" s="329">
        <f t="shared" si="377"/>
        <v>0</v>
      </c>
      <c r="R345" s="35">
        <f t="shared" si="390"/>
        <v>0</v>
      </c>
      <c r="S345" s="414">
        <f t="shared" si="391"/>
        <v>0</v>
      </c>
      <c r="T345" s="880">
        <f>[5]Sheet1!$B759</f>
        <v>2.5440000000000001E-6</v>
      </c>
      <c r="U345" s="10">
        <f t="shared" si="394"/>
        <v>43978</v>
      </c>
      <c r="V345" s="881">
        <f t="shared" si="395"/>
        <v>9.2856000000000004E-4</v>
      </c>
    </row>
    <row r="346" spans="1:22" x14ac:dyDescent="0.25">
      <c r="A346" s="335">
        <f>A345+1</f>
        <v>43979</v>
      </c>
      <c r="B346" s="329">
        <f t="shared" si="372"/>
        <v>0</v>
      </c>
      <c r="C346" s="338">
        <f t="shared" si="380"/>
        <v>109134.95000000019</v>
      </c>
      <c r="D346" s="414">
        <f t="shared" si="381"/>
        <v>0.28000000000000003</v>
      </c>
      <c r="E346" s="49">
        <f t="shared" si="373"/>
        <v>0</v>
      </c>
      <c r="F346" s="35">
        <f t="shared" si="382"/>
        <v>0</v>
      </c>
      <c r="G346" s="414">
        <f t="shared" si="383"/>
        <v>0</v>
      </c>
      <c r="H346" s="49">
        <f t="shared" si="374"/>
        <v>0</v>
      </c>
      <c r="I346" s="35">
        <f t="shared" si="384"/>
        <v>54095.810000000143</v>
      </c>
      <c r="J346" s="414">
        <f t="shared" si="385"/>
        <v>0.14000000000000001</v>
      </c>
      <c r="K346" s="329">
        <f t="shared" si="375"/>
        <v>0</v>
      </c>
      <c r="L346" s="35">
        <f t="shared" si="386"/>
        <v>0</v>
      </c>
      <c r="M346" s="414">
        <f t="shared" si="387"/>
        <v>0</v>
      </c>
      <c r="N346" s="329">
        <f t="shared" si="376"/>
        <v>0</v>
      </c>
      <c r="O346" s="35">
        <f t="shared" si="388"/>
        <v>24.19999999999709</v>
      </c>
      <c r="P346" s="414">
        <f t="shared" si="389"/>
        <v>0</v>
      </c>
      <c r="Q346" s="329">
        <f t="shared" si="377"/>
        <v>0</v>
      </c>
      <c r="R346" s="35">
        <f t="shared" si="390"/>
        <v>0</v>
      </c>
      <c r="S346" s="414">
        <f t="shared" si="391"/>
        <v>0</v>
      </c>
      <c r="T346" s="880">
        <f>[5]Sheet1!$B760</f>
        <v>2.6230000000000001E-6</v>
      </c>
      <c r="U346" s="10">
        <f t="shared" si="394"/>
        <v>43979</v>
      </c>
      <c r="V346" s="881">
        <f t="shared" si="395"/>
        <v>9.573950000000001E-4</v>
      </c>
    </row>
    <row r="347" spans="1:22" x14ac:dyDescent="0.25">
      <c r="A347" s="335">
        <f>A346+1</f>
        <v>43980</v>
      </c>
      <c r="B347" s="329">
        <f t="shared" si="372"/>
        <v>0</v>
      </c>
      <c r="C347" s="338">
        <f t="shared" si="380"/>
        <v>109134.95000000019</v>
      </c>
      <c r="D347" s="414">
        <f t="shared" si="381"/>
        <v>0.28999999999999998</v>
      </c>
      <c r="E347" s="49">
        <f t="shared" si="373"/>
        <v>0</v>
      </c>
      <c r="F347" s="35">
        <f t="shared" si="382"/>
        <v>0</v>
      </c>
      <c r="G347" s="414">
        <f t="shared" si="383"/>
        <v>0</v>
      </c>
      <c r="H347" s="49">
        <f t="shared" si="374"/>
        <v>0</v>
      </c>
      <c r="I347" s="35">
        <f t="shared" si="384"/>
        <v>54095.810000000143</v>
      </c>
      <c r="J347" s="414">
        <f t="shared" si="385"/>
        <v>0.14000000000000001</v>
      </c>
      <c r="K347" s="329">
        <f t="shared" si="375"/>
        <v>0</v>
      </c>
      <c r="L347" s="35">
        <f t="shared" si="386"/>
        <v>0</v>
      </c>
      <c r="M347" s="414">
        <f t="shared" si="387"/>
        <v>0</v>
      </c>
      <c r="N347" s="329">
        <f t="shared" si="376"/>
        <v>0</v>
      </c>
      <c r="O347" s="35">
        <f t="shared" si="388"/>
        <v>24.19999999999709</v>
      </c>
      <c r="P347" s="414">
        <f t="shared" si="389"/>
        <v>0</v>
      </c>
      <c r="Q347" s="329">
        <f t="shared" si="377"/>
        <v>0</v>
      </c>
      <c r="R347" s="35">
        <f t="shared" si="390"/>
        <v>0</v>
      </c>
      <c r="S347" s="414">
        <f t="shared" si="391"/>
        <v>0</v>
      </c>
      <c r="T347" s="880">
        <f>[5]Sheet1!$B761</f>
        <v>5.2080000000000008E-6</v>
      </c>
      <c r="U347" s="10">
        <f t="shared" si="394"/>
        <v>43980</v>
      </c>
      <c r="V347" s="881">
        <f t="shared" si="395"/>
        <v>9.5046000000000019E-4</v>
      </c>
    </row>
    <row r="348" spans="1:22" x14ac:dyDescent="0.25">
      <c r="A348" s="336">
        <f>A347+2</f>
        <v>43982</v>
      </c>
      <c r="B348" s="329">
        <f t="shared" si="372"/>
        <v>0</v>
      </c>
      <c r="C348" s="338">
        <f t="shared" si="380"/>
        <v>109134.95000000019</v>
      </c>
      <c r="D348" s="414">
        <f t="shared" si="381"/>
        <v>0.56999999999999995</v>
      </c>
      <c r="E348" s="49">
        <f t="shared" si="373"/>
        <v>0</v>
      </c>
      <c r="F348" s="35">
        <f t="shared" si="382"/>
        <v>0</v>
      </c>
      <c r="G348" s="414">
        <f t="shared" si="383"/>
        <v>0</v>
      </c>
      <c r="H348" s="49">
        <f t="shared" si="374"/>
        <v>0</v>
      </c>
      <c r="I348" s="35">
        <f t="shared" si="384"/>
        <v>54095.810000000143</v>
      </c>
      <c r="J348" s="414">
        <f t="shared" si="385"/>
        <v>0.28000000000000003</v>
      </c>
      <c r="K348" s="329">
        <f t="shared" si="375"/>
        <v>0</v>
      </c>
      <c r="L348" s="35">
        <f t="shared" si="386"/>
        <v>0</v>
      </c>
      <c r="M348" s="414">
        <f t="shared" si="387"/>
        <v>0</v>
      </c>
      <c r="N348" s="329">
        <f t="shared" si="376"/>
        <v>0</v>
      </c>
      <c r="O348" s="35">
        <f t="shared" si="388"/>
        <v>24.19999999999709</v>
      </c>
      <c r="P348" s="414">
        <f t="shared" si="389"/>
        <v>0</v>
      </c>
      <c r="Q348" s="329">
        <f t="shared" si="377"/>
        <v>0</v>
      </c>
      <c r="R348" s="35">
        <f t="shared" si="390"/>
        <v>0</v>
      </c>
      <c r="S348" s="414">
        <f t="shared" si="391"/>
        <v>0</v>
      </c>
      <c r="T348" s="880">
        <f>[5]Sheet1!$B762</f>
        <v>2.6040000000000004E-6</v>
      </c>
      <c r="U348" s="10">
        <f t="shared" si="394"/>
        <v>43982</v>
      </c>
      <c r="V348" s="881">
        <f t="shared" si="395"/>
        <v>9.5046000000000019E-4</v>
      </c>
    </row>
    <row r="349" spans="1:22" x14ac:dyDescent="0.25">
      <c r="A349" s="335">
        <f>A348+1</f>
        <v>43983</v>
      </c>
      <c r="B349" s="329">
        <f t="shared" si="372"/>
        <v>0</v>
      </c>
      <c r="C349" s="338">
        <f t="shared" si="380"/>
        <v>109134.95000000019</v>
      </c>
      <c r="D349" s="414">
        <f t="shared" si="381"/>
        <v>0.28000000000000003</v>
      </c>
      <c r="E349" s="49">
        <f t="shared" si="373"/>
        <v>0</v>
      </c>
      <c r="F349" s="35">
        <f t="shared" si="382"/>
        <v>0</v>
      </c>
      <c r="G349" s="414">
        <f t="shared" si="383"/>
        <v>0</v>
      </c>
      <c r="H349" s="49">
        <f t="shared" si="374"/>
        <v>0</v>
      </c>
      <c r="I349" s="35">
        <f t="shared" si="384"/>
        <v>54095.810000000143</v>
      </c>
      <c r="J349" s="414">
        <f t="shared" si="385"/>
        <v>0.14000000000000001</v>
      </c>
      <c r="K349" s="329">
        <f t="shared" si="375"/>
        <v>0</v>
      </c>
      <c r="L349" s="35">
        <f t="shared" si="386"/>
        <v>0</v>
      </c>
      <c r="M349" s="414">
        <f t="shared" si="387"/>
        <v>0</v>
      </c>
      <c r="N349" s="329">
        <f t="shared" si="376"/>
        <v>0</v>
      </c>
      <c r="O349" s="35">
        <f t="shared" si="388"/>
        <v>24.19999999999709</v>
      </c>
      <c r="P349" s="414">
        <f t="shared" si="389"/>
        <v>0</v>
      </c>
      <c r="Q349" s="329">
        <f t="shared" si="377"/>
        <v>0</v>
      </c>
      <c r="R349" s="35">
        <f t="shared" si="390"/>
        <v>0</v>
      </c>
      <c r="S349" s="414">
        <f t="shared" si="391"/>
        <v>0</v>
      </c>
      <c r="T349" s="880">
        <f>[5]Sheet1!$B763</f>
        <v>2.615E-6</v>
      </c>
      <c r="U349" s="10">
        <f t="shared" si="394"/>
        <v>43983</v>
      </c>
      <c r="V349" s="881">
        <f t="shared" si="395"/>
        <v>9.5447499999999998E-4</v>
      </c>
    </row>
    <row r="350" spans="1:22" x14ac:dyDescent="0.25">
      <c r="A350" s="335">
        <f>A349+1</f>
        <v>43984</v>
      </c>
      <c r="B350" s="329">
        <f t="shared" si="372"/>
        <v>45.92</v>
      </c>
      <c r="C350" s="338">
        <f t="shared" si="380"/>
        <v>109180.87000000018</v>
      </c>
      <c r="D350" s="414">
        <f t="shared" si="381"/>
        <v>0.28999999999999998</v>
      </c>
      <c r="E350" s="49">
        <f t="shared" si="373"/>
        <v>0</v>
      </c>
      <c r="F350" s="35">
        <f t="shared" si="382"/>
        <v>0</v>
      </c>
      <c r="G350" s="414">
        <f t="shared" si="383"/>
        <v>0</v>
      </c>
      <c r="H350" s="49">
        <f t="shared" si="374"/>
        <v>4.4800000000000004</v>
      </c>
      <c r="I350" s="35">
        <f t="shared" si="384"/>
        <v>54100.290000000146</v>
      </c>
      <c r="J350" s="414">
        <f t="shared" si="385"/>
        <v>0.14000000000000001</v>
      </c>
      <c r="K350" s="329">
        <f t="shared" si="375"/>
        <v>0</v>
      </c>
      <c r="L350" s="35">
        <f t="shared" si="386"/>
        <v>0</v>
      </c>
      <c r="M350" s="414">
        <f t="shared" si="387"/>
        <v>0</v>
      </c>
      <c r="N350" s="329">
        <f t="shared" si="376"/>
        <v>0</v>
      </c>
      <c r="O350" s="35">
        <f t="shared" si="388"/>
        <v>24.19999999999709</v>
      </c>
      <c r="P350" s="414">
        <f t="shared" si="389"/>
        <v>0</v>
      </c>
      <c r="Q350" s="329">
        <f t="shared" si="377"/>
        <v>0</v>
      </c>
      <c r="R350" s="35">
        <f t="shared" si="390"/>
        <v>0</v>
      </c>
      <c r="S350" s="414">
        <f t="shared" si="391"/>
        <v>0</v>
      </c>
      <c r="T350" s="880">
        <f>[5]Sheet1!$B764</f>
        <v>2.8420000000000001E-6</v>
      </c>
      <c r="U350" s="10">
        <f t="shared" si="394"/>
        <v>43984</v>
      </c>
      <c r="V350" s="881">
        <f t="shared" si="395"/>
        <v>1.0373299999999999E-3</v>
      </c>
    </row>
    <row r="351" spans="1:22" x14ac:dyDescent="0.25">
      <c r="A351" s="335">
        <f>A350+1</f>
        <v>43985</v>
      </c>
      <c r="B351" s="329">
        <f t="shared" si="372"/>
        <v>0</v>
      </c>
      <c r="C351" s="338">
        <f t="shared" si="380"/>
        <v>109180.87000000018</v>
      </c>
      <c r="D351" s="414">
        <f t="shared" si="381"/>
        <v>0.31</v>
      </c>
      <c r="E351" s="49">
        <f t="shared" si="373"/>
        <v>0</v>
      </c>
      <c r="F351" s="35">
        <f t="shared" si="382"/>
        <v>0</v>
      </c>
      <c r="G351" s="414">
        <f t="shared" si="383"/>
        <v>0</v>
      </c>
      <c r="H351" s="49">
        <f t="shared" si="374"/>
        <v>0</v>
      </c>
      <c r="I351" s="35">
        <f t="shared" si="384"/>
        <v>54100.290000000146</v>
      </c>
      <c r="J351" s="414">
        <f t="shared" si="385"/>
        <v>0.15</v>
      </c>
      <c r="K351" s="329">
        <f t="shared" si="375"/>
        <v>0</v>
      </c>
      <c r="L351" s="35">
        <f t="shared" si="386"/>
        <v>0</v>
      </c>
      <c r="M351" s="414">
        <f t="shared" si="387"/>
        <v>0</v>
      </c>
      <c r="N351" s="329">
        <f t="shared" si="376"/>
        <v>0</v>
      </c>
      <c r="O351" s="35">
        <f t="shared" si="388"/>
        <v>24.19999999999709</v>
      </c>
      <c r="P351" s="414">
        <f t="shared" si="389"/>
        <v>0</v>
      </c>
      <c r="Q351" s="329">
        <f t="shared" si="377"/>
        <v>0</v>
      </c>
      <c r="R351" s="35">
        <f t="shared" si="390"/>
        <v>0</v>
      </c>
      <c r="S351" s="414">
        <f t="shared" si="391"/>
        <v>0</v>
      </c>
      <c r="T351" s="880">
        <f>[5]Sheet1!$B765</f>
        <v>2.8169999999999999E-6</v>
      </c>
      <c r="U351" s="10">
        <f t="shared" ref="U351:U354" si="396">A351</f>
        <v>43985</v>
      </c>
      <c r="V351" s="881">
        <f t="shared" ref="V351:V354" si="397">T351*365/(A352-A351)</f>
        <v>1.0282049999999999E-3</v>
      </c>
    </row>
    <row r="352" spans="1:22" x14ac:dyDescent="0.25">
      <c r="A352" s="335">
        <f>A351+1</f>
        <v>43986</v>
      </c>
      <c r="B352" s="329">
        <f t="shared" si="372"/>
        <v>0</v>
      </c>
      <c r="C352" s="338">
        <f t="shared" si="380"/>
        <v>109180.87000000018</v>
      </c>
      <c r="D352" s="414">
        <f t="shared" si="381"/>
        <v>0.31</v>
      </c>
      <c r="E352" s="49">
        <f t="shared" si="373"/>
        <v>0</v>
      </c>
      <c r="F352" s="35">
        <f t="shared" si="382"/>
        <v>0</v>
      </c>
      <c r="G352" s="414">
        <f t="shared" si="383"/>
        <v>0</v>
      </c>
      <c r="H352" s="49">
        <f t="shared" si="374"/>
        <v>0</v>
      </c>
      <c r="I352" s="35">
        <f t="shared" si="384"/>
        <v>54100.290000000146</v>
      </c>
      <c r="J352" s="414">
        <f t="shared" si="385"/>
        <v>0.15</v>
      </c>
      <c r="K352" s="329">
        <f t="shared" si="375"/>
        <v>0</v>
      </c>
      <c r="L352" s="35">
        <f t="shared" si="386"/>
        <v>0</v>
      </c>
      <c r="M352" s="414">
        <f t="shared" si="387"/>
        <v>0</v>
      </c>
      <c r="N352" s="329">
        <f t="shared" si="376"/>
        <v>0</v>
      </c>
      <c r="O352" s="35">
        <f t="shared" si="388"/>
        <v>24.19999999999709</v>
      </c>
      <c r="P352" s="414">
        <f t="shared" si="389"/>
        <v>0</v>
      </c>
      <c r="Q352" s="329">
        <f t="shared" si="377"/>
        <v>0</v>
      </c>
      <c r="R352" s="35">
        <f t="shared" si="390"/>
        <v>0</v>
      </c>
      <c r="S352" s="414">
        <f t="shared" si="391"/>
        <v>0</v>
      </c>
      <c r="T352" s="880">
        <f>[5]Sheet1!$B766</f>
        <v>2.7750000000000001E-6</v>
      </c>
      <c r="U352" s="10">
        <f t="shared" si="396"/>
        <v>43986</v>
      </c>
      <c r="V352" s="881">
        <f t="shared" si="397"/>
        <v>1.0128750000000001E-3</v>
      </c>
    </row>
    <row r="353" spans="1:23" x14ac:dyDescent="0.25">
      <c r="A353" s="335">
        <f>A352+1</f>
        <v>43987</v>
      </c>
      <c r="B353" s="329">
        <f t="shared" si="372"/>
        <v>0</v>
      </c>
      <c r="C353" s="338">
        <f t="shared" si="380"/>
        <v>109180.87000000018</v>
      </c>
      <c r="D353" s="414">
        <f t="shared" si="381"/>
        <v>0.3</v>
      </c>
      <c r="E353" s="49">
        <f t="shared" si="373"/>
        <v>0</v>
      </c>
      <c r="F353" s="35">
        <f t="shared" si="382"/>
        <v>0</v>
      </c>
      <c r="G353" s="414">
        <f t="shared" si="383"/>
        <v>0</v>
      </c>
      <c r="H353" s="49">
        <f t="shared" si="374"/>
        <v>-500</v>
      </c>
      <c r="I353" s="35">
        <f t="shared" si="384"/>
        <v>53600.290000000146</v>
      </c>
      <c r="J353" s="414">
        <f t="shared" si="385"/>
        <v>0.15</v>
      </c>
      <c r="K353" s="329">
        <f t="shared" si="375"/>
        <v>0</v>
      </c>
      <c r="L353" s="35">
        <f t="shared" si="386"/>
        <v>0</v>
      </c>
      <c r="M353" s="414">
        <f t="shared" si="387"/>
        <v>0</v>
      </c>
      <c r="N353" s="329">
        <f t="shared" si="376"/>
        <v>0</v>
      </c>
      <c r="O353" s="35">
        <f t="shared" si="388"/>
        <v>24.19999999999709</v>
      </c>
      <c r="P353" s="414">
        <f t="shared" si="389"/>
        <v>0</v>
      </c>
      <c r="Q353" s="329">
        <f t="shared" si="377"/>
        <v>0</v>
      </c>
      <c r="R353" s="35">
        <f t="shared" si="390"/>
        <v>0</v>
      </c>
      <c r="S353" s="414">
        <f t="shared" si="391"/>
        <v>0</v>
      </c>
      <c r="T353" s="880">
        <f>[5]Sheet1!$B767</f>
        <v>8.5799999999999992E-6</v>
      </c>
      <c r="U353" s="10">
        <f t="shared" si="396"/>
        <v>43987</v>
      </c>
      <c r="V353" s="881">
        <f t="shared" si="397"/>
        <v>1.0438999999999999E-3</v>
      </c>
    </row>
    <row r="354" spans="1:23" x14ac:dyDescent="0.25">
      <c r="A354" s="336">
        <f>A353+3</f>
        <v>43990</v>
      </c>
      <c r="B354" s="329">
        <f t="shared" si="372"/>
        <v>0</v>
      </c>
      <c r="C354" s="338">
        <f t="shared" si="380"/>
        <v>109180.87000000018</v>
      </c>
      <c r="D354" s="414">
        <f t="shared" si="381"/>
        <v>0.94</v>
      </c>
      <c r="E354" s="49">
        <f t="shared" si="373"/>
        <v>0</v>
      </c>
      <c r="F354" s="35">
        <f t="shared" si="382"/>
        <v>0</v>
      </c>
      <c r="G354" s="414">
        <f t="shared" si="383"/>
        <v>0</v>
      </c>
      <c r="H354" s="49">
        <f t="shared" si="374"/>
        <v>0</v>
      </c>
      <c r="I354" s="35">
        <f t="shared" si="384"/>
        <v>53600.290000000146</v>
      </c>
      <c r="J354" s="414">
        <f t="shared" si="385"/>
        <v>0.46</v>
      </c>
      <c r="K354" s="329">
        <f t="shared" si="375"/>
        <v>0</v>
      </c>
      <c r="L354" s="35">
        <f t="shared" si="386"/>
        <v>0</v>
      </c>
      <c r="M354" s="414">
        <f t="shared" si="387"/>
        <v>0</v>
      </c>
      <c r="N354" s="329">
        <f t="shared" si="376"/>
        <v>0</v>
      </c>
      <c r="O354" s="35">
        <f t="shared" si="388"/>
        <v>24.19999999999709</v>
      </c>
      <c r="P354" s="414">
        <f t="shared" si="389"/>
        <v>0</v>
      </c>
      <c r="Q354" s="329">
        <f t="shared" si="377"/>
        <v>0</v>
      </c>
      <c r="R354" s="35">
        <f t="shared" si="390"/>
        <v>0</v>
      </c>
      <c r="S354" s="414">
        <f t="shared" si="391"/>
        <v>0</v>
      </c>
      <c r="T354" s="880">
        <f>[5]Sheet1!$B768</f>
        <v>2.8399999999999999E-6</v>
      </c>
      <c r="U354" s="10">
        <f t="shared" si="396"/>
        <v>43990</v>
      </c>
      <c r="V354" s="881">
        <f t="shared" si="397"/>
        <v>1.0365999999999999E-3</v>
      </c>
    </row>
    <row r="355" spans="1:23" x14ac:dyDescent="0.25">
      <c r="A355" s="335">
        <f>A354+1</f>
        <v>43991</v>
      </c>
      <c r="B355" s="329">
        <f t="shared" si="372"/>
        <v>0</v>
      </c>
      <c r="C355" s="338">
        <f t="shared" si="380"/>
        <v>109180.87000000018</v>
      </c>
      <c r="D355" s="414">
        <f t="shared" si="381"/>
        <v>0.31</v>
      </c>
      <c r="E355" s="49">
        <f t="shared" si="373"/>
        <v>0</v>
      </c>
      <c r="F355" s="35">
        <f t="shared" si="382"/>
        <v>0</v>
      </c>
      <c r="G355" s="414">
        <f t="shared" si="383"/>
        <v>0</v>
      </c>
      <c r="H355" s="49">
        <f t="shared" si="374"/>
        <v>0</v>
      </c>
      <c r="I355" s="35">
        <f t="shared" si="384"/>
        <v>53600.290000000146</v>
      </c>
      <c r="J355" s="414">
        <f t="shared" si="385"/>
        <v>0.15</v>
      </c>
      <c r="K355" s="329">
        <f t="shared" si="375"/>
        <v>0</v>
      </c>
      <c r="L355" s="35">
        <f t="shared" si="386"/>
        <v>0</v>
      </c>
      <c r="M355" s="414">
        <f t="shared" si="387"/>
        <v>0</v>
      </c>
      <c r="N355" s="329">
        <f t="shared" si="376"/>
        <v>0</v>
      </c>
      <c r="O355" s="35">
        <f t="shared" si="388"/>
        <v>24.19999999999709</v>
      </c>
      <c r="P355" s="414">
        <f t="shared" si="389"/>
        <v>0</v>
      </c>
      <c r="Q355" s="329">
        <f t="shared" si="377"/>
        <v>0</v>
      </c>
      <c r="R355" s="35">
        <f t="shared" si="390"/>
        <v>0</v>
      </c>
      <c r="S355" s="414">
        <f t="shared" si="391"/>
        <v>0</v>
      </c>
      <c r="T355" s="880">
        <f>[5]Sheet1!$B769</f>
        <v>2.7819999999999998E-6</v>
      </c>
      <c r="U355" s="10">
        <f t="shared" ref="U355:U362" si="398">A355</f>
        <v>43991</v>
      </c>
      <c r="V355" s="881">
        <f t="shared" ref="V355:V362" si="399">T355*365/(A356-A355)</f>
        <v>1.0154299999999999E-3</v>
      </c>
    </row>
    <row r="356" spans="1:23" x14ac:dyDescent="0.25">
      <c r="A356" s="335">
        <f>A355+1</f>
        <v>43992</v>
      </c>
      <c r="B356" s="329">
        <f t="shared" si="372"/>
        <v>0</v>
      </c>
      <c r="C356" s="338">
        <f t="shared" si="380"/>
        <v>109180.87000000018</v>
      </c>
      <c r="D356" s="414">
        <f t="shared" si="381"/>
        <v>0.3</v>
      </c>
      <c r="E356" s="49">
        <f t="shared" si="373"/>
        <v>0</v>
      </c>
      <c r="F356" s="35">
        <f t="shared" si="382"/>
        <v>0</v>
      </c>
      <c r="G356" s="414">
        <f t="shared" si="383"/>
        <v>0</v>
      </c>
      <c r="H356" s="49">
        <f t="shared" si="374"/>
        <v>0</v>
      </c>
      <c r="I356" s="35">
        <f t="shared" si="384"/>
        <v>53600.290000000146</v>
      </c>
      <c r="J356" s="414">
        <f t="shared" si="385"/>
        <v>0.15</v>
      </c>
      <c r="K356" s="329">
        <f t="shared" si="375"/>
        <v>0</v>
      </c>
      <c r="L356" s="35">
        <f t="shared" si="386"/>
        <v>0</v>
      </c>
      <c r="M356" s="414">
        <f t="shared" si="387"/>
        <v>0</v>
      </c>
      <c r="N356" s="329">
        <f t="shared" si="376"/>
        <v>0</v>
      </c>
      <c r="O356" s="35">
        <f t="shared" si="388"/>
        <v>24.19999999999709</v>
      </c>
      <c r="P356" s="414">
        <f t="shared" si="389"/>
        <v>0</v>
      </c>
      <c r="Q356" s="329">
        <f t="shared" si="377"/>
        <v>0</v>
      </c>
      <c r="R356" s="35">
        <f t="shared" si="390"/>
        <v>0</v>
      </c>
      <c r="S356" s="414">
        <f t="shared" si="391"/>
        <v>0</v>
      </c>
      <c r="T356" s="880">
        <f>[5]Sheet1!$B770</f>
        <v>2.8420000000000001E-6</v>
      </c>
      <c r="U356" s="10">
        <f t="shared" si="398"/>
        <v>43992</v>
      </c>
      <c r="V356" s="881">
        <f t="shared" si="399"/>
        <v>1.0373299999999999E-3</v>
      </c>
    </row>
    <row r="357" spans="1:23" x14ac:dyDescent="0.25">
      <c r="A357" s="335">
        <f>A356+1</f>
        <v>43993</v>
      </c>
      <c r="B357" s="329">
        <f t="shared" si="372"/>
        <v>0</v>
      </c>
      <c r="C357" s="338">
        <f t="shared" si="380"/>
        <v>109180.87000000018</v>
      </c>
      <c r="D357" s="414">
        <f t="shared" si="381"/>
        <v>0.31</v>
      </c>
      <c r="E357" s="49">
        <f t="shared" si="373"/>
        <v>0</v>
      </c>
      <c r="F357" s="35">
        <f t="shared" si="382"/>
        <v>0</v>
      </c>
      <c r="G357" s="414">
        <f t="shared" si="383"/>
        <v>0</v>
      </c>
      <c r="H357" s="49">
        <f t="shared" si="374"/>
        <v>-5250</v>
      </c>
      <c r="I357" s="35">
        <f t="shared" si="384"/>
        <v>48350.290000000146</v>
      </c>
      <c r="J357" s="414">
        <f t="shared" si="385"/>
        <v>0.15</v>
      </c>
      <c r="K357" s="329">
        <f t="shared" si="375"/>
        <v>0</v>
      </c>
      <c r="L357" s="35">
        <f t="shared" si="386"/>
        <v>0</v>
      </c>
      <c r="M357" s="414">
        <f t="shared" si="387"/>
        <v>0</v>
      </c>
      <c r="N357" s="329">
        <f t="shared" si="376"/>
        <v>0</v>
      </c>
      <c r="O357" s="35">
        <f t="shared" si="388"/>
        <v>24.19999999999709</v>
      </c>
      <c r="P357" s="414">
        <f t="shared" si="389"/>
        <v>0</v>
      </c>
      <c r="Q357" s="329">
        <f t="shared" si="377"/>
        <v>0</v>
      </c>
      <c r="R357" s="35">
        <f t="shared" si="390"/>
        <v>0</v>
      </c>
      <c r="S357" s="414">
        <f t="shared" si="391"/>
        <v>0</v>
      </c>
      <c r="T357" s="880">
        <f>[5]Sheet1!$B771</f>
        <v>2.6910000000000002E-6</v>
      </c>
      <c r="U357" s="10">
        <f t="shared" si="398"/>
        <v>43993</v>
      </c>
      <c r="V357" s="881">
        <f t="shared" si="399"/>
        <v>9.8221500000000004E-4</v>
      </c>
    </row>
    <row r="358" spans="1:23" x14ac:dyDescent="0.25">
      <c r="A358" s="335">
        <f>A357+1</f>
        <v>43994</v>
      </c>
      <c r="B358" s="329">
        <f t="shared" si="372"/>
        <v>350000</v>
      </c>
      <c r="C358" s="338">
        <f t="shared" si="380"/>
        <v>459180.87000000017</v>
      </c>
      <c r="D358" s="414">
        <f t="shared" si="381"/>
        <v>0.28999999999999998</v>
      </c>
      <c r="E358" s="49">
        <f t="shared" si="373"/>
        <v>0</v>
      </c>
      <c r="F358" s="35">
        <f t="shared" si="382"/>
        <v>0</v>
      </c>
      <c r="G358" s="414">
        <f t="shared" si="383"/>
        <v>0</v>
      </c>
      <c r="H358" s="49">
        <f t="shared" si="374"/>
        <v>0</v>
      </c>
      <c r="I358" s="35">
        <f t="shared" si="384"/>
        <v>48350.290000000146</v>
      </c>
      <c r="J358" s="414">
        <f t="shared" si="385"/>
        <v>0.13</v>
      </c>
      <c r="K358" s="329">
        <f t="shared" si="375"/>
        <v>0</v>
      </c>
      <c r="L358" s="35">
        <f t="shared" si="386"/>
        <v>0</v>
      </c>
      <c r="M358" s="414">
        <f t="shared" si="387"/>
        <v>0</v>
      </c>
      <c r="N358" s="329">
        <f t="shared" si="376"/>
        <v>0</v>
      </c>
      <c r="O358" s="35">
        <f t="shared" si="388"/>
        <v>24.19999999999709</v>
      </c>
      <c r="P358" s="414">
        <f t="shared" si="389"/>
        <v>0</v>
      </c>
      <c r="Q358" s="329">
        <f t="shared" si="377"/>
        <v>0</v>
      </c>
      <c r="R358" s="35">
        <f t="shared" si="390"/>
        <v>0</v>
      </c>
      <c r="S358" s="414">
        <f t="shared" si="391"/>
        <v>0</v>
      </c>
      <c r="T358" s="880">
        <f>[5]Sheet1!$B772</f>
        <v>8.4800000000000001E-6</v>
      </c>
      <c r="U358" s="10">
        <f t="shared" si="398"/>
        <v>43994</v>
      </c>
      <c r="V358" s="881">
        <f t="shared" si="399"/>
        <v>1.0317333333333333E-3</v>
      </c>
    </row>
    <row r="359" spans="1:23" x14ac:dyDescent="0.25">
      <c r="A359" s="336">
        <f>A358+3</f>
        <v>43997</v>
      </c>
      <c r="B359" s="329">
        <f t="shared" si="372"/>
        <v>0</v>
      </c>
      <c r="C359" s="338">
        <f t="shared" si="380"/>
        <v>459180.87000000017</v>
      </c>
      <c r="D359" s="414">
        <f t="shared" si="381"/>
        <v>3.89</v>
      </c>
      <c r="E359" s="49">
        <f t="shared" si="373"/>
        <v>0</v>
      </c>
      <c r="F359" s="35">
        <f t="shared" si="382"/>
        <v>0</v>
      </c>
      <c r="G359" s="414">
        <f t="shared" si="383"/>
        <v>0</v>
      </c>
      <c r="H359" s="49">
        <f t="shared" si="374"/>
        <v>0</v>
      </c>
      <c r="I359" s="35">
        <f t="shared" si="384"/>
        <v>48350.290000000146</v>
      </c>
      <c r="J359" s="414">
        <f t="shared" si="385"/>
        <v>0.41</v>
      </c>
      <c r="K359" s="329">
        <f t="shared" si="375"/>
        <v>0</v>
      </c>
      <c r="L359" s="35">
        <f t="shared" si="386"/>
        <v>0</v>
      </c>
      <c r="M359" s="414">
        <f t="shared" si="387"/>
        <v>0</v>
      </c>
      <c r="N359" s="329">
        <f t="shared" si="376"/>
        <v>0</v>
      </c>
      <c r="O359" s="35">
        <f t="shared" si="388"/>
        <v>24.19999999999709</v>
      </c>
      <c r="P359" s="414">
        <f t="shared" si="389"/>
        <v>0</v>
      </c>
      <c r="Q359" s="329">
        <f t="shared" si="377"/>
        <v>0</v>
      </c>
      <c r="R359" s="35">
        <f t="shared" si="390"/>
        <v>0</v>
      </c>
      <c r="S359" s="414">
        <f t="shared" si="391"/>
        <v>0</v>
      </c>
      <c r="T359" s="880">
        <f>[5]Sheet1!$B773</f>
        <v>2.915E-6</v>
      </c>
      <c r="U359" s="10">
        <f t="shared" si="398"/>
        <v>43997</v>
      </c>
      <c r="V359" s="881">
        <f t="shared" si="399"/>
        <v>1.063975E-3</v>
      </c>
    </row>
    <row r="360" spans="1:23" x14ac:dyDescent="0.25">
      <c r="A360" s="335">
        <f>A359+1</f>
        <v>43998</v>
      </c>
      <c r="B360" s="329">
        <f t="shared" si="372"/>
        <v>-153683.22</v>
      </c>
      <c r="C360" s="338">
        <f t="shared" si="380"/>
        <v>305497.65000000014</v>
      </c>
      <c r="D360" s="414">
        <f t="shared" si="381"/>
        <v>1.34</v>
      </c>
      <c r="E360" s="49">
        <f t="shared" si="373"/>
        <v>0</v>
      </c>
      <c r="F360" s="35">
        <f t="shared" si="382"/>
        <v>0</v>
      </c>
      <c r="G360" s="414">
        <f t="shared" si="383"/>
        <v>0</v>
      </c>
      <c r="H360" s="49">
        <f t="shared" si="374"/>
        <v>7213.76</v>
      </c>
      <c r="I360" s="35">
        <f t="shared" si="384"/>
        <v>55564.050000000148</v>
      </c>
      <c r="J360" s="414">
        <f t="shared" si="385"/>
        <v>0.14000000000000001</v>
      </c>
      <c r="K360" s="329">
        <f t="shared" si="375"/>
        <v>0</v>
      </c>
      <c r="L360" s="35">
        <f t="shared" si="386"/>
        <v>0</v>
      </c>
      <c r="M360" s="414">
        <f t="shared" si="387"/>
        <v>0</v>
      </c>
      <c r="N360" s="329">
        <f t="shared" si="376"/>
        <v>30620.69</v>
      </c>
      <c r="O360" s="35">
        <f t="shared" si="388"/>
        <v>30644.889999999996</v>
      </c>
      <c r="P360" s="414">
        <f t="shared" si="389"/>
        <v>0</v>
      </c>
      <c r="Q360" s="329">
        <f t="shared" si="377"/>
        <v>0</v>
      </c>
      <c r="R360" s="35">
        <f t="shared" si="390"/>
        <v>0</v>
      </c>
      <c r="S360" s="414">
        <f t="shared" si="391"/>
        <v>0</v>
      </c>
      <c r="T360" s="880">
        <f>[5]Sheet1!$B774</f>
        <v>2.8820000000000001E-6</v>
      </c>
      <c r="U360" s="10">
        <f t="shared" si="398"/>
        <v>43998</v>
      </c>
      <c r="V360" s="881">
        <f t="shared" si="399"/>
        <v>1.05193E-3</v>
      </c>
    </row>
    <row r="361" spans="1:23" x14ac:dyDescent="0.25">
      <c r="A361" s="335">
        <f>A360+1</f>
        <v>43999</v>
      </c>
      <c r="B361" s="329">
        <f t="shared" si="372"/>
        <v>0</v>
      </c>
      <c r="C361" s="338">
        <f t="shared" si="380"/>
        <v>305497.65000000014</v>
      </c>
      <c r="D361" s="414">
        <f t="shared" si="381"/>
        <v>0.88</v>
      </c>
      <c r="E361" s="49">
        <f t="shared" si="373"/>
        <v>0</v>
      </c>
      <c r="F361" s="35">
        <f t="shared" si="382"/>
        <v>0</v>
      </c>
      <c r="G361" s="414">
        <f t="shared" si="383"/>
        <v>0</v>
      </c>
      <c r="H361" s="49">
        <f t="shared" si="374"/>
        <v>0</v>
      </c>
      <c r="I361" s="35">
        <f t="shared" si="384"/>
        <v>55564.050000000148</v>
      </c>
      <c r="J361" s="414">
        <f t="shared" si="385"/>
        <v>0.16</v>
      </c>
      <c r="K361" s="329">
        <f t="shared" si="375"/>
        <v>0</v>
      </c>
      <c r="L361" s="35">
        <f t="shared" si="386"/>
        <v>0</v>
      </c>
      <c r="M361" s="414">
        <f t="shared" si="387"/>
        <v>0</v>
      </c>
      <c r="N361" s="329">
        <f t="shared" si="376"/>
        <v>0</v>
      </c>
      <c r="O361" s="35">
        <f t="shared" si="388"/>
        <v>30644.889999999996</v>
      </c>
      <c r="P361" s="414">
        <f t="shared" si="389"/>
        <v>0.09</v>
      </c>
      <c r="Q361" s="329">
        <f t="shared" si="377"/>
        <v>0</v>
      </c>
      <c r="R361" s="35">
        <f t="shared" si="390"/>
        <v>0</v>
      </c>
      <c r="S361" s="414">
        <f t="shared" si="391"/>
        <v>0</v>
      </c>
      <c r="T361" s="880">
        <f>[5]Sheet1!$B775</f>
        <v>2.8569999999999999E-6</v>
      </c>
      <c r="U361" s="10">
        <f t="shared" si="398"/>
        <v>43999</v>
      </c>
      <c r="V361" s="881">
        <f t="shared" si="399"/>
        <v>1.0428049999999999E-3</v>
      </c>
    </row>
    <row r="362" spans="1:23" x14ac:dyDescent="0.25">
      <c r="A362" s="335">
        <f>A361+1</f>
        <v>44000</v>
      </c>
      <c r="B362" s="329">
        <f t="shared" si="372"/>
        <v>0</v>
      </c>
      <c r="C362" s="338">
        <f t="shared" si="380"/>
        <v>305497.65000000014</v>
      </c>
      <c r="D362" s="414">
        <f t="shared" si="381"/>
        <v>0.87</v>
      </c>
      <c r="E362" s="49">
        <f t="shared" si="373"/>
        <v>0</v>
      </c>
      <c r="F362" s="35">
        <f t="shared" si="382"/>
        <v>0</v>
      </c>
      <c r="G362" s="414">
        <f t="shared" si="383"/>
        <v>0</v>
      </c>
      <c r="H362" s="49">
        <f t="shared" si="374"/>
        <v>0</v>
      </c>
      <c r="I362" s="35">
        <f t="shared" si="384"/>
        <v>55564.050000000148</v>
      </c>
      <c r="J362" s="414">
        <f t="shared" si="385"/>
        <v>0.16</v>
      </c>
      <c r="K362" s="329">
        <f t="shared" si="375"/>
        <v>0</v>
      </c>
      <c r="L362" s="35">
        <f t="shared" si="386"/>
        <v>0</v>
      </c>
      <c r="M362" s="414">
        <f t="shared" si="387"/>
        <v>0</v>
      </c>
      <c r="N362" s="329">
        <f t="shared" si="376"/>
        <v>-30620.69</v>
      </c>
      <c r="O362" s="35">
        <f t="shared" si="388"/>
        <v>24.19999999999709</v>
      </c>
      <c r="P362" s="414">
        <f t="shared" si="389"/>
        <v>0.09</v>
      </c>
      <c r="Q362" s="329">
        <f t="shared" si="377"/>
        <v>0</v>
      </c>
      <c r="R362" s="35">
        <f t="shared" si="390"/>
        <v>0</v>
      </c>
      <c r="S362" s="414">
        <f t="shared" si="391"/>
        <v>0</v>
      </c>
      <c r="T362" s="880">
        <f>[5]Sheet1!$B776</f>
        <v>2.8480000000000001E-6</v>
      </c>
      <c r="U362" s="10">
        <f t="shared" si="398"/>
        <v>44000</v>
      </c>
      <c r="V362" s="881">
        <f t="shared" si="399"/>
        <v>1.0395199999999999E-3</v>
      </c>
    </row>
    <row r="363" spans="1:23" x14ac:dyDescent="0.25">
      <c r="A363" s="335">
        <f>A362+1</f>
        <v>44001</v>
      </c>
      <c r="B363" s="329">
        <f t="shared" si="372"/>
        <v>0</v>
      </c>
      <c r="C363" s="338">
        <f t="shared" si="380"/>
        <v>305497.65000000014</v>
      </c>
      <c r="D363" s="414">
        <f t="shared" si="381"/>
        <v>0.87</v>
      </c>
      <c r="E363" s="49">
        <f t="shared" si="373"/>
        <v>0</v>
      </c>
      <c r="F363" s="35">
        <f t="shared" si="382"/>
        <v>0</v>
      </c>
      <c r="G363" s="414">
        <f t="shared" si="383"/>
        <v>0</v>
      </c>
      <c r="H363" s="49">
        <f t="shared" si="374"/>
        <v>0</v>
      </c>
      <c r="I363" s="35">
        <f t="shared" si="384"/>
        <v>55564.050000000148</v>
      </c>
      <c r="J363" s="414">
        <f t="shared" si="385"/>
        <v>0.16</v>
      </c>
      <c r="K363" s="329">
        <f t="shared" si="375"/>
        <v>0</v>
      </c>
      <c r="L363" s="35">
        <f t="shared" si="386"/>
        <v>0</v>
      </c>
      <c r="M363" s="414">
        <f t="shared" si="387"/>
        <v>0</v>
      </c>
      <c r="N363" s="329">
        <f t="shared" si="376"/>
        <v>0</v>
      </c>
      <c r="O363" s="35">
        <f t="shared" si="388"/>
        <v>24.19999999999709</v>
      </c>
      <c r="P363" s="414">
        <f t="shared" si="389"/>
        <v>0</v>
      </c>
      <c r="Q363" s="329">
        <f t="shared" si="377"/>
        <v>0</v>
      </c>
      <c r="R363" s="35">
        <f t="shared" si="390"/>
        <v>0</v>
      </c>
      <c r="S363" s="414">
        <f t="shared" si="391"/>
        <v>0</v>
      </c>
      <c r="T363" s="880">
        <f>[5]Sheet1!$B777</f>
        <v>8.6670000000000002E-6</v>
      </c>
      <c r="U363" s="10">
        <f t="shared" ref="U363:U368" si="400">A363</f>
        <v>44001</v>
      </c>
      <c r="V363" s="881">
        <f t="shared" ref="V363:V368" si="401">T363*365/(A364-A363)</f>
        <v>1.054485E-3</v>
      </c>
    </row>
    <row r="364" spans="1:23" x14ac:dyDescent="0.25">
      <c r="A364" s="336">
        <f>A363+3</f>
        <v>44004</v>
      </c>
      <c r="B364" s="329">
        <f t="shared" si="372"/>
        <v>0</v>
      </c>
      <c r="C364" s="338">
        <f t="shared" si="380"/>
        <v>305497.65000000014</v>
      </c>
      <c r="D364" s="414">
        <f t="shared" si="381"/>
        <v>2.65</v>
      </c>
      <c r="E364" s="49">
        <f t="shared" si="373"/>
        <v>0</v>
      </c>
      <c r="F364" s="35">
        <f t="shared" si="382"/>
        <v>0</v>
      </c>
      <c r="G364" s="414">
        <f t="shared" si="383"/>
        <v>0</v>
      </c>
      <c r="H364" s="49">
        <f t="shared" si="374"/>
        <v>0</v>
      </c>
      <c r="I364" s="35">
        <f t="shared" si="384"/>
        <v>55564.050000000148</v>
      </c>
      <c r="J364" s="414">
        <f t="shared" si="385"/>
        <v>0.48</v>
      </c>
      <c r="K364" s="329">
        <f t="shared" si="375"/>
        <v>0</v>
      </c>
      <c r="L364" s="35">
        <f t="shared" si="386"/>
        <v>0</v>
      </c>
      <c r="M364" s="414">
        <f t="shared" si="387"/>
        <v>0</v>
      </c>
      <c r="N364" s="329">
        <f t="shared" si="376"/>
        <v>0</v>
      </c>
      <c r="O364" s="35">
        <f t="shared" si="388"/>
        <v>24.19999999999709</v>
      </c>
      <c r="P364" s="414">
        <f t="shared" si="389"/>
        <v>0</v>
      </c>
      <c r="Q364" s="329">
        <f t="shared" si="377"/>
        <v>0</v>
      </c>
      <c r="R364" s="35">
        <f t="shared" si="390"/>
        <v>0</v>
      </c>
      <c r="S364" s="414">
        <f t="shared" si="391"/>
        <v>0</v>
      </c>
      <c r="T364" s="880">
        <f>[5]Sheet1!$B778</f>
        <v>2.339E-6</v>
      </c>
      <c r="U364" s="10">
        <f t="shared" si="400"/>
        <v>44004</v>
      </c>
      <c r="V364" s="881">
        <f t="shared" si="401"/>
        <v>8.53735E-4</v>
      </c>
      <c r="W364" s="6"/>
    </row>
    <row r="365" spans="1:23" x14ac:dyDescent="0.25">
      <c r="A365" s="335">
        <f>A364+1</f>
        <v>44005</v>
      </c>
      <c r="B365" s="329">
        <f t="shared" si="372"/>
        <v>0</v>
      </c>
      <c r="C365" s="338">
        <f t="shared" si="380"/>
        <v>305497.65000000014</v>
      </c>
      <c r="D365" s="414">
        <f t="shared" si="381"/>
        <v>0.71</v>
      </c>
      <c r="E365" s="49">
        <f t="shared" si="373"/>
        <v>0</v>
      </c>
      <c r="F365" s="35">
        <f t="shared" si="382"/>
        <v>0</v>
      </c>
      <c r="G365" s="414">
        <f t="shared" si="383"/>
        <v>0</v>
      </c>
      <c r="H365" s="49">
        <f t="shared" si="374"/>
        <v>0</v>
      </c>
      <c r="I365" s="35">
        <f t="shared" si="384"/>
        <v>55564.050000000148</v>
      </c>
      <c r="J365" s="414">
        <f t="shared" si="385"/>
        <v>0.13</v>
      </c>
      <c r="K365" s="329">
        <f t="shared" si="375"/>
        <v>0</v>
      </c>
      <c r="L365" s="35">
        <f t="shared" si="386"/>
        <v>0</v>
      </c>
      <c r="M365" s="414">
        <f t="shared" si="387"/>
        <v>0</v>
      </c>
      <c r="N365" s="329">
        <f t="shared" si="376"/>
        <v>0</v>
      </c>
      <c r="O365" s="35">
        <f t="shared" si="388"/>
        <v>24.19999999999709</v>
      </c>
      <c r="P365" s="414">
        <f t="shared" si="389"/>
        <v>0</v>
      </c>
      <c r="Q365" s="329">
        <f t="shared" si="377"/>
        <v>0</v>
      </c>
      <c r="R365" s="35">
        <f t="shared" si="390"/>
        <v>0</v>
      </c>
      <c r="S365" s="414">
        <f t="shared" si="391"/>
        <v>0</v>
      </c>
      <c r="T365" s="880">
        <f>[5]Sheet1!$B779</f>
        <v>2.1959999999999998E-6</v>
      </c>
      <c r="U365" s="10">
        <f t="shared" si="400"/>
        <v>44005</v>
      </c>
      <c r="V365" s="881">
        <f t="shared" si="401"/>
        <v>8.0153999999999989E-4</v>
      </c>
    </row>
    <row r="366" spans="1:23" x14ac:dyDescent="0.25">
      <c r="A366" s="335">
        <f>A365+1</f>
        <v>44006</v>
      </c>
      <c r="B366" s="329">
        <f t="shared" si="372"/>
        <v>0</v>
      </c>
      <c r="C366" s="338">
        <f t="shared" si="380"/>
        <v>305497.65000000014</v>
      </c>
      <c r="D366" s="414">
        <f t="shared" si="381"/>
        <v>0.67</v>
      </c>
      <c r="E366" s="49">
        <f t="shared" si="373"/>
        <v>0</v>
      </c>
      <c r="F366" s="35">
        <f t="shared" si="382"/>
        <v>0</v>
      </c>
      <c r="G366" s="414">
        <f t="shared" si="383"/>
        <v>0</v>
      </c>
      <c r="H366" s="49">
        <f t="shared" si="374"/>
        <v>0</v>
      </c>
      <c r="I366" s="35">
        <f t="shared" si="384"/>
        <v>55564.050000000148</v>
      </c>
      <c r="J366" s="414">
        <f t="shared" si="385"/>
        <v>0.12</v>
      </c>
      <c r="K366" s="329">
        <f t="shared" si="375"/>
        <v>0</v>
      </c>
      <c r="L366" s="35">
        <f t="shared" si="386"/>
        <v>0</v>
      </c>
      <c r="M366" s="414">
        <f t="shared" si="387"/>
        <v>0</v>
      </c>
      <c r="N366" s="329">
        <f t="shared" si="376"/>
        <v>0</v>
      </c>
      <c r="O366" s="35">
        <f t="shared" si="388"/>
        <v>24.19999999999709</v>
      </c>
      <c r="P366" s="414">
        <f t="shared" si="389"/>
        <v>0</v>
      </c>
      <c r="Q366" s="329">
        <f t="shared" si="377"/>
        <v>0</v>
      </c>
      <c r="R366" s="35">
        <f t="shared" si="390"/>
        <v>0</v>
      </c>
      <c r="S366" s="414">
        <f t="shared" si="391"/>
        <v>0</v>
      </c>
      <c r="T366" s="880">
        <f>[5]Sheet1!$B780</f>
        <v>2.1730000000000002E-6</v>
      </c>
      <c r="U366" s="10">
        <f t="shared" si="400"/>
        <v>44006</v>
      </c>
      <c r="V366" s="881">
        <f t="shared" si="401"/>
        <v>7.9314500000000009E-4</v>
      </c>
    </row>
    <row r="367" spans="1:23" x14ac:dyDescent="0.25">
      <c r="A367" s="335">
        <f>A366+1</f>
        <v>44007</v>
      </c>
      <c r="B367" s="329">
        <f t="shared" si="372"/>
        <v>0</v>
      </c>
      <c r="C367" s="338">
        <f t="shared" ref="C367:C393" si="402">B367+C366</f>
        <v>305497.65000000014</v>
      </c>
      <c r="D367" s="414">
        <f t="shared" ref="D367:D393" si="403">ROUND(C366*$T366,2)</f>
        <v>0.66</v>
      </c>
      <c r="E367" s="49">
        <f t="shared" si="373"/>
        <v>0</v>
      </c>
      <c r="F367" s="35">
        <f t="shared" ref="F367:F393" si="404">E367+F366</f>
        <v>0</v>
      </c>
      <c r="G367" s="414">
        <f t="shared" ref="G367:G393" si="405">ROUND(F366*$T366,2)</f>
        <v>0</v>
      </c>
      <c r="H367" s="49">
        <f t="shared" si="374"/>
        <v>0</v>
      </c>
      <c r="I367" s="35">
        <f t="shared" ref="I367:I393" si="406">H367+I366</f>
        <v>55564.050000000148</v>
      </c>
      <c r="J367" s="414">
        <f t="shared" ref="J367:J393" si="407">ROUND(I366*$T366,2)</f>
        <v>0.12</v>
      </c>
      <c r="K367" s="329">
        <f t="shared" si="375"/>
        <v>0</v>
      </c>
      <c r="L367" s="35">
        <f t="shared" ref="L367:L393" si="408">K367+L366</f>
        <v>0</v>
      </c>
      <c r="M367" s="414">
        <f t="shared" ref="M367:M393" si="409">ROUND(L366*$T366,2)</f>
        <v>0</v>
      </c>
      <c r="N367" s="329">
        <f t="shared" si="376"/>
        <v>0</v>
      </c>
      <c r="O367" s="35">
        <f t="shared" ref="O367:O393" si="410">N367+O366</f>
        <v>24.19999999999709</v>
      </c>
      <c r="P367" s="414">
        <f t="shared" ref="P367:P393" si="411">ROUND(O366*$T366,2)</f>
        <v>0</v>
      </c>
      <c r="Q367" s="329">
        <f t="shared" si="377"/>
        <v>0</v>
      </c>
      <c r="R367" s="35">
        <f t="shared" ref="R367:R393" si="412">Q367+R366</f>
        <v>0</v>
      </c>
      <c r="S367" s="414">
        <f t="shared" ref="S367:S393" si="413">ROUND(R366*$T366,2)</f>
        <v>0</v>
      </c>
      <c r="T367" s="880">
        <f>[5]Sheet1!$B781</f>
        <v>2.2639999999999998E-6</v>
      </c>
      <c r="U367" s="10">
        <f t="shared" si="400"/>
        <v>44007</v>
      </c>
      <c r="V367" s="881">
        <f t="shared" si="401"/>
        <v>8.2635999999999994E-4</v>
      </c>
    </row>
    <row r="368" spans="1:23" x14ac:dyDescent="0.25">
      <c r="A368" s="335">
        <f>A367+1</f>
        <v>44008</v>
      </c>
      <c r="B368" s="329">
        <f t="shared" si="372"/>
        <v>152000</v>
      </c>
      <c r="C368" s="338">
        <f t="shared" si="402"/>
        <v>457497.65000000014</v>
      </c>
      <c r="D368" s="414">
        <f t="shared" si="403"/>
        <v>0.69</v>
      </c>
      <c r="E368" s="49">
        <f t="shared" si="373"/>
        <v>0</v>
      </c>
      <c r="F368" s="35">
        <f t="shared" si="404"/>
        <v>0</v>
      </c>
      <c r="G368" s="414">
        <f t="shared" si="405"/>
        <v>0</v>
      </c>
      <c r="H368" s="49">
        <f t="shared" si="374"/>
        <v>0</v>
      </c>
      <c r="I368" s="35">
        <f t="shared" si="406"/>
        <v>55564.050000000148</v>
      </c>
      <c r="J368" s="414">
        <f t="shared" si="407"/>
        <v>0.13</v>
      </c>
      <c r="K368" s="329">
        <f t="shared" si="375"/>
        <v>0</v>
      </c>
      <c r="L368" s="35">
        <f t="shared" si="408"/>
        <v>0</v>
      </c>
      <c r="M368" s="414">
        <f t="shared" si="409"/>
        <v>0</v>
      </c>
      <c r="N368" s="329">
        <f t="shared" si="376"/>
        <v>0</v>
      </c>
      <c r="O368" s="35">
        <f t="shared" si="410"/>
        <v>24.19999999999709</v>
      </c>
      <c r="P368" s="414">
        <f t="shared" si="411"/>
        <v>0</v>
      </c>
      <c r="Q368" s="329">
        <f t="shared" si="377"/>
        <v>0</v>
      </c>
      <c r="R368" s="35">
        <f t="shared" si="412"/>
        <v>0</v>
      </c>
      <c r="S368" s="414">
        <f t="shared" si="413"/>
        <v>0</v>
      </c>
      <c r="T368" s="880">
        <f>[5]Sheet1!$B782</f>
        <v>7.294E-6</v>
      </c>
      <c r="U368" s="10">
        <f t="shared" si="400"/>
        <v>44008</v>
      </c>
      <c r="V368" s="881">
        <f t="shared" si="401"/>
        <v>8.8743666666666677E-4</v>
      </c>
    </row>
    <row r="369" spans="1:22" x14ac:dyDescent="0.25">
      <c r="A369" s="336">
        <f>A368+3</f>
        <v>44011</v>
      </c>
      <c r="B369" s="329">
        <f t="shared" si="372"/>
        <v>0</v>
      </c>
      <c r="C369" s="338">
        <f t="shared" si="402"/>
        <v>457497.65000000014</v>
      </c>
      <c r="D369" s="414">
        <f t="shared" si="403"/>
        <v>3.34</v>
      </c>
      <c r="E369" s="49">
        <f t="shared" si="373"/>
        <v>0</v>
      </c>
      <c r="F369" s="35">
        <f t="shared" si="404"/>
        <v>0</v>
      </c>
      <c r="G369" s="414">
        <f t="shared" si="405"/>
        <v>0</v>
      </c>
      <c r="H369" s="49">
        <f t="shared" si="374"/>
        <v>0</v>
      </c>
      <c r="I369" s="35">
        <f t="shared" si="406"/>
        <v>55564.050000000148</v>
      </c>
      <c r="J369" s="414">
        <f t="shared" si="407"/>
        <v>0.41</v>
      </c>
      <c r="K369" s="329">
        <f t="shared" si="375"/>
        <v>0</v>
      </c>
      <c r="L369" s="35">
        <f t="shared" si="408"/>
        <v>0</v>
      </c>
      <c r="M369" s="414">
        <f t="shared" si="409"/>
        <v>0</v>
      </c>
      <c r="N369" s="329">
        <f t="shared" si="376"/>
        <v>0</v>
      </c>
      <c r="O369" s="35">
        <f t="shared" si="410"/>
        <v>24.19999999999709</v>
      </c>
      <c r="P369" s="414">
        <f t="shared" si="411"/>
        <v>0</v>
      </c>
      <c r="Q369" s="329">
        <f t="shared" si="377"/>
        <v>0</v>
      </c>
      <c r="R369" s="35">
        <f t="shared" si="412"/>
        <v>0</v>
      </c>
      <c r="S369" s="414">
        <f t="shared" si="413"/>
        <v>0</v>
      </c>
      <c r="T369" s="880">
        <f>[5]Sheet1!$B783</f>
        <v>2.306E-6</v>
      </c>
      <c r="U369" s="10">
        <f t="shared" ref="U369:U371" si="414">A369</f>
        <v>44011</v>
      </c>
      <c r="V369" s="881">
        <f t="shared" ref="V369:V371" si="415">T369*365/(A370-A369)</f>
        <v>8.4168999999999997E-4</v>
      </c>
    </row>
    <row r="370" spans="1:22" x14ac:dyDescent="0.25">
      <c r="A370" s="335">
        <f>A369+1</f>
        <v>44012</v>
      </c>
      <c r="B370" s="329">
        <f t="shared" si="372"/>
        <v>0</v>
      </c>
      <c r="C370" s="338">
        <f t="shared" si="402"/>
        <v>457497.65000000014</v>
      </c>
      <c r="D370" s="414">
        <f t="shared" si="403"/>
        <v>1.05</v>
      </c>
      <c r="E370" s="49">
        <f t="shared" si="373"/>
        <v>0</v>
      </c>
      <c r="F370" s="35">
        <f t="shared" si="404"/>
        <v>0</v>
      </c>
      <c r="G370" s="414">
        <f t="shared" si="405"/>
        <v>0</v>
      </c>
      <c r="H370" s="49">
        <f t="shared" si="374"/>
        <v>0</v>
      </c>
      <c r="I370" s="35">
        <f t="shared" si="406"/>
        <v>55564.050000000148</v>
      </c>
      <c r="J370" s="414">
        <f t="shared" si="407"/>
        <v>0.13</v>
      </c>
      <c r="K370" s="329">
        <f t="shared" si="375"/>
        <v>0</v>
      </c>
      <c r="L370" s="35">
        <f t="shared" si="408"/>
        <v>0</v>
      </c>
      <c r="M370" s="414">
        <f t="shared" si="409"/>
        <v>0</v>
      </c>
      <c r="N370" s="329">
        <f t="shared" si="376"/>
        <v>0</v>
      </c>
      <c r="O370" s="35">
        <f t="shared" si="410"/>
        <v>24.19999999999709</v>
      </c>
      <c r="P370" s="414">
        <f t="shared" si="411"/>
        <v>0</v>
      </c>
      <c r="Q370" s="329">
        <f t="shared" si="377"/>
        <v>0</v>
      </c>
      <c r="R370" s="35">
        <f t="shared" si="412"/>
        <v>0</v>
      </c>
      <c r="S370" s="414">
        <f t="shared" si="413"/>
        <v>0</v>
      </c>
      <c r="T370" s="880">
        <f>[5]Sheet1!$B784</f>
        <v>2.3350000000000001E-6</v>
      </c>
      <c r="U370" s="10">
        <f t="shared" si="414"/>
        <v>44012</v>
      </c>
      <c r="V370" s="881">
        <f t="shared" si="415"/>
        <v>8.5227499999999999E-4</v>
      </c>
    </row>
    <row r="371" spans="1:22" x14ac:dyDescent="0.25">
      <c r="A371" s="335">
        <f>A370+1</f>
        <v>44013</v>
      </c>
      <c r="B371" s="329">
        <f t="shared" si="372"/>
        <v>0</v>
      </c>
      <c r="C371" s="338">
        <f t="shared" si="402"/>
        <v>457497.65000000014</v>
      </c>
      <c r="D371" s="414">
        <f t="shared" si="403"/>
        <v>1.07</v>
      </c>
      <c r="E371" s="49">
        <f t="shared" si="373"/>
        <v>0</v>
      </c>
      <c r="F371" s="35">
        <f t="shared" si="404"/>
        <v>0</v>
      </c>
      <c r="G371" s="414">
        <f t="shared" si="405"/>
        <v>0</v>
      </c>
      <c r="H371" s="49">
        <f t="shared" si="374"/>
        <v>0</v>
      </c>
      <c r="I371" s="35">
        <f t="shared" si="406"/>
        <v>55564.050000000148</v>
      </c>
      <c r="J371" s="414">
        <f t="shared" si="407"/>
        <v>0.13</v>
      </c>
      <c r="K371" s="329">
        <f t="shared" si="375"/>
        <v>0</v>
      </c>
      <c r="L371" s="35">
        <f t="shared" si="408"/>
        <v>0</v>
      </c>
      <c r="M371" s="414">
        <f t="shared" si="409"/>
        <v>0</v>
      </c>
      <c r="N371" s="329">
        <f t="shared" si="376"/>
        <v>0</v>
      </c>
      <c r="O371" s="35">
        <f t="shared" si="410"/>
        <v>24.19999999999709</v>
      </c>
      <c r="P371" s="414">
        <f t="shared" si="411"/>
        <v>0</v>
      </c>
      <c r="Q371" s="329">
        <f t="shared" si="377"/>
        <v>0</v>
      </c>
      <c r="R371" s="35">
        <f t="shared" si="412"/>
        <v>0</v>
      </c>
      <c r="S371" s="414">
        <f t="shared" si="413"/>
        <v>0</v>
      </c>
      <c r="T371" s="880">
        <f>[5]Sheet1!$B785</f>
        <v>2.435E-6</v>
      </c>
      <c r="U371" s="10">
        <f t="shared" si="414"/>
        <v>44013</v>
      </c>
      <c r="V371" s="881">
        <f t="shared" si="415"/>
        <v>8.8877499999999996E-4</v>
      </c>
    </row>
    <row r="372" spans="1:22" x14ac:dyDescent="0.25">
      <c r="A372" s="335">
        <f>A371+1</f>
        <v>44014</v>
      </c>
      <c r="B372" s="329">
        <f t="shared" si="372"/>
        <v>21.65</v>
      </c>
      <c r="C372" s="338">
        <f t="shared" si="402"/>
        <v>457519.30000000016</v>
      </c>
      <c r="D372" s="414">
        <f t="shared" si="403"/>
        <v>1.1100000000000001</v>
      </c>
      <c r="E372" s="49">
        <f t="shared" si="373"/>
        <v>0</v>
      </c>
      <c r="F372" s="35">
        <f t="shared" si="404"/>
        <v>0</v>
      </c>
      <c r="G372" s="414">
        <f t="shared" si="405"/>
        <v>0</v>
      </c>
      <c r="H372" s="49">
        <f t="shared" si="374"/>
        <v>4.3099999999999996</v>
      </c>
      <c r="I372" s="35">
        <f t="shared" si="406"/>
        <v>55568.360000000146</v>
      </c>
      <c r="J372" s="414">
        <f t="shared" si="407"/>
        <v>0.14000000000000001</v>
      </c>
      <c r="K372" s="329">
        <f t="shared" si="375"/>
        <v>0</v>
      </c>
      <c r="L372" s="35">
        <f t="shared" si="408"/>
        <v>0</v>
      </c>
      <c r="M372" s="414">
        <f t="shared" si="409"/>
        <v>0</v>
      </c>
      <c r="N372" s="329">
        <f t="shared" si="376"/>
        <v>0.18</v>
      </c>
      <c r="O372" s="35">
        <f t="shared" si="410"/>
        <v>24.379999999997089</v>
      </c>
      <c r="P372" s="414">
        <f t="shared" si="411"/>
        <v>0</v>
      </c>
      <c r="Q372" s="329">
        <f t="shared" si="377"/>
        <v>0</v>
      </c>
      <c r="R372" s="35">
        <f t="shared" si="412"/>
        <v>0</v>
      </c>
      <c r="S372" s="414">
        <f t="shared" si="413"/>
        <v>0</v>
      </c>
      <c r="T372" s="880">
        <f>[5]Sheet1!$B786</f>
        <v>1.0626E-5</v>
      </c>
      <c r="U372" s="10">
        <f t="shared" ref="U372:U375" si="416">A372</f>
        <v>44014</v>
      </c>
      <c r="V372" s="881">
        <f t="shared" ref="V372:V375" si="417">T372*365/(A373-A372)</f>
        <v>9.6962249999999991E-4</v>
      </c>
    </row>
    <row r="373" spans="1:22" x14ac:dyDescent="0.25">
      <c r="A373" s="336">
        <f>A372+4</f>
        <v>44018</v>
      </c>
      <c r="B373" s="329">
        <f t="shared" si="372"/>
        <v>0</v>
      </c>
      <c r="C373" s="338">
        <f t="shared" si="402"/>
        <v>457519.30000000016</v>
      </c>
      <c r="D373" s="414">
        <f t="shared" si="403"/>
        <v>4.8600000000000003</v>
      </c>
      <c r="E373" s="49">
        <f t="shared" si="373"/>
        <v>0</v>
      </c>
      <c r="F373" s="35">
        <f t="shared" si="404"/>
        <v>0</v>
      </c>
      <c r="G373" s="414">
        <f t="shared" si="405"/>
        <v>0</v>
      </c>
      <c r="H373" s="49">
        <f t="shared" si="374"/>
        <v>0</v>
      </c>
      <c r="I373" s="35">
        <f t="shared" si="406"/>
        <v>55568.360000000146</v>
      </c>
      <c r="J373" s="414">
        <f t="shared" si="407"/>
        <v>0.59</v>
      </c>
      <c r="K373" s="329">
        <f t="shared" si="375"/>
        <v>0</v>
      </c>
      <c r="L373" s="35">
        <f t="shared" si="408"/>
        <v>0</v>
      </c>
      <c r="M373" s="414">
        <f t="shared" si="409"/>
        <v>0</v>
      </c>
      <c r="N373" s="329">
        <f t="shared" si="376"/>
        <v>0</v>
      </c>
      <c r="O373" s="35">
        <f t="shared" si="410"/>
        <v>24.379999999997089</v>
      </c>
      <c r="P373" s="414">
        <f t="shared" si="411"/>
        <v>0</v>
      </c>
      <c r="Q373" s="329">
        <f t="shared" si="377"/>
        <v>0</v>
      </c>
      <c r="R373" s="35">
        <f t="shared" si="412"/>
        <v>0</v>
      </c>
      <c r="S373" s="414">
        <f t="shared" si="413"/>
        <v>0</v>
      </c>
      <c r="T373" s="880">
        <f>[5]Sheet1!$B787</f>
        <v>2.5610000000000001E-6</v>
      </c>
      <c r="U373" s="10">
        <f t="shared" si="416"/>
        <v>44018</v>
      </c>
      <c r="V373" s="881">
        <f t="shared" si="417"/>
        <v>9.3476500000000005E-4</v>
      </c>
    </row>
    <row r="374" spans="1:22" x14ac:dyDescent="0.25">
      <c r="A374" s="335">
        <f>A373+1</f>
        <v>44019</v>
      </c>
      <c r="B374" s="329">
        <f t="shared" si="372"/>
        <v>0</v>
      </c>
      <c r="C374" s="338">
        <f t="shared" si="402"/>
        <v>457519.30000000016</v>
      </c>
      <c r="D374" s="414">
        <f t="shared" si="403"/>
        <v>1.17</v>
      </c>
      <c r="E374" s="49">
        <f t="shared" si="373"/>
        <v>0</v>
      </c>
      <c r="F374" s="35">
        <f t="shared" si="404"/>
        <v>0</v>
      </c>
      <c r="G374" s="414">
        <f t="shared" si="405"/>
        <v>0</v>
      </c>
      <c r="H374" s="49">
        <f t="shared" si="374"/>
        <v>0</v>
      </c>
      <c r="I374" s="35">
        <f t="shared" si="406"/>
        <v>55568.360000000146</v>
      </c>
      <c r="J374" s="414">
        <f t="shared" si="407"/>
        <v>0.14000000000000001</v>
      </c>
      <c r="K374" s="329">
        <f t="shared" si="375"/>
        <v>0</v>
      </c>
      <c r="L374" s="35">
        <f t="shared" si="408"/>
        <v>0</v>
      </c>
      <c r="M374" s="414">
        <f t="shared" si="409"/>
        <v>0</v>
      </c>
      <c r="N374" s="329">
        <f t="shared" si="376"/>
        <v>0</v>
      </c>
      <c r="O374" s="35">
        <f t="shared" si="410"/>
        <v>24.379999999997089</v>
      </c>
      <c r="P374" s="414">
        <f t="shared" si="411"/>
        <v>0</v>
      </c>
      <c r="Q374" s="329">
        <f t="shared" si="377"/>
        <v>0</v>
      </c>
      <c r="R374" s="35">
        <f t="shared" si="412"/>
        <v>0</v>
      </c>
      <c r="S374" s="414">
        <f t="shared" si="413"/>
        <v>0</v>
      </c>
      <c r="T374" s="880">
        <f>[5]Sheet1!$B788</f>
        <v>2.4779999999999998E-6</v>
      </c>
      <c r="U374" s="10">
        <f t="shared" si="416"/>
        <v>44019</v>
      </c>
      <c r="V374" s="881">
        <f t="shared" si="417"/>
        <v>9.0446999999999988E-4</v>
      </c>
    </row>
    <row r="375" spans="1:22" x14ac:dyDescent="0.25">
      <c r="A375" s="335">
        <f>A374+1</f>
        <v>44020</v>
      </c>
      <c r="B375" s="329">
        <f t="shared" si="372"/>
        <v>0</v>
      </c>
      <c r="C375" s="338">
        <f t="shared" si="402"/>
        <v>457519.30000000016</v>
      </c>
      <c r="D375" s="414">
        <f t="shared" si="403"/>
        <v>1.1299999999999999</v>
      </c>
      <c r="E375" s="49">
        <f t="shared" si="373"/>
        <v>0</v>
      </c>
      <c r="F375" s="35">
        <f t="shared" si="404"/>
        <v>0</v>
      </c>
      <c r="G375" s="414">
        <f t="shared" si="405"/>
        <v>0</v>
      </c>
      <c r="H375" s="49">
        <f t="shared" si="374"/>
        <v>0</v>
      </c>
      <c r="I375" s="35">
        <f t="shared" si="406"/>
        <v>55568.360000000146</v>
      </c>
      <c r="J375" s="414">
        <f t="shared" si="407"/>
        <v>0.14000000000000001</v>
      </c>
      <c r="K375" s="329">
        <f t="shared" si="375"/>
        <v>0</v>
      </c>
      <c r="L375" s="35">
        <f t="shared" si="408"/>
        <v>0</v>
      </c>
      <c r="M375" s="414">
        <f t="shared" si="409"/>
        <v>0</v>
      </c>
      <c r="N375" s="329">
        <f t="shared" si="376"/>
        <v>0</v>
      </c>
      <c r="O375" s="35">
        <f t="shared" si="410"/>
        <v>24.379999999997089</v>
      </c>
      <c r="P375" s="414">
        <f t="shared" si="411"/>
        <v>0</v>
      </c>
      <c r="Q375" s="329">
        <f t="shared" si="377"/>
        <v>0</v>
      </c>
      <c r="R375" s="35">
        <f t="shared" si="412"/>
        <v>0</v>
      </c>
      <c r="S375" s="414">
        <f t="shared" si="413"/>
        <v>0</v>
      </c>
      <c r="T375" s="880">
        <f>[5]Sheet1!$B789</f>
        <v>2.4540000000000001E-6</v>
      </c>
      <c r="U375" s="10">
        <f t="shared" si="416"/>
        <v>44020</v>
      </c>
      <c r="V375" s="881">
        <f t="shared" si="417"/>
        <v>8.9571000000000008E-4</v>
      </c>
    </row>
    <row r="376" spans="1:22" x14ac:dyDescent="0.25">
      <c r="A376" s="335">
        <f>A375+1</f>
        <v>44021</v>
      </c>
      <c r="B376" s="329">
        <f t="shared" si="372"/>
        <v>0</v>
      </c>
      <c r="C376" s="338">
        <f t="shared" si="402"/>
        <v>457519.30000000016</v>
      </c>
      <c r="D376" s="414">
        <f t="shared" si="403"/>
        <v>1.1200000000000001</v>
      </c>
      <c r="E376" s="49">
        <f t="shared" si="373"/>
        <v>0</v>
      </c>
      <c r="F376" s="35">
        <f t="shared" si="404"/>
        <v>0</v>
      </c>
      <c r="G376" s="414">
        <f t="shared" si="405"/>
        <v>0</v>
      </c>
      <c r="H376" s="49">
        <f t="shared" si="374"/>
        <v>0</v>
      </c>
      <c r="I376" s="35">
        <f t="shared" si="406"/>
        <v>55568.360000000146</v>
      </c>
      <c r="J376" s="414">
        <f t="shared" si="407"/>
        <v>0.14000000000000001</v>
      </c>
      <c r="K376" s="329">
        <f t="shared" si="375"/>
        <v>0</v>
      </c>
      <c r="L376" s="35">
        <f t="shared" si="408"/>
        <v>0</v>
      </c>
      <c r="M376" s="414">
        <f t="shared" si="409"/>
        <v>0</v>
      </c>
      <c r="N376" s="329">
        <f t="shared" si="376"/>
        <v>0</v>
      </c>
      <c r="O376" s="35">
        <f t="shared" si="410"/>
        <v>24.379999999997089</v>
      </c>
      <c r="P376" s="414">
        <f t="shared" si="411"/>
        <v>0</v>
      </c>
      <c r="Q376" s="329">
        <f t="shared" si="377"/>
        <v>0</v>
      </c>
      <c r="R376" s="35">
        <f t="shared" si="412"/>
        <v>0</v>
      </c>
      <c r="S376" s="414">
        <f t="shared" si="413"/>
        <v>0</v>
      </c>
      <c r="T376" s="880">
        <f>[5]Sheet1!$B790</f>
        <v>2.4870000000000001E-6</v>
      </c>
      <c r="U376" s="10">
        <f t="shared" ref="U376:U381" si="418">A376</f>
        <v>44021</v>
      </c>
      <c r="V376" s="881">
        <f t="shared" ref="V376:V381" si="419">T376*365/(A377-A376)</f>
        <v>9.07755E-4</v>
      </c>
    </row>
    <row r="377" spans="1:22" x14ac:dyDescent="0.25">
      <c r="A377" s="335">
        <f>A376+1</f>
        <v>44022</v>
      </c>
      <c r="B377" s="329">
        <f t="shared" si="372"/>
        <v>357000</v>
      </c>
      <c r="C377" s="338">
        <f t="shared" si="402"/>
        <v>814519.30000000016</v>
      </c>
      <c r="D377" s="414">
        <f t="shared" si="403"/>
        <v>1.1399999999999999</v>
      </c>
      <c r="E377" s="49">
        <f t="shared" si="373"/>
        <v>0</v>
      </c>
      <c r="F377" s="35">
        <f t="shared" si="404"/>
        <v>0</v>
      </c>
      <c r="G377" s="414">
        <f t="shared" si="405"/>
        <v>0</v>
      </c>
      <c r="H377" s="49">
        <f t="shared" si="374"/>
        <v>0</v>
      </c>
      <c r="I377" s="35">
        <f t="shared" si="406"/>
        <v>55568.360000000146</v>
      </c>
      <c r="J377" s="414">
        <f t="shared" si="407"/>
        <v>0.14000000000000001</v>
      </c>
      <c r="K377" s="329">
        <f t="shared" si="375"/>
        <v>0</v>
      </c>
      <c r="L377" s="35">
        <f t="shared" si="408"/>
        <v>0</v>
      </c>
      <c r="M377" s="414">
        <f t="shared" si="409"/>
        <v>0</v>
      </c>
      <c r="N377" s="329">
        <f t="shared" si="376"/>
        <v>0</v>
      </c>
      <c r="O377" s="35">
        <f t="shared" si="410"/>
        <v>24.379999999997089</v>
      </c>
      <c r="P377" s="414">
        <f t="shared" si="411"/>
        <v>0</v>
      </c>
      <c r="Q377" s="329">
        <f t="shared" si="377"/>
        <v>0</v>
      </c>
      <c r="R377" s="35">
        <f t="shared" si="412"/>
        <v>0</v>
      </c>
      <c r="S377" s="414">
        <f t="shared" si="413"/>
        <v>0</v>
      </c>
      <c r="T377" s="880">
        <f>[5]Sheet1!$B791</f>
        <v>6.9779999999999999E-6</v>
      </c>
      <c r="U377" s="10">
        <f t="shared" si="418"/>
        <v>44022</v>
      </c>
      <c r="V377" s="881">
        <f t="shared" si="419"/>
        <v>8.4898999999999999E-4</v>
      </c>
    </row>
    <row r="378" spans="1:22" x14ac:dyDescent="0.25">
      <c r="A378" s="336">
        <f>A377+3</f>
        <v>44025</v>
      </c>
      <c r="B378" s="329">
        <f t="shared" si="372"/>
        <v>0</v>
      </c>
      <c r="C378" s="338">
        <f t="shared" si="402"/>
        <v>814519.30000000016</v>
      </c>
      <c r="D378" s="414">
        <f t="shared" si="403"/>
        <v>5.68</v>
      </c>
      <c r="E378" s="49">
        <f t="shared" si="373"/>
        <v>0</v>
      </c>
      <c r="F378" s="35">
        <f t="shared" si="404"/>
        <v>0</v>
      </c>
      <c r="G378" s="414">
        <f t="shared" si="405"/>
        <v>0</v>
      </c>
      <c r="H378" s="49">
        <f t="shared" si="374"/>
        <v>0</v>
      </c>
      <c r="I378" s="35">
        <f t="shared" si="406"/>
        <v>55568.360000000146</v>
      </c>
      <c r="J378" s="414">
        <f t="shared" si="407"/>
        <v>0.39</v>
      </c>
      <c r="K378" s="329">
        <f t="shared" si="375"/>
        <v>0</v>
      </c>
      <c r="L378" s="35">
        <f t="shared" si="408"/>
        <v>0</v>
      </c>
      <c r="M378" s="414">
        <f t="shared" si="409"/>
        <v>0</v>
      </c>
      <c r="N378" s="329">
        <f t="shared" si="376"/>
        <v>0</v>
      </c>
      <c r="O378" s="35">
        <f t="shared" si="410"/>
        <v>24.379999999997089</v>
      </c>
      <c r="P378" s="414">
        <f t="shared" si="411"/>
        <v>0</v>
      </c>
      <c r="Q378" s="329">
        <f t="shared" si="377"/>
        <v>0</v>
      </c>
      <c r="R378" s="35">
        <f t="shared" si="412"/>
        <v>0</v>
      </c>
      <c r="S378" s="414">
        <f t="shared" si="413"/>
        <v>0</v>
      </c>
      <c r="T378" s="880">
        <f>[5]Sheet1!$B792</f>
        <v>2.1490000000000001E-6</v>
      </c>
      <c r="U378" s="10">
        <f t="shared" si="418"/>
        <v>44025</v>
      </c>
      <c r="V378" s="881">
        <f t="shared" si="419"/>
        <v>7.8438500000000007E-4</v>
      </c>
    </row>
    <row r="379" spans="1:22" x14ac:dyDescent="0.25">
      <c r="A379" s="335">
        <f>A378+1</f>
        <v>44026</v>
      </c>
      <c r="B379" s="329">
        <f t="shared" si="372"/>
        <v>0</v>
      </c>
      <c r="C379" s="338">
        <f t="shared" si="402"/>
        <v>814519.30000000016</v>
      </c>
      <c r="D379" s="414">
        <f t="shared" si="403"/>
        <v>1.75</v>
      </c>
      <c r="E379" s="49">
        <f t="shared" si="373"/>
        <v>0</v>
      </c>
      <c r="F379" s="35">
        <f t="shared" si="404"/>
        <v>0</v>
      </c>
      <c r="G379" s="414">
        <f t="shared" si="405"/>
        <v>0</v>
      </c>
      <c r="H379" s="49">
        <f t="shared" si="374"/>
        <v>0</v>
      </c>
      <c r="I379" s="35">
        <f t="shared" si="406"/>
        <v>55568.360000000146</v>
      </c>
      <c r="J379" s="414">
        <f t="shared" si="407"/>
        <v>0.12</v>
      </c>
      <c r="K379" s="329">
        <f t="shared" si="375"/>
        <v>0</v>
      </c>
      <c r="L379" s="35">
        <f t="shared" si="408"/>
        <v>0</v>
      </c>
      <c r="M379" s="414">
        <f t="shared" si="409"/>
        <v>0</v>
      </c>
      <c r="N379" s="329">
        <f t="shared" si="376"/>
        <v>0</v>
      </c>
      <c r="O379" s="35">
        <f t="shared" si="410"/>
        <v>24.379999999997089</v>
      </c>
      <c r="P379" s="414">
        <f t="shared" si="411"/>
        <v>0</v>
      </c>
      <c r="Q379" s="329">
        <f t="shared" si="377"/>
        <v>0</v>
      </c>
      <c r="R379" s="35">
        <f t="shared" si="412"/>
        <v>0</v>
      </c>
      <c r="S379" s="414">
        <f t="shared" si="413"/>
        <v>0</v>
      </c>
      <c r="T379" s="880">
        <f>[5]Sheet1!$B793</f>
        <v>2.2460000000000002E-6</v>
      </c>
      <c r="U379" s="10">
        <f t="shared" si="418"/>
        <v>44026</v>
      </c>
      <c r="V379" s="881">
        <f t="shared" si="419"/>
        <v>8.1979000000000004E-4</v>
      </c>
    </row>
    <row r="380" spans="1:22" x14ac:dyDescent="0.25">
      <c r="A380" s="335">
        <f>A379+1</f>
        <v>44027</v>
      </c>
      <c r="B380" s="329">
        <f t="shared" si="372"/>
        <v>0</v>
      </c>
      <c r="C380" s="338">
        <f t="shared" si="402"/>
        <v>814519.30000000016</v>
      </c>
      <c r="D380" s="414">
        <f t="shared" si="403"/>
        <v>1.83</v>
      </c>
      <c r="E380" s="49">
        <f t="shared" si="373"/>
        <v>0</v>
      </c>
      <c r="F380" s="35">
        <f t="shared" si="404"/>
        <v>0</v>
      </c>
      <c r="G380" s="414">
        <f t="shared" si="405"/>
        <v>0</v>
      </c>
      <c r="H380" s="49">
        <f t="shared" si="374"/>
        <v>0</v>
      </c>
      <c r="I380" s="35">
        <f t="shared" si="406"/>
        <v>55568.360000000146</v>
      </c>
      <c r="J380" s="414">
        <f t="shared" si="407"/>
        <v>0.12</v>
      </c>
      <c r="K380" s="329">
        <f t="shared" si="375"/>
        <v>0</v>
      </c>
      <c r="L380" s="35">
        <f t="shared" si="408"/>
        <v>0</v>
      </c>
      <c r="M380" s="414">
        <f t="shared" si="409"/>
        <v>0</v>
      </c>
      <c r="N380" s="329">
        <f t="shared" si="376"/>
        <v>0</v>
      </c>
      <c r="O380" s="35">
        <f t="shared" si="410"/>
        <v>24.379999999997089</v>
      </c>
      <c r="P380" s="414">
        <f t="shared" si="411"/>
        <v>0</v>
      </c>
      <c r="Q380" s="329">
        <f t="shared" si="377"/>
        <v>0</v>
      </c>
      <c r="R380" s="35">
        <f t="shared" si="412"/>
        <v>0</v>
      </c>
      <c r="S380" s="414">
        <f t="shared" si="413"/>
        <v>0</v>
      </c>
      <c r="T380" s="880">
        <f>[5]Sheet1!$B794</f>
        <v>2.5639999999999999E-6</v>
      </c>
      <c r="U380" s="10">
        <f t="shared" si="418"/>
        <v>44027</v>
      </c>
      <c r="V380" s="881">
        <f t="shared" si="419"/>
        <v>9.3585999999999995E-4</v>
      </c>
    </row>
    <row r="381" spans="1:22" x14ac:dyDescent="0.25">
      <c r="A381" s="335">
        <f>A380+1</f>
        <v>44028</v>
      </c>
      <c r="B381" s="329">
        <f t="shared" si="372"/>
        <v>-801206.16</v>
      </c>
      <c r="C381" s="338">
        <f t="shared" si="402"/>
        <v>13313.14000000013</v>
      </c>
      <c r="D381" s="414">
        <f t="shared" si="403"/>
        <v>2.09</v>
      </c>
      <c r="E381" s="49">
        <f t="shared" si="373"/>
        <v>0</v>
      </c>
      <c r="F381" s="35">
        <f t="shared" si="404"/>
        <v>0</v>
      </c>
      <c r="G381" s="414">
        <f t="shared" si="405"/>
        <v>0</v>
      </c>
      <c r="H381" s="49">
        <f t="shared" si="374"/>
        <v>0</v>
      </c>
      <c r="I381" s="35">
        <f t="shared" si="406"/>
        <v>55568.360000000146</v>
      </c>
      <c r="J381" s="414">
        <f t="shared" si="407"/>
        <v>0.14000000000000001</v>
      </c>
      <c r="K381" s="329">
        <f t="shared" si="375"/>
        <v>0</v>
      </c>
      <c r="L381" s="35">
        <f t="shared" si="408"/>
        <v>0</v>
      </c>
      <c r="M381" s="414">
        <f t="shared" si="409"/>
        <v>0</v>
      </c>
      <c r="N381" s="329">
        <f t="shared" si="376"/>
        <v>0</v>
      </c>
      <c r="O381" s="35">
        <f t="shared" si="410"/>
        <v>24.379999999997089</v>
      </c>
      <c r="P381" s="414">
        <f t="shared" si="411"/>
        <v>0</v>
      </c>
      <c r="Q381" s="329">
        <f t="shared" si="377"/>
        <v>0</v>
      </c>
      <c r="R381" s="35">
        <f t="shared" si="412"/>
        <v>0</v>
      </c>
      <c r="S381" s="414">
        <f t="shared" si="413"/>
        <v>0</v>
      </c>
      <c r="T381" s="880">
        <f>[5]Sheet1!$B795</f>
        <v>2.5059999999999998E-6</v>
      </c>
      <c r="U381" s="10">
        <f t="shared" si="418"/>
        <v>44028</v>
      </c>
      <c r="V381" s="881">
        <f t="shared" si="419"/>
        <v>9.146899999999999E-4</v>
      </c>
    </row>
    <row r="382" spans="1:22" x14ac:dyDescent="0.25">
      <c r="A382" s="335">
        <f>A381+1</f>
        <v>44029</v>
      </c>
      <c r="B382" s="329">
        <f t="shared" si="372"/>
        <v>0</v>
      </c>
      <c r="C382" s="338">
        <f t="shared" si="402"/>
        <v>13313.14000000013</v>
      </c>
      <c r="D382" s="414">
        <f t="shared" si="403"/>
        <v>0.03</v>
      </c>
      <c r="E382" s="49">
        <f t="shared" si="373"/>
        <v>0</v>
      </c>
      <c r="F382" s="35">
        <f t="shared" si="404"/>
        <v>0</v>
      </c>
      <c r="G382" s="414">
        <f t="shared" si="405"/>
        <v>0</v>
      </c>
      <c r="H382" s="49">
        <f t="shared" si="374"/>
        <v>0</v>
      </c>
      <c r="I382" s="35">
        <f t="shared" si="406"/>
        <v>55568.360000000146</v>
      </c>
      <c r="J382" s="414">
        <f t="shared" si="407"/>
        <v>0.14000000000000001</v>
      </c>
      <c r="K382" s="329">
        <f t="shared" si="375"/>
        <v>0</v>
      </c>
      <c r="L382" s="35">
        <f t="shared" si="408"/>
        <v>0</v>
      </c>
      <c r="M382" s="414">
        <f t="shared" si="409"/>
        <v>0</v>
      </c>
      <c r="N382" s="329">
        <f t="shared" si="376"/>
        <v>0</v>
      </c>
      <c r="O382" s="35">
        <f t="shared" si="410"/>
        <v>24.379999999997089</v>
      </c>
      <c r="P382" s="414">
        <f t="shared" si="411"/>
        <v>0</v>
      </c>
      <c r="Q382" s="329">
        <f t="shared" si="377"/>
        <v>0</v>
      </c>
      <c r="R382" s="35">
        <f t="shared" si="412"/>
        <v>0</v>
      </c>
      <c r="S382" s="414">
        <f t="shared" si="413"/>
        <v>0</v>
      </c>
      <c r="T382" s="880">
        <f>[5]Sheet1!$B796</f>
        <v>7.3699999999999997E-6</v>
      </c>
      <c r="U382" s="10">
        <f t="shared" ref="U382:U386" si="420">A382</f>
        <v>44029</v>
      </c>
      <c r="V382" s="881">
        <f t="shared" ref="V382:V386" si="421">T382*365/(A383-A382)</f>
        <v>8.9668333333333327E-4</v>
      </c>
    </row>
    <row r="383" spans="1:22" x14ac:dyDescent="0.25">
      <c r="A383" s="336">
        <f>A382+3</f>
        <v>44032</v>
      </c>
      <c r="B383" s="329">
        <f t="shared" si="372"/>
        <v>729909.11</v>
      </c>
      <c r="C383" s="338">
        <f t="shared" si="402"/>
        <v>743222.25000000012</v>
      </c>
      <c r="D383" s="414">
        <f t="shared" si="403"/>
        <v>0.1</v>
      </c>
      <c r="E383" s="49">
        <f t="shared" si="373"/>
        <v>0</v>
      </c>
      <c r="F383" s="35">
        <f t="shared" si="404"/>
        <v>0</v>
      </c>
      <c r="G383" s="414">
        <f t="shared" si="405"/>
        <v>0</v>
      </c>
      <c r="H383" s="49">
        <f t="shared" si="374"/>
        <v>-358.37</v>
      </c>
      <c r="I383" s="35">
        <f t="shared" si="406"/>
        <v>55209.990000000143</v>
      </c>
      <c r="J383" s="414">
        <f t="shared" si="407"/>
        <v>0.41</v>
      </c>
      <c r="K383" s="329">
        <f t="shared" si="375"/>
        <v>0</v>
      </c>
      <c r="L383" s="35">
        <f t="shared" si="408"/>
        <v>0</v>
      </c>
      <c r="M383" s="414">
        <f t="shared" si="409"/>
        <v>0</v>
      </c>
      <c r="N383" s="329">
        <f t="shared" si="376"/>
        <v>0</v>
      </c>
      <c r="O383" s="35">
        <f t="shared" si="410"/>
        <v>24.379999999997089</v>
      </c>
      <c r="P383" s="414">
        <f t="shared" si="411"/>
        <v>0</v>
      </c>
      <c r="Q383" s="329">
        <f t="shared" si="377"/>
        <v>0</v>
      </c>
      <c r="R383" s="35">
        <f t="shared" si="412"/>
        <v>0</v>
      </c>
      <c r="S383" s="414">
        <f t="shared" si="413"/>
        <v>0</v>
      </c>
      <c r="T383" s="880">
        <f>[5]Sheet1!$B797</f>
        <v>2.3599999999999999E-6</v>
      </c>
      <c r="U383" s="10">
        <f t="shared" si="420"/>
        <v>44032</v>
      </c>
      <c r="V383" s="881">
        <f t="shared" si="421"/>
        <v>8.613999999999999E-4</v>
      </c>
    </row>
    <row r="384" spans="1:22" x14ac:dyDescent="0.25">
      <c r="A384" s="335">
        <f>A383+1</f>
        <v>44033</v>
      </c>
      <c r="B384" s="329">
        <f t="shared" si="372"/>
        <v>0</v>
      </c>
      <c r="C384" s="338">
        <f t="shared" si="402"/>
        <v>743222.25000000012</v>
      </c>
      <c r="D384" s="414">
        <f t="shared" si="403"/>
        <v>1.75</v>
      </c>
      <c r="E384" s="49">
        <f t="shared" si="373"/>
        <v>0</v>
      </c>
      <c r="F384" s="35">
        <f t="shared" si="404"/>
        <v>0</v>
      </c>
      <c r="G384" s="414">
        <f t="shared" si="405"/>
        <v>0</v>
      </c>
      <c r="H384" s="49">
        <f t="shared" si="374"/>
        <v>0</v>
      </c>
      <c r="I384" s="35">
        <f t="shared" si="406"/>
        <v>55209.990000000143</v>
      </c>
      <c r="J384" s="414">
        <f t="shared" si="407"/>
        <v>0.13</v>
      </c>
      <c r="K384" s="329">
        <f t="shared" si="375"/>
        <v>0</v>
      </c>
      <c r="L384" s="35">
        <f t="shared" si="408"/>
        <v>0</v>
      </c>
      <c r="M384" s="414">
        <f t="shared" si="409"/>
        <v>0</v>
      </c>
      <c r="N384" s="329">
        <f t="shared" si="376"/>
        <v>0</v>
      </c>
      <c r="O384" s="35">
        <f t="shared" si="410"/>
        <v>24.379999999997089</v>
      </c>
      <c r="P384" s="414">
        <f t="shared" si="411"/>
        <v>0</v>
      </c>
      <c r="Q384" s="329">
        <f t="shared" si="377"/>
        <v>0</v>
      </c>
      <c r="R384" s="35">
        <f t="shared" si="412"/>
        <v>0</v>
      </c>
      <c r="S384" s="414">
        <f t="shared" si="413"/>
        <v>0</v>
      </c>
      <c r="T384" s="880">
        <f>[5]Sheet1!$B798</f>
        <v>2.2400000000000002E-6</v>
      </c>
      <c r="U384" s="10">
        <f t="shared" si="420"/>
        <v>44033</v>
      </c>
      <c r="V384" s="881">
        <f t="shared" si="421"/>
        <v>8.1760000000000003E-4</v>
      </c>
    </row>
    <row r="385" spans="1:22" x14ac:dyDescent="0.25">
      <c r="A385" s="335">
        <f>A384+1</f>
        <v>44034</v>
      </c>
      <c r="B385" s="329">
        <f t="shared" si="372"/>
        <v>0</v>
      </c>
      <c r="C385" s="338">
        <f t="shared" si="402"/>
        <v>743222.25000000012</v>
      </c>
      <c r="D385" s="414">
        <f t="shared" si="403"/>
        <v>1.66</v>
      </c>
      <c r="E385" s="49">
        <f t="shared" si="373"/>
        <v>0</v>
      </c>
      <c r="F385" s="35">
        <f t="shared" si="404"/>
        <v>0</v>
      </c>
      <c r="G385" s="414">
        <f t="shared" si="405"/>
        <v>0</v>
      </c>
      <c r="H385" s="49">
        <f t="shared" si="374"/>
        <v>0</v>
      </c>
      <c r="I385" s="35">
        <f t="shared" si="406"/>
        <v>55209.990000000143</v>
      </c>
      <c r="J385" s="414">
        <f t="shared" si="407"/>
        <v>0.12</v>
      </c>
      <c r="K385" s="329">
        <f t="shared" si="375"/>
        <v>0</v>
      </c>
      <c r="L385" s="35">
        <f t="shared" si="408"/>
        <v>0</v>
      </c>
      <c r="M385" s="414">
        <f t="shared" si="409"/>
        <v>0</v>
      </c>
      <c r="N385" s="329">
        <f t="shared" si="376"/>
        <v>0</v>
      </c>
      <c r="O385" s="35">
        <f t="shared" si="410"/>
        <v>24.379999999997089</v>
      </c>
      <c r="P385" s="414">
        <f t="shared" si="411"/>
        <v>0</v>
      </c>
      <c r="Q385" s="329">
        <f t="shared" si="377"/>
        <v>0</v>
      </c>
      <c r="R385" s="35">
        <f t="shared" si="412"/>
        <v>0</v>
      </c>
      <c r="S385" s="414">
        <f t="shared" si="413"/>
        <v>0</v>
      </c>
      <c r="T385" s="880">
        <f>[5]Sheet1!$B799</f>
        <v>2.181E-6</v>
      </c>
      <c r="U385" s="10">
        <f t="shared" si="420"/>
        <v>44034</v>
      </c>
      <c r="V385" s="881">
        <f t="shared" si="421"/>
        <v>7.9606499999999999E-4</v>
      </c>
    </row>
    <row r="386" spans="1:22" x14ac:dyDescent="0.25">
      <c r="A386" s="335">
        <f>A385+1</f>
        <v>44035</v>
      </c>
      <c r="B386" s="329">
        <f t="shared" si="372"/>
        <v>0</v>
      </c>
      <c r="C386" s="338">
        <f t="shared" si="402"/>
        <v>743222.25000000012</v>
      </c>
      <c r="D386" s="414">
        <f t="shared" si="403"/>
        <v>1.62</v>
      </c>
      <c r="E386" s="49">
        <f t="shared" si="373"/>
        <v>0</v>
      </c>
      <c r="F386" s="35">
        <f t="shared" si="404"/>
        <v>0</v>
      </c>
      <c r="G386" s="414">
        <f t="shared" si="405"/>
        <v>0</v>
      </c>
      <c r="H386" s="49">
        <f t="shared" si="374"/>
        <v>0</v>
      </c>
      <c r="I386" s="35">
        <f t="shared" si="406"/>
        <v>55209.990000000143</v>
      </c>
      <c r="J386" s="414">
        <f t="shared" si="407"/>
        <v>0.12</v>
      </c>
      <c r="K386" s="329">
        <f t="shared" si="375"/>
        <v>0</v>
      </c>
      <c r="L386" s="35">
        <f t="shared" si="408"/>
        <v>0</v>
      </c>
      <c r="M386" s="414">
        <f t="shared" si="409"/>
        <v>0</v>
      </c>
      <c r="N386" s="329">
        <f t="shared" si="376"/>
        <v>0</v>
      </c>
      <c r="O386" s="35">
        <f t="shared" si="410"/>
        <v>24.379999999997089</v>
      </c>
      <c r="P386" s="414">
        <f t="shared" si="411"/>
        <v>0</v>
      </c>
      <c r="Q386" s="329">
        <f t="shared" si="377"/>
        <v>0</v>
      </c>
      <c r="R386" s="35">
        <f t="shared" si="412"/>
        <v>0</v>
      </c>
      <c r="S386" s="414">
        <f t="shared" si="413"/>
        <v>0</v>
      </c>
      <c r="T386" s="880">
        <f>[5]Sheet1!$B800</f>
        <v>2.2120000000000002E-6</v>
      </c>
      <c r="U386" s="10">
        <f t="shared" si="420"/>
        <v>44035</v>
      </c>
      <c r="V386" s="881">
        <f t="shared" si="421"/>
        <v>8.0738000000000001E-4</v>
      </c>
    </row>
    <row r="387" spans="1:22" x14ac:dyDescent="0.25">
      <c r="A387" s="335">
        <f>A386+1</f>
        <v>44036</v>
      </c>
      <c r="B387" s="329">
        <f t="shared" si="372"/>
        <v>0</v>
      </c>
      <c r="C387" s="338">
        <f t="shared" si="402"/>
        <v>743222.25000000012</v>
      </c>
      <c r="D387" s="414">
        <f t="shared" si="403"/>
        <v>1.64</v>
      </c>
      <c r="E387" s="49">
        <f t="shared" si="373"/>
        <v>0</v>
      </c>
      <c r="F387" s="35">
        <f t="shared" si="404"/>
        <v>0</v>
      </c>
      <c r="G387" s="414">
        <f t="shared" si="405"/>
        <v>0</v>
      </c>
      <c r="H387" s="49">
        <f t="shared" si="374"/>
        <v>0</v>
      </c>
      <c r="I387" s="35">
        <f t="shared" si="406"/>
        <v>55209.990000000143</v>
      </c>
      <c r="J387" s="414">
        <f t="shared" si="407"/>
        <v>0.12</v>
      </c>
      <c r="K387" s="329">
        <f t="shared" si="375"/>
        <v>0</v>
      </c>
      <c r="L387" s="35">
        <f t="shared" si="408"/>
        <v>0</v>
      </c>
      <c r="M387" s="414">
        <f t="shared" si="409"/>
        <v>0</v>
      </c>
      <c r="N387" s="329">
        <f t="shared" si="376"/>
        <v>0</v>
      </c>
      <c r="O387" s="35">
        <f t="shared" si="410"/>
        <v>24.379999999997089</v>
      </c>
      <c r="P387" s="414">
        <f t="shared" si="411"/>
        <v>0</v>
      </c>
      <c r="Q387" s="329">
        <f t="shared" si="377"/>
        <v>0</v>
      </c>
      <c r="R387" s="35">
        <f t="shared" si="412"/>
        <v>0</v>
      </c>
      <c r="S387" s="414">
        <f t="shared" si="413"/>
        <v>0</v>
      </c>
      <c r="T387" s="880">
        <f>[5]Sheet1!$B801</f>
        <v>6.1659999999999999E-6</v>
      </c>
      <c r="U387" s="10">
        <f t="shared" ref="U387:U393" si="422">A387</f>
        <v>44036</v>
      </c>
      <c r="V387" s="881">
        <f t="shared" ref="V387:V393" si="423">T387*365/(A388-A387)</f>
        <v>7.501966666666666E-4</v>
      </c>
    </row>
    <row r="388" spans="1:22" x14ac:dyDescent="0.25">
      <c r="A388" s="336">
        <f>A387+3</f>
        <v>44039</v>
      </c>
      <c r="B388" s="329">
        <f t="shared" si="372"/>
        <v>0</v>
      </c>
      <c r="C388" s="338">
        <f t="shared" si="402"/>
        <v>743222.25000000012</v>
      </c>
      <c r="D388" s="414">
        <f t="shared" si="403"/>
        <v>4.58</v>
      </c>
      <c r="E388" s="49">
        <f t="shared" si="373"/>
        <v>0</v>
      </c>
      <c r="F388" s="35">
        <f t="shared" si="404"/>
        <v>0</v>
      </c>
      <c r="G388" s="414">
        <f t="shared" si="405"/>
        <v>0</v>
      </c>
      <c r="H388" s="49">
        <f t="shared" si="374"/>
        <v>0</v>
      </c>
      <c r="I388" s="35">
        <f t="shared" si="406"/>
        <v>55209.990000000143</v>
      </c>
      <c r="J388" s="414">
        <f t="shared" si="407"/>
        <v>0.34</v>
      </c>
      <c r="K388" s="329">
        <f t="shared" si="375"/>
        <v>0</v>
      </c>
      <c r="L388" s="35">
        <f t="shared" si="408"/>
        <v>0</v>
      </c>
      <c r="M388" s="414">
        <f t="shared" si="409"/>
        <v>0</v>
      </c>
      <c r="N388" s="329">
        <f t="shared" si="376"/>
        <v>0</v>
      </c>
      <c r="O388" s="35">
        <f t="shared" si="410"/>
        <v>24.379999999997089</v>
      </c>
      <c r="P388" s="414">
        <f t="shared" si="411"/>
        <v>0</v>
      </c>
      <c r="Q388" s="329">
        <f t="shared" si="377"/>
        <v>0</v>
      </c>
      <c r="R388" s="35">
        <f t="shared" si="412"/>
        <v>0</v>
      </c>
      <c r="S388" s="414">
        <f t="shared" si="413"/>
        <v>0</v>
      </c>
      <c r="T388" s="880">
        <f>[5]Sheet1!$B802</f>
        <v>2.0140000000000001E-6</v>
      </c>
      <c r="U388" s="10">
        <f t="shared" si="422"/>
        <v>44039</v>
      </c>
      <c r="V388" s="881">
        <f t="shared" si="423"/>
        <v>7.3511000000000008E-4</v>
      </c>
    </row>
    <row r="389" spans="1:22" x14ac:dyDescent="0.25">
      <c r="A389" s="335">
        <f>A388+1</f>
        <v>44040</v>
      </c>
      <c r="B389" s="329">
        <f t="shared" si="372"/>
        <v>0</v>
      </c>
      <c r="C389" s="338">
        <f t="shared" si="402"/>
        <v>743222.25000000012</v>
      </c>
      <c r="D389" s="414">
        <f t="shared" si="403"/>
        <v>1.5</v>
      </c>
      <c r="E389" s="49">
        <f t="shared" si="373"/>
        <v>0</v>
      </c>
      <c r="F389" s="35">
        <f t="shared" si="404"/>
        <v>0</v>
      </c>
      <c r="G389" s="414">
        <f t="shared" si="405"/>
        <v>0</v>
      </c>
      <c r="H389" s="49">
        <f t="shared" si="374"/>
        <v>0</v>
      </c>
      <c r="I389" s="35">
        <f t="shared" si="406"/>
        <v>55209.990000000143</v>
      </c>
      <c r="J389" s="414">
        <f t="shared" si="407"/>
        <v>0.11</v>
      </c>
      <c r="K389" s="329">
        <f t="shared" si="375"/>
        <v>0</v>
      </c>
      <c r="L389" s="35">
        <f t="shared" si="408"/>
        <v>0</v>
      </c>
      <c r="M389" s="414">
        <f t="shared" si="409"/>
        <v>0</v>
      </c>
      <c r="N389" s="329">
        <f t="shared" si="376"/>
        <v>0</v>
      </c>
      <c r="O389" s="35">
        <f t="shared" si="410"/>
        <v>24.379999999997089</v>
      </c>
      <c r="P389" s="414">
        <f t="shared" si="411"/>
        <v>0</v>
      </c>
      <c r="Q389" s="329">
        <f t="shared" si="377"/>
        <v>0</v>
      </c>
      <c r="R389" s="35">
        <f t="shared" si="412"/>
        <v>0</v>
      </c>
      <c r="S389" s="414">
        <f t="shared" si="413"/>
        <v>0</v>
      </c>
      <c r="T389" s="880">
        <f>[5]Sheet1!$B803</f>
        <v>1.9089999999999998E-6</v>
      </c>
      <c r="U389" s="10">
        <f t="shared" si="422"/>
        <v>44040</v>
      </c>
      <c r="V389" s="881">
        <f t="shared" si="423"/>
        <v>6.967849999999999E-4</v>
      </c>
    </row>
    <row r="390" spans="1:22" x14ac:dyDescent="0.25">
      <c r="A390" s="335">
        <f>A389+1</f>
        <v>44041</v>
      </c>
      <c r="B390" s="329">
        <f t="shared" si="372"/>
        <v>0</v>
      </c>
      <c r="C390" s="338">
        <f t="shared" si="402"/>
        <v>743222.25000000012</v>
      </c>
      <c r="D390" s="414">
        <f t="shared" si="403"/>
        <v>1.42</v>
      </c>
      <c r="E390" s="49">
        <f t="shared" si="373"/>
        <v>0</v>
      </c>
      <c r="F390" s="35">
        <f t="shared" si="404"/>
        <v>0</v>
      </c>
      <c r="G390" s="414">
        <f t="shared" si="405"/>
        <v>0</v>
      </c>
      <c r="H390" s="49">
        <f t="shared" si="374"/>
        <v>0</v>
      </c>
      <c r="I390" s="35">
        <f t="shared" si="406"/>
        <v>55209.990000000143</v>
      </c>
      <c r="J390" s="414">
        <f t="shared" si="407"/>
        <v>0.11</v>
      </c>
      <c r="K390" s="329">
        <f t="shared" si="375"/>
        <v>0</v>
      </c>
      <c r="L390" s="35">
        <f t="shared" si="408"/>
        <v>0</v>
      </c>
      <c r="M390" s="414">
        <f t="shared" si="409"/>
        <v>0</v>
      </c>
      <c r="N390" s="329">
        <f t="shared" si="376"/>
        <v>0</v>
      </c>
      <c r="O390" s="35">
        <f t="shared" si="410"/>
        <v>24.379999999997089</v>
      </c>
      <c r="P390" s="414">
        <f t="shared" si="411"/>
        <v>0</v>
      </c>
      <c r="Q390" s="329">
        <f t="shared" si="377"/>
        <v>0</v>
      </c>
      <c r="R390" s="35">
        <f t="shared" si="412"/>
        <v>0</v>
      </c>
      <c r="S390" s="414">
        <f t="shared" si="413"/>
        <v>0</v>
      </c>
      <c r="T390" s="880">
        <f>[5]Sheet1!$B804</f>
        <v>1.852E-6</v>
      </c>
      <c r="U390" s="10">
        <f t="shared" si="422"/>
        <v>44041</v>
      </c>
      <c r="V390" s="881">
        <f t="shared" si="423"/>
        <v>6.7597999999999996E-4</v>
      </c>
    </row>
    <row r="391" spans="1:22" x14ac:dyDescent="0.25">
      <c r="A391" s="335">
        <f>A390+1</f>
        <v>44042</v>
      </c>
      <c r="B391" s="329">
        <f t="shared" ref="B391:B454" si="424">-SUMIFS(CF_Main,CF_Dates,$A391,CF_Descriptions,"MM Sweep")</f>
        <v>0</v>
      </c>
      <c r="C391" s="338">
        <f t="shared" si="402"/>
        <v>743222.25000000012</v>
      </c>
      <c r="D391" s="414">
        <f t="shared" si="403"/>
        <v>1.38</v>
      </c>
      <c r="E391" s="49">
        <f t="shared" ref="E391:E454" si="425">-SUMIFS(CF_Main_EUR,CF_Dates,$A391,CF_Descriptions,"MM Sweep")</f>
        <v>0</v>
      </c>
      <c r="F391" s="35">
        <f t="shared" si="404"/>
        <v>0</v>
      </c>
      <c r="G391" s="414">
        <f t="shared" si="405"/>
        <v>0</v>
      </c>
      <c r="H391" s="49">
        <f t="shared" ref="H391:H454" si="426">-SUMIFS(CF_Expenses,CF_Dates,$A391,CF_Descriptions,"MM Sweep")</f>
        <v>0</v>
      </c>
      <c r="I391" s="35">
        <f t="shared" si="406"/>
        <v>55209.990000000143</v>
      </c>
      <c r="J391" s="414">
        <f t="shared" si="407"/>
        <v>0.1</v>
      </c>
      <c r="K391" s="329">
        <f t="shared" ref="K391:K454" si="427">-SUMIFS(CF_Margin,CF_Dates,$A391,CF_Descriptions,"MM Sweep")</f>
        <v>0</v>
      </c>
      <c r="L391" s="35">
        <f t="shared" si="408"/>
        <v>0</v>
      </c>
      <c r="M391" s="414">
        <f t="shared" si="409"/>
        <v>0</v>
      </c>
      <c r="N391" s="329">
        <f t="shared" ref="N391:N454" si="428">-SUMIFS(CF_Mgmt,CF_Dates,$A391,CF_Descriptions,"MM Sweep")</f>
        <v>0</v>
      </c>
      <c r="O391" s="35">
        <f t="shared" si="410"/>
        <v>24.379999999997089</v>
      </c>
      <c r="P391" s="414">
        <f t="shared" si="411"/>
        <v>0</v>
      </c>
      <c r="Q391" s="329">
        <f t="shared" ref="Q391:Q454" si="429">-SUMIFS(CF_SubRedemp,CF_Dates,$A391,CF_Descriptions,"MM Sweep")</f>
        <v>0</v>
      </c>
      <c r="R391" s="35">
        <f t="shared" si="412"/>
        <v>0</v>
      </c>
      <c r="S391" s="414">
        <f t="shared" si="413"/>
        <v>0</v>
      </c>
      <c r="T391" s="880">
        <f>[5]Sheet1!$B805</f>
        <v>1.77E-6</v>
      </c>
      <c r="U391" s="10">
        <f t="shared" si="422"/>
        <v>44042</v>
      </c>
      <c r="V391" s="881">
        <f t="shared" si="423"/>
        <v>6.4605000000000001E-4</v>
      </c>
    </row>
    <row r="392" spans="1:22" x14ac:dyDescent="0.25">
      <c r="A392" s="335">
        <f>A391+1</f>
        <v>44043</v>
      </c>
      <c r="B392" s="329">
        <f t="shared" si="424"/>
        <v>406000</v>
      </c>
      <c r="C392" s="338">
        <f t="shared" si="402"/>
        <v>1149222.25</v>
      </c>
      <c r="D392" s="414">
        <f t="shared" si="403"/>
        <v>1.32</v>
      </c>
      <c r="E392" s="49">
        <f t="shared" si="425"/>
        <v>0</v>
      </c>
      <c r="F392" s="35">
        <f t="shared" si="404"/>
        <v>0</v>
      </c>
      <c r="G392" s="414">
        <f t="shared" si="405"/>
        <v>0</v>
      </c>
      <c r="H392" s="49">
        <f t="shared" si="426"/>
        <v>0</v>
      </c>
      <c r="I392" s="35">
        <f t="shared" si="406"/>
        <v>55209.990000000143</v>
      </c>
      <c r="J392" s="414">
        <f t="shared" si="407"/>
        <v>0.1</v>
      </c>
      <c r="K392" s="329">
        <f t="shared" si="427"/>
        <v>0</v>
      </c>
      <c r="L392" s="35">
        <f t="shared" si="408"/>
        <v>0</v>
      </c>
      <c r="M392" s="414">
        <f t="shared" si="409"/>
        <v>0</v>
      </c>
      <c r="N392" s="329">
        <f t="shared" si="428"/>
        <v>0</v>
      </c>
      <c r="O392" s="35">
        <f t="shared" si="410"/>
        <v>24.379999999997089</v>
      </c>
      <c r="P392" s="414">
        <f t="shared" si="411"/>
        <v>0</v>
      </c>
      <c r="Q392" s="329">
        <f t="shared" si="429"/>
        <v>0</v>
      </c>
      <c r="R392" s="35">
        <f t="shared" si="412"/>
        <v>0</v>
      </c>
      <c r="S392" s="414">
        <f t="shared" si="413"/>
        <v>0</v>
      </c>
      <c r="T392" s="880">
        <f>[5]Sheet1!$B806</f>
        <v>1.6769999999999998E-6</v>
      </c>
      <c r="U392" s="10">
        <f t="shared" si="422"/>
        <v>44043</v>
      </c>
      <c r="V392" s="881">
        <f t="shared" si="423"/>
        <v>6.1210499999999994E-4</v>
      </c>
    </row>
    <row r="393" spans="1:22" x14ac:dyDescent="0.25">
      <c r="A393" s="336">
        <f>A392+1</f>
        <v>44044</v>
      </c>
      <c r="B393" s="329">
        <f t="shared" si="424"/>
        <v>0</v>
      </c>
      <c r="C393" s="338">
        <f t="shared" si="402"/>
        <v>1149222.25</v>
      </c>
      <c r="D393" s="414">
        <f t="shared" si="403"/>
        <v>1.93</v>
      </c>
      <c r="E393" s="49">
        <f t="shared" si="425"/>
        <v>0</v>
      </c>
      <c r="F393" s="35">
        <f t="shared" si="404"/>
        <v>0</v>
      </c>
      <c r="G393" s="414">
        <f t="shared" si="405"/>
        <v>0</v>
      </c>
      <c r="H393" s="49">
        <f t="shared" si="426"/>
        <v>0</v>
      </c>
      <c r="I393" s="35">
        <f t="shared" si="406"/>
        <v>55209.990000000143</v>
      </c>
      <c r="J393" s="414">
        <f t="shared" si="407"/>
        <v>0.09</v>
      </c>
      <c r="K393" s="329">
        <f t="shared" si="427"/>
        <v>0</v>
      </c>
      <c r="L393" s="35">
        <f t="shared" si="408"/>
        <v>0</v>
      </c>
      <c r="M393" s="414">
        <f t="shared" si="409"/>
        <v>0</v>
      </c>
      <c r="N393" s="329">
        <f t="shared" si="428"/>
        <v>0</v>
      </c>
      <c r="O393" s="35">
        <f t="shared" si="410"/>
        <v>24.379999999997089</v>
      </c>
      <c r="P393" s="414">
        <f t="shared" si="411"/>
        <v>0</v>
      </c>
      <c r="Q393" s="329">
        <f t="shared" si="429"/>
        <v>0</v>
      </c>
      <c r="R393" s="35">
        <f t="shared" si="412"/>
        <v>0</v>
      </c>
      <c r="S393" s="414">
        <f t="shared" si="413"/>
        <v>0</v>
      </c>
      <c r="T393" s="880">
        <f>[5]Sheet1!$B807</f>
        <v>3.3549020795045808E-6</v>
      </c>
      <c r="U393" s="10">
        <f t="shared" si="422"/>
        <v>44044</v>
      </c>
      <c r="V393" s="881">
        <f t="shared" si="423"/>
        <v>6.1226962950958598E-4</v>
      </c>
    </row>
    <row r="394" spans="1:22" x14ac:dyDescent="0.25">
      <c r="A394" s="336">
        <f>A393+2</f>
        <v>44046</v>
      </c>
      <c r="B394" s="329">
        <f t="shared" si="424"/>
        <v>43.699999999953398</v>
      </c>
      <c r="C394" s="338">
        <f t="shared" ref="C394:C457" si="430">B394+C393</f>
        <v>1149265.95</v>
      </c>
      <c r="D394" s="414">
        <f t="shared" ref="D394:D457" si="431">ROUND(C393*$T393,2)</f>
        <v>3.86</v>
      </c>
      <c r="E394" s="49">
        <f t="shared" si="425"/>
        <v>0</v>
      </c>
      <c r="F394" s="35">
        <f t="shared" ref="F394:F457" si="432">E394+F393</f>
        <v>0</v>
      </c>
      <c r="G394" s="414">
        <f t="shared" ref="G394:G457" si="433">ROUND(F393*$T393,2)</f>
        <v>0</v>
      </c>
      <c r="H394" s="49">
        <f t="shared" si="426"/>
        <v>3.95</v>
      </c>
      <c r="I394" s="35">
        <f t="shared" ref="I394:I457" si="434">H394+I393</f>
        <v>55213.940000000141</v>
      </c>
      <c r="J394" s="414">
        <f t="shared" ref="J394:J457" si="435">ROUND(I393*$T393,2)</f>
        <v>0.19</v>
      </c>
      <c r="K394" s="329">
        <f t="shared" si="427"/>
        <v>0</v>
      </c>
      <c r="L394" s="35">
        <f t="shared" ref="L394:L457" si="436">K394+L393</f>
        <v>0</v>
      </c>
      <c r="M394" s="414">
        <f t="shared" ref="M394:M457" si="437">ROUND(L393*$T393,2)</f>
        <v>0</v>
      </c>
      <c r="N394" s="329">
        <f t="shared" si="428"/>
        <v>0</v>
      </c>
      <c r="O394" s="35">
        <f t="shared" ref="O394:O457" si="438">N394+O393</f>
        <v>24.379999999997089</v>
      </c>
      <c r="P394" s="414">
        <f t="shared" ref="P394:P457" si="439">ROUND(O393*$T393,2)</f>
        <v>0</v>
      </c>
      <c r="Q394" s="329">
        <f t="shared" si="429"/>
        <v>0</v>
      </c>
      <c r="R394" s="35">
        <f t="shared" ref="R394:R457" si="440">Q394+R393</f>
        <v>0</v>
      </c>
      <c r="S394" s="414">
        <f t="shared" ref="S394:S457" si="441">ROUND(R393*$T393,2)</f>
        <v>0</v>
      </c>
      <c r="T394" s="880">
        <f>[5]Sheet1!$B808</f>
        <v>1.6739923778146566E-6</v>
      </c>
      <c r="U394" s="10">
        <f t="shared" ref="U394:U457" si="442">A394</f>
        <v>44046</v>
      </c>
      <c r="V394" s="881">
        <f t="shared" ref="V394:V457" si="443">T394*365/(A395-A394)</f>
        <v>6.1100721790234959E-4</v>
      </c>
    </row>
    <row r="395" spans="1:22" x14ac:dyDescent="0.25">
      <c r="A395" s="335">
        <f>A394+1</f>
        <v>44047</v>
      </c>
      <c r="B395" s="329">
        <f t="shared" si="424"/>
        <v>0</v>
      </c>
      <c r="C395" s="338">
        <f t="shared" si="430"/>
        <v>1149265.95</v>
      </c>
      <c r="D395" s="414">
        <f t="shared" si="431"/>
        <v>1.92</v>
      </c>
      <c r="E395" s="49">
        <f t="shared" si="425"/>
        <v>0</v>
      </c>
      <c r="F395" s="35">
        <f t="shared" si="432"/>
        <v>0</v>
      </c>
      <c r="G395" s="414">
        <f t="shared" si="433"/>
        <v>0</v>
      </c>
      <c r="H395" s="49">
        <f t="shared" si="426"/>
        <v>0</v>
      </c>
      <c r="I395" s="35">
        <f t="shared" si="434"/>
        <v>55213.940000000141</v>
      </c>
      <c r="J395" s="414">
        <f t="shared" si="435"/>
        <v>0.09</v>
      </c>
      <c r="K395" s="329">
        <f t="shared" si="427"/>
        <v>0</v>
      </c>
      <c r="L395" s="35">
        <f t="shared" si="436"/>
        <v>0</v>
      </c>
      <c r="M395" s="414">
        <f t="shared" si="437"/>
        <v>0</v>
      </c>
      <c r="N395" s="329">
        <f t="shared" si="428"/>
        <v>0</v>
      </c>
      <c r="O395" s="35">
        <f t="shared" si="438"/>
        <v>24.379999999997089</v>
      </c>
      <c r="P395" s="414">
        <f t="shared" si="439"/>
        <v>0</v>
      </c>
      <c r="Q395" s="329">
        <f t="shared" si="429"/>
        <v>0</v>
      </c>
      <c r="R395" s="35">
        <f t="shared" si="440"/>
        <v>0</v>
      </c>
      <c r="S395" s="414">
        <f t="shared" si="441"/>
        <v>0</v>
      </c>
      <c r="T395" s="880">
        <f>[5]Sheet1!$B809</f>
        <v>1.637E-6</v>
      </c>
      <c r="U395" s="10">
        <f t="shared" si="442"/>
        <v>44047</v>
      </c>
      <c r="V395" s="881">
        <f t="shared" si="443"/>
        <v>5.9750500000000002E-4</v>
      </c>
    </row>
    <row r="396" spans="1:22" x14ac:dyDescent="0.25">
      <c r="A396" s="335">
        <f>A395+1</f>
        <v>44048</v>
      </c>
      <c r="B396" s="329">
        <f t="shared" si="424"/>
        <v>-461887.34</v>
      </c>
      <c r="C396" s="338">
        <f t="shared" si="430"/>
        <v>687378.60999999987</v>
      </c>
      <c r="D396" s="414">
        <f t="shared" si="431"/>
        <v>1.88</v>
      </c>
      <c r="E396" s="49">
        <f t="shared" si="425"/>
        <v>0</v>
      </c>
      <c r="F396" s="35">
        <f t="shared" si="432"/>
        <v>0</v>
      </c>
      <c r="G396" s="414">
        <f t="shared" si="433"/>
        <v>0</v>
      </c>
      <c r="H396" s="49">
        <f t="shared" si="426"/>
        <v>0</v>
      </c>
      <c r="I396" s="35">
        <f t="shared" si="434"/>
        <v>55213.940000000141</v>
      </c>
      <c r="J396" s="414">
        <f t="shared" si="435"/>
        <v>0.09</v>
      </c>
      <c r="K396" s="329">
        <f t="shared" si="427"/>
        <v>0</v>
      </c>
      <c r="L396" s="35">
        <f t="shared" si="436"/>
        <v>0</v>
      </c>
      <c r="M396" s="414">
        <f t="shared" si="437"/>
        <v>0</v>
      </c>
      <c r="N396" s="329">
        <f t="shared" si="428"/>
        <v>0</v>
      </c>
      <c r="O396" s="35">
        <f t="shared" si="438"/>
        <v>24.379999999997089</v>
      </c>
      <c r="P396" s="414">
        <f t="shared" si="439"/>
        <v>0</v>
      </c>
      <c r="Q396" s="329">
        <f t="shared" si="429"/>
        <v>0</v>
      </c>
      <c r="R396" s="35">
        <f t="shared" si="440"/>
        <v>0</v>
      </c>
      <c r="S396" s="414">
        <f t="shared" si="441"/>
        <v>0</v>
      </c>
      <c r="T396" s="880">
        <f>[5]Sheet1!$B810</f>
        <v>1.581E-6</v>
      </c>
      <c r="U396" s="10">
        <f t="shared" si="442"/>
        <v>44048</v>
      </c>
      <c r="V396" s="881">
        <f t="shared" si="443"/>
        <v>5.7706499999999998E-4</v>
      </c>
    </row>
    <row r="397" spans="1:22" x14ac:dyDescent="0.25">
      <c r="A397" s="335">
        <f>A396+1</f>
        <v>44049</v>
      </c>
      <c r="B397" s="329">
        <f t="shared" si="424"/>
        <v>99861.07</v>
      </c>
      <c r="C397" s="338">
        <f t="shared" si="430"/>
        <v>787239.67999999993</v>
      </c>
      <c r="D397" s="414">
        <f t="shared" si="431"/>
        <v>1.0900000000000001</v>
      </c>
      <c r="E397" s="49">
        <f t="shared" si="425"/>
        <v>0</v>
      </c>
      <c r="F397" s="35">
        <f t="shared" si="432"/>
        <v>0</v>
      </c>
      <c r="G397" s="414">
        <f t="shared" si="433"/>
        <v>0</v>
      </c>
      <c r="H397" s="49">
        <f t="shared" si="426"/>
        <v>0</v>
      </c>
      <c r="I397" s="35">
        <f t="shared" si="434"/>
        <v>55213.940000000141</v>
      </c>
      <c r="J397" s="414">
        <f t="shared" si="435"/>
        <v>0.09</v>
      </c>
      <c r="K397" s="329">
        <f t="shared" si="427"/>
        <v>0</v>
      </c>
      <c r="L397" s="35">
        <f t="shared" si="436"/>
        <v>0</v>
      </c>
      <c r="M397" s="414">
        <f t="shared" si="437"/>
        <v>0</v>
      </c>
      <c r="N397" s="329">
        <f t="shared" si="428"/>
        <v>0</v>
      </c>
      <c r="O397" s="35">
        <f t="shared" si="438"/>
        <v>24.379999999997089</v>
      </c>
      <c r="P397" s="414">
        <f t="shared" si="439"/>
        <v>0</v>
      </c>
      <c r="Q397" s="329">
        <f t="shared" si="429"/>
        <v>0</v>
      </c>
      <c r="R397" s="35">
        <f t="shared" si="440"/>
        <v>0</v>
      </c>
      <c r="S397" s="414">
        <f t="shared" si="441"/>
        <v>0</v>
      </c>
      <c r="T397" s="880">
        <f>[5]Sheet1!$B811</f>
        <v>1.5340000000000001E-6</v>
      </c>
      <c r="U397" s="10">
        <f t="shared" si="442"/>
        <v>44049</v>
      </c>
      <c r="V397" s="881">
        <f t="shared" si="443"/>
        <v>5.5991000000000005E-4</v>
      </c>
    </row>
    <row r="398" spans="1:22" x14ac:dyDescent="0.25">
      <c r="A398" s="335">
        <f>A397+1</f>
        <v>44050</v>
      </c>
      <c r="B398" s="329">
        <f t="shared" si="424"/>
        <v>0</v>
      </c>
      <c r="C398" s="338">
        <f t="shared" si="430"/>
        <v>787239.67999999993</v>
      </c>
      <c r="D398" s="414">
        <f t="shared" si="431"/>
        <v>1.21</v>
      </c>
      <c r="E398" s="49">
        <f t="shared" si="425"/>
        <v>0</v>
      </c>
      <c r="F398" s="35">
        <f t="shared" si="432"/>
        <v>0</v>
      </c>
      <c r="G398" s="414">
        <f t="shared" si="433"/>
        <v>0</v>
      </c>
      <c r="H398" s="49">
        <f t="shared" si="426"/>
        <v>0</v>
      </c>
      <c r="I398" s="35">
        <f t="shared" si="434"/>
        <v>55213.940000000141</v>
      </c>
      <c r="J398" s="414">
        <f t="shared" si="435"/>
        <v>0.08</v>
      </c>
      <c r="K398" s="329">
        <f t="shared" si="427"/>
        <v>0</v>
      </c>
      <c r="L398" s="35">
        <f t="shared" si="436"/>
        <v>0</v>
      </c>
      <c r="M398" s="414">
        <f t="shared" si="437"/>
        <v>0</v>
      </c>
      <c r="N398" s="329">
        <f t="shared" si="428"/>
        <v>0</v>
      </c>
      <c r="O398" s="35">
        <f t="shared" si="438"/>
        <v>24.379999999997089</v>
      </c>
      <c r="P398" s="414">
        <f t="shared" si="439"/>
        <v>0</v>
      </c>
      <c r="Q398" s="329">
        <f t="shared" si="429"/>
        <v>0</v>
      </c>
      <c r="R398" s="35">
        <f t="shared" si="440"/>
        <v>0</v>
      </c>
      <c r="S398" s="414">
        <f t="shared" si="441"/>
        <v>0</v>
      </c>
      <c r="T398" s="880">
        <f>[5]Sheet1!$B812</f>
        <v>4.7439999999999998E-6</v>
      </c>
      <c r="U398" s="10">
        <f t="shared" si="442"/>
        <v>44050</v>
      </c>
      <c r="V398" s="881">
        <f t="shared" si="443"/>
        <v>5.7718666666666657E-4</v>
      </c>
    </row>
    <row r="399" spans="1:22" x14ac:dyDescent="0.25">
      <c r="A399" s="336">
        <f>A398+3</f>
        <v>44053</v>
      </c>
      <c r="B399" s="329">
        <f t="shared" si="424"/>
        <v>0</v>
      </c>
      <c r="C399" s="338">
        <f t="shared" si="430"/>
        <v>787239.67999999993</v>
      </c>
      <c r="D399" s="414">
        <f t="shared" si="431"/>
        <v>3.73</v>
      </c>
      <c r="E399" s="49">
        <f t="shared" si="425"/>
        <v>0</v>
      </c>
      <c r="F399" s="35">
        <f t="shared" si="432"/>
        <v>0</v>
      </c>
      <c r="G399" s="414">
        <f t="shared" si="433"/>
        <v>0</v>
      </c>
      <c r="H399" s="49">
        <f t="shared" si="426"/>
        <v>0</v>
      </c>
      <c r="I399" s="35">
        <f t="shared" si="434"/>
        <v>55213.940000000141</v>
      </c>
      <c r="J399" s="414">
        <f t="shared" si="435"/>
        <v>0.26</v>
      </c>
      <c r="K399" s="329">
        <f t="shared" si="427"/>
        <v>0</v>
      </c>
      <c r="L399" s="35">
        <f t="shared" si="436"/>
        <v>0</v>
      </c>
      <c r="M399" s="414">
        <f t="shared" si="437"/>
        <v>0</v>
      </c>
      <c r="N399" s="329">
        <f t="shared" si="428"/>
        <v>0</v>
      </c>
      <c r="O399" s="35">
        <f t="shared" si="438"/>
        <v>24.379999999997089</v>
      </c>
      <c r="P399" s="414">
        <f t="shared" si="439"/>
        <v>0</v>
      </c>
      <c r="Q399" s="329">
        <f t="shared" si="429"/>
        <v>0</v>
      </c>
      <c r="R399" s="35">
        <f t="shared" si="440"/>
        <v>0</v>
      </c>
      <c r="S399" s="414">
        <f t="shared" si="441"/>
        <v>0</v>
      </c>
      <c r="T399" s="880">
        <f>[5]Sheet1!$B813</f>
        <v>1.598E-6</v>
      </c>
      <c r="U399" s="10">
        <f t="shared" si="442"/>
        <v>44053</v>
      </c>
      <c r="V399" s="881">
        <f t="shared" si="443"/>
        <v>5.8326999999999999E-4</v>
      </c>
    </row>
    <row r="400" spans="1:22" x14ac:dyDescent="0.25">
      <c r="A400" s="335">
        <f>A399+1</f>
        <v>44054</v>
      </c>
      <c r="B400" s="329">
        <f t="shared" si="424"/>
        <v>-321000</v>
      </c>
      <c r="C400" s="338">
        <f t="shared" si="430"/>
        <v>466239.67999999993</v>
      </c>
      <c r="D400" s="414">
        <f t="shared" si="431"/>
        <v>1.26</v>
      </c>
      <c r="E400" s="49">
        <f t="shared" si="425"/>
        <v>0</v>
      </c>
      <c r="F400" s="35">
        <f t="shared" si="432"/>
        <v>0</v>
      </c>
      <c r="G400" s="414">
        <f t="shared" si="433"/>
        <v>0</v>
      </c>
      <c r="H400" s="49">
        <f t="shared" si="426"/>
        <v>0</v>
      </c>
      <c r="I400" s="35">
        <f t="shared" si="434"/>
        <v>55213.940000000141</v>
      </c>
      <c r="J400" s="414">
        <f t="shared" si="435"/>
        <v>0.09</v>
      </c>
      <c r="K400" s="329">
        <f t="shared" si="427"/>
        <v>0</v>
      </c>
      <c r="L400" s="35">
        <f t="shared" si="436"/>
        <v>0</v>
      </c>
      <c r="M400" s="414">
        <f t="shared" si="437"/>
        <v>0</v>
      </c>
      <c r="N400" s="329">
        <f t="shared" si="428"/>
        <v>0</v>
      </c>
      <c r="O400" s="35">
        <f t="shared" si="438"/>
        <v>24.379999999997089</v>
      </c>
      <c r="P400" s="414">
        <f t="shared" si="439"/>
        <v>0</v>
      </c>
      <c r="Q400" s="329">
        <f t="shared" si="429"/>
        <v>0</v>
      </c>
      <c r="R400" s="35">
        <f t="shared" si="440"/>
        <v>0</v>
      </c>
      <c r="S400" s="414">
        <f t="shared" si="441"/>
        <v>0</v>
      </c>
      <c r="T400" s="880">
        <f>[5]Sheet1!$B814</f>
        <v>1.6249999999999999E-6</v>
      </c>
      <c r="U400" s="10">
        <f t="shared" si="442"/>
        <v>44054</v>
      </c>
      <c r="V400" s="881">
        <f t="shared" si="443"/>
        <v>5.9312500000000001E-4</v>
      </c>
    </row>
    <row r="401" spans="1:22" x14ac:dyDescent="0.25">
      <c r="A401" s="335">
        <f>A400+1</f>
        <v>44055</v>
      </c>
      <c r="B401" s="329">
        <f t="shared" si="424"/>
        <v>-85000</v>
      </c>
      <c r="C401" s="338">
        <f t="shared" si="430"/>
        <v>381239.67999999993</v>
      </c>
      <c r="D401" s="414">
        <f t="shared" si="431"/>
        <v>0.76</v>
      </c>
      <c r="E401" s="49">
        <f t="shared" si="425"/>
        <v>0</v>
      </c>
      <c r="F401" s="35">
        <f t="shared" si="432"/>
        <v>0</v>
      </c>
      <c r="G401" s="414">
        <f t="shared" si="433"/>
        <v>0</v>
      </c>
      <c r="H401" s="49">
        <f t="shared" si="426"/>
        <v>0</v>
      </c>
      <c r="I401" s="35">
        <f t="shared" si="434"/>
        <v>55213.940000000141</v>
      </c>
      <c r="J401" s="414">
        <f t="shared" si="435"/>
        <v>0.09</v>
      </c>
      <c r="K401" s="329">
        <f t="shared" si="427"/>
        <v>0</v>
      </c>
      <c r="L401" s="35">
        <f t="shared" si="436"/>
        <v>0</v>
      </c>
      <c r="M401" s="414">
        <f t="shared" si="437"/>
        <v>0</v>
      </c>
      <c r="N401" s="329">
        <f t="shared" si="428"/>
        <v>0</v>
      </c>
      <c r="O401" s="35">
        <f t="shared" si="438"/>
        <v>24.379999999997089</v>
      </c>
      <c r="P401" s="414">
        <f t="shared" si="439"/>
        <v>0</v>
      </c>
      <c r="Q401" s="329">
        <f t="shared" si="429"/>
        <v>0</v>
      </c>
      <c r="R401" s="35">
        <f t="shared" si="440"/>
        <v>0</v>
      </c>
      <c r="S401" s="414">
        <f t="shared" si="441"/>
        <v>0</v>
      </c>
      <c r="T401" s="880">
        <f>[5]Sheet1!$B815</f>
        <v>1.748E-6</v>
      </c>
      <c r="U401" s="10">
        <f t="shared" si="442"/>
        <v>44055</v>
      </c>
      <c r="V401" s="881">
        <f t="shared" si="443"/>
        <v>6.3801999999999999E-4</v>
      </c>
    </row>
    <row r="402" spans="1:22" x14ac:dyDescent="0.25">
      <c r="A402" s="335">
        <f>A401+1</f>
        <v>44056</v>
      </c>
      <c r="B402" s="329">
        <f t="shared" si="424"/>
        <v>0</v>
      </c>
      <c r="C402" s="338">
        <f t="shared" si="430"/>
        <v>381239.67999999993</v>
      </c>
      <c r="D402" s="414">
        <f t="shared" si="431"/>
        <v>0.67</v>
      </c>
      <c r="E402" s="49">
        <f t="shared" si="425"/>
        <v>0</v>
      </c>
      <c r="F402" s="35">
        <f t="shared" si="432"/>
        <v>0</v>
      </c>
      <c r="G402" s="414">
        <f t="shared" si="433"/>
        <v>0</v>
      </c>
      <c r="H402" s="49">
        <f t="shared" si="426"/>
        <v>0</v>
      </c>
      <c r="I402" s="35">
        <f t="shared" si="434"/>
        <v>55213.940000000141</v>
      </c>
      <c r="J402" s="414">
        <f t="shared" si="435"/>
        <v>0.1</v>
      </c>
      <c r="K402" s="329">
        <f t="shared" si="427"/>
        <v>0</v>
      </c>
      <c r="L402" s="35">
        <f t="shared" si="436"/>
        <v>0</v>
      </c>
      <c r="M402" s="414">
        <f t="shared" si="437"/>
        <v>0</v>
      </c>
      <c r="N402" s="329">
        <f t="shared" si="428"/>
        <v>0</v>
      </c>
      <c r="O402" s="35">
        <f t="shared" si="438"/>
        <v>24.379999999997089</v>
      </c>
      <c r="P402" s="414">
        <f t="shared" si="439"/>
        <v>0</v>
      </c>
      <c r="Q402" s="329">
        <f t="shared" si="429"/>
        <v>0</v>
      </c>
      <c r="R402" s="35">
        <f t="shared" si="440"/>
        <v>0</v>
      </c>
      <c r="S402" s="414">
        <f t="shared" si="441"/>
        <v>0</v>
      </c>
      <c r="T402" s="880">
        <f>[5]Sheet1!$B816</f>
        <v>1.6270000000000001E-6</v>
      </c>
      <c r="U402" s="10">
        <f t="shared" si="442"/>
        <v>44056</v>
      </c>
      <c r="V402" s="881">
        <f t="shared" si="443"/>
        <v>5.9385500000000001E-4</v>
      </c>
    </row>
    <row r="403" spans="1:22" x14ac:dyDescent="0.25">
      <c r="A403" s="335">
        <f>A402+1</f>
        <v>44057</v>
      </c>
      <c r="B403" s="329">
        <f t="shared" si="424"/>
        <v>0</v>
      </c>
      <c r="C403" s="338">
        <f t="shared" si="430"/>
        <v>381239.67999999993</v>
      </c>
      <c r="D403" s="414">
        <f t="shared" si="431"/>
        <v>0.62</v>
      </c>
      <c r="E403" s="49">
        <f t="shared" si="425"/>
        <v>0</v>
      </c>
      <c r="F403" s="35">
        <f t="shared" si="432"/>
        <v>0</v>
      </c>
      <c r="G403" s="414">
        <f t="shared" si="433"/>
        <v>0</v>
      </c>
      <c r="H403" s="49">
        <f t="shared" si="426"/>
        <v>0</v>
      </c>
      <c r="I403" s="35">
        <f t="shared" si="434"/>
        <v>55213.940000000141</v>
      </c>
      <c r="J403" s="414">
        <f t="shared" si="435"/>
        <v>0.09</v>
      </c>
      <c r="K403" s="329">
        <f t="shared" si="427"/>
        <v>0</v>
      </c>
      <c r="L403" s="35">
        <f t="shared" si="436"/>
        <v>0</v>
      </c>
      <c r="M403" s="414">
        <f t="shared" si="437"/>
        <v>0</v>
      </c>
      <c r="N403" s="329">
        <f t="shared" si="428"/>
        <v>0</v>
      </c>
      <c r="O403" s="35">
        <f t="shared" si="438"/>
        <v>24.379999999997089</v>
      </c>
      <c r="P403" s="414">
        <f t="shared" si="439"/>
        <v>0</v>
      </c>
      <c r="Q403" s="329">
        <f t="shared" si="429"/>
        <v>0</v>
      </c>
      <c r="R403" s="35">
        <f t="shared" si="440"/>
        <v>0</v>
      </c>
      <c r="S403" s="414">
        <f t="shared" si="441"/>
        <v>0</v>
      </c>
      <c r="T403" s="880">
        <f>[5]Sheet1!$B817</f>
        <v>5.0710000000000002E-6</v>
      </c>
      <c r="U403" s="10">
        <f t="shared" si="442"/>
        <v>44057</v>
      </c>
      <c r="V403" s="881">
        <f t="shared" si="443"/>
        <v>6.1697166666666665E-4</v>
      </c>
    </row>
    <row r="404" spans="1:22" x14ac:dyDescent="0.25">
      <c r="A404" s="336">
        <f>A403+3</f>
        <v>44060</v>
      </c>
      <c r="B404" s="329">
        <f t="shared" si="424"/>
        <v>394299.04</v>
      </c>
      <c r="C404" s="338">
        <f t="shared" si="430"/>
        <v>775538.72</v>
      </c>
      <c r="D404" s="414">
        <f t="shared" si="431"/>
        <v>1.93</v>
      </c>
      <c r="E404" s="49">
        <f t="shared" si="425"/>
        <v>0</v>
      </c>
      <c r="F404" s="35">
        <f t="shared" si="432"/>
        <v>0</v>
      </c>
      <c r="G404" s="414">
        <f t="shared" si="433"/>
        <v>0</v>
      </c>
      <c r="H404" s="49">
        <f t="shared" si="426"/>
        <v>0</v>
      </c>
      <c r="I404" s="35">
        <f t="shared" si="434"/>
        <v>55213.940000000141</v>
      </c>
      <c r="J404" s="414">
        <f t="shared" si="435"/>
        <v>0.28000000000000003</v>
      </c>
      <c r="K404" s="329">
        <f t="shared" si="427"/>
        <v>0</v>
      </c>
      <c r="L404" s="35">
        <f t="shared" si="436"/>
        <v>0</v>
      </c>
      <c r="M404" s="414">
        <f t="shared" si="437"/>
        <v>0</v>
      </c>
      <c r="N404" s="329">
        <f t="shared" si="428"/>
        <v>0</v>
      </c>
      <c r="O404" s="35">
        <f t="shared" si="438"/>
        <v>24.379999999997089</v>
      </c>
      <c r="P404" s="414">
        <f t="shared" si="439"/>
        <v>0</v>
      </c>
      <c r="Q404" s="329">
        <f t="shared" si="429"/>
        <v>0</v>
      </c>
      <c r="R404" s="35">
        <f t="shared" si="440"/>
        <v>0</v>
      </c>
      <c r="S404" s="414">
        <f t="shared" si="441"/>
        <v>0</v>
      </c>
      <c r="T404" s="880">
        <f>[5]Sheet1!$B818</f>
        <v>1.536E-6</v>
      </c>
      <c r="U404" s="10">
        <f t="shared" si="442"/>
        <v>44060</v>
      </c>
      <c r="V404" s="881">
        <f t="shared" si="443"/>
        <v>5.6063999999999994E-4</v>
      </c>
    </row>
    <row r="405" spans="1:22" x14ac:dyDescent="0.25">
      <c r="A405" s="335">
        <f>A404+1</f>
        <v>44061</v>
      </c>
      <c r="B405" s="329">
        <f t="shared" si="424"/>
        <v>1006963.2</v>
      </c>
      <c r="C405" s="338">
        <f t="shared" si="430"/>
        <v>1782501.92</v>
      </c>
      <c r="D405" s="414">
        <f t="shared" si="431"/>
        <v>1.19</v>
      </c>
      <c r="E405" s="49">
        <f t="shared" si="425"/>
        <v>0</v>
      </c>
      <c r="F405" s="35">
        <f t="shared" si="432"/>
        <v>0</v>
      </c>
      <c r="G405" s="414">
        <f t="shared" si="433"/>
        <v>0</v>
      </c>
      <c r="H405" s="49">
        <f t="shared" si="426"/>
        <v>0</v>
      </c>
      <c r="I405" s="35">
        <f t="shared" si="434"/>
        <v>55213.940000000141</v>
      </c>
      <c r="J405" s="414">
        <f t="shared" si="435"/>
        <v>0.08</v>
      </c>
      <c r="K405" s="329">
        <f t="shared" si="427"/>
        <v>0</v>
      </c>
      <c r="L405" s="35">
        <f t="shared" si="436"/>
        <v>0</v>
      </c>
      <c r="M405" s="414">
        <f t="shared" si="437"/>
        <v>0</v>
      </c>
      <c r="N405" s="329">
        <f t="shared" si="428"/>
        <v>0</v>
      </c>
      <c r="O405" s="35">
        <f t="shared" si="438"/>
        <v>24.379999999997089</v>
      </c>
      <c r="P405" s="414">
        <f t="shared" si="439"/>
        <v>0</v>
      </c>
      <c r="Q405" s="329">
        <f t="shared" si="429"/>
        <v>0</v>
      </c>
      <c r="R405" s="35">
        <f t="shared" si="440"/>
        <v>0</v>
      </c>
      <c r="S405" s="414">
        <f t="shared" si="441"/>
        <v>0</v>
      </c>
      <c r="T405" s="880">
        <f>[5]Sheet1!$B819</f>
        <v>1.5489999999999999E-6</v>
      </c>
      <c r="U405" s="10">
        <f t="shared" si="442"/>
        <v>44061</v>
      </c>
      <c r="V405" s="881">
        <f t="shared" si="443"/>
        <v>5.6538499999999995E-4</v>
      </c>
    </row>
    <row r="406" spans="1:22" x14ac:dyDescent="0.25">
      <c r="A406" s="335">
        <f>A405+1</f>
        <v>44062</v>
      </c>
      <c r="B406" s="329">
        <f t="shared" si="424"/>
        <v>0</v>
      </c>
      <c r="C406" s="338">
        <f t="shared" si="430"/>
        <v>1782501.92</v>
      </c>
      <c r="D406" s="414">
        <f t="shared" si="431"/>
        <v>2.76</v>
      </c>
      <c r="E406" s="49">
        <f t="shared" si="425"/>
        <v>0</v>
      </c>
      <c r="F406" s="35">
        <f t="shared" si="432"/>
        <v>0</v>
      </c>
      <c r="G406" s="414">
        <f t="shared" si="433"/>
        <v>0</v>
      </c>
      <c r="H406" s="49">
        <f t="shared" si="426"/>
        <v>0</v>
      </c>
      <c r="I406" s="35">
        <f t="shared" si="434"/>
        <v>55213.940000000141</v>
      </c>
      <c r="J406" s="414">
        <f t="shared" si="435"/>
        <v>0.09</v>
      </c>
      <c r="K406" s="329">
        <f t="shared" si="427"/>
        <v>0</v>
      </c>
      <c r="L406" s="35">
        <f t="shared" si="436"/>
        <v>0</v>
      </c>
      <c r="M406" s="414">
        <f t="shared" si="437"/>
        <v>0</v>
      </c>
      <c r="N406" s="329">
        <f t="shared" si="428"/>
        <v>0</v>
      </c>
      <c r="O406" s="35">
        <f t="shared" si="438"/>
        <v>24.379999999997089</v>
      </c>
      <c r="P406" s="414">
        <f t="shared" si="439"/>
        <v>0</v>
      </c>
      <c r="Q406" s="329">
        <f t="shared" si="429"/>
        <v>0</v>
      </c>
      <c r="R406" s="35">
        <f t="shared" si="440"/>
        <v>0</v>
      </c>
      <c r="S406" s="414">
        <f t="shared" si="441"/>
        <v>0</v>
      </c>
      <c r="T406" s="880">
        <f>[5]Sheet1!$B820</f>
        <v>1.5319999999999999E-6</v>
      </c>
      <c r="U406" s="10">
        <f t="shared" si="442"/>
        <v>44062</v>
      </c>
      <c r="V406" s="881">
        <f t="shared" si="443"/>
        <v>5.5917999999999994E-4</v>
      </c>
    </row>
    <row r="407" spans="1:22" x14ac:dyDescent="0.25">
      <c r="A407" s="335">
        <f>A406+1</f>
        <v>44063</v>
      </c>
      <c r="B407" s="329">
        <f t="shared" si="424"/>
        <v>-769071.88</v>
      </c>
      <c r="C407" s="338">
        <f t="shared" si="430"/>
        <v>1013430.0399999999</v>
      </c>
      <c r="D407" s="414">
        <f t="shared" si="431"/>
        <v>2.73</v>
      </c>
      <c r="E407" s="49">
        <f t="shared" si="425"/>
        <v>0</v>
      </c>
      <c r="F407" s="35">
        <f t="shared" si="432"/>
        <v>0</v>
      </c>
      <c r="G407" s="414">
        <f t="shared" si="433"/>
        <v>0</v>
      </c>
      <c r="H407" s="49">
        <f t="shared" si="426"/>
        <v>-7153.2</v>
      </c>
      <c r="I407" s="35">
        <f t="shared" si="434"/>
        <v>48060.740000000143</v>
      </c>
      <c r="J407" s="414">
        <f t="shared" si="435"/>
        <v>0.08</v>
      </c>
      <c r="K407" s="329">
        <f t="shared" si="427"/>
        <v>0</v>
      </c>
      <c r="L407" s="35">
        <f t="shared" si="436"/>
        <v>0</v>
      </c>
      <c r="M407" s="414">
        <f t="shared" si="437"/>
        <v>0</v>
      </c>
      <c r="N407" s="329">
        <f t="shared" si="428"/>
        <v>0</v>
      </c>
      <c r="O407" s="35">
        <f t="shared" si="438"/>
        <v>24.379999999997089</v>
      </c>
      <c r="P407" s="414">
        <f t="shared" si="439"/>
        <v>0</v>
      </c>
      <c r="Q407" s="329">
        <f t="shared" si="429"/>
        <v>0</v>
      </c>
      <c r="R407" s="35">
        <f t="shared" si="440"/>
        <v>0</v>
      </c>
      <c r="S407" s="414">
        <f t="shared" si="441"/>
        <v>0</v>
      </c>
      <c r="T407" s="880">
        <f>[5]Sheet1!$B821</f>
        <v>1.2440000000000001E-6</v>
      </c>
      <c r="U407" s="10">
        <f t="shared" si="442"/>
        <v>44063</v>
      </c>
      <c r="V407" s="881">
        <f t="shared" si="443"/>
        <v>4.5406000000000005E-4</v>
      </c>
    </row>
    <row r="408" spans="1:22" x14ac:dyDescent="0.25">
      <c r="A408" s="335">
        <f>A407+1</f>
        <v>44064</v>
      </c>
      <c r="B408" s="329">
        <f t="shared" si="424"/>
        <v>0</v>
      </c>
      <c r="C408" s="338">
        <f t="shared" si="430"/>
        <v>1013430.0399999999</v>
      </c>
      <c r="D408" s="414">
        <f t="shared" si="431"/>
        <v>1.26</v>
      </c>
      <c r="E408" s="49">
        <f t="shared" si="425"/>
        <v>0</v>
      </c>
      <c r="F408" s="35">
        <f t="shared" si="432"/>
        <v>0</v>
      </c>
      <c r="G408" s="414">
        <f t="shared" si="433"/>
        <v>0</v>
      </c>
      <c r="H408" s="49">
        <f t="shared" si="426"/>
        <v>0</v>
      </c>
      <c r="I408" s="35">
        <f t="shared" si="434"/>
        <v>48060.740000000143</v>
      </c>
      <c r="J408" s="414">
        <f t="shared" si="435"/>
        <v>0.06</v>
      </c>
      <c r="K408" s="329">
        <f t="shared" si="427"/>
        <v>0</v>
      </c>
      <c r="L408" s="35">
        <f t="shared" si="436"/>
        <v>0</v>
      </c>
      <c r="M408" s="414">
        <f t="shared" si="437"/>
        <v>0</v>
      </c>
      <c r="N408" s="329">
        <f t="shared" si="428"/>
        <v>0</v>
      </c>
      <c r="O408" s="35">
        <f t="shared" si="438"/>
        <v>24.379999999997089</v>
      </c>
      <c r="P408" s="414">
        <f t="shared" si="439"/>
        <v>0</v>
      </c>
      <c r="Q408" s="329">
        <f t="shared" si="429"/>
        <v>0</v>
      </c>
      <c r="R408" s="35">
        <f t="shared" si="440"/>
        <v>0</v>
      </c>
      <c r="S408" s="414">
        <f t="shared" si="441"/>
        <v>0</v>
      </c>
      <c r="T408" s="880">
        <f>[5]Sheet1!$B822</f>
        <v>3.7309999999999999E-6</v>
      </c>
      <c r="U408" s="10">
        <f t="shared" si="442"/>
        <v>44064</v>
      </c>
      <c r="V408" s="881">
        <f t="shared" si="443"/>
        <v>4.539383333333333E-4</v>
      </c>
    </row>
    <row r="409" spans="1:22" x14ac:dyDescent="0.25">
      <c r="A409" s="336">
        <f>A408+3</f>
        <v>44067</v>
      </c>
      <c r="B409" s="329">
        <f t="shared" si="424"/>
        <v>-744900</v>
      </c>
      <c r="C409" s="338">
        <f t="shared" si="430"/>
        <v>268530.03999999992</v>
      </c>
      <c r="D409" s="414">
        <f t="shared" si="431"/>
        <v>3.78</v>
      </c>
      <c r="E409" s="49">
        <f t="shared" si="425"/>
        <v>0</v>
      </c>
      <c r="F409" s="35">
        <f t="shared" si="432"/>
        <v>0</v>
      </c>
      <c r="G409" s="414">
        <f t="shared" si="433"/>
        <v>0</v>
      </c>
      <c r="H409" s="49">
        <f t="shared" si="426"/>
        <v>0</v>
      </c>
      <c r="I409" s="35">
        <f t="shared" si="434"/>
        <v>48060.740000000143</v>
      </c>
      <c r="J409" s="414">
        <f t="shared" si="435"/>
        <v>0.18</v>
      </c>
      <c r="K409" s="329">
        <f t="shared" si="427"/>
        <v>0</v>
      </c>
      <c r="L409" s="35">
        <f t="shared" si="436"/>
        <v>0</v>
      </c>
      <c r="M409" s="414">
        <f t="shared" si="437"/>
        <v>0</v>
      </c>
      <c r="N409" s="329">
        <f t="shared" si="428"/>
        <v>0</v>
      </c>
      <c r="O409" s="35">
        <f t="shared" si="438"/>
        <v>24.379999999997089</v>
      </c>
      <c r="P409" s="414">
        <f t="shared" si="439"/>
        <v>0</v>
      </c>
      <c r="Q409" s="329">
        <f t="shared" si="429"/>
        <v>0</v>
      </c>
      <c r="R409" s="35">
        <f t="shared" si="440"/>
        <v>0</v>
      </c>
      <c r="S409" s="414">
        <f t="shared" si="441"/>
        <v>0</v>
      </c>
      <c r="T409" s="880">
        <f>[5]Sheet1!$B823</f>
        <v>1.254E-6</v>
      </c>
      <c r="U409" s="10">
        <f t="shared" si="442"/>
        <v>44067</v>
      </c>
      <c r="V409" s="881">
        <f t="shared" si="443"/>
        <v>4.5771000000000001E-4</v>
      </c>
    </row>
    <row r="410" spans="1:22" x14ac:dyDescent="0.25">
      <c r="A410" s="335">
        <f>A409+1</f>
        <v>44068</v>
      </c>
      <c r="B410" s="329">
        <f t="shared" si="424"/>
        <v>0</v>
      </c>
      <c r="C410" s="338">
        <f t="shared" si="430"/>
        <v>268530.03999999992</v>
      </c>
      <c r="D410" s="414">
        <f t="shared" si="431"/>
        <v>0.34</v>
      </c>
      <c r="E410" s="49">
        <f t="shared" si="425"/>
        <v>0</v>
      </c>
      <c r="F410" s="35">
        <f t="shared" si="432"/>
        <v>0</v>
      </c>
      <c r="G410" s="414">
        <f t="shared" si="433"/>
        <v>0</v>
      </c>
      <c r="H410" s="49">
        <f t="shared" si="426"/>
        <v>0</v>
      </c>
      <c r="I410" s="35">
        <f t="shared" si="434"/>
        <v>48060.740000000143</v>
      </c>
      <c r="J410" s="414">
        <f t="shared" si="435"/>
        <v>0.06</v>
      </c>
      <c r="K410" s="329">
        <f t="shared" si="427"/>
        <v>0</v>
      </c>
      <c r="L410" s="35">
        <f t="shared" si="436"/>
        <v>0</v>
      </c>
      <c r="M410" s="414">
        <f t="shared" si="437"/>
        <v>0</v>
      </c>
      <c r="N410" s="329">
        <f t="shared" si="428"/>
        <v>0</v>
      </c>
      <c r="O410" s="35">
        <f t="shared" si="438"/>
        <v>24.379999999997089</v>
      </c>
      <c r="P410" s="414">
        <f t="shared" si="439"/>
        <v>0</v>
      </c>
      <c r="Q410" s="329">
        <f t="shared" si="429"/>
        <v>0</v>
      </c>
      <c r="R410" s="35">
        <f t="shared" si="440"/>
        <v>0</v>
      </c>
      <c r="S410" s="414">
        <f t="shared" si="441"/>
        <v>0</v>
      </c>
      <c r="T410" s="880">
        <f>[5]Sheet1!$B824</f>
        <v>1.291E-6</v>
      </c>
      <c r="U410" s="10">
        <f t="shared" si="442"/>
        <v>44068</v>
      </c>
      <c r="V410" s="881">
        <f t="shared" si="443"/>
        <v>4.7121499999999998E-4</v>
      </c>
    </row>
    <row r="411" spans="1:22" x14ac:dyDescent="0.25">
      <c r="A411" s="335">
        <f>A410+1</f>
        <v>44069</v>
      </c>
      <c r="B411" s="329">
        <f t="shared" si="424"/>
        <v>0</v>
      </c>
      <c r="C411" s="338">
        <f t="shared" si="430"/>
        <v>268530.03999999992</v>
      </c>
      <c r="D411" s="414">
        <f t="shared" si="431"/>
        <v>0.35</v>
      </c>
      <c r="E411" s="49">
        <f t="shared" si="425"/>
        <v>0</v>
      </c>
      <c r="F411" s="35">
        <f t="shared" si="432"/>
        <v>0</v>
      </c>
      <c r="G411" s="414">
        <f t="shared" si="433"/>
        <v>0</v>
      </c>
      <c r="H411" s="49">
        <f t="shared" si="426"/>
        <v>0</v>
      </c>
      <c r="I411" s="35">
        <f t="shared" si="434"/>
        <v>48060.740000000143</v>
      </c>
      <c r="J411" s="414">
        <f t="shared" si="435"/>
        <v>0.06</v>
      </c>
      <c r="K411" s="329">
        <f t="shared" si="427"/>
        <v>0</v>
      </c>
      <c r="L411" s="35">
        <f t="shared" si="436"/>
        <v>0</v>
      </c>
      <c r="M411" s="414">
        <f t="shared" si="437"/>
        <v>0</v>
      </c>
      <c r="N411" s="329">
        <f t="shared" si="428"/>
        <v>0</v>
      </c>
      <c r="O411" s="35">
        <f t="shared" si="438"/>
        <v>24.379999999997089</v>
      </c>
      <c r="P411" s="414">
        <f t="shared" si="439"/>
        <v>0</v>
      </c>
      <c r="Q411" s="329">
        <f t="shared" si="429"/>
        <v>0</v>
      </c>
      <c r="R411" s="35">
        <f t="shared" si="440"/>
        <v>0</v>
      </c>
      <c r="S411" s="414">
        <f t="shared" si="441"/>
        <v>0</v>
      </c>
      <c r="T411" s="880">
        <f>[5]Sheet1!$B825</f>
        <v>1.263E-6</v>
      </c>
      <c r="U411" s="10">
        <f t="shared" si="442"/>
        <v>44069</v>
      </c>
      <c r="V411" s="881">
        <f t="shared" si="443"/>
        <v>4.6099500000000001E-4</v>
      </c>
    </row>
    <row r="412" spans="1:22" x14ac:dyDescent="0.25">
      <c r="A412" s="335">
        <f>A411+1</f>
        <v>44070</v>
      </c>
      <c r="B412" s="329">
        <f t="shared" si="424"/>
        <v>0</v>
      </c>
      <c r="C412" s="338">
        <f t="shared" si="430"/>
        <v>268530.03999999992</v>
      </c>
      <c r="D412" s="414">
        <f t="shared" si="431"/>
        <v>0.34</v>
      </c>
      <c r="E412" s="49">
        <f t="shared" si="425"/>
        <v>0</v>
      </c>
      <c r="F412" s="35">
        <f t="shared" si="432"/>
        <v>0</v>
      </c>
      <c r="G412" s="414">
        <f t="shared" si="433"/>
        <v>0</v>
      </c>
      <c r="H412" s="49">
        <f t="shared" si="426"/>
        <v>0</v>
      </c>
      <c r="I412" s="35">
        <f t="shared" si="434"/>
        <v>48060.740000000143</v>
      </c>
      <c r="J412" s="414">
        <f t="shared" si="435"/>
        <v>0.06</v>
      </c>
      <c r="K412" s="329">
        <f t="shared" si="427"/>
        <v>0</v>
      </c>
      <c r="L412" s="35">
        <f t="shared" si="436"/>
        <v>0</v>
      </c>
      <c r="M412" s="414">
        <f t="shared" si="437"/>
        <v>0</v>
      </c>
      <c r="N412" s="329">
        <f t="shared" si="428"/>
        <v>0</v>
      </c>
      <c r="O412" s="35">
        <f t="shared" si="438"/>
        <v>24.379999999997089</v>
      </c>
      <c r="P412" s="414">
        <f t="shared" si="439"/>
        <v>0</v>
      </c>
      <c r="Q412" s="329">
        <f t="shared" si="429"/>
        <v>0</v>
      </c>
      <c r="R412" s="35">
        <f t="shared" si="440"/>
        <v>0</v>
      </c>
      <c r="S412" s="414">
        <f t="shared" si="441"/>
        <v>0</v>
      </c>
      <c r="T412" s="880">
        <f>[5]Sheet1!$B826</f>
        <v>1.252E-6</v>
      </c>
      <c r="U412" s="10">
        <f t="shared" si="442"/>
        <v>44070</v>
      </c>
      <c r="V412" s="881">
        <f t="shared" si="443"/>
        <v>4.5698000000000001E-4</v>
      </c>
    </row>
    <row r="413" spans="1:22" x14ac:dyDescent="0.25">
      <c r="A413" s="335">
        <f>A412+1</f>
        <v>44071</v>
      </c>
      <c r="B413" s="329">
        <f t="shared" si="424"/>
        <v>0</v>
      </c>
      <c r="C413" s="338">
        <f t="shared" si="430"/>
        <v>268530.03999999992</v>
      </c>
      <c r="D413" s="414">
        <f t="shared" si="431"/>
        <v>0.34</v>
      </c>
      <c r="E413" s="49">
        <f t="shared" si="425"/>
        <v>0</v>
      </c>
      <c r="F413" s="35">
        <f t="shared" si="432"/>
        <v>0</v>
      </c>
      <c r="G413" s="414">
        <f t="shared" si="433"/>
        <v>0</v>
      </c>
      <c r="H413" s="49">
        <f t="shared" si="426"/>
        <v>0</v>
      </c>
      <c r="I413" s="35">
        <f t="shared" si="434"/>
        <v>48060.740000000143</v>
      </c>
      <c r="J413" s="414">
        <f t="shared" si="435"/>
        <v>0.06</v>
      </c>
      <c r="K413" s="329">
        <f t="shared" si="427"/>
        <v>0</v>
      </c>
      <c r="L413" s="35">
        <f t="shared" si="436"/>
        <v>0</v>
      </c>
      <c r="M413" s="414">
        <f t="shared" si="437"/>
        <v>0</v>
      </c>
      <c r="N413" s="329">
        <f t="shared" si="428"/>
        <v>0</v>
      </c>
      <c r="O413" s="35">
        <f t="shared" si="438"/>
        <v>24.379999999997089</v>
      </c>
      <c r="P413" s="414">
        <f t="shared" si="439"/>
        <v>0</v>
      </c>
      <c r="Q413" s="329">
        <f t="shared" si="429"/>
        <v>0</v>
      </c>
      <c r="R413" s="35">
        <f t="shared" si="440"/>
        <v>0</v>
      </c>
      <c r="S413" s="414">
        <f t="shared" si="441"/>
        <v>0</v>
      </c>
      <c r="T413" s="880">
        <f>[5]Sheet1!$B827</f>
        <v>3.6040000000000001E-6</v>
      </c>
      <c r="U413" s="10">
        <f t="shared" si="442"/>
        <v>44071</v>
      </c>
      <c r="V413" s="276">
        <f t="shared" si="443"/>
        <v>4.3848666666666667E-4</v>
      </c>
    </row>
    <row r="414" spans="1:22" x14ac:dyDescent="0.25">
      <c r="A414" s="336">
        <f>A413+3</f>
        <v>44074</v>
      </c>
      <c r="B414" s="329">
        <f t="shared" si="424"/>
        <v>0</v>
      </c>
      <c r="C414" s="338">
        <f t="shared" si="430"/>
        <v>268530.03999999992</v>
      </c>
      <c r="D414" s="414">
        <f t="shared" si="431"/>
        <v>0.97</v>
      </c>
      <c r="E414" s="49">
        <f t="shared" si="425"/>
        <v>0</v>
      </c>
      <c r="F414" s="35">
        <f t="shared" si="432"/>
        <v>0</v>
      </c>
      <c r="G414" s="414">
        <f t="shared" si="433"/>
        <v>0</v>
      </c>
      <c r="H414" s="49">
        <f t="shared" si="426"/>
        <v>0</v>
      </c>
      <c r="I414" s="35">
        <f t="shared" si="434"/>
        <v>48060.740000000143</v>
      </c>
      <c r="J414" s="414">
        <f t="shared" si="435"/>
        <v>0.17</v>
      </c>
      <c r="K414" s="329">
        <f t="shared" si="427"/>
        <v>0</v>
      </c>
      <c r="L414" s="35">
        <f t="shared" si="436"/>
        <v>0</v>
      </c>
      <c r="M414" s="414">
        <f t="shared" si="437"/>
        <v>0</v>
      </c>
      <c r="N414" s="329">
        <f t="shared" si="428"/>
        <v>0</v>
      </c>
      <c r="O414" s="35">
        <f t="shared" si="438"/>
        <v>24.379999999997089</v>
      </c>
      <c r="P414" s="414">
        <f t="shared" si="439"/>
        <v>0</v>
      </c>
      <c r="Q414" s="329">
        <f t="shared" si="429"/>
        <v>0</v>
      </c>
      <c r="R414" s="35">
        <f t="shared" si="440"/>
        <v>0</v>
      </c>
      <c r="S414" s="414">
        <f t="shared" si="441"/>
        <v>0</v>
      </c>
      <c r="T414" s="880">
        <f>[5]Sheet1!$B828</f>
        <v>1.0389999999999999E-6</v>
      </c>
      <c r="U414" s="10">
        <f t="shared" si="442"/>
        <v>44074</v>
      </c>
      <c r="V414" s="276">
        <f t="shared" si="443"/>
        <v>3.7923499999999996E-4</v>
      </c>
    </row>
    <row r="415" spans="1:22" x14ac:dyDescent="0.25">
      <c r="A415" s="335">
        <f>A414+1</f>
        <v>44075</v>
      </c>
      <c r="B415" s="329">
        <f t="shared" si="424"/>
        <v>0</v>
      </c>
      <c r="C415" s="338">
        <f t="shared" si="430"/>
        <v>268530.03999999992</v>
      </c>
      <c r="D415" s="414">
        <f t="shared" si="431"/>
        <v>0.28000000000000003</v>
      </c>
      <c r="E415" s="49">
        <f t="shared" si="425"/>
        <v>0</v>
      </c>
      <c r="F415" s="35">
        <f t="shared" si="432"/>
        <v>0</v>
      </c>
      <c r="G415" s="414">
        <f t="shared" si="433"/>
        <v>0</v>
      </c>
      <c r="H415" s="49">
        <f t="shared" si="426"/>
        <v>0</v>
      </c>
      <c r="I415" s="35">
        <f t="shared" si="434"/>
        <v>48060.740000000143</v>
      </c>
      <c r="J415" s="414">
        <f t="shared" si="435"/>
        <v>0.05</v>
      </c>
      <c r="K415" s="329">
        <f t="shared" si="427"/>
        <v>0</v>
      </c>
      <c r="L415" s="35">
        <f t="shared" si="436"/>
        <v>0</v>
      </c>
      <c r="M415" s="414">
        <f t="shared" si="437"/>
        <v>0</v>
      </c>
      <c r="N415" s="329">
        <f t="shared" si="428"/>
        <v>0</v>
      </c>
      <c r="O415" s="35">
        <f t="shared" si="438"/>
        <v>24.379999999997089</v>
      </c>
      <c r="P415" s="414">
        <f t="shared" si="439"/>
        <v>0</v>
      </c>
      <c r="Q415" s="329">
        <f t="shared" si="429"/>
        <v>0</v>
      </c>
      <c r="R415" s="35">
        <f t="shared" si="440"/>
        <v>0</v>
      </c>
      <c r="S415" s="414">
        <f t="shared" si="441"/>
        <v>0</v>
      </c>
      <c r="T415" s="880">
        <f>[5]Sheet1!$B829</f>
        <v>1.0750000000000001E-6</v>
      </c>
      <c r="U415" s="10">
        <f t="shared" si="442"/>
        <v>44075</v>
      </c>
      <c r="V415" s="276">
        <f t="shared" si="443"/>
        <v>3.9237500000000004E-4</v>
      </c>
    </row>
    <row r="416" spans="1:22" x14ac:dyDescent="0.25">
      <c r="A416" s="335">
        <f>A415+1</f>
        <v>44076</v>
      </c>
      <c r="B416" s="329">
        <f t="shared" si="424"/>
        <v>33.26</v>
      </c>
      <c r="C416" s="338">
        <f t="shared" si="430"/>
        <v>268563.29999999993</v>
      </c>
      <c r="D416" s="414">
        <f t="shared" si="431"/>
        <v>0.28999999999999998</v>
      </c>
      <c r="E416" s="49">
        <f t="shared" si="425"/>
        <v>0</v>
      </c>
      <c r="F416" s="35">
        <f t="shared" si="432"/>
        <v>0</v>
      </c>
      <c r="G416" s="414">
        <f t="shared" si="433"/>
        <v>0</v>
      </c>
      <c r="H416" s="49">
        <f t="shared" si="426"/>
        <v>2.4</v>
      </c>
      <c r="I416" s="35">
        <f t="shared" si="434"/>
        <v>48063.140000000145</v>
      </c>
      <c r="J416" s="414">
        <f t="shared" si="435"/>
        <v>0.05</v>
      </c>
      <c r="K416" s="329">
        <f t="shared" si="427"/>
        <v>0</v>
      </c>
      <c r="L416" s="35">
        <f t="shared" si="436"/>
        <v>0</v>
      </c>
      <c r="M416" s="414">
        <f t="shared" si="437"/>
        <v>0</v>
      </c>
      <c r="N416" s="329">
        <f t="shared" si="428"/>
        <v>0</v>
      </c>
      <c r="O416" s="35">
        <f t="shared" si="438"/>
        <v>24.379999999997089</v>
      </c>
      <c r="P416" s="414">
        <f t="shared" si="439"/>
        <v>0</v>
      </c>
      <c r="Q416" s="329">
        <f t="shared" si="429"/>
        <v>0</v>
      </c>
      <c r="R416" s="35">
        <f t="shared" si="440"/>
        <v>0</v>
      </c>
      <c r="S416" s="414">
        <f t="shared" si="441"/>
        <v>0</v>
      </c>
      <c r="T416" s="880">
        <f>[5]Sheet1!$B830</f>
        <v>1.0440000000000001E-6</v>
      </c>
      <c r="U416" s="10">
        <f t="shared" si="442"/>
        <v>44076</v>
      </c>
      <c r="V416" s="276">
        <f t="shared" si="443"/>
        <v>3.8106000000000001E-4</v>
      </c>
    </row>
    <row r="417" spans="1:22" x14ac:dyDescent="0.25">
      <c r="A417" s="335">
        <f>A416+1</f>
        <v>44077</v>
      </c>
      <c r="B417" s="329">
        <f t="shared" si="424"/>
        <v>406000</v>
      </c>
      <c r="C417" s="338">
        <f t="shared" si="430"/>
        <v>674563.29999999993</v>
      </c>
      <c r="D417" s="414">
        <f t="shared" si="431"/>
        <v>0.28000000000000003</v>
      </c>
      <c r="E417" s="49">
        <f t="shared" si="425"/>
        <v>0</v>
      </c>
      <c r="F417" s="35">
        <f t="shared" si="432"/>
        <v>0</v>
      </c>
      <c r="G417" s="414">
        <f t="shared" si="433"/>
        <v>0</v>
      </c>
      <c r="H417" s="49">
        <f t="shared" si="426"/>
        <v>0</v>
      </c>
      <c r="I417" s="35">
        <f t="shared" si="434"/>
        <v>48063.140000000145</v>
      </c>
      <c r="J417" s="414">
        <f t="shared" si="435"/>
        <v>0.05</v>
      </c>
      <c r="K417" s="329">
        <f t="shared" si="427"/>
        <v>0</v>
      </c>
      <c r="L417" s="35">
        <f t="shared" si="436"/>
        <v>0</v>
      </c>
      <c r="M417" s="414">
        <f t="shared" si="437"/>
        <v>0</v>
      </c>
      <c r="N417" s="329">
        <f t="shared" si="428"/>
        <v>0</v>
      </c>
      <c r="O417" s="35">
        <f t="shared" si="438"/>
        <v>24.379999999997089</v>
      </c>
      <c r="P417" s="414">
        <f t="shared" si="439"/>
        <v>0</v>
      </c>
      <c r="Q417" s="329">
        <f t="shared" si="429"/>
        <v>0</v>
      </c>
      <c r="R417" s="35">
        <f t="shared" si="440"/>
        <v>0</v>
      </c>
      <c r="S417" s="414">
        <f t="shared" si="441"/>
        <v>0</v>
      </c>
      <c r="T417" s="880">
        <f>[5]Sheet1!$B831</f>
        <v>1.0219999999999999E-6</v>
      </c>
      <c r="U417" s="10">
        <f t="shared" si="442"/>
        <v>44077</v>
      </c>
      <c r="V417" s="276">
        <f t="shared" si="443"/>
        <v>3.7302999999999994E-4</v>
      </c>
    </row>
    <row r="418" spans="1:22" x14ac:dyDescent="0.25">
      <c r="A418" s="335">
        <f>A417+1</f>
        <v>44078</v>
      </c>
      <c r="B418" s="329">
        <f t="shared" si="424"/>
        <v>0</v>
      </c>
      <c r="C418" s="338">
        <f t="shared" si="430"/>
        <v>674563.29999999993</v>
      </c>
      <c r="D418" s="414">
        <f t="shared" si="431"/>
        <v>0.69</v>
      </c>
      <c r="E418" s="49">
        <f t="shared" si="425"/>
        <v>0</v>
      </c>
      <c r="F418" s="35">
        <f t="shared" si="432"/>
        <v>0</v>
      </c>
      <c r="G418" s="414">
        <f t="shared" si="433"/>
        <v>0</v>
      </c>
      <c r="H418" s="49">
        <f t="shared" si="426"/>
        <v>0</v>
      </c>
      <c r="I418" s="35">
        <f t="shared" si="434"/>
        <v>48063.140000000145</v>
      </c>
      <c r="J418" s="414">
        <f t="shared" si="435"/>
        <v>0.05</v>
      </c>
      <c r="K418" s="329">
        <f t="shared" si="427"/>
        <v>0</v>
      </c>
      <c r="L418" s="35">
        <f t="shared" si="436"/>
        <v>0</v>
      </c>
      <c r="M418" s="414">
        <f t="shared" si="437"/>
        <v>0</v>
      </c>
      <c r="N418" s="329">
        <f t="shared" si="428"/>
        <v>0</v>
      </c>
      <c r="O418" s="35">
        <f t="shared" si="438"/>
        <v>24.379999999997089</v>
      </c>
      <c r="P418" s="414">
        <f t="shared" si="439"/>
        <v>0</v>
      </c>
      <c r="Q418" s="329">
        <f t="shared" si="429"/>
        <v>0</v>
      </c>
      <c r="R418" s="35">
        <f t="shared" si="440"/>
        <v>0</v>
      </c>
      <c r="S418" s="414">
        <f t="shared" si="441"/>
        <v>0</v>
      </c>
      <c r="T418" s="880">
        <f>[5]Sheet1!$B832</f>
        <v>4.5730000000000001E-6</v>
      </c>
      <c r="U418" s="10">
        <f t="shared" si="442"/>
        <v>44078</v>
      </c>
      <c r="V418" s="276">
        <f t="shared" si="443"/>
        <v>4.1728625000000003E-4</v>
      </c>
    </row>
    <row r="419" spans="1:22" x14ac:dyDescent="0.25">
      <c r="A419" s="336">
        <f>A418+4</f>
        <v>44082</v>
      </c>
      <c r="B419" s="329">
        <f t="shared" si="424"/>
        <v>-416140.69</v>
      </c>
      <c r="C419" s="338">
        <f t="shared" si="430"/>
        <v>258422.60999999993</v>
      </c>
      <c r="D419" s="414">
        <f t="shared" si="431"/>
        <v>3.08</v>
      </c>
      <c r="E419" s="49">
        <f t="shared" si="425"/>
        <v>0</v>
      </c>
      <c r="F419" s="35">
        <f t="shared" si="432"/>
        <v>0</v>
      </c>
      <c r="G419" s="414">
        <f t="shared" si="433"/>
        <v>0</v>
      </c>
      <c r="H419" s="49">
        <f t="shared" si="426"/>
        <v>0</v>
      </c>
      <c r="I419" s="35">
        <f t="shared" si="434"/>
        <v>48063.140000000145</v>
      </c>
      <c r="J419" s="414">
        <f t="shared" si="435"/>
        <v>0.22</v>
      </c>
      <c r="K419" s="329">
        <f t="shared" si="427"/>
        <v>0</v>
      </c>
      <c r="L419" s="35">
        <f t="shared" si="436"/>
        <v>0</v>
      </c>
      <c r="M419" s="414">
        <f t="shared" si="437"/>
        <v>0</v>
      </c>
      <c r="N419" s="329">
        <f t="shared" si="428"/>
        <v>0</v>
      </c>
      <c r="O419" s="35">
        <f t="shared" si="438"/>
        <v>24.379999999997089</v>
      </c>
      <c r="P419" s="414">
        <f t="shared" si="439"/>
        <v>0</v>
      </c>
      <c r="Q419" s="329">
        <f t="shared" si="429"/>
        <v>0</v>
      </c>
      <c r="R419" s="35">
        <f t="shared" si="440"/>
        <v>0</v>
      </c>
      <c r="S419" s="414">
        <f t="shared" si="441"/>
        <v>0</v>
      </c>
      <c r="T419" s="880">
        <f>[5]Sheet1!$B833</f>
        <v>9.8899999999999998E-7</v>
      </c>
      <c r="U419" s="10">
        <f t="shared" si="442"/>
        <v>44082</v>
      </c>
      <c r="V419" s="276">
        <f t="shared" si="443"/>
        <v>3.6098499999999997E-4</v>
      </c>
    </row>
    <row r="420" spans="1:22" x14ac:dyDescent="0.25">
      <c r="A420" s="335">
        <f>A419+1</f>
        <v>44083</v>
      </c>
      <c r="B420" s="329">
        <f t="shared" si="424"/>
        <v>0</v>
      </c>
      <c r="C420" s="338">
        <f t="shared" si="430"/>
        <v>258422.60999999993</v>
      </c>
      <c r="D420" s="414">
        <f t="shared" si="431"/>
        <v>0.26</v>
      </c>
      <c r="E420" s="49">
        <f t="shared" si="425"/>
        <v>0</v>
      </c>
      <c r="F420" s="35">
        <f t="shared" si="432"/>
        <v>0</v>
      </c>
      <c r="G420" s="414">
        <f t="shared" si="433"/>
        <v>0</v>
      </c>
      <c r="H420" s="49">
        <f t="shared" si="426"/>
        <v>0</v>
      </c>
      <c r="I420" s="35">
        <f t="shared" si="434"/>
        <v>48063.140000000145</v>
      </c>
      <c r="J420" s="414">
        <f t="shared" si="435"/>
        <v>0.05</v>
      </c>
      <c r="K420" s="329">
        <f t="shared" si="427"/>
        <v>0</v>
      </c>
      <c r="L420" s="35">
        <f t="shared" si="436"/>
        <v>0</v>
      </c>
      <c r="M420" s="414">
        <f t="shared" si="437"/>
        <v>0</v>
      </c>
      <c r="N420" s="329">
        <f t="shared" si="428"/>
        <v>0</v>
      </c>
      <c r="O420" s="35">
        <f t="shared" si="438"/>
        <v>24.379999999997089</v>
      </c>
      <c r="P420" s="414">
        <f t="shared" si="439"/>
        <v>0</v>
      </c>
      <c r="Q420" s="329">
        <f t="shared" si="429"/>
        <v>0</v>
      </c>
      <c r="R420" s="35">
        <f t="shared" si="440"/>
        <v>0</v>
      </c>
      <c r="S420" s="414">
        <f t="shared" si="441"/>
        <v>0</v>
      </c>
      <c r="T420" s="880">
        <f>[5]Sheet1!$B834</f>
        <v>1.063E-6</v>
      </c>
      <c r="U420" s="10">
        <f t="shared" si="442"/>
        <v>44083</v>
      </c>
      <c r="V420" s="276">
        <f t="shared" si="443"/>
        <v>3.8799500000000003E-4</v>
      </c>
    </row>
    <row r="421" spans="1:22" x14ac:dyDescent="0.25">
      <c r="A421" s="335">
        <f>A420+1</f>
        <v>44084</v>
      </c>
      <c r="B421" s="329">
        <f t="shared" si="424"/>
        <v>0</v>
      </c>
      <c r="C421" s="338">
        <f t="shared" si="430"/>
        <v>258422.60999999993</v>
      </c>
      <c r="D421" s="414">
        <f t="shared" si="431"/>
        <v>0.27</v>
      </c>
      <c r="E421" s="49">
        <f t="shared" si="425"/>
        <v>0</v>
      </c>
      <c r="F421" s="35">
        <f t="shared" si="432"/>
        <v>0</v>
      </c>
      <c r="G421" s="414">
        <f t="shared" si="433"/>
        <v>0</v>
      </c>
      <c r="H421" s="49">
        <f t="shared" si="426"/>
        <v>0</v>
      </c>
      <c r="I421" s="35">
        <f t="shared" si="434"/>
        <v>48063.140000000145</v>
      </c>
      <c r="J421" s="414">
        <f t="shared" si="435"/>
        <v>0.05</v>
      </c>
      <c r="K421" s="329">
        <f t="shared" si="427"/>
        <v>0</v>
      </c>
      <c r="L421" s="35">
        <f t="shared" si="436"/>
        <v>0</v>
      </c>
      <c r="M421" s="414">
        <f t="shared" si="437"/>
        <v>0</v>
      </c>
      <c r="N421" s="329">
        <f t="shared" si="428"/>
        <v>0</v>
      </c>
      <c r="O421" s="35">
        <f t="shared" si="438"/>
        <v>24.379999999997089</v>
      </c>
      <c r="P421" s="414">
        <f t="shared" si="439"/>
        <v>0</v>
      </c>
      <c r="Q421" s="329">
        <f t="shared" si="429"/>
        <v>0</v>
      </c>
      <c r="R421" s="35">
        <f t="shared" si="440"/>
        <v>0</v>
      </c>
      <c r="S421" s="414">
        <f t="shared" si="441"/>
        <v>0</v>
      </c>
      <c r="T421" s="880">
        <f>[5]Sheet1!$B835</f>
        <v>1.0070000000000001E-6</v>
      </c>
      <c r="U421" s="10">
        <f t="shared" si="442"/>
        <v>44084</v>
      </c>
      <c r="V421" s="276">
        <f t="shared" si="443"/>
        <v>3.6755500000000004E-4</v>
      </c>
    </row>
    <row r="422" spans="1:22" x14ac:dyDescent="0.25">
      <c r="A422" s="335">
        <f>A421+1</f>
        <v>44085</v>
      </c>
      <c r="B422" s="329">
        <f t="shared" si="424"/>
        <v>0</v>
      </c>
      <c r="C422" s="338">
        <f t="shared" si="430"/>
        <v>258422.60999999993</v>
      </c>
      <c r="D422" s="414">
        <f t="shared" si="431"/>
        <v>0.26</v>
      </c>
      <c r="E422" s="49">
        <f t="shared" si="425"/>
        <v>0</v>
      </c>
      <c r="F422" s="35">
        <f t="shared" si="432"/>
        <v>0</v>
      </c>
      <c r="G422" s="414">
        <f t="shared" si="433"/>
        <v>0</v>
      </c>
      <c r="H422" s="49">
        <f t="shared" si="426"/>
        <v>0</v>
      </c>
      <c r="I422" s="35">
        <f t="shared" si="434"/>
        <v>48063.140000000145</v>
      </c>
      <c r="J422" s="414">
        <f t="shared" si="435"/>
        <v>0.05</v>
      </c>
      <c r="K422" s="329">
        <f t="shared" si="427"/>
        <v>0</v>
      </c>
      <c r="L422" s="35">
        <f t="shared" si="436"/>
        <v>0</v>
      </c>
      <c r="M422" s="414">
        <f t="shared" si="437"/>
        <v>0</v>
      </c>
      <c r="N422" s="329">
        <f t="shared" si="428"/>
        <v>0</v>
      </c>
      <c r="O422" s="35">
        <f t="shared" si="438"/>
        <v>24.379999999997089</v>
      </c>
      <c r="P422" s="414">
        <f t="shared" si="439"/>
        <v>0</v>
      </c>
      <c r="Q422" s="329">
        <f t="shared" si="429"/>
        <v>0</v>
      </c>
      <c r="R422" s="35">
        <f t="shared" si="440"/>
        <v>0</v>
      </c>
      <c r="S422" s="414">
        <f t="shared" si="441"/>
        <v>0</v>
      </c>
      <c r="T422" s="880">
        <f>[5]Sheet1!$B836</f>
        <v>2.9079999999999999E-6</v>
      </c>
      <c r="U422" s="10">
        <f t="shared" si="442"/>
        <v>44085</v>
      </c>
      <c r="V422" s="276">
        <f t="shared" si="443"/>
        <v>3.5380666666666666E-4</v>
      </c>
    </row>
    <row r="423" spans="1:22" x14ac:dyDescent="0.25">
      <c r="A423" s="336">
        <f>A422+3</f>
        <v>44088</v>
      </c>
      <c r="B423" s="329">
        <f t="shared" si="424"/>
        <v>0</v>
      </c>
      <c r="C423" s="338">
        <f t="shared" si="430"/>
        <v>258422.60999999993</v>
      </c>
      <c r="D423" s="414">
        <f t="shared" si="431"/>
        <v>0.75</v>
      </c>
      <c r="E423" s="49">
        <f t="shared" si="425"/>
        <v>0</v>
      </c>
      <c r="F423" s="35">
        <f t="shared" si="432"/>
        <v>0</v>
      </c>
      <c r="G423" s="414">
        <f t="shared" si="433"/>
        <v>0</v>
      </c>
      <c r="H423" s="49">
        <f t="shared" si="426"/>
        <v>0</v>
      </c>
      <c r="I423" s="35">
        <f t="shared" si="434"/>
        <v>48063.140000000145</v>
      </c>
      <c r="J423" s="414">
        <f t="shared" si="435"/>
        <v>0.14000000000000001</v>
      </c>
      <c r="K423" s="329">
        <f t="shared" si="427"/>
        <v>0</v>
      </c>
      <c r="L423" s="35">
        <f t="shared" si="436"/>
        <v>0</v>
      </c>
      <c r="M423" s="414">
        <f t="shared" si="437"/>
        <v>0</v>
      </c>
      <c r="N423" s="329">
        <f t="shared" si="428"/>
        <v>0</v>
      </c>
      <c r="O423" s="35">
        <f t="shared" si="438"/>
        <v>24.379999999997089</v>
      </c>
      <c r="P423" s="414">
        <f t="shared" si="439"/>
        <v>0</v>
      </c>
      <c r="Q423" s="329">
        <f t="shared" si="429"/>
        <v>0</v>
      </c>
      <c r="R423" s="35">
        <f t="shared" si="440"/>
        <v>0</v>
      </c>
      <c r="S423" s="414">
        <f t="shared" si="441"/>
        <v>0</v>
      </c>
      <c r="T423" s="880">
        <f>[5]Sheet1!$B837</f>
        <v>1.001E-6</v>
      </c>
      <c r="U423" s="10">
        <f t="shared" si="442"/>
        <v>44088</v>
      </c>
      <c r="V423" s="276">
        <f t="shared" si="443"/>
        <v>3.6536500000000004E-4</v>
      </c>
    </row>
    <row r="424" spans="1:22" x14ac:dyDescent="0.25">
      <c r="A424" s="335">
        <f>A423+1</f>
        <v>44089</v>
      </c>
      <c r="B424" s="329">
        <f t="shared" si="424"/>
        <v>326000</v>
      </c>
      <c r="C424" s="338">
        <f t="shared" si="430"/>
        <v>584422.60999999987</v>
      </c>
      <c r="D424" s="414">
        <f t="shared" si="431"/>
        <v>0.26</v>
      </c>
      <c r="E424" s="49">
        <f t="shared" si="425"/>
        <v>0</v>
      </c>
      <c r="F424" s="35">
        <f t="shared" si="432"/>
        <v>0</v>
      </c>
      <c r="G424" s="414">
        <f t="shared" si="433"/>
        <v>0</v>
      </c>
      <c r="H424" s="49">
        <f t="shared" si="426"/>
        <v>0</v>
      </c>
      <c r="I424" s="35">
        <f t="shared" si="434"/>
        <v>48063.140000000145</v>
      </c>
      <c r="J424" s="414">
        <f t="shared" si="435"/>
        <v>0.05</v>
      </c>
      <c r="K424" s="329">
        <f t="shared" si="427"/>
        <v>0</v>
      </c>
      <c r="L424" s="35">
        <f t="shared" si="436"/>
        <v>0</v>
      </c>
      <c r="M424" s="414">
        <f t="shared" si="437"/>
        <v>0</v>
      </c>
      <c r="N424" s="329">
        <f t="shared" si="428"/>
        <v>0</v>
      </c>
      <c r="O424" s="35">
        <f t="shared" si="438"/>
        <v>24.379999999997089</v>
      </c>
      <c r="P424" s="414">
        <f t="shared" si="439"/>
        <v>0</v>
      </c>
      <c r="Q424" s="329">
        <f t="shared" si="429"/>
        <v>0</v>
      </c>
      <c r="R424" s="35">
        <f t="shared" si="440"/>
        <v>0</v>
      </c>
      <c r="S424" s="414">
        <f t="shared" si="441"/>
        <v>0</v>
      </c>
      <c r="T424" s="880">
        <f>[5]Sheet1!$B838</f>
        <v>9.6099999999999999E-7</v>
      </c>
      <c r="U424" s="10">
        <f t="shared" si="442"/>
        <v>44089</v>
      </c>
      <c r="V424" s="276">
        <f t="shared" si="443"/>
        <v>3.5076500000000001E-4</v>
      </c>
    </row>
    <row r="425" spans="1:22" x14ac:dyDescent="0.25">
      <c r="A425" s="335">
        <f>A424+1</f>
        <v>44090</v>
      </c>
      <c r="B425" s="329">
        <f t="shared" si="424"/>
        <v>-287808.23</v>
      </c>
      <c r="C425" s="338">
        <f t="shared" si="430"/>
        <v>296614.37999999989</v>
      </c>
      <c r="D425" s="414">
        <f t="shared" si="431"/>
        <v>0.56000000000000005</v>
      </c>
      <c r="E425" s="49">
        <f t="shared" si="425"/>
        <v>0</v>
      </c>
      <c r="F425" s="35">
        <f t="shared" si="432"/>
        <v>0</v>
      </c>
      <c r="G425" s="414">
        <f t="shared" si="433"/>
        <v>0</v>
      </c>
      <c r="H425" s="49">
        <f t="shared" si="426"/>
        <v>0</v>
      </c>
      <c r="I425" s="35">
        <f t="shared" si="434"/>
        <v>48063.140000000145</v>
      </c>
      <c r="J425" s="414">
        <f t="shared" si="435"/>
        <v>0.05</v>
      </c>
      <c r="K425" s="329">
        <f t="shared" si="427"/>
        <v>0</v>
      </c>
      <c r="L425" s="35">
        <f t="shared" si="436"/>
        <v>0</v>
      </c>
      <c r="M425" s="414">
        <f t="shared" si="437"/>
        <v>0</v>
      </c>
      <c r="N425" s="329">
        <f t="shared" si="428"/>
        <v>0</v>
      </c>
      <c r="O425" s="35">
        <f t="shared" si="438"/>
        <v>24.379999999997089</v>
      </c>
      <c r="P425" s="414">
        <f t="shared" si="439"/>
        <v>0</v>
      </c>
      <c r="Q425" s="329">
        <f t="shared" si="429"/>
        <v>0</v>
      </c>
      <c r="R425" s="35">
        <f t="shared" si="440"/>
        <v>0</v>
      </c>
      <c r="S425" s="414">
        <f t="shared" si="441"/>
        <v>0</v>
      </c>
      <c r="T425" s="880">
        <f>[5]Sheet1!$B839</f>
        <v>9.6800000000000009E-7</v>
      </c>
      <c r="U425" s="10">
        <f t="shared" si="442"/>
        <v>44090</v>
      </c>
      <c r="V425" s="276">
        <f t="shared" si="443"/>
        <v>3.5332000000000001E-4</v>
      </c>
    </row>
    <row r="426" spans="1:22" x14ac:dyDescent="0.25">
      <c r="A426" s="335">
        <f>A425+1</f>
        <v>44091</v>
      </c>
      <c r="B426" s="329">
        <f t="shared" si="424"/>
        <v>-124137.146111111</v>
      </c>
      <c r="C426" s="338">
        <f t="shared" si="430"/>
        <v>172477.23388888891</v>
      </c>
      <c r="D426" s="414">
        <f t="shared" si="431"/>
        <v>0.28999999999999998</v>
      </c>
      <c r="E426" s="49">
        <f t="shared" si="425"/>
        <v>0</v>
      </c>
      <c r="F426" s="35">
        <f t="shared" si="432"/>
        <v>0</v>
      </c>
      <c r="G426" s="414">
        <f t="shared" si="433"/>
        <v>0</v>
      </c>
      <c r="H426" s="49">
        <f t="shared" si="426"/>
        <v>20739.560000000001</v>
      </c>
      <c r="I426" s="35">
        <f t="shared" si="434"/>
        <v>68802.700000000143</v>
      </c>
      <c r="J426" s="414">
        <f t="shared" si="435"/>
        <v>0.05</v>
      </c>
      <c r="K426" s="329">
        <f t="shared" si="427"/>
        <v>0</v>
      </c>
      <c r="L426" s="35">
        <f t="shared" si="436"/>
        <v>0</v>
      </c>
      <c r="M426" s="414">
        <f t="shared" si="437"/>
        <v>0</v>
      </c>
      <c r="N426" s="329">
        <f t="shared" si="428"/>
        <v>103397.586111111</v>
      </c>
      <c r="O426" s="35">
        <f t="shared" si="438"/>
        <v>103421.96611111099</v>
      </c>
      <c r="P426" s="414">
        <f t="shared" si="439"/>
        <v>0</v>
      </c>
      <c r="Q426" s="329">
        <f t="shared" si="429"/>
        <v>0</v>
      </c>
      <c r="R426" s="35">
        <f t="shared" si="440"/>
        <v>0</v>
      </c>
      <c r="S426" s="414">
        <f t="shared" si="441"/>
        <v>0</v>
      </c>
      <c r="T426" s="880">
        <f>[5]Sheet1!$B840</f>
        <v>1.0470000000000001E-6</v>
      </c>
      <c r="U426" s="10">
        <f t="shared" si="442"/>
        <v>44091</v>
      </c>
      <c r="V426" s="276">
        <f t="shared" si="443"/>
        <v>3.8215500000000002E-4</v>
      </c>
    </row>
    <row r="427" spans="1:22" x14ac:dyDescent="0.25">
      <c r="A427" s="335">
        <f>A426+1</f>
        <v>44092</v>
      </c>
      <c r="B427" s="329">
        <f t="shared" si="424"/>
        <v>2573841.56</v>
      </c>
      <c r="C427" s="338">
        <f t="shared" si="430"/>
        <v>2746318.7938888888</v>
      </c>
      <c r="D427" s="414">
        <f t="shared" si="431"/>
        <v>0.18</v>
      </c>
      <c r="E427" s="49">
        <f t="shared" si="425"/>
        <v>0</v>
      </c>
      <c r="F427" s="35">
        <f t="shared" si="432"/>
        <v>0</v>
      </c>
      <c r="G427" s="414">
        <f t="shared" si="433"/>
        <v>0</v>
      </c>
      <c r="H427" s="49">
        <f t="shared" si="426"/>
        <v>0</v>
      </c>
      <c r="I427" s="35">
        <f t="shared" si="434"/>
        <v>68802.700000000143</v>
      </c>
      <c r="J427" s="414">
        <f t="shared" si="435"/>
        <v>7.0000000000000007E-2</v>
      </c>
      <c r="K427" s="329">
        <f t="shared" si="427"/>
        <v>0</v>
      </c>
      <c r="L427" s="35">
        <f t="shared" si="436"/>
        <v>0</v>
      </c>
      <c r="M427" s="414">
        <f t="shared" si="437"/>
        <v>0</v>
      </c>
      <c r="N427" s="329">
        <f t="shared" si="428"/>
        <v>0</v>
      </c>
      <c r="O427" s="35">
        <f t="shared" si="438"/>
        <v>103421.96611111099</v>
      </c>
      <c r="P427" s="414">
        <f t="shared" si="439"/>
        <v>0.11</v>
      </c>
      <c r="Q427" s="329">
        <f t="shared" si="429"/>
        <v>0</v>
      </c>
      <c r="R427" s="35">
        <f t="shared" si="440"/>
        <v>0</v>
      </c>
      <c r="S427" s="414">
        <f t="shared" si="441"/>
        <v>0</v>
      </c>
      <c r="T427" s="880">
        <f>[5]Sheet1!$B841</f>
        <v>3.1549999999999999E-6</v>
      </c>
      <c r="U427" s="10">
        <f t="shared" si="442"/>
        <v>44092</v>
      </c>
      <c r="V427" s="276">
        <f t="shared" si="443"/>
        <v>3.8385833333333332E-4</v>
      </c>
    </row>
    <row r="428" spans="1:22" x14ac:dyDescent="0.25">
      <c r="A428" s="336">
        <f>A427+3</f>
        <v>44095</v>
      </c>
      <c r="B428" s="329">
        <f t="shared" si="424"/>
        <v>0</v>
      </c>
      <c r="C428" s="338">
        <f t="shared" si="430"/>
        <v>2746318.7938888888</v>
      </c>
      <c r="D428" s="414">
        <f t="shared" si="431"/>
        <v>8.66</v>
      </c>
      <c r="E428" s="49">
        <f t="shared" si="425"/>
        <v>0</v>
      </c>
      <c r="F428" s="35">
        <f t="shared" si="432"/>
        <v>0</v>
      </c>
      <c r="G428" s="414">
        <f t="shared" si="433"/>
        <v>0</v>
      </c>
      <c r="H428" s="49">
        <f t="shared" si="426"/>
        <v>0</v>
      </c>
      <c r="I428" s="35">
        <f t="shared" si="434"/>
        <v>68802.700000000143</v>
      </c>
      <c r="J428" s="414">
        <f t="shared" si="435"/>
        <v>0.22</v>
      </c>
      <c r="K428" s="329">
        <f t="shared" si="427"/>
        <v>0</v>
      </c>
      <c r="L428" s="35">
        <f t="shared" si="436"/>
        <v>0</v>
      </c>
      <c r="M428" s="414">
        <f t="shared" si="437"/>
        <v>0</v>
      </c>
      <c r="N428" s="329">
        <f t="shared" si="428"/>
        <v>0</v>
      </c>
      <c r="O428" s="35">
        <f t="shared" si="438"/>
        <v>103421.96611111099</v>
      </c>
      <c r="P428" s="414">
        <f t="shared" si="439"/>
        <v>0.33</v>
      </c>
      <c r="Q428" s="329">
        <f t="shared" si="429"/>
        <v>0</v>
      </c>
      <c r="R428" s="35">
        <f t="shared" si="440"/>
        <v>0</v>
      </c>
      <c r="S428" s="414">
        <f t="shared" si="441"/>
        <v>0</v>
      </c>
      <c r="T428" s="880">
        <f>[5]Sheet1!$B842</f>
        <v>8.2500000000000004E-7</v>
      </c>
      <c r="U428" s="10">
        <f t="shared" si="442"/>
        <v>44095</v>
      </c>
      <c r="V428" s="276">
        <f t="shared" si="443"/>
        <v>3.0112500000000001E-4</v>
      </c>
    </row>
    <row r="429" spans="1:22" x14ac:dyDescent="0.25">
      <c r="A429" s="335">
        <f>A428+1</f>
        <v>44096</v>
      </c>
      <c r="B429" s="329">
        <f t="shared" si="424"/>
        <v>-2500112.5</v>
      </c>
      <c r="C429" s="338">
        <f t="shared" si="430"/>
        <v>246206.29388888879</v>
      </c>
      <c r="D429" s="414">
        <f t="shared" si="431"/>
        <v>2.27</v>
      </c>
      <c r="E429" s="49">
        <f t="shared" si="425"/>
        <v>0</v>
      </c>
      <c r="F429" s="35">
        <f t="shared" si="432"/>
        <v>0</v>
      </c>
      <c r="G429" s="414">
        <f t="shared" si="433"/>
        <v>0</v>
      </c>
      <c r="H429" s="49">
        <f t="shared" si="426"/>
        <v>0</v>
      </c>
      <c r="I429" s="35">
        <f t="shared" si="434"/>
        <v>68802.700000000143</v>
      </c>
      <c r="J429" s="414">
        <f t="shared" si="435"/>
        <v>0.06</v>
      </c>
      <c r="K429" s="329">
        <f t="shared" si="427"/>
        <v>0</v>
      </c>
      <c r="L429" s="35">
        <f t="shared" si="436"/>
        <v>0</v>
      </c>
      <c r="M429" s="414">
        <f t="shared" si="437"/>
        <v>0</v>
      </c>
      <c r="N429" s="329">
        <f t="shared" si="428"/>
        <v>0</v>
      </c>
      <c r="O429" s="35">
        <f t="shared" si="438"/>
        <v>103421.96611111099</v>
      </c>
      <c r="P429" s="414">
        <f t="shared" si="439"/>
        <v>0.09</v>
      </c>
      <c r="Q429" s="329">
        <f t="shared" si="429"/>
        <v>0</v>
      </c>
      <c r="R429" s="35">
        <f t="shared" si="440"/>
        <v>0</v>
      </c>
      <c r="S429" s="414">
        <f t="shared" si="441"/>
        <v>0</v>
      </c>
      <c r="T429" s="880">
        <f>[5]Sheet1!$B843</f>
        <v>6.8999999999999996E-7</v>
      </c>
      <c r="U429" s="10">
        <f t="shared" si="442"/>
        <v>44096</v>
      </c>
      <c r="V429" s="276">
        <f t="shared" si="443"/>
        <v>2.5184999999999997E-4</v>
      </c>
    </row>
    <row r="430" spans="1:22" x14ac:dyDescent="0.25">
      <c r="A430" s="335">
        <f>A429+1</f>
        <v>44097</v>
      </c>
      <c r="B430" s="329">
        <f t="shared" si="424"/>
        <v>0</v>
      </c>
      <c r="C430" s="338">
        <f t="shared" si="430"/>
        <v>246206.29388888879</v>
      </c>
      <c r="D430" s="414">
        <f t="shared" si="431"/>
        <v>0.17</v>
      </c>
      <c r="E430" s="49">
        <f t="shared" si="425"/>
        <v>0</v>
      </c>
      <c r="F430" s="35">
        <f t="shared" si="432"/>
        <v>0</v>
      </c>
      <c r="G430" s="414">
        <f t="shared" si="433"/>
        <v>0</v>
      </c>
      <c r="H430" s="49">
        <f t="shared" si="426"/>
        <v>0</v>
      </c>
      <c r="I430" s="35">
        <f t="shared" si="434"/>
        <v>68802.700000000143</v>
      </c>
      <c r="J430" s="414">
        <f t="shared" si="435"/>
        <v>0.05</v>
      </c>
      <c r="K430" s="329">
        <f t="shared" si="427"/>
        <v>0</v>
      </c>
      <c r="L430" s="35">
        <f t="shared" si="436"/>
        <v>0</v>
      </c>
      <c r="M430" s="414">
        <f t="shared" si="437"/>
        <v>0</v>
      </c>
      <c r="N430" s="329">
        <f t="shared" si="428"/>
        <v>0</v>
      </c>
      <c r="O430" s="35">
        <f t="shared" si="438"/>
        <v>103421.96611111099</v>
      </c>
      <c r="P430" s="414">
        <f t="shared" si="439"/>
        <v>7.0000000000000007E-2</v>
      </c>
      <c r="Q430" s="329">
        <f t="shared" si="429"/>
        <v>0</v>
      </c>
      <c r="R430" s="35">
        <f t="shared" si="440"/>
        <v>0</v>
      </c>
      <c r="S430" s="414">
        <f t="shared" si="441"/>
        <v>0</v>
      </c>
      <c r="T430" s="880">
        <f>[5]Sheet1!$B844</f>
        <v>6.0900000000000001E-7</v>
      </c>
      <c r="U430" s="10">
        <f t="shared" si="442"/>
        <v>44097</v>
      </c>
      <c r="V430" s="276">
        <f t="shared" si="443"/>
        <v>2.2228500000000002E-4</v>
      </c>
    </row>
    <row r="431" spans="1:22" x14ac:dyDescent="0.25">
      <c r="A431" s="335">
        <f>A430+1</f>
        <v>44098</v>
      </c>
      <c r="B431" s="329">
        <f t="shared" si="424"/>
        <v>0</v>
      </c>
      <c r="C431" s="338">
        <f t="shared" si="430"/>
        <v>246206.29388888879</v>
      </c>
      <c r="D431" s="414">
        <f t="shared" si="431"/>
        <v>0.15</v>
      </c>
      <c r="E431" s="49">
        <f t="shared" si="425"/>
        <v>0</v>
      </c>
      <c r="F431" s="35">
        <f t="shared" si="432"/>
        <v>0</v>
      </c>
      <c r="G431" s="414">
        <f t="shared" si="433"/>
        <v>0</v>
      </c>
      <c r="H431" s="49">
        <f t="shared" si="426"/>
        <v>-4950</v>
      </c>
      <c r="I431" s="35">
        <f t="shared" si="434"/>
        <v>63852.700000000143</v>
      </c>
      <c r="J431" s="414">
        <f t="shared" si="435"/>
        <v>0.04</v>
      </c>
      <c r="K431" s="329">
        <f t="shared" si="427"/>
        <v>0</v>
      </c>
      <c r="L431" s="35">
        <f t="shared" si="436"/>
        <v>0</v>
      </c>
      <c r="M431" s="414">
        <f t="shared" si="437"/>
        <v>0</v>
      </c>
      <c r="N431" s="329">
        <f t="shared" si="428"/>
        <v>-103397.59</v>
      </c>
      <c r="O431" s="35">
        <f t="shared" si="438"/>
        <v>24.376111110992497</v>
      </c>
      <c r="P431" s="414">
        <f t="shared" si="439"/>
        <v>0.06</v>
      </c>
      <c r="Q431" s="329">
        <f t="shared" si="429"/>
        <v>0</v>
      </c>
      <c r="R431" s="35">
        <f t="shared" si="440"/>
        <v>0</v>
      </c>
      <c r="S431" s="414">
        <f t="shared" si="441"/>
        <v>0</v>
      </c>
      <c r="T431" s="880">
        <f>[5]Sheet1!$B845</f>
        <v>5.5700000000000002E-7</v>
      </c>
      <c r="U431" s="10">
        <f t="shared" si="442"/>
        <v>44098</v>
      </c>
      <c r="V431" s="276">
        <f t="shared" si="443"/>
        <v>2.0330500000000001E-4</v>
      </c>
    </row>
    <row r="432" spans="1:22" x14ac:dyDescent="0.25">
      <c r="A432" s="335">
        <f>A431+1</f>
        <v>44099</v>
      </c>
      <c r="B432" s="329">
        <f t="shared" si="424"/>
        <v>0</v>
      </c>
      <c r="C432" s="338">
        <f t="shared" si="430"/>
        <v>246206.29388888879</v>
      </c>
      <c r="D432" s="414">
        <f t="shared" si="431"/>
        <v>0.14000000000000001</v>
      </c>
      <c r="E432" s="49">
        <f t="shared" si="425"/>
        <v>0</v>
      </c>
      <c r="F432" s="35">
        <f t="shared" si="432"/>
        <v>0</v>
      </c>
      <c r="G432" s="414">
        <f t="shared" si="433"/>
        <v>0</v>
      </c>
      <c r="H432" s="49">
        <f t="shared" si="426"/>
        <v>0</v>
      </c>
      <c r="I432" s="35">
        <f t="shared" si="434"/>
        <v>63852.700000000143</v>
      </c>
      <c r="J432" s="414">
        <f t="shared" si="435"/>
        <v>0.04</v>
      </c>
      <c r="K432" s="329">
        <f t="shared" si="427"/>
        <v>0</v>
      </c>
      <c r="L432" s="35">
        <f t="shared" si="436"/>
        <v>0</v>
      </c>
      <c r="M432" s="414">
        <f t="shared" si="437"/>
        <v>0</v>
      </c>
      <c r="N432" s="329">
        <f t="shared" si="428"/>
        <v>0</v>
      </c>
      <c r="O432" s="35">
        <f t="shared" si="438"/>
        <v>24.376111110992497</v>
      </c>
      <c r="P432" s="414">
        <f t="shared" si="439"/>
        <v>0</v>
      </c>
      <c r="Q432" s="329">
        <f t="shared" si="429"/>
        <v>0</v>
      </c>
      <c r="R432" s="35">
        <f t="shared" si="440"/>
        <v>0</v>
      </c>
      <c r="S432" s="414">
        <f t="shared" si="441"/>
        <v>0</v>
      </c>
      <c r="T432" s="880">
        <f>[5]Sheet1!$B846</f>
        <v>2.1940000000000001E-6</v>
      </c>
      <c r="U432" s="10">
        <f t="shared" si="442"/>
        <v>44099</v>
      </c>
      <c r="V432" s="276">
        <f t="shared" si="443"/>
        <v>2.6693666666666665E-4</v>
      </c>
    </row>
    <row r="433" spans="1:22" x14ac:dyDescent="0.25">
      <c r="A433" s="336">
        <f>A432+3</f>
        <v>44102</v>
      </c>
      <c r="B433" s="329">
        <f t="shared" si="424"/>
        <v>0</v>
      </c>
      <c r="C433" s="338">
        <f t="shared" si="430"/>
        <v>246206.29388888879</v>
      </c>
      <c r="D433" s="414">
        <f t="shared" si="431"/>
        <v>0.54</v>
      </c>
      <c r="E433" s="49">
        <f t="shared" si="425"/>
        <v>0</v>
      </c>
      <c r="F433" s="35">
        <f t="shared" si="432"/>
        <v>0</v>
      </c>
      <c r="G433" s="414">
        <f t="shared" si="433"/>
        <v>0</v>
      </c>
      <c r="H433" s="49">
        <f t="shared" si="426"/>
        <v>0</v>
      </c>
      <c r="I433" s="35">
        <f t="shared" si="434"/>
        <v>63852.700000000143</v>
      </c>
      <c r="J433" s="414">
        <f t="shared" si="435"/>
        <v>0.14000000000000001</v>
      </c>
      <c r="K433" s="329">
        <f t="shared" si="427"/>
        <v>0</v>
      </c>
      <c r="L433" s="35">
        <f t="shared" si="436"/>
        <v>0</v>
      </c>
      <c r="M433" s="414">
        <f t="shared" si="437"/>
        <v>0</v>
      </c>
      <c r="N433" s="329">
        <f t="shared" si="428"/>
        <v>0</v>
      </c>
      <c r="O433" s="35">
        <f t="shared" si="438"/>
        <v>24.376111110992497</v>
      </c>
      <c r="P433" s="414">
        <f t="shared" si="439"/>
        <v>0</v>
      </c>
      <c r="Q433" s="329">
        <f t="shared" si="429"/>
        <v>0</v>
      </c>
      <c r="R433" s="35">
        <f t="shared" si="440"/>
        <v>0</v>
      </c>
      <c r="S433" s="414">
        <f t="shared" si="441"/>
        <v>0</v>
      </c>
      <c r="T433" s="880">
        <f>[5]Sheet1!$B847</f>
        <v>8.0699999999999996E-7</v>
      </c>
      <c r="U433" s="10">
        <f t="shared" si="442"/>
        <v>44102</v>
      </c>
      <c r="V433" s="276">
        <f t="shared" si="443"/>
        <v>2.94555E-4</v>
      </c>
    </row>
    <row r="434" spans="1:22" x14ac:dyDescent="0.25">
      <c r="A434" s="335">
        <f>A433+1</f>
        <v>44103</v>
      </c>
      <c r="B434" s="329">
        <f t="shared" si="424"/>
        <v>0</v>
      </c>
      <c r="C434" s="338">
        <f t="shared" si="430"/>
        <v>246206.29388888879</v>
      </c>
      <c r="D434" s="414">
        <f t="shared" si="431"/>
        <v>0.2</v>
      </c>
      <c r="E434" s="49">
        <f t="shared" si="425"/>
        <v>0</v>
      </c>
      <c r="F434" s="35">
        <f t="shared" si="432"/>
        <v>0</v>
      </c>
      <c r="G434" s="414">
        <f t="shared" si="433"/>
        <v>0</v>
      </c>
      <c r="H434" s="49">
        <f t="shared" si="426"/>
        <v>0</v>
      </c>
      <c r="I434" s="35">
        <f t="shared" si="434"/>
        <v>63852.700000000143</v>
      </c>
      <c r="J434" s="414">
        <f t="shared" si="435"/>
        <v>0.05</v>
      </c>
      <c r="K434" s="329">
        <f t="shared" si="427"/>
        <v>0</v>
      </c>
      <c r="L434" s="35">
        <f t="shared" si="436"/>
        <v>0</v>
      </c>
      <c r="M434" s="414">
        <f t="shared" si="437"/>
        <v>0</v>
      </c>
      <c r="N434" s="329">
        <f t="shared" si="428"/>
        <v>0</v>
      </c>
      <c r="O434" s="35">
        <f t="shared" si="438"/>
        <v>24.376111110992497</v>
      </c>
      <c r="P434" s="414">
        <f t="shared" si="439"/>
        <v>0</v>
      </c>
      <c r="Q434" s="329">
        <f t="shared" si="429"/>
        <v>0</v>
      </c>
      <c r="R434" s="35">
        <f t="shared" si="440"/>
        <v>0</v>
      </c>
      <c r="S434" s="414">
        <f t="shared" si="441"/>
        <v>0</v>
      </c>
      <c r="T434" s="880">
        <f>[5]Sheet1!$B848</f>
        <v>6.3799999999999997E-7</v>
      </c>
      <c r="U434" s="10">
        <f t="shared" si="442"/>
        <v>44103</v>
      </c>
      <c r="V434" s="276">
        <f t="shared" si="443"/>
        <v>2.3286999999999998E-4</v>
      </c>
    </row>
    <row r="435" spans="1:22" x14ac:dyDescent="0.25">
      <c r="A435" s="335">
        <f>A434+1</f>
        <v>44104</v>
      </c>
      <c r="B435" s="329">
        <f t="shared" si="424"/>
        <v>0</v>
      </c>
      <c r="C435" s="338">
        <f t="shared" si="430"/>
        <v>246206.29388888879</v>
      </c>
      <c r="D435" s="414">
        <f t="shared" si="431"/>
        <v>0.16</v>
      </c>
      <c r="E435" s="49">
        <f t="shared" si="425"/>
        <v>0</v>
      </c>
      <c r="F435" s="35">
        <f t="shared" si="432"/>
        <v>0</v>
      </c>
      <c r="G435" s="414">
        <f t="shared" si="433"/>
        <v>0</v>
      </c>
      <c r="H435" s="49">
        <f t="shared" si="426"/>
        <v>0</v>
      </c>
      <c r="I435" s="35">
        <f t="shared" si="434"/>
        <v>63852.700000000143</v>
      </c>
      <c r="J435" s="414">
        <f t="shared" si="435"/>
        <v>0.04</v>
      </c>
      <c r="K435" s="329">
        <f t="shared" si="427"/>
        <v>0</v>
      </c>
      <c r="L435" s="35">
        <f t="shared" si="436"/>
        <v>0</v>
      </c>
      <c r="M435" s="414">
        <f t="shared" si="437"/>
        <v>0</v>
      </c>
      <c r="N435" s="329">
        <f t="shared" si="428"/>
        <v>0</v>
      </c>
      <c r="O435" s="35">
        <f t="shared" si="438"/>
        <v>24.376111110992497</v>
      </c>
      <c r="P435" s="414">
        <f t="shared" si="439"/>
        <v>0</v>
      </c>
      <c r="Q435" s="329">
        <f t="shared" si="429"/>
        <v>0</v>
      </c>
      <c r="R435" s="35">
        <f t="shared" si="440"/>
        <v>0</v>
      </c>
      <c r="S435" s="414">
        <f t="shared" si="441"/>
        <v>0</v>
      </c>
      <c r="T435" s="880">
        <f>[5]Sheet1!$B849</f>
        <v>5.3000000000000001E-7</v>
      </c>
      <c r="U435" s="10">
        <f t="shared" si="442"/>
        <v>44104</v>
      </c>
      <c r="V435" s="276">
        <f t="shared" si="443"/>
        <v>1.9345000000000001E-4</v>
      </c>
    </row>
    <row r="436" spans="1:22" x14ac:dyDescent="0.25">
      <c r="A436" s="335">
        <f>A435+1</f>
        <v>44105</v>
      </c>
      <c r="B436" s="329">
        <f t="shared" si="424"/>
        <v>0</v>
      </c>
      <c r="C436" s="338">
        <f t="shared" si="430"/>
        <v>246206.29388888879</v>
      </c>
      <c r="D436" s="414">
        <f t="shared" si="431"/>
        <v>0.13</v>
      </c>
      <c r="E436" s="49">
        <f t="shared" si="425"/>
        <v>0</v>
      </c>
      <c r="F436" s="35">
        <f t="shared" si="432"/>
        <v>0</v>
      </c>
      <c r="G436" s="414">
        <f t="shared" si="433"/>
        <v>0</v>
      </c>
      <c r="H436" s="49">
        <f t="shared" si="426"/>
        <v>0</v>
      </c>
      <c r="I436" s="35">
        <f t="shared" si="434"/>
        <v>63852.700000000143</v>
      </c>
      <c r="J436" s="414">
        <f t="shared" si="435"/>
        <v>0.03</v>
      </c>
      <c r="K436" s="329">
        <f t="shared" si="427"/>
        <v>0</v>
      </c>
      <c r="L436" s="35">
        <f t="shared" si="436"/>
        <v>0</v>
      </c>
      <c r="M436" s="414">
        <f t="shared" si="437"/>
        <v>0</v>
      </c>
      <c r="N436" s="329">
        <f t="shared" si="428"/>
        <v>0</v>
      </c>
      <c r="O436" s="35">
        <f t="shared" si="438"/>
        <v>24.376111110992497</v>
      </c>
      <c r="P436" s="414">
        <f t="shared" si="439"/>
        <v>0</v>
      </c>
      <c r="Q436" s="329">
        <f t="shared" si="429"/>
        <v>0</v>
      </c>
      <c r="R436" s="35">
        <f t="shared" si="440"/>
        <v>0</v>
      </c>
      <c r="S436" s="414">
        <f t="shared" si="441"/>
        <v>0</v>
      </c>
      <c r="T436" s="880">
        <f>[5]Sheet1!$B850</f>
        <v>5.2399999999999998E-7</v>
      </c>
      <c r="U436" s="10">
        <f t="shared" si="442"/>
        <v>44105</v>
      </c>
      <c r="V436" s="276">
        <f t="shared" si="443"/>
        <v>1.9125999999999998E-4</v>
      </c>
    </row>
    <row r="437" spans="1:22" x14ac:dyDescent="0.25">
      <c r="A437" s="335">
        <f>A436+1</f>
        <v>44106</v>
      </c>
      <c r="B437" s="329">
        <f t="shared" si="424"/>
        <v>19.59</v>
      </c>
      <c r="C437" s="338">
        <f t="shared" si="430"/>
        <v>246225.88388888878</v>
      </c>
      <c r="D437" s="414">
        <f t="shared" si="431"/>
        <v>0.13</v>
      </c>
      <c r="E437" s="49">
        <f t="shared" si="425"/>
        <v>0</v>
      </c>
      <c r="F437" s="35">
        <f t="shared" si="432"/>
        <v>0</v>
      </c>
      <c r="G437" s="414">
        <f t="shared" si="433"/>
        <v>0</v>
      </c>
      <c r="H437" s="49">
        <f t="shared" si="426"/>
        <v>-151.86000000000001</v>
      </c>
      <c r="I437" s="35">
        <f t="shared" si="434"/>
        <v>63700.840000000142</v>
      </c>
      <c r="J437" s="414">
        <f t="shared" si="435"/>
        <v>0.03</v>
      </c>
      <c r="K437" s="329">
        <f t="shared" si="427"/>
        <v>0</v>
      </c>
      <c r="L437" s="35">
        <f t="shared" si="436"/>
        <v>0</v>
      </c>
      <c r="M437" s="414">
        <f t="shared" si="437"/>
        <v>0</v>
      </c>
      <c r="N437" s="329">
        <f t="shared" si="428"/>
        <v>0.66</v>
      </c>
      <c r="O437" s="35">
        <f t="shared" si="438"/>
        <v>25.036111110992497</v>
      </c>
      <c r="P437" s="414">
        <f t="shared" si="439"/>
        <v>0</v>
      </c>
      <c r="Q437" s="329">
        <f t="shared" si="429"/>
        <v>0</v>
      </c>
      <c r="R437" s="35">
        <f t="shared" si="440"/>
        <v>0</v>
      </c>
      <c r="S437" s="414">
        <f t="shared" si="441"/>
        <v>0</v>
      </c>
      <c r="T437" s="880">
        <f>[5]Sheet1!$B851</f>
        <v>1.9089999999999998E-6</v>
      </c>
      <c r="U437" s="10">
        <f t="shared" si="442"/>
        <v>44106</v>
      </c>
      <c r="V437" s="276">
        <f t="shared" si="443"/>
        <v>2.3226166666666663E-4</v>
      </c>
    </row>
    <row r="438" spans="1:22" x14ac:dyDescent="0.25">
      <c r="A438" s="336">
        <f>A437+3</f>
        <v>44109</v>
      </c>
      <c r="B438" s="329">
        <f t="shared" si="424"/>
        <v>0</v>
      </c>
      <c r="C438" s="338">
        <f t="shared" si="430"/>
        <v>246225.88388888878</v>
      </c>
      <c r="D438" s="414">
        <f t="shared" si="431"/>
        <v>0.47</v>
      </c>
      <c r="E438" s="49">
        <f t="shared" si="425"/>
        <v>0</v>
      </c>
      <c r="F438" s="35">
        <f t="shared" si="432"/>
        <v>0</v>
      </c>
      <c r="G438" s="414">
        <f t="shared" si="433"/>
        <v>0</v>
      </c>
      <c r="H438" s="49">
        <f t="shared" si="426"/>
        <v>0</v>
      </c>
      <c r="I438" s="35">
        <f t="shared" si="434"/>
        <v>63700.840000000142</v>
      </c>
      <c r="J438" s="414">
        <f t="shared" si="435"/>
        <v>0.12</v>
      </c>
      <c r="K438" s="329">
        <f t="shared" si="427"/>
        <v>0</v>
      </c>
      <c r="L438" s="35">
        <f t="shared" si="436"/>
        <v>0</v>
      </c>
      <c r="M438" s="414">
        <f t="shared" si="437"/>
        <v>0</v>
      </c>
      <c r="N438" s="329">
        <f t="shared" si="428"/>
        <v>0</v>
      </c>
      <c r="O438" s="35">
        <f t="shared" si="438"/>
        <v>25.036111110992497</v>
      </c>
      <c r="P438" s="414">
        <f t="shared" si="439"/>
        <v>0</v>
      </c>
      <c r="Q438" s="329">
        <f t="shared" si="429"/>
        <v>0</v>
      </c>
      <c r="R438" s="35">
        <f t="shared" si="440"/>
        <v>0</v>
      </c>
      <c r="S438" s="414">
        <f t="shared" si="441"/>
        <v>0</v>
      </c>
      <c r="T438" s="880">
        <f>[5]Sheet1!$B852</f>
        <v>8.9500000000000001E-7</v>
      </c>
      <c r="U438" s="10">
        <f t="shared" si="442"/>
        <v>44109</v>
      </c>
      <c r="V438" s="276">
        <f t="shared" si="443"/>
        <v>3.2667500000000001E-4</v>
      </c>
    </row>
    <row r="439" spans="1:22" x14ac:dyDescent="0.25">
      <c r="A439" s="335">
        <f>A438+1</f>
        <v>44110</v>
      </c>
      <c r="B439" s="329">
        <f t="shared" si="424"/>
        <v>0</v>
      </c>
      <c r="C439" s="338">
        <f t="shared" si="430"/>
        <v>246225.88388888878</v>
      </c>
      <c r="D439" s="414">
        <f t="shared" si="431"/>
        <v>0.22</v>
      </c>
      <c r="E439" s="49">
        <f t="shared" si="425"/>
        <v>0</v>
      </c>
      <c r="F439" s="35">
        <f t="shared" si="432"/>
        <v>0</v>
      </c>
      <c r="G439" s="414">
        <f t="shared" si="433"/>
        <v>0</v>
      </c>
      <c r="H439" s="49">
        <f t="shared" si="426"/>
        <v>0</v>
      </c>
      <c r="I439" s="35">
        <f t="shared" si="434"/>
        <v>63700.840000000142</v>
      </c>
      <c r="J439" s="414">
        <f t="shared" si="435"/>
        <v>0.06</v>
      </c>
      <c r="K439" s="329">
        <f t="shared" si="427"/>
        <v>0</v>
      </c>
      <c r="L439" s="35">
        <f t="shared" si="436"/>
        <v>0</v>
      </c>
      <c r="M439" s="414">
        <f t="shared" si="437"/>
        <v>0</v>
      </c>
      <c r="N439" s="329">
        <f t="shared" si="428"/>
        <v>0</v>
      </c>
      <c r="O439" s="35">
        <f t="shared" si="438"/>
        <v>25.036111110992497</v>
      </c>
      <c r="P439" s="414">
        <f t="shared" si="439"/>
        <v>0</v>
      </c>
      <c r="Q439" s="329">
        <f t="shared" si="429"/>
        <v>0</v>
      </c>
      <c r="R439" s="35">
        <f t="shared" si="440"/>
        <v>0</v>
      </c>
      <c r="S439" s="414">
        <f t="shared" si="441"/>
        <v>0</v>
      </c>
      <c r="T439" s="880">
        <f>[5]Sheet1!$B853</f>
        <v>7.6000000000000003E-7</v>
      </c>
      <c r="U439" s="10">
        <f t="shared" si="442"/>
        <v>44110</v>
      </c>
      <c r="V439" s="276">
        <f t="shared" si="443"/>
        <v>2.7740000000000002E-4</v>
      </c>
    </row>
    <row r="440" spans="1:22" x14ac:dyDescent="0.25">
      <c r="A440" s="335">
        <f>A439+1</f>
        <v>44111</v>
      </c>
      <c r="B440" s="329">
        <f t="shared" si="424"/>
        <v>0</v>
      </c>
      <c r="C440" s="338">
        <f t="shared" si="430"/>
        <v>246225.88388888878</v>
      </c>
      <c r="D440" s="414">
        <f t="shared" si="431"/>
        <v>0.19</v>
      </c>
      <c r="E440" s="49">
        <f t="shared" si="425"/>
        <v>0</v>
      </c>
      <c r="F440" s="35">
        <f t="shared" si="432"/>
        <v>0</v>
      </c>
      <c r="G440" s="414">
        <f t="shared" si="433"/>
        <v>0</v>
      </c>
      <c r="H440" s="49">
        <f t="shared" si="426"/>
        <v>0</v>
      </c>
      <c r="I440" s="35">
        <f t="shared" si="434"/>
        <v>63700.840000000142</v>
      </c>
      <c r="J440" s="414">
        <f t="shared" si="435"/>
        <v>0.05</v>
      </c>
      <c r="K440" s="329">
        <f t="shared" si="427"/>
        <v>0</v>
      </c>
      <c r="L440" s="35">
        <f t="shared" si="436"/>
        <v>0</v>
      </c>
      <c r="M440" s="414">
        <f t="shared" si="437"/>
        <v>0</v>
      </c>
      <c r="N440" s="329">
        <f t="shared" si="428"/>
        <v>0</v>
      </c>
      <c r="O440" s="35">
        <f t="shared" si="438"/>
        <v>25.036111110992497</v>
      </c>
      <c r="P440" s="414">
        <f t="shared" si="439"/>
        <v>0</v>
      </c>
      <c r="Q440" s="329">
        <f t="shared" si="429"/>
        <v>0</v>
      </c>
      <c r="R440" s="35">
        <f t="shared" si="440"/>
        <v>0</v>
      </c>
      <c r="S440" s="414">
        <f t="shared" si="441"/>
        <v>0</v>
      </c>
      <c r="T440" s="880">
        <f>[5]Sheet1!$B854</f>
        <v>7.7599999999999996E-7</v>
      </c>
      <c r="U440" s="10">
        <f t="shared" si="442"/>
        <v>44111</v>
      </c>
      <c r="V440" s="276">
        <f t="shared" si="443"/>
        <v>2.8323999999999998E-4</v>
      </c>
    </row>
    <row r="441" spans="1:22" x14ac:dyDescent="0.25">
      <c r="A441" s="335">
        <f>A440+1</f>
        <v>44112</v>
      </c>
      <c r="B441" s="329">
        <f t="shared" si="424"/>
        <v>0</v>
      </c>
      <c r="C441" s="338">
        <f t="shared" si="430"/>
        <v>246225.88388888878</v>
      </c>
      <c r="D441" s="414">
        <f t="shared" si="431"/>
        <v>0.19</v>
      </c>
      <c r="E441" s="49">
        <f t="shared" si="425"/>
        <v>0</v>
      </c>
      <c r="F441" s="35">
        <f t="shared" si="432"/>
        <v>0</v>
      </c>
      <c r="G441" s="414">
        <f t="shared" si="433"/>
        <v>0</v>
      </c>
      <c r="H441" s="49">
        <f t="shared" si="426"/>
        <v>0</v>
      </c>
      <c r="I441" s="35">
        <f t="shared" si="434"/>
        <v>63700.840000000142</v>
      </c>
      <c r="J441" s="414">
        <f t="shared" si="435"/>
        <v>0.05</v>
      </c>
      <c r="K441" s="329">
        <f t="shared" si="427"/>
        <v>0</v>
      </c>
      <c r="L441" s="35">
        <f t="shared" si="436"/>
        <v>0</v>
      </c>
      <c r="M441" s="414">
        <f t="shared" si="437"/>
        <v>0</v>
      </c>
      <c r="N441" s="329">
        <f t="shared" si="428"/>
        <v>0</v>
      </c>
      <c r="O441" s="35">
        <f t="shared" si="438"/>
        <v>25.036111110992497</v>
      </c>
      <c r="P441" s="414">
        <f t="shared" si="439"/>
        <v>0</v>
      </c>
      <c r="Q441" s="329">
        <f t="shared" si="429"/>
        <v>0</v>
      </c>
      <c r="R441" s="35">
        <f t="shared" si="440"/>
        <v>0</v>
      </c>
      <c r="S441" s="414">
        <f t="shared" si="441"/>
        <v>0</v>
      </c>
      <c r="T441" s="880">
        <f>[5]Sheet1!$B855</f>
        <v>5.2300000000000001E-7</v>
      </c>
      <c r="U441" s="10">
        <f t="shared" si="442"/>
        <v>44112</v>
      </c>
      <c r="V441" s="276">
        <f t="shared" si="443"/>
        <v>1.9089500000000001E-4</v>
      </c>
    </row>
    <row r="442" spans="1:22" x14ac:dyDescent="0.25">
      <c r="A442" s="335">
        <f>A441+1</f>
        <v>44113</v>
      </c>
      <c r="B442" s="329">
        <f t="shared" si="424"/>
        <v>0</v>
      </c>
      <c r="C442" s="338">
        <f t="shared" si="430"/>
        <v>246225.88388888878</v>
      </c>
      <c r="D442" s="414">
        <f t="shared" si="431"/>
        <v>0.13</v>
      </c>
      <c r="E442" s="49">
        <f t="shared" si="425"/>
        <v>0</v>
      </c>
      <c r="F442" s="35">
        <f t="shared" si="432"/>
        <v>0</v>
      </c>
      <c r="G442" s="414">
        <f t="shared" si="433"/>
        <v>0</v>
      </c>
      <c r="H442" s="49">
        <f t="shared" si="426"/>
        <v>0</v>
      </c>
      <c r="I442" s="35">
        <f t="shared" si="434"/>
        <v>63700.840000000142</v>
      </c>
      <c r="J442" s="414">
        <f t="shared" si="435"/>
        <v>0.03</v>
      </c>
      <c r="K442" s="329">
        <f t="shared" si="427"/>
        <v>0</v>
      </c>
      <c r="L442" s="35">
        <f t="shared" si="436"/>
        <v>0</v>
      </c>
      <c r="M442" s="414">
        <f t="shared" si="437"/>
        <v>0</v>
      </c>
      <c r="N442" s="329">
        <f t="shared" si="428"/>
        <v>0</v>
      </c>
      <c r="O442" s="35">
        <f t="shared" si="438"/>
        <v>25.036111110992497</v>
      </c>
      <c r="P442" s="414">
        <f t="shared" si="439"/>
        <v>0</v>
      </c>
      <c r="Q442" s="329">
        <f t="shared" si="429"/>
        <v>0</v>
      </c>
      <c r="R442" s="35">
        <f t="shared" si="440"/>
        <v>0</v>
      </c>
      <c r="S442" s="414">
        <f t="shared" si="441"/>
        <v>0</v>
      </c>
      <c r="T442" s="880">
        <f>[5]Sheet1!$B856</f>
        <v>1.79E-6</v>
      </c>
      <c r="U442" s="10">
        <f t="shared" si="442"/>
        <v>44113</v>
      </c>
      <c r="V442" s="276">
        <f t="shared" si="443"/>
        <v>2.1778333333333333E-4</v>
      </c>
    </row>
    <row r="443" spans="1:22" x14ac:dyDescent="0.25">
      <c r="A443" s="336">
        <f>A442+3</f>
        <v>44116</v>
      </c>
      <c r="B443" s="329">
        <f t="shared" si="424"/>
        <v>0</v>
      </c>
      <c r="C443" s="338">
        <f t="shared" si="430"/>
        <v>246225.88388888878</v>
      </c>
      <c r="D443" s="414">
        <f t="shared" si="431"/>
        <v>0.44</v>
      </c>
      <c r="E443" s="49">
        <f t="shared" si="425"/>
        <v>0</v>
      </c>
      <c r="F443" s="35">
        <f t="shared" si="432"/>
        <v>0</v>
      </c>
      <c r="G443" s="414">
        <f t="shared" si="433"/>
        <v>0</v>
      </c>
      <c r="H443" s="49">
        <f t="shared" si="426"/>
        <v>0</v>
      </c>
      <c r="I443" s="35">
        <f t="shared" si="434"/>
        <v>63700.840000000142</v>
      </c>
      <c r="J443" s="414">
        <f t="shared" si="435"/>
        <v>0.11</v>
      </c>
      <c r="K443" s="329">
        <f t="shared" si="427"/>
        <v>0</v>
      </c>
      <c r="L443" s="35">
        <f t="shared" si="436"/>
        <v>0</v>
      </c>
      <c r="M443" s="414">
        <f t="shared" si="437"/>
        <v>0</v>
      </c>
      <c r="N443" s="329">
        <f t="shared" si="428"/>
        <v>0</v>
      </c>
      <c r="O443" s="35">
        <f t="shared" si="438"/>
        <v>25.036111110992497</v>
      </c>
      <c r="P443" s="414">
        <f t="shared" si="439"/>
        <v>0</v>
      </c>
      <c r="Q443" s="329">
        <f t="shared" si="429"/>
        <v>0</v>
      </c>
      <c r="R443" s="35">
        <f t="shared" si="440"/>
        <v>0</v>
      </c>
      <c r="S443" s="414">
        <f t="shared" si="441"/>
        <v>0</v>
      </c>
      <c r="T443" s="880">
        <f>[5]Sheet1!$B857</f>
        <v>5.9400000000000005E-7</v>
      </c>
      <c r="U443" s="10">
        <f t="shared" si="442"/>
        <v>44116</v>
      </c>
      <c r="V443" s="276">
        <f t="shared" si="443"/>
        <v>2.1681000000000001E-4</v>
      </c>
    </row>
    <row r="444" spans="1:22" x14ac:dyDescent="0.25">
      <c r="A444" s="335">
        <f>A443+1</f>
        <v>44117</v>
      </c>
      <c r="B444" s="329">
        <f t="shared" si="424"/>
        <v>0</v>
      </c>
      <c r="C444" s="338">
        <f t="shared" si="430"/>
        <v>246225.88388888878</v>
      </c>
      <c r="D444" s="414">
        <f t="shared" si="431"/>
        <v>0.15</v>
      </c>
      <c r="E444" s="49">
        <f t="shared" si="425"/>
        <v>0</v>
      </c>
      <c r="F444" s="35">
        <f t="shared" si="432"/>
        <v>0</v>
      </c>
      <c r="G444" s="414">
        <f t="shared" si="433"/>
        <v>0</v>
      </c>
      <c r="H444" s="49">
        <f t="shared" si="426"/>
        <v>0</v>
      </c>
      <c r="I444" s="35">
        <f t="shared" si="434"/>
        <v>63700.840000000142</v>
      </c>
      <c r="J444" s="414">
        <f t="shared" si="435"/>
        <v>0.04</v>
      </c>
      <c r="K444" s="329">
        <f t="shared" si="427"/>
        <v>0</v>
      </c>
      <c r="L444" s="35">
        <f t="shared" si="436"/>
        <v>0</v>
      </c>
      <c r="M444" s="414">
        <f t="shared" si="437"/>
        <v>0</v>
      </c>
      <c r="N444" s="329">
        <f t="shared" si="428"/>
        <v>0</v>
      </c>
      <c r="O444" s="35">
        <f t="shared" si="438"/>
        <v>25.036111110992497</v>
      </c>
      <c r="P444" s="414">
        <f t="shared" si="439"/>
        <v>0</v>
      </c>
      <c r="Q444" s="329">
        <f t="shared" si="429"/>
        <v>0</v>
      </c>
      <c r="R444" s="35">
        <f t="shared" si="440"/>
        <v>0</v>
      </c>
      <c r="S444" s="414">
        <f t="shared" si="441"/>
        <v>0</v>
      </c>
      <c r="T444" s="880">
        <f>[5]Sheet1!$B858</f>
        <v>6.8199999999999999E-7</v>
      </c>
      <c r="U444" s="10">
        <f t="shared" si="442"/>
        <v>44117</v>
      </c>
      <c r="V444" s="276">
        <f t="shared" si="443"/>
        <v>2.4893000000000002E-4</v>
      </c>
    </row>
    <row r="445" spans="1:22" x14ac:dyDescent="0.25">
      <c r="A445" s="335">
        <f>A444+1</f>
        <v>44118</v>
      </c>
      <c r="B445" s="329">
        <f t="shared" si="424"/>
        <v>0</v>
      </c>
      <c r="C445" s="338">
        <f t="shared" si="430"/>
        <v>246225.88388888878</v>
      </c>
      <c r="D445" s="414">
        <f t="shared" si="431"/>
        <v>0.17</v>
      </c>
      <c r="E445" s="49">
        <f t="shared" si="425"/>
        <v>0</v>
      </c>
      <c r="F445" s="35">
        <f t="shared" si="432"/>
        <v>0</v>
      </c>
      <c r="G445" s="414">
        <f t="shared" si="433"/>
        <v>0</v>
      </c>
      <c r="H445" s="49">
        <f t="shared" si="426"/>
        <v>0</v>
      </c>
      <c r="I445" s="35">
        <f t="shared" si="434"/>
        <v>63700.840000000142</v>
      </c>
      <c r="J445" s="414">
        <f t="shared" si="435"/>
        <v>0.04</v>
      </c>
      <c r="K445" s="329">
        <f t="shared" si="427"/>
        <v>0</v>
      </c>
      <c r="L445" s="35">
        <f t="shared" si="436"/>
        <v>0</v>
      </c>
      <c r="M445" s="414">
        <f t="shared" si="437"/>
        <v>0</v>
      </c>
      <c r="N445" s="329">
        <f t="shared" si="428"/>
        <v>0</v>
      </c>
      <c r="O445" s="35">
        <f t="shared" si="438"/>
        <v>25.036111110992497</v>
      </c>
      <c r="P445" s="414">
        <f t="shared" si="439"/>
        <v>0</v>
      </c>
      <c r="Q445" s="329">
        <f t="shared" si="429"/>
        <v>0</v>
      </c>
      <c r="R445" s="35">
        <f t="shared" si="440"/>
        <v>0</v>
      </c>
      <c r="S445" s="414">
        <f t="shared" si="441"/>
        <v>0</v>
      </c>
      <c r="T445" s="880">
        <f>[5]Sheet1!$B859</f>
        <v>6.5300000000000004E-7</v>
      </c>
      <c r="U445" s="10">
        <f t="shared" si="442"/>
        <v>44118</v>
      </c>
      <c r="V445" s="276">
        <f t="shared" si="443"/>
        <v>2.3834500000000002E-4</v>
      </c>
    </row>
    <row r="446" spans="1:22" x14ac:dyDescent="0.25">
      <c r="A446" s="335">
        <f>A445+1</f>
        <v>44119</v>
      </c>
      <c r="B446" s="329">
        <f t="shared" si="424"/>
        <v>0</v>
      </c>
      <c r="C446" s="338">
        <f t="shared" si="430"/>
        <v>246225.88388888878</v>
      </c>
      <c r="D446" s="414">
        <f t="shared" si="431"/>
        <v>0.16</v>
      </c>
      <c r="E446" s="49">
        <f t="shared" si="425"/>
        <v>0</v>
      </c>
      <c r="F446" s="35">
        <f t="shared" si="432"/>
        <v>0</v>
      </c>
      <c r="G446" s="414">
        <f t="shared" si="433"/>
        <v>0</v>
      </c>
      <c r="H446" s="49">
        <f t="shared" si="426"/>
        <v>0</v>
      </c>
      <c r="I446" s="35">
        <f t="shared" si="434"/>
        <v>63700.840000000142</v>
      </c>
      <c r="J446" s="414">
        <f t="shared" si="435"/>
        <v>0.04</v>
      </c>
      <c r="K446" s="329">
        <f t="shared" si="427"/>
        <v>0</v>
      </c>
      <c r="L446" s="35">
        <f t="shared" si="436"/>
        <v>0</v>
      </c>
      <c r="M446" s="414">
        <f t="shared" si="437"/>
        <v>0</v>
      </c>
      <c r="N446" s="329">
        <f t="shared" si="428"/>
        <v>0</v>
      </c>
      <c r="O446" s="35">
        <f t="shared" si="438"/>
        <v>25.036111110992497</v>
      </c>
      <c r="P446" s="414">
        <f t="shared" si="439"/>
        <v>0</v>
      </c>
      <c r="Q446" s="329">
        <f t="shared" si="429"/>
        <v>0</v>
      </c>
      <c r="R446" s="35">
        <f t="shared" si="440"/>
        <v>0</v>
      </c>
      <c r="S446" s="414">
        <f t="shared" si="441"/>
        <v>0</v>
      </c>
      <c r="T446" s="880">
        <f>[5]Sheet1!$B860</f>
        <v>6.9400000000000005E-7</v>
      </c>
      <c r="U446" s="10">
        <f t="shared" si="442"/>
        <v>44119</v>
      </c>
      <c r="V446" s="276">
        <f t="shared" si="443"/>
        <v>2.5331000000000003E-4</v>
      </c>
    </row>
    <row r="447" spans="1:22" x14ac:dyDescent="0.25">
      <c r="A447" s="335">
        <f>A446+1</f>
        <v>44120</v>
      </c>
      <c r="B447" s="329">
        <f t="shared" si="424"/>
        <v>-202959.583888889</v>
      </c>
      <c r="C447" s="338">
        <f t="shared" si="430"/>
        <v>43266.299999999785</v>
      </c>
      <c r="D447" s="414">
        <f t="shared" si="431"/>
        <v>0.17</v>
      </c>
      <c r="E447" s="49">
        <f t="shared" si="425"/>
        <v>0</v>
      </c>
      <c r="F447" s="35">
        <f t="shared" si="432"/>
        <v>0</v>
      </c>
      <c r="G447" s="414">
        <f t="shared" si="433"/>
        <v>0</v>
      </c>
      <c r="H447" s="49">
        <f t="shared" si="426"/>
        <v>0</v>
      </c>
      <c r="I447" s="35">
        <f t="shared" si="434"/>
        <v>63700.840000000142</v>
      </c>
      <c r="J447" s="414">
        <f t="shared" si="435"/>
        <v>0.04</v>
      </c>
      <c r="K447" s="329">
        <f t="shared" si="427"/>
        <v>0</v>
      </c>
      <c r="L447" s="35">
        <f t="shared" si="436"/>
        <v>0</v>
      </c>
      <c r="M447" s="414">
        <f t="shared" si="437"/>
        <v>0</v>
      </c>
      <c r="N447" s="329">
        <f t="shared" si="428"/>
        <v>0</v>
      </c>
      <c r="O447" s="35">
        <f t="shared" si="438"/>
        <v>25.036111110992497</v>
      </c>
      <c r="P447" s="414">
        <f t="shared" si="439"/>
        <v>0</v>
      </c>
      <c r="Q447" s="329">
        <f t="shared" si="429"/>
        <v>0</v>
      </c>
      <c r="R447" s="35">
        <f t="shared" si="440"/>
        <v>0</v>
      </c>
      <c r="S447" s="414">
        <f t="shared" si="441"/>
        <v>0</v>
      </c>
      <c r="T447" s="880">
        <f>[5]Sheet1!$B861</f>
        <v>2.1280000000000002E-6</v>
      </c>
      <c r="U447" s="10">
        <f t="shared" si="442"/>
        <v>44120</v>
      </c>
      <c r="V447" s="276">
        <f t="shared" si="443"/>
        <v>2.5890666666666669E-4</v>
      </c>
    </row>
    <row r="448" spans="1:22" x14ac:dyDescent="0.25">
      <c r="A448" s="336">
        <f>A447+3</f>
        <v>44123</v>
      </c>
      <c r="B448" s="329">
        <f t="shared" si="424"/>
        <v>232470.48</v>
      </c>
      <c r="C448" s="338">
        <f t="shared" si="430"/>
        <v>275736.7799999998</v>
      </c>
      <c r="D448" s="414">
        <f t="shared" si="431"/>
        <v>0.09</v>
      </c>
      <c r="E448" s="49">
        <f t="shared" si="425"/>
        <v>0</v>
      </c>
      <c r="F448" s="35">
        <f t="shared" si="432"/>
        <v>0</v>
      </c>
      <c r="G448" s="414">
        <f t="shared" si="433"/>
        <v>0</v>
      </c>
      <c r="H448" s="49">
        <f t="shared" si="426"/>
        <v>0</v>
      </c>
      <c r="I448" s="35">
        <f t="shared" si="434"/>
        <v>63700.840000000142</v>
      </c>
      <c r="J448" s="414">
        <f t="shared" si="435"/>
        <v>0.14000000000000001</v>
      </c>
      <c r="K448" s="329">
        <f t="shared" si="427"/>
        <v>0</v>
      </c>
      <c r="L448" s="35">
        <f t="shared" si="436"/>
        <v>0</v>
      </c>
      <c r="M448" s="414">
        <f t="shared" si="437"/>
        <v>0</v>
      </c>
      <c r="N448" s="329">
        <f t="shared" si="428"/>
        <v>0</v>
      </c>
      <c r="O448" s="35">
        <f t="shared" si="438"/>
        <v>25.036111110992497</v>
      </c>
      <c r="P448" s="414">
        <f t="shared" si="439"/>
        <v>0</v>
      </c>
      <c r="Q448" s="329">
        <f t="shared" si="429"/>
        <v>0</v>
      </c>
      <c r="R448" s="35">
        <f t="shared" si="440"/>
        <v>0</v>
      </c>
      <c r="S448" s="414">
        <f t="shared" si="441"/>
        <v>0</v>
      </c>
      <c r="T448" s="880">
        <f>[5]Sheet1!$B862</f>
        <v>6.0800000000000004E-7</v>
      </c>
      <c r="U448" s="10">
        <f t="shared" si="442"/>
        <v>44123</v>
      </c>
      <c r="V448" s="276">
        <f t="shared" si="443"/>
        <v>2.2192000000000002E-4</v>
      </c>
    </row>
    <row r="449" spans="1:22" x14ac:dyDescent="0.25">
      <c r="A449" s="335">
        <f>A448+1</f>
        <v>44124</v>
      </c>
      <c r="B449" s="329">
        <f t="shared" si="424"/>
        <v>0</v>
      </c>
      <c r="C449" s="338">
        <f t="shared" si="430"/>
        <v>275736.7799999998</v>
      </c>
      <c r="D449" s="414">
        <f t="shared" si="431"/>
        <v>0.17</v>
      </c>
      <c r="E449" s="49">
        <f t="shared" si="425"/>
        <v>0</v>
      </c>
      <c r="F449" s="35">
        <f t="shared" si="432"/>
        <v>0</v>
      </c>
      <c r="G449" s="414">
        <f t="shared" si="433"/>
        <v>0</v>
      </c>
      <c r="H449" s="49">
        <f t="shared" si="426"/>
        <v>0</v>
      </c>
      <c r="I449" s="35">
        <f t="shared" si="434"/>
        <v>63700.840000000142</v>
      </c>
      <c r="J449" s="414">
        <f t="shared" si="435"/>
        <v>0.04</v>
      </c>
      <c r="K449" s="329">
        <f t="shared" si="427"/>
        <v>0</v>
      </c>
      <c r="L449" s="35">
        <f t="shared" si="436"/>
        <v>0</v>
      </c>
      <c r="M449" s="414">
        <f t="shared" si="437"/>
        <v>0</v>
      </c>
      <c r="N449" s="329">
        <f t="shared" si="428"/>
        <v>0</v>
      </c>
      <c r="O449" s="35">
        <f t="shared" si="438"/>
        <v>25.036111110992497</v>
      </c>
      <c r="P449" s="414">
        <f t="shared" si="439"/>
        <v>0</v>
      </c>
      <c r="Q449" s="329">
        <f t="shared" si="429"/>
        <v>0</v>
      </c>
      <c r="R449" s="35">
        <f t="shared" si="440"/>
        <v>0</v>
      </c>
      <c r="S449" s="414">
        <f t="shared" si="441"/>
        <v>0</v>
      </c>
      <c r="T449" s="880">
        <f>[5]Sheet1!$B863</f>
        <v>6.2600000000000002E-7</v>
      </c>
      <c r="U449" s="10">
        <f t="shared" si="442"/>
        <v>44124</v>
      </c>
      <c r="V449" s="276">
        <f t="shared" si="443"/>
        <v>2.2849E-4</v>
      </c>
    </row>
    <row r="450" spans="1:22" x14ac:dyDescent="0.25">
      <c r="A450" s="335">
        <f>A449+1</f>
        <v>44125</v>
      </c>
      <c r="B450" s="329">
        <f t="shared" si="424"/>
        <v>0</v>
      </c>
      <c r="C450" s="338">
        <f t="shared" si="430"/>
        <v>275736.7799999998</v>
      </c>
      <c r="D450" s="414">
        <f t="shared" si="431"/>
        <v>0.17</v>
      </c>
      <c r="E450" s="49">
        <f t="shared" si="425"/>
        <v>0</v>
      </c>
      <c r="F450" s="35">
        <f t="shared" si="432"/>
        <v>0</v>
      </c>
      <c r="G450" s="414">
        <f t="shared" si="433"/>
        <v>0</v>
      </c>
      <c r="H450" s="49">
        <f t="shared" si="426"/>
        <v>0</v>
      </c>
      <c r="I450" s="35">
        <f t="shared" si="434"/>
        <v>63700.840000000142</v>
      </c>
      <c r="J450" s="414">
        <f t="shared" si="435"/>
        <v>0.04</v>
      </c>
      <c r="K450" s="329">
        <f t="shared" si="427"/>
        <v>0</v>
      </c>
      <c r="L450" s="35">
        <f t="shared" si="436"/>
        <v>0</v>
      </c>
      <c r="M450" s="414">
        <f t="shared" si="437"/>
        <v>0</v>
      </c>
      <c r="N450" s="329">
        <f t="shared" si="428"/>
        <v>0</v>
      </c>
      <c r="O450" s="35">
        <f t="shared" si="438"/>
        <v>25.036111110992497</v>
      </c>
      <c r="P450" s="414">
        <f t="shared" si="439"/>
        <v>0</v>
      </c>
      <c r="Q450" s="329">
        <f t="shared" si="429"/>
        <v>0</v>
      </c>
      <c r="R450" s="35">
        <f t="shared" si="440"/>
        <v>0</v>
      </c>
      <c r="S450" s="414">
        <f t="shared" si="441"/>
        <v>0</v>
      </c>
      <c r="T450" s="880">
        <f>[5]Sheet1!$B864</f>
        <v>5.2099999999999997E-7</v>
      </c>
      <c r="U450" s="10">
        <f t="shared" si="442"/>
        <v>44125</v>
      </c>
      <c r="V450" s="276">
        <f t="shared" si="443"/>
        <v>1.9016499999999998E-4</v>
      </c>
    </row>
    <row r="451" spans="1:22" x14ac:dyDescent="0.25">
      <c r="A451" s="335">
        <f>A450+1</f>
        <v>44126</v>
      </c>
      <c r="B451" s="329">
        <f t="shared" si="424"/>
        <v>0</v>
      </c>
      <c r="C451" s="338">
        <f t="shared" si="430"/>
        <v>275736.7799999998</v>
      </c>
      <c r="D451" s="414">
        <f t="shared" si="431"/>
        <v>0.14000000000000001</v>
      </c>
      <c r="E451" s="49">
        <f t="shared" si="425"/>
        <v>0</v>
      </c>
      <c r="F451" s="35">
        <f t="shared" si="432"/>
        <v>0</v>
      </c>
      <c r="G451" s="414">
        <f t="shared" si="433"/>
        <v>0</v>
      </c>
      <c r="H451" s="49">
        <f t="shared" si="426"/>
        <v>0</v>
      </c>
      <c r="I451" s="35">
        <f t="shared" si="434"/>
        <v>63700.840000000142</v>
      </c>
      <c r="J451" s="414">
        <f t="shared" si="435"/>
        <v>0.03</v>
      </c>
      <c r="K451" s="329">
        <f t="shared" si="427"/>
        <v>0</v>
      </c>
      <c r="L451" s="35">
        <f t="shared" si="436"/>
        <v>0</v>
      </c>
      <c r="M451" s="414">
        <f t="shared" si="437"/>
        <v>0</v>
      </c>
      <c r="N451" s="329">
        <f t="shared" si="428"/>
        <v>0</v>
      </c>
      <c r="O451" s="35">
        <f t="shared" si="438"/>
        <v>25.036111110992497</v>
      </c>
      <c r="P451" s="414">
        <f t="shared" si="439"/>
        <v>0</v>
      </c>
      <c r="Q451" s="329">
        <f t="shared" si="429"/>
        <v>0</v>
      </c>
      <c r="R451" s="35">
        <f t="shared" si="440"/>
        <v>0</v>
      </c>
      <c r="S451" s="414">
        <f t="shared" si="441"/>
        <v>0</v>
      </c>
      <c r="T451" s="880">
        <f>[5]Sheet1!$B865</f>
        <v>3.9400000000000001E-7</v>
      </c>
      <c r="U451" s="10">
        <f t="shared" si="442"/>
        <v>44126</v>
      </c>
      <c r="V451" s="276">
        <f t="shared" si="443"/>
        <v>1.4380999999999999E-4</v>
      </c>
    </row>
    <row r="452" spans="1:22" x14ac:dyDescent="0.25">
      <c r="A452" s="335">
        <f>A451+1</f>
        <v>44127</v>
      </c>
      <c r="B452" s="329">
        <f t="shared" si="424"/>
        <v>0</v>
      </c>
      <c r="C452" s="338">
        <f t="shared" si="430"/>
        <v>275736.7799999998</v>
      </c>
      <c r="D452" s="414">
        <f t="shared" si="431"/>
        <v>0.11</v>
      </c>
      <c r="E452" s="49">
        <f t="shared" si="425"/>
        <v>0</v>
      </c>
      <c r="F452" s="35">
        <f t="shared" si="432"/>
        <v>0</v>
      </c>
      <c r="G452" s="414">
        <f t="shared" si="433"/>
        <v>0</v>
      </c>
      <c r="H452" s="49">
        <f t="shared" si="426"/>
        <v>0</v>
      </c>
      <c r="I452" s="35">
        <f t="shared" si="434"/>
        <v>63700.840000000142</v>
      </c>
      <c r="J452" s="414">
        <f t="shared" si="435"/>
        <v>0.03</v>
      </c>
      <c r="K452" s="329">
        <f t="shared" si="427"/>
        <v>0</v>
      </c>
      <c r="L452" s="35">
        <f t="shared" si="436"/>
        <v>0</v>
      </c>
      <c r="M452" s="414">
        <f t="shared" si="437"/>
        <v>0</v>
      </c>
      <c r="N452" s="329">
        <f t="shared" si="428"/>
        <v>0</v>
      </c>
      <c r="O452" s="35">
        <f t="shared" si="438"/>
        <v>25.036111110992497</v>
      </c>
      <c r="P452" s="414">
        <f t="shared" si="439"/>
        <v>0</v>
      </c>
      <c r="Q452" s="329">
        <f t="shared" si="429"/>
        <v>0</v>
      </c>
      <c r="R452" s="35">
        <f t="shared" si="440"/>
        <v>0</v>
      </c>
      <c r="S452" s="414">
        <f t="shared" si="441"/>
        <v>0</v>
      </c>
      <c r="T452" s="880">
        <f>[5]Sheet1!$B866</f>
        <v>1.457E-6</v>
      </c>
      <c r="U452" s="10">
        <f t="shared" si="442"/>
        <v>44127</v>
      </c>
      <c r="V452" s="276">
        <f t="shared" si="443"/>
        <v>1.7726833333333333E-4</v>
      </c>
    </row>
    <row r="453" spans="1:22" x14ac:dyDescent="0.25">
      <c r="A453" s="336">
        <f>A452+3</f>
        <v>44130</v>
      </c>
      <c r="B453" s="329">
        <f t="shared" si="424"/>
        <v>0</v>
      </c>
      <c r="C453" s="338">
        <f t="shared" si="430"/>
        <v>275736.7799999998</v>
      </c>
      <c r="D453" s="414">
        <f t="shared" si="431"/>
        <v>0.4</v>
      </c>
      <c r="E453" s="49">
        <f t="shared" si="425"/>
        <v>0</v>
      </c>
      <c r="F453" s="35">
        <f t="shared" si="432"/>
        <v>0</v>
      </c>
      <c r="G453" s="414">
        <f t="shared" si="433"/>
        <v>0</v>
      </c>
      <c r="H453" s="49">
        <f t="shared" si="426"/>
        <v>0</v>
      </c>
      <c r="I453" s="35">
        <f t="shared" si="434"/>
        <v>63700.840000000142</v>
      </c>
      <c r="J453" s="414">
        <f t="shared" si="435"/>
        <v>0.09</v>
      </c>
      <c r="K453" s="329">
        <f t="shared" si="427"/>
        <v>0</v>
      </c>
      <c r="L453" s="35">
        <f t="shared" si="436"/>
        <v>0</v>
      </c>
      <c r="M453" s="414">
        <f t="shared" si="437"/>
        <v>0</v>
      </c>
      <c r="N453" s="329">
        <f t="shared" si="428"/>
        <v>0</v>
      </c>
      <c r="O453" s="35">
        <f t="shared" si="438"/>
        <v>25.036111110992497</v>
      </c>
      <c r="P453" s="414">
        <f t="shared" si="439"/>
        <v>0</v>
      </c>
      <c r="Q453" s="329">
        <f t="shared" si="429"/>
        <v>0</v>
      </c>
      <c r="R453" s="35">
        <f t="shared" si="440"/>
        <v>0</v>
      </c>
      <c r="S453" s="414">
        <f t="shared" si="441"/>
        <v>0</v>
      </c>
      <c r="T453" s="880">
        <f>[5]Sheet1!$B867</f>
        <v>5.3499999999999996E-7</v>
      </c>
      <c r="U453" s="10">
        <f t="shared" si="442"/>
        <v>44130</v>
      </c>
      <c r="V453" s="276">
        <f t="shared" si="443"/>
        <v>1.9527499999999999E-4</v>
      </c>
    </row>
    <row r="454" spans="1:22" x14ac:dyDescent="0.25">
      <c r="A454" s="335">
        <f t="shared" ref="A454:A464" si="444">A453+1</f>
        <v>44131</v>
      </c>
      <c r="B454" s="329">
        <f t="shared" si="424"/>
        <v>0</v>
      </c>
      <c r="C454" s="338">
        <f t="shared" si="430"/>
        <v>275736.7799999998</v>
      </c>
      <c r="D454" s="414">
        <f t="shared" si="431"/>
        <v>0.15</v>
      </c>
      <c r="E454" s="49">
        <f t="shared" si="425"/>
        <v>0</v>
      </c>
      <c r="F454" s="35">
        <f t="shared" si="432"/>
        <v>0</v>
      </c>
      <c r="G454" s="414">
        <f t="shared" si="433"/>
        <v>0</v>
      </c>
      <c r="H454" s="49">
        <f t="shared" si="426"/>
        <v>0</v>
      </c>
      <c r="I454" s="35">
        <f t="shared" si="434"/>
        <v>63700.840000000142</v>
      </c>
      <c r="J454" s="414">
        <f t="shared" si="435"/>
        <v>0.03</v>
      </c>
      <c r="K454" s="329">
        <f t="shared" si="427"/>
        <v>0</v>
      </c>
      <c r="L454" s="35">
        <f t="shared" si="436"/>
        <v>0</v>
      </c>
      <c r="M454" s="414">
        <f t="shared" si="437"/>
        <v>0</v>
      </c>
      <c r="N454" s="329">
        <f t="shared" si="428"/>
        <v>0</v>
      </c>
      <c r="O454" s="35">
        <f t="shared" si="438"/>
        <v>25.036111110992497</v>
      </c>
      <c r="P454" s="414">
        <f t="shared" si="439"/>
        <v>0</v>
      </c>
      <c r="Q454" s="329">
        <f t="shared" si="429"/>
        <v>0</v>
      </c>
      <c r="R454" s="35">
        <f t="shared" si="440"/>
        <v>0</v>
      </c>
      <c r="S454" s="414">
        <f t="shared" si="441"/>
        <v>0</v>
      </c>
      <c r="T454" s="880">
        <f>[5]Sheet1!$B868</f>
        <v>5.0699999999999997E-7</v>
      </c>
      <c r="U454" s="10">
        <f t="shared" si="442"/>
        <v>44131</v>
      </c>
      <c r="V454" s="276">
        <f t="shared" si="443"/>
        <v>1.85055E-4</v>
      </c>
    </row>
    <row r="455" spans="1:22" x14ac:dyDescent="0.25">
      <c r="A455" s="335">
        <f t="shared" si="444"/>
        <v>44132</v>
      </c>
      <c r="B455" s="329">
        <f t="shared" ref="B455:B518" si="445">-SUMIFS(CF_Main,CF_Dates,$A455,CF_Descriptions,"MM Sweep")</f>
        <v>0</v>
      </c>
      <c r="C455" s="338">
        <f t="shared" si="430"/>
        <v>275736.7799999998</v>
      </c>
      <c r="D455" s="414">
        <f t="shared" si="431"/>
        <v>0.14000000000000001</v>
      </c>
      <c r="E455" s="49">
        <f t="shared" ref="E455:E518" si="446">-SUMIFS(CF_Main_EUR,CF_Dates,$A455,CF_Descriptions,"MM Sweep")</f>
        <v>0</v>
      </c>
      <c r="F455" s="35">
        <f t="shared" si="432"/>
        <v>0</v>
      </c>
      <c r="G455" s="414">
        <f t="shared" si="433"/>
        <v>0</v>
      </c>
      <c r="H455" s="49">
        <f t="shared" ref="H455:H518" si="447">-SUMIFS(CF_Expenses,CF_Dates,$A455,CF_Descriptions,"MM Sweep")</f>
        <v>0</v>
      </c>
      <c r="I455" s="35">
        <f t="shared" si="434"/>
        <v>63700.840000000142</v>
      </c>
      <c r="J455" s="414">
        <f t="shared" si="435"/>
        <v>0.03</v>
      </c>
      <c r="K455" s="329">
        <f t="shared" ref="K455:K518" si="448">-SUMIFS(CF_Margin,CF_Dates,$A455,CF_Descriptions,"MM Sweep")</f>
        <v>0</v>
      </c>
      <c r="L455" s="35">
        <f t="shared" si="436"/>
        <v>0</v>
      </c>
      <c r="M455" s="414">
        <f t="shared" si="437"/>
        <v>0</v>
      </c>
      <c r="N455" s="329">
        <f t="shared" ref="N455:N518" si="449">-SUMIFS(CF_Mgmt,CF_Dates,$A455,CF_Descriptions,"MM Sweep")</f>
        <v>0</v>
      </c>
      <c r="O455" s="35">
        <f t="shared" si="438"/>
        <v>25.036111110992497</v>
      </c>
      <c r="P455" s="414">
        <f t="shared" si="439"/>
        <v>0</v>
      </c>
      <c r="Q455" s="329">
        <f t="shared" ref="Q455:Q518" si="450">-SUMIFS(CF_SubRedemp,CF_Dates,$A455,CF_Descriptions,"MM Sweep")</f>
        <v>0</v>
      </c>
      <c r="R455" s="35">
        <f t="shared" si="440"/>
        <v>0</v>
      </c>
      <c r="S455" s="414">
        <f t="shared" si="441"/>
        <v>0</v>
      </c>
      <c r="T455" s="880">
        <f>[5]Sheet1!$B869</f>
        <v>6.4899999999999995E-7</v>
      </c>
      <c r="U455" s="10">
        <f t="shared" si="442"/>
        <v>44132</v>
      </c>
      <c r="V455" s="276">
        <f t="shared" si="443"/>
        <v>2.3688499999999999E-4</v>
      </c>
    </row>
    <row r="456" spans="1:22" x14ac:dyDescent="0.25">
      <c r="A456" s="335">
        <f t="shared" si="444"/>
        <v>44133</v>
      </c>
      <c r="B456" s="329">
        <f t="shared" si="445"/>
        <v>0</v>
      </c>
      <c r="C456" s="338">
        <f t="shared" si="430"/>
        <v>275736.7799999998</v>
      </c>
      <c r="D456" s="414">
        <f t="shared" si="431"/>
        <v>0.18</v>
      </c>
      <c r="E456" s="49">
        <f t="shared" si="446"/>
        <v>0</v>
      </c>
      <c r="F456" s="35">
        <f t="shared" si="432"/>
        <v>0</v>
      </c>
      <c r="G456" s="414">
        <f t="shared" si="433"/>
        <v>0</v>
      </c>
      <c r="H456" s="49">
        <f t="shared" si="447"/>
        <v>0</v>
      </c>
      <c r="I456" s="35">
        <f t="shared" si="434"/>
        <v>63700.840000000142</v>
      </c>
      <c r="J456" s="414">
        <f t="shared" si="435"/>
        <v>0.04</v>
      </c>
      <c r="K456" s="329">
        <f t="shared" si="448"/>
        <v>0</v>
      </c>
      <c r="L456" s="35">
        <f t="shared" si="436"/>
        <v>0</v>
      </c>
      <c r="M456" s="414">
        <f t="shared" si="437"/>
        <v>0</v>
      </c>
      <c r="N456" s="329">
        <f t="shared" si="449"/>
        <v>0</v>
      </c>
      <c r="O456" s="35">
        <f t="shared" si="438"/>
        <v>25.036111110992497</v>
      </c>
      <c r="P456" s="414">
        <f t="shared" si="439"/>
        <v>0</v>
      </c>
      <c r="Q456" s="329">
        <f t="shared" si="450"/>
        <v>0</v>
      </c>
      <c r="R456" s="35">
        <f t="shared" si="440"/>
        <v>0</v>
      </c>
      <c r="S456" s="414">
        <f t="shared" si="441"/>
        <v>0</v>
      </c>
      <c r="T456" s="880">
        <f>[5]Sheet1!$B870</f>
        <v>4.3799999999999998E-7</v>
      </c>
      <c r="U456" s="10">
        <f t="shared" si="442"/>
        <v>44133</v>
      </c>
      <c r="V456" s="276">
        <f t="shared" si="443"/>
        <v>1.5987E-4</v>
      </c>
    </row>
    <row r="457" spans="1:22" x14ac:dyDescent="0.25">
      <c r="A457" s="335">
        <f t="shared" si="444"/>
        <v>44134</v>
      </c>
      <c r="B457" s="329">
        <f t="shared" si="445"/>
        <v>0</v>
      </c>
      <c r="C457" s="338">
        <f t="shared" si="430"/>
        <v>275736.7799999998</v>
      </c>
      <c r="D457" s="414">
        <f t="shared" si="431"/>
        <v>0.12</v>
      </c>
      <c r="E457" s="49">
        <f t="shared" si="446"/>
        <v>0</v>
      </c>
      <c r="F457" s="35">
        <f t="shared" si="432"/>
        <v>0</v>
      </c>
      <c r="G457" s="414">
        <f t="shared" si="433"/>
        <v>0</v>
      </c>
      <c r="H457" s="49">
        <f t="shared" si="447"/>
        <v>0</v>
      </c>
      <c r="I457" s="35">
        <f t="shared" si="434"/>
        <v>63700.840000000142</v>
      </c>
      <c r="J457" s="414">
        <f t="shared" si="435"/>
        <v>0.03</v>
      </c>
      <c r="K457" s="329">
        <f t="shared" si="448"/>
        <v>0</v>
      </c>
      <c r="L457" s="35">
        <f t="shared" si="436"/>
        <v>0</v>
      </c>
      <c r="M457" s="414">
        <f t="shared" si="437"/>
        <v>0</v>
      </c>
      <c r="N457" s="329">
        <f t="shared" si="449"/>
        <v>0</v>
      </c>
      <c r="O457" s="35">
        <f t="shared" si="438"/>
        <v>25.036111110992497</v>
      </c>
      <c r="P457" s="414">
        <f t="shared" si="439"/>
        <v>0</v>
      </c>
      <c r="Q457" s="329">
        <f t="shared" si="450"/>
        <v>0</v>
      </c>
      <c r="R457" s="35">
        <f t="shared" si="440"/>
        <v>0</v>
      </c>
      <c r="S457" s="414">
        <f t="shared" si="441"/>
        <v>0</v>
      </c>
      <c r="T457" s="880">
        <f>[5]Sheet1!$B871</f>
        <v>6.4099999999999998E-7</v>
      </c>
      <c r="U457" s="10">
        <f t="shared" si="442"/>
        <v>44134</v>
      </c>
      <c r="V457" s="276">
        <f t="shared" si="443"/>
        <v>2.3396499999999999E-4</v>
      </c>
    </row>
    <row r="458" spans="1:22" x14ac:dyDescent="0.25">
      <c r="A458" s="336">
        <f t="shared" si="444"/>
        <v>44135</v>
      </c>
      <c r="B458" s="329">
        <f t="shared" si="445"/>
        <v>0</v>
      </c>
      <c r="C458" s="338">
        <f t="shared" ref="C458:C474" si="451">B458+C457</f>
        <v>275736.7799999998</v>
      </c>
      <c r="D458" s="414">
        <f t="shared" ref="D458:D474" si="452">ROUND(C457*$T457,2)</f>
        <v>0.18</v>
      </c>
      <c r="E458" s="49">
        <f t="shared" si="446"/>
        <v>0</v>
      </c>
      <c r="F458" s="35">
        <f t="shared" ref="F458:F474" si="453">E458+F457</f>
        <v>0</v>
      </c>
      <c r="G458" s="414">
        <f t="shared" ref="G458:G474" si="454">ROUND(F457*$T457,2)</f>
        <v>0</v>
      </c>
      <c r="H458" s="49">
        <f t="shared" si="447"/>
        <v>0</v>
      </c>
      <c r="I458" s="35">
        <f t="shared" ref="I458:I474" si="455">H458+I457</f>
        <v>63700.840000000142</v>
      </c>
      <c r="J458" s="414">
        <f t="shared" ref="J458:J474" si="456">ROUND(I457*$T457,2)</f>
        <v>0.04</v>
      </c>
      <c r="K458" s="329">
        <f t="shared" si="448"/>
        <v>0</v>
      </c>
      <c r="L458" s="35">
        <f t="shared" ref="L458:L474" si="457">K458+L457</f>
        <v>0</v>
      </c>
      <c r="M458" s="414">
        <f t="shared" ref="M458:M474" si="458">ROUND(L457*$T457,2)</f>
        <v>0</v>
      </c>
      <c r="N458" s="329">
        <f t="shared" si="449"/>
        <v>0</v>
      </c>
      <c r="O458" s="35">
        <f t="shared" ref="O458:O474" si="459">N458+O457</f>
        <v>25.036111110992497</v>
      </c>
      <c r="P458" s="414">
        <f t="shared" ref="P458:P474" si="460">ROUND(O457*$T457,2)</f>
        <v>0</v>
      </c>
      <c r="Q458" s="329">
        <f t="shared" si="450"/>
        <v>0</v>
      </c>
      <c r="R458" s="35">
        <f t="shared" ref="R458:R474" si="461">Q458+R457</f>
        <v>0</v>
      </c>
      <c r="S458" s="414">
        <f t="shared" ref="S458:S474" si="462">ROUND(R457*$T457,2)</f>
        <v>0</v>
      </c>
      <c r="T458" s="880">
        <f>[5]Sheet1!$B872</f>
        <v>6.4099999999999998E-7</v>
      </c>
      <c r="U458" s="10">
        <f t="shared" ref="U458:U474" si="463">A458</f>
        <v>44135</v>
      </c>
      <c r="V458" s="276">
        <f t="shared" ref="V458:V474" si="464">T458*365/(A459-A458)</f>
        <v>2.3396499999999999E-4</v>
      </c>
    </row>
    <row r="459" spans="1:22" x14ac:dyDescent="0.25">
      <c r="A459" s="336">
        <f t="shared" si="444"/>
        <v>44136</v>
      </c>
      <c r="B459" s="329">
        <f t="shared" si="445"/>
        <v>0</v>
      </c>
      <c r="C459" s="338">
        <f t="shared" si="451"/>
        <v>275736.7799999998</v>
      </c>
      <c r="D459" s="414">
        <f t="shared" si="452"/>
        <v>0.18</v>
      </c>
      <c r="E459" s="49">
        <f t="shared" si="446"/>
        <v>0</v>
      </c>
      <c r="F459" s="35">
        <f t="shared" si="453"/>
        <v>0</v>
      </c>
      <c r="G459" s="414">
        <f t="shared" si="454"/>
        <v>0</v>
      </c>
      <c r="H459" s="49">
        <f t="shared" si="447"/>
        <v>0</v>
      </c>
      <c r="I459" s="35">
        <f t="shared" si="455"/>
        <v>63700.840000000142</v>
      </c>
      <c r="J459" s="414">
        <f t="shared" si="456"/>
        <v>0.04</v>
      </c>
      <c r="K459" s="329">
        <f t="shared" si="448"/>
        <v>0</v>
      </c>
      <c r="L459" s="35">
        <f t="shared" si="457"/>
        <v>0</v>
      </c>
      <c r="M459" s="414">
        <f t="shared" si="458"/>
        <v>0</v>
      </c>
      <c r="N459" s="329">
        <f t="shared" si="449"/>
        <v>0</v>
      </c>
      <c r="O459" s="35">
        <f t="shared" si="459"/>
        <v>25.036111110992497</v>
      </c>
      <c r="P459" s="414">
        <f t="shared" si="460"/>
        <v>0</v>
      </c>
      <c r="Q459" s="329">
        <f t="shared" si="450"/>
        <v>0</v>
      </c>
      <c r="R459" s="35">
        <f t="shared" si="461"/>
        <v>0</v>
      </c>
      <c r="S459" s="414">
        <f t="shared" si="462"/>
        <v>0</v>
      </c>
      <c r="T459" s="880">
        <f>[5]Sheet1!$B873</f>
        <v>6.4100851115067429E-7</v>
      </c>
      <c r="U459" s="10">
        <f t="shared" si="463"/>
        <v>44136</v>
      </c>
      <c r="V459" s="276">
        <f t="shared" si="464"/>
        <v>2.3396810656999611E-4</v>
      </c>
    </row>
    <row r="460" spans="1:22" x14ac:dyDescent="0.25">
      <c r="A460" s="335">
        <f t="shared" si="444"/>
        <v>44137</v>
      </c>
      <c r="B460" s="329">
        <f t="shared" si="445"/>
        <v>945683.75</v>
      </c>
      <c r="C460" s="338">
        <f t="shared" si="451"/>
        <v>1221420.5299999998</v>
      </c>
      <c r="D460" s="414">
        <f t="shared" si="452"/>
        <v>0.18</v>
      </c>
      <c r="E460" s="49">
        <f t="shared" si="446"/>
        <v>0</v>
      </c>
      <c r="F460" s="35">
        <f t="shared" si="453"/>
        <v>0</v>
      </c>
      <c r="G460" s="414">
        <f t="shared" si="454"/>
        <v>0</v>
      </c>
      <c r="H460" s="49">
        <f t="shared" si="447"/>
        <v>-153.41</v>
      </c>
      <c r="I460" s="35">
        <f t="shared" si="455"/>
        <v>63547.430000000139</v>
      </c>
      <c r="J460" s="414">
        <f t="shared" si="456"/>
        <v>0.04</v>
      </c>
      <c r="K460" s="329">
        <f t="shared" si="448"/>
        <v>0</v>
      </c>
      <c r="L460" s="35">
        <f t="shared" si="457"/>
        <v>0</v>
      </c>
      <c r="M460" s="414">
        <f t="shared" si="458"/>
        <v>0</v>
      </c>
      <c r="N460" s="329">
        <f t="shared" si="449"/>
        <v>0</v>
      </c>
      <c r="O460" s="35">
        <f t="shared" si="459"/>
        <v>25.036111110992497</v>
      </c>
      <c r="P460" s="414">
        <f t="shared" si="460"/>
        <v>0</v>
      </c>
      <c r="Q460" s="329">
        <f t="shared" si="450"/>
        <v>0</v>
      </c>
      <c r="R460" s="35">
        <f t="shared" si="461"/>
        <v>0</v>
      </c>
      <c r="S460" s="414">
        <f t="shared" si="462"/>
        <v>0</v>
      </c>
      <c r="T460" s="880">
        <f>[5]Sheet1!$B874</f>
        <v>5.5199148884932566E-7</v>
      </c>
      <c r="U460" s="10">
        <f t="shared" si="463"/>
        <v>44137</v>
      </c>
      <c r="V460" s="276">
        <f t="shared" si="464"/>
        <v>2.0147689343000385E-4</v>
      </c>
    </row>
    <row r="461" spans="1:22" x14ac:dyDescent="0.25">
      <c r="A461" s="335">
        <f t="shared" si="444"/>
        <v>44138</v>
      </c>
      <c r="B461" s="329">
        <f t="shared" si="445"/>
        <v>-945679.31</v>
      </c>
      <c r="C461" s="338">
        <f t="shared" si="451"/>
        <v>275741.21999999974</v>
      </c>
      <c r="D461" s="414">
        <f t="shared" si="452"/>
        <v>0.67</v>
      </c>
      <c r="E461" s="49">
        <f t="shared" si="446"/>
        <v>0</v>
      </c>
      <c r="F461" s="35">
        <f t="shared" si="453"/>
        <v>0</v>
      </c>
      <c r="G461" s="414">
        <f t="shared" si="454"/>
        <v>0</v>
      </c>
      <c r="H461" s="49">
        <f t="shared" si="447"/>
        <v>1.19</v>
      </c>
      <c r="I461" s="35">
        <f t="shared" si="455"/>
        <v>63548.620000000141</v>
      </c>
      <c r="J461" s="414">
        <f t="shared" si="456"/>
        <v>0.04</v>
      </c>
      <c r="K461" s="329">
        <f t="shared" si="448"/>
        <v>0</v>
      </c>
      <c r="L461" s="35">
        <f t="shared" si="457"/>
        <v>0</v>
      </c>
      <c r="M461" s="414">
        <f t="shared" si="458"/>
        <v>0</v>
      </c>
      <c r="N461" s="329">
        <f t="shared" si="449"/>
        <v>0</v>
      </c>
      <c r="O461" s="35">
        <f t="shared" si="459"/>
        <v>25.036111110992497</v>
      </c>
      <c r="P461" s="414">
        <f t="shared" si="460"/>
        <v>0</v>
      </c>
      <c r="Q461" s="329">
        <f t="shared" si="450"/>
        <v>0</v>
      </c>
      <c r="R461" s="35">
        <f t="shared" si="461"/>
        <v>0</v>
      </c>
      <c r="S461" s="414">
        <f t="shared" si="462"/>
        <v>0</v>
      </c>
      <c r="T461" s="880">
        <f>[5]Sheet1!$B875</f>
        <v>6.1500000000000004E-7</v>
      </c>
      <c r="U461" s="10">
        <f t="shared" si="463"/>
        <v>44138</v>
      </c>
      <c r="V461" s="276">
        <f t="shared" si="464"/>
        <v>2.2447500000000002E-4</v>
      </c>
    </row>
    <row r="462" spans="1:22" x14ac:dyDescent="0.25">
      <c r="A462" s="335">
        <f t="shared" si="444"/>
        <v>44139</v>
      </c>
      <c r="B462" s="329">
        <f t="shared" si="445"/>
        <v>0</v>
      </c>
      <c r="C462" s="338">
        <f t="shared" si="451"/>
        <v>275741.21999999974</v>
      </c>
      <c r="D462" s="414">
        <f t="shared" si="452"/>
        <v>0.17</v>
      </c>
      <c r="E462" s="49">
        <f t="shared" si="446"/>
        <v>0</v>
      </c>
      <c r="F462" s="35">
        <f t="shared" si="453"/>
        <v>0</v>
      </c>
      <c r="G462" s="414">
        <f t="shared" si="454"/>
        <v>0</v>
      </c>
      <c r="H462" s="49">
        <f t="shared" si="447"/>
        <v>0</v>
      </c>
      <c r="I462" s="35">
        <f t="shared" si="455"/>
        <v>63548.620000000141</v>
      </c>
      <c r="J462" s="414">
        <f t="shared" si="456"/>
        <v>0.04</v>
      </c>
      <c r="K462" s="329">
        <f t="shared" si="448"/>
        <v>0</v>
      </c>
      <c r="L462" s="35">
        <f t="shared" si="457"/>
        <v>0</v>
      </c>
      <c r="M462" s="414">
        <f t="shared" si="458"/>
        <v>0</v>
      </c>
      <c r="N462" s="329">
        <f t="shared" si="449"/>
        <v>0</v>
      </c>
      <c r="O462" s="35">
        <f t="shared" si="459"/>
        <v>25.036111110992497</v>
      </c>
      <c r="P462" s="414">
        <f t="shared" si="460"/>
        <v>0</v>
      </c>
      <c r="Q462" s="329">
        <f t="shared" si="450"/>
        <v>0</v>
      </c>
      <c r="R462" s="35">
        <f t="shared" si="461"/>
        <v>0</v>
      </c>
      <c r="S462" s="414">
        <f t="shared" si="462"/>
        <v>0</v>
      </c>
      <c r="T462" s="880">
        <f>[5]Sheet1!$B876</f>
        <v>6.3499999999999996E-7</v>
      </c>
      <c r="U462" s="10">
        <f t="shared" si="463"/>
        <v>44139</v>
      </c>
      <c r="V462" s="276">
        <f t="shared" si="464"/>
        <v>2.3177499999999998E-4</v>
      </c>
    </row>
    <row r="463" spans="1:22" x14ac:dyDescent="0.25">
      <c r="A463" s="335">
        <f t="shared" si="444"/>
        <v>44140</v>
      </c>
      <c r="B463" s="329">
        <f t="shared" si="445"/>
        <v>0</v>
      </c>
      <c r="C463" s="338">
        <f t="shared" si="451"/>
        <v>275741.21999999974</v>
      </c>
      <c r="D463" s="414">
        <f t="shared" si="452"/>
        <v>0.18</v>
      </c>
      <c r="E463" s="49">
        <f t="shared" si="446"/>
        <v>0</v>
      </c>
      <c r="F463" s="35">
        <f t="shared" si="453"/>
        <v>0</v>
      </c>
      <c r="G463" s="414">
        <f t="shared" si="454"/>
        <v>0</v>
      </c>
      <c r="H463" s="49">
        <f t="shared" si="447"/>
        <v>0</v>
      </c>
      <c r="I463" s="35">
        <f t="shared" si="455"/>
        <v>63548.620000000141</v>
      </c>
      <c r="J463" s="414">
        <f t="shared" si="456"/>
        <v>0.04</v>
      </c>
      <c r="K463" s="329">
        <f t="shared" si="448"/>
        <v>0</v>
      </c>
      <c r="L463" s="35">
        <f t="shared" si="457"/>
        <v>0</v>
      </c>
      <c r="M463" s="414">
        <f t="shared" si="458"/>
        <v>0</v>
      </c>
      <c r="N463" s="329">
        <f t="shared" si="449"/>
        <v>0</v>
      </c>
      <c r="O463" s="35">
        <f t="shared" si="459"/>
        <v>25.036111110992497</v>
      </c>
      <c r="P463" s="414">
        <f t="shared" si="460"/>
        <v>0</v>
      </c>
      <c r="Q463" s="329">
        <f t="shared" si="450"/>
        <v>0</v>
      </c>
      <c r="R463" s="35">
        <f t="shared" si="461"/>
        <v>0</v>
      </c>
      <c r="S463" s="414">
        <f t="shared" si="462"/>
        <v>0</v>
      </c>
      <c r="T463" s="880">
        <f>[5]Sheet1!$B877</f>
        <v>6.2900000000000003E-7</v>
      </c>
      <c r="U463" s="10">
        <f t="shared" si="463"/>
        <v>44140</v>
      </c>
      <c r="V463" s="276">
        <f t="shared" si="464"/>
        <v>2.2958500000000001E-4</v>
      </c>
    </row>
    <row r="464" spans="1:22" x14ac:dyDescent="0.25">
      <c r="A464" s="335">
        <f t="shared" si="444"/>
        <v>44141</v>
      </c>
      <c r="B464" s="329">
        <f t="shared" si="445"/>
        <v>-9476.52</v>
      </c>
      <c r="C464" s="338">
        <f t="shared" si="451"/>
        <v>266264.69999999972</v>
      </c>
      <c r="D464" s="414">
        <f t="shared" si="452"/>
        <v>0.17</v>
      </c>
      <c r="E464" s="49">
        <f t="shared" si="446"/>
        <v>0</v>
      </c>
      <c r="F464" s="35">
        <f t="shared" si="453"/>
        <v>0</v>
      </c>
      <c r="G464" s="414">
        <f t="shared" si="454"/>
        <v>0</v>
      </c>
      <c r="H464" s="49">
        <f t="shared" si="447"/>
        <v>0</v>
      </c>
      <c r="I464" s="35">
        <f t="shared" si="455"/>
        <v>63548.620000000141</v>
      </c>
      <c r="J464" s="414">
        <f t="shared" si="456"/>
        <v>0.04</v>
      </c>
      <c r="K464" s="329">
        <f t="shared" si="448"/>
        <v>0</v>
      </c>
      <c r="L464" s="35">
        <f t="shared" si="457"/>
        <v>0</v>
      </c>
      <c r="M464" s="414">
        <f t="shared" si="458"/>
        <v>0</v>
      </c>
      <c r="N464" s="329">
        <f t="shared" si="449"/>
        <v>0</v>
      </c>
      <c r="O464" s="35">
        <f t="shared" si="459"/>
        <v>25.036111110992497</v>
      </c>
      <c r="P464" s="414">
        <f t="shared" si="460"/>
        <v>0</v>
      </c>
      <c r="Q464" s="329">
        <f t="shared" si="450"/>
        <v>0</v>
      </c>
      <c r="R464" s="35">
        <f t="shared" si="461"/>
        <v>0</v>
      </c>
      <c r="S464" s="414">
        <f t="shared" si="462"/>
        <v>0</v>
      </c>
      <c r="T464" s="880">
        <f>[5]Sheet1!$B878</f>
        <v>2.2460000000000002E-6</v>
      </c>
      <c r="U464" s="10">
        <f t="shared" si="463"/>
        <v>44141</v>
      </c>
      <c r="V464" s="276">
        <f t="shared" si="464"/>
        <v>2.7326333333333336E-4</v>
      </c>
    </row>
    <row r="465" spans="1:22" x14ac:dyDescent="0.25">
      <c r="A465" s="336">
        <f>A464+3</f>
        <v>44144</v>
      </c>
      <c r="B465" s="329">
        <f t="shared" si="445"/>
        <v>0</v>
      </c>
      <c r="C465" s="338">
        <f t="shared" si="451"/>
        <v>266264.69999999972</v>
      </c>
      <c r="D465" s="414">
        <f t="shared" si="452"/>
        <v>0.6</v>
      </c>
      <c r="E465" s="49">
        <f t="shared" si="446"/>
        <v>0</v>
      </c>
      <c r="F465" s="35">
        <f t="shared" si="453"/>
        <v>0</v>
      </c>
      <c r="G465" s="414">
        <f t="shared" si="454"/>
        <v>0</v>
      </c>
      <c r="H465" s="49">
        <f t="shared" si="447"/>
        <v>0</v>
      </c>
      <c r="I465" s="35">
        <f t="shared" si="455"/>
        <v>63548.620000000141</v>
      </c>
      <c r="J465" s="414">
        <f t="shared" si="456"/>
        <v>0.14000000000000001</v>
      </c>
      <c r="K465" s="329">
        <f t="shared" si="448"/>
        <v>0</v>
      </c>
      <c r="L465" s="35">
        <f t="shared" si="457"/>
        <v>0</v>
      </c>
      <c r="M465" s="414">
        <f t="shared" si="458"/>
        <v>0</v>
      </c>
      <c r="N465" s="329">
        <f t="shared" si="449"/>
        <v>0</v>
      </c>
      <c r="O465" s="35">
        <f t="shared" si="459"/>
        <v>25.036111110992497</v>
      </c>
      <c r="P465" s="414">
        <f t="shared" si="460"/>
        <v>0</v>
      </c>
      <c r="Q465" s="329">
        <f t="shared" si="450"/>
        <v>0</v>
      </c>
      <c r="R465" s="35">
        <f t="shared" si="461"/>
        <v>0</v>
      </c>
      <c r="S465" s="414">
        <f t="shared" si="462"/>
        <v>0</v>
      </c>
      <c r="T465" s="880">
        <f>[5]Sheet1!$B879</f>
        <v>6.2300000000000001E-7</v>
      </c>
      <c r="U465" s="10">
        <f t="shared" si="463"/>
        <v>44144</v>
      </c>
      <c r="V465" s="276">
        <f t="shared" si="464"/>
        <v>2.27395E-4</v>
      </c>
    </row>
    <row r="466" spans="1:22" x14ac:dyDescent="0.25">
      <c r="A466" s="335">
        <f>A465+1</f>
        <v>44145</v>
      </c>
      <c r="B466" s="329">
        <f t="shared" si="445"/>
        <v>0</v>
      </c>
      <c r="C466" s="338">
        <f t="shared" si="451"/>
        <v>266264.69999999972</v>
      </c>
      <c r="D466" s="414">
        <f t="shared" si="452"/>
        <v>0.17</v>
      </c>
      <c r="E466" s="49">
        <f t="shared" si="446"/>
        <v>0</v>
      </c>
      <c r="F466" s="35">
        <f t="shared" si="453"/>
        <v>0</v>
      </c>
      <c r="G466" s="414">
        <f t="shared" si="454"/>
        <v>0</v>
      </c>
      <c r="H466" s="49">
        <f t="shared" si="447"/>
        <v>0</v>
      </c>
      <c r="I466" s="35">
        <f t="shared" si="455"/>
        <v>63548.620000000141</v>
      </c>
      <c r="J466" s="414">
        <f t="shared" si="456"/>
        <v>0.04</v>
      </c>
      <c r="K466" s="329">
        <f t="shared" si="448"/>
        <v>0</v>
      </c>
      <c r="L466" s="35">
        <f t="shared" si="457"/>
        <v>0</v>
      </c>
      <c r="M466" s="414">
        <f t="shared" si="458"/>
        <v>0</v>
      </c>
      <c r="N466" s="329">
        <f t="shared" si="449"/>
        <v>0</v>
      </c>
      <c r="O466" s="35">
        <f t="shared" si="459"/>
        <v>25.036111110992497</v>
      </c>
      <c r="P466" s="414">
        <f t="shared" si="460"/>
        <v>0</v>
      </c>
      <c r="Q466" s="329">
        <f t="shared" si="450"/>
        <v>0</v>
      </c>
      <c r="R466" s="35">
        <f t="shared" si="461"/>
        <v>0</v>
      </c>
      <c r="S466" s="414">
        <f t="shared" si="462"/>
        <v>0</v>
      </c>
      <c r="T466" s="880">
        <f>[5]Sheet1!$B880</f>
        <v>6.4899999999999995E-7</v>
      </c>
      <c r="U466" s="10">
        <f t="shared" si="463"/>
        <v>44145</v>
      </c>
      <c r="V466" s="276">
        <f t="shared" si="464"/>
        <v>2.3688499999999999E-4</v>
      </c>
    </row>
    <row r="467" spans="1:22" x14ac:dyDescent="0.25">
      <c r="A467" s="335">
        <f>A466+1</f>
        <v>44146</v>
      </c>
      <c r="B467" s="329">
        <f t="shared" si="445"/>
        <v>0</v>
      </c>
      <c r="C467" s="338">
        <f t="shared" si="451"/>
        <v>266264.69999999972</v>
      </c>
      <c r="D467" s="414">
        <f t="shared" si="452"/>
        <v>0.17</v>
      </c>
      <c r="E467" s="49">
        <f t="shared" si="446"/>
        <v>0</v>
      </c>
      <c r="F467" s="35">
        <f t="shared" si="453"/>
        <v>0</v>
      </c>
      <c r="G467" s="414">
        <f t="shared" si="454"/>
        <v>0</v>
      </c>
      <c r="H467" s="49">
        <f t="shared" si="447"/>
        <v>0</v>
      </c>
      <c r="I467" s="35">
        <f t="shared" si="455"/>
        <v>63548.620000000141</v>
      </c>
      <c r="J467" s="414">
        <f t="shared" si="456"/>
        <v>0.04</v>
      </c>
      <c r="K467" s="329">
        <f t="shared" si="448"/>
        <v>0</v>
      </c>
      <c r="L467" s="35">
        <f t="shared" si="457"/>
        <v>0</v>
      </c>
      <c r="M467" s="414">
        <f t="shared" si="458"/>
        <v>0</v>
      </c>
      <c r="N467" s="329">
        <f t="shared" si="449"/>
        <v>0</v>
      </c>
      <c r="O467" s="35">
        <f t="shared" si="459"/>
        <v>25.036111110992497</v>
      </c>
      <c r="P467" s="414">
        <f t="shared" si="460"/>
        <v>0</v>
      </c>
      <c r="Q467" s="329">
        <f t="shared" si="450"/>
        <v>0</v>
      </c>
      <c r="R467" s="35">
        <f t="shared" si="461"/>
        <v>0</v>
      </c>
      <c r="S467" s="414">
        <f t="shared" si="462"/>
        <v>0</v>
      </c>
      <c r="T467" s="880">
        <f>[5]Sheet1!$B881</f>
        <v>6.5000000000000002E-7</v>
      </c>
      <c r="U467" s="10">
        <f t="shared" si="463"/>
        <v>44146</v>
      </c>
      <c r="V467" s="276">
        <f t="shared" si="464"/>
        <v>2.3725000000000002E-4</v>
      </c>
    </row>
    <row r="468" spans="1:22" x14ac:dyDescent="0.25">
      <c r="A468" s="335">
        <f>A467+1</f>
        <v>44147</v>
      </c>
      <c r="B468" s="329">
        <f t="shared" si="445"/>
        <v>0</v>
      </c>
      <c r="C468" s="338">
        <f t="shared" si="451"/>
        <v>266264.69999999972</v>
      </c>
      <c r="D468" s="414">
        <f t="shared" si="452"/>
        <v>0.17</v>
      </c>
      <c r="E468" s="49">
        <f t="shared" si="446"/>
        <v>0</v>
      </c>
      <c r="F468" s="35">
        <f t="shared" si="453"/>
        <v>0</v>
      </c>
      <c r="G468" s="414">
        <f t="shared" si="454"/>
        <v>0</v>
      </c>
      <c r="H468" s="49">
        <f t="shared" si="447"/>
        <v>0</v>
      </c>
      <c r="I468" s="35">
        <f t="shared" si="455"/>
        <v>63548.620000000141</v>
      </c>
      <c r="J468" s="414">
        <f t="shared" si="456"/>
        <v>0.04</v>
      </c>
      <c r="K468" s="329">
        <f t="shared" si="448"/>
        <v>0</v>
      </c>
      <c r="L468" s="35">
        <f t="shared" si="457"/>
        <v>0</v>
      </c>
      <c r="M468" s="414">
        <f t="shared" si="458"/>
        <v>0</v>
      </c>
      <c r="N468" s="329">
        <f t="shared" si="449"/>
        <v>0</v>
      </c>
      <c r="O468" s="35">
        <f t="shared" si="459"/>
        <v>25.036111110992497</v>
      </c>
      <c r="P468" s="414">
        <f t="shared" si="460"/>
        <v>0</v>
      </c>
      <c r="Q468" s="329">
        <f t="shared" si="450"/>
        <v>0</v>
      </c>
      <c r="R468" s="35">
        <f t="shared" si="461"/>
        <v>0</v>
      </c>
      <c r="S468" s="414">
        <f t="shared" si="462"/>
        <v>0</v>
      </c>
      <c r="T468" s="880">
        <f>[5]Sheet1!$B882</f>
        <v>5.6899999999999997E-7</v>
      </c>
      <c r="U468" s="10">
        <f t="shared" si="463"/>
        <v>44147</v>
      </c>
      <c r="V468" s="276">
        <f t="shared" si="464"/>
        <v>2.0768499999999999E-4</v>
      </c>
    </row>
    <row r="469" spans="1:22" x14ac:dyDescent="0.25">
      <c r="A469" s="335">
        <f>A468+1</f>
        <v>44148</v>
      </c>
      <c r="B469" s="329">
        <f t="shared" si="445"/>
        <v>0</v>
      </c>
      <c r="C469" s="338">
        <f t="shared" si="451"/>
        <v>266264.69999999972</v>
      </c>
      <c r="D469" s="414">
        <f t="shared" si="452"/>
        <v>0.15</v>
      </c>
      <c r="E469" s="49">
        <f t="shared" si="446"/>
        <v>0</v>
      </c>
      <c r="F469" s="35">
        <f t="shared" si="453"/>
        <v>0</v>
      </c>
      <c r="G469" s="414">
        <f t="shared" si="454"/>
        <v>0</v>
      </c>
      <c r="H469" s="49">
        <f t="shared" si="447"/>
        <v>0</v>
      </c>
      <c r="I469" s="35">
        <f t="shared" si="455"/>
        <v>63548.620000000141</v>
      </c>
      <c r="J469" s="414">
        <f t="shared" si="456"/>
        <v>0.04</v>
      </c>
      <c r="K469" s="329">
        <f t="shared" si="448"/>
        <v>0</v>
      </c>
      <c r="L469" s="35">
        <f t="shared" si="457"/>
        <v>0</v>
      </c>
      <c r="M469" s="414">
        <f t="shared" si="458"/>
        <v>0</v>
      </c>
      <c r="N469" s="329">
        <f t="shared" si="449"/>
        <v>0</v>
      </c>
      <c r="O469" s="35">
        <f t="shared" si="459"/>
        <v>25.036111110992497</v>
      </c>
      <c r="P469" s="414">
        <f t="shared" si="460"/>
        <v>0</v>
      </c>
      <c r="Q469" s="329">
        <f t="shared" si="450"/>
        <v>0</v>
      </c>
      <c r="R469" s="35">
        <f t="shared" si="461"/>
        <v>0</v>
      </c>
      <c r="S469" s="414">
        <f t="shared" si="462"/>
        <v>0</v>
      </c>
      <c r="T469" s="880">
        <f>[5]Sheet1!$B883</f>
        <v>1.64E-6</v>
      </c>
      <c r="U469" s="10">
        <f t="shared" si="463"/>
        <v>44148</v>
      </c>
      <c r="V469" s="276">
        <f t="shared" si="464"/>
        <v>1.9953333333333335E-4</v>
      </c>
    </row>
    <row r="470" spans="1:22" x14ac:dyDescent="0.25">
      <c r="A470" s="336">
        <f>A469+3</f>
        <v>44151</v>
      </c>
      <c r="B470" s="329">
        <f t="shared" si="445"/>
        <v>23273.75</v>
      </c>
      <c r="C470" s="338">
        <f t="shared" si="451"/>
        <v>289538.44999999972</v>
      </c>
      <c r="D470" s="414">
        <f t="shared" si="452"/>
        <v>0.44</v>
      </c>
      <c r="E470" s="49">
        <f t="shared" si="446"/>
        <v>0</v>
      </c>
      <c r="F470" s="35">
        <f t="shared" si="453"/>
        <v>0</v>
      </c>
      <c r="G470" s="414">
        <f t="shared" si="454"/>
        <v>0</v>
      </c>
      <c r="H470" s="49">
        <f t="shared" si="447"/>
        <v>-6620</v>
      </c>
      <c r="I470" s="35">
        <f t="shared" si="455"/>
        <v>56928.620000000141</v>
      </c>
      <c r="J470" s="414">
        <f t="shared" si="456"/>
        <v>0.1</v>
      </c>
      <c r="K470" s="329">
        <f t="shared" si="448"/>
        <v>0</v>
      </c>
      <c r="L470" s="35">
        <f t="shared" si="457"/>
        <v>0</v>
      </c>
      <c r="M470" s="414">
        <f t="shared" si="458"/>
        <v>0</v>
      </c>
      <c r="N470" s="329">
        <f t="shared" si="449"/>
        <v>0</v>
      </c>
      <c r="O470" s="35">
        <f t="shared" si="459"/>
        <v>25.036111110992497</v>
      </c>
      <c r="P470" s="414">
        <f t="shared" si="460"/>
        <v>0</v>
      </c>
      <c r="Q470" s="329">
        <f t="shared" si="450"/>
        <v>0</v>
      </c>
      <c r="R470" s="35">
        <f t="shared" si="461"/>
        <v>0</v>
      </c>
      <c r="S470" s="414">
        <f t="shared" si="462"/>
        <v>0</v>
      </c>
      <c r="T470" s="880">
        <f>[5]Sheet1!$B884</f>
        <v>2.7399999999999999E-7</v>
      </c>
      <c r="U470" s="10">
        <f t="shared" si="463"/>
        <v>44151</v>
      </c>
      <c r="V470" s="276">
        <f t="shared" si="464"/>
        <v>1.0001E-4</v>
      </c>
    </row>
    <row r="471" spans="1:22" x14ac:dyDescent="0.25">
      <c r="A471" s="335">
        <f>A470+1</f>
        <v>44152</v>
      </c>
      <c r="B471" s="329">
        <f t="shared" si="445"/>
        <v>-99350.56</v>
      </c>
      <c r="C471" s="338">
        <f t="shared" si="451"/>
        <v>190187.88999999972</v>
      </c>
      <c r="D471" s="414">
        <f t="shared" si="452"/>
        <v>0.08</v>
      </c>
      <c r="E471" s="49">
        <f t="shared" si="446"/>
        <v>0</v>
      </c>
      <c r="F471" s="35">
        <f t="shared" si="453"/>
        <v>0</v>
      </c>
      <c r="G471" s="414">
        <f t="shared" si="454"/>
        <v>0</v>
      </c>
      <c r="H471" s="49">
        <f t="shared" si="447"/>
        <v>0</v>
      </c>
      <c r="I471" s="35">
        <f t="shared" si="455"/>
        <v>56928.620000000141</v>
      </c>
      <c r="J471" s="414">
        <f t="shared" si="456"/>
        <v>0.02</v>
      </c>
      <c r="K471" s="329">
        <f t="shared" si="448"/>
        <v>0</v>
      </c>
      <c r="L471" s="35">
        <f t="shared" si="457"/>
        <v>0</v>
      </c>
      <c r="M471" s="414">
        <f t="shared" si="458"/>
        <v>0</v>
      </c>
      <c r="N471" s="329">
        <f t="shared" si="449"/>
        <v>0</v>
      </c>
      <c r="O471" s="35">
        <f t="shared" si="459"/>
        <v>25.036111110992497</v>
      </c>
      <c r="P471" s="414">
        <f t="shared" si="460"/>
        <v>0</v>
      </c>
      <c r="Q471" s="329">
        <f t="shared" si="450"/>
        <v>0</v>
      </c>
      <c r="R471" s="35">
        <f t="shared" si="461"/>
        <v>0</v>
      </c>
      <c r="S471" s="414">
        <f t="shared" si="462"/>
        <v>0</v>
      </c>
      <c r="T471" s="880">
        <f>[5]Sheet1!$B885</f>
        <v>2.7399999999999999E-7</v>
      </c>
      <c r="U471" s="10">
        <f t="shared" si="463"/>
        <v>44152</v>
      </c>
      <c r="V471" s="276">
        <f t="shared" si="464"/>
        <v>1.0001E-4</v>
      </c>
    </row>
    <row r="472" spans="1:22" x14ac:dyDescent="0.25">
      <c r="A472" s="335">
        <f>A471+1</f>
        <v>44153</v>
      </c>
      <c r="B472" s="329">
        <f t="shared" si="445"/>
        <v>0</v>
      </c>
      <c r="C472" s="338">
        <f t="shared" si="451"/>
        <v>190187.88999999972</v>
      </c>
      <c r="D472" s="414">
        <f t="shared" si="452"/>
        <v>0.05</v>
      </c>
      <c r="E472" s="49">
        <f t="shared" si="446"/>
        <v>0</v>
      </c>
      <c r="F472" s="35">
        <f t="shared" si="453"/>
        <v>0</v>
      </c>
      <c r="G472" s="414">
        <f t="shared" si="454"/>
        <v>0</v>
      </c>
      <c r="H472" s="49">
        <f t="shared" si="447"/>
        <v>0</v>
      </c>
      <c r="I472" s="35">
        <f t="shared" si="455"/>
        <v>56928.620000000141</v>
      </c>
      <c r="J472" s="414">
        <f t="shared" si="456"/>
        <v>0.02</v>
      </c>
      <c r="K472" s="329">
        <f t="shared" si="448"/>
        <v>0</v>
      </c>
      <c r="L472" s="35">
        <f t="shared" si="457"/>
        <v>0</v>
      </c>
      <c r="M472" s="414">
        <f t="shared" si="458"/>
        <v>0</v>
      </c>
      <c r="N472" s="329">
        <f t="shared" si="449"/>
        <v>0</v>
      </c>
      <c r="O472" s="35">
        <f t="shared" si="459"/>
        <v>25.036111110992497</v>
      </c>
      <c r="P472" s="414">
        <f t="shared" si="460"/>
        <v>0</v>
      </c>
      <c r="Q472" s="329">
        <f t="shared" si="450"/>
        <v>0</v>
      </c>
      <c r="R472" s="35">
        <f t="shared" si="461"/>
        <v>0</v>
      </c>
      <c r="S472" s="414">
        <f t="shared" si="462"/>
        <v>0</v>
      </c>
      <c r="T472" s="880">
        <f>[5]Sheet1!$B886</f>
        <v>2.7399999999999999E-7</v>
      </c>
      <c r="U472" s="10">
        <f t="shared" si="463"/>
        <v>44153</v>
      </c>
      <c r="V472" s="276">
        <f t="shared" si="464"/>
        <v>1.0001E-4</v>
      </c>
    </row>
    <row r="473" spans="1:22" x14ac:dyDescent="0.25">
      <c r="A473" s="335">
        <f>A472+1</f>
        <v>44154</v>
      </c>
      <c r="B473" s="329">
        <f t="shared" si="445"/>
        <v>0</v>
      </c>
      <c r="C473" s="338">
        <f t="shared" si="451"/>
        <v>190187.88999999972</v>
      </c>
      <c r="D473" s="414">
        <f t="shared" si="452"/>
        <v>0.05</v>
      </c>
      <c r="E473" s="49">
        <f t="shared" si="446"/>
        <v>0</v>
      </c>
      <c r="F473" s="35">
        <f t="shared" si="453"/>
        <v>0</v>
      </c>
      <c r="G473" s="414">
        <f t="shared" si="454"/>
        <v>0</v>
      </c>
      <c r="H473" s="49">
        <f t="shared" si="447"/>
        <v>-153.5</v>
      </c>
      <c r="I473" s="35">
        <f t="shared" si="455"/>
        <v>56775.120000000141</v>
      </c>
      <c r="J473" s="414">
        <f t="shared" si="456"/>
        <v>0.02</v>
      </c>
      <c r="K473" s="329">
        <f t="shared" si="448"/>
        <v>0</v>
      </c>
      <c r="L473" s="35">
        <f t="shared" si="457"/>
        <v>0</v>
      </c>
      <c r="M473" s="414">
        <f t="shared" si="458"/>
        <v>0</v>
      </c>
      <c r="N473" s="329">
        <f t="shared" si="449"/>
        <v>0</v>
      </c>
      <c r="O473" s="35">
        <f t="shared" si="459"/>
        <v>25.036111110992497</v>
      </c>
      <c r="P473" s="414">
        <f t="shared" si="460"/>
        <v>0</v>
      </c>
      <c r="Q473" s="329">
        <f t="shared" si="450"/>
        <v>0</v>
      </c>
      <c r="R473" s="35">
        <f t="shared" si="461"/>
        <v>0</v>
      </c>
      <c r="S473" s="414">
        <f t="shared" si="462"/>
        <v>0</v>
      </c>
      <c r="T473" s="880">
        <f>[5]Sheet1!$B887</f>
        <v>2.7399999999999999E-7</v>
      </c>
      <c r="U473" s="10">
        <f t="shared" si="463"/>
        <v>44154</v>
      </c>
      <c r="V473" s="276">
        <f t="shared" si="464"/>
        <v>1.0001E-4</v>
      </c>
    </row>
    <row r="474" spans="1:22" x14ac:dyDescent="0.25">
      <c r="A474" s="335">
        <f>A473+1</f>
        <v>44155</v>
      </c>
      <c r="B474" s="329">
        <f t="shared" si="445"/>
        <v>334000</v>
      </c>
      <c r="C474" s="338">
        <f t="shared" si="451"/>
        <v>524187.88999999972</v>
      </c>
      <c r="D474" s="414">
        <f t="shared" si="452"/>
        <v>0.05</v>
      </c>
      <c r="E474" s="49">
        <f t="shared" si="446"/>
        <v>0</v>
      </c>
      <c r="F474" s="35">
        <f t="shared" si="453"/>
        <v>0</v>
      </c>
      <c r="G474" s="414">
        <f t="shared" si="454"/>
        <v>0</v>
      </c>
      <c r="H474" s="49">
        <f t="shared" si="447"/>
        <v>0</v>
      </c>
      <c r="I474" s="35">
        <f t="shared" si="455"/>
        <v>56775.120000000141</v>
      </c>
      <c r="J474" s="414">
        <f t="shared" si="456"/>
        <v>0.02</v>
      </c>
      <c r="K474" s="329">
        <f t="shared" si="448"/>
        <v>0</v>
      </c>
      <c r="L474" s="35">
        <f t="shared" si="457"/>
        <v>0</v>
      </c>
      <c r="M474" s="414">
        <f t="shared" si="458"/>
        <v>0</v>
      </c>
      <c r="N474" s="329">
        <f t="shared" si="449"/>
        <v>0</v>
      </c>
      <c r="O474" s="35">
        <f t="shared" si="459"/>
        <v>25.036111110992497</v>
      </c>
      <c r="P474" s="414">
        <f t="shared" si="460"/>
        <v>0</v>
      </c>
      <c r="Q474" s="329">
        <f t="shared" si="450"/>
        <v>0</v>
      </c>
      <c r="R474" s="35">
        <f t="shared" si="461"/>
        <v>0</v>
      </c>
      <c r="S474" s="414">
        <f t="shared" si="462"/>
        <v>0</v>
      </c>
      <c r="T474" s="880">
        <f>[5]Sheet1!$B888</f>
        <v>8.2200000000000003E-7</v>
      </c>
      <c r="U474" s="10">
        <f t="shared" si="463"/>
        <v>44155</v>
      </c>
      <c r="V474" s="276">
        <f t="shared" si="464"/>
        <v>1.0001E-4</v>
      </c>
    </row>
    <row r="475" spans="1:22" x14ac:dyDescent="0.25">
      <c r="A475" s="336">
        <f>A474+3</f>
        <v>44158</v>
      </c>
      <c r="B475" s="329">
        <f t="shared" si="445"/>
        <v>0</v>
      </c>
      <c r="C475" s="338">
        <f t="shared" ref="C475:C501" si="465">B475+C474</f>
        <v>524187.88999999972</v>
      </c>
      <c r="D475" s="414">
        <f t="shared" ref="D475:D501" si="466">ROUND(C474*$T474,2)</f>
        <v>0.43</v>
      </c>
      <c r="E475" s="49">
        <f t="shared" si="446"/>
        <v>0</v>
      </c>
      <c r="F475" s="35">
        <f t="shared" ref="F475:F501" si="467">E475+F474</f>
        <v>0</v>
      </c>
      <c r="G475" s="414">
        <f t="shared" ref="G475:G501" si="468">ROUND(F474*$T474,2)</f>
        <v>0</v>
      </c>
      <c r="H475" s="49">
        <f t="shared" si="447"/>
        <v>0</v>
      </c>
      <c r="I475" s="35">
        <f t="shared" ref="I475:I501" si="469">H475+I474</f>
        <v>56775.120000000141</v>
      </c>
      <c r="J475" s="414">
        <f t="shared" ref="J475:J501" si="470">ROUND(I474*$T474,2)</f>
        <v>0.05</v>
      </c>
      <c r="K475" s="329">
        <f t="shared" si="448"/>
        <v>0</v>
      </c>
      <c r="L475" s="35">
        <f t="shared" ref="L475:L501" si="471">K475+L474</f>
        <v>0</v>
      </c>
      <c r="M475" s="414">
        <f t="shared" ref="M475:M501" si="472">ROUND(L474*$T474,2)</f>
        <v>0</v>
      </c>
      <c r="N475" s="329">
        <f t="shared" si="449"/>
        <v>0</v>
      </c>
      <c r="O475" s="35">
        <f t="shared" ref="O475:O501" si="473">N475+O474</f>
        <v>25.036111110992497</v>
      </c>
      <c r="P475" s="414">
        <f t="shared" ref="P475:P501" si="474">ROUND(O474*$T474,2)</f>
        <v>0</v>
      </c>
      <c r="Q475" s="329">
        <f t="shared" si="450"/>
        <v>0</v>
      </c>
      <c r="R475" s="35">
        <f t="shared" ref="R475:R501" si="475">Q475+R474</f>
        <v>0</v>
      </c>
      <c r="S475" s="414">
        <f t="shared" ref="S475:S501" si="476">ROUND(R474*$T474,2)</f>
        <v>0</v>
      </c>
      <c r="T475" s="880">
        <f>[5]Sheet1!$B889</f>
        <v>2.7399999999999999E-7</v>
      </c>
      <c r="U475" s="10">
        <f t="shared" ref="U475:U501" si="477">A475</f>
        <v>44158</v>
      </c>
      <c r="V475" s="276">
        <f t="shared" ref="V475:V501" si="478">T475*365/(A476-A475)</f>
        <v>1.0001E-4</v>
      </c>
    </row>
    <row r="476" spans="1:22" x14ac:dyDescent="0.25">
      <c r="A476" s="335">
        <f>A475+1</f>
        <v>44159</v>
      </c>
      <c r="B476" s="329">
        <f t="shared" si="445"/>
        <v>109524.23</v>
      </c>
      <c r="C476" s="338">
        <f t="shared" si="465"/>
        <v>633712.11999999976</v>
      </c>
      <c r="D476" s="414">
        <f t="shared" si="466"/>
        <v>0.14000000000000001</v>
      </c>
      <c r="E476" s="49">
        <f t="shared" si="446"/>
        <v>0</v>
      </c>
      <c r="F476" s="35">
        <f t="shared" si="467"/>
        <v>0</v>
      </c>
      <c r="G476" s="414">
        <f t="shared" si="468"/>
        <v>0</v>
      </c>
      <c r="H476" s="49">
        <f t="shared" si="447"/>
        <v>0</v>
      </c>
      <c r="I476" s="35">
        <f t="shared" si="469"/>
        <v>56775.120000000141</v>
      </c>
      <c r="J476" s="414">
        <f t="shared" si="470"/>
        <v>0.02</v>
      </c>
      <c r="K476" s="329">
        <f t="shared" si="448"/>
        <v>0</v>
      </c>
      <c r="L476" s="35">
        <f t="shared" si="471"/>
        <v>0</v>
      </c>
      <c r="M476" s="414">
        <f t="shared" si="472"/>
        <v>0</v>
      </c>
      <c r="N476" s="329">
        <f t="shared" si="449"/>
        <v>0</v>
      </c>
      <c r="O476" s="35">
        <f t="shared" si="473"/>
        <v>25.036111110992497</v>
      </c>
      <c r="P476" s="414">
        <f t="shared" si="474"/>
        <v>0</v>
      </c>
      <c r="Q476" s="329">
        <f t="shared" si="450"/>
        <v>0</v>
      </c>
      <c r="R476" s="35">
        <f t="shared" si="475"/>
        <v>0</v>
      </c>
      <c r="S476" s="414">
        <f t="shared" si="476"/>
        <v>0</v>
      </c>
      <c r="T476" s="880">
        <f>[5]Sheet1!$B890</f>
        <v>2.7399999999999999E-7</v>
      </c>
      <c r="U476" s="10">
        <f t="shared" si="477"/>
        <v>44159</v>
      </c>
      <c r="V476" s="276">
        <f t="shared" si="478"/>
        <v>1.0001E-4</v>
      </c>
    </row>
    <row r="477" spans="1:22" x14ac:dyDescent="0.25">
      <c r="A477" s="335">
        <f>A476+1</f>
        <v>44160</v>
      </c>
      <c r="B477" s="329">
        <f t="shared" si="445"/>
        <v>0</v>
      </c>
      <c r="C477" s="338">
        <f t="shared" si="465"/>
        <v>633712.11999999976</v>
      </c>
      <c r="D477" s="414">
        <f t="shared" si="466"/>
        <v>0.17</v>
      </c>
      <c r="E477" s="49">
        <f t="shared" si="446"/>
        <v>0</v>
      </c>
      <c r="F477" s="35">
        <f t="shared" si="467"/>
        <v>0</v>
      </c>
      <c r="G477" s="414">
        <f t="shared" si="468"/>
        <v>0</v>
      </c>
      <c r="H477" s="49">
        <f t="shared" si="447"/>
        <v>0</v>
      </c>
      <c r="I477" s="35">
        <f t="shared" si="469"/>
        <v>56775.120000000141</v>
      </c>
      <c r="J477" s="414">
        <f t="shared" si="470"/>
        <v>0.02</v>
      </c>
      <c r="K477" s="329">
        <f t="shared" si="448"/>
        <v>0</v>
      </c>
      <c r="L477" s="35">
        <f t="shared" si="471"/>
        <v>0</v>
      </c>
      <c r="M477" s="414">
        <f t="shared" si="472"/>
        <v>0</v>
      </c>
      <c r="N477" s="329">
        <f t="shared" si="449"/>
        <v>0</v>
      </c>
      <c r="O477" s="35">
        <f t="shared" si="473"/>
        <v>25.036111110992497</v>
      </c>
      <c r="P477" s="414">
        <f t="shared" si="474"/>
        <v>0</v>
      </c>
      <c r="Q477" s="329">
        <f t="shared" si="450"/>
        <v>0</v>
      </c>
      <c r="R477" s="35">
        <f t="shared" si="475"/>
        <v>0</v>
      </c>
      <c r="S477" s="414">
        <f t="shared" si="476"/>
        <v>0</v>
      </c>
      <c r="T477" s="880">
        <f>[5]Sheet1!$B891</f>
        <v>5.4799999999999998E-7</v>
      </c>
      <c r="U477" s="10">
        <f t="shared" si="477"/>
        <v>44160</v>
      </c>
      <c r="V477" s="276">
        <f t="shared" si="478"/>
        <v>1.0001E-4</v>
      </c>
    </row>
    <row r="478" spans="1:22" x14ac:dyDescent="0.25">
      <c r="A478" s="335">
        <f>A477+2</f>
        <v>44162</v>
      </c>
      <c r="B478" s="329">
        <f t="shared" si="445"/>
        <v>0</v>
      </c>
      <c r="C478" s="338">
        <f t="shared" si="465"/>
        <v>633712.11999999976</v>
      </c>
      <c r="D478" s="414">
        <f t="shared" si="466"/>
        <v>0.35</v>
      </c>
      <c r="E478" s="49">
        <f t="shared" si="446"/>
        <v>0</v>
      </c>
      <c r="F478" s="35">
        <f t="shared" si="467"/>
        <v>0</v>
      </c>
      <c r="G478" s="414">
        <f t="shared" si="468"/>
        <v>0</v>
      </c>
      <c r="H478" s="49">
        <f t="shared" si="447"/>
        <v>0</v>
      </c>
      <c r="I478" s="35">
        <f t="shared" si="469"/>
        <v>56775.120000000141</v>
      </c>
      <c r="J478" s="414">
        <f t="shared" si="470"/>
        <v>0.03</v>
      </c>
      <c r="K478" s="329">
        <f t="shared" si="448"/>
        <v>0</v>
      </c>
      <c r="L478" s="35">
        <f t="shared" si="471"/>
        <v>0</v>
      </c>
      <c r="M478" s="414">
        <f t="shared" si="472"/>
        <v>0</v>
      </c>
      <c r="N478" s="329">
        <f t="shared" si="449"/>
        <v>0</v>
      </c>
      <c r="O478" s="35">
        <f t="shared" si="473"/>
        <v>25.036111110992497</v>
      </c>
      <c r="P478" s="414">
        <f t="shared" si="474"/>
        <v>0</v>
      </c>
      <c r="Q478" s="329">
        <f t="shared" si="450"/>
        <v>0</v>
      </c>
      <c r="R478" s="35">
        <f t="shared" si="475"/>
        <v>0</v>
      </c>
      <c r="S478" s="414">
        <f t="shared" si="476"/>
        <v>0</v>
      </c>
      <c r="T478" s="880">
        <f>[5]Sheet1!$B892</f>
        <v>8.2200000000000003E-7</v>
      </c>
      <c r="U478" s="10">
        <f t="shared" si="477"/>
        <v>44162</v>
      </c>
      <c r="V478" s="276">
        <f t="shared" si="478"/>
        <v>1.0001E-4</v>
      </c>
    </row>
    <row r="479" spans="1:22" x14ac:dyDescent="0.25">
      <c r="A479" s="336">
        <f>A478+3</f>
        <v>44165</v>
      </c>
      <c r="B479" s="329">
        <f t="shared" si="445"/>
        <v>0</v>
      </c>
      <c r="C479" s="338">
        <f t="shared" si="465"/>
        <v>633712.11999999976</v>
      </c>
      <c r="D479" s="414">
        <f t="shared" si="466"/>
        <v>0.52</v>
      </c>
      <c r="E479" s="49">
        <f t="shared" si="446"/>
        <v>0</v>
      </c>
      <c r="F479" s="35">
        <f t="shared" si="467"/>
        <v>0</v>
      </c>
      <c r="G479" s="414">
        <f t="shared" si="468"/>
        <v>0</v>
      </c>
      <c r="H479" s="49">
        <f t="shared" si="447"/>
        <v>0</v>
      </c>
      <c r="I479" s="35">
        <f t="shared" si="469"/>
        <v>56775.120000000141</v>
      </c>
      <c r="J479" s="414">
        <f t="shared" si="470"/>
        <v>0.05</v>
      </c>
      <c r="K479" s="329">
        <f t="shared" si="448"/>
        <v>0</v>
      </c>
      <c r="L479" s="35">
        <f t="shared" si="471"/>
        <v>0</v>
      </c>
      <c r="M479" s="414">
        <f t="shared" si="472"/>
        <v>0</v>
      </c>
      <c r="N479" s="329">
        <f t="shared" si="449"/>
        <v>0</v>
      </c>
      <c r="O479" s="35">
        <f t="shared" si="473"/>
        <v>25.036111110992497</v>
      </c>
      <c r="P479" s="414">
        <f t="shared" si="474"/>
        <v>0</v>
      </c>
      <c r="Q479" s="329">
        <f t="shared" si="450"/>
        <v>0</v>
      </c>
      <c r="R479" s="35">
        <f t="shared" si="475"/>
        <v>0</v>
      </c>
      <c r="S479" s="414">
        <f t="shared" si="476"/>
        <v>0</v>
      </c>
      <c r="T479" s="880">
        <f>[5]Sheet1!$B893</f>
        <v>2.7399999999999999E-7</v>
      </c>
      <c r="U479" s="10">
        <f t="shared" si="477"/>
        <v>44165</v>
      </c>
      <c r="V479" s="276">
        <f t="shared" si="478"/>
        <v>1.0001E-4</v>
      </c>
    </row>
    <row r="480" spans="1:22" x14ac:dyDescent="0.25">
      <c r="A480" s="335">
        <f>A479+1</f>
        <v>44166</v>
      </c>
      <c r="B480" s="329">
        <f t="shared" si="445"/>
        <v>-1480</v>
      </c>
      <c r="C480" s="338">
        <f t="shared" si="465"/>
        <v>632232.11999999976</v>
      </c>
      <c r="D480" s="414">
        <f t="shared" si="466"/>
        <v>0.17</v>
      </c>
      <c r="E480" s="49">
        <f t="shared" si="446"/>
        <v>0</v>
      </c>
      <c r="F480" s="35">
        <f t="shared" si="467"/>
        <v>0</v>
      </c>
      <c r="G480" s="414">
        <f t="shared" si="468"/>
        <v>0</v>
      </c>
      <c r="H480" s="49">
        <f t="shared" si="447"/>
        <v>0</v>
      </c>
      <c r="I480" s="35">
        <f t="shared" si="469"/>
        <v>56775.120000000141</v>
      </c>
      <c r="J480" s="414">
        <f t="shared" si="470"/>
        <v>0.02</v>
      </c>
      <c r="K480" s="329">
        <f t="shared" si="448"/>
        <v>0</v>
      </c>
      <c r="L480" s="35">
        <f t="shared" si="471"/>
        <v>0</v>
      </c>
      <c r="M480" s="414">
        <f t="shared" si="472"/>
        <v>0</v>
      </c>
      <c r="N480" s="329">
        <f t="shared" si="449"/>
        <v>0</v>
      </c>
      <c r="O480" s="35">
        <f t="shared" si="473"/>
        <v>25.036111110992497</v>
      </c>
      <c r="P480" s="414">
        <f t="shared" si="474"/>
        <v>0</v>
      </c>
      <c r="Q480" s="329">
        <f t="shared" si="450"/>
        <v>0</v>
      </c>
      <c r="R480" s="35">
        <f t="shared" si="475"/>
        <v>0</v>
      </c>
      <c r="S480" s="414">
        <f t="shared" si="476"/>
        <v>0</v>
      </c>
      <c r="T480" s="880">
        <f>[5]Sheet1!$B894</f>
        <v>2.7399999999999999E-7</v>
      </c>
      <c r="U480" s="10">
        <f t="shared" si="477"/>
        <v>44166</v>
      </c>
      <c r="V480" s="276">
        <f t="shared" si="478"/>
        <v>1.0001E-4</v>
      </c>
    </row>
    <row r="481" spans="1:22" x14ac:dyDescent="0.25">
      <c r="A481" s="335">
        <f>A480+1</f>
        <v>44167</v>
      </c>
      <c r="B481" s="329">
        <f t="shared" si="445"/>
        <v>-333994.92</v>
      </c>
      <c r="C481" s="338">
        <f t="shared" si="465"/>
        <v>298237.19999999978</v>
      </c>
      <c r="D481" s="414">
        <f t="shared" si="466"/>
        <v>0.17</v>
      </c>
      <c r="E481" s="49">
        <f t="shared" si="446"/>
        <v>0</v>
      </c>
      <c r="F481" s="35">
        <f t="shared" si="467"/>
        <v>0</v>
      </c>
      <c r="G481" s="414">
        <f t="shared" si="468"/>
        <v>0</v>
      </c>
      <c r="H481" s="49">
        <f t="shared" si="447"/>
        <v>0.87</v>
      </c>
      <c r="I481" s="35">
        <f t="shared" si="469"/>
        <v>56775.990000000143</v>
      </c>
      <c r="J481" s="414">
        <f t="shared" si="470"/>
        <v>0.02</v>
      </c>
      <c r="K481" s="329">
        <f t="shared" si="448"/>
        <v>0</v>
      </c>
      <c r="L481" s="35">
        <f t="shared" si="471"/>
        <v>0</v>
      </c>
      <c r="M481" s="414">
        <f t="shared" si="472"/>
        <v>0</v>
      </c>
      <c r="N481" s="329">
        <f t="shared" si="449"/>
        <v>0</v>
      </c>
      <c r="O481" s="35">
        <f t="shared" si="473"/>
        <v>25.036111110992497</v>
      </c>
      <c r="P481" s="414">
        <f t="shared" si="474"/>
        <v>0</v>
      </c>
      <c r="Q481" s="329">
        <f t="shared" si="450"/>
        <v>0</v>
      </c>
      <c r="R481" s="35">
        <f t="shared" si="475"/>
        <v>0</v>
      </c>
      <c r="S481" s="414">
        <f t="shared" si="476"/>
        <v>0</v>
      </c>
      <c r="T481" s="880">
        <f>[5]Sheet1!$B895</f>
        <v>2.7399999999999999E-7</v>
      </c>
      <c r="U481" s="10">
        <f t="shared" si="477"/>
        <v>44167</v>
      </c>
      <c r="V481" s="276">
        <f t="shared" si="478"/>
        <v>1.0001E-4</v>
      </c>
    </row>
    <row r="482" spans="1:22" x14ac:dyDescent="0.25">
      <c r="A482" s="335">
        <f>A481+1</f>
        <v>44168</v>
      </c>
      <c r="B482" s="329">
        <f t="shared" si="445"/>
        <v>-11580.2</v>
      </c>
      <c r="C482" s="338">
        <f t="shared" si="465"/>
        <v>286656.99999999977</v>
      </c>
      <c r="D482" s="414">
        <f t="shared" si="466"/>
        <v>0.08</v>
      </c>
      <c r="E482" s="49">
        <f t="shared" si="446"/>
        <v>0</v>
      </c>
      <c r="F482" s="35">
        <f t="shared" si="467"/>
        <v>0</v>
      </c>
      <c r="G482" s="414">
        <f t="shared" si="468"/>
        <v>0</v>
      </c>
      <c r="H482" s="49">
        <f t="shared" si="447"/>
        <v>0</v>
      </c>
      <c r="I482" s="35">
        <f t="shared" si="469"/>
        <v>56775.990000000143</v>
      </c>
      <c r="J482" s="414">
        <f t="shared" si="470"/>
        <v>0.02</v>
      </c>
      <c r="K482" s="329">
        <f t="shared" si="448"/>
        <v>0</v>
      </c>
      <c r="L482" s="35">
        <f t="shared" si="471"/>
        <v>0</v>
      </c>
      <c r="M482" s="414">
        <f t="shared" si="472"/>
        <v>0</v>
      </c>
      <c r="N482" s="329">
        <f t="shared" si="449"/>
        <v>0</v>
      </c>
      <c r="O482" s="35">
        <f t="shared" si="473"/>
        <v>25.036111110992497</v>
      </c>
      <c r="P482" s="414">
        <f t="shared" si="474"/>
        <v>0</v>
      </c>
      <c r="Q482" s="329">
        <f t="shared" si="450"/>
        <v>0</v>
      </c>
      <c r="R482" s="35">
        <f t="shared" si="475"/>
        <v>0</v>
      </c>
      <c r="S482" s="414">
        <f t="shared" si="476"/>
        <v>0</v>
      </c>
      <c r="T482" s="880">
        <f>[5]Sheet1!$B896</f>
        <v>2.7399999999999999E-7</v>
      </c>
      <c r="U482" s="10">
        <f t="shared" si="477"/>
        <v>44168</v>
      </c>
      <c r="V482" s="276">
        <f t="shared" si="478"/>
        <v>1.0001E-4</v>
      </c>
    </row>
    <row r="483" spans="1:22" x14ac:dyDescent="0.25">
      <c r="A483" s="335">
        <f>A482+1</f>
        <v>44169</v>
      </c>
      <c r="B483" s="329">
        <f t="shared" si="445"/>
        <v>0</v>
      </c>
      <c r="C483" s="338">
        <f t="shared" si="465"/>
        <v>286656.99999999977</v>
      </c>
      <c r="D483" s="414">
        <f t="shared" si="466"/>
        <v>0.08</v>
      </c>
      <c r="E483" s="49">
        <f t="shared" si="446"/>
        <v>0</v>
      </c>
      <c r="F483" s="35">
        <f t="shared" si="467"/>
        <v>0</v>
      </c>
      <c r="G483" s="414">
        <f t="shared" si="468"/>
        <v>0</v>
      </c>
      <c r="H483" s="49">
        <f t="shared" si="447"/>
        <v>0</v>
      </c>
      <c r="I483" s="35">
        <f t="shared" si="469"/>
        <v>56775.990000000143</v>
      </c>
      <c r="J483" s="414">
        <f t="shared" si="470"/>
        <v>0.02</v>
      </c>
      <c r="K483" s="329">
        <f t="shared" si="448"/>
        <v>0</v>
      </c>
      <c r="L483" s="35">
        <f t="shared" si="471"/>
        <v>0</v>
      </c>
      <c r="M483" s="414">
        <f t="shared" si="472"/>
        <v>0</v>
      </c>
      <c r="N483" s="329">
        <f t="shared" si="449"/>
        <v>0</v>
      </c>
      <c r="O483" s="35">
        <f t="shared" si="473"/>
        <v>25.036111110992497</v>
      </c>
      <c r="P483" s="414">
        <f t="shared" si="474"/>
        <v>0</v>
      </c>
      <c r="Q483" s="329">
        <f t="shared" si="450"/>
        <v>0</v>
      </c>
      <c r="R483" s="35">
        <f t="shared" si="475"/>
        <v>0</v>
      </c>
      <c r="S483" s="414">
        <f t="shared" si="476"/>
        <v>0</v>
      </c>
      <c r="T483" s="880">
        <f>[5]Sheet1!$B897</f>
        <v>8.2200000000000003E-7</v>
      </c>
      <c r="U483" s="10">
        <f t="shared" si="477"/>
        <v>44169</v>
      </c>
      <c r="V483" s="276">
        <f t="shared" si="478"/>
        <v>1.0001E-4</v>
      </c>
    </row>
    <row r="484" spans="1:22" x14ac:dyDescent="0.25">
      <c r="A484" s="336">
        <f>A483+3</f>
        <v>44172</v>
      </c>
      <c r="B484" s="329">
        <f t="shared" si="445"/>
        <v>-11468.99</v>
      </c>
      <c r="C484" s="338">
        <f t="shared" si="465"/>
        <v>275188.00999999978</v>
      </c>
      <c r="D484" s="414">
        <f t="shared" si="466"/>
        <v>0.24</v>
      </c>
      <c r="E484" s="49">
        <f t="shared" si="446"/>
        <v>0</v>
      </c>
      <c r="F484" s="35">
        <f t="shared" si="467"/>
        <v>0</v>
      </c>
      <c r="G484" s="414">
        <f t="shared" si="468"/>
        <v>0</v>
      </c>
      <c r="H484" s="49">
        <f t="shared" si="447"/>
        <v>0</v>
      </c>
      <c r="I484" s="35">
        <f t="shared" si="469"/>
        <v>56775.990000000143</v>
      </c>
      <c r="J484" s="414">
        <f t="shared" si="470"/>
        <v>0.05</v>
      </c>
      <c r="K484" s="329">
        <f t="shared" si="448"/>
        <v>0</v>
      </c>
      <c r="L484" s="35">
        <f t="shared" si="471"/>
        <v>0</v>
      </c>
      <c r="M484" s="414">
        <f t="shared" si="472"/>
        <v>0</v>
      </c>
      <c r="N484" s="329">
        <f t="shared" si="449"/>
        <v>0</v>
      </c>
      <c r="O484" s="35">
        <f t="shared" si="473"/>
        <v>25.036111110992497</v>
      </c>
      <c r="P484" s="414">
        <f t="shared" si="474"/>
        <v>0</v>
      </c>
      <c r="Q484" s="329">
        <f t="shared" si="450"/>
        <v>0</v>
      </c>
      <c r="R484" s="35">
        <f t="shared" si="475"/>
        <v>0</v>
      </c>
      <c r="S484" s="414">
        <f t="shared" si="476"/>
        <v>0</v>
      </c>
      <c r="T484" s="880">
        <f>[5]Sheet1!$B898</f>
        <v>2.7399999999999999E-7</v>
      </c>
      <c r="U484" s="10">
        <f t="shared" si="477"/>
        <v>44172</v>
      </c>
      <c r="V484" s="276">
        <f t="shared" si="478"/>
        <v>1.0001E-4</v>
      </c>
    </row>
    <row r="485" spans="1:22" x14ac:dyDescent="0.25">
      <c r="A485" s="335">
        <f>A484+1</f>
        <v>44173</v>
      </c>
      <c r="B485" s="329">
        <f t="shared" si="445"/>
        <v>0</v>
      </c>
      <c r="C485" s="338">
        <f t="shared" si="465"/>
        <v>275188.00999999978</v>
      </c>
      <c r="D485" s="414">
        <f t="shared" si="466"/>
        <v>0.08</v>
      </c>
      <c r="E485" s="49">
        <f t="shared" si="446"/>
        <v>0</v>
      </c>
      <c r="F485" s="35">
        <f t="shared" si="467"/>
        <v>0</v>
      </c>
      <c r="G485" s="414">
        <f t="shared" si="468"/>
        <v>0</v>
      </c>
      <c r="H485" s="49">
        <f t="shared" si="447"/>
        <v>0</v>
      </c>
      <c r="I485" s="35">
        <f t="shared" si="469"/>
        <v>56775.990000000143</v>
      </c>
      <c r="J485" s="414">
        <f t="shared" si="470"/>
        <v>0.02</v>
      </c>
      <c r="K485" s="329">
        <f t="shared" si="448"/>
        <v>0</v>
      </c>
      <c r="L485" s="35">
        <f t="shared" si="471"/>
        <v>0</v>
      </c>
      <c r="M485" s="414">
        <f t="shared" si="472"/>
        <v>0</v>
      </c>
      <c r="N485" s="329">
        <f t="shared" si="449"/>
        <v>0</v>
      </c>
      <c r="O485" s="35">
        <f t="shared" si="473"/>
        <v>25.036111110992497</v>
      </c>
      <c r="P485" s="414">
        <f t="shared" si="474"/>
        <v>0</v>
      </c>
      <c r="Q485" s="329">
        <f t="shared" si="450"/>
        <v>0</v>
      </c>
      <c r="R485" s="35">
        <f t="shared" si="475"/>
        <v>0</v>
      </c>
      <c r="S485" s="414">
        <f t="shared" si="476"/>
        <v>0</v>
      </c>
      <c r="T485" s="880">
        <f>[5]Sheet1!$B899</f>
        <v>2.7399999999999999E-7</v>
      </c>
      <c r="U485" s="10">
        <f t="shared" si="477"/>
        <v>44173</v>
      </c>
      <c r="V485" s="276">
        <f t="shared" si="478"/>
        <v>1.0001E-4</v>
      </c>
    </row>
    <row r="486" spans="1:22" x14ac:dyDescent="0.25">
      <c r="A486" s="335">
        <f>A485+1</f>
        <v>44174</v>
      </c>
      <c r="B486" s="329">
        <f t="shared" si="445"/>
        <v>0</v>
      </c>
      <c r="C486" s="338">
        <f t="shared" si="465"/>
        <v>275188.00999999978</v>
      </c>
      <c r="D486" s="414">
        <f t="shared" si="466"/>
        <v>0.08</v>
      </c>
      <c r="E486" s="49">
        <f t="shared" si="446"/>
        <v>0</v>
      </c>
      <c r="F486" s="35">
        <f t="shared" si="467"/>
        <v>0</v>
      </c>
      <c r="G486" s="414">
        <f t="shared" si="468"/>
        <v>0</v>
      </c>
      <c r="H486" s="49">
        <f t="shared" si="447"/>
        <v>0</v>
      </c>
      <c r="I486" s="35">
        <f t="shared" si="469"/>
        <v>56775.990000000143</v>
      </c>
      <c r="J486" s="414">
        <f t="shared" si="470"/>
        <v>0.02</v>
      </c>
      <c r="K486" s="329">
        <f t="shared" si="448"/>
        <v>0</v>
      </c>
      <c r="L486" s="35">
        <f t="shared" si="471"/>
        <v>0</v>
      </c>
      <c r="M486" s="414">
        <f t="shared" si="472"/>
        <v>0</v>
      </c>
      <c r="N486" s="329">
        <f t="shared" si="449"/>
        <v>0</v>
      </c>
      <c r="O486" s="35">
        <f t="shared" si="473"/>
        <v>25.036111110992497</v>
      </c>
      <c r="P486" s="414">
        <f t="shared" si="474"/>
        <v>0</v>
      </c>
      <c r="Q486" s="329">
        <f t="shared" si="450"/>
        <v>0</v>
      </c>
      <c r="R486" s="35">
        <f t="shared" si="475"/>
        <v>0</v>
      </c>
      <c r="S486" s="414">
        <f t="shared" si="476"/>
        <v>0</v>
      </c>
      <c r="T486" s="880">
        <f>[5]Sheet1!$B900</f>
        <v>2.7399999999999999E-7</v>
      </c>
      <c r="U486" s="10">
        <f t="shared" si="477"/>
        <v>44174</v>
      </c>
      <c r="V486" s="276">
        <f t="shared" si="478"/>
        <v>1.0001E-4</v>
      </c>
    </row>
    <row r="487" spans="1:22" x14ac:dyDescent="0.25">
      <c r="A487" s="335">
        <f>A486+1</f>
        <v>44175</v>
      </c>
      <c r="B487" s="329">
        <f t="shared" si="445"/>
        <v>0</v>
      </c>
      <c r="C487" s="338">
        <f t="shared" si="465"/>
        <v>275188.00999999978</v>
      </c>
      <c r="D487" s="414">
        <f t="shared" si="466"/>
        <v>0.08</v>
      </c>
      <c r="E487" s="49">
        <f t="shared" si="446"/>
        <v>0</v>
      </c>
      <c r="F487" s="35">
        <f t="shared" si="467"/>
        <v>0</v>
      </c>
      <c r="G487" s="414">
        <f t="shared" si="468"/>
        <v>0</v>
      </c>
      <c r="H487" s="49">
        <f t="shared" si="447"/>
        <v>0</v>
      </c>
      <c r="I487" s="35">
        <f t="shared" si="469"/>
        <v>56775.990000000143</v>
      </c>
      <c r="J487" s="414">
        <f t="shared" si="470"/>
        <v>0.02</v>
      </c>
      <c r="K487" s="329">
        <f t="shared" si="448"/>
        <v>0</v>
      </c>
      <c r="L487" s="35">
        <f t="shared" si="471"/>
        <v>0</v>
      </c>
      <c r="M487" s="414">
        <f t="shared" si="472"/>
        <v>0</v>
      </c>
      <c r="N487" s="329">
        <f t="shared" si="449"/>
        <v>0</v>
      </c>
      <c r="O487" s="35">
        <f t="shared" si="473"/>
        <v>25.036111110992497</v>
      </c>
      <c r="P487" s="414">
        <f t="shared" si="474"/>
        <v>0</v>
      </c>
      <c r="Q487" s="329">
        <f t="shared" si="450"/>
        <v>0</v>
      </c>
      <c r="R487" s="35">
        <f t="shared" si="475"/>
        <v>0</v>
      </c>
      <c r="S487" s="414">
        <f t="shared" si="476"/>
        <v>0</v>
      </c>
      <c r="T487" s="880">
        <f>[5]Sheet1!$B901</f>
        <v>2.7399999999999999E-7</v>
      </c>
      <c r="U487" s="10">
        <f t="shared" si="477"/>
        <v>44175</v>
      </c>
      <c r="V487" s="276">
        <f t="shared" si="478"/>
        <v>1.0001E-4</v>
      </c>
    </row>
    <row r="488" spans="1:22" x14ac:dyDescent="0.25">
      <c r="A488" s="335">
        <f>A487+1</f>
        <v>44176</v>
      </c>
      <c r="B488" s="329">
        <f t="shared" si="445"/>
        <v>0</v>
      </c>
      <c r="C488" s="338">
        <f t="shared" si="465"/>
        <v>275188.00999999978</v>
      </c>
      <c r="D488" s="414">
        <f t="shared" si="466"/>
        <v>0.08</v>
      </c>
      <c r="E488" s="49">
        <f t="shared" si="446"/>
        <v>0</v>
      </c>
      <c r="F488" s="35">
        <f t="shared" si="467"/>
        <v>0</v>
      </c>
      <c r="G488" s="414">
        <f t="shared" si="468"/>
        <v>0</v>
      </c>
      <c r="H488" s="49">
        <f t="shared" si="447"/>
        <v>0</v>
      </c>
      <c r="I488" s="35">
        <f t="shared" si="469"/>
        <v>56775.990000000143</v>
      </c>
      <c r="J488" s="414">
        <f t="shared" si="470"/>
        <v>0.02</v>
      </c>
      <c r="K488" s="329">
        <f t="shared" si="448"/>
        <v>0</v>
      </c>
      <c r="L488" s="35">
        <f t="shared" si="471"/>
        <v>0</v>
      </c>
      <c r="M488" s="414">
        <f t="shared" si="472"/>
        <v>0</v>
      </c>
      <c r="N488" s="329">
        <f t="shared" si="449"/>
        <v>0</v>
      </c>
      <c r="O488" s="35">
        <f t="shared" si="473"/>
        <v>25.036111110992497</v>
      </c>
      <c r="P488" s="414">
        <f t="shared" si="474"/>
        <v>0</v>
      </c>
      <c r="Q488" s="329">
        <f t="shared" si="450"/>
        <v>0</v>
      </c>
      <c r="R488" s="35">
        <f t="shared" si="475"/>
        <v>0</v>
      </c>
      <c r="S488" s="414">
        <f t="shared" si="476"/>
        <v>0</v>
      </c>
      <c r="T488" s="880">
        <f>[5]Sheet1!$B902</f>
        <v>8.2699999999999998E-7</v>
      </c>
      <c r="U488" s="10">
        <f t="shared" si="477"/>
        <v>44176</v>
      </c>
      <c r="V488" s="276">
        <f t="shared" si="478"/>
        <v>1.0061833333333334E-4</v>
      </c>
    </row>
    <row r="489" spans="1:22" x14ac:dyDescent="0.25">
      <c r="A489" s="336">
        <f>A488+3</f>
        <v>44179</v>
      </c>
      <c r="B489" s="329">
        <f t="shared" si="445"/>
        <v>0</v>
      </c>
      <c r="C489" s="338">
        <f t="shared" si="465"/>
        <v>275188.00999999978</v>
      </c>
      <c r="D489" s="414">
        <f t="shared" si="466"/>
        <v>0.23</v>
      </c>
      <c r="E489" s="49">
        <f t="shared" si="446"/>
        <v>0</v>
      </c>
      <c r="F489" s="35">
        <f t="shared" si="467"/>
        <v>0</v>
      </c>
      <c r="G489" s="414">
        <f t="shared" si="468"/>
        <v>0</v>
      </c>
      <c r="H489" s="49">
        <f t="shared" si="447"/>
        <v>0</v>
      </c>
      <c r="I489" s="35">
        <f t="shared" si="469"/>
        <v>56775.990000000143</v>
      </c>
      <c r="J489" s="414">
        <f t="shared" si="470"/>
        <v>0.05</v>
      </c>
      <c r="K489" s="329">
        <f t="shared" si="448"/>
        <v>0</v>
      </c>
      <c r="L489" s="35">
        <f t="shared" si="471"/>
        <v>0</v>
      </c>
      <c r="M489" s="414">
        <f t="shared" si="472"/>
        <v>0</v>
      </c>
      <c r="N489" s="329">
        <f t="shared" si="449"/>
        <v>0</v>
      </c>
      <c r="O489" s="35">
        <f t="shared" si="473"/>
        <v>25.036111110992497</v>
      </c>
      <c r="P489" s="414">
        <f t="shared" si="474"/>
        <v>0</v>
      </c>
      <c r="Q489" s="329">
        <f t="shared" si="450"/>
        <v>0</v>
      </c>
      <c r="R489" s="35">
        <f t="shared" si="475"/>
        <v>0</v>
      </c>
      <c r="S489" s="414">
        <f t="shared" si="476"/>
        <v>0</v>
      </c>
      <c r="T489" s="880">
        <f>[5]Sheet1!$B903</f>
        <v>2.7399999999999999E-7</v>
      </c>
      <c r="U489" s="10">
        <f t="shared" si="477"/>
        <v>44179</v>
      </c>
      <c r="V489" s="276">
        <f t="shared" si="478"/>
        <v>1.0001E-4</v>
      </c>
    </row>
    <row r="490" spans="1:22" x14ac:dyDescent="0.25">
      <c r="A490" s="335">
        <f>A489+1</f>
        <v>44180</v>
      </c>
      <c r="B490" s="329">
        <f t="shared" si="445"/>
        <v>-208638.43999999977</v>
      </c>
      <c r="C490" s="338">
        <f t="shared" si="465"/>
        <v>66549.570000000007</v>
      </c>
      <c r="D490" s="414">
        <f t="shared" si="466"/>
        <v>0.08</v>
      </c>
      <c r="E490" s="49">
        <f t="shared" si="446"/>
        <v>0</v>
      </c>
      <c r="F490" s="35">
        <f t="shared" si="467"/>
        <v>0</v>
      </c>
      <c r="G490" s="414">
        <f t="shared" si="468"/>
        <v>0</v>
      </c>
      <c r="H490" s="49">
        <f t="shared" si="447"/>
        <v>-6153.74</v>
      </c>
      <c r="I490" s="35">
        <f t="shared" si="469"/>
        <v>50622.250000000146</v>
      </c>
      <c r="J490" s="414">
        <f t="shared" si="470"/>
        <v>0.02</v>
      </c>
      <c r="K490" s="329">
        <f t="shared" si="448"/>
        <v>0</v>
      </c>
      <c r="L490" s="35">
        <f t="shared" si="471"/>
        <v>0</v>
      </c>
      <c r="M490" s="414">
        <f t="shared" si="472"/>
        <v>0</v>
      </c>
      <c r="N490" s="329">
        <f t="shared" si="449"/>
        <v>0</v>
      </c>
      <c r="O490" s="35">
        <f t="shared" si="473"/>
        <v>25.036111110992497</v>
      </c>
      <c r="P490" s="414">
        <f t="shared" si="474"/>
        <v>0</v>
      </c>
      <c r="Q490" s="329">
        <f t="shared" si="450"/>
        <v>0</v>
      </c>
      <c r="R490" s="35">
        <f t="shared" si="475"/>
        <v>0</v>
      </c>
      <c r="S490" s="414">
        <f t="shared" si="476"/>
        <v>0</v>
      </c>
      <c r="T490" s="880">
        <f>[5]Sheet1!$B904</f>
        <v>2.7399999999999999E-7</v>
      </c>
      <c r="U490" s="10">
        <f t="shared" si="477"/>
        <v>44180</v>
      </c>
      <c r="V490" s="276">
        <f t="shared" si="478"/>
        <v>1.0001E-4</v>
      </c>
    </row>
    <row r="491" spans="1:22" x14ac:dyDescent="0.25">
      <c r="A491" s="335">
        <f>A490+1</f>
        <v>44181</v>
      </c>
      <c r="B491" s="329">
        <f t="shared" si="445"/>
        <v>-6646.929999999993</v>
      </c>
      <c r="C491" s="338">
        <f t="shared" si="465"/>
        <v>59902.640000000014</v>
      </c>
      <c r="D491" s="414">
        <f t="shared" si="466"/>
        <v>0.02</v>
      </c>
      <c r="E491" s="49">
        <f t="shared" si="446"/>
        <v>0</v>
      </c>
      <c r="F491" s="35">
        <f t="shared" si="467"/>
        <v>0</v>
      </c>
      <c r="G491" s="414">
        <f t="shared" si="468"/>
        <v>0</v>
      </c>
      <c r="H491" s="49">
        <f t="shared" si="447"/>
        <v>20288.7</v>
      </c>
      <c r="I491" s="35">
        <f t="shared" si="469"/>
        <v>70910.950000000143</v>
      </c>
      <c r="J491" s="414">
        <f t="shared" si="470"/>
        <v>0.01</v>
      </c>
      <c r="K491" s="329">
        <f t="shared" si="448"/>
        <v>0</v>
      </c>
      <c r="L491" s="35">
        <f t="shared" si="471"/>
        <v>0</v>
      </c>
      <c r="M491" s="414">
        <f t="shared" si="472"/>
        <v>0</v>
      </c>
      <c r="N491" s="329">
        <f t="shared" si="449"/>
        <v>102029.19</v>
      </c>
      <c r="O491" s="35">
        <f t="shared" si="473"/>
        <v>102054.226111111</v>
      </c>
      <c r="P491" s="414">
        <f t="shared" si="474"/>
        <v>0</v>
      </c>
      <c r="Q491" s="329">
        <f t="shared" si="450"/>
        <v>0</v>
      </c>
      <c r="R491" s="35">
        <f t="shared" si="475"/>
        <v>0</v>
      </c>
      <c r="S491" s="414">
        <f t="shared" si="476"/>
        <v>0</v>
      </c>
      <c r="T491" s="880">
        <f>[5]Sheet1!$B905</f>
        <v>2.7399999999999999E-7</v>
      </c>
      <c r="U491" s="10">
        <f t="shared" si="477"/>
        <v>44181</v>
      </c>
      <c r="V491" s="276">
        <f t="shared" si="478"/>
        <v>1.0001E-4</v>
      </c>
    </row>
    <row r="492" spans="1:22" x14ac:dyDescent="0.25">
      <c r="A492" s="335">
        <f>A491+1</f>
        <v>44182</v>
      </c>
      <c r="B492" s="329">
        <f t="shared" si="445"/>
        <v>271929.09999999998</v>
      </c>
      <c r="C492" s="338">
        <f t="shared" si="465"/>
        <v>331831.74</v>
      </c>
      <c r="D492" s="414">
        <f t="shared" si="466"/>
        <v>0.02</v>
      </c>
      <c r="E492" s="49">
        <f t="shared" si="446"/>
        <v>0</v>
      </c>
      <c r="F492" s="35">
        <f t="shared" si="467"/>
        <v>0</v>
      </c>
      <c r="G492" s="414">
        <f t="shared" si="468"/>
        <v>0</v>
      </c>
      <c r="H492" s="49">
        <f t="shared" si="447"/>
        <v>0</v>
      </c>
      <c r="I492" s="35">
        <f t="shared" si="469"/>
        <v>70910.950000000143</v>
      </c>
      <c r="J492" s="414">
        <f t="shared" si="470"/>
        <v>0.02</v>
      </c>
      <c r="K492" s="329">
        <f t="shared" si="448"/>
        <v>0</v>
      </c>
      <c r="L492" s="35">
        <f t="shared" si="471"/>
        <v>0</v>
      </c>
      <c r="M492" s="414">
        <f t="shared" si="472"/>
        <v>0</v>
      </c>
      <c r="N492" s="329">
        <f t="shared" si="449"/>
        <v>-102029.19</v>
      </c>
      <c r="O492" s="35">
        <f t="shared" si="473"/>
        <v>25.036111110995989</v>
      </c>
      <c r="P492" s="414">
        <f t="shared" si="474"/>
        <v>0.03</v>
      </c>
      <c r="Q492" s="329">
        <f t="shared" si="450"/>
        <v>0</v>
      </c>
      <c r="R492" s="35">
        <f t="shared" si="475"/>
        <v>0</v>
      </c>
      <c r="S492" s="414">
        <f t="shared" si="476"/>
        <v>0</v>
      </c>
      <c r="T492" s="880">
        <f>[5]Sheet1!$B906</f>
        <v>2.7399999999999999E-7</v>
      </c>
      <c r="U492" s="10">
        <f t="shared" si="477"/>
        <v>44182</v>
      </c>
      <c r="V492" s="276">
        <f t="shared" si="478"/>
        <v>1.0001E-4</v>
      </c>
    </row>
    <row r="493" spans="1:22" x14ac:dyDescent="0.25">
      <c r="A493" s="335">
        <f>A492+1</f>
        <v>44183</v>
      </c>
      <c r="B493" s="329">
        <f t="shared" si="445"/>
        <v>0</v>
      </c>
      <c r="C493" s="338">
        <f t="shared" si="465"/>
        <v>331831.74</v>
      </c>
      <c r="D493" s="414">
        <f t="shared" si="466"/>
        <v>0.09</v>
      </c>
      <c r="E493" s="49">
        <f t="shared" si="446"/>
        <v>0</v>
      </c>
      <c r="F493" s="35">
        <f t="shared" si="467"/>
        <v>0</v>
      </c>
      <c r="G493" s="414">
        <f t="shared" si="468"/>
        <v>0</v>
      </c>
      <c r="H493" s="49">
        <f t="shared" si="447"/>
        <v>0</v>
      </c>
      <c r="I493" s="35">
        <f t="shared" si="469"/>
        <v>70910.950000000143</v>
      </c>
      <c r="J493" s="414">
        <f t="shared" si="470"/>
        <v>0.02</v>
      </c>
      <c r="K493" s="329">
        <f t="shared" si="448"/>
        <v>0</v>
      </c>
      <c r="L493" s="35">
        <f t="shared" si="471"/>
        <v>0</v>
      </c>
      <c r="M493" s="414">
        <f t="shared" si="472"/>
        <v>0</v>
      </c>
      <c r="N493" s="329">
        <f t="shared" si="449"/>
        <v>0</v>
      </c>
      <c r="O493" s="35">
        <f t="shared" si="473"/>
        <v>25.036111110995989</v>
      </c>
      <c r="P493" s="414">
        <f t="shared" si="474"/>
        <v>0</v>
      </c>
      <c r="Q493" s="329">
        <f t="shared" si="450"/>
        <v>0</v>
      </c>
      <c r="R493" s="35">
        <f t="shared" si="475"/>
        <v>0</v>
      </c>
      <c r="S493" s="414">
        <f t="shared" si="476"/>
        <v>0</v>
      </c>
      <c r="T493" s="880">
        <f>[5]Sheet1!$B907</f>
        <v>9.7399999999999991E-7</v>
      </c>
      <c r="U493" s="10">
        <f t="shared" si="477"/>
        <v>44183</v>
      </c>
      <c r="V493" s="276">
        <f t="shared" si="478"/>
        <v>1.1850333333333332E-4</v>
      </c>
    </row>
    <row r="494" spans="1:22" x14ac:dyDescent="0.25">
      <c r="A494" s="336">
        <f>A493+3</f>
        <v>44186</v>
      </c>
      <c r="B494" s="329">
        <f t="shared" si="445"/>
        <v>0</v>
      </c>
      <c r="C494" s="338">
        <f t="shared" si="465"/>
        <v>331831.74</v>
      </c>
      <c r="D494" s="414">
        <f t="shared" si="466"/>
        <v>0.32</v>
      </c>
      <c r="E494" s="49">
        <f t="shared" si="446"/>
        <v>0</v>
      </c>
      <c r="F494" s="35">
        <f t="shared" si="467"/>
        <v>0</v>
      </c>
      <c r="G494" s="414">
        <f t="shared" si="468"/>
        <v>0</v>
      </c>
      <c r="H494" s="49">
        <f t="shared" si="447"/>
        <v>0</v>
      </c>
      <c r="I494" s="35">
        <f t="shared" si="469"/>
        <v>70910.950000000143</v>
      </c>
      <c r="J494" s="414">
        <f t="shared" si="470"/>
        <v>7.0000000000000007E-2</v>
      </c>
      <c r="K494" s="329">
        <f t="shared" si="448"/>
        <v>0</v>
      </c>
      <c r="L494" s="35">
        <f t="shared" si="471"/>
        <v>0</v>
      </c>
      <c r="M494" s="414">
        <f t="shared" si="472"/>
        <v>0</v>
      </c>
      <c r="N494" s="329">
        <f t="shared" si="449"/>
        <v>0</v>
      </c>
      <c r="O494" s="35">
        <f t="shared" si="473"/>
        <v>25.036111110995989</v>
      </c>
      <c r="P494" s="414">
        <f t="shared" si="474"/>
        <v>0</v>
      </c>
      <c r="Q494" s="329">
        <f t="shared" si="450"/>
        <v>0</v>
      </c>
      <c r="R494" s="35">
        <f t="shared" si="475"/>
        <v>0</v>
      </c>
      <c r="S494" s="414">
        <f t="shared" si="476"/>
        <v>0</v>
      </c>
      <c r="T494" s="880">
        <f>[5]Sheet1!$B908</f>
        <v>8.2200000000000003E-7</v>
      </c>
      <c r="U494" s="10">
        <f t="shared" si="477"/>
        <v>44186</v>
      </c>
      <c r="V494" s="276">
        <f t="shared" si="478"/>
        <v>3.0003000000000001E-4</v>
      </c>
    </row>
    <row r="495" spans="1:22" x14ac:dyDescent="0.25">
      <c r="A495" s="335">
        <f>A494+1</f>
        <v>44187</v>
      </c>
      <c r="B495" s="329">
        <f t="shared" si="445"/>
        <v>94007</v>
      </c>
      <c r="C495" s="338">
        <f t="shared" si="465"/>
        <v>425838.74</v>
      </c>
      <c r="D495" s="414">
        <f t="shared" si="466"/>
        <v>0.27</v>
      </c>
      <c r="E495" s="49">
        <f t="shared" si="446"/>
        <v>0</v>
      </c>
      <c r="F495" s="35">
        <f t="shared" si="467"/>
        <v>0</v>
      </c>
      <c r="G495" s="414">
        <f t="shared" si="468"/>
        <v>0</v>
      </c>
      <c r="H495" s="49">
        <f t="shared" si="447"/>
        <v>0</v>
      </c>
      <c r="I495" s="35">
        <f t="shared" si="469"/>
        <v>70910.950000000143</v>
      </c>
      <c r="J495" s="414">
        <f t="shared" si="470"/>
        <v>0.06</v>
      </c>
      <c r="K495" s="329">
        <f t="shared" si="448"/>
        <v>0</v>
      </c>
      <c r="L495" s="35">
        <f t="shared" si="471"/>
        <v>0</v>
      </c>
      <c r="M495" s="414">
        <f t="shared" si="472"/>
        <v>0</v>
      </c>
      <c r="N495" s="329">
        <f t="shared" si="449"/>
        <v>0</v>
      </c>
      <c r="O495" s="35">
        <f t="shared" si="473"/>
        <v>25.036111110995989</v>
      </c>
      <c r="P495" s="414">
        <f t="shared" si="474"/>
        <v>0</v>
      </c>
      <c r="Q495" s="329">
        <f t="shared" si="450"/>
        <v>0</v>
      </c>
      <c r="R495" s="35">
        <f t="shared" si="475"/>
        <v>0</v>
      </c>
      <c r="S495" s="414">
        <f t="shared" si="476"/>
        <v>0</v>
      </c>
      <c r="T495" s="880">
        <f>[5]Sheet1!$B909</f>
        <v>8.2200000000000003E-7</v>
      </c>
      <c r="U495" s="10">
        <f t="shared" si="477"/>
        <v>44187</v>
      </c>
      <c r="V495" s="276">
        <f t="shared" si="478"/>
        <v>3.0003000000000001E-4</v>
      </c>
    </row>
    <row r="496" spans="1:22" x14ac:dyDescent="0.25">
      <c r="A496" s="335">
        <f>A495+1</f>
        <v>44188</v>
      </c>
      <c r="B496" s="329">
        <f t="shared" si="445"/>
        <v>-6500</v>
      </c>
      <c r="C496" s="338">
        <f t="shared" si="465"/>
        <v>419338.74</v>
      </c>
      <c r="D496" s="414">
        <f t="shared" si="466"/>
        <v>0.35</v>
      </c>
      <c r="E496" s="49">
        <f t="shared" si="446"/>
        <v>0</v>
      </c>
      <c r="F496" s="35">
        <f t="shared" si="467"/>
        <v>0</v>
      </c>
      <c r="G496" s="414">
        <f t="shared" si="468"/>
        <v>0</v>
      </c>
      <c r="H496" s="49">
        <f t="shared" si="447"/>
        <v>-21000</v>
      </c>
      <c r="I496" s="35">
        <f t="shared" si="469"/>
        <v>49910.950000000143</v>
      </c>
      <c r="J496" s="414">
        <f t="shared" si="470"/>
        <v>0.06</v>
      </c>
      <c r="K496" s="329">
        <f t="shared" si="448"/>
        <v>0</v>
      </c>
      <c r="L496" s="35">
        <f t="shared" si="471"/>
        <v>0</v>
      </c>
      <c r="M496" s="414">
        <f t="shared" si="472"/>
        <v>0</v>
      </c>
      <c r="N496" s="329">
        <f t="shared" si="449"/>
        <v>0</v>
      </c>
      <c r="O496" s="35">
        <f t="shared" si="473"/>
        <v>25.036111110995989</v>
      </c>
      <c r="P496" s="414">
        <f t="shared" si="474"/>
        <v>0</v>
      </c>
      <c r="Q496" s="329">
        <f t="shared" si="450"/>
        <v>0</v>
      </c>
      <c r="R496" s="35">
        <f t="shared" si="475"/>
        <v>0</v>
      </c>
      <c r="S496" s="414">
        <f t="shared" si="476"/>
        <v>0</v>
      </c>
      <c r="T496" s="880">
        <f>[5]Sheet1!$B910</f>
        <v>8.2200000000000003E-7</v>
      </c>
      <c r="U496" s="10">
        <f t="shared" si="477"/>
        <v>44188</v>
      </c>
      <c r="V496" s="276">
        <f t="shared" si="478"/>
        <v>3.0003000000000001E-4</v>
      </c>
    </row>
    <row r="497" spans="1:22" x14ac:dyDescent="0.25">
      <c r="A497" s="335">
        <f>A496+1</f>
        <v>44189</v>
      </c>
      <c r="B497" s="329">
        <f t="shared" si="445"/>
        <v>0</v>
      </c>
      <c r="C497" s="338">
        <f t="shared" si="465"/>
        <v>419338.74</v>
      </c>
      <c r="D497" s="414">
        <f t="shared" si="466"/>
        <v>0.34</v>
      </c>
      <c r="E497" s="49">
        <f t="shared" si="446"/>
        <v>0</v>
      </c>
      <c r="F497" s="35">
        <f t="shared" si="467"/>
        <v>0</v>
      </c>
      <c r="G497" s="414">
        <f t="shared" si="468"/>
        <v>0</v>
      </c>
      <c r="H497" s="49">
        <f t="shared" si="447"/>
        <v>0</v>
      </c>
      <c r="I497" s="35">
        <f t="shared" si="469"/>
        <v>49910.950000000143</v>
      </c>
      <c r="J497" s="414">
        <f t="shared" si="470"/>
        <v>0.04</v>
      </c>
      <c r="K497" s="329">
        <f t="shared" si="448"/>
        <v>0</v>
      </c>
      <c r="L497" s="35">
        <f t="shared" si="471"/>
        <v>0</v>
      </c>
      <c r="M497" s="414">
        <f t="shared" si="472"/>
        <v>0</v>
      </c>
      <c r="N497" s="329">
        <f t="shared" si="449"/>
        <v>0</v>
      </c>
      <c r="O497" s="35">
        <f t="shared" si="473"/>
        <v>25.036111110995989</v>
      </c>
      <c r="P497" s="414">
        <f t="shared" si="474"/>
        <v>0</v>
      </c>
      <c r="Q497" s="329">
        <f t="shared" si="450"/>
        <v>0</v>
      </c>
      <c r="R497" s="35">
        <f t="shared" si="475"/>
        <v>0</v>
      </c>
      <c r="S497" s="414">
        <f t="shared" si="476"/>
        <v>0</v>
      </c>
      <c r="T497" s="880">
        <f>[5]Sheet1!$B911</f>
        <v>8.2199999999999992E-7</v>
      </c>
      <c r="U497" s="10">
        <f t="shared" si="477"/>
        <v>44189</v>
      </c>
      <c r="V497" s="276">
        <f t="shared" si="478"/>
        <v>7.500749999999999E-5</v>
      </c>
    </row>
    <row r="498" spans="1:22" x14ac:dyDescent="0.25">
      <c r="A498" s="336">
        <f>A497+4</f>
        <v>44193</v>
      </c>
      <c r="B498" s="329">
        <f t="shared" si="445"/>
        <v>0</v>
      </c>
      <c r="C498" s="338">
        <f t="shared" si="465"/>
        <v>419338.74</v>
      </c>
      <c r="D498" s="414">
        <f t="shared" si="466"/>
        <v>0.34</v>
      </c>
      <c r="E498" s="49">
        <f t="shared" si="446"/>
        <v>0</v>
      </c>
      <c r="F498" s="35">
        <f t="shared" si="467"/>
        <v>0</v>
      </c>
      <c r="G498" s="414">
        <f t="shared" si="468"/>
        <v>0</v>
      </c>
      <c r="H498" s="49">
        <f t="shared" si="447"/>
        <v>0</v>
      </c>
      <c r="I498" s="35">
        <f t="shared" si="469"/>
        <v>49910.950000000143</v>
      </c>
      <c r="J498" s="414">
        <f t="shared" si="470"/>
        <v>0.04</v>
      </c>
      <c r="K498" s="329">
        <f t="shared" si="448"/>
        <v>0</v>
      </c>
      <c r="L498" s="35">
        <f t="shared" si="471"/>
        <v>0</v>
      </c>
      <c r="M498" s="414">
        <f t="shared" si="472"/>
        <v>0</v>
      </c>
      <c r="N498" s="329">
        <f t="shared" si="449"/>
        <v>0</v>
      </c>
      <c r="O498" s="35">
        <f t="shared" si="473"/>
        <v>25.036111110995989</v>
      </c>
      <c r="P498" s="414">
        <f t="shared" si="474"/>
        <v>0</v>
      </c>
      <c r="Q498" s="329">
        <f t="shared" si="450"/>
        <v>0</v>
      </c>
      <c r="R498" s="35">
        <f t="shared" si="475"/>
        <v>0</v>
      </c>
      <c r="S498" s="414">
        <f t="shared" si="476"/>
        <v>0</v>
      </c>
      <c r="T498" s="880">
        <f>[5]Sheet1!$B912</f>
        <v>2.4660000000000002E-6</v>
      </c>
      <c r="U498" s="10">
        <f t="shared" si="477"/>
        <v>44193</v>
      </c>
      <c r="V498" s="276">
        <f t="shared" si="478"/>
        <v>9.0009000000000009E-4</v>
      </c>
    </row>
    <row r="499" spans="1:22" x14ac:dyDescent="0.25">
      <c r="A499" s="335">
        <f>A498+1</f>
        <v>44194</v>
      </c>
      <c r="B499" s="329">
        <f t="shared" si="445"/>
        <v>0</v>
      </c>
      <c r="C499" s="338">
        <f t="shared" si="465"/>
        <v>419338.74</v>
      </c>
      <c r="D499" s="414">
        <f t="shared" si="466"/>
        <v>1.03</v>
      </c>
      <c r="E499" s="49">
        <f t="shared" si="446"/>
        <v>0</v>
      </c>
      <c r="F499" s="35">
        <f t="shared" si="467"/>
        <v>0</v>
      </c>
      <c r="G499" s="414">
        <f t="shared" si="468"/>
        <v>0</v>
      </c>
      <c r="H499" s="49">
        <f t="shared" si="447"/>
        <v>0</v>
      </c>
      <c r="I499" s="35">
        <f t="shared" si="469"/>
        <v>49910.950000000143</v>
      </c>
      <c r="J499" s="414">
        <f t="shared" si="470"/>
        <v>0.12</v>
      </c>
      <c r="K499" s="329">
        <f t="shared" si="448"/>
        <v>0</v>
      </c>
      <c r="L499" s="35">
        <f t="shared" si="471"/>
        <v>0</v>
      </c>
      <c r="M499" s="414">
        <f t="shared" si="472"/>
        <v>0</v>
      </c>
      <c r="N499" s="329">
        <f t="shared" si="449"/>
        <v>0</v>
      </c>
      <c r="O499" s="35">
        <f t="shared" si="473"/>
        <v>25.036111110995989</v>
      </c>
      <c r="P499" s="414">
        <f t="shared" si="474"/>
        <v>0</v>
      </c>
      <c r="Q499" s="329">
        <f t="shared" si="450"/>
        <v>0</v>
      </c>
      <c r="R499" s="35">
        <f t="shared" si="475"/>
        <v>0</v>
      </c>
      <c r="S499" s="414">
        <f t="shared" si="476"/>
        <v>0</v>
      </c>
      <c r="T499" s="880">
        <f>[5]Sheet1!$B913</f>
        <v>8.2200000000000003E-7</v>
      </c>
      <c r="U499" s="10">
        <f t="shared" si="477"/>
        <v>44194</v>
      </c>
      <c r="V499" s="276">
        <f t="shared" si="478"/>
        <v>3.0003000000000001E-4</v>
      </c>
    </row>
    <row r="500" spans="1:22" x14ac:dyDescent="0.25">
      <c r="A500" s="335">
        <f>A499+1</f>
        <v>44195</v>
      </c>
      <c r="B500" s="329">
        <f t="shared" si="445"/>
        <v>-400</v>
      </c>
      <c r="C500" s="338">
        <f t="shared" si="465"/>
        <v>418938.74</v>
      </c>
      <c r="D500" s="414">
        <f t="shared" si="466"/>
        <v>0.34</v>
      </c>
      <c r="E500" s="49">
        <f t="shared" si="446"/>
        <v>0</v>
      </c>
      <c r="F500" s="35">
        <f t="shared" si="467"/>
        <v>0</v>
      </c>
      <c r="G500" s="414">
        <f t="shared" si="468"/>
        <v>0</v>
      </c>
      <c r="H500" s="49">
        <f t="shared" si="447"/>
        <v>0</v>
      </c>
      <c r="I500" s="35">
        <f t="shared" si="469"/>
        <v>49910.950000000143</v>
      </c>
      <c r="J500" s="414">
        <f t="shared" si="470"/>
        <v>0.04</v>
      </c>
      <c r="K500" s="329">
        <f t="shared" si="448"/>
        <v>0</v>
      </c>
      <c r="L500" s="35">
        <f t="shared" si="471"/>
        <v>0</v>
      </c>
      <c r="M500" s="414">
        <f t="shared" si="472"/>
        <v>0</v>
      </c>
      <c r="N500" s="329">
        <f t="shared" si="449"/>
        <v>0</v>
      </c>
      <c r="O500" s="35">
        <f t="shared" si="473"/>
        <v>25.036111110995989</v>
      </c>
      <c r="P500" s="414">
        <f t="shared" si="474"/>
        <v>0</v>
      </c>
      <c r="Q500" s="329">
        <f t="shared" si="450"/>
        <v>0</v>
      </c>
      <c r="R500" s="35">
        <f t="shared" si="475"/>
        <v>0</v>
      </c>
      <c r="S500" s="414">
        <f t="shared" si="476"/>
        <v>0</v>
      </c>
      <c r="T500" s="880">
        <f>[5]Sheet1!$B914</f>
        <v>8.2200000000000003E-7</v>
      </c>
      <c r="U500" s="10">
        <f t="shared" si="477"/>
        <v>44195</v>
      </c>
      <c r="V500" s="276">
        <f t="shared" si="478"/>
        <v>3.0003000000000001E-4</v>
      </c>
    </row>
    <row r="501" spans="1:22" x14ac:dyDescent="0.25">
      <c r="A501" s="335">
        <f>A500+1</f>
        <v>44196</v>
      </c>
      <c r="B501" s="329">
        <f t="shared" si="445"/>
        <v>0</v>
      </c>
      <c r="C501" s="338">
        <f t="shared" si="465"/>
        <v>418938.74</v>
      </c>
      <c r="D501" s="414">
        <f t="shared" si="466"/>
        <v>0.34</v>
      </c>
      <c r="E501" s="49">
        <f t="shared" si="446"/>
        <v>0</v>
      </c>
      <c r="F501" s="35">
        <f t="shared" si="467"/>
        <v>0</v>
      </c>
      <c r="G501" s="414">
        <f t="shared" si="468"/>
        <v>0</v>
      </c>
      <c r="H501" s="49">
        <f t="shared" si="447"/>
        <v>0</v>
      </c>
      <c r="I501" s="35">
        <f t="shared" si="469"/>
        <v>49910.950000000143</v>
      </c>
      <c r="J501" s="414">
        <f t="shared" si="470"/>
        <v>0.04</v>
      </c>
      <c r="K501" s="329">
        <f t="shared" si="448"/>
        <v>0</v>
      </c>
      <c r="L501" s="35">
        <f t="shared" si="471"/>
        <v>0</v>
      </c>
      <c r="M501" s="414">
        <f t="shared" si="472"/>
        <v>0</v>
      </c>
      <c r="N501" s="329">
        <f t="shared" si="449"/>
        <v>0</v>
      </c>
      <c r="O501" s="35">
        <f t="shared" si="473"/>
        <v>25.036111110995989</v>
      </c>
      <c r="P501" s="414">
        <f t="shared" si="474"/>
        <v>0</v>
      </c>
      <c r="Q501" s="329">
        <f t="shared" si="450"/>
        <v>0</v>
      </c>
      <c r="R501" s="35">
        <f t="shared" si="475"/>
        <v>0</v>
      </c>
      <c r="S501" s="414">
        <f t="shared" si="476"/>
        <v>0</v>
      </c>
      <c r="T501" s="880">
        <f>[5]Sheet1!$B915</f>
        <v>8.2200000000000003E-7</v>
      </c>
      <c r="U501" s="10">
        <f t="shared" si="477"/>
        <v>44196</v>
      </c>
      <c r="V501" s="276">
        <f t="shared" si="478"/>
        <v>3.0003000000000001E-4</v>
      </c>
    </row>
    <row r="502" spans="1:22" x14ac:dyDescent="0.25">
      <c r="A502" s="1069">
        <v>44197</v>
      </c>
      <c r="B502" s="329">
        <f t="shared" si="445"/>
        <v>0</v>
      </c>
      <c r="C502" s="338">
        <f t="shared" ref="C502:C560" si="479">B502+C501</f>
        <v>418938.74</v>
      </c>
      <c r="D502" s="414">
        <f t="shared" ref="D502:D560" si="480">ROUND(C501*$T501,2)</f>
        <v>0.34</v>
      </c>
      <c r="E502" s="49">
        <f t="shared" si="446"/>
        <v>0</v>
      </c>
      <c r="F502" s="35">
        <f t="shared" ref="F502:F560" si="481">E502+F501</f>
        <v>0</v>
      </c>
      <c r="G502" s="414">
        <f t="shared" ref="G502:G560" si="482">ROUND(F501*$T501,2)</f>
        <v>0</v>
      </c>
      <c r="H502" s="49">
        <f t="shared" si="447"/>
        <v>0</v>
      </c>
      <c r="I502" s="35">
        <f t="shared" ref="I502:I560" si="483">H502+I501</f>
        <v>49910.950000000143</v>
      </c>
      <c r="J502" s="414">
        <f t="shared" ref="J502:J560" si="484">ROUND(I501*$T501,2)</f>
        <v>0.04</v>
      </c>
      <c r="K502" s="329">
        <f t="shared" si="448"/>
        <v>0</v>
      </c>
      <c r="L502" s="35">
        <f t="shared" ref="L502:L560" si="485">K502+L501</f>
        <v>0</v>
      </c>
      <c r="M502" s="414">
        <f t="shared" ref="M502:M560" si="486">ROUND(L501*$T501,2)</f>
        <v>0</v>
      </c>
      <c r="N502" s="329">
        <f t="shared" si="449"/>
        <v>0</v>
      </c>
      <c r="O502" s="35">
        <f t="shared" ref="O502:O560" si="487">N502+O501</f>
        <v>25.036111110995989</v>
      </c>
      <c r="P502" s="414">
        <f t="shared" ref="P502:P560" si="488">ROUND(O501*$T501,2)</f>
        <v>0</v>
      </c>
      <c r="Q502" s="329">
        <f t="shared" si="450"/>
        <v>0</v>
      </c>
      <c r="R502" s="35">
        <f t="shared" ref="R502:R560" si="489">Q502+R501</f>
        <v>0</v>
      </c>
      <c r="S502" s="414">
        <f t="shared" ref="S502:S560" si="490">ROUND(R501*$T501,2)</f>
        <v>0</v>
      </c>
      <c r="T502" s="880">
        <f>[5]Sheet1!$B917</f>
        <v>2.4660000000000002E-6</v>
      </c>
      <c r="U502" s="10">
        <f t="shared" ref="U502:U560" si="491">A502</f>
        <v>44197</v>
      </c>
      <c r="V502" s="276">
        <f t="shared" ref="V502:V560" si="492">T502*365/(A503-A502)</f>
        <v>3.0003000000000001E-4</v>
      </c>
    </row>
    <row r="503" spans="1:22" x14ac:dyDescent="0.25">
      <c r="A503" s="335">
        <f t="shared" ref="A503:A525" si="493">WORKDAY(A502,1,Holidays)</f>
        <v>44200</v>
      </c>
      <c r="B503" s="329">
        <f t="shared" si="445"/>
        <v>0</v>
      </c>
      <c r="C503" s="338">
        <f t="shared" si="479"/>
        <v>418938.74</v>
      </c>
      <c r="D503" s="414">
        <f t="shared" si="480"/>
        <v>1.03</v>
      </c>
      <c r="E503" s="49">
        <f t="shared" si="446"/>
        <v>0</v>
      </c>
      <c r="F503" s="35">
        <f t="shared" si="481"/>
        <v>0</v>
      </c>
      <c r="G503" s="414">
        <f t="shared" si="482"/>
        <v>0</v>
      </c>
      <c r="H503" s="49">
        <f t="shared" si="447"/>
        <v>0</v>
      </c>
      <c r="I503" s="35">
        <f t="shared" si="483"/>
        <v>49910.950000000143</v>
      </c>
      <c r="J503" s="414">
        <f t="shared" si="484"/>
        <v>0.12</v>
      </c>
      <c r="K503" s="329">
        <f t="shared" si="448"/>
        <v>0</v>
      </c>
      <c r="L503" s="35">
        <f t="shared" si="485"/>
        <v>0</v>
      </c>
      <c r="M503" s="414">
        <f t="shared" si="486"/>
        <v>0</v>
      </c>
      <c r="N503" s="329">
        <f t="shared" si="449"/>
        <v>0</v>
      </c>
      <c r="O503" s="35">
        <f t="shared" si="487"/>
        <v>25.036111110995989</v>
      </c>
      <c r="P503" s="414">
        <f t="shared" si="488"/>
        <v>0</v>
      </c>
      <c r="Q503" s="329">
        <f t="shared" si="450"/>
        <v>0</v>
      </c>
      <c r="R503" s="35">
        <f t="shared" si="489"/>
        <v>0</v>
      </c>
      <c r="S503" s="414">
        <f t="shared" si="490"/>
        <v>0</v>
      </c>
      <c r="T503" s="880">
        <f>[5]Sheet1!$B918</f>
        <v>8.2200000000000003E-7</v>
      </c>
      <c r="U503" s="10">
        <f t="shared" si="491"/>
        <v>44200</v>
      </c>
      <c r="V503" s="276">
        <f t="shared" si="492"/>
        <v>3.0003000000000001E-4</v>
      </c>
    </row>
    <row r="504" spans="1:22" x14ac:dyDescent="0.25">
      <c r="A504" s="335">
        <f t="shared" si="493"/>
        <v>44201</v>
      </c>
      <c r="B504" s="329">
        <f t="shared" si="445"/>
        <v>5.35</v>
      </c>
      <c r="C504" s="338">
        <f t="shared" si="479"/>
        <v>418944.08999999997</v>
      </c>
      <c r="D504" s="414">
        <f t="shared" si="480"/>
        <v>0.34</v>
      </c>
      <c r="E504" s="49">
        <f t="shared" si="446"/>
        <v>0</v>
      </c>
      <c r="F504" s="35">
        <f t="shared" si="481"/>
        <v>0</v>
      </c>
      <c r="G504" s="414">
        <f t="shared" si="482"/>
        <v>0</v>
      </c>
      <c r="H504" s="49">
        <f t="shared" si="447"/>
        <v>0.86</v>
      </c>
      <c r="I504" s="35">
        <f t="shared" si="483"/>
        <v>49911.810000000143</v>
      </c>
      <c r="J504" s="414">
        <f t="shared" si="484"/>
        <v>0.04</v>
      </c>
      <c r="K504" s="329">
        <f t="shared" si="448"/>
        <v>0</v>
      </c>
      <c r="L504" s="35">
        <f t="shared" si="485"/>
        <v>0</v>
      </c>
      <c r="M504" s="414">
        <f t="shared" si="486"/>
        <v>0</v>
      </c>
      <c r="N504" s="329">
        <f t="shared" si="449"/>
        <v>0.03</v>
      </c>
      <c r="O504" s="35">
        <f t="shared" si="487"/>
        <v>25.06611111099599</v>
      </c>
      <c r="P504" s="414">
        <f t="shared" si="488"/>
        <v>0</v>
      </c>
      <c r="Q504" s="329">
        <f t="shared" si="450"/>
        <v>0</v>
      </c>
      <c r="R504" s="35">
        <f t="shared" si="489"/>
        <v>0</v>
      </c>
      <c r="S504" s="414">
        <f t="shared" si="490"/>
        <v>0</v>
      </c>
      <c r="T504" s="880">
        <f>[5]Sheet1!$B919</f>
        <v>8.2200000000000003E-7</v>
      </c>
      <c r="U504" s="10">
        <f t="shared" si="491"/>
        <v>44201</v>
      </c>
      <c r="V504" s="276">
        <f t="shared" si="492"/>
        <v>3.0003000000000001E-4</v>
      </c>
    </row>
    <row r="505" spans="1:22" x14ac:dyDescent="0.25">
      <c r="A505" s="335">
        <f t="shared" si="493"/>
        <v>44202</v>
      </c>
      <c r="B505" s="329">
        <f t="shared" si="445"/>
        <v>0</v>
      </c>
      <c r="C505" s="338">
        <f t="shared" si="479"/>
        <v>418944.08999999997</v>
      </c>
      <c r="D505" s="414">
        <f t="shared" si="480"/>
        <v>0.34</v>
      </c>
      <c r="E505" s="49">
        <f t="shared" si="446"/>
        <v>0</v>
      </c>
      <c r="F505" s="35">
        <f t="shared" si="481"/>
        <v>0</v>
      </c>
      <c r="G505" s="414">
        <f t="shared" si="482"/>
        <v>0</v>
      </c>
      <c r="H505" s="49">
        <f t="shared" si="447"/>
        <v>0</v>
      </c>
      <c r="I505" s="35">
        <f t="shared" si="483"/>
        <v>49911.810000000143</v>
      </c>
      <c r="J505" s="414">
        <f t="shared" si="484"/>
        <v>0.04</v>
      </c>
      <c r="K505" s="329">
        <f t="shared" si="448"/>
        <v>0</v>
      </c>
      <c r="L505" s="35">
        <f t="shared" si="485"/>
        <v>0</v>
      </c>
      <c r="M505" s="414">
        <f t="shared" si="486"/>
        <v>0</v>
      </c>
      <c r="N505" s="329">
        <f t="shared" si="449"/>
        <v>0</v>
      </c>
      <c r="O505" s="35">
        <f t="shared" si="487"/>
        <v>25.06611111099599</v>
      </c>
      <c r="P505" s="414">
        <f t="shared" si="488"/>
        <v>0</v>
      </c>
      <c r="Q505" s="329">
        <f t="shared" si="450"/>
        <v>0</v>
      </c>
      <c r="R505" s="35">
        <f t="shared" si="489"/>
        <v>0</v>
      </c>
      <c r="S505" s="414">
        <f t="shared" si="490"/>
        <v>0</v>
      </c>
      <c r="T505" s="880">
        <f>[5]Sheet1!$B920</f>
        <v>8.2200000000000003E-7</v>
      </c>
      <c r="U505" s="10">
        <f t="shared" si="491"/>
        <v>44202</v>
      </c>
      <c r="V505" s="276">
        <f t="shared" si="492"/>
        <v>3.0003000000000001E-4</v>
      </c>
    </row>
    <row r="506" spans="1:22" x14ac:dyDescent="0.25">
      <c r="A506" s="335">
        <f t="shared" si="493"/>
        <v>44203</v>
      </c>
      <c r="B506" s="329">
        <f t="shared" si="445"/>
        <v>0</v>
      </c>
      <c r="C506" s="338">
        <f t="shared" si="479"/>
        <v>418944.08999999997</v>
      </c>
      <c r="D506" s="414">
        <f t="shared" si="480"/>
        <v>0.34</v>
      </c>
      <c r="E506" s="49">
        <f t="shared" si="446"/>
        <v>0</v>
      </c>
      <c r="F506" s="35">
        <f t="shared" si="481"/>
        <v>0</v>
      </c>
      <c r="G506" s="414">
        <f t="shared" si="482"/>
        <v>0</v>
      </c>
      <c r="H506" s="49">
        <f t="shared" si="447"/>
        <v>0</v>
      </c>
      <c r="I506" s="35">
        <f t="shared" si="483"/>
        <v>49911.810000000143</v>
      </c>
      <c r="J506" s="414">
        <f t="shared" si="484"/>
        <v>0.04</v>
      </c>
      <c r="K506" s="329">
        <f t="shared" si="448"/>
        <v>0</v>
      </c>
      <c r="L506" s="35">
        <f t="shared" si="485"/>
        <v>0</v>
      </c>
      <c r="M506" s="414">
        <f t="shared" si="486"/>
        <v>0</v>
      </c>
      <c r="N506" s="329">
        <f t="shared" si="449"/>
        <v>0</v>
      </c>
      <c r="O506" s="35">
        <f t="shared" si="487"/>
        <v>25.06611111099599</v>
      </c>
      <c r="P506" s="414">
        <f t="shared" si="488"/>
        <v>0</v>
      </c>
      <c r="Q506" s="329">
        <f t="shared" si="450"/>
        <v>0</v>
      </c>
      <c r="R506" s="35">
        <f t="shared" si="489"/>
        <v>0</v>
      </c>
      <c r="S506" s="414">
        <f t="shared" si="490"/>
        <v>0</v>
      </c>
      <c r="T506" s="880">
        <f>[5]Sheet1!$B921</f>
        <v>8.2200000000000003E-7</v>
      </c>
      <c r="U506" s="10">
        <f t="shared" si="491"/>
        <v>44203</v>
      </c>
      <c r="V506" s="276">
        <f t="shared" si="492"/>
        <v>3.0003000000000001E-4</v>
      </c>
    </row>
    <row r="507" spans="1:22" x14ac:dyDescent="0.25">
      <c r="A507" s="335">
        <f t="shared" si="493"/>
        <v>44204</v>
      </c>
      <c r="B507" s="329">
        <f t="shared" si="445"/>
        <v>0</v>
      </c>
      <c r="C507" s="338">
        <f t="shared" si="479"/>
        <v>418944.08999999997</v>
      </c>
      <c r="D507" s="414">
        <f t="shared" si="480"/>
        <v>0.34</v>
      </c>
      <c r="E507" s="49">
        <f t="shared" si="446"/>
        <v>0</v>
      </c>
      <c r="F507" s="35">
        <f t="shared" si="481"/>
        <v>0</v>
      </c>
      <c r="G507" s="414">
        <f t="shared" si="482"/>
        <v>0</v>
      </c>
      <c r="H507" s="49">
        <f t="shared" si="447"/>
        <v>0</v>
      </c>
      <c r="I507" s="35">
        <f t="shared" si="483"/>
        <v>49911.810000000143</v>
      </c>
      <c r="J507" s="414">
        <f t="shared" si="484"/>
        <v>0.04</v>
      </c>
      <c r="K507" s="329">
        <f t="shared" si="448"/>
        <v>0</v>
      </c>
      <c r="L507" s="35">
        <f t="shared" si="485"/>
        <v>0</v>
      </c>
      <c r="M507" s="414">
        <f t="shared" si="486"/>
        <v>0</v>
      </c>
      <c r="N507" s="329">
        <f t="shared" si="449"/>
        <v>0</v>
      </c>
      <c r="O507" s="35">
        <f t="shared" si="487"/>
        <v>25.06611111099599</v>
      </c>
      <c r="P507" s="414">
        <f t="shared" si="488"/>
        <v>0</v>
      </c>
      <c r="Q507" s="329">
        <f t="shared" si="450"/>
        <v>0</v>
      </c>
      <c r="R507" s="35">
        <f t="shared" si="489"/>
        <v>0</v>
      </c>
      <c r="S507" s="414">
        <f t="shared" si="490"/>
        <v>0</v>
      </c>
      <c r="T507" s="880">
        <f>[5]Sheet1!$B922</f>
        <v>2.4660000000000002E-6</v>
      </c>
      <c r="U507" s="10">
        <f t="shared" si="491"/>
        <v>44204</v>
      </c>
      <c r="V507" s="276">
        <f t="shared" si="492"/>
        <v>3.0003000000000001E-4</v>
      </c>
    </row>
    <row r="508" spans="1:22" x14ac:dyDescent="0.25">
      <c r="A508" s="335">
        <f t="shared" si="493"/>
        <v>44207</v>
      </c>
      <c r="B508" s="329">
        <f t="shared" si="445"/>
        <v>0</v>
      </c>
      <c r="C508" s="338">
        <f t="shared" si="479"/>
        <v>418944.08999999997</v>
      </c>
      <c r="D508" s="414">
        <f t="shared" si="480"/>
        <v>1.03</v>
      </c>
      <c r="E508" s="49">
        <f t="shared" si="446"/>
        <v>0</v>
      </c>
      <c r="F508" s="35">
        <f t="shared" si="481"/>
        <v>0</v>
      </c>
      <c r="G508" s="414">
        <f t="shared" si="482"/>
        <v>0</v>
      </c>
      <c r="H508" s="49">
        <f t="shared" si="447"/>
        <v>0</v>
      </c>
      <c r="I508" s="35">
        <f t="shared" si="483"/>
        <v>49911.810000000143</v>
      </c>
      <c r="J508" s="414">
        <f t="shared" si="484"/>
        <v>0.12</v>
      </c>
      <c r="K508" s="329">
        <f t="shared" si="448"/>
        <v>0</v>
      </c>
      <c r="L508" s="35">
        <f t="shared" si="485"/>
        <v>0</v>
      </c>
      <c r="M508" s="414">
        <f t="shared" si="486"/>
        <v>0</v>
      </c>
      <c r="N508" s="329">
        <f t="shared" si="449"/>
        <v>0</v>
      </c>
      <c r="O508" s="35">
        <f t="shared" si="487"/>
        <v>25.06611111099599</v>
      </c>
      <c r="P508" s="414">
        <f t="shared" si="488"/>
        <v>0</v>
      </c>
      <c r="Q508" s="329">
        <f t="shared" si="450"/>
        <v>0</v>
      </c>
      <c r="R508" s="35">
        <f t="shared" si="489"/>
        <v>0</v>
      </c>
      <c r="S508" s="414">
        <f t="shared" si="490"/>
        <v>0</v>
      </c>
      <c r="T508" s="880">
        <f>[5]Sheet1!$B923</f>
        <v>8.2200000000000003E-7</v>
      </c>
      <c r="U508" s="10">
        <f t="shared" si="491"/>
        <v>44207</v>
      </c>
      <c r="V508" s="276">
        <f t="shared" si="492"/>
        <v>3.0003000000000001E-4</v>
      </c>
    </row>
    <row r="509" spans="1:22" x14ac:dyDescent="0.25">
      <c r="A509" s="335">
        <f t="shared" si="493"/>
        <v>44208</v>
      </c>
      <c r="B509" s="329">
        <f t="shared" si="445"/>
        <v>0</v>
      </c>
      <c r="C509" s="338">
        <f t="shared" si="479"/>
        <v>418944.08999999997</v>
      </c>
      <c r="D509" s="414">
        <f t="shared" si="480"/>
        <v>0.34</v>
      </c>
      <c r="E509" s="49">
        <f t="shared" si="446"/>
        <v>0</v>
      </c>
      <c r="F509" s="35">
        <f t="shared" si="481"/>
        <v>0</v>
      </c>
      <c r="G509" s="414">
        <f t="shared" si="482"/>
        <v>0</v>
      </c>
      <c r="H509" s="49">
        <f t="shared" si="447"/>
        <v>0</v>
      </c>
      <c r="I509" s="35">
        <f t="shared" si="483"/>
        <v>49911.810000000143</v>
      </c>
      <c r="J509" s="414">
        <f t="shared" si="484"/>
        <v>0.04</v>
      </c>
      <c r="K509" s="329">
        <f t="shared" si="448"/>
        <v>0</v>
      </c>
      <c r="L509" s="35">
        <f t="shared" si="485"/>
        <v>0</v>
      </c>
      <c r="M509" s="414">
        <f t="shared" si="486"/>
        <v>0</v>
      </c>
      <c r="N509" s="329">
        <f t="shared" si="449"/>
        <v>0</v>
      </c>
      <c r="O509" s="35">
        <f t="shared" si="487"/>
        <v>25.06611111099599</v>
      </c>
      <c r="P509" s="414">
        <f t="shared" si="488"/>
        <v>0</v>
      </c>
      <c r="Q509" s="329">
        <f t="shared" si="450"/>
        <v>0</v>
      </c>
      <c r="R509" s="35">
        <f t="shared" si="489"/>
        <v>0</v>
      </c>
      <c r="S509" s="414">
        <f t="shared" si="490"/>
        <v>0</v>
      </c>
      <c r="T509" s="880">
        <f>[5]Sheet1!$B924</f>
        <v>8.2200000000000003E-7</v>
      </c>
      <c r="U509" s="10">
        <f t="shared" si="491"/>
        <v>44208</v>
      </c>
      <c r="V509" s="276">
        <f t="shared" si="492"/>
        <v>3.0003000000000001E-4</v>
      </c>
    </row>
    <row r="510" spans="1:22" x14ac:dyDescent="0.25">
      <c r="A510" s="335">
        <f t="shared" si="493"/>
        <v>44209</v>
      </c>
      <c r="B510" s="329">
        <f t="shared" si="445"/>
        <v>-261444.27</v>
      </c>
      <c r="C510" s="338">
        <f t="shared" si="479"/>
        <v>157499.81999999998</v>
      </c>
      <c r="D510" s="414">
        <f t="shared" si="480"/>
        <v>0.34</v>
      </c>
      <c r="E510" s="49">
        <f t="shared" si="446"/>
        <v>0</v>
      </c>
      <c r="F510" s="35">
        <f t="shared" si="481"/>
        <v>0</v>
      </c>
      <c r="G510" s="414">
        <f t="shared" si="482"/>
        <v>0</v>
      </c>
      <c r="H510" s="49">
        <f t="shared" si="447"/>
        <v>0</v>
      </c>
      <c r="I510" s="35">
        <f t="shared" si="483"/>
        <v>49911.810000000143</v>
      </c>
      <c r="J510" s="414">
        <f t="shared" si="484"/>
        <v>0.04</v>
      </c>
      <c r="K510" s="329">
        <f t="shared" si="448"/>
        <v>0</v>
      </c>
      <c r="L510" s="35">
        <f t="shared" si="485"/>
        <v>0</v>
      </c>
      <c r="M510" s="414">
        <f t="shared" si="486"/>
        <v>0</v>
      </c>
      <c r="N510" s="329">
        <f t="shared" si="449"/>
        <v>0</v>
      </c>
      <c r="O510" s="35">
        <f t="shared" si="487"/>
        <v>25.06611111099599</v>
      </c>
      <c r="P510" s="414">
        <f t="shared" si="488"/>
        <v>0</v>
      </c>
      <c r="Q510" s="329">
        <f t="shared" si="450"/>
        <v>0</v>
      </c>
      <c r="R510" s="35">
        <f t="shared" si="489"/>
        <v>0</v>
      </c>
      <c r="S510" s="414">
        <f t="shared" si="490"/>
        <v>0</v>
      </c>
      <c r="T510" s="880">
        <f>[5]Sheet1!$B925</f>
        <v>8.2200000000000003E-7</v>
      </c>
      <c r="U510" s="10">
        <f t="shared" si="491"/>
        <v>44209</v>
      </c>
      <c r="V510" s="276">
        <f t="shared" si="492"/>
        <v>3.0003000000000001E-4</v>
      </c>
    </row>
    <row r="511" spans="1:22" x14ac:dyDescent="0.25">
      <c r="A511" s="335">
        <f t="shared" si="493"/>
        <v>44210</v>
      </c>
      <c r="B511" s="329">
        <f t="shared" si="445"/>
        <v>0</v>
      </c>
      <c r="C511" s="338">
        <f t="shared" si="479"/>
        <v>157499.81999999998</v>
      </c>
      <c r="D511" s="414">
        <f t="shared" si="480"/>
        <v>0.13</v>
      </c>
      <c r="E511" s="49">
        <f t="shared" si="446"/>
        <v>0</v>
      </c>
      <c r="F511" s="35">
        <f t="shared" si="481"/>
        <v>0</v>
      </c>
      <c r="G511" s="414">
        <f t="shared" si="482"/>
        <v>0</v>
      </c>
      <c r="H511" s="49">
        <f t="shared" si="447"/>
        <v>0</v>
      </c>
      <c r="I511" s="35">
        <f t="shared" si="483"/>
        <v>49911.810000000143</v>
      </c>
      <c r="J511" s="414">
        <f t="shared" si="484"/>
        <v>0.04</v>
      </c>
      <c r="K511" s="329">
        <f t="shared" si="448"/>
        <v>0</v>
      </c>
      <c r="L511" s="35">
        <f t="shared" si="485"/>
        <v>0</v>
      </c>
      <c r="M511" s="414">
        <f t="shared" si="486"/>
        <v>0</v>
      </c>
      <c r="N511" s="329">
        <f t="shared" si="449"/>
        <v>0</v>
      </c>
      <c r="O511" s="35">
        <f t="shared" si="487"/>
        <v>25.06611111099599</v>
      </c>
      <c r="P511" s="414">
        <f t="shared" si="488"/>
        <v>0</v>
      </c>
      <c r="Q511" s="329">
        <f t="shared" si="450"/>
        <v>0</v>
      </c>
      <c r="R511" s="35">
        <f t="shared" si="489"/>
        <v>0</v>
      </c>
      <c r="S511" s="414">
        <f t="shared" si="490"/>
        <v>0</v>
      </c>
      <c r="T511" s="880">
        <f>[5]Sheet1!$B926</f>
        <v>8.2200000000000003E-7</v>
      </c>
      <c r="U511" s="10">
        <f t="shared" si="491"/>
        <v>44210</v>
      </c>
      <c r="V511" s="276">
        <f t="shared" si="492"/>
        <v>3.0003000000000001E-4</v>
      </c>
    </row>
    <row r="512" spans="1:22" x14ac:dyDescent="0.25">
      <c r="A512" s="335">
        <f t="shared" si="493"/>
        <v>44211</v>
      </c>
      <c r="B512" s="329">
        <f t="shared" si="445"/>
        <v>0</v>
      </c>
      <c r="C512" s="338">
        <f t="shared" si="479"/>
        <v>157499.81999999998</v>
      </c>
      <c r="D512" s="414">
        <f t="shared" si="480"/>
        <v>0.13</v>
      </c>
      <c r="E512" s="49">
        <f t="shared" si="446"/>
        <v>0</v>
      </c>
      <c r="F512" s="35">
        <f t="shared" si="481"/>
        <v>0</v>
      </c>
      <c r="G512" s="414">
        <f t="shared" si="482"/>
        <v>0</v>
      </c>
      <c r="H512" s="49">
        <f t="shared" si="447"/>
        <v>0</v>
      </c>
      <c r="I512" s="35">
        <f t="shared" si="483"/>
        <v>49911.810000000143</v>
      </c>
      <c r="J512" s="414">
        <f t="shared" si="484"/>
        <v>0.04</v>
      </c>
      <c r="K512" s="329">
        <f t="shared" si="448"/>
        <v>0</v>
      </c>
      <c r="L512" s="35">
        <f t="shared" si="485"/>
        <v>0</v>
      </c>
      <c r="M512" s="414">
        <f t="shared" si="486"/>
        <v>0</v>
      </c>
      <c r="N512" s="329">
        <f t="shared" si="449"/>
        <v>0</v>
      </c>
      <c r="O512" s="35">
        <f t="shared" si="487"/>
        <v>25.06611111099599</v>
      </c>
      <c r="P512" s="414">
        <f t="shared" si="488"/>
        <v>0</v>
      </c>
      <c r="Q512" s="329">
        <f t="shared" si="450"/>
        <v>0</v>
      </c>
      <c r="R512" s="35">
        <f t="shared" si="489"/>
        <v>0</v>
      </c>
      <c r="S512" s="414">
        <f t="shared" si="490"/>
        <v>0</v>
      </c>
      <c r="T512" s="880">
        <f>[5]Sheet1!$B927</f>
        <v>3.2880000000000001E-6</v>
      </c>
      <c r="U512" s="10">
        <f t="shared" si="491"/>
        <v>44211</v>
      </c>
      <c r="V512" s="276">
        <f t="shared" si="492"/>
        <v>3.0003000000000001E-4</v>
      </c>
    </row>
    <row r="513" spans="1:22" x14ac:dyDescent="0.25">
      <c r="A513" s="335">
        <f t="shared" si="493"/>
        <v>44215</v>
      </c>
      <c r="B513" s="329">
        <f t="shared" si="445"/>
        <v>-157494.46999999997</v>
      </c>
      <c r="C513" s="338">
        <f t="shared" si="479"/>
        <v>5.3500000000058208</v>
      </c>
      <c r="D513" s="414">
        <f t="shared" si="480"/>
        <v>0.52</v>
      </c>
      <c r="E513" s="49">
        <f t="shared" si="446"/>
        <v>0</v>
      </c>
      <c r="F513" s="35">
        <f t="shared" si="481"/>
        <v>0</v>
      </c>
      <c r="G513" s="414">
        <f t="shared" si="482"/>
        <v>0</v>
      </c>
      <c r="H513" s="49">
        <f t="shared" si="447"/>
        <v>0</v>
      </c>
      <c r="I513" s="35">
        <f t="shared" si="483"/>
        <v>49911.810000000143</v>
      </c>
      <c r="J513" s="414">
        <f t="shared" si="484"/>
        <v>0.16</v>
      </c>
      <c r="K513" s="329">
        <f t="shared" si="448"/>
        <v>0</v>
      </c>
      <c r="L513" s="35">
        <f t="shared" si="485"/>
        <v>0</v>
      </c>
      <c r="M513" s="414">
        <f t="shared" si="486"/>
        <v>0</v>
      </c>
      <c r="N513" s="329">
        <f t="shared" si="449"/>
        <v>0</v>
      </c>
      <c r="O513" s="35">
        <f t="shared" si="487"/>
        <v>25.06611111099599</v>
      </c>
      <c r="P513" s="414">
        <f t="shared" si="488"/>
        <v>0</v>
      </c>
      <c r="Q513" s="329">
        <f t="shared" si="450"/>
        <v>0</v>
      </c>
      <c r="R513" s="35">
        <f t="shared" si="489"/>
        <v>0</v>
      </c>
      <c r="S513" s="414">
        <f t="shared" si="490"/>
        <v>0</v>
      </c>
      <c r="T513" s="880">
        <f>[5]Sheet1!$B928</f>
        <v>8.2200000000000003E-7</v>
      </c>
      <c r="U513" s="10">
        <f t="shared" si="491"/>
        <v>44215</v>
      </c>
      <c r="V513" s="276">
        <f t="shared" si="492"/>
        <v>3.0003000000000001E-4</v>
      </c>
    </row>
    <row r="514" spans="1:22" x14ac:dyDescent="0.25">
      <c r="A514" s="335">
        <f t="shared" si="493"/>
        <v>44216</v>
      </c>
      <c r="B514" s="329">
        <f t="shared" si="445"/>
        <v>0</v>
      </c>
      <c r="C514" s="338">
        <f t="shared" si="479"/>
        <v>5.3500000000058208</v>
      </c>
      <c r="D514" s="414">
        <f t="shared" si="480"/>
        <v>0</v>
      </c>
      <c r="E514" s="49">
        <f t="shared" si="446"/>
        <v>0</v>
      </c>
      <c r="F514" s="35">
        <f t="shared" si="481"/>
        <v>0</v>
      </c>
      <c r="G514" s="414">
        <f t="shared" si="482"/>
        <v>0</v>
      </c>
      <c r="H514" s="49">
        <f t="shared" si="447"/>
        <v>0</v>
      </c>
      <c r="I514" s="35">
        <f t="shared" si="483"/>
        <v>49911.810000000143</v>
      </c>
      <c r="J514" s="414">
        <f t="shared" si="484"/>
        <v>0.04</v>
      </c>
      <c r="K514" s="329">
        <f t="shared" si="448"/>
        <v>0</v>
      </c>
      <c r="L514" s="35">
        <f t="shared" si="485"/>
        <v>0</v>
      </c>
      <c r="M514" s="414">
        <f t="shared" si="486"/>
        <v>0</v>
      </c>
      <c r="N514" s="329">
        <f t="shared" si="449"/>
        <v>0</v>
      </c>
      <c r="O514" s="35">
        <f t="shared" si="487"/>
        <v>25.06611111099599</v>
      </c>
      <c r="P514" s="414">
        <f t="shared" si="488"/>
        <v>0</v>
      </c>
      <c r="Q514" s="329">
        <f t="shared" si="450"/>
        <v>0</v>
      </c>
      <c r="R514" s="35">
        <f t="shared" si="489"/>
        <v>0</v>
      </c>
      <c r="S514" s="414">
        <f t="shared" si="490"/>
        <v>0</v>
      </c>
      <c r="T514" s="880">
        <f>[5]Sheet1!$B929</f>
        <v>8.2200000000000003E-7</v>
      </c>
      <c r="U514" s="10">
        <f t="shared" si="491"/>
        <v>44216</v>
      </c>
      <c r="V514" s="276">
        <f t="shared" si="492"/>
        <v>3.0003000000000001E-4</v>
      </c>
    </row>
    <row r="515" spans="1:22" x14ac:dyDescent="0.25">
      <c r="A515" s="335">
        <f t="shared" si="493"/>
        <v>44217</v>
      </c>
      <c r="B515" s="329">
        <f t="shared" si="445"/>
        <v>0</v>
      </c>
      <c r="C515" s="338">
        <f t="shared" si="479"/>
        <v>5.3500000000058208</v>
      </c>
      <c r="D515" s="414">
        <f t="shared" si="480"/>
        <v>0</v>
      </c>
      <c r="E515" s="49">
        <f t="shared" si="446"/>
        <v>0</v>
      </c>
      <c r="F515" s="35">
        <f t="shared" si="481"/>
        <v>0</v>
      </c>
      <c r="G515" s="414">
        <f t="shared" si="482"/>
        <v>0</v>
      </c>
      <c r="H515" s="49">
        <f t="shared" si="447"/>
        <v>0</v>
      </c>
      <c r="I515" s="35">
        <f t="shared" si="483"/>
        <v>49911.810000000143</v>
      </c>
      <c r="J515" s="414">
        <f t="shared" si="484"/>
        <v>0.04</v>
      </c>
      <c r="K515" s="329">
        <f t="shared" si="448"/>
        <v>0</v>
      </c>
      <c r="L515" s="35">
        <f t="shared" si="485"/>
        <v>0</v>
      </c>
      <c r="M515" s="414">
        <f t="shared" si="486"/>
        <v>0</v>
      </c>
      <c r="N515" s="329">
        <f t="shared" si="449"/>
        <v>0</v>
      </c>
      <c r="O515" s="35">
        <f t="shared" si="487"/>
        <v>25.06611111099599</v>
      </c>
      <c r="P515" s="414">
        <f t="shared" si="488"/>
        <v>0</v>
      </c>
      <c r="Q515" s="329">
        <f t="shared" si="450"/>
        <v>0</v>
      </c>
      <c r="R515" s="35">
        <f t="shared" si="489"/>
        <v>0</v>
      </c>
      <c r="S515" s="414">
        <f t="shared" si="490"/>
        <v>0</v>
      </c>
      <c r="T515" s="880">
        <f>[5]Sheet1!$B930</f>
        <v>8.2200000000000003E-7</v>
      </c>
      <c r="U515" s="10">
        <f t="shared" si="491"/>
        <v>44217</v>
      </c>
      <c r="V515" s="276">
        <f t="shared" si="492"/>
        <v>3.0003000000000001E-4</v>
      </c>
    </row>
    <row r="516" spans="1:22" x14ac:dyDescent="0.25">
      <c r="A516" s="335">
        <f t="shared" si="493"/>
        <v>44218</v>
      </c>
      <c r="B516" s="329">
        <f t="shared" si="445"/>
        <v>0</v>
      </c>
      <c r="C516" s="338">
        <f t="shared" si="479"/>
        <v>5.3500000000058208</v>
      </c>
      <c r="D516" s="414">
        <f t="shared" si="480"/>
        <v>0</v>
      </c>
      <c r="E516" s="49">
        <f t="shared" si="446"/>
        <v>0</v>
      </c>
      <c r="F516" s="35">
        <f t="shared" si="481"/>
        <v>0</v>
      </c>
      <c r="G516" s="414">
        <f t="shared" si="482"/>
        <v>0</v>
      </c>
      <c r="H516" s="49">
        <f t="shared" si="447"/>
        <v>0</v>
      </c>
      <c r="I516" s="35">
        <f t="shared" si="483"/>
        <v>49911.810000000143</v>
      </c>
      <c r="J516" s="414">
        <f t="shared" si="484"/>
        <v>0.04</v>
      </c>
      <c r="K516" s="329">
        <f t="shared" si="448"/>
        <v>0</v>
      </c>
      <c r="L516" s="35">
        <f t="shared" si="485"/>
        <v>0</v>
      </c>
      <c r="M516" s="414">
        <f t="shared" si="486"/>
        <v>0</v>
      </c>
      <c r="N516" s="329">
        <f t="shared" si="449"/>
        <v>0</v>
      </c>
      <c r="O516" s="35">
        <f t="shared" si="487"/>
        <v>25.06611111099599</v>
      </c>
      <c r="P516" s="414">
        <f t="shared" si="488"/>
        <v>0</v>
      </c>
      <c r="Q516" s="329">
        <f t="shared" si="450"/>
        <v>0</v>
      </c>
      <c r="R516" s="35">
        <f t="shared" si="489"/>
        <v>0</v>
      </c>
      <c r="S516" s="414">
        <f t="shared" si="490"/>
        <v>0</v>
      </c>
      <c r="T516" s="880">
        <f>[5]Sheet1!$B931</f>
        <v>2.4660000000000002E-6</v>
      </c>
      <c r="U516" s="10">
        <f t="shared" si="491"/>
        <v>44218</v>
      </c>
      <c r="V516" s="276">
        <f t="shared" si="492"/>
        <v>3.0003000000000001E-4</v>
      </c>
    </row>
    <row r="517" spans="1:22" x14ac:dyDescent="0.25">
      <c r="A517" s="335">
        <f t="shared" si="493"/>
        <v>44221</v>
      </c>
      <c r="B517" s="329">
        <f t="shared" si="445"/>
        <v>0</v>
      </c>
      <c r="C517" s="338">
        <f t="shared" si="479"/>
        <v>5.3500000000058208</v>
      </c>
      <c r="D517" s="414">
        <f t="shared" si="480"/>
        <v>0</v>
      </c>
      <c r="E517" s="49">
        <f t="shared" si="446"/>
        <v>0</v>
      </c>
      <c r="F517" s="35">
        <f t="shared" si="481"/>
        <v>0</v>
      </c>
      <c r="G517" s="414">
        <f t="shared" si="482"/>
        <v>0</v>
      </c>
      <c r="H517" s="49">
        <f t="shared" si="447"/>
        <v>0</v>
      </c>
      <c r="I517" s="35">
        <f t="shared" si="483"/>
        <v>49911.810000000143</v>
      </c>
      <c r="J517" s="414">
        <f t="shared" si="484"/>
        <v>0.12</v>
      </c>
      <c r="K517" s="329">
        <f t="shared" si="448"/>
        <v>0</v>
      </c>
      <c r="L517" s="35">
        <f t="shared" si="485"/>
        <v>0</v>
      </c>
      <c r="M517" s="414">
        <f t="shared" si="486"/>
        <v>0</v>
      </c>
      <c r="N517" s="329">
        <f t="shared" si="449"/>
        <v>0</v>
      </c>
      <c r="O517" s="35">
        <f t="shared" si="487"/>
        <v>25.06611111099599</v>
      </c>
      <c r="P517" s="414">
        <f t="shared" si="488"/>
        <v>0</v>
      </c>
      <c r="Q517" s="329">
        <f t="shared" si="450"/>
        <v>0</v>
      </c>
      <c r="R517" s="35">
        <f t="shared" si="489"/>
        <v>0</v>
      </c>
      <c r="S517" s="414">
        <f t="shared" si="490"/>
        <v>0</v>
      </c>
      <c r="T517" s="880">
        <f>[5]Sheet1!$B932</f>
        <v>8.2200000000000003E-7</v>
      </c>
      <c r="U517" s="10">
        <f t="shared" si="491"/>
        <v>44221</v>
      </c>
      <c r="V517" s="276">
        <f t="shared" si="492"/>
        <v>3.0003000000000001E-4</v>
      </c>
    </row>
    <row r="518" spans="1:22" x14ac:dyDescent="0.25">
      <c r="A518" s="335">
        <f t="shared" si="493"/>
        <v>44222</v>
      </c>
      <c r="B518" s="329">
        <f t="shared" si="445"/>
        <v>0</v>
      </c>
      <c r="C518" s="338">
        <f t="shared" si="479"/>
        <v>5.3500000000058208</v>
      </c>
      <c r="D518" s="414">
        <f t="shared" si="480"/>
        <v>0</v>
      </c>
      <c r="E518" s="49">
        <f t="shared" si="446"/>
        <v>0</v>
      </c>
      <c r="F518" s="35">
        <f t="shared" si="481"/>
        <v>0</v>
      </c>
      <c r="G518" s="414">
        <f t="shared" si="482"/>
        <v>0</v>
      </c>
      <c r="H518" s="49">
        <f t="shared" si="447"/>
        <v>0</v>
      </c>
      <c r="I518" s="35">
        <f t="shared" si="483"/>
        <v>49911.810000000143</v>
      </c>
      <c r="J518" s="414">
        <f t="shared" si="484"/>
        <v>0.04</v>
      </c>
      <c r="K518" s="329">
        <f t="shared" si="448"/>
        <v>0</v>
      </c>
      <c r="L518" s="35">
        <f t="shared" si="485"/>
        <v>0</v>
      </c>
      <c r="M518" s="414">
        <f t="shared" si="486"/>
        <v>0</v>
      </c>
      <c r="N518" s="329">
        <f t="shared" si="449"/>
        <v>0</v>
      </c>
      <c r="O518" s="35">
        <f t="shared" si="487"/>
        <v>25.06611111099599</v>
      </c>
      <c r="P518" s="414">
        <f t="shared" si="488"/>
        <v>0</v>
      </c>
      <c r="Q518" s="329">
        <f t="shared" si="450"/>
        <v>0</v>
      </c>
      <c r="R518" s="35">
        <f t="shared" si="489"/>
        <v>0</v>
      </c>
      <c r="S518" s="414">
        <f t="shared" si="490"/>
        <v>0</v>
      </c>
      <c r="T518" s="880">
        <f>[5]Sheet1!$B933</f>
        <v>8.2200000000000003E-7</v>
      </c>
      <c r="U518" s="10">
        <f t="shared" si="491"/>
        <v>44222</v>
      </c>
      <c r="V518" s="276">
        <f t="shared" si="492"/>
        <v>3.0003000000000001E-4</v>
      </c>
    </row>
    <row r="519" spans="1:22" x14ac:dyDescent="0.25">
      <c r="A519" s="335">
        <f t="shared" si="493"/>
        <v>44223</v>
      </c>
      <c r="B519" s="329">
        <f t="shared" ref="B519:B582" si="494">-SUMIFS(CF_Main,CF_Dates,$A519,CF_Descriptions,"MM Sweep")</f>
        <v>0</v>
      </c>
      <c r="C519" s="338">
        <f t="shared" si="479"/>
        <v>5.3500000000058208</v>
      </c>
      <c r="D519" s="414">
        <f t="shared" si="480"/>
        <v>0</v>
      </c>
      <c r="E519" s="49">
        <f t="shared" ref="E519:E582" si="495">-SUMIFS(CF_Main_EUR,CF_Dates,$A519,CF_Descriptions,"MM Sweep")</f>
        <v>0</v>
      </c>
      <c r="F519" s="35">
        <f t="shared" si="481"/>
        <v>0</v>
      </c>
      <c r="G519" s="414">
        <f t="shared" si="482"/>
        <v>0</v>
      </c>
      <c r="H519" s="49">
        <f t="shared" ref="H519:H582" si="496">-SUMIFS(CF_Expenses,CF_Dates,$A519,CF_Descriptions,"MM Sweep")</f>
        <v>0</v>
      </c>
      <c r="I519" s="35">
        <f t="shared" si="483"/>
        <v>49911.810000000143</v>
      </c>
      <c r="J519" s="414">
        <f t="shared" si="484"/>
        <v>0.04</v>
      </c>
      <c r="K519" s="329">
        <f t="shared" ref="K519:K582" si="497">-SUMIFS(CF_Margin,CF_Dates,$A519,CF_Descriptions,"MM Sweep")</f>
        <v>0</v>
      </c>
      <c r="L519" s="35">
        <f t="shared" si="485"/>
        <v>0</v>
      </c>
      <c r="M519" s="414">
        <f t="shared" si="486"/>
        <v>0</v>
      </c>
      <c r="N519" s="329">
        <f t="shared" ref="N519:N582" si="498">-SUMIFS(CF_Mgmt,CF_Dates,$A519,CF_Descriptions,"MM Sweep")</f>
        <v>0</v>
      </c>
      <c r="O519" s="35">
        <f t="shared" si="487"/>
        <v>25.06611111099599</v>
      </c>
      <c r="P519" s="414">
        <f t="shared" si="488"/>
        <v>0</v>
      </c>
      <c r="Q519" s="329">
        <f t="shared" ref="Q519:Q582" si="499">-SUMIFS(CF_SubRedemp,CF_Dates,$A519,CF_Descriptions,"MM Sweep")</f>
        <v>0</v>
      </c>
      <c r="R519" s="35">
        <f t="shared" si="489"/>
        <v>0</v>
      </c>
      <c r="S519" s="414">
        <f t="shared" si="490"/>
        <v>0</v>
      </c>
      <c r="T519" s="880">
        <f>[5]Sheet1!$B934</f>
        <v>8.2200000000000003E-7</v>
      </c>
      <c r="U519" s="10">
        <f t="shared" si="491"/>
        <v>44223</v>
      </c>
      <c r="V519" s="276">
        <f t="shared" si="492"/>
        <v>3.0003000000000001E-4</v>
      </c>
    </row>
    <row r="520" spans="1:22" x14ac:dyDescent="0.25">
      <c r="A520" s="335">
        <f t="shared" si="493"/>
        <v>44224</v>
      </c>
      <c r="B520" s="329">
        <f t="shared" si="494"/>
        <v>0</v>
      </c>
      <c r="C520" s="338">
        <f t="shared" si="479"/>
        <v>5.3500000000058208</v>
      </c>
      <c r="D520" s="414">
        <f t="shared" si="480"/>
        <v>0</v>
      </c>
      <c r="E520" s="49">
        <f t="shared" si="495"/>
        <v>0</v>
      </c>
      <c r="F520" s="35">
        <f t="shared" si="481"/>
        <v>0</v>
      </c>
      <c r="G520" s="414">
        <f t="shared" si="482"/>
        <v>0</v>
      </c>
      <c r="H520" s="49">
        <f t="shared" si="496"/>
        <v>0</v>
      </c>
      <c r="I520" s="35">
        <f t="shared" si="483"/>
        <v>49911.810000000143</v>
      </c>
      <c r="J520" s="414">
        <f t="shared" si="484"/>
        <v>0.04</v>
      </c>
      <c r="K520" s="329">
        <f t="shared" si="497"/>
        <v>0</v>
      </c>
      <c r="L520" s="35">
        <f t="shared" si="485"/>
        <v>0</v>
      </c>
      <c r="M520" s="414">
        <f t="shared" si="486"/>
        <v>0</v>
      </c>
      <c r="N520" s="329">
        <f t="shared" si="498"/>
        <v>0</v>
      </c>
      <c r="O520" s="35">
        <f t="shared" si="487"/>
        <v>25.06611111099599</v>
      </c>
      <c r="P520" s="414">
        <f t="shared" si="488"/>
        <v>0</v>
      </c>
      <c r="Q520" s="329">
        <f t="shared" si="499"/>
        <v>0</v>
      </c>
      <c r="R520" s="35">
        <f t="shared" si="489"/>
        <v>0</v>
      </c>
      <c r="S520" s="414">
        <f t="shared" si="490"/>
        <v>0</v>
      </c>
      <c r="T520" s="880">
        <f>[5]Sheet1!$B935</f>
        <v>8.2200000000000003E-7</v>
      </c>
      <c r="U520" s="10">
        <f t="shared" si="491"/>
        <v>44224</v>
      </c>
      <c r="V520" s="276">
        <f t="shared" si="492"/>
        <v>3.0003000000000001E-4</v>
      </c>
    </row>
    <row r="521" spans="1:22" x14ac:dyDescent="0.25">
      <c r="A521" s="335">
        <f t="shared" si="493"/>
        <v>44225</v>
      </c>
      <c r="B521" s="329">
        <f t="shared" si="494"/>
        <v>0</v>
      </c>
      <c r="C521" s="338">
        <f t="shared" si="479"/>
        <v>5.3500000000058208</v>
      </c>
      <c r="D521" s="414">
        <f t="shared" si="480"/>
        <v>0</v>
      </c>
      <c r="E521" s="49">
        <f t="shared" si="495"/>
        <v>0</v>
      </c>
      <c r="F521" s="35">
        <f t="shared" si="481"/>
        <v>0</v>
      </c>
      <c r="G521" s="414">
        <f t="shared" si="482"/>
        <v>0</v>
      </c>
      <c r="H521" s="49">
        <f t="shared" si="496"/>
        <v>0</v>
      </c>
      <c r="I521" s="35">
        <f t="shared" si="483"/>
        <v>49911.810000000143</v>
      </c>
      <c r="J521" s="414">
        <f t="shared" si="484"/>
        <v>0.04</v>
      </c>
      <c r="K521" s="329">
        <f t="shared" si="497"/>
        <v>0</v>
      </c>
      <c r="L521" s="35">
        <f t="shared" si="485"/>
        <v>0</v>
      </c>
      <c r="M521" s="414">
        <f t="shared" si="486"/>
        <v>0</v>
      </c>
      <c r="N521" s="329">
        <f t="shared" si="498"/>
        <v>0</v>
      </c>
      <c r="O521" s="35">
        <f t="shared" si="487"/>
        <v>25.06611111099599</v>
      </c>
      <c r="P521" s="414">
        <f t="shared" si="488"/>
        <v>0</v>
      </c>
      <c r="Q521" s="329">
        <f t="shared" si="499"/>
        <v>0</v>
      </c>
      <c r="R521" s="35">
        <f t="shared" si="489"/>
        <v>0</v>
      </c>
      <c r="S521" s="414">
        <f t="shared" si="490"/>
        <v>0</v>
      </c>
      <c r="T521" s="880">
        <f>[5]Sheet1!$B936</f>
        <v>1.6440000000000001E-6</v>
      </c>
      <c r="U521" s="10">
        <f t="shared" si="491"/>
        <v>44225</v>
      </c>
      <c r="V521" s="276">
        <f t="shared" si="492"/>
        <v>3.0003000000000001E-4</v>
      </c>
    </row>
    <row r="522" spans="1:22" x14ac:dyDescent="0.25">
      <c r="A522" s="1070">
        <v>44227</v>
      </c>
      <c r="B522" s="329">
        <f t="shared" si="494"/>
        <v>0</v>
      </c>
      <c r="C522" s="338">
        <f t="shared" si="479"/>
        <v>5.3500000000058208</v>
      </c>
      <c r="D522" s="414">
        <f t="shared" si="480"/>
        <v>0</v>
      </c>
      <c r="E522" s="49">
        <f t="shared" si="495"/>
        <v>0</v>
      </c>
      <c r="F522" s="35">
        <f t="shared" si="481"/>
        <v>0</v>
      </c>
      <c r="G522" s="414">
        <f t="shared" si="482"/>
        <v>0</v>
      </c>
      <c r="H522" s="49">
        <f t="shared" si="496"/>
        <v>0</v>
      </c>
      <c r="I522" s="35">
        <f t="shared" si="483"/>
        <v>49911.810000000143</v>
      </c>
      <c r="J522" s="414">
        <f t="shared" si="484"/>
        <v>0.08</v>
      </c>
      <c r="K522" s="329">
        <f t="shared" si="497"/>
        <v>0</v>
      </c>
      <c r="L522" s="35">
        <f t="shared" si="485"/>
        <v>0</v>
      </c>
      <c r="M522" s="414">
        <f t="shared" si="486"/>
        <v>0</v>
      </c>
      <c r="N522" s="329">
        <f t="shared" si="498"/>
        <v>0</v>
      </c>
      <c r="O522" s="35">
        <f t="shared" si="487"/>
        <v>25.06611111099599</v>
      </c>
      <c r="P522" s="414">
        <f t="shared" si="488"/>
        <v>0</v>
      </c>
      <c r="Q522" s="329">
        <f t="shared" si="499"/>
        <v>0</v>
      </c>
      <c r="R522" s="35">
        <f t="shared" si="489"/>
        <v>0</v>
      </c>
      <c r="S522" s="414">
        <f t="shared" si="490"/>
        <v>0</v>
      </c>
      <c r="T522" s="880">
        <f>[5]Sheet1!$B937</f>
        <v>8.2200000000000003E-7</v>
      </c>
      <c r="U522" s="10">
        <f t="shared" si="491"/>
        <v>44227</v>
      </c>
      <c r="V522" s="276">
        <f t="shared" si="492"/>
        <v>3.0003000000000001E-4</v>
      </c>
    </row>
    <row r="523" spans="1:22" x14ac:dyDescent="0.25">
      <c r="A523" s="335">
        <f t="shared" si="493"/>
        <v>44228</v>
      </c>
      <c r="B523" s="329">
        <f t="shared" si="494"/>
        <v>0</v>
      </c>
      <c r="C523" s="338">
        <f t="shared" si="479"/>
        <v>5.3500000000058208</v>
      </c>
      <c r="D523" s="414">
        <f t="shared" si="480"/>
        <v>0</v>
      </c>
      <c r="E523" s="49">
        <f t="shared" si="495"/>
        <v>0</v>
      </c>
      <c r="F523" s="35">
        <f t="shared" si="481"/>
        <v>0</v>
      </c>
      <c r="G523" s="414">
        <f t="shared" si="482"/>
        <v>0</v>
      </c>
      <c r="H523" s="49">
        <f t="shared" si="496"/>
        <v>-5042.07</v>
      </c>
      <c r="I523" s="35">
        <f t="shared" si="483"/>
        <v>44869.740000000143</v>
      </c>
      <c r="J523" s="414">
        <f t="shared" si="484"/>
        <v>0.04</v>
      </c>
      <c r="K523" s="329">
        <f t="shared" si="497"/>
        <v>0</v>
      </c>
      <c r="L523" s="35">
        <f t="shared" si="485"/>
        <v>0</v>
      </c>
      <c r="M523" s="414">
        <f t="shared" si="486"/>
        <v>0</v>
      </c>
      <c r="N523" s="329">
        <f t="shared" si="498"/>
        <v>0</v>
      </c>
      <c r="O523" s="35">
        <f t="shared" si="487"/>
        <v>25.06611111099599</v>
      </c>
      <c r="P523" s="414">
        <f t="shared" si="488"/>
        <v>0</v>
      </c>
      <c r="Q523" s="329">
        <f t="shared" si="499"/>
        <v>0</v>
      </c>
      <c r="R523" s="35">
        <f t="shared" si="489"/>
        <v>0</v>
      </c>
      <c r="S523" s="414">
        <f t="shared" si="490"/>
        <v>0</v>
      </c>
      <c r="T523" s="880">
        <f>[5]Sheet1!$B938</f>
        <v>8.2200000000000003E-7</v>
      </c>
      <c r="U523" s="10">
        <f t="shared" si="491"/>
        <v>44228</v>
      </c>
      <c r="V523" s="276">
        <f t="shared" si="492"/>
        <v>3.0003000000000001E-4</v>
      </c>
    </row>
    <row r="524" spans="1:22" x14ac:dyDescent="0.25">
      <c r="A524" s="335">
        <f t="shared" si="493"/>
        <v>44229</v>
      </c>
      <c r="B524" s="329">
        <f t="shared" si="494"/>
        <v>4.88</v>
      </c>
      <c r="C524" s="338">
        <f t="shared" si="479"/>
        <v>10.23000000000582</v>
      </c>
      <c r="D524" s="414">
        <f t="shared" si="480"/>
        <v>0</v>
      </c>
      <c r="E524" s="49">
        <f t="shared" si="495"/>
        <v>0</v>
      </c>
      <c r="F524" s="35">
        <f t="shared" si="481"/>
        <v>0</v>
      </c>
      <c r="G524" s="414">
        <f t="shared" si="482"/>
        <v>0</v>
      </c>
      <c r="H524" s="49">
        <f t="shared" si="496"/>
        <v>1.24</v>
      </c>
      <c r="I524" s="35">
        <f t="shared" si="483"/>
        <v>44870.980000000141</v>
      </c>
      <c r="J524" s="414">
        <f t="shared" si="484"/>
        <v>0.04</v>
      </c>
      <c r="K524" s="329">
        <f t="shared" si="497"/>
        <v>0</v>
      </c>
      <c r="L524" s="35">
        <f t="shared" si="485"/>
        <v>0</v>
      </c>
      <c r="M524" s="414">
        <f t="shared" si="486"/>
        <v>0</v>
      </c>
      <c r="N524" s="329">
        <f t="shared" si="498"/>
        <v>0</v>
      </c>
      <c r="O524" s="35">
        <f t="shared" si="487"/>
        <v>25.06611111099599</v>
      </c>
      <c r="P524" s="414">
        <f t="shared" si="488"/>
        <v>0</v>
      </c>
      <c r="Q524" s="329">
        <f t="shared" si="499"/>
        <v>0</v>
      </c>
      <c r="R524" s="35">
        <f t="shared" si="489"/>
        <v>0</v>
      </c>
      <c r="S524" s="414">
        <f t="shared" si="490"/>
        <v>0</v>
      </c>
      <c r="T524" s="880">
        <f>[5]Sheet1!$B939</f>
        <v>8.2200000000000003E-7</v>
      </c>
      <c r="U524" s="10">
        <f t="shared" si="491"/>
        <v>44229</v>
      </c>
      <c r="V524" s="276">
        <f t="shared" si="492"/>
        <v>3.0003000000000001E-4</v>
      </c>
    </row>
    <row r="525" spans="1:22" x14ac:dyDescent="0.25">
      <c r="A525" s="335">
        <f t="shared" si="493"/>
        <v>44230</v>
      </c>
      <c r="B525" s="329">
        <f t="shared" si="494"/>
        <v>0</v>
      </c>
      <c r="C525" s="338">
        <f t="shared" si="479"/>
        <v>10.23000000000582</v>
      </c>
      <c r="D525" s="414">
        <f t="shared" si="480"/>
        <v>0</v>
      </c>
      <c r="E525" s="49">
        <f t="shared" si="495"/>
        <v>0</v>
      </c>
      <c r="F525" s="35">
        <f t="shared" si="481"/>
        <v>0</v>
      </c>
      <c r="G525" s="414">
        <f t="shared" si="482"/>
        <v>0</v>
      </c>
      <c r="H525" s="49">
        <f t="shared" si="496"/>
        <v>0</v>
      </c>
      <c r="I525" s="35">
        <f t="shared" si="483"/>
        <v>44870.980000000141</v>
      </c>
      <c r="J525" s="414">
        <f t="shared" si="484"/>
        <v>0.04</v>
      </c>
      <c r="K525" s="329">
        <f t="shared" si="497"/>
        <v>0</v>
      </c>
      <c r="L525" s="35">
        <f t="shared" si="485"/>
        <v>0</v>
      </c>
      <c r="M525" s="414">
        <f t="shared" si="486"/>
        <v>0</v>
      </c>
      <c r="N525" s="329">
        <f t="shared" si="498"/>
        <v>0</v>
      </c>
      <c r="O525" s="35">
        <f t="shared" si="487"/>
        <v>25.06611111099599</v>
      </c>
      <c r="P525" s="414">
        <f t="shared" si="488"/>
        <v>0</v>
      </c>
      <c r="Q525" s="329">
        <f t="shared" si="499"/>
        <v>0</v>
      </c>
      <c r="R525" s="35">
        <f t="shared" si="489"/>
        <v>0</v>
      </c>
      <c r="S525" s="414">
        <f t="shared" si="490"/>
        <v>0</v>
      </c>
      <c r="T525" s="880">
        <f>[5]Sheet1!$B940</f>
        <v>8.2200000000000003E-7</v>
      </c>
      <c r="U525" s="10">
        <f t="shared" si="491"/>
        <v>44230</v>
      </c>
      <c r="V525" s="276">
        <f t="shared" si="492"/>
        <v>3.0003000000000001E-4</v>
      </c>
    </row>
    <row r="526" spans="1:22" x14ac:dyDescent="0.25">
      <c r="A526" s="335">
        <f t="shared" ref="A526:A589" si="500">WORKDAY(A525,1,Holidays)</f>
        <v>44231</v>
      </c>
      <c r="B526" s="329">
        <f t="shared" si="494"/>
        <v>0</v>
      </c>
      <c r="C526" s="338">
        <f t="shared" si="479"/>
        <v>10.23000000000582</v>
      </c>
      <c r="D526" s="414">
        <f t="shared" si="480"/>
        <v>0</v>
      </c>
      <c r="E526" s="49">
        <f t="shared" si="495"/>
        <v>0</v>
      </c>
      <c r="F526" s="35">
        <f t="shared" si="481"/>
        <v>0</v>
      </c>
      <c r="G526" s="414">
        <f t="shared" si="482"/>
        <v>0</v>
      </c>
      <c r="H526" s="49">
        <f t="shared" si="496"/>
        <v>0</v>
      </c>
      <c r="I526" s="35">
        <f t="shared" si="483"/>
        <v>44870.980000000141</v>
      </c>
      <c r="J526" s="414">
        <f t="shared" si="484"/>
        <v>0.04</v>
      </c>
      <c r="K526" s="329">
        <f t="shared" si="497"/>
        <v>0</v>
      </c>
      <c r="L526" s="35">
        <f t="shared" si="485"/>
        <v>0</v>
      </c>
      <c r="M526" s="414">
        <f t="shared" si="486"/>
        <v>0</v>
      </c>
      <c r="N526" s="329">
        <f t="shared" si="498"/>
        <v>0</v>
      </c>
      <c r="O526" s="35">
        <f t="shared" si="487"/>
        <v>25.06611111099599</v>
      </c>
      <c r="P526" s="414">
        <f t="shared" si="488"/>
        <v>0</v>
      </c>
      <c r="Q526" s="329">
        <f t="shared" si="499"/>
        <v>0</v>
      </c>
      <c r="R526" s="35">
        <f t="shared" si="489"/>
        <v>0</v>
      </c>
      <c r="S526" s="414">
        <f t="shared" si="490"/>
        <v>0</v>
      </c>
      <c r="T526" s="880">
        <f>[5]Sheet1!$B941</f>
        <v>8.2200000000000003E-7</v>
      </c>
      <c r="U526" s="10">
        <f t="shared" si="491"/>
        <v>44231</v>
      </c>
      <c r="V526" s="276">
        <f t="shared" si="492"/>
        <v>3.0003000000000001E-4</v>
      </c>
    </row>
    <row r="527" spans="1:22" x14ac:dyDescent="0.25">
      <c r="A527" s="335">
        <f t="shared" si="500"/>
        <v>44232</v>
      </c>
      <c r="B527" s="329">
        <f t="shared" si="494"/>
        <v>0</v>
      </c>
      <c r="C527" s="338">
        <f t="shared" si="479"/>
        <v>10.23000000000582</v>
      </c>
      <c r="D527" s="414">
        <f t="shared" si="480"/>
        <v>0</v>
      </c>
      <c r="E527" s="49">
        <f t="shared" si="495"/>
        <v>0</v>
      </c>
      <c r="F527" s="35">
        <f t="shared" si="481"/>
        <v>0</v>
      </c>
      <c r="G527" s="414">
        <f t="shared" si="482"/>
        <v>0</v>
      </c>
      <c r="H527" s="49">
        <f t="shared" si="496"/>
        <v>0</v>
      </c>
      <c r="I527" s="35">
        <f t="shared" si="483"/>
        <v>44870.980000000141</v>
      </c>
      <c r="J527" s="414">
        <f t="shared" si="484"/>
        <v>0.04</v>
      </c>
      <c r="K527" s="329">
        <f t="shared" si="497"/>
        <v>0</v>
      </c>
      <c r="L527" s="35">
        <f t="shared" si="485"/>
        <v>0</v>
      </c>
      <c r="M527" s="414">
        <f t="shared" si="486"/>
        <v>0</v>
      </c>
      <c r="N527" s="329">
        <f t="shared" si="498"/>
        <v>0</v>
      </c>
      <c r="O527" s="35">
        <f t="shared" si="487"/>
        <v>25.06611111099599</v>
      </c>
      <c r="P527" s="414">
        <f t="shared" si="488"/>
        <v>0</v>
      </c>
      <c r="Q527" s="329">
        <f t="shared" si="499"/>
        <v>0</v>
      </c>
      <c r="R527" s="35">
        <f t="shared" si="489"/>
        <v>0</v>
      </c>
      <c r="S527" s="414">
        <f t="shared" si="490"/>
        <v>0</v>
      </c>
      <c r="T527" s="880">
        <f>[5]Sheet1!$B942</f>
        <v>2.4660000000000002E-6</v>
      </c>
      <c r="U527" s="10">
        <f t="shared" si="491"/>
        <v>44232</v>
      </c>
      <c r="V527" s="276">
        <f t="shared" si="492"/>
        <v>3.0003000000000001E-4</v>
      </c>
    </row>
    <row r="528" spans="1:22" x14ac:dyDescent="0.25">
      <c r="A528" s="335">
        <f t="shared" si="500"/>
        <v>44235</v>
      </c>
      <c r="B528" s="329">
        <f t="shared" si="494"/>
        <v>0</v>
      </c>
      <c r="C528" s="338">
        <f t="shared" si="479"/>
        <v>10.23000000000582</v>
      </c>
      <c r="D528" s="414">
        <f t="shared" si="480"/>
        <v>0</v>
      </c>
      <c r="E528" s="49">
        <f t="shared" si="495"/>
        <v>0</v>
      </c>
      <c r="F528" s="35">
        <f t="shared" si="481"/>
        <v>0</v>
      </c>
      <c r="G528" s="414">
        <f t="shared" si="482"/>
        <v>0</v>
      </c>
      <c r="H528" s="49">
        <f t="shared" si="496"/>
        <v>-6320</v>
      </c>
      <c r="I528" s="35">
        <f t="shared" si="483"/>
        <v>38550.980000000141</v>
      </c>
      <c r="J528" s="414">
        <f t="shared" si="484"/>
        <v>0.11</v>
      </c>
      <c r="K528" s="329">
        <f t="shared" si="497"/>
        <v>0</v>
      </c>
      <c r="L528" s="35">
        <f t="shared" si="485"/>
        <v>0</v>
      </c>
      <c r="M528" s="414">
        <f t="shared" si="486"/>
        <v>0</v>
      </c>
      <c r="N528" s="329">
        <f t="shared" si="498"/>
        <v>0</v>
      </c>
      <c r="O528" s="35">
        <f t="shared" si="487"/>
        <v>25.06611111099599</v>
      </c>
      <c r="P528" s="414">
        <f t="shared" si="488"/>
        <v>0</v>
      </c>
      <c r="Q528" s="329">
        <f t="shared" si="499"/>
        <v>0</v>
      </c>
      <c r="R528" s="35">
        <f t="shared" si="489"/>
        <v>0</v>
      </c>
      <c r="S528" s="414">
        <f t="shared" si="490"/>
        <v>0</v>
      </c>
      <c r="T528" s="880">
        <f>[5]Sheet1!$B943</f>
        <v>8.2200000000000003E-7</v>
      </c>
      <c r="U528" s="10">
        <f t="shared" si="491"/>
        <v>44235</v>
      </c>
      <c r="V528" s="276">
        <f t="shared" si="492"/>
        <v>3.0003000000000001E-4</v>
      </c>
    </row>
    <row r="529" spans="1:22" x14ac:dyDescent="0.25">
      <c r="A529" s="335">
        <f t="shared" si="500"/>
        <v>44236</v>
      </c>
      <c r="B529" s="329">
        <f t="shared" si="494"/>
        <v>0</v>
      </c>
      <c r="C529" s="338">
        <f t="shared" si="479"/>
        <v>10.23000000000582</v>
      </c>
      <c r="D529" s="414">
        <f t="shared" si="480"/>
        <v>0</v>
      </c>
      <c r="E529" s="49">
        <f t="shared" si="495"/>
        <v>0</v>
      </c>
      <c r="F529" s="35">
        <f t="shared" si="481"/>
        <v>0</v>
      </c>
      <c r="G529" s="414">
        <f t="shared" si="482"/>
        <v>0</v>
      </c>
      <c r="H529" s="49">
        <f t="shared" si="496"/>
        <v>0</v>
      </c>
      <c r="I529" s="35">
        <f t="shared" si="483"/>
        <v>38550.980000000141</v>
      </c>
      <c r="J529" s="414">
        <f t="shared" si="484"/>
        <v>0.03</v>
      </c>
      <c r="K529" s="329">
        <f t="shared" si="497"/>
        <v>0</v>
      </c>
      <c r="L529" s="35">
        <f t="shared" si="485"/>
        <v>0</v>
      </c>
      <c r="M529" s="414">
        <f t="shared" si="486"/>
        <v>0</v>
      </c>
      <c r="N529" s="329">
        <f t="shared" si="498"/>
        <v>0</v>
      </c>
      <c r="O529" s="35">
        <f t="shared" si="487"/>
        <v>25.06611111099599</v>
      </c>
      <c r="P529" s="414">
        <f t="shared" si="488"/>
        <v>0</v>
      </c>
      <c r="Q529" s="329">
        <f t="shared" si="499"/>
        <v>0</v>
      </c>
      <c r="R529" s="35">
        <f t="shared" si="489"/>
        <v>0</v>
      </c>
      <c r="S529" s="414">
        <f t="shared" si="490"/>
        <v>0</v>
      </c>
      <c r="T529" s="880">
        <f>[5]Sheet1!$B944</f>
        <v>8.2200000000000003E-7</v>
      </c>
      <c r="U529" s="10">
        <f t="shared" si="491"/>
        <v>44236</v>
      </c>
      <c r="V529" s="276">
        <f t="shared" si="492"/>
        <v>3.0003000000000001E-4</v>
      </c>
    </row>
    <row r="530" spans="1:22" x14ac:dyDescent="0.25">
      <c r="A530" s="335">
        <f t="shared" si="500"/>
        <v>44237</v>
      </c>
      <c r="B530" s="329">
        <f t="shared" si="494"/>
        <v>0</v>
      </c>
      <c r="C530" s="338">
        <f t="shared" si="479"/>
        <v>10.23000000000582</v>
      </c>
      <c r="D530" s="414">
        <f t="shared" si="480"/>
        <v>0</v>
      </c>
      <c r="E530" s="49">
        <f t="shared" si="495"/>
        <v>0</v>
      </c>
      <c r="F530" s="35">
        <f t="shared" si="481"/>
        <v>0</v>
      </c>
      <c r="G530" s="414">
        <f t="shared" si="482"/>
        <v>0</v>
      </c>
      <c r="H530" s="49">
        <f t="shared" si="496"/>
        <v>0</v>
      </c>
      <c r="I530" s="35">
        <f t="shared" si="483"/>
        <v>38550.980000000141</v>
      </c>
      <c r="J530" s="414">
        <f t="shared" si="484"/>
        <v>0.03</v>
      </c>
      <c r="K530" s="329">
        <f t="shared" si="497"/>
        <v>0</v>
      </c>
      <c r="L530" s="35">
        <f t="shared" si="485"/>
        <v>0</v>
      </c>
      <c r="M530" s="414">
        <f t="shared" si="486"/>
        <v>0</v>
      </c>
      <c r="N530" s="329">
        <f t="shared" si="498"/>
        <v>0</v>
      </c>
      <c r="O530" s="35">
        <f t="shared" si="487"/>
        <v>25.06611111099599</v>
      </c>
      <c r="P530" s="414">
        <f t="shared" si="488"/>
        <v>0</v>
      </c>
      <c r="Q530" s="329">
        <f t="shared" si="499"/>
        <v>0</v>
      </c>
      <c r="R530" s="35">
        <f t="shared" si="489"/>
        <v>0</v>
      </c>
      <c r="S530" s="414">
        <f t="shared" si="490"/>
        <v>0</v>
      </c>
      <c r="T530" s="880">
        <f>[5]Sheet1!$B945</f>
        <v>8.2200000000000003E-7</v>
      </c>
      <c r="U530" s="10">
        <f t="shared" si="491"/>
        <v>44237</v>
      </c>
      <c r="V530" s="276">
        <f t="shared" si="492"/>
        <v>3.0003000000000001E-4</v>
      </c>
    </row>
    <row r="531" spans="1:22" x14ac:dyDescent="0.25">
      <c r="A531" s="335">
        <f t="shared" si="500"/>
        <v>44238</v>
      </c>
      <c r="B531" s="329">
        <f t="shared" si="494"/>
        <v>0</v>
      </c>
      <c r="C531" s="338">
        <f t="shared" si="479"/>
        <v>10.23000000000582</v>
      </c>
      <c r="D531" s="414">
        <f t="shared" si="480"/>
        <v>0</v>
      </c>
      <c r="E531" s="49">
        <f t="shared" si="495"/>
        <v>0</v>
      </c>
      <c r="F531" s="35">
        <f t="shared" si="481"/>
        <v>0</v>
      </c>
      <c r="G531" s="414">
        <f t="shared" si="482"/>
        <v>0</v>
      </c>
      <c r="H531" s="49">
        <f t="shared" si="496"/>
        <v>0</v>
      </c>
      <c r="I531" s="35">
        <f t="shared" si="483"/>
        <v>38550.980000000141</v>
      </c>
      <c r="J531" s="414">
        <f t="shared" si="484"/>
        <v>0.03</v>
      </c>
      <c r="K531" s="329">
        <f t="shared" si="497"/>
        <v>0</v>
      </c>
      <c r="L531" s="35">
        <f t="shared" si="485"/>
        <v>0</v>
      </c>
      <c r="M531" s="414">
        <f t="shared" si="486"/>
        <v>0</v>
      </c>
      <c r="N531" s="329">
        <f t="shared" si="498"/>
        <v>0</v>
      </c>
      <c r="O531" s="35">
        <f t="shared" si="487"/>
        <v>25.06611111099599</v>
      </c>
      <c r="P531" s="414">
        <f t="shared" si="488"/>
        <v>0</v>
      </c>
      <c r="Q531" s="329">
        <f t="shared" si="499"/>
        <v>0</v>
      </c>
      <c r="R531" s="35">
        <f t="shared" si="489"/>
        <v>0</v>
      </c>
      <c r="S531" s="414">
        <f t="shared" si="490"/>
        <v>0</v>
      </c>
      <c r="T531" s="880">
        <f>[5]Sheet1!$B946</f>
        <v>8.2200000000000003E-7</v>
      </c>
      <c r="U531" s="10">
        <f t="shared" si="491"/>
        <v>44238</v>
      </c>
      <c r="V531" s="276">
        <f t="shared" si="492"/>
        <v>3.0003000000000001E-4</v>
      </c>
    </row>
    <row r="532" spans="1:22" x14ac:dyDescent="0.25">
      <c r="A532" s="335">
        <f t="shared" si="500"/>
        <v>44239</v>
      </c>
      <c r="B532" s="329">
        <f t="shared" si="494"/>
        <v>0</v>
      </c>
      <c r="C532" s="338">
        <f t="shared" si="479"/>
        <v>10.23000000000582</v>
      </c>
      <c r="D532" s="414">
        <f t="shared" si="480"/>
        <v>0</v>
      </c>
      <c r="E532" s="49">
        <f t="shared" si="495"/>
        <v>0</v>
      </c>
      <c r="F532" s="35">
        <f t="shared" si="481"/>
        <v>0</v>
      </c>
      <c r="G532" s="414">
        <f t="shared" si="482"/>
        <v>0</v>
      </c>
      <c r="H532" s="49">
        <f t="shared" si="496"/>
        <v>0</v>
      </c>
      <c r="I532" s="35">
        <f t="shared" si="483"/>
        <v>38550.980000000141</v>
      </c>
      <c r="J532" s="414">
        <f t="shared" si="484"/>
        <v>0.03</v>
      </c>
      <c r="K532" s="329">
        <f t="shared" si="497"/>
        <v>0</v>
      </c>
      <c r="L532" s="35">
        <f t="shared" si="485"/>
        <v>0</v>
      </c>
      <c r="M532" s="414">
        <f t="shared" si="486"/>
        <v>0</v>
      </c>
      <c r="N532" s="329">
        <f t="shared" si="498"/>
        <v>0</v>
      </c>
      <c r="O532" s="35">
        <f t="shared" si="487"/>
        <v>25.06611111099599</v>
      </c>
      <c r="P532" s="414">
        <f t="shared" si="488"/>
        <v>0</v>
      </c>
      <c r="Q532" s="329">
        <f t="shared" si="499"/>
        <v>0</v>
      </c>
      <c r="R532" s="35">
        <f t="shared" si="489"/>
        <v>0</v>
      </c>
      <c r="S532" s="414">
        <f t="shared" si="490"/>
        <v>0</v>
      </c>
      <c r="T532" s="880">
        <f>[5]Sheet1!$B947</f>
        <v>3.2880000000000001E-6</v>
      </c>
      <c r="U532" s="10">
        <f t="shared" si="491"/>
        <v>44239</v>
      </c>
      <c r="V532" s="276">
        <f t="shared" si="492"/>
        <v>3.0003000000000001E-4</v>
      </c>
    </row>
    <row r="533" spans="1:22" x14ac:dyDescent="0.25">
      <c r="A533" s="335">
        <f t="shared" si="500"/>
        <v>44243</v>
      </c>
      <c r="B533" s="329">
        <f t="shared" si="494"/>
        <v>0</v>
      </c>
      <c r="C533" s="338">
        <f t="shared" si="479"/>
        <v>10.23000000000582</v>
      </c>
      <c r="D533" s="414">
        <f t="shared" si="480"/>
        <v>0</v>
      </c>
      <c r="E533" s="49">
        <f t="shared" si="495"/>
        <v>0</v>
      </c>
      <c r="F533" s="35">
        <f t="shared" si="481"/>
        <v>0</v>
      </c>
      <c r="G533" s="414">
        <f t="shared" si="482"/>
        <v>0</v>
      </c>
      <c r="H533" s="49">
        <f t="shared" si="496"/>
        <v>-7153.81</v>
      </c>
      <c r="I533" s="35">
        <f t="shared" si="483"/>
        <v>31397.17000000014</v>
      </c>
      <c r="J533" s="414">
        <f t="shared" si="484"/>
        <v>0.13</v>
      </c>
      <c r="K533" s="329">
        <f t="shared" si="497"/>
        <v>0</v>
      </c>
      <c r="L533" s="35">
        <f t="shared" si="485"/>
        <v>0</v>
      </c>
      <c r="M533" s="414">
        <f t="shared" si="486"/>
        <v>0</v>
      </c>
      <c r="N533" s="329">
        <f t="shared" si="498"/>
        <v>0</v>
      </c>
      <c r="O533" s="35">
        <f t="shared" si="487"/>
        <v>25.06611111099599</v>
      </c>
      <c r="P533" s="414">
        <f t="shared" si="488"/>
        <v>0</v>
      </c>
      <c r="Q533" s="329">
        <f t="shared" si="499"/>
        <v>0</v>
      </c>
      <c r="R533" s="35">
        <f t="shared" si="489"/>
        <v>0</v>
      </c>
      <c r="S533" s="414">
        <f t="shared" si="490"/>
        <v>0</v>
      </c>
      <c r="T533" s="880">
        <f>[5]Sheet1!$B948</f>
        <v>8.2200000000000003E-7</v>
      </c>
      <c r="U533" s="10">
        <f t="shared" si="491"/>
        <v>44243</v>
      </c>
      <c r="V533" s="276">
        <f t="shared" si="492"/>
        <v>3.0003000000000001E-4</v>
      </c>
    </row>
    <row r="534" spans="1:22" x14ac:dyDescent="0.25">
      <c r="A534" s="335">
        <f t="shared" si="500"/>
        <v>44244</v>
      </c>
      <c r="B534" s="329">
        <f t="shared" si="494"/>
        <v>166967.21</v>
      </c>
      <c r="C534" s="338">
        <f t="shared" si="479"/>
        <v>166977.44</v>
      </c>
      <c r="D534" s="414">
        <f t="shared" si="480"/>
        <v>0</v>
      </c>
      <c r="E534" s="49">
        <f t="shared" si="495"/>
        <v>0</v>
      </c>
      <c r="F534" s="35">
        <f t="shared" si="481"/>
        <v>0</v>
      </c>
      <c r="G534" s="414">
        <f t="shared" si="482"/>
        <v>0</v>
      </c>
      <c r="H534" s="49">
        <f t="shared" si="496"/>
        <v>0</v>
      </c>
      <c r="I534" s="35">
        <f t="shared" si="483"/>
        <v>31397.17000000014</v>
      </c>
      <c r="J534" s="414">
        <f t="shared" si="484"/>
        <v>0.03</v>
      </c>
      <c r="K534" s="329">
        <f t="shared" si="497"/>
        <v>0</v>
      </c>
      <c r="L534" s="35">
        <f t="shared" si="485"/>
        <v>0</v>
      </c>
      <c r="M534" s="414">
        <f t="shared" si="486"/>
        <v>0</v>
      </c>
      <c r="N534" s="329">
        <f t="shared" si="498"/>
        <v>0</v>
      </c>
      <c r="O534" s="35">
        <f t="shared" si="487"/>
        <v>25.06611111099599</v>
      </c>
      <c r="P534" s="414">
        <f t="shared" si="488"/>
        <v>0</v>
      </c>
      <c r="Q534" s="329">
        <f t="shared" si="499"/>
        <v>0</v>
      </c>
      <c r="R534" s="35">
        <f t="shared" si="489"/>
        <v>0</v>
      </c>
      <c r="S534" s="414">
        <f t="shared" si="490"/>
        <v>0</v>
      </c>
      <c r="T534" s="880">
        <f>[5]Sheet1!$B949</f>
        <v>8.2200000000000003E-7</v>
      </c>
      <c r="U534" s="10">
        <f t="shared" si="491"/>
        <v>44244</v>
      </c>
      <c r="V534" s="276">
        <f t="shared" si="492"/>
        <v>3.0003000000000001E-4</v>
      </c>
    </row>
    <row r="535" spans="1:22" x14ac:dyDescent="0.25">
      <c r="A535" s="335">
        <f t="shared" si="500"/>
        <v>44245</v>
      </c>
      <c r="B535" s="329">
        <f t="shared" si="494"/>
        <v>0</v>
      </c>
      <c r="C535" s="338">
        <f t="shared" si="479"/>
        <v>166977.44</v>
      </c>
      <c r="D535" s="414">
        <f t="shared" si="480"/>
        <v>0.14000000000000001</v>
      </c>
      <c r="E535" s="49">
        <f t="shared" si="495"/>
        <v>0</v>
      </c>
      <c r="F535" s="35">
        <f t="shared" si="481"/>
        <v>0</v>
      </c>
      <c r="G535" s="414">
        <f t="shared" si="482"/>
        <v>0</v>
      </c>
      <c r="H535" s="49">
        <f t="shared" si="496"/>
        <v>0</v>
      </c>
      <c r="I535" s="35">
        <f t="shared" si="483"/>
        <v>31397.17000000014</v>
      </c>
      <c r="J535" s="414">
        <f t="shared" si="484"/>
        <v>0.03</v>
      </c>
      <c r="K535" s="329">
        <f t="shared" si="497"/>
        <v>0</v>
      </c>
      <c r="L535" s="35">
        <f t="shared" si="485"/>
        <v>0</v>
      </c>
      <c r="M535" s="414">
        <f t="shared" si="486"/>
        <v>0</v>
      </c>
      <c r="N535" s="329">
        <f t="shared" si="498"/>
        <v>0</v>
      </c>
      <c r="O535" s="35">
        <f t="shared" si="487"/>
        <v>25.06611111099599</v>
      </c>
      <c r="P535" s="414">
        <f t="shared" si="488"/>
        <v>0</v>
      </c>
      <c r="Q535" s="329">
        <f t="shared" si="499"/>
        <v>0</v>
      </c>
      <c r="R535" s="35">
        <f t="shared" si="489"/>
        <v>0</v>
      </c>
      <c r="S535" s="414">
        <f t="shared" si="490"/>
        <v>0</v>
      </c>
      <c r="T535" s="880">
        <f>[5]Sheet1!$B950</f>
        <v>8.2200000000000003E-7</v>
      </c>
      <c r="U535" s="10">
        <f t="shared" si="491"/>
        <v>44245</v>
      </c>
      <c r="V535" s="276">
        <f t="shared" si="492"/>
        <v>3.0003000000000001E-4</v>
      </c>
    </row>
    <row r="536" spans="1:22" x14ac:dyDescent="0.25">
      <c r="A536" s="335">
        <f t="shared" si="500"/>
        <v>44246</v>
      </c>
      <c r="B536" s="329">
        <f t="shared" si="494"/>
        <v>0</v>
      </c>
      <c r="C536" s="338">
        <f t="shared" si="479"/>
        <v>166977.44</v>
      </c>
      <c r="D536" s="414">
        <f t="shared" si="480"/>
        <v>0.14000000000000001</v>
      </c>
      <c r="E536" s="49">
        <f t="shared" si="495"/>
        <v>0</v>
      </c>
      <c r="F536" s="35">
        <f t="shared" si="481"/>
        <v>0</v>
      </c>
      <c r="G536" s="414">
        <f t="shared" si="482"/>
        <v>0</v>
      </c>
      <c r="H536" s="49">
        <f t="shared" si="496"/>
        <v>0</v>
      </c>
      <c r="I536" s="35">
        <f t="shared" si="483"/>
        <v>31397.17000000014</v>
      </c>
      <c r="J536" s="414">
        <f t="shared" si="484"/>
        <v>0.03</v>
      </c>
      <c r="K536" s="329">
        <f t="shared" si="497"/>
        <v>0</v>
      </c>
      <c r="L536" s="35">
        <f t="shared" si="485"/>
        <v>0</v>
      </c>
      <c r="M536" s="414">
        <f t="shared" si="486"/>
        <v>0</v>
      </c>
      <c r="N536" s="329">
        <f t="shared" si="498"/>
        <v>0</v>
      </c>
      <c r="O536" s="35">
        <f t="shared" si="487"/>
        <v>25.06611111099599</v>
      </c>
      <c r="P536" s="414">
        <f t="shared" si="488"/>
        <v>0</v>
      </c>
      <c r="Q536" s="329">
        <f t="shared" si="499"/>
        <v>0</v>
      </c>
      <c r="R536" s="35">
        <f t="shared" si="489"/>
        <v>0</v>
      </c>
      <c r="S536" s="414">
        <f t="shared" si="490"/>
        <v>0</v>
      </c>
      <c r="T536" s="880">
        <f>[5]Sheet1!$B951</f>
        <v>2.4660000000000002E-6</v>
      </c>
      <c r="U536" s="10">
        <f t="shared" si="491"/>
        <v>44246</v>
      </c>
      <c r="V536" s="276">
        <f t="shared" si="492"/>
        <v>3.0003000000000001E-4</v>
      </c>
    </row>
    <row r="537" spans="1:22" x14ac:dyDescent="0.25">
      <c r="A537" s="335">
        <f t="shared" si="500"/>
        <v>44249</v>
      </c>
      <c r="B537" s="329">
        <f t="shared" si="494"/>
        <v>-37819.669999999896</v>
      </c>
      <c r="C537" s="338">
        <f t="shared" si="479"/>
        <v>129157.77000000011</v>
      </c>
      <c r="D537" s="414">
        <f t="shared" si="480"/>
        <v>0.41</v>
      </c>
      <c r="E537" s="49">
        <f t="shared" si="495"/>
        <v>0</v>
      </c>
      <c r="F537" s="35">
        <f t="shared" si="481"/>
        <v>0</v>
      </c>
      <c r="G537" s="414">
        <f t="shared" si="482"/>
        <v>0</v>
      </c>
      <c r="H537" s="49">
        <f t="shared" si="496"/>
        <v>0</v>
      </c>
      <c r="I537" s="35">
        <f t="shared" si="483"/>
        <v>31397.17000000014</v>
      </c>
      <c r="J537" s="414">
        <f t="shared" si="484"/>
        <v>0.08</v>
      </c>
      <c r="K537" s="329">
        <f t="shared" si="497"/>
        <v>0</v>
      </c>
      <c r="L537" s="35">
        <f t="shared" si="485"/>
        <v>0</v>
      </c>
      <c r="M537" s="414">
        <f t="shared" si="486"/>
        <v>0</v>
      </c>
      <c r="N537" s="329">
        <f t="shared" si="498"/>
        <v>0</v>
      </c>
      <c r="O537" s="35">
        <f t="shared" si="487"/>
        <v>25.06611111099599</v>
      </c>
      <c r="P537" s="414">
        <f t="shared" si="488"/>
        <v>0</v>
      </c>
      <c r="Q537" s="329">
        <f t="shared" si="499"/>
        <v>0</v>
      </c>
      <c r="R537" s="35">
        <f t="shared" si="489"/>
        <v>0</v>
      </c>
      <c r="S537" s="414">
        <f t="shared" si="490"/>
        <v>0</v>
      </c>
      <c r="T537" s="880">
        <f>[5]Sheet1!$B952</f>
        <v>8.2200000000000003E-7</v>
      </c>
      <c r="U537" s="10">
        <f t="shared" si="491"/>
        <v>44249</v>
      </c>
      <c r="V537" s="276">
        <f t="shared" si="492"/>
        <v>3.0003000000000001E-4</v>
      </c>
    </row>
    <row r="538" spans="1:22" x14ac:dyDescent="0.25">
      <c r="A538" s="335">
        <f t="shared" si="500"/>
        <v>44250</v>
      </c>
      <c r="B538" s="329">
        <f t="shared" si="494"/>
        <v>832632.73</v>
      </c>
      <c r="C538" s="338">
        <f t="shared" si="479"/>
        <v>961790.50000000012</v>
      </c>
      <c r="D538" s="414">
        <f t="shared" si="480"/>
        <v>0.11</v>
      </c>
      <c r="E538" s="49">
        <f t="shared" si="495"/>
        <v>0</v>
      </c>
      <c r="F538" s="35">
        <f t="shared" si="481"/>
        <v>0</v>
      </c>
      <c r="G538" s="414">
        <f t="shared" si="482"/>
        <v>0</v>
      </c>
      <c r="H538" s="49">
        <f t="shared" si="496"/>
        <v>0</v>
      </c>
      <c r="I538" s="35">
        <f t="shared" si="483"/>
        <v>31397.17000000014</v>
      </c>
      <c r="J538" s="414">
        <f t="shared" si="484"/>
        <v>0.03</v>
      </c>
      <c r="K538" s="329">
        <f t="shared" si="497"/>
        <v>0</v>
      </c>
      <c r="L538" s="35">
        <f t="shared" si="485"/>
        <v>0</v>
      </c>
      <c r="M538" s="414">
        <f t="shared" si="486"/>
        <v>0</v>
      </c>
      <c r="N538" s="329">
        <f t="shared" si="498"/>
        <v>0</v>
      </c>
      <c r="O538" s="35">
        <f t="shared" si="487"/>
        <v>25.06611111099599</v>
      </c>
      <c r="P538" s="414">
        <f t="shared" si="488"/>
        <v>0</v>
      </c>
      <c r="Q538" s="329">
        <f t="shared" si="499"/>
        <v>0</v>
      </c>
      <c r="R538" s="35">
        <f t="shared" si="489"/>
        <v>0</v>
      </c>
      <c r="S538" s="414">
        <f t="shared" si="490"/>
        <v>0</v>
      </c>
      <c r="T538" s="880">
        <f>[5]Sheet1!$B953</f>
        <v>8.2200000000000003E-7</v>
      </c>
      <c r="U538" s="10">
        <f t="shared" si="491"/>
        <v>44250</v>
      </c>
      <c r="V538" s="276">
        <f t="shared" si="492"/>
        <v>3.0003000000000001E-4</v>
      </c>
    </row>
    <row r="539" spans="1:22" x14ac:dyDescent="0.25">
      <c r="A539" s="335">
        <f t="shared" si="500"/>
        <v>44251</v>
      </c>
      <c r="B539" s="329">
        <f t="shared" si="494"/>
        <v>0</v>
      </c>
      <c r="C539" s="338">
        <f t="shared" si="479"/>
        <v>961790.50000000012</v>
      </c>
      <c r="D539" s="414">
        <f t="shared" si="480"/>
        <v>0.79</v>
      </c>
      <c r="E539" s="49">
        <f t="shared" si="495"/>
        <v>0</v>
      </c>
      <c r="F539" s="35">
        <f t="shared" si="481"/>
        <v>0</v>
      </c>
      <c r="G539" s="414">
        <f t="shared" si="482"/>
        <v>0</v>
      </c>
      <c r="H539" s="49">
        <f t="shared" si="496"/>
        <v>0</v>
      </c>
      <c r="I539" s="35">
        <f t="shared" si="483"/>
        <v>31397.17000000014</v>
      </c>
      <c r="J539" s="414">
        <f t="shared" si="484"/>
        <v>0.03</v>
      </c>
      <c r="K539" s="329">
        <f t="shared" si="497"/>
        <v>0</v>
      </c>
      <c r="L539" s="35">
        <f t="shared" si="485"/>
        <v>0</v>
      </c>
      <c r="M539" s="414">
        <f t="shared" si="486"/>
        <v>0</v>
      </c>
      <c r="N539" s="329">
        <f t="shared" si="498"/>
        <v>0</v>
      </c>
      <c r="O539" s="35">
        <f t="shared" si="487"/>
        <v>25.06611111099599</v>
      </c>
      <c r="P539" s="414">
        <f t="shared" si="488"/>
        <v>0</v>
      </c>
      <c r="Q539" s="329">
        <f t="shared" si="499"/>
        <v>0</v>
      </c>
      <c r="R539" s="35">
        <f t="shared" si="489"/>
        <v>0</v>
      </c>
      <c r="S539" s="414">
        <f t="shared" si="490"/>
        <v>0</v>
      </c>
      <c r="T539" s="880">
        <f>[5]Sheet1!$B954</f>
        <v>8.2200000000000003E-7</v>
      </c>
      <c r="U539" s="10">
        <f t="shared" si="491"/>
        <v>44251</v>
      </c>
      <c r="V539" s="276">
        <f t="shared" si="492"/>
        <v>3.0003000000000001E-4</v>
      </c>
    </row>
    <row r="540" spans="1:22" x14ac:dyDescent="0.25">
      <c r="A540" s="335">
        <f t="shared" si="500"/>
        <v>44252</v>
      </c>
      <c r="B540" s="329">
        <f t="shared" si="494"/>
        <v>-2137.5</v>
      </c>
      <c r="C540" s="338">
        <f t="shared" si="479"/>
        <v>959653.00000000012</v>
      </c>
      <c r="D540" s="414">
        <f t="shared" si="480"/>
        <v>0.79</v>
      </c>
      <c r="E540" s="49">
        <f t="shared" si="495"/>
        <v>0</v>
      </c>
      <c r="F540" s="35">
        <f t="shared" si="481"/>
        <v>0</v>
      </c>
      <c r="G540" s="414">
        <f t="shared" si="482"/>
        <v>0</v>
      </c>
      <c r="H540" s="49">
        <f t="shared" si="496"/>
        <v>0</v>
      </c>
      <c r="I540" s="35">
        <f t="shared" si="483"/>
        <v>31397.17000000014</v>
      </c>
      <c r="J540" s="414">
        <f t="shared" si="484"/>
        <v>0.03</v>
      </c>
      <c r="K540" s="329">
        <f t="shared" si="497"/>
        <v>0</v>
      </c>
      <c r="L540" s="35">
        <f t="shared" si="485"/>
        <v>0</v>
      </c>
      <c r="M540" s="414">
        <f t="shared" si="486"/>
        <v>0</v>
      </c>
      <c r="N540" s="329">
        <f t="shared" si="498"/>
        <v>0</v>
      </c>
      <c r="O540" s="35">
        <f t="shared" si="487"/>
        <v>25.06611111099599</v>
      </c>
      <c r="P540" s="414">
        <f t="shared" si="488"/>
        <v>0</v>
      </c>
      <c r="Q540" s="329">
        <f t="shared" si="499"/>
        <v>0</v>
      </c>
      <c r="R540" s="35">
        <f t="shared" si="489"/>
        <v>0</v>
      </c>
      <c r="S540" s="414">
        <f t="shared" si="490"/>
        <v>0</v>
      </c>
      <c r="T540" s="880">
        <f>[5]Sheet1!$B955</f>
        <v>8.2200000000000003E-7</v>
      </c>
      <c r="U540" s="10">
        <f t="shared" si="491"/>
        <v>44252</v>
      </c>
      <c r="V540" s="276">
        <f t="shared" si="492"/>
        <v>3.0003000000000001E-4</v>
      </c>
    </row>
    <row r="541" spans="1:22" x14ac:dyDescent="0.25">
      <c r="A541" s="335">
        <f t="shared" si="500"/>
        <v>44253</v>
      </c>
      <c r="B541" s="329">
        <f t="shared" si="494"/>
        <v>0</v>
      </c>
      <c r="C541" s="338">
        <f t="shared" si="479"/>
        <v>959653.00000000012</v>
      </c>
      <c r="D541" s="414">
        <f t="shared" si="480"/>
        <v>0.79</v>
      </c>
      <c r="E541" s="49">
        <f t="shared" si="495"/>
        <v>0</v>
      </c>
      <c r="F541" s="35">
        <f t="shared" si="481"/>
        <v>0</v>
      </c>
      <c r="G541" s="414">
        <f t="shared" si="482"/>
        <v>0</v>
      </c>
      <c r="H541" s="49">
        <f t="shared" si="496"/>
        <v>0</v>
      </c>
      <c r="I541" s="35">
        <f t="shared" si="483"/>
        <v>31397.17000000014</v>
      </c>
      <c r="J541" s="414">
        <f t="shared" si="484"/>
        <v>0.03</v>
      </c>
      <c r="K541" s="329">
        <f t="shared" si="497"/>
        <v>0</v>
      </c>
      <c r="L541" s="35">
        <f t="shared" si="485"/>
        <v>0</v>
      </c>
      <c r="M541" s="414">
        <f t="shared" si="486"/>
        <v>0</v>
      </c>
      <c r="N541" s="329">
        <f t="shared" si="498"/>
        <v>0</v>
      </c>
      <c r="O541" s="35">
        <f t="shared" si="487"/>
        <v>25.06611111099599</v>
      </c>
      <c r="P541" s="414">
        <f t="shared" si="488"/>
        <v>0</v>
      </c>
      <c r="Q541" s="329">
        <f t="shared" si="499"/>
        <v>0</v>
      </c>
      <c r="R541" s="35">
        <f t="shared" si="489"/>
        <v>0</v>
      </c>
      <c r="S541" s="414">
        <f t="shared" si="490"/>
        <v>0</v>
      </c>
      <c r="T541" s="880">
        <f>[5]Sheet1!$B956</f>
        <v>8.2200000000000003E-7</v>
      </c>
      <c r="U541" s="10">
        <f t="shared" si="491"/>
        <v>44253</v>
      </c>
      <c r="V541" s="276">
        <f t="shared" si="492"/>
        <v>3.0003000000000001E-4</v>
      </c>
    </row>
    <row r="542" spans="1:22" x14ac:dyDescent="0.25">
      <c r="A542" s="336">
        <f>A541+1</f>
        <v>44254</v>
      </c>
      <c r="B542" s="329">
        <f t="shared" si="494"/>
        <v>0</v>
      </c>
      <c r="C542" s="338">
        <f t="shared" si="479"/>
        <v>959653.00000000012</v>
      </c>
      <c r="D542" s="414">
        <f t="shared" si="480"/>
        <v>0.79</v>
      </c>
      <c r="E542" s="49">
        <f t="shared" si="495"/>
        <v>0</v>
      </c>
      <c r="F542" s="35">
        <f t="shared" si="481"/>
        <v>0</v>
      </c>
      <c r="G542" s="414">
        <f t="shared" si="482"/>
        <v>0</v>
      </c>
      <c r="H542" s="49">
        <f t="shared" si="496"/>
        <v>0</v>
      </c>
      <c r="I542" s="35">
        <f t="shared" si="483"/>
        <v>31397.17000000014</v>
      </c>
      <c r="J542" s="414">
        <f t="shared" si="484"/>
        <v>0.03</v>
      </c>
      <c r="K542" s="329">
        <f t="shared" si="497"/>
        <v>0</v>
      </c>
      <c r="L542" s="35">
        <f t="shared" si="485"/>
        <v>0</v>
      </c>
      <c r="M542" s="414">
        <f t="shared" si="486"/>
        <v>0</v>
      </c>
      <c r="N542" s="329">
        <f t="shared" si="498"/>
        <v>0</v>
      </c>
      <c r="O542" s="35">
        <f t="shared" si="487"/>
        <v>25.06611111099599</v>
      </c>
      <c r="P542" s="414">
        <f t="shared" si="488"/>
        <v>0</v>
      </c>
      <c r="Q542" s="329">
        <f t="shared" si="499"/>
        <v>0</v>
      </c>
      <c r="R542" s="35">
        <f t="shared" si="489"/>
        <v>0</v>
      </c>
      <c r="S542" s="414">
        <f t="shared" si="490"/>
        <v>0</v>
      </c>
      <c r="T542" s="880">
        <f>[5]Sheet1!$B957</f>
        <v>8.2200000000000003E-7</v>
      </c>
      <c r="U542" s="10">
        <f t="shared" si="491"/>
        <v>44254</v>
      </c>
      <c r="V542" s="276">
        <f t="shared" si="492"/>
        <v>3.0003000000000001E-4</v>
      </c>
    </row>
    <row r="543" spans="1:22" x14ac:dyDescent="0.25">
      <c r="A543" s="336">
        <f t="shared" ref="A543:A544" si="501">A542+1</f>
        <v>44255</v>
      </c>
      <c r="B543" s="329">
        <f t="shared" si="494"/>
        <v>0</v>
      </c>
      <c r="C543" s="338">
        <f t="shared" si="479"/>
        <v>959653.00000000012</v>
      </c>
      <c r="D543" s="414">
        <f t="shared" si="480"/>
        <v>0.79</v>
      </c>
      <c r="E543" s="49">
        <f t="shared" si="495"/>
        <v>0</v>
      </c>
      <c r="F543" s="35">
        <f t="shared" si="481"/>
        <v>0</v>
      </c>
      <c r="G543" s="414">
        <f t="shared" si="482"/>
        <v>0</v>
      </c>
      <c r="H543" s="49">
        <f t="shared" si="496"/>
        <v>0</v>
      </c>
      <c r="I543" s="35">
        <f t="shared" si="483"/>
        <v>31397.17000000014</v>
      </c>
      <c r="J543" s="414">
        <f t="shared" si="484"/>
        <v>0.03</v>
      </c>
      <c r="K543" s="329">
        <f t="shared" si="497"/>
        <v>0</v>
      </c>
      <c r="L543" s="35">
        <f t="shared" si="485"/>
        <v>0</v>
      </c>
      <c r="M543" s="414">
        <f t="shared" si="486"/>
        <v>0</v>
      </c>
      <c r="N543" s="329">
        <f t="shared" si="498"/>
        <v>0</v>
      </c>
      <c r="O543" s="35">
        <f t="shared" si="487"/>
        <v>25.06611111099599</v>
      </c>
      <c r="P543" s="414">
        <f t="shared" si="488"/>
        <v>0</v>
      </c>
      <c r="Q543" s="329">
        <f t="shared" si="499"/>
        <v>0</v>
      </c>
      <c r="R543" s="35">
        <f t="shared" si="489"/>
        <v>0</v>
      </c>
      <c r="S543" s="414">
        <f t="shared" si="490"/>
        <v>0</v>
      </c>
      <c r="T543" s="880">
        <f>[5]Sheet1!$B958</f>
        <v>8.2200000000000003E-7</v>
      </c>
      <c r="U543" s="10">
        <f t="shared" si="491"/>
        <v>44255</v>
      </c>
      <c r="V543" s="276">
        <f t="shared" si="492"/>
        <v>3.0003000000000001E-4</v>
      </c>
    </row>
    <row r="544" spans="1:22" x14ac:dyDescent="0.25">
      <c r="A544" s="336">
        <f t="shared" si="501"/>
        <v>44256</v>
      </c>
      <c r="B544" s="329">
        <f t="shared" si="494"/>
        <v>0</v>
      </c>
      <c r="C544" s="338">
        <f t="shared" si="479"/>
        <v>959653.00000000012</v>
      </c>
      <c r="D544" s="414">
        <f t="shared" si="480"/>
        <v>0.79</v>
      </c>
      <c r="E544" s="49">
        <f t="shared" si="495"/>
        <v>0</v>
      </c>
      <c r="F544" s="35">
        <f t="shared" si="481"/>
        <v>0</v>
      </c>
      <c r="G544" s="414">
        <f t="shared" si="482"/>
        <v>0</v>
      </c>
      <c r="H544" s="49">
        <f t="shared" si="496"/>
        <v>0</v>
      </c>
      <c r="I544" s="35">
        <f t="shared" si="483"/>
        <v>31397.17000000014</v>
      </c>
      <c r="J544" s="414">
        <f t="shared" si="484"/>
        <v>0.03</v>
      </c>
      <c r="K544" s="329">
        <f t="shared" si="497"/>
        <v>0</v>
      </c>
      <c r="L544" s="35">
        <f t="shared" si="485"/>
        <v>0</v>
      </c>
      <c r="M544" s="414">
        <f t="shared" si="486"/>
        <v>0</v>
      </c>
      <c r="N544" s="329">
        <f t="shared" si="498"/>
        <v>0</v>
      </c>
      <c r="O544" s="35">
        <f t="shared" si="487"/>
        <v>25.06611111099599</v>
      </c>
      <c r="P544" s="414">
        <f t="shared" si="488"/>
        <v>0</v>
      </c>
      <c r="Q544" s="329">
        <f t="shared" si="499"/>
        <v>0</v>
      </c>
      <c r="R544" s="35">
        <f t="shared" si="489"/>
        <v>0</v>
      </c>
      <c r="S544" s="414">
        <f t="shared" si="490"/>
        <v>0</v>
      </c>
      <c r="T544" s="880">
        <f>[5]Sheet1!$B959</f>
        <v>8.2200000000000003E-7</v>
      </c>
      <c r="U544" s="10">
        <f t="shared" si="491"/>
        <v>44256</v>
      </c>
      <c r="V544" s="276">
        <f t="shared" si="492"/>
        <v>3.0003000000000001E-4</v>
      </c>
    </row>
    <row r="545" spans="1:22" x14ac:dyDescent="0.25">
      <c r="A545" s="335">
        <f t="shared" si="500"/>
        <v>44257</v>
      </c>
      <c r="B545" s="329">
        <f t="shared" si="494"/>
        <v>5.54</v>
      </c>
      <c r="C545" s="338">
        <f t="shared" si="479"/>
        <v>959658.54000000015</v>
      </c>
      <c r="D545" s="414">
        <f t="shared" si="480"/>
        <v>0.79</v>
      </c>
      <c r="E545" s="49">
        <f t="shared" si="495"/>
        <v>0</v>
      </c>
      <c r="F545" s="35">
        <f t="shared" si="481"/>
        <v>0</v>
      </c>
      <c r="G545" s="414">
        <f t="shared" si="482"/>
        <v>0</v>
      </c>
      <c r="H545" s="49">
        <f t="shared" si="496"/>
        <v>0.89</v>
      </c>
      <c r="I545" s="35">
        <f t="shared" si="483"/>
        <v>31398.06000000014</v>
      </c>
      <c r="J545" s="414">
        <f t="shared" si="484"/>
        <v>0.03</v>
      </c>
      <c r="K545" s="329">
        <f t="shared" si="497"/>
        <v>0</v>
      </c>
      <c r="L545" s="35">
        <f t="shared" si="485"/>
        <v>0</v>
      </c>
      <c r="M545" s="414">
        <f t="shared" si="486"/>
        <v>0</v>
      </c>
      <c r="N545" s="329">
        <f t="shared" si="498"/>
        <v>0</v>
      </c>
      <c r="O545" s="35">
        <f t="shared" si="487"/>
        <v>25.06611111099599</v>
      </c>
      <c r="P545" s="414">
        <f t="shared" si="488"/>
        <v>0</v>
      </c>
      <c r="Q545" s="329">
        <f t="shared" si="499"/>
        <v>0</v>
      </c>
      <c r="R545" s="35">
        <f t="shared" si="489"/>
        <v>0</v>
      </c>
      <c r="S545" s="414">
        <f t="shared" si="490"/>
        <v>0</v>
      </c>
      <c r="T545" s="880">
        <f>[5]Sheet1!$B960</f>
        <v>8.2200000000000003E-7</v>
      </c>
      <c r="U545" s="10">
        <f t="shared" si="491"/>
        <v>44257</v>
      </c>
      <c r="V545" s="276">
        <f t="shared" si="492"/>
        <v>3.0003000000000001E-4</v>
      </c>
    </row>
    <row r="546" spans="1:22" x14ac:dyDescent="0.25">
      <c r="A546" s="335">
        <f t="shared" si="500"/>
        <v>44258</v>
      </c>
      <c r="B546" s="329">
        <f t="shared" si="494"/>
        <v>118089</v>
      </c>
      <c r="C546" s="338">
        <f t="shared" si="479"/>
        <v>1077747.54</v>
      </c>
      <c r="D546" s="414">
        <f t="shared" si="480"/>
        <v>0.79</v>
      </c>
      <c r="E546" s="49">
        <f t="shared" si="495"/>
        <v>0</v>
      </c>
      <c r="F546" s="35">
        <f t="shared" si="481"/>
        <v>0</v>
      </c>
      <c r="G546" s="414">
        <f t="shared" si="482"/>
        <v>0</v>
      </c>
      <c r="H546" s="49">
        <f t="shared" si="496"/>
        <v>0</v>
      </c>
      <c r="I546" s="35">
        <f t="shared" si="483"/>
        <v>31398.06000000014</v>
      </c>
      <c r="J546" s="414">
        <f t="shared" si="484"/>
        <v>0.03</v>
      </c>
      <c r="K546" s="329">
        <f t="shared" si="497"/>
        <v>0</v>
      </c>
      <c r="L546" s="35">
        <f t="shared" si="485"/>
        <v>0</v>
      </c>
      <c r="M546" s="414">
        <f t="shared" si="486"/>
        <v>0</v>
      </c>
      <c r="N546" s="329">
        <f t="shared" si="498"/>
        <v>0</v>
      </c>
      <c r="O546" s="35">
        <f t="shared" si="487"/>
        <v>25.06611111099599</v>
      </c>
      <c r="P546" s="414">
        <f t="shared" si="488"/>
        <v>0</v>
      </c>
      <c r="Q546" s="329">
        <f t="shared" si="499"/>
        <v>0</v>
      </c>
      <c r="R546" s="35">
        <f t="shared" si="489"/>
        <v>0</v>
      </c>
      <c r="S546" s="414">
        <f t="shared" si="490"/>
        <v>0</v>
      </c>
      <c r="T546" s="880">
        <f>[5]Sheet1!$B961</f>
        <v>8.2200000000000003E-7</v>
      </c>
      <c r="U546" s="10">
        <f t="shared" si="491"/>
        <v>44258</v>
      </c>
      <c r="V546" s="276">
        <f t="shared" si="492"/>
        <v>3.0003000000000001E-4</v>
      </c>
    </row>
    <row r="547" spans="1:22" x14ac:dyDescent="0.25">
      <c r="A547" s="335">
        <f t="shared" si="500"/>
        <v>44259</v>
      </c>
      <c r="B547" s="329">
        <f t="shared" si="494"/>
        <v>0</v>
      </c>
      <c r="C547" s="338">
        <f t="shared" si="479"/>
        <v>1077747.54</v>
      </c>
      <c r="D547" s="414">
        <f t="shared" si="480"/>
        <v>0.89</v>
      </c>
      <c r="E547" s="49">
        <f t="shared" si="495"/>
        <v>0</v>
      </c>
      <c r="F547" s="35">
        <f t="shared" si="481"/>
        <v>0</v>
      </c>
      <c r="G547" s="414">
        <f t="shared" si="482"/>
        <v>0</v>
      </c>
      <c r="H547" s="49">
        <f t="shared" si="496"/>
        <v>0</v>
      </c>
      <c r="I547" s="35">
        <f t="shared" si="483"/>
        <v>31398.06000000014</v>
      </c>
      <c r="J547" s="414">
        <f t="shared" si="484"/>
        <v>0.03</v>
      </c>
      <c r="K547" s="329">
        <f t="shared" si="497"/>
        <v>0</v>
      </c>
      <c r="L547" s="35">
        <f t="shared" si="485"/>
        <v>0</v>
      </c>
      <c r="M547" s="414">
        <f t="shared" si="486"/>
        <v>0</v>
      </c>
      <c r="N547" s="329">
        <f t="shared" si="498"/>
        <v>0</v>
      </c>
      <c r="O547" s="35">
        <f t="shared" si="487"/>
        <v>25.06611111099599</v>
      </c>
      <c r="P547" s="414">
        <f t="shared" si="488"/>
        <v>0</v>
      </c>
      <c r="Q547" s="329">
        <f t="shared" si="499"/>
        <v>0</v>
      </c>
      <c r="R547" s="35">
        <f t="shared" si="489"/>
        <v>0</v>
      </c>
      <c r="S547" s="414">
        <f t="shared" si="490"/>
        <v>0</v>
      </c>
      <c r="T547" s="880">
        <f>[5]Sheet1!$B962</f>
        <v>8.2200000000000003E-7</v>
      </c>
      <c r="U547" s="10">
        <f t="shared" si="491"/>
        <v>44259</v>
      </c>
      <c r="V547" s="276">
        <f t="shared" si="492"/>
        <v>3.0003000000000001E-4</v>
      </c>
    </row>
    <row r="548" spans="1:22" x14ac:dyDescent="0.25">
      <c r="A548" s="335">
        <f t="shared" si="500"/>
        <v>44260</v>
      </c>
      <c r="B548" s="329">
        <f t="shared" si="494"/>
        <v>0</v>
      </c>
      <c r="C548" s="338">
        <f t="shared" si="479"/>
        <v>1077747.54</v>
      </c>
      <c r="D548" s="414">
        <f t="shared" si="480"/>
        <v>0.89</v>
      </c>
      <c r="E548" s="49">
        <f t="shared" si="495"/>
        <v>0</v>
      </c>
      <c r="F548" s="35">
        <f t="shared" si="481"/>
        <v>0</v>
      </c>
      <c r="G548" s="414">
        <f t="shared" si="482"/>
        <v>0</v>
      </c>
      <c r="H548" s="49">
        <f t="shared" si="496"/>
        <v>0</v>
      </c>
      <c r="I548" s="35">
        <f t="shared" si="483"/>
        <v>31398.06000000014</v>
      </c>
      <c r="J548" s="414">
        <f t="shared" si="484"/>
        <v>0.03</v>
      </c>
      <c r="K548" s="329">
        <f t="shared" si="497"/>
        <v>0</v>
      </c>
      <c r="L548" s="35">
        <f t="shared" si="485"/>
        <v>0</v>
      </c>
      <c r="M548" s="414">
        <f t="shared" si="486"/>
        <v>0</v>
      </c>
      <c r="N548" s="329">
        <f t="shared" si="498"/>
        <v>0</v>
      </c>
      <c r="O548" s="35">
        <f t="shared" si="487"/>
        <v>25.06611111099599</v>
      </c>
      <c r="P548" s="414">
        <f t="shared" si="488"/>
        <v>0</v>
      </c>
      <c r="Q548" s="329">
        <f t="shared" si="499"/>
        <v>0</v>
      </c>
      <c r="R548" s="35">
        <f t="shared" si="489"/>
        <v>0</v>
      </c>
      <c r="S548" s="414">
        <f t="shared" si="490"/>
        <v>0</v>
      </c>
      <c r="T548" s="880">
        <f>[5]Sheet1!$B963</f>
        <v>2.4660000000000002E-6</v>
      </c>
      <c r="U548" s="10">
        <f t="shared" si="491"/>
        <v>44260</v>
      </c>
      <c r="V548" s="276">
        <f t="shared" si="492"/>
        <v>3.0003000000000001E-4</v>
      </c>
    </row>
    <row r="549" spans="1:22" x14ac:dyDescent="0.25">
      <c r="A549" s="335">
        <f t="shared" si="500"/>
        <v>44263</v>
      </c>
      <c r="B549" s="329">
        <f t="shared" si="494"/>
        <v>0</v>
      </c>
      <c r="C549" s="338">
        <f t="shared" si="479"/>
        <v>1077747.54</v>
      </c>
      <c r="D549" s="414">
        <f t="shared" si="480"/>
        <v>2.66</v>
      </c>
      <c r="E549" s="49">
        <f t="shared" si="495"/>
        <v>0</v>
      </c>
      <c r="F549" s="35">
        <f t="shared" si="481"/>
        <v>0</v>
      </c>
      <c r="G549" s="414">
        <f t="shared" si="482"/>
        <v>0</v>
      </c>
      <c r="H549" s="49">
        <f t="shared" si="496"/>
        <v>0</v>
      </c>
      <c r="I549" s="35">
        <f t="shared" si="483"/>
        <v>31398.06000000014</v>
      </c>
      <c r="J549" s="414">
        <f t="shared" si="484"/>
        <v>0.08</v>
      </c>
      <c r="K549" s="329">
        <f t="shared" si="497"/>
        <v>0</v>
      </c>
      <c r="L549" s="35">
        <f t="shared" si="485"/>
        <v>0</v>
      </c>
      <c r="M549" s="414">
        <f t="shared" si="486"/>
        <v>0</v>
      </c>
      <c r="N549" s="329">
        <f t="shared" si="498"/>
        <v>0</v>
      </c>
      <c r="O549" s="35">
        <f t="shared" si="487"/>
        <v>25.06611111099599</v>
      </c>
      <c r="P549" s="414">
        <f t="shared" si="488"/>
        <v>0</v>
      </c>
      <c r="Q549" s="329">
        <f t="shared" si="499"/>
        <v>0</v>
      </c>
      <c r="R549" s="35">
        <f t="shared" si="489"/>
        <v>0</v>
      </c>
      <c r="S549" s="414">
        <f t="shared" si="490"/>
        <v>0</v>
      </c>
      <c r="T549" s="880">
        <f>[5]Sheet1!$B964</f>
        <v>8.2200000000000003E-7</v>
      </c>
      <c r="U549" s="10">
        <f t="shared" si="491"/>
        <v>44263</v>
      </c>
      <c r="V549" s="276">
        <f t="shared" si="492"/>
        <v>3.0003000000000001E-4</v>
      </c>
    </row>
    <row r="550" spans="1:22" x14ac:dyDescent="0.25">
      <c r="A550" s="335">
        <f t="shared" si="500"/>
        <v>44264</v>
      </c>
      <c r="B550" s="329">
        <f t="shared" si="494"/>
        <v>0</v>
      </c>
      <c r="C550" s="338">
        <f t="shared" si="479"/>
        <v>1077747.54</v>
      </c>
      <c r="D550" s="414">
        <f t="shared" si="480"/>
        <v>0.89</v>
      </c>
      <c r="E550" s="49">
        <f t="shared" si="495"/>
        <v>0</v>
      </c>
      <c r="F550" s="35">
        <f t="shared" si="481"/>
        <v>0</v>
      </c>
      <c r="G550" s="414">
        <f t="shared" si="482"/>
        <v>0</v>
      </c>
      <c r="H550" s="49">
        <f t="shared" si="496"/>
        <v>0</v>
      </c>
      <c r="I550" s="35">
        <f t="shared" si="483"/>
        <v>31398.06000000014</v>
      </c>
      <c r="J550" s="414">
        <f t="shared" si="484"/>
        <v>0.03</v>
      </c>
      <c r="K550" s="329">
        <f t="shared" si="497"/>
        <v>0</v>
      </c>
      <c r="L550" s="35">
        <f t="shared" si="485"/>
        <v>0</v>
      </c>
      <c r="M550" s="414">
        <f t="shared" si="486"/>
        <v>0</v>
      </c>
      <c r="N550" s="329">
        <f t="shared" si="498"/>
        <v>0</v>
      </c>
      <c r="O550" s="35">
        <f t="shared" si="487"/>
        <v>25.06611111099599</v>
      </c>
      <c r="P550" s="414">
        <f t="shared" si="488"/>
        <v>0</v>
      </c>
      <c r="Q550" s="329">
        <f t="shared" si="499"/>
        <v>0</v>
      </c>
      <c r="R550" s="35">
        <f t="shared" si="489"/>
        <v>0</v>
      </c>
      <c r="S550" s="414">
        <f t="shared" si="490"/>
        <v>0</v>
      </c>
      <c r="T550" s="880">
        <f>[5]Sheet1!$B965</f>
        <v>8.2200000000000003E-7</v>
      </c>
      <c r="U550" s="10">
        <f t="shared" si="491"/>
        <v>44264</v>
      </c>
      <c r="V550" s="276">
        <f t="shared" si="492"/>
        <v>3.0003000000000001E-4</v>
      </c>
    </row>
    <row r="551" spans="1:22" x14ac:dyDescent="0.25">
      <c r="A551" s="335">
        <f t="shared" si="500"/>
        <v>44265</v>
      </c>
      <c r="B551" s="329">
        <f t="shared" si="494"/>
        <v>0</v>
      </c>
      <c r="C551" s="338">
        <f t="shared" si="479"/>
        <v>1077747.54</v>
      </c>
      <c r="D551" s="414">
        <f t="shared" si="480"/>
        <v>0.89</v>
      </c>
      <c r="E551" s="49">
        <f t="shared" si="495"/>
        <v>0</v>
      </c>
      <c r="F551" s="35">
        <f t="shared" si="481"/>
        <v>0</v>
      </c>
      <c r="G551" s="414">
        <f t="shared" si="482"/>
        <v>0</v>
      </c>
      <c r="H551" s="49">
        <f t="shared" si="496"/>
        <v>0</v>
      </c>
      <c r="I551" s="35">
        <f t="shared" si="483"/>
        <v>31398.06000000014</v>
      </c>
      <c r="J551" s="414">
        <f t="shared" si="484"/>
        <v>0.03</v>
      </c>
      <c r="K551" s="329">
        <f t="shared" si="497"/>
        <v>0</v>
      </c>
      <c r="L551" s="35">
        <f t="shared" si="485"/>
        <v>0</v>
      </c>
      <c r="M551" s="414">
        <f t="shared" si="486"/>
        <v>0</v>
      </c>
      <c r="N551" s="329">
        <f t="shared" si="498"/>
        <v>0</v>
      </c>
      <c r="O551" s="35">
        <f t="shared" si="487"/>
        <v>25.06611111099599</v>
      </c>
      <c r="P551" s="414">
        <f t="shared" si="488"/>
        <v>0</v>
      </c>
      <c r="Q551" s="329">
        <f t="shared" si="499"/>
        <v>0</v>
      </c>
      <c r="R551" s="35">
        <f t="shared" si="489"/>
        <v>0</v>
      </c>
      <c r="S551" s="414">
        <f t="shared" si="490"/>
        <v>0</v>
      </c>
      <c r="T551" s="880">
        <f>[5]Sheet1!$B966</f>
        <v>8.2200000000000003E-7</v>
      </c>
      <c r="U551" s="10">
        <f t="shared" si="491"/>
        <v>44265</v>
      </c>
      <c r="V551" s="276">
        <f t="shared" si="492"/>
        <v>3.0003000000000001E-4</v>
      </c>
    </row>
    <row r="552" spans="1:22" x14ac:dyDescent="0.25">
      <c r="A552" s="335">
        <f t="shared" si="500"/>
        <v>44266</v>
      </c>
      <c r="B552" s="329">
        <f t="shared" si="494"/>
        <v>0</v>
      </c>
      <c r="C552" s="338">
        <f t="shared" si="479"/>
        <v>1077747.54</v>
      </c>
      <c r="D552" s="414">
        <f t="shared" si="480"/>
        <v>0.89</v>
      </c>
      <c r="E552" s="49">
        <f t="shared" si="495"/>
        <v>0</v>
      </c>
      <c r="F552" s="35">
        <f t="shared" si="481"/>
        <v>0</v>
      </c>
      <c r="G552" s="414">
        <f t="shared" si="482"/>
        <v>0</v>
      </c>
      <c r="H552" s="49">
        <f t="shared" si="496"/>
        <v>0</v>
      </c>
      <c r="I552" s="35">
        <f t="shared" si="483"/>
        <v>31398.06000000014</v>
      </c>
      <c r="J552" s="414">
        <f t="shared" si="484"/>
        <v>0.03</v>
      </c>
      <c r="K552" s="329">
        <f t="shared" si="497"/>
        <v>0</v>
      </c>
      <c r="L552" s="35">
        <f t="shared" si="485"/>
        <v>0</v>
      </c>
      <c r="M552" s="414">
        <f t="shared" si="486"/>
        <v>0</v>
      </c>
      <c r="N552" s="329">
        <f t="shared" si="498"/>
        <v>0</v>
      </c>
      <c r="O552" s="35">
        <f t="shared" si="487"/>
        <v>25.06611111099599</v>
      </c>
      <c r="P552" s="414">
        <f t="shared" si="488"/>
        <v>0</v>
      </c>
      <c r="Q552" s="329">
        <f t="shared" si="499"/>
        <v>0</v>
      </c>
      <c r="R552" s="35">
        <f t="shared" si="489"/>
        <v>0</v>
      </c>
      <c r="S552" s="414">
        <f t="shared" si="490"/>
        <v>0</v>
      </c>
      <c r="T552" s="880">
        <f>[5]Sheet1!$B967</f>
        <v>8.2200000000000003E-7</v>
      </c>
      <c r="U552" s="10">
        <f t="shared" si="491"/>
        <v>44266</v>
      </c>
      <c r="V552" s="276">
        <f t="shared" si="492"/>
        <v>3.0003000000000001E-4</v>
      </c>
    </row>
    <row r="553" spans="1:22" x14ac:dyDescent="0.25">
      <c r="A553" s="335">
        <f t="shared" si="500"/>
        <v>44267</v>
      </c>
      <c r="B553" s="329">
        <f t="shared" si="494"/>
        <v>0</v>
      </c>
      <c r="C553" s="338">
        <f t="shared" si="479"/>
        <v>1077747.54</v>
      </c>
      <c r="D553" s="414">
        <f t="shared" si="480"/>
        <v>0.89</v>
      </c>
      <c r="E553" s="49">
        <f t="shared" si="495"/>
        <v>0</v>
      </c>
      <c r="F553" s="35">
        <f t="shared" si="481"/>
        <v>0</v>
      </c>
      <c r="G553" s="414">
        <f t="shared" si="482"/>
        <v>0</v>
      </c>
      <c r="H553" s="49">
        <f t="shared" si="496"/>
        <v>0</v>
      </c>
      <c r="I553" s="35">
        <f t="shared" si="483"/>
        <v>31398.06000000014</v>
      </c>
      <c r="J553" s="414">
        <f t="shared" si="484"/>
        <v>0.03</v>
      </c>
      <c r="K553" s="329">
        <f t="shared" si="497"/>
        <v>0</v>
      </c>
      <c r="L553" s="35">
        <f t="shared" si="485"/>
        <v>0</v>
      </c>
      <c r="M553" s="414">
        <f t="shared" si="486"/>
        <v>0</v>
      </c>
      <c r="N553" s="329">
        <f t="shared" si="498"/>
        <v>0</v>
      </c>
      <c r="O553" s="35">
        <f t="shared" si="487"/>
        <v>25.06611111099599</v>
      </c>
      <c r="P553" s="414">
        <f t="shared" si="488"/>
        <v>0</v>
      </c>
      <c r="Q553" s="329">
        <f t="shared" si="499"/>
        <v>0</v>
      </c>
      <c r="R553" s="35">
        <f t="shared" si="489"/>
        <v>0</v>
      </c>
      <c r="S553" s="414">
        <f t="shared" si="490"/>
        <v>0</v>
      </c>
      <c r="T553" s="880">
        <f>[5]Sheet1!$B968</f>
        <v>2.4660000000000002E-6</v>
      </c>
      <c r="U553" s="10">
        <f t="shared" si="491"/>
        <v>44267</v>
      </c>
      <c r="V553" s="276">
        <f t="shared" si="492"/>
        <v>3.0003000000000001E-4</v>
      </c>
    </row>
    <row r="554" spans="1:22" x14ac:dyDescent="0.25">
      <c r="A554" s="335">
        <f t="shared" si="500"/>
        <v>44270</v>
      </c>
      <c r="B554" s="329">
        <f t="shared" si="494"/>
        <v>-60000</v>
      </c>
      <c r="C554" s="338">
        <f t="shared" si="479"/>
        <v>1017747.54</v>
      </c>
      <c r="D554" s="414">
        <f t="shared" si="480"/>
        <v>2.66</v>
      </c>
      <c r="E554" s="49">
        <f t="shared" si="495"/>
        <v>0</v>
      </c>
      <c r="F554" s="35">
        <f t="shared" si="481"/>
        <v>0</v>
      </c>
      <c r="G554" s="414">
        <f t="shared" si="482"/>
        <v>0</v>
      </c>
      <c r="H554" s="49">
        <f t="shared" si="496"/>
        <v>0</v>
      </c>
      <c r="I554" s="35">
        <f t="shared" si="483"/>
        <v>31398.06000000014</v>
      </c>
      <c r="J554" s="414">
        <f t="shared" si="484"/>
        <v>0.08</v>
      </c>
      <c r="K554" s="329">
        <f t="shared" si="497"/>
        <v>0</v>
      </c>
      <c r="L554" s="35">
        <f t="shared" si="485"/>
        <v>0</v>
      </c>
      <c r="M554" s="414">
        <f t="shared" si="486"/>
        <v>0</v>
      </c>
      <c r="N554" s="329">
        <f t="shared" si="498"/>
        <v>0</v>
      </c>
      <c r="O554" s="35">
        <f t="shared" si="487"/>
        <v>25.06611111099599</v>
      </c>
      <c r="P554" s="414">
        <f t="shared" si="488"/>
        <v>0</v>
      </c>
      <c r="Q554" s="329">
        <f t="shared" si="499"/>
        <v>0</v>
      </c>
      <c r="R554" s="35">
        <f t="shared" si="489"/>
        <v>0</v>
      </c>
      <c r="S554" s="414">
        <f t="shared" si="490"/>
        <v>0</v>
      </c>
      <c r="T554" s="880">
        <f>[5]Sheet1!$B969</f>
        <v>8.2200000000000003E-7</v>
      </c>
      <c r="U554" s="10">
        <f t="shared" si="491"/>
        <v>44270</v>
      </c>
      <c r="V554" s="276">
        <f t="shared" si="492"/>
        <v>3.0003000000000001E-4</v>
      </c>
    </row>
    <row r="555" spans="1:22" x14ac:dyDescent="0.25">
      <c r="A555" s="335">
        <f t="shared" si="500"/>
        <v>44271</v>
      </c>
      <c r="B555" s="329">
        <f t="shared" si="494"/>
        <v>-250000</v>
      </c>
      <c r="C555" s="338">
        <f t="shared" si="479"/>
        <v>767747.54</v>
      </c>
      <c r="D555" s="414">
        <f t="shared" si="480"/>
        <v>0.84</v>
      </c>
      <c r="E555" s="49">
        <f t="shared" si="495"/>
        <v>0</v>
      </c>
      <c r="F555" s="35">
        <f t="shared" si="481"/>
        <v>0</v>
      </c>
      <c r="G555" s="414">
        <f t="shared" si="482"/>
        <v>0</v>
      </c>
      <c r="H555" s="49">
        <f t="shared" si="496"/>
        <v>0</v>
      </c>
      <c r="I555" s="35">
        <f t="shared" si="483"/>
        <v>31398.06000000014</v>
      </c>
      <c r="J555" s="414">
        <f t="shared" si="484"/>
        <v>0.03</v>
      </c>
      <c r="K555" s="329">
        <f t="shared" si="497"/>
        <v>0</v>
      </c>
      <c r="L555" s="35">
        <f t="shared" si="485"/>
        <v>0</v>
      </c>
      <c r="M555" s="414">
        <f t="shared" si="486"/>
        <v>0</v>
      </c>
      <c r="N555" s="329">
        <f t="shared" si="498"/>
        <v>0</v>
      </c>
      <c r="O555" s="35">
        <f t="shared" si="487"/>
        <v>25.06611111099599</v>
      </c>
      <c r="P555" s="414">
        <f t="shared" si="488"/>
        <v>0</v>
      </c>
      <c r="Q555" s="329">
        <f t="shared" si="499"/>
        <v>0</v>
      </c>
      <c r="R555" s="35">
        <f t="shared" si="489"/>
        <v>0</v>
      </c>
      <c r="S555" s="414">
        <f t="shared" si="490"/>
        <v>0</v>
      </c>
      <c r="T555" s="880">
        <f>[5]Sheet1!$B970</f>
        <v>8.2200000000000003E-7</v>
      </c>
      <c r="U555" s="10">
        <f t="shared" si="491"/>
        <v>44271</v>
      </c>
      <c r="V555" s="276">
        <f t="shared" si="492"/>
        <v>3.0003000000000001E-4</v>
      </c>
    </row>
    <row r="556" spans="1:22" x14ac:dyDescent="0.25">
      <c r="A556" s="335">
        <f t="shared" si="500"/>
        <v>44272</v>
      </c>
      <c r="B556" s="329">
        <f t="shared" si="494"/>
        <v>-722095.57998833095</v>
      </c>
      <c r="C556" s="338">
        <f t="shared" si="479"/>
        <v>45651.960011669085</v>
      </c>
      <c r="D556" s="414">
        <f t="shared" si="480"/>
        <v>0.63</v>
      </c>
      <c r="E556" s="49">
        <f t="shared" si="495"/>
        <v>0</v>
      </c>
      <c r="F556" s="35">
        <f t="shared" si="481"/>
        <v>0</v>
      </c>
      <c r="G556" s="414">
        <f t="shared" si="482"/>
        <v>0</v>
      </c>
      <c r="H556" s="49">
        <f t="shared" si="496"/>
        <v>0</v>
      </c>
      <c r="I556" s="35">
        <f t="shared" si="483"/>
        <v>31398.06000000014</v>
      </c>
      <c r="J556" s="414">
        <f t="shared" si="484"/>
        <v>0.03</v>
      </c>
      <c r="K556" s="329">
        <f t="shared" si="497"/>
        <v>0</v>
      </c>
      <c r="L556" s="35">
        <f t="shared" si="485"/>
        <v>0</v>
      </c>
      <c r="M556" s="414">
        <f t="shared" si="486"/>
        <v>0</v>
      </c>
      <c r="N556" s="329">
        <f t="shared" si="498"/>
        <v>0</v>
      </c>
      <c r="O556" s="35">
        <f t="shared" si="487"/>
        <v>25.06611111099599</v>
      </c>
      <c r="P556" s="414">
        <f t="shared" si="488"/>
        <v>0</v>
      </c>
      <c r="Q556" s="329">
        <f t="shared" si="499"/>
        <v>0</v>
      </c>
      <c r="R556" s="35">
        <f t="shared" si="489"/>
        <v>0</v>
      </c>
      <c r="S556" s="414">
        <f t="shared" si="490"/>
        <v>0</v>
      </c>
      <c r="T556" s="880">
        <f>[5]Sheet1!$B971</f>
        <v>8.2200000000000003E-7</v>
      </c>
      <c r="U556" s="10">
        <f t="shared" si="491"/>
        <v>44272</v>
      </c>
      <c r="V556" s="276">
        <f t="shared" si="492"/>
        <v>3.0003000000000001E-4</v>
      </c>
    </row>
    <row r="557" spans="1:22" x14ac:dyDescent="0.25">
      <c r="A557" s="335">
        <f t="shared" si="500"/>
        <v>44273</v>
      </c>
      <c r="B557" s="329">
        <f t="shared" si="494"/>
        <v>178506.94998833092</v>
      </c>
      <c r="C557" s="338">
        <f t="shared" si="479"/>
        <v>224158.91</v>
      </c>
      <c r="D557" s="414">
        <f t="shared" si="480"/>
        <v>0.04</v>
      </c>
      <c r="E557" s="49">
        <f t="shared" si="495"/>
        <v>0</v>
      </c>
      <c r="F557" s="35">
        <f t="shared" si="481"/>
        <v>0</v>
      </c>
      <c r="G557" s="414">
        <f t="shared" si="482"/>
        <v>0</v>
      </c>
      <c r="H557" s="49">
        <f t="shared" si="496"/>
        <v>0</v>
      </c>
      <c r="I557" s="35">
        <f t="shared" si="483"/>
        <v>31398.06000000014</v>
      </c>
      <c r="J557" s="414">
        <f t="shared" si="484"/>
        <v>0.03</v>
      </c>
      <c r="K557" s="329">
        <f t="shared" si="497"/>
        <v>0</v>
      </c>
      <c r="L557" s="35">
        <f t="shared" si="485"/>
        <v>0</v>
      </c>
      <c r="M557" s="414">
        <f t="shared" si="486"/>
        <v>0</v>
      </c>
      <c r="N557" s="329">
        <f t="shared" si="498"/>
        <v>0</v>
      </c>
      <c r="O557" s="35">
        <f t="shared" si="487"/>
        <v>25.06611111099599</v>
      </c>
      <c r="P557" s="414">
        <f t="shared" si="488"/>
        <v>0</v>
      </c>
      <c r="Q557" s="329">
        <f t="shared" si="499"/>
        <v>0</v>
      </c>
      <c r="R557" s="35">
        <f t="shared" si="489"/>
        <v>0</v>
      </c>
      <c r="S557" s="414">
        <f t="shared" si="490"/>
        <v>0</v>
      </c>
      <c r="T557" s="880">
        <f>[5]Sheet1!$B972</f>
        <v>8.2200000000000003E-7</v>
      </c>
      <c r="U557" s="10">
        <f t="shared" si="491"/>
        <v>44273</v>
      </c>
      <c r="V557" s="276">
        <f t="shared" si="492"/>
        <v>3.0003000000000001E-4</v>
      </c>
    </row>
    <row r="558" spans="1:22" x14ac:dyDescent="0.25">
      <c r="A558" s="335">
        <f t="shared" si="500"/>
        <v>44274</v>
      </c>
      <c r="B558" s="329">
        <f t="shared" si="494"/>
        <v>127336.41</v>
      </c>
      <c r="C558" s="338">
        <f t="shared" si="479"/>
        <v>351495.32</v>
      </c>
      <c r="D558" s="414">
        <f t="shared" si="480"/>
        <v>0.18</v>
      </c>
      <c r="E558" s="49">
        <f t="shared" si="495"/>
        <v>0</v>
      </c>
      <c r="F558" s="35">
        <f t="shared" si="481"/>
        <v>0</v>
      </c>
      <c r="G558" s="414">
        <f t="shared" si="482"/>
        <v>0</v>
      </c>
      <c r="H558" s="49">
        <f t="shared" si="496"/>
        <v>-176.91</v>
      </c>
      <c r="I558" s="35">
        <f t="shared" si="483"/>
        <v>31221.15000000014</v>
      </c>
      <c r="J558" s="414">
        <f t="shared" si="484"/>
        <v>0.03</v>
      </c>
      <c r="K558" s="329">
        <f t="shared" si="497"/>
        <v>0</v>
      </c>
      <c r="L558" s="35">
        <f t="shared" si="485"/>
        <v>0</v>
      </c>
      <c r="M558" s="414">
        <f t="shared" si="486"/>
        <v>0</v>
      </c>
      <c r="N558" s="329">
        <f t="shared" si="498"/>
        <v>0</v>
      </c>
      <c r="O558" s="35">
        <f t="shared" si="487"/>
        <v>25.06611111099599</v>
      </c>
      <c r="P558" s="414">
        <f t="shared" si="488"/>
        <v>0</v>
      </c>
      <c r="Q558" s="329">
        <f t="shared" si="499"/>
        <v>0</v>
      </c>
      <c r="R558" s="35">
        <f t="shared" si="489"/>
        <v>0</v>
      </c>
      <c r="S558" s="414">
        <f t="shared" si="490"/>
        <v>0</v>
      </c>
      <c r="T558" s="880">
        <f>[5]Sheet1!$B973</f>
        <v>2.4660000000000002E-6</v>
      </c>
      <c r="U558" s="10">
        <f t="shared" si="491"/>
        <v>44274</v>
      </c>
      <c r="V558" s="276">
        <f t="shared" si="492"/>
        <v>3.0003000000000001E-4</v>
      </c>
    </row>
    <row r="559" spans="1:22" x14ac:dyDescent="0.25">
      <c r="A559" s="335">
        <f t="shared" si="500"/>
        <v>44277</v>
      </c>
      <c r="B559" s="329">
        <f t="shared" si="494"/>
        <v>0</v>
      </c>
      <c r="C559" s="338">
        <f t="shared" si="479"/>
        <v>351495.32</v>
      </c>
      <c r="D559" s="414">
        <f t="shared" si="480"/>
        <v>0.87</v>
      </c>
      <c r="E559" s="49">
        <f t="shared" si="495"/>
        <v>0</v>
      </c>
      <c r="F559" s="35">
        <f t="shared" si="481"/>
        <v>0</v>
      </c>
      <c r="G559" s="414">
        <f t="shared" si="482"/>
        <v>0</v>
      </c>
      <c r="H559" s="49">
        <f t="shared" si="496"/>
        <v>0</v>
      </c>
      <c r="I559" s="35">
        <f t="shared" si="483"/>
        <v>31221.15000000014</v>
      </c>
      <c r="J559" s="414">
        <f t="shared" si="484"/>
        <v>0.08</v>
      </c>
      <c r="K559" s="329">
        <f t="shared" si="497"/>
        <v>0</v>
      </c>
      <c r="L559" s="35">
        <f t="shared" si="485"/>
        <v>0</v>
      </c>
      <c r="M559" s="414">
        <f t="shared" si="486"/>
        <v>0</v>
      </c>
      <c r="N559" s="329">
        <f t="shared" si="498"/>
        <v>0</v>
      </c>
      <c r="O559" s="35">
        <f t="shared" si="487"/>
        <v>25.06611111099599</v>
      </c>
      <c r="P559" s="414">
        <f t="shared" si="488"/>
        <v>0</v>
      </c>
      <c r="Q559" s="329">
        <f t="shared" si="499"/>
        <v>0</v>
      </c>
      <c r="R559" s="35">
        <f t="shared" si="489"/>
        <v>0</v>
      </c>
      <c r="S559" s="414">
        <f t="shared" si="490"/>
        <v>0</v>
      </c>
      <c r="T559" s="880">
        <f>[5]Sheet1!$B974</f>
        <v>8.2200000000000003E-7</v>
      </c>
      <c r="U559" s="10">
        <f t="shared" si="491"/>
        <v>44277</v>
      </c>
      <c r="V559" s="276">
        <f t="shared" si="492"/>
        <v>3.0003000000000001E-4</v>
      </c>
    </row>
    <row r="560" spans="1:22" x14ac:dyDescent="0.25">
      <c r="A560" s="335">
        <f t="shared" si="500"/>
        <v>44278</v>
      </c>
      <c r="B560" s="329">
        <f t="shared" si="494"/>
        <v>3134369.67</v>
      </c>
      <c r="C560" s="338">
        <f t="shared" si="479"/>
        <v>3485864.9899999998</v>
      </c>
      <c r="D560" s="414">
        <f t="shared" si="480"/>
        <v>0.28999999999999998</v>
      </c>
      <c r="E560" s="49">
        <f t="shared" si="495"/>
        <v>0</v>
      </c>
      <c r="F560" s="35">
        <f t="shared" si="481"/>
        <v>0</v>
      </c>
      <c r="G560" s="414">
        <f t="shared" si="482"/>
        <v>0</v>
      </c>
      <c r="H560" s="49">
        <f t="shared" si="496"/>
        <v>20163.63</v>
      </c>
      <c r="I560" s="35">
        <f t="shared" si="483"/>
        <v>51384.780000000144</v>
      </c>
      <c r="J560" s="414">
        <f t="shared" si="484"/>
        <v>0.03</v>
      </c>
      <c r="K560" s="329">
        <f t="shared" si="497"/>
        <v>0</v>
      </c>
      <c r="L560" s="35">
        <f t="shared" si="485"/>
        <v>0</v>
      </c>
      <c r="M560" s="414">
        <f t="shared" si="486"/>
        <v>0</v>
      </c>
      <c r="N560" s="329">
        <f t="shared" si="498"/>
        <v>0</v>
      </c>
      <c r="O560" s="35">
        <f t="shared" si="487"/>
        <v>25.06611111099599</v>
      </c>
      <c r="P560" s="414">
        <f t="shared" si="488"/>
        <v>0</v>
      </c>
      <c r="Q560" s="329">
        <f t="shared" si="499"/>
        <v>0</v>
      </c>
      <c r="R560" s="35">
        <f t="shared" si="489"/>
        <v>0</v>
      </c>
      <c r="S560" s="414">
        <f t="shared" si="490"/>
        <v>0</v>
      </c>
      <c r="T560" s="880">
        <f>[5]Sheet1!$B975</f>
        <v>8.2200000000000003E-7</v>
      </c>
      <c r="U560" s="10">
        <f t="shared" si="491"/>
        <v>44278</v>
      </c>
      <c r="V560" s="276">
        <f t="shared" si="492"/>
        <v>3.0003000000000001E-4</v>
      </c>
    </row>
    <row r="561" spans="1:22" x14ac:dyDescent="0.25">
      <c r="A561" s="335">
        <f t="shared" si="500"/>
        <v>44279</v>
      </c>
      <c r="B561" s="329">
        <f t="shared" si="494"/>
        <v>0</v>
      </c>
      <c r="C561" s="338">
        <f t="shared" ref="C561:C572" si="502">B561+C560</f>
        <v>3485864.9899999998</v>
      </c>
      <c r="D561" s="414">
        <f t="shared" ref="D561:D572" si="503">ROUND(C560*$T560,2)</f>
        <v>2.87</v>
      </c>
      <c r="E561" s="49">
        <f t="shared" si="495"/>
        <v>0</v>
      </c>
      <c r="F561" s="35">
        <f t="shared" ref="F561:F572" si="504">E561+F560</f>
        <v>0</v>
      </c>
      <c r="G561" s="414">
        <f t="shared" ref="G561:G572" si="505">ROUND(F560*$T560,2)</f>
        <v>0</v>
      </c>
      <c r="H561" s="49">
        <f t="shared" si="496"/>
        <v>0</v>
      </c>
      <c r="I561" s="35">
        <f t="shared" ref="I561:I572" si="506">H561+I560</f>
        <v>51384.780000000144</v>
      </c>
      <c r="J561" s="414">
        <f t="shared" ref="J561:J572" si="507">ROUND(I560*$T560,2)</f>
        <v>0.04</v>
      </c>
      <c r="K561" s="329">
        <f t="shared" si="497"/>
        <v>0</v>
      </c>
      <c r="L561" s="35">
        <f t="shared" ref="L561:L572" si="508">K561+L560</f>
        <v>0</v>
      </c>
      <c r="M561" s="414">
        <f t="shared" ref="M561:M572" si="509">ROUND(L560*$T560,2)</f>
        <v>0</v>
      </c>
      <c r="N561" s="329">
        <f t="shared" si="498"/>
        <v>0</v>
      </c>
      <c r="O561" s="35">
        <f t="shared" ref="O561:O572" si="510">N561+O560</f>
        <v>25.06611111099599</v>
      </c>
      <c r="P561" s="414">
        <f t="shared" ref="P561:P572" si="511">ROUND(O560*$T560,2)</f>
        <v>0</v>
      </c>
      <c r="Q561" s="329">
        <f t="shared" si="499"/>
        <v>0</v>
      </c>
      <c r="R561" s="35">
        <f t="shared" ref="R561:R572" si="512">Q561+R560</f>
        <v>0</v>
      </c>
      <c r="S561" s="414">
        <f t="shared" ref="S561:S572" si="513">ROUND(R560*$T560,2)</f>
        <v>0</v>
      </c>
      <c r="T561" s="880">
        <f>[5]Sheet1!$B976</f>
        <v>8.2200000000000003E-7</v>
      </c>
      <c r="U561" s="10">
        <f t="shared" ref="U561:U572" si="514">A561</f>
        <v>44279</v>
      </c>
      <c r="V561" s="276">
        <f t="shared" ref="V561:V572" si="515">T561*365/(A562-A561)</f>
        <v>3.0003000000000001E-4</v>
      </c>
    </row>
    <row r="562" spans="1:22" x14ac:dyDescent="0.25">
      <c r="A562" s="335">
        <f t="shared" si="500"/>
        <v>44280</v>
      </c>
      <c r="B562" s="329">
        <f t="shared" si="494"/>
        <v>0</v>
      </c>
      <c r="C562" s="338">
        <f t="shared" si="502"/>
        <v>3485864.9899999998</v>
      </c>
      <c r="D562" s="414">
        <f t="shared" si="503"/>
        <v>2.87</v>
      </c>
      <c r="E562" s="49">
        <f t="shared" si="495"/>
        <v>0</v>
      </c>
      <c r="F562" s="35">
        <f t="shared" si="504"/>
        <v>0</v>
      </c>
      <c r="G562" s="414">
        <f t="shared" si="505"/>
        <v>0</v>
      </c>
      <c r="H562" s="49">
        <f t="shared" si="496"/>
        <v>0</v>
      </c>
      <c r="I562" s="35">
        <f t="shared" si="506"/>
        <v>51384.780000000144</v>
      </c>
      <c r="J562" s="414">
        <f t="shared" si="507"/>
        <v>0.04</v>
      </c>
      <c r="K562" s="329">
        <f t="shared" si="497"/>
        <v>0</v>
      </c>
      <c r="L562" s="35">
        <f t="shared" si="508"/>
        <v>0</v>
      </c>
      <c r="M562" s="414">
        <f t="shared" si="509"/>
        <v>0</v>
      </c>
      <c r="N562" s="329">
        <f t="shared" si="498"/>
        <v>0</v>
      </c>
      <c r="O562" s="35">
        <f t="shared" si="510"/>
        <v>25.06611111099599</v>
      </c>
      <c r="P562" s="414">
        <f t="shared" si="511"/>
        <v>0</v>
      </c>
      <c r="Q562" s="329">
        <f t="shared" si="499"/>
        <v>0</v>
      </c>
      <c r="R562" s="35">
        <f t="shared" si="512"/>
        <v>0</v>
      </c>
      <c r="S562" s="414">
        <f t="shared" si="513"/>
        <v>0</v>
      </c>
      <c r="T562" s="880">
        <f>[5]Sheet1!$B977</f>
        <v>8.2200000000000003E-7</v>
      </c>
      <c r="U562" s="10">
        <f t="shared" si="514"/>
        <v>44280</v>
      </c>
      <c r="V562" s="276">
        <f t="shared" si="515"/>
        <v>3.0003000000000001E-4</v>
      </c>
    </row>
    <row r="563" spans="1:22" x14ac:dyDescent="0.25">
      <c r="A563" s="335">
        <f t="shared" si="500"/>
        <v>44281</v>
      </c>
      <c r="B563" s="329">
        <f t="shared" si="494"/>
        <v>-4004.25</v>
      </c>
      <c r="C563" s="338">
        <f t="shared" si="502"/>
        <v>3481860.7399999998</v>
      </c>
      <c r="D563" s="414">
        <f t="shared" si="503"/>
        <v>2.87</v>
      </c>
      <c r="E563" s="49">
        <f t="shared" si="495"/>
        <v>0</v>
      </c>
      <c r="F563" s="35">
        <f t="shared" si="504"/>
        <v>0</v>
      </c>
      <c r="G563" s="414">
        <f t="shared" si="505"/>
        <v>0</v>
      </c>
      <c r="H563" s="49">
        <f t="shared" si="496"/>
        <v>0</v>
      </c>
      <c r="I563" s="35">
        <f t="shared" si="506"/>
        <v>51384.780000000144</v>
      </c>
      <c r="J563" s="414">
        <f t="shared" si="507"/>
        <v>0.04</v>
      </c>
      <c r="K563" s="329">
        <f t="shared" si="497"/>
        <v>0</v>
      </c>
      <c r="L563" s="35">
        <f t="shared" si="508"/>
        <v>0</v>
      </c>
      <c r="M563" s="414">
        <f t="shared" si="509"/>
        <v>0</v>
      </c>
      <c r="N563" s="329">
        <f t="shared" si="498"/>
        <v>0</v>
      </c>
      <c r="O563" s="35">
        <f t="shared" si="510"/>
        <v>25.06611111099599</v>
      </c>
      <c r="P563" s="414">
        <f t="shared" si="511"/>
        <v>0</v>
      </c>
      <c r="Q563" s="329">
        <f t="shared" si="499"/>
        <v>0</v>
      </c>
      <c r="R563" s="35">
        <f t="shared" si="512"/>
        <v>0</v>
      </c>
      <c r="S563" s="414">
        <f t="shared" si="513"/>
        <v>0</v>
      </c>
      <c r="T563" s="880">
        <f>[5]Sheet1!$B978</f>
        <v>2.4660000000000002E-6</v>
      </c>
      <c r="U563" s="10">
        <f t="shared" si="514"/>
        <v>44281</v>
      </c>
      <c r="V563" s="276">
        <f t="shared" si="515"/>
        <v>3.0003000000000001E-4</v>
      </c>
    </row>
    <row r="564" spans="1:22" x14ac:dyDescent="0.25">
      <c r="A564" s="335">
        <f t="shared" si="500"/>
        <v>44284</v>
      </c>
      <c r="B564" s="329">
        <f t="shared" si="494"/>
        <v>-3200000</v>
      </c>
      <c r="C564" s="338">
        <f t="shared" si="502"/>
        <v>281860.73999999976</v>
      </c>
      <c r="D564" s="414">
        <f t="shared" si="503"/>
        <v>8.59</v>
      </c>
      <c r="E564" s="49">
        <f t="shared" si="495"/>
        <v>0</v>
      </c>
      <c r="F564" s="35">
        <f t="shared" si="504"/>
        <v>0</v>
      </c>
      <c r="G564" s="414">
        <f t="shared" si="505"/>
        <v>0</v>
      </c>
      <c r="H564" s="49">
        <f t="shared" si="496"/>
        <v>0</v>
      </c>
      <c r="I564" s="35">
        <f t="shared" si="506"/>
        <v>51384.780000000144</v>
      </c>
      <c r="J564" s="414">
        <f t="shared" si="507"/>
        <v>0.13</v>
      </c>
      <c r="K564" s="329">
        <f t="shared" si="497"/>
        <v>0</v>
      </c>
      <c r="L564" s="35">
        <f t="shared" si="508"/>
        <v>0</v>
      </c>
      <c r="M564" s="414">
        <f t="shared" si="509"/>
        <v>0</v>
      </c>
      <c r="N564" s="329">
        <f t="shared" si="498"/>
        <v>0</v>
      </c>
      <c r="O564" s="35">
        <f t="shared" si="510"/>
        <v>25.06611111099599</v>
      </c>
      <c r="P564" s="414">
        <f t="shared" si="511"/>
        <v>0</v>
      </c>
      <c r="Q564" s="329">
        <f t="shared" si="499"/>
        <v>0</v>
      </c>
      <c r="R564" s="35">
        <f t="shared" si="512"/>
        <v>0</v>
      </c>
      <c r="S564" s="414">
        <f t="shared" si="513"/>
        <v>0</v>
      </c>
      <c r="T564" s="880">
        <f>[5]Sheet1!$B979</f>
        <v>8.2200000000000003E-7</v>
      </c>
      <c r="U564" s="10">
        <f t="shared" si="514"/>
        <v>44284</v>
      </c>
      <c r="V564" s="276">
        <f t="shared" si="515"/>
        <v>3.0003000000000001E-4</v>
      </c>
    </row>
    <row r="565" spans="1:22" x14ac:dyDescent="0.25">
      <c r="A565" s="335">
        <f t="shared" si="500"/>
        <v>44285</v>
      </c>
      <c r="B565" s="329">
        <f t="shared" si="494"/>
        <v>0</v>
      </c>
      <c r="C565" s="338">
        <f t="shared" si="502"/>
        <v>281860.73999999976</v>
      </c>
      <c r="D565" s="414">
        <f t="shared" si="503"/>
        <v>0.23</v>
      </c>
      <c r="E565" s="49">
        <f t="shared" si="495"/>
        <v>0</v>
      </c>
      <c r="F565" s="35">
        <f t="shared" si="504"/>
        <v>0</v>
      </c>
      <c r="G565" s="414">
        <f t="shared" si="505"/>
        <v>0</v>
      </c>
      <c r="H565" s="49">
        <f t="shared" si="496"/>
        <v>0</v>
      </c>
      <c r="I565" s="35">
        <f t="shared" si="506"/>
        <v>51384.780000000144</v>
      </c>
      <c r="J565" s="414">
        <f t="shared" si="507"/>
        <v>0.04</v>
      </c>
      <c r="K565" s="329">
        <f t="shared" si="497"/>
        <v>0</v>
      </c>
      <c r="L565" s="35">
        <f t="shared" si="508"/>
        <v>0</v>
      </c>
      <c r="M565" s="414">
        <f t="shared" si="509"/>
        <v>0</v>
      </c>
      <c r="N565" s="329">
        <f t="shared" si="498"/>
        <v>0</v>
      </c>
      <c r="O565" s="35">
        <f t="shared" si="510"/>
        <v>25.06611111099599</v>
      </c>
      <c r="P565" s="414">
        <f t="shared" si="511"/>
        <v>0</v>
      </c>
      <c r="Q565" s="329">
        <f t="shared" si="499"/>
        <v>0</v>
      </c>
      <c r="R565" s="35">
        <f t="shared" si="512"/>
        <v>0</v>
      </c>
      <c r="S565" s="414">
        <f t="shared" si="513"/>
        <v>0</v>
      </c>
      <c r="T565" s="880">
        <f>[5]Sheet1!$B980</f>
        <v>8.2200000000000003E-7</v>
      </c>
      <c r="U565" s="10">
        <f t="shared" si="514"/>
        <v>44285</v>
      </c>
      <c r="V565" s="276">
        <f t="shared" si="515"/>
        <v>3.0003000000000001E-4</v>
      </c>
    </row>
    <row r="566" spans="1:22" x14ac:dyDescent="0.25">
      <c r="A566" s="335">
        <f t="shared" si="500"/>
        <v>44286</v>
      </c>
      <c r="B566" s="329">
        <f t="shared" si="494"/>
        <v>0</v>
      </c>
      <c r="C566" s="338">
        <f t="shared" si="502"/>
        <v>281860.73999999976</v>
      </c>
      <c r="D566" s="414">
        <f t="shared" si="503"/>
        <v>0.23</v>
      </c>
      <c r="E566" s="49">
        <f t="shared" si="495"/>
        <v>0</v>
      </c>
      <c r="F566" s="35">
        <f t="shared" si="504"/>
        <v>0</v>
      </c>
      <c r="G566" s="414">
        <f t="shared" si="505"/>
        <v>0</v>
      </c>
      <c r="H566" s="49">
        <f t="shared" si="496"/>
        <v>0</v>
      </c>
      <c r="I566" s="35">
        <f t="shared" si="506"/>
        <v>51384.780000000144</v>
      </c>
      <c r="J566" s="414">
        <f t="shared" si="507"/>
        <v>0.04</v>
      </c>
      <c r="K566" s="329">
        <f t="shared" si="497"/>
        <v>0</v>
      </c>
      <c r="L566" s="35">
        <f t="shared" si="508"/>
        <v>0</v>
      </c>
      <c r="M566" s="414">
        <f t="shared" si="509"/>
        <v>0</v>
      </c>
      <c r="N566" s="329">
        <f t="shared" si="498"/>
        <v>0</v>
      </c>
      <c r="O566" s="35">
        <f t="shared" si="510"/>
        <v>25.06611111099599</v>
      </c>
      <c r="P566" s="414">
        <f t="shared" si="511"/>
        <v>0</v>
      </c>
      <c r="Q566" s="329">
        <f t="shared" si="499"/>
        <v>0</v>
      </c>
      <c r="R566" s="35">
        <f t="shared" si="512"/>
        <v>0</v>
      </c>
      <c r="S566" s="414">
        <f t="shared" si="513"/>
        <v>0</v>
      </c>
      <c r="T566" s="880">
        <f>[5]Sheet1!$B981</f>
        <v>8.2200000000000003E-7</v>
      </c>
      <c r="U566" s="10">
        <f t="shared" si="514"/>
        <v>44286</v>
      </c>
      <c r="V566" s="276">
        <f t="shared" si="515"/>
        <v>3.0003000000000001E-4</v>
      </c>
    </row>
    <row r="567" spans="1:22" x14ac:dyDescent="0.25">
      <c r="A567" s="335">
        <f t="shared" si="500"/>
        <v>44287</v>
      </c>
      <c r="B567" s="329">
        <f t="shared" si="494"/>
        <v>0</v>
      </c>
      <c r="C567" s="338">
        <f t="shared" si="502"/>
        <v>281860.73999999976</v>
      </c>
      <c r="D567" s="414">
        <f t="shared" si="503"/>
        <v>0.23</v>
      </c>
      <c r="E567" s="49">
        <f t="shared" si="495"/>
        <v>0</v>
      </c>
      <c r="F567" s="35">
        <f t="shared" si="504"/>
        <v>0</v>
      </c>
      <c r="G567" s="414">
        <f t="shared" si="505"/>
        <v>0</v>
      </c>
      <c r="H567" s="49">
        <f t="shared" si="496"/>
        <v>0</v>
      </c>
      <c r="I567" s="35">
        <f t="shared" si="506"/>
        <v>51384.780000000144</v>
      </c>
      <c r="J567" s="414">
        <f t="shared" si="507"/>
        <v>0.04</v>
      </c>
      <c r="K567" s="329">
        <f t="shared" si="497"/>
        <v>0</v>
      </c>
      <c r="L567" s="35">
        <f t="shared" si="508"/>
        <v>0</v>
      </c>
      <c r="M567" s="414">
        <f t="shared" si="509"/>
        <v>0</v>
      </c>
      <c r="N567" s="329">
        <f t="shared" si="498"/>
        <v>0</v>
      </c>
      <c r="O567" s="35">
        <f t="shared" si="510"/>
        <v>25.06611111099599</v>
      </c>
      <c r="P567" s="414">
        <f t="shared" si="511"/>
        <v>0</v>
      </c>
      <c r="Q567" s="329">
        <f t="shared" si="499"/>
        <v>0</v>
      </c>
      <c r="R567" s="35">
        <f t="shared" si="512"/>
        <v>0</v>
      </c>
      <c r="S567" s="414">
        <f t="shared" si="513"/>
        <v>0</v>
      </c>
      <c r="T567" s="880">
        <f>[5]Sheet1!$B982</f>
        <v>3.2880000000000001E-6</v>
      </c>
      <c r="U567" s="10">
        <f t="shared" si="514"/>
        <v>44287</v>
      </c>
      <c r="V567" s="276">
        <f t="shared" si="515"/>
        <v>3.0003000000000001E-4</v>
      </c>
    </row>
    <row r="568" spans="1:22" x14ac:dyDescent="0.25">
      <c r="A568" s="335">
        <f t="shared" si="500"/>
        <v>44291</v>
      </c>
      <c r="B568" s="329">
        <f t="shared" si="494"/>
        <v>32.979999999999997</v>
      </c>
      <c r="C568" s="338">
        <f t="shared" si="502"/>
        <v>281893.71999999974</v>
      </c>
      <c r="D568" s="414">
        <f t="shared" si="503"/>
        <v>0.93</v>
      </c>
      <c r="E568" s="49">
        <f t="shared" si="495"/>
        <v>0</v>
      </c>
      <c r="F568" s="35">
        <f t="shared" si="504"/>
        <v>0</v>
      </c>
      <c r="G568" s="414">
        <f t="shared" si="505"/>
        <v>0</v>
      </c>
      <c r="H568" s="49">
        <f t="shared" si="496"/>
        <v>1</v>
      </c>
      <c r="I568" s="35">
        <f t="shared" si="506"/>
        <v>51385.780000000144</v>
      </c>
      <c r="J568" s="414">
        <f t="shared" si="507"/>
        <v>0.17</v>
      </c>
      <c r="K568" s="329">
        <f t="shared" si="497"/>
        <v>0</v>
      </c>
      <c r="L568" s="35">
        <f t="shared" si="508"/>
        <v>0</v>
      </c>
      <c r="M568" s="414">
        <f t="shared" si="509"/>
        <v>0</v>
      </c>
      <c r="N568" s="329">
        <f t="shared" si="498"/>
        <v>0</v>
      </c>
      <c r="O568" s="35">
        <f t="shared" si="510"/>
        <v>25.06611111099599</v>
      </c>
      <c r="P568" s="414">
        <f t="shared" si="511"/>
        <v>0</v>
      </c>
      <c r="Q568" s="329">
        <f t="shared" si="499"/>
        <v>0</v>
      </c>
      <c r="R568" s="35">
        <f t="shared" si="512"/>
        <v>0</v>
      </c>
      <c r="S568" s="414">
        <f t="shared" si="513"/>
        <v>0</v>
      </c>
      <c r="T568" s="880">
        <f>[5]Sheet1!$B983</f>
        <v>8.2200000000000003E-7</v>
      </c>
      <c r="U568" s="10">
        <f t="shared" si="514"/>
        <v>44291</v>
      </c>
      <c r="V568" s="276">
        <f t="shared" si="515"/>
        <v>3.0003000000000001E-4</v>
      </c>
    </row>
    <row r="569" spans="1:22" x14ac:dyDescent="0.25">
      <c r="A569" s="335">
        <f t="shared" si="500"/>
        <v>44292</v>
      </c>
      <c r="B569" s="329">
        <f t="shared" si="494"/>
        <v>0</v>
      </c>
      <c r="C569" s="338">
        <f t="shared" si="502"/>
        <v>281893.71999999974</v>
      </c>
      <c r="D569" s="414">
        <f t="shared" si="503"/>
        <v>0.23</v>
      </c>
      <c r="E569" s="49">
        <f t="shared" si="495"/>
        <v>0</v>
      </c>
      <c r="F569" s="35">
        <f t="shared" si="504"/>
        <v>0</v>
      </c>
      <c r="G569" s="414">
        <f t="shared" si="505"/>
        <v>0</v>
      </c>
      <c r="H569" s="49">
        <f t="shared" si="496"/>
        <v>0</v>
      </c>
      <c r="I569" s="35">
        <f t="shared" si="506"/>
        <v>51385.780000000144</v>
      </c>
      <c r="J569" s="414">
        <f t="shared" si="507"/>
        <v>0.04</v>
      </c>
      <c r="K569" s="329">
        <f t="shared" si="497"/>
        <v>0</v>
      </c>
      <c r="L569" s="35">
        <f t="shared" si="508"/>
        <v>0</v>
      </c>
      <c r="M569" s="414">
        <f t="shared" si="509"/>
        <v>0</v>
      </c>
      <c r="N569" s="329">
        <f t="shared" si="498"/>
        <v>0</v>
      </c>
      <c r="O569" s="35">
        <f t="shared" si="510"/>
        <v>25.06611111099599</v>
      </c>
      <c r="P569" s="414">
        <f t="shared" si="511"/>
        <v>0</v>
      </c>
      <c r="Q569" s="329">
        <f t="shared" si="499"/>
        <v>0</v>
      </c>
      <c r="R569" s="35">
        <f t="shared" si="512"/>
        <v>0</v>
      </c>
      <c r="S569" s="414">
        <f t="shared" si="513"/>
        <v>0</v>
      </c>
      <c r="T569" s="880">
        <f>[5]Sheet1!$B984</f>
        <v>8.2200000000000003E-7</v>
      </c>
      <c r="U569" s="10">
        <f t="shared" si="514"/>
        <v>44292</v>
      </c>
      <c r="V569" s="276">
        <f t="shared" si="515"/>
        <v>3.0003000000000001E-4</v>
      </c>
    </row>
    <row r="570" spans="1:22" x14ac:dyDescent="0.25">
      <c r="A570" s="335">
        <f t="shared" si="500"/>
        <v>44293</v>
      </c>
      <c r="B570" s="329">
        <f t="shared" si="494"/>
        <v>0</v>
      </c>
      <c r="C570" s="338">
        <f t="shared" si="502"/>
        <v>281893.71999999974</v>
      </c>
      <c r="D570" s="414">
        <f t="shared" si="503"/>
        <v>0.23</v>
      </c>
      <c r="E570" s="49">
        <f t="shared" si="495"/>
        <v>0</v>
      </c>
      <c r="F570" s="35">
        <f t="shared" si="504"/>
        <v>0</v>
      </c>
      <c r="G570" s="414">
        <f t="shared" si="505"/>
        <v>0</v>
      </c>
      <c r="H570" s="49">
        <f t="shared" si="496"/>
        <v>0</v>
      </c>
      <c r="I570" s="35">
        <f t="shared" si="506"/>
        <v>51385.780000000144</v>
      </c>
      <c r="J570" s="414">
        <f t="shared" si="507"/>
        <v>0.04</v>
      </c>
      <c r="K570" s="329">
        <f t="shared" si="497"/>
        <v>0</v>
      </c>
      <c r="L570" s="35">
        <f t="shared" si="508"/>
        <v>0</v>
      </c>
      <c r="M570" s="414">
        <f t="shared" si="509"/>
        <v>0</v>
      </c>
      <c r="N570" s="329">
        <f t="shared" si="498"/>
        <v>0</v>
      </c>
      <c r="O570" s="35">
        <f t="shared" si="510"/>
        <v>25.06611111099599</v>
      </c>
      <c r="P570" s="414">
        <f t="shared" si="511"/>
        <v>0</v>
      </c>
      <c r="Q570" s="329">
        <f t="shared" si="499"/>
        <v>0</v>
      </c>
      <c r="R570" s="35">
        <f t="shared" si="512"/>
        <v>0</v>
      </c>
      <c r="S570" s="414">
        <f t="shared" si="513"/>
        <v>0</v>
      </c>
      <c r="T570" s="880">
        <f>[5]Sheet1!$B985</f>
        <v>8.2200000000000003E-7</v>
      </c>
      <c r="U570" s="10">
        <f t="shared" si="514"/>
        <v>44293</v>
      </c>
      <c r="V570" s="276">
        <f t="shared" si="515"/>
        <v>3.0003000000000001E-4</v>
      </c>
    </row>
    <row r="571" spans="1:22" x14ac:dyDescent="0.25">
      <c r="A571" s="335">
        <f t="shared" si="500"/>
        <v>44294</v>
      </c>
      <c r="B571" s="329">
        <f t="shared" si="494"/>
        <v>0</v>
      </c>
      <c r="C571" s="338">
        <f t="shared" si="502"/>
        <v>281893.71999999974</v>
      </c>
      <c r="D571" s="414">
        <f t="shared" si="503"/>
        <v>0.23</v>
      </c>
      <c r="E571" s="49">
        <f t="shared" si="495"/>
        <v>0</v>
      </c>
      <c r="F571" s="35">
        <f t="shared" si="504"/>
        <v>0</v>
      </c>
      <c r="G571" s="414">
        <f t="shared" si="505"/>
        <v>0</v>
      </c>
      <c r="H571" s="49">
        <f t="shared" si="496"/>
        <v>0</v>
      </c>
      <c r="I571" s="35">
        <f t="shared" si="506"/>
        <v>51385.780000000144</v>
      </c>
      <c r="J571" s="414">
        <f t="shared" si="507"/>
        <v>0.04</v>
      </c>
      <c r="K571" s="329">
        <f t="shared" si="497"/>
        <v>0</v>
      </c>
      <c r="L571" s="35">
        <f t="shared" si="508"/>
        <v>0</v>
      </c>
      <c r="M571" s="414">
        <f t="shared" si="509"/>
        <v>0</v>
      </c>
      <c r="N571" s="329">
        <f t="shared" si="498"/>
        <v>0</v>
      </c>
      <c r="O571" s="35">
        <f t="shared" si="510"/>
        <v>25.06611111099599</v>
      </c>
      <c r="P571" s="414">
        <f t="shared" si="511"/>
        <v>0</v>
      </c>
      <c r="Q571" s="329">
        <f t="shared" si="499"/>
        <v>0</v>
      </c>
      <c r="R571" s="35">
        <f t="shared" si="512"/>
        <v>0</v>
      </c>
      <c r="S571" s="414">
        <f t="shared" si="513"/>
        <v>0</v>
      </c>
      <c r="T571" s="880">
        <f>[5]Sheet1!$B986</f>
        <v>8.2200000000000003E-7</v>
      </c>
      <c r="U571" s="10">
        <f t="shared" si="514"/>
        <v>44294</v>
      </c>
      <c r="V571" s="276">
        <f t="shared" si="515"/>
        <v>3.0003000000000001E-4</v>
      </c>
    </row>
    <row r="572" spans="1:22" x14ac:dyDescent="0.25">
      <c r="A572" s="335">
        <f t="shared" si="500"/>
        <v>44295</v>
      </c>
      <c r="B572" s="329">
        <f t="shared" si="494"/>
        <v>0</v>
      </c>
      <c r="C572" s="338">
        <f t="shared" si="502"/>
        <v>281893.71999999974</v>
      </c>
      <c r="D572" s="414">
        <f t="shared" si="503"/>
        <v>0.23</v>
      </c>
      <c r="E572" s="49">
        <f t="shared" si="495"/>
        <v>0</v>
      </c>
      <c r="F572" s="35">
        <f t="shared" si="504"/>
        <v>0</v>
      </c>
      <c r="G572" s="414">
        <f t="shared" si="505"/>
        <v>0</v>
      </c>
      <c r="H572" s="49">
        <f t="shared" si="496"/>
        <v>0</v>
      </c>
      <c r="I572" s="35">
        <f t="shared" si="506"/>
        <v>51385.780000000144</v>
      </c>
      <c r="J572" s="414">
        <f t="shared" si="507"/>
        <v>0.04</v>
      </c>
      <c r="K572" s="329">
        <f t="shared" si="497"/>
        <v>0</v>
      </c>
      <c r="L572" s="35">
        <f t="shared" si="508"/>
        <v>0</v>
      </c>
      <c r="M572" s="414">
        <f t="shared" si="509"/>
        <v>0</v>
      </c>
      <c r="N572" s="329">
        <f t="shared" si="498"/>
        <v>0</v>
      </c>
      <c r="O572" s="35">
        <f t="shared" si="510"/>
        <v>25.06611111099599</v>
      </c>
      <c r="P572" s="414">
        <f t="shared" si="511"/>
        <v>0</v>
      </c>
      <c r="Q572" s="329">
        <f t="shared" si="499"/>
        <v>0</v>
      </c>
      <c r="R572" s="35">
        <f t="shared" si="512"/>
        <v>0</v>
      </c>
      <c r="S572" s="414">
        <f t="shared" si="513"/>
        <v>0</v>
      </c>
      <c r="T572" s="880">
        <f>[5]Sheet1!$B987</f>
        <v>2.4660000000000002E-6</v>
      </c>
      <c r="U572" s="10">
        <f t="shared" si="514"/>
        <v>44295</v>
      </c>
      <c r="V572" s="276">
        <f t="shared" si="515"/>
        <v>3.0003000000000001E-4</v>
      </c>
    </row>
    <row r="573" spans="1:22" x14ac:dyDescent="0.25">
      <c r="A573" s="335">
        <f t="shared" si="500"/>
        <v>44298</v>
      </c>
      <c r="B573" s="329">
        <f t="shared" si="494"/>
        <v>-169265.76</v>
      </c>
      <c r="C573" s="338">
        <f t="shared" ref="C573:C636" si="516">B573+C572</f>
        <v>112627.95999999973</v>
      </c>
      <c r="D573" s="414">
        <f t="shared" ref="D573:D636" si="517">ROUND(C572*$T572,2)</f>
        <v>0.7</v>
      </c>
      <c r="E573" s="49">
        <f t="shared" si="495"/>
        <v>0</v>
      </c>
      <c r="F573" s="35">
        <f t="shared" ref="F573:F636" si="518">E573+F572</f>
        <v>0</v>
      </c>
      <c r="G573" s="414">
        <f t="shared" ref="G573:G636" si="519">ROUND(F572*$T572,2)</f>
        <v>0</v>
      </c>
      <c r="H573" s="49">
        <f t="shared" si="496"/>
        <v>0</v>
      </c>
      <c r="I573" s="35">
        <f t="shared" ref="I573:I636" si="520">H573+I572</f>
        <v>51385.780000000144</v>
      </c>
      <c r="J573" s="414">
        <f t="shared" ref="J573:J636" si="521">ROUND(I572*$T572,2)</f>
        <v>0.13</v>
      </c>
      <c r="K573" s="329">
        <f t="shared" si="497"/>
        <v>0</v>
      </c>
      <c r="L573" s="35">
        <f t="shared" ref="L573:L636" si="522">K573+L572</f>
        <v>0</v>
      </c>
      <c r="M573" s="414">
        <f t="shared" ref="M573:M636" si="523">ROUND(L572*$T572,2)</f>
        <v>0</v>
      </c>
      <c r="N573" s="329">
        <f t="shared" si="498"/>
        <v>0</v>
      </c>
      <c r="O573" s="35">
        <f t="shared" ref="O573:O636" si="524">N573+O572</f>
        <v>25.06611111099599</v>
      </c>
      <c r="P573" s="414">
        <f t="shared" ref="P573:P636" si="525">ROUND(O572*$T572,2)</f>
        <v>0</v>
      </c>
      <c r="Q573" s="329">
        <f t="shared" si="499"/>
        <v>0</v>
      </c>
      <c r="R573" s="35">
        <f t="shared" ref="R573:R636" si="526">Q573+R572</f>
        <v>0</v>
      </c>
      <c r="S573" s="414">
        <f t="shared" ref="S573:S636" si="527">ROUND(R572*$T572,2)</f>
        <v>0</v>
      </c>
      <c r="T573" s="880">
        <f>[5]Sheet1!$B988</f>
        <v>8.2200000000000003E-7</v>
      </c>
      <c r="U573" s="10">
        <f t="shared" ref="U573:U636" si="528">A573</f>
        <v>44298</v>
      </c>
      <c r="V573" s="276">
        <f t="shared" ref="V573:V636" si="529">T573*365/(A574-A573)</f>
        <v>3.0003000000000001E-4</v>
      </c>
    </row>
    <row r="574" spans="1:22" x14ac:dyDescent="0.25">
      <c r="A574" s="335">
        <f t="shared" si="500"/>
        <v>44299</v>
      </c>
      <c r="B574" s="329">
        <f t="shared" si="494"/>
        <v>0</v>
      </c>
      <c r="C574" s="338">
        <f t="shared" si="516"/>
        <v>112627.95999999973</v>
      </c>
      <c r="D574" s="414">
        <f t="shared" si="517"/>
        <v>0.09</v>
      </c>
      <c r="E574" s="49">
        <f t="shared" si="495"/>
        <v>0</v>
      </c>
      <c r="F574" s="35">
        <f t="shared" si="518"/>
        <v>0</v>
      </c>
      <c r="G574" s="414">
        <f t="shared" si="519"/>
        <v>0</v>
      </c>
      <c r="H574" s="49">
        <f t="shared" si="496"/>
        <v>0</v>
      </c>
      <c r="I574" s="35">
        <f t="shared" si="520"/>
        <v>51385.780000000144</v>
      </c>
      <c r="J574" s="414">
        <f t="shared" si="521"/>
        <v>0.04</v>
      </c>
      <c r="K574" s="329">
        <f t="shared" si="497"/>
        <v>0</v>
      </c>
      <c r="L574" s="35">
        <f t="shared" si="522"/>
        <v>0</v>
      </c>
      <c r="M574" s="414">
        <f t="shared" si="523"/>
        <v>0</v>
      </c>
      <c r="N574" s="329">
        <f t="shared" si="498"/>
        <v>0</v>
      </c>
      <c r="O574" s="35">
        <f t="shared" si="524"/>
        <v>25.06611111099599</v>
      </c>
      <c r="P574" s="414">
        <f t="shared" si="525"/>
        <v>0</v>
      </c>
      <c r="Q574" s="329">
        <f t="shared" si="499"/>
        <v>0</v>
      </c>
      <c r="R574" s="35">
        <f t="shared" si="526"/>
        <v>0</v>
      </c>
      <c r="S574" s="414">
        <f t="shared" si="527"/>
        <v>0</v>
      </c>
      <c r="T574" s="880">
        <f>[5]Sheet1!$B989</f>
        <v>8.2200000000000003E-7</v>
      </c>
      <c r="U574" s="10">
        <f t="shared" si="528"/>
        <v>44299</v>
      </c>
      <c r="V574" s="276">
        <f t="shared" si="529"/>
        <v>3.0003000000000001E-4</v>
      </c>
    </row>
    <row r="575" spans="1:22" x14ac:dyDescent="0.25">
      <c r="A575" s="335">
        <f t="shared" si="500"/>
        <v>44300</v>
      </c>
      <c r="B575" s="329">
        <f t="shared" si="494"/>
        <v>0</v>
      </c>
      <c r="C575" s="338">
        <f t="shared" si="516"/>
        <v>112627.95999999973</v>
      </c>
      <c r="D575" s="414">
        <f t="shared" si="517"/>
        <v>0.09</v>
      </c>
      <c r="E575" s="49">
        <f t="shared" si="495"/>
        <v>0</v>
      </c>
      <c r="F575" s="35">
        <f t="shared" si="518"/>
        <v>0</v>
      </c>
      <c r="G575" s="414">
        <f t="shared" si="519"/>
        <v>0</v>
      </c>
      <c r="H575" s="49">
        <f t="shared" si="496"/>
        <v>0</v>
      </c>
      <c r="I575" s="35">
        <f t="shared" si="520"/>
        <v>51385.780000000144</v>
      </c>
      <c r="J575" s="414">
        <f t="shared" si="521"/>
        <v>0.04</v>
      </c>
      <c r="K575" s="329">
        <f t="shared" si="497"/>
        <v>0</v>
      </c>
      <c r="L575" s="35">
        <f t="shared" si="522"/>
        <v>0</v>
      </c>
      <c r="M575" s="414">
        <f t="shared" si="523"/>
        <v>0</v>
      </c>
      <c r="N575" s="329">
        <f t="shared" si="498"/>
        <v>0</v>
      </c>
      <c r="O575" s="35">
        <f t="shared" si="524"/>
        <v>25.06611111099599</v>
      </c>
      <c r="P575" s="414">
        <f t="shared" si="525"/>
        <v>0</v>
      </c>
      <c r="Q575" s="329">
        <f t="shared" si="499"/>
        <v>0</v>
      </c>
      <c r="R575" s="35">
        <f t="shared" si="526"/>
        <v>0</v>
      </c>
      <c r="S575" s="414">
        <f t="shared" si="527"/>
        <v>0</v>
      </c>
      <c r="T575" s="880">
        <f>[5]Sheet1!$B990</f>
        <v>8.2200000000000003E-7</v>
      </c>
      <c r="U575" s="10">
        <f t="shared" si="528"/>
        <v>44300</v>
      </c>
      <c r="V575" s="276">
        <f t="shared" si="529"/>
        <v>3.0003000000000001E-4</v>
      </c>
    </row>
    <row r="576" spans="1:22" x14ac:dyDescent="0.25">
      <c r="A576" s="335">
        <f t="shared" si="500"/>
        <v>44301</v>
      </c>
      <c r="B576" s="329">
        <f t="shared" si="494"/>
        <v>0</v>
      </c>
      <c r="C576" s="338">
        <f t="shared" si="516"/>
        <v>112627.95999999973</v>
      </c>
      <c r="D576" s="414">
        <f t="shared" si="517"/>
        <v>0.09</v>
      </c>
      <c r="E576" s="49">
        <f t="shared" si="495"/>
        <v>0</v>
      </c>
      <c r="F576" s="35">
        <f t="shared" si="518"/>
        <v>0</v>
      </c>
      <c r="G576" s="414">
        <f t="shared" si="519"/>
        <v>0</v>
      </c>
      <c r="H576" s="49">
        <f t="shared" si="496"/>
        <v>0</v>
      </c>
      <c r="I576" s="35">
        <f t="shared" si="520"/>
        <v>51385.780000000144</v>
      </c>
      <c r="J576" s="414">
        <f t="shared" si="521"/>
        <v>0.04</v>
      </c>
      <c r="K576" s="329">
        <f t="shared" si="497"/>
        <v>0</v>
      </c>
      <c r="L576" s="35">
        <f t="shared" si="522"/>
        <v>0</v>
      </c>
      <c r="M576" s="414">
        <f t="shared" si="523"/>
        <v>0</v>
      </c>
      <c r="N576" s="329">
        <f t="shared" si="498"/>
        <v>0</v>
      </c>
      <c r="O576" s="35">
        <f t="shared" si="524"/>
        <v>25.06611111099599</v>
      </c>
      <c r="P576" s="414">
        <f t="shared" si="525"/>
        <v>0</v>
      </c>
      <c r="Q576" s="329">
        <f t="shared" si="499"/>
        <v>0</v>
      </c>
      <c r="R576" s="35">
        <f t="shared" si="526"/>
        <v>0</v>
      </c>
      <c r="S576" s="414">
        <f t="shared" si="527"/>
        <v>0</v>
      </c>
      <c r="T576" s="880">
        <f>[5]Sheet1!$B991</f>
        <v>8.2200000000000003E-7</v>
      </c>
      <c r="U576" s="10">
        <f t="shared" si="528"/>
        <v>44301</v>
      </c>
      <c r="V576" s="276">
        <f t="shared" si="529"/>
        <v>3.0003000000000001E-4</v>
      </c>
    </row>
    <row r="577" spans="1:22" x14ac:dyDescent="0.25">
      <c r="A577" s="335">
        <f t="shared" si="500"/>
        <v>44302</v>
      </c>
      <c r="B577" s="329">
        <f t="shared" si="494"/>
        <v>0</v>
      </c>
      <c r="C577" s="338">
        <f t="shared" si="516"/>
        <v>112627.95999999973</v>
      </c>
      <c r="D577" s="414">
        <f t="shared" si="517"/>
        <v>0.09</v>
      </c>
      <c r="E577" s="49">
        <f t="shared" si="495"/>
        <v>0</v>
      </c>
      <c r="F577" s="35">
        <f t="shared" si="518"/>
        <v>0</v>
      </c>
      <c r="G577" s="414">
        <f t="shared" si="519"/>
        <v>0</v>
      </c>
      <c r="H577" s="49">
        <f t="shared" si="496"/>
        <v>0</v>
      </c>
      <c r="I577" s="35">
        <f t="shared" si="520"/>
        <v>51385.780000000144</v>
      </c>
      <c r="J577" s="414">
        <f t="shared" si="521"/>
        <v>0.04</v>
      </c>
      <c r="K577" s="329">
        <f t="shared" si="497"/>
        <v>0</v>
      </c>
      <c r="L577" s="35">
        <f t="shared" si="522"/>
        <v>0</v>
      </c>
      <c r="M577" s="414">
        <f t="shared" si="523"/>
        <v>0</v>
      </c>
      <c r="N577" s="329">
        <f t="shared" si="498"/>
        <v>0</v>
      </c>
      <c r="O577" s="35">
        <f t="shared" si="524"/>
        <v>25.06611111099599</v>
      </c>
      <c r="P577" s="414">
        <f t="shared" si="525"/>
        <v>0</v>
      </c>
      <c r="Q577" s="329">
        <f t="shared" si="499"/>
        <v>0</v>
      </c>
      <c r="R577" s="35">
        <f t="shared" si="526"/>
        <v>0</v>
      </c>
      <c r="S577" s="414">
        <f t="shared" si="527"/>
        <v>0</v>
      </c>
      <c r="T577" s="880">
        <f>[5]Sheet1!$B992</f>
        <v>2.4660000000000002E-6</v>
      </c>
      <c r="U577" s="10">
        <f t="shared" si="528"/>
        <v>44302</v>
      </c>
      <c r="V577" s="276">
        <f t="shared" si="529"/>
        <v>3.0003000000000001E-4</v>
      </c>
    </row>
    <row r="578" spans="1:22" x14ac:dyDescent="0.25">
      <c r="A578" s="335">
        <f t="shared" si="500"/>
        <v>44305</v>
      </c>
      <c r="B578" s="329">
        <f t="shared" si="494"/>
        <v>-97546.34</v>
      </c>
      <c r="C578" s="338">
        <f t="shared" si="516"/>
        <v>15081.619999999733</v>
      </c>
      <c r="D578" s="414">
        <f t="shared" si="517"/>
        <v>0.28000000000000003</v>
      </c>
      <c r="E578" s="49">
        <f t="shared" si="495"/>
        <v>0</v>
      </c>
      <c r="F578" s="35">
        <f t="shared" si="518"/>
        <v>0</v>
      </c>
      <c r="G578" s="414">
        <f t="shared" si="519"/>
        <v>0</v>
      </c>
      <c r="H578" s="49">
        <f t="shared" si="496"/>
        <v>0</v>
      </c>
      <c r="I578" s="35">
        <f t="shared" si="520"/>
        <v>51385.780000000144</v>
      </c>
      <c r="J578" s="414">
        <f t="shared" si="521"/>
        <v>0.13</v>
      </c>
      <c r="K578" s="329">
        <f t="shared" si="497"/>
        <v>0</v>
      </c>
      <c r="L578" s="35">
        <f t="shared" si="522"/>
        <v>0</v>
      </c>
      <c r="M578" s="414">
        <f t="shared" si="523"/>
        <v>0</v>
      </c>
      <c r="N578" s="329">
        <f t="shared" si="498"/>
        <v>0</v>
      </c>
      <c r="O578" s="35">
        <f t="shared" si="524"/>
        <v>25.06611111099599</v>
      </c>
      <c r="P578" s="414">
        <f t="shared" si="525"/>
        <v>0</v>
      </c>
      <c r="Q578" s="329">
        <f t="shared" si="499"/>
        <v>0</v>
      </c>
      <c r="R578" s="35">
        <f t="shared" si="526"/>
        <v>0</v>
      </c>
      <c r="S578" s="414">
        <f t="shared" si="527"/>
        <v>0</v>
      </c>
      <c r="T578" s="880">
        <f>[5]Sheet1!$B993</f>
        <v>8.2200000000000003E-7</v>
      </c>
      <c r="U578" s="10">
        <f t="shared" si="528"/>
        <v>44305</v>
      </c>
      <c r="V578" s="276">
        <f t="shared" si="529"/>
        <v>3.0003000000000001E-4</v>
      </c>
    </row>
    <row r="579" spans="1:22" x14ac:dyDescent="0.25">
      <c r="A579" s="335">
        <f t="shared" si="500"/>
        <v>44306</v>
      </c>
      <c r="B579" s="329">
        <f t="shared" si="494"/>
        <v>0</v>
      </c>
      <c r="C579" s="338">
        <f t="shared" si="516"/>
        <v>15081.619999999733</v>
      </c>
      <c r="D579" s="414">
        <f t="shared" si="517"/>
        <v>0.01</v>
      </c>
      <c r="E579" s="49">
        <f t="shared" si="495"/>
        <v>0</v>
      </c>
      <c r="F579" s="35">
        <f t="shared" si="518"/>
        <v>0</v>
      </c>
      <c r="G579" s="414">
        <f t="shared" si="519"/>
        <v>0</v>
      </c>
      <c r="H579" s="49">
        <f t="shared" si="496"/>
        <v>0</v>
      </c>
      <c r="I579" s="35">
        <f t="shared" si="520"/>
        <v>51385.780000000144</v>
      </c>
      <c r="J579" s="414">
        <f t="shared" si="521"/>
        <v>0.04</v>
      </c>
      <c r="K579" s="329">
        <f t="shared" si="497"/>
        <v>0</v>
      </c>
      <c r="L579" s="35">
        <f t="shared" si="522"/>
        <v>0</v>
      </c>
      <c r="M579" s="414">
        <f t="shared" si="523"/>
        <v>0</v>
      </c>
      <c r="N579" s="329">
        <f t="shared" si="498"/>
        <v>0</v>
      </c>
      <c r="O579" s="35">
        <f t="shared" si="524"/>
        <v>25.06611111099599</v>
      </c>
      <c r="P579" s="414">
        <f t="shared" si="525"/>
        <v>0</v>
      </c>
      <c r="Q579" s="329">
        <f t="shared" si="499"/>
        <v>0</v>
      </c>
      <c r="R579" s="35">
        <f t="shared" si="526"/>
        <v>0</v>
      </c>
      <c r="S579" s="414">
        <f t="shared" si="527"/>
        <v>0</v>
      </c>
      <c r="T579" s="880">
        <f>[5]Sheet1!$B994</f>
        <v>8.2200000000000003E-7</v>
      </c>
      <c r="U579" s="10">
        <f t="shared" si="528"/>
        <v>44306</v>
      </c>
      <c r="V579" s="276">
        <f t="shared" si="529"/>
        <v>3.0003000000000001E-4</v>
      </c>
    </row>
    <row r="580" spans="1:22" x14ac:dyDescent="0.25">
      <c r="A580" s="335">
        <f t="shared" si="500"/>
        <v>44307</v>
      </c>
      <c r="B580" s="329">
        <f t="shared" si="494"/>
        <v>151000</v>
      </c>
      <c r="C580" s="338">
        <f t="shared" si="516"/>
        <v>166081.61999999973</v>
      </c>
      <c r="D580" s="414">
        <f t="shared" si="517"/>
        <v>0.01</v>
      </c>
      <c r="E580" s="49">
        <f t="shared" si="495"/>
        <v>0</v>
      </c>
      <c r="F580" s="35">
        <f t="shared" si="518"/>
        <v>0</v>
      </c>
      <c r="G580" s="414">
        <f t="shared" si="519"/>
        <v>0</v>
      </c>
      <c r="H580" s="49">
        <f t="shared" si="496"/>
        <v>0</v>
      </c>
      <c r="I580" s="35">
        <f t="shared" si="520"/>
        <v>51385.780000000144</v>
      </c>
      <c r="J580" s="414">
        <f t="shared" si="521"/>
        <v>0.04</v>
      </c>
      <c r="K580" s="329">
        <f t="shared" si="497"/>
        <v>0</v>
      </c>
      <c r="L580" s="35">
        <f t="shared" si="522"/>
        <v>0</v>
      </c>
      <c r="M580" s="414">
        <f t="shared" si="523"/>
        <v>0</v>
      </c>
      <c r="N580" s="329">
        <f t="shared" si="498"/>
        <v>0</v>
      </c>
      <c r="O580" s="35">
        <f t="shared" si="524"/>
        <v>25.06611111099599</v>
      </c>
      <c r="P580" s="414">
        <f t="shared" si="525"/>
        <v>0</v>
      </c>
      <c r="Q580" s="329">
        <f t="shared" si="499"/>
        <v>0</v>
      </c>
      <c r="R580" s="35">
        <f t="shared" si="526"/>
        <v>0</v>
      </c>
      <c r="S580" s="414">
        <f t="shared" si="527"/>
        <v>0</v>
      </c>
      <c r="T580" s="880">
        <f>[5]Sheet1!$B995</f>
        <v>8.2200000000000003E-7</v>
      </c>
      <c r="U580" s="10">
        <f t="shared" si="528"/>
        <v>44307</v>
      </c>
      <c r="V580" s="276">
        <f t="shared" si="529"/>
        <v>3.0003000000000001E-4</v>
      </c>
    </row>
    <row r="581" spans="1:22" x14ac:dyDescent="0.25">
      <c r="A581" s="335">
        <f t="shared" si="500"/>
        <v>44308</v>
      </c>
      <c r="B581" s="329">
        <f t="shared" si="494"/>
        <v>0</v>
      </c>
      <c r="C581" s="338">
        <f t="shared" si="516"/>
        <v>166081.61999999973</v>
      </c>
      <c r="D581" s="414">
        <f t="shared" si="517"/>
        <v>0.14000000000000001</v>
      </c>
      <c r="E581" s="49">
        <f t="shared" si="495"/>
        <v>0</v>
      </c>
      <c r="F581" s="35">
        <f t="shared" si="518"/>
        <v>0</v>
      </c>
      <c r="G581" s="414">
        <f t="shared" si="519"/>
        <v>0</v>
      </c>
      <c r="H581" s="49">
        <f t="shared" si="496"/>
        <v>0</v>
      </c>
      <c r="I581" s="35">
        <f t="shared" si="520"/>
        <v>51385.780000000144</v>
      </c>
      <c r="J581" s="414">
        <f t="shared" si="521"/>
        <v>0.04</v>
      </c>
      <c r="K581" s="329">
        <f t="shared" si="497"/>
        <v>0</v>
      </c>
      <c r="L581" s="35">
        <f t="shared" si="522"/>
        <v>0</v>
      </c>
      <c r="M581" s="414">
        <f t="shared" si="523"/>
        <v>0</v>
      </c>
      <c r="N581" s="329">
        <f t="shared" si="498"/>
        <v>0</v>
      </c>
      <c r="O581" s="35">
        <f t="shared" si="524"/>
        <v>25.06611111099599</v>
      </c>
      <c r="P581" s="414">
        <f t="shared" si="525"/>
        <v>0</v>
      </c>
      <c r="Q581" s="329">
        <f t="shared" si="499"/>
        <v>0</v>
      </c>
      <c r="R581" s="35">
        <f t="shared" si="526"/>
        <v>0</v>
      </c>
      <c r="S581" s="414">
        <f t="shared" si="527"/>
        <v>0</v>
      </c>
      <c r="T581" s="880">
        <f>[5]Sheet1!$B996</f>
        <v>8.2200000000000003E-7</v>
      </c>
      <c r="U581" s="10">
        <f t="shared" si="528"/>
        <v>44308</v>
      </c>
      <c r="V581" s="276">
        <f t="shared" si="529"/>
        <v>3.0003000000000001E-4</v>
      </c>
    </row>
    <row r="582" spans="1:22" x14ac:dyDescent="0.25">
      <c r="A582" s="335">
        <f t="shared" si="500"/>
        <v>44309</v>
      </c>
      <c r="B582" s="329">
        <f t="shared" si="494"/>
        <v>0</v>
      </c>
      <c r="C582" s="338">
        <f t="shared" si="516"/>
        <v>166081.61999999973</v>
      </c>
      <c r="D582" s="414">
        <f t="shared" si="517"/>
        <v>0.14000000000000001</v>
      </c>
      <c r="E582" s="49">
        <f t="shared" si="495"/>
        <v>0</v>
      </c>
      <c r="F582" s="35">
        <f t="shared" si="518"/>
        <v>0</v>
      </c>
      <c r="G582" s="414">
        <f t="shared" si="519"/>
        <v>0</v>
      </c>
      <c r="H582" s="49">
        <f t="shared" si="496"/>
        <v>0</v>
      </c>
      <c r="I582" s="35">
        <f t="shared" si="520"/>
        <v>51385.780000000144</v>
      </c>
      <c r="J582" s="414">
        <f t="shared" si="521"/>
        <v>0.04</v>
      </c>
      <c r="K582" s="329">
        <f t="shared" si="497"/>
        <v>0</v>
      </c>
      <c r="L582" s="35">
        <f t="shared" si="522"/>
        <v>0</v>
      </c>
      <c r="M582" s="414">
        <f t="shared" si="523"/>
        <v>0</v>
      </c>
      <c r="N582" s="329">
        <f t="shared" si="498"/>
        <v>0</v>
      </c>
      <c r="O582" s="35">
        <f t="shared" si="524"/>
        <v>25.06611111099599</v>
      </c>
      <c r="P582" s="414">
        <f t="shared" si="525"/>
        <v>0</v>
      </c>
      <c r="Q582" s="329">
        <f t="shared" si="499"/>
        <v>0</v>
      </c>
      <c r="R582" s="35">
        <f t="shared" si="526"/>
        <v>0</v>
      </c>
      <c r="S582" s="414">
        <f t="shared" si="527"/>
        <v>0</v>
      </c>
      <c r="T582" s="880">
        <f>[5]Sheet1!$B997</f>
        <v>2.4660000000000002E-6</v>
      </c>
      <c r="U582" s="10">
        <f t="shared" si="528"/>
        <v>44309</v>
      </c>
      <c r="V582" s="276">
        <f t="shared" si="529"/>
        <v>3.0003000000000001E-4</v>
      </c>
    </row>
    <row r="583" spans="1:22" x14ac:dyDescent="0.25">
      <c r="A583" s="335">
        <f t="shared" si="500"/>
        <v>44312</v>
      </c>
      <c r="B583" s="329">
        <f t="shared" ref="B583:B646" si="530">-SUMIFS(CF_Main,CF_Dates,$A583,CF_Descriptions,"MM Sweep")</f>
        <v>238804.78</v>
      </c>
      <c r="C583" s="338">
        <f t="shared" si="516"/>
        <v>404886.39999999973</v>
      </c>
      <c r="D583" s="414">
        <f t="shared" si="517"/>
        <v>0.41</v>
      </c>
      <c r="E583" s="49">
        <f t="shared" ref="E583:E646" si="531">-SUMIFS(CF_Main_EUR,CF_Dates,$A583,CF_Descriptions,"MM Sweep")</f>
        <v>0</v>
      </c>
      <c r="F583" s="35">
        <f t="shared" si="518"/>
        <v>0</v>
      </c>
      <c r="G583" s="414">
        <f t="shared" si="519"/>
        <v>0</v>
      </c>
      <c r="H583" s="49">
        <f t="shared" ref="H583:H646" si="532">-SUMIFS(CF_Expenses,CF_Dates,$A583,CF_Descriptions,"MM Sweep")</f>
        <v>0</v>
      </c>
      <c r="I583" s="35">
        <f t="shared" si="520"/>
        <v>51385.780000000144</v>
      </c>
      <c r="J583" s="414">
        <f t="shared" si="521"/>
        <v>0.13</v>
      </c>
      <c r="K583" s="329">
        <f t="shared" ref="K583:K646" si="533">-SUMIFS(CF_Margin,CF_Dates,$A583,CF_Descriptions,"MM Sweep")</f>
        <v>0</v>
      </c>
      <c r="L583" s="35">
        <f t="shared" si="522"/>
        <v>0</v>
      </c>
      <c r="M583" s="414">
        <f t="shared" si="523"/>
        <v>0</v>
      </c>
      <c r="N583" s="329">
        <f t="shared" ref="N583:N646" si="534">-SUMIFS(CF_Mgmt,CF_Dates,$A583,CF_Descriptions,"MM Sweep")</f>
        <v>0</v>
      </c>
      <c r="O583" s="35">
        <f t="shared" si="524"/>
        <v>25.06611111099599</v>
      </c>
      <c r="P583" s="414">
        <f t="shared" si="525"/>
        <v>0</v>
      </c>
      <c r="Q583" s="329">
        <f t="shared" ref="Q583:Q646" si="535">-SUMIFS(CF_SubRedemp,CF_Dates,$A583,CF_Descriptions,"MM Sweep")</f>
        <v>0</v>
      </c>
      <c r="R583" s="35">
        <f t="shared" si="526"/>
        <v>0</v>
      </c>
      <c r="S583" s="414">
        <f t="shared" si="527"/>
        <v>0</v>
      </c>
      <c r="T583" s="880">
        <f>[5]Sheet1!$B998</f>
        <v>8.2200000000000003E-7</v>
      </c>
      <c r="U583" s="10">
        <f t="shared" si="528"/>
        <v>44312</v>
      </c>
      <c r="V583" s="276">
        <f t="shared" si="529"/>
        <v>3.0003000000000001E-4</v>
      </c>
    </row>
    <row r="584" spans="1:22" x14ac:dyDescent="0.25">
      <c r="A584" s="335">
        <f t="shared" si="500"/>
        <v>44313</v>
      </c>
      <c r="B584" s="329">
        <f t="shared" si="530"/>
        <v>0</v>
      </c>
      <c r="C584" s="338">
        <f t="shared" si="516"/>
        <v>404886.39999999973</v>
      </c>
      <c r="D584" s="414">
        <f t="shared" si="517"/>
        <v>0.33</v>
      </c>
      <c r="E584" s="49">
        <f t="shared" si="531"/>
        <v>0</v>
      </c>
      <c r="F584" s="35">
        <f t="shared" si="518"/>
        <v>0</v>
      </c>
      <c r="G584" s="414">
        <f t="shared" si="519"/>
        <v>0</v>
      </c>
      <c r="H584" s="49">
        <f t="shared" si="532"/>
        <v>-148.84</v>
      </c>
      <c r="I584" s="35">
        <f t="shared" si="520"/>
        <v>51236.940000000148</v>
      </c>
      <c r="J584" s="414">
        <f t="shared" si="521"/>
        <v>0.04</v>
      </c>
      <c r="K584" s="329">
        <f t="shared" si="533"/>
        <v>0</v>
      </c>
      <c r="L584" s="35">
        <f t="shared" si="522"/>
        <v>0</v>
      </c>
      <c r="M584" s="414">
        <f t="shared" si="523"/>
        <v>0</v>
      </c>
      <c r="N584" s="329">
        <f t="shared" si="534"/>
        <v>0</v>
      </c>
      <c r="O584" s="35">
        <f t="shared" si="524"/>
        <v>25.06611111099599</v>
      </c>
      <c r="P584" s="414">
        <f t="shared" si="525"/>
        <v>0</v>
      </c>
      <c r="Q584" s="329">
        <f t="shared" si="535"/>
        <v>0</v>
      </c>
      <c r="R584" s="35">
        <f t="shared" si="526"/>
        <v>0</v>
      </c>
      <c r="S584" s="414">
        <f t="shared" si="527"/>
        <v>0</v>
      </c>
      <c r="T584" s="880">
        <f>[5]Sheet1!$B999</f>
        <v>8.2200000000000003E-7</v>
      </c>
      <c r="U584" s="10">
        <f t="shared" si="528"/>
        <v>44313</v>
      </c>
      <c r="V584" s="276">
        <f t="shared" si="529"/>
        <v>3.0003000000000001E-4</v>
      </c>
    </row>
    <row r="585" spans="1:22" x14ac:dyDescent="0.25">
      <c r="A585" s="335">
        <f t="shared" si="500"/>
        <v>44314</v>
      </c>
      <c r="B585" s="329">
        <f t="shared" si="530"/>
        <v>0</v>
      </c>
      <c r="C585" s="338">
        <f t="shared" si="516"/>
        <v>404886.39999999973</v>
      </c>
      <c r="D585" s="414">
        <f t="shared" si="517"/>
        <v>0.33</v>
      </c>
      <c r="E585" s="49">
        <f t="shared" si="531"/>
        <v>0</v>
      </c>
      <c r="F585" s="35">
        <f t="shared" si="518"/>
        <v>0</v>
      </c>
      <c r="G585" s="414">
        <f t="shared" si="519"/>
        <v>0</v>
      </c>
      <c r="H585" s="49">
        <f t="shared" si="532"/>
        <v>0</v>
      </c>
      <c r="I585" s="35">
        <f t="shared" si="520"/>
        <v>51236.940000000148</v>
      </c>
      <c r="J585" s="414">
        <f t="shared" si="521"/>
        <v>0.04</v>
      </c>
      <c r="K585" s="329">
        <f t="shared" si="533"/>
        <v>0</v>
      </c>
      <c r="L585" s="35">
        <f t="shared" si="522"/>
        <v>0</v>
      </c>
      <c r="M585" s="414">
        <f t="shared" si="523"/>
        <v>0</v>
      </c>
      <c r="N585" s="329">
        <f t="shared" si="534"/>
        <v>0</v>
      </c>
      <c r="O585" s="35">
        <f t="shared" si="524"/>
        <v>25.06611111099599</v>
      </c>
      <c r="P585" s="414">
        <f t="shared" si="525"/>
        <v>0</v>
      </c>
      <c r="Q585" s="329">
        <f t="shared" si="535"/>
        <v>0</v>
      </c>
      <c r="R585" s="35">
        <f t="shared" si="526"/>
        <v>0</v>
      </c>
      <c r="S585" s="414">
        <f t="shared" si="527"/>
        <v>0</v>
      </c>
      <c r="T585" s="880">
        <f>[5]Sheet1!$B1000</f>
        <v>8.2200000000000003E-7</v>
      </c>
      <c r="U585" s="10">
        <f t="shared" si="528"/>
        <v>44314</v>
      </c>
      <c r="V585" s="276">
        <f t="shared" si="529"/>
        <v>3.0003000000000001E-4</v>
      </c>
    </row>
    <row r="586" spans="1:22" x14ac:dyDescent="0.25">
      <c r="A586" s="335">
        <f t="shared" si="500"/>
        <v>44315</v>
      </c>
      <c r="B586" s="329">
        <f t="shared" si="530"/>
        <v>0</v>
      </c>
      <c r="C586" s="338">
        <f t="shared" si="516"/>
        <v>404886.39999999973</v>
      </c>
      <c r="D586" s="414">
        <f t="shared" si="517"/>
        <v>0.33</v>
      </c>
      <c r="E586" s="49">
        <f t="shared" si="531"/>
        <v>0</v>
      </c>
      <c r="F586" s="35">
        <f t="shared" si="518"/>
        <v>0</v>
      </c>
      <c r="G586" s="414">
        <f t="shared" si="519"/>
        <v>0</v>
      </c>
      <c r="H586" s="49">
        <f t="shared" si="532"/>
        <v>0</v>
      </c>
      <c r="I586" s="35">
        <f t="shared" si="520"/>
        <v>51236.940000000148</v>
      </c>
      <c r="J586" s="414">
        <f t="shared" si="521"/>
        <v>0.04</v>
      </c>
      <c r="K586" s="329">
        <f t="shared" si="533"/>
        <v>0</v>
      </c>
      <c r="L586" s="35">
        <f t="shared" si="522"/>
        <v>0</v>
      </c>
      <c r="M586" s="414">
        <f t="shared" si="523"/>
        <v>0</v>
      </c>
      <c r="N586" s="329">
        <f t="shared" si="534"/>
        <v>0</v>
      </c>
      <c r="O586" s="35">
        <f t="shared" si="524"/>
        <v>25.06611111099599</v>
      </c>
      <c r="P586" s="414">
        <f t="shared" si="525"/>
        <v>0</v>
      </c>
      <c r="Q586" s="329">
        <f t="shared" si="535"/>
        <v>0</v>
      </c>
      <c r="R586" s="35">
        <f t="shared" si="526"/>
        <v>0</v>
      </c>
      <c r="S586" s="414">
        <f t="shared" si="527"/>
        <v>0</v>
      </c>
      <c r="T586" s="880">
        <f>[5]Sheet1!$B1001</f>
        <v>8.2200000000000003E-7</v>
      </c>
      <c r="U586" s="10">
        <f t="shared" si="528"/>
        <v>44315</v>
      </c>
      <c r="V586" s="276">
        <f t="shared" si="529"/>
        <v>3.0003000000000001E-4</v>
      </c>
    </row>
    <row r="587" spans="1:22" x14ac:dyDescent="0.25">
      <c r="A587" s="335">
        <f t="shared" si="500"/>
        <v>44316</v>
      </c>
      <c r="B587" s="329">
        <f t="shared" si="530"/>
        <v>915611.88</v>
      </c>
      <c r="C587" s="338">
        <f t="shared" si="516"/>
        <v>1320498.2799999998</v>
      </c>
      <c r="D587" s="414">
        <f t="shared" si="517"/>
        <v>0.33</v>
      </c>
      <c r="E587" s="49">
        <f t="shared" si="531"/>
        <v>0</v>
      </c>
      <c r="F587" s="35">
        <f t="shared" si="518"/>
        <v>0</v>
      </c>
      <c r="G587" s="414">
        <f t="shared" si="519"/>
        <v>0</v>
      </c>
      <c r="H587" s="49">
        <f t="shared" si="532"/>
        <v>0</v>
      </c>
      <c r="I587" s="35">
        <f t="shared" si="520"/>
        <v>51236.940000000148</v>
      </c>
      <c r="J587" s="414">
        <f t="shared" si="521"/>
        <v>0.04</v>
      </c>
      <c r="K587" s="329">
        <f t="shared" si="533"/>
        <v>0</v>
      </c>
      <c r="L587" s="35">
        <f t="shared" si="522"/>
        <v>0</v>
      </c>
      <c r="M587" s="414">
        <f t="shared" si="523"/>
        <v>0</v>
      </c>
      <c r="N587" s="329">
        <f t="shared" si="534"/>
        <v>0</v>
      </c>
      <c r="O587" s="35">
        <f t="shared" si="524"/>
        <v>25.06611111099599</v>
      </c>
      <c r="P587" s="414">
        <f t="shared" si="525"/>
        <v>0</v>
      </c>
      <c r="Q587" s="329">
        <f t="shared" si="535"/>
        <v>0</v>
      </c>
      <c r="R587" s="35">
        <f t="shared" si="526"/>
        <v>0</v>
      </c>
      <c r="S587" s="414">
        <f t="shared" si="527"/>
        <v>0</v>
      </c>
      <c r="T587" s="880">
        <f>[5]Sheet1!$B1002</f>
        <v>8.2200000000000003E-7</v>
      </c>
      <c r="U587" s="10">
        <f t="shared" si="528"/>
        <v>44316</v>
      </c>
      <c r="V587" s="276">
        <f t="shared" si="529"/>
        <v>3.0003000000000001E-4</v>
      </c>
    </row>
    <row r="588" spans="1:22" x14ac:dyDescent="0.25">
      <c r="A588" s="335">
        <v>44317</v>
      </c>
      <c r="B588" s="329">
        <f t="shared" si="530"/>
        <v>0</v>
      </c>
      <c r="C588" s="338">
        <f t="shared" si="516"/>
        <v>1320498.2799999998</v>
      </c>
      <c r="D588" s="414">
        <f t="shared" si="517"/>
        <v>1.0900000000000001</v>
      </c>
      <c r="E588" s="49">
        <f t="shared" si="531"/>
        <v>0</v>
      </c>
      <c r="F588" s="35">
        <f t="shared" si="518"/>
        <v>0</v>
      </c>
      <c r="G588" s="414">
        <f t="shared" si="519"/>
        <v>0</v>
      </c>
      <c r="H588" s="49">
        <f t="shared" si="532"/>
        <v>0</v>
      </c>
      <c r="I588" s="35">
        <f t="shared" si="520"/>
        <v>51236.940000000148</v>
      </c>
      <c r="J588" s="414">
        <f t="shared" si="521"/>
        <v>0.04</v>
      </c>
      <c r="K588" s="329">
        <f t="shared" si="533"/>
        <v>0</v>
      </c>
      <c r="L588" s="35">
        <f t="shared" si="522"/>
        <v>0</v>
      </c>
      <c r="M588" s="414">
        <f t="shared" si="523"/>
        <v>0</v>
      </c>
      <c r="N588" s="329">
        <f t="shared" si="534"/>
        <v>0</v>
      </c>
      <c r="O588" s="35">
        <f t="shared" si="524"/>
        <v>25.06611111099599</v>
      </c>
      <c r="P588" s="414">
        <f t="shared" si="525"/>
        <v>0</v>
      </c>
      <c r="Q588" s="329">
        <f t="shared" si="535"/>
        <v>0</v>
      </c>
      <c r="R588" s="35">
        <f t="shared" si="526"/>
        <v>0</v>
      </c>
      <c r="S588" s="414">
        <f t="shared" si="527"/>
        <v>0</v>
      </c>
      <c r="T588" s="880">
        <f>[5]Sheet1!$B1003</f>
        <v>1.6440000000000001E-6</v>
      </c>
      <c r="U588" s="10">
        <f t="shared" si="528"/>
        <v>44317</v>
      </c>
      <c r="V588" s="276">
        <f t="shared" si="529"/>
        <v>3.0003000000000001E-4</v>
      </c>
    </row>
    <row r="589" spans="1:22" x14ac:dyDescent="0.25">
      <c r="A589" s="335">
        <f t="shared" si="500"/>
        <v>44319</v>
      </c>
      <c r="B589" s="329">
        <f t="shared" si="530"/>
        <v>-7066.96</v>
      </c>
      <c r="C589" s="338">
        <f t="shared" si="516"/>
        <v>1313431.3199999998</v>
      </c>
      <c r="D589" s="414">
        <f t="shared" si="517"/>
        <v>2.17</v>
      </c>
      <c r="E589" s="49">
        <f t="shared" si="531"/>
        <v>0</v>
      </c>
      <c r="F589" s="35">
        <f t="shared" si="518"/>
        <v>0</v>
      </c>
      <c r="G589" s="414">
        <f t="shared" si="519"/>
        <v>0</v>
      </c>
      <c r="H589" s="49">
        <f t="shared" si="532"/>
        <v>0</v>
      </c>
      <c r="I589" s="35">
        <f t="shared" si="520"/>
        <v>51236.940000000148</v>
      </c>
      <c r="J589" s="414">
        <f t="shared" si="521"/>
        <v>0.08</v>
      </c>
      <c r="K589" s="329">
        <f t="shared" si="533"/>
        <v>0</v>
      </c>
      <c r="L589" s="35">
        <f t="shared" si="522"/>
        <v>0</v>
      </c>
      <c r="M589" s="414">
        <f t="shared" si="523"/>
        <v>0</v>
      </c>
      <c r="N589" s="329">
        <f t="shared" si="534"/>
        <v>0</v>
      </c>
      <c r="O589" s="35">
        <f t="shared" si="524"/>
        <v>25.06611111099599</v>
      </c>
      <c r="P589" s="414">
        <f t="shared" si="525"/>
        <v>0</v>
      </c>
      <c r="Q589" s="329">
        <f t="shared" si="535"/>
        <v>0</v>
      </c>
      <c r="R589" s="35">
        <f t="shared" si="526"/>
        <v>0</v>
      </c>
      <c r="S589" s="414">
        <f t="shared" si="527"/>
        <v>0</v>
      </c>
      <c r="T589" s="880">
        <f>[5]Sheet1!$B1004</f>
        <v>8.2200000000000003E-7</v>
      </c>
      <c r="U589" s="10">
        <f t="shared" si="528"/>
        <v>44319</v>
      </c>
      <c r="V589" s="276">
        <f t="shared" si="529"/>
        <v>3.0003000000000001E-4</v>
      </c>
    </row>
    <row r="590" spans="1:22" x14ac:dyDescent="0.25">
      <c r="A590" s="335">
        <f t="shared" ref="A590:A652" si="536">WORKDAY(A589,1,Holidays)</f>
        <v>44320</v>
      </c>
      <c r="B590" s="329">
        <f t="shared" si="530"/>
        <v>6.3200000000651899</v>
      </c>
      <c r="C590" s="338">
        <f t="shared" si="516"/>
        <v>1313437.6399999999</v>
      </c>
      <c r="D590" s="414">
        <f t="shared" si="517"/>
        <v>1.08</v>
      </c>
      <c r="E590" s="49">
        <f t="shared" si="531"/>
        <v>0</v>
      </c>
      <c r="F590" s="35">
        <f t="shared" si="518"/>
        <v>0</v>
      </c>
      <c r="G590" s="414">
        <f t="shared" si="519"/>
        <v>0</v>
      </c>
      <c r="H590" s="49">
        <f t="shared" si="532"/>
        <v>1.24</v>
      </c>
      <c r="I590" s="35">
        <f t="shared" si="520"/>
        <v>51238.180000000146</v>
      </c>
      <c r="J590" s="414">
        <f t="shared" si="521"/>
        <v>0.04</v>
      </c>
      <c r="K590" s="329">
        <f t="shared" si="533"/>
        <v>0</v>
      </c>
      <c r="L590" s="35">
        <f t="shared" si="522"/>
        <v>0</v>
      </c>
      <c r="M590" s="414">
        <f t="shared" si="523"/>
        <v>0</v>
      </c>
      <c r="N590" s="329">
        <f t="shared" si="534"/>
        <v>0</v>
      </c>
      <c r="O590" s="35">
        <f t="shared" si="524"/>
        <v>25.06611111099599</v>
      </c>
      <c r="P590" s="414">
        <f t="shared" si="525"/>
        <v>0</v>
      </c>
      <c r="Q590" s="329">
        <f t="shared" si="535"/>
        <v>0</v>
      </c>
      <c r="R590" s="35">
        <f t="shared" si="526"/>
        <v>0</v>
      </c>
      <c r="S590" s="414">
        <f t="shared" si="527"/>
        <v>0</v>
      </c>
      <c r="T590" s="880">
        <f>[5]Sheet1!$B1005</f>
        <v>8.2200000000000003E-7</v>
      </c>
      <c r="U590" s="10">
        <f t="shared" si="528"/>
        <v>44320</v>
      </c>
      <c r="V590" s="276">
        <f t="shared" si="529"/>
        <v>3.0003000000000001E-4</v>
      </c>
    </row>
    <row r="591" spans="1:22" x14ac:dyDescent="0.25">
      <c r="A591" s="335">
        <f t="shared" si="536"/>
        <v>44321</v>
      </c>
      <c r="B591" s="329">
        <f t="shared" si="530"/>
        <v>-825016.94</v>
      </c>
      <c r="C591" s="338">
        <f t="shared" si="516"/>
        <v>488420.69999999995</v>
      </c>
      <c r="D591" s="414">
        <f t="shared" si="517"/>
        <v>1.08</v>
      </c>
      <c r="E591" s="49">
        <f t="shared" si="531"/>
        <v>0</v>
      </c>
      <c r="F591" s="35">
        <f t="shared" si="518"/>
        <v>0</v>
      </c>
      <c r="G591" s="414">
        <f t="shared" si="519"/>
        <v>0</v>
      </c>
      <c r="H591" s="49">
        <f t="shared" si="532"/>
        <v>0</v>
      </c>
      <c r="I591" s="35">
        <f t="shared" si="520"/>
        <v>51238.180000000146</v>
      </c>
      <c r="J591" s="414">
        <f t="shared" si="521"/>
        <v>0.04</v>
      </c>
      <c r="K591" s="329">
        <f t="shared" si="533"/>
        <v>0</v>
      </c>
      <c r="L591" s="35">
        <f t="shared" si="522"/>
        <v>0</v>
      </c>
      <c r="M591" s="414">
        <f t="shared" si="523"/>
        <v>0</v>
      </c>
      <c r="N591" s="329">
        <f t="shared" si="534"/>
        <v>0</v>
      </c>
      <c r="O591" s="35">
        <f t="shared" si="524"/>
        <v>25.06611111099599</v>
      </c>
      <c r="P591" s="414">
        <f t="shared" si="525"/>
        <v>0</v>
      </c>
      <c r="Q591" s="329">
        <f t="shared" si="535"/>
        <v>0</v>
      </c>
      <c r="R591" s="35">
        <f t="shared" si="526"/>
        <v>0</v>
      </c>
      <c r="S591" s="414">
        <f t="shared" si="527"/>
        <v>0</v>
      </c>
      <c r="T591" s="880">
        <f>[5]Sheet1!$B1006</f>
        <v>8.2200000000000003E-7</v>
      </c>
      <c r="U591" s="10">
        <f t="shared" si="528"/>
        <v>44321</v>
      </c>
      <c r="V591" s="276">
        <f t="shared" si="529"/>
        <v>3.0003000000000001E-4</v>
      </c>
    </row>
    <row r="592" spans="1:22" x14ac:dyDescent="0.25">
      <c r="A592" s="335">
        <f t="shared" si="536"/>
        <v>44322</v>
      </c>
      <c r="B592" s="329">
        <f t="shared" si="530"/>
        <v>-120666.81</v>
      </c>
      <c r="C592" s="338">
        <f t="shared" si="516"/>
        <v>367753.88999999996</v>
      </c>
      <c r="D592" s="414">
        <f t="shared" si="517"/>
        <v>0.4</v>
      </c>
      <c r="E592" s="49">
        <f t="shared" si="531"/>
        <v>0</v>
      </c>
      <c r="F592" s="35">
        <f t="shared" si="518"/>
        <v>0</v>
      </c>
      <c r="G592" s="414">
        <f t="shared" si="519"/>
        <v>0</v>
      </c>
      <c r="H592" s="49">
        <f t="shared" si="532"/>
        <v>0</v>
      </c>
      <c r="I592" s="35">
        <f t="shared" si="520"/>
        <v>51238.180000000146</v>
      </c>
      <c r="J592" s="414">
        <f t="shared" si="521"/>
        <v>0.04</v>
      </c>
      <c r="K592" s="329">
        <f t="shared" si="533"/>
        <v>0</v>
      </c>
      <c r="L592" s="35">
        <f t="shared" si="522"/>
        <v>0</v>
      </c>
      <c r="M592" s="414">
        <f t="shared" si="523"/>
        <v>0</v>
      </c>
      <c r="N592" s="329">
        <f t="shared" si="534"/>
        <v>0</v>
      </c>
      <c r="O592" s="35">
        <f t="shared" si="524"/>
        <v>25.06611111099599</v>
      </c>
      <c r="P592" s="414">
        <f t="shared" si="525"/>
        <v>0</v>
      </c>
      <c r="Q592" s="329">
        <f t="shared" si="535"/>
        <v>0</v>
      </c>
      <c r="R592" s="35">
        <f t="shared" si="526"/>
        <v>0</v>
      </c>
      <c r="S592" s="414">
        <f t="shared" si="527"/>
        <v>0</v>
      </c>
      <c r="T592" s="880">
        <f>[5]Sheet1!$B1007</f>
        <v>8.2200000000000003E-7</v>
      </c>
      <c r="U592" s="10">
        <f t="shared" si="528"/>
        <v>44322</v>
      </c>
      <c r="V592" s="276">
        <f t="shared" si="529"/>
        <v>3.0003000000000001E-4</v>
      </c>
    </row>
    <row r="593" spans="1:22" x14ac:dyDescent="0.25">
      <c r="A593" s="335">
        <f t="shared" si="536"/>
        <v>44323</v>
      </c>
      <c r="B593" s="329">
        <f t="shared" si="530"/>
        <v>0</v>
      </c>
      <c r="C593" s="338">
        <f t="shared" si="516"/>
        <v>367753.88999999996</v>
      </c>
      <c r="D593" s="414">
        <f t="shared" si="517"/>
        <v>0.3</v>
      </c>
      <c r="E593" s="49">
        <f t="shared" si="531"/>
        <v>0</v>
      </c>
      <c r="F593" s="35">
        <f t="shared" si="518"/>
        <v>0</v>
      </c>
      <c r="G593" s="414">
        <f t="shared" si="519"/>
        <v>0</v>
      </c>
      <c r="H593" s="49">
        <f t="shared" si="532"/>
        <v>0</v>
      </c>
      <c r="I593" s="35">
        <f t="shared" si="520"/>
        <v>51238.180000000146</v>
      </c>
      <c r="J593" s="414">
        <f t="shared" si="521"/>
        <v>0.04</v>
      </c>
      <c r="K593" s="329">
        <f t="shared" si="533"/>
        <v>0</v>
      </c>
      <c r="L593" s="35">
        <f t="shared" si="522"/>
        <v>0</v>
      </c>
      <c r="M593" s="414">
        <f t="shared" si="523"/>
        <v>0</v>
      </c>
      <c r="N593" s="329">
        <f t="shared" si="534"/>
        <v>0</v>
      </c>
      <c r="O593" s="35">
        <f t="shared" si="524"/>
        <v>25.06611111099599</v>
      </c>
      <c r="P593" s="414">
        <f t="shared" si="525"/>
        <v>0</v>
      </c>
      <c r="Q593" s="329">
        <f t="shared" si="535"/>
        <v>0</v>
      </c>
      <c r="R593" s="35">
        <f t="shared" si="526"/>
        <v>0</v>
      </c>
      <c r="S593" s="414">
        <f t="shared" si="527"/>
        <v>0</v>
      </c>
      <c r="T593" s="880">
        <f>[5]Sheet1!$B1008</f>
        <v>2.4660000000000002E-6</v>
      </c>
      <c r="U593" s="10">
        <f t="shared" si="528"/>
        <v>44323</v>
      </c>
      <c r="V593" s="276">
        <f t="shared" si="529"/>
        <v>3.0003000000000001E-4</v>
      </c>
    </row>
    <row r="594" spans="1:22" x14ac:dyDescent="0.25">
      <c r="A594" s="335">
        <f t="shared" si="536"/>
        <v>44326</v>
      </c>
      <c r="B594" s="329">
        <f t="shared" si="530"/>
        <v>219275.36</v>
      </c>
      <c r="C594" s="338">
        <f t="shared" si="516"/>
        <v>587029.25</v>
      </c>
      <c r="D594" s="414">
        <f t="shared" si="517"/>
        <v>0.91</v>
      </c>
      <c r="E594" s="49">
        <f t="shared" si="531"/>
        <v>0</v>
      </c>
      <c r="F594" s="35">
        <f t="shared" si="518"/>
        <v>0</v>
      </c>
      <c r="G594" s="414">
        <f t="shared" si="519"/>
        <v>0</v>
      </c>
      <c r="H594" s="49">
        <f t="shared" si="532"/>
        <v>0</v>
      </c>
      <c r="I594" s="35">
        <f t="shared" si="520"/>
        <v>51238.180000000146</v>
      </c>
      <c r="J594" s="414">
        <f t="shared" si="521"/>
        <v>0.13</v>
      </c>
      <c r="K594" s="329">
        <f t="shared" si="533"/>
        <v>0</v>
      </c>
      <c r="L594" s="35">
        <f t="shared" si="522"/>
        <v>0</v>
      </c>
      <c r="M594" s="414">
        <f t="shared" si="523"/>
        <v>0</v>
      </c>
      <c r="N594" s="329">
        <f t="shared" si="534"/>
        <v>0</v>
      </c>
      <c r="O594" s="35">
        <f t="shared" si="524"/>
        <v>25.06611111099599</v>
      </c>
      <c r="P594" s="414">
        <f t="shared" si="525"/>
        <v>0</v>
      </c>
      <c r="Q594" s="329">
        <f t="shared" si="535"/>
        <v>0</v>
      </c>
      <c r="R594" s="35">
        <f t="shared" si="526"/>
        <v>0</v>
      </c>
      <c r="S594" s="414">
        <f t="shared" si="527"/>
        <v>0</v>
      </c>
      <c r="T594" s="880">
        <f>[5]Sheet1!$B1009</f>
        <v>8.2200000000000003E-7</v>
      </c>
      <c r="U594" s="10">
        <f t="shared" si="528"/>
        <v>44326</v>
      </c>
      <c r="V594" s="276">
        <f t="shared" si="529"/>
        <v>3.0003000000000001E-4</v>
      </c>
    </row>
    <row r="595" spans="1:22" x14ac:dyDescent="0.25">
      <c r="A595" s="335">
        <f t="shared" si="536"/>
        <v>44327</v>
      </c>
      <c r="B595" s="329">
        <f t="shared" si="530"/>
        <v>0</v>
      </c>
      <c r="C595" s="338">
        <f t="shared" si="516"/>
        <v>587029.25</v>
      </c>
      <c r="D595" s="414">
        <f t="shared" si="517"/>
        <v>0.48</v>
      </c>
      <c r="E595" s="49">
        <f t="shared" si="531"/>
        <v>0</v>
      </c>
      <c r="F595" s="35">
        <f t="shared" si="518"/>
        <v>0</v>
      </c>
      <c r="G595" s="414">
        <f t="shared" si="519"/>
        <v>0</v>
      </c>
      <c r="H595" s="49">
        <f t="shared" si="532"/>
        <v>0</v>
      </c>
      <c r="I595" s="35">
        <f t="shared" si="520"/>
        <v>51238.180000000146</v>
      </c>
      <c r="J595" s="414">
        <f t="shared" si="521"/>
        <v>0.04</v>
      </c>
      <c r="K595" s="329">
        <f t="shared" si="533"/>
        <v>0</v>
      </c>
      <c r="L595" s="35">
        <f t="shared" si="522"/>
        <v>0</v>
      </c>
      <c r="M595" s="414">
        <f t="shared" si="523"/>
        <v>0</v>
      </c>
      <c r="N595" s="329">
        <f t="shared" si="534"/>
        <v>0</v>
      </c>
      <c r="O595" s="35">
        <f t="shared" si="524"/>
        <v>25.06611111099599</v>
      </c>
      <c r="P595" s="414">
        <f t="shared" si="525"/>
        <v>0</v>
      </c>
      <c r="Q595" s="329">
        <f t="shared" si="535"/>
        <v>0</v>
      </c>
      <c r="R595" s="35">
        <f t="shared" si="526"/>
        <v>0</v>
      </c>
      <c r="S595" s="414">
        <f t="shared" si="527"/>
        <v>0</v>
      </c>
      <c r="T595" s="880">
        <f>[5]Sheet1!$B1010</f>
        <v>8.2200000000000003E-7</v>
      </c>
      <c r="U595" s="10">
        <f t="shared" si="528"/>
        <v>44327</v>
      </c>
      <c r="V595" s="276">
        <f t="shared" si="529"/>
        <v>3.0003000000000001E-4</v>
      </c>
    </row>
    <row r="596" spans="1:22" x14ac:dyDescent="0.25">
      <c r="A596" s="335">
        <f t="shared" si="536"/>
        <v>44328</v>
      </c>
      <c r="B596" s="329">
        <f t="shared" si="530"/>
        <v>0</v>
      </c>
      <c r="C596" s="338">
        <f t="shared" si="516"/>
        <v>587029.25</v>
      </c>
      <c r="D596" s="414">
        <f t="shared" si="517"/>
        <v>0.48</v>
      </c>
      <c r="E596" s="49">
        <f t="shared" si="531"/>
        <v>0</v>
      </c>
      <c r="F596" s="35">
        <f t="shared" si="518"/>
        <v>0</v>
      </c>
      <c r="G596" s="414">
        <f t="shared" si="519"/>
        <v>0</v>
      </c>
      <c r="H596" s="49">
        <f t="shared" si="532"/>
        <v>0</v>
      </c>
      <c r="I596" s="35">
        <f t="shared" si="520"/>
        <v>51238.180000000146</v>
      </c>
      <c r="J596" s="414">
        <f t="shared" si="521"/>
        <v>0.04</v>
      </c>
      <c r="K596" s="329">
        <f t="shared" si="533"/>
        <v>0</v>
      </c>
      <c r="L596" s="35">
        <f t="shared" si="522"/>
        <v>0</v>
      </c>
      <c r="M596" s="414">
        <f t="shared" si="523"/>
        <v>0</v>
      </c>
      <c r="N596" s="329">
        <f t="shared" si="534"/>
        <v>0</v>
      </c>
      <c r="O596" s="35">
        <f t="shared" si="524"/>
        <v>25.06611111099599</v>
      </c>
      <c r="P596" s="414">
        <f t="shared" si="525"/>
        <v>0</v>
      </c>
      <c r="Q596" s="329">
        <f t="shared" si="535"/>
        <v>0</v>
      </c>
      <c r="R596" s="35">
        <f t="shared" si="526"/>
        <v>0</v>
      </c>
      <c r="S596" s="414">
        <f t="shared" si="527"/>
        <v>0</v>
      </c>
      <c r="T596" s="880">
        <f>[5]Sheet1!$B1011</f>
        <v>8.2200000000000003E-7</v>
      </c>
      <c r="U596" s="10">
        <f t="shared" si="528"/>
        <v>44328</v>
      </c>
      <c r="V596" s="276">
        <f t="shared" si="529"/>
        <v>3.0003000000000001E-4</v>
      </c>
    </row>
    <row r="597" spans="1:22" x14ac:dyDescent="0.25">
      <c r="A597" s="335">
        <f t="shared" si="536"/>
        <v>44329</v>
      </c>
      <c r="B597" s="329">
        <f t="shared" si="530"/>
        <v>0</v>
      </c>
      <c r="C597" s="338">
        <f t="shared" si="516"/>
        <v>587029.25</v>
      </c>
      <c r="D597" s="414">
        <f t="shared" si="517"/>
        <v>0.48</v>
      </c>
      <c r="E597" s="49">
        <f t="shared" si="531"/>
        <v>0</v>
      </c>
      <c r="F597" s="35">
        <f t="shared" si="518"/>
        <v>0</v>
      </c>
      <c r="G597" s="414">
        <f t="shared" si="519"/>
        <v>0</v>
      </c>
      <c r="H597" s="49">
        <f t="shared" si="532"/>
        <v>-6560</v>
      </c>
      <c r="I597" s="35">
        <f t="shared" si="520"/>
        <v>44678.180000000146</v>
      </c>
      <c r="J597" s="414">
        <f t="shared" si="521"/>
        <v>0.04</v>
      </c>
      <c r="K597" s="329">
        <f t="shared" si="533"/>
        <v>0</v>
      </c>
      <c r="L597" s="35">
        <f t="shared" si="522"/>
        <v>0</v>
      </c>
      <c r="M597" s="414">
        <f t="shared" si="523"/>
        <v>0</v>
      </c>
      <c r="N597" s="329">
        <f t="shared" si="534"/>
        <v>0</v>
      </c>
      <c r="O597" s="35">
        <f t="shared" si="524"/>
        <v>25.06611111099599</v>
      </c>
      <c r="P597" s="414">
        <f t="shared" si="525"/>
        <v>0</v>
      </c>
      <c r="Q597" s="329">
        <f t="shared" si="535"/>
        <v>0</v>
      </c>
      <c r="R597" s="35">
        <f t="shared" si="526"/>
        <v>0</v>
      </c>
      <c r="S597" s="414">
        <f t="shared" si="527"/>
        <v>0</v>
      </c>
      <c r="T597" s="880">
        <f>[5]Sheet1!$B1012</f>
        <v>8.2200000000000003E-7</v>
      </c>
      <c r="U597" s="10">
        <f t="shared" si="528"/>
        <v>44329</v>
      </c>
      <c r="V597" s="276">
        <f t="shared" si="529"/>
        <v>3.0003000000000001E-4</v>
      </c>
    </row>
    <row r="598" spans="1:22" x14ac:dyDescent="0.25">
      <c r="A598" s="335">
        <f t="shared" si="536"/>
        <v>44330</v>
      </c>
      <c r="B598" s="329">
        <f t="shared" si="530"/>
        <v>0</v>
      </c>
      <c r="C598" s="338">
        <f t="shared" si="516"/>
        <v>587029.25</v>
      </c>
      <c r="D598" s="414">
        <f t="shared" si="517"/>
        <v>0.48</v>
      </c>
      <c r="E598" s="49">
        <f t="shared" si="531"/>
        <v>0</v>
      </c>
      <c r="F598" s="35">
        <f t="shared" si="518"/>
        <v>0</v>
      </c>
      <c r="G598" s="414">
        <f t="shared" si="519"/>
        <v>0</v>
      </c>
      <c r="H598" s="49">
        <f t="shared" si="532"/>
        <v>0</v>
      </c>
      <c r="I598" s="35">
        <f t="shared" si="520"/>
        <v>44678.180000000146</v>
      </c>
      <c r="J598" s="414">
        <f t="shared" si="521"/>
        <v>0.04</v>
      </c>
      <c r="K598" s="329">
        <f t="shared" si="533"/>
        <v>0</v>
      </c>
      <c r="L598" s="35">
        <f t="shared" si="522"/>
        <v>0</v>
      </c>
      <c r="M598" s="414">
        <f t="shared" si="523"/>
        <v>0</v>
      </c>
      <c r="N598" s="329">
        <f t="shared" si="534"/>
        <v>0</v>
      </c>
      <c r="O598" s="35">
        <f t="shared" si="524"/>
        <v>25.06611111099599</v>
      </c>
      <c r="P598" s="414">
        <f t="shared" si="525"/>
        <v>0</v>
      </c>
      <c r="Q598" s="329">
        <f t="shared" si="535"/>
        <v>0</v>
      </c>
      <c r="R598" s="35">
        <f t="shared" si="526"/>
        <v>0</v>
      </c>
      <c r="S598" s="414">
        <f t="shared" si="527"/>
        <v>0</v>
      </c>
      <c r="T598" s="880">
        <f>[5]Sheet1!$B1013</f>
        <v>2.4660000000000002E-6</v>
      </c>
      <c r="U598" s="10">
        <f t="shared" si="528"/>
        <v>44330</v>
      </c>
      <c r="V598" s="276">
        <f t="shared" si="529"/>
        <v>3.0003000000000001E-4</v>
      </c>
    </row>
    <row r="599" spans="1:22" x14ac:dyDescent="0.25">
      <c r="A599" s="335">
        <f t="shared" si="536"/>
        <v>44333</v>
      </c>
      <c r="B599" s="329">
        <f t="shared" si="530"/>
        <v>6500</v>
      </c>
      <c r="C599" s="338">
        <f t="shared" si="516"/>
        <v>593529.25</v>
      </c>
      <c r="D599" s="414">
        <f t="shared" si="517"/>
        <v>1.45</v>
      </c>
      <c r="E599" s="49">
        <f t="shared" si="531"/>
        <v>0</v>
      </c>
      <c r="F599" s="35">
        <f t="shared" si="518"/>
        <v>0</v>
      </c>
      <c r="G599" s="414">
        <f t="shared" si="519"/>
        <v>0</v>
      </c>
      <c r="H599" s="49">
        <f t="shared" si="532"/>
        <v>0</v>
      </c>
      <c r="I599" s="35">
        <f t="shared" si="520"/>
        <v>44678.180000000146</v>
      </c>
      <c r="J599" s="414">
        <f t="shared" si="521"/>
        <v>0.11</v>
      </c>
      <c r="K599" s="329">
        <f t="shared" si="533"/>
        <v>0</v>
      </c>
      <c r="L599" s="35">
        <f t="shared" si="522"/>
        <v>0</v>
      </c>
      <c r="M599" s="414">
        <f t="shared" si="523"/>
        <v>0</v>
      </c>
      <c r="N599" s="329">
        <f t="shared" si="534"/>
        <v>0</v>
      </c>
      <c r="O599" s="35">
        <f t="shared" si="524"/>
        <v>25.06611111099599</v>
      </c>
      <c r="P599" s="414">
        <f t="shared" si="525"/>
        <v>0</v>
      </c>
      <c r="Q599" s="329">
        <f t="shared" si="535"/>
        <v>0</v>
      </c>
      <c r="R599" s="35">
        <f t="shared" si="526"/>
        <v>0</v>
      </c>
      <c r="S599" s="414">
        <f t="shared" si="527"/>
        <v>0</v>
      </c>
      <c r="T599" s="880">
        <f>[5]Sheet1!$B1014</f>
        <v>8.2200000000000003E-7</v>
      </c>
      <c r="U599" s="10">
        <f t="shared" si="528"/>
        <v>44333</v>
      </c>
      <c r="V599" s="276">
        <f t="shared" si="529"/>
        <v>3.0003000000000001E-4</v>
      </c>
    </row>
    <row r="600" spans="1:22" x14ac:dyDescent="0.25">
      <c r="A600" s="335">
        <f t="shared" si="536"/>
        <v>44334</v>
      </c>
      <c r="B600" s="329">
        <f t="shared" si="530"/>
        <v>0</v>
      </c>
      <c r="C600" s="338">
        <f t="shared" si="516"/>
        <v>593529.25</v>
      </c>
      <c r="D600" s="414">
        <f t="shared" si="517"/>
        <v>0.49</v>
      </c>
      <c r="E600" s="49">
        <f t="shared" si="531"/>
        <v>0</v>
      </c>
      <c r="F600" s="35">
        <f t="shared" si="518"/>
        <v>0</v>
      </c>
      <c r="G600" s="414">
        <f t="shared" si="519"/>
        <v>0</v>
      </c>
      <c r="H600" s="49">
        <f t="shared" si="532"/>
        <v>0</v>
      </c>
      <c r="I600" s="35">
        <f t="shared" si="520"/>
        <v>44678.180000000146</v>
      </c>
      <c r="J600" s="414">
        <f t="shared" si="521"/>
        <v>0.04</v>
      </c>
      <c r="K600" s="329">
        <f t="shared" si="533"/>
        <v>0</v>
      </c>
      <c r="L600" s="35">
        <f t="shared" si="522"/>
        <v>0</v>
      </c>
      <c r="M600" s="414">
        <f t="shared" si="523"/>
        <v>0</v>
      </c>
      <c r="N600" s="329">
        <f t="shared" si="534"/>
        <v>0</v>
      </c>
      <c r="O600" s="35">
        <f t="shared" si="524"/>
        <v>25.06611111099599</v>
      </c>
      <c r="P600" s="414">
        <f t="shared" si="525"/>
        <v>0</v>
      </c>
      <c r="Q600" s="329">
        <f t="shared" si="535"/>
        <v>0</v>
      </c>
      <c r="R600" s="35">
        <f t="shared" si="526"/>
        <v>0</v>
      </c>
      <c r="S600" s="414">
        <f t="shared" si="527"/>
        <v>0</v>
      </c>
      <c r="T600" s="880">
        <f>[5]Sheet1!$B1015</f>
        <v>8.2200000000000003E-7</v>
      </c>
      <c r="U600" s="10">
        <f t="shared" si="528"/>
        <v>44334</v>
      </c>
      <c r="V600" s="276">
        <f t="shared" si="529"/>
        <v>3.0003000000000001E-4</v>
      </c>
    </row>
    <row r="601" spans="1:22" x14ac:dyDescent="0.25">
      <c r="A601" s="335">
        <f t="shared" si="536"/>
        <v>44335</v>
      </c>
      <c r="B601" s="329">
        <f t="shared" si="530"/>
        <v>-587029.25</v>
      </c>
      <c r="C601" s="338">
        <f t="shared" si="516"/>
        <v>6500</v>
      </c>
      <c r="D601" s="414">
        <f t="shared" si="517"/>
        <v>0.49</v>
      </c>
      <c r="E601" s="49">
        <f t="shared" si="531"/>
        <v>0</v>
      </c>
      <c r="F601" s="35">
        <f t="shared" si="518"/>
        <v>0</v>
      </c>
      <c r="G601" s="414">
        <f t="shared" si="519"/>
        <v>0</v>
      </c>
      <c r="H601" s="49">
        <f t="shared" si="532"/>
        <v>-149.05000000000001</v>
      </c>
      <c r="I601" s="35">
        <f t="shared" si="520"/>
        <v>44529.130000000143</v>
      </c>
      <c r="J601" s="414">
        <f t="shared" si="521"/>
        <v>0.04</v>
      </c>
      <c r="K601" s="329">
        <f t="shared" si="533"/>
        <v>0</v>
      </c>
      <c r="L601" s="35">
        <f t="shared" si="522"/>
        <v>0</v>
      </c>
      <c r="M601" s="414">
        <f t="shared" si="523"/>
        <v>0</v>
      </c>
      <c r="N601" s="329">
        <f t="shared" si="534"/>
        <v>0</v>
      </c>
      <c r="O601" s="35">
        <f t="shared" si="524"/>
        <v>25.06611111099599</v>
      </c>
      <c r="P601" s="414">
        <f t="shared" si="525"/>
        <v>0</v>
      </c>
      <c r="Q601" s="329">
        <f t="shared" si="535"/>
        <v>0</v>
      </c>
      <c r="R601" s="35">
        <f t="shared" si="526"/>
        <v>0</v>
      </c>
      <c r="S601" s="414">
        <f t="shared" si="527"/>
        <v>0</v>
      </c>
      <c r="T601" s="880">
        <f>[5]Sheet1!$B1016</f>
        <v>8.2200000000000003E-7</v>
      </c>
      <c r="U601" s="10">
        <f t="shared" si="528"/>
        <v>44335</v>
      </c>
      <c r="V601" s="276">
        <f t="shared" si="529"/>
        <v>3.0003000000000001E-4</v>
      </c>
    </row>
    <row r="602" spans="1:22" x14ac:dyDescent="0.25">
      <c r="A602" s="335">
        <f t="shared" si="536"/>
        <v>44336</v>
      </c>
      <c r="B602" s="329">
        <f t="shared" si="530"/>
        <v>0</v>
      </c>
      <c r="C602" s="338">
        <f t="shared" si="516"/>
        <v>6500</v>
      </c>
      <c r="D602" s="414">
        <f t="shared" si="517"/>
        <v>0.01</v>
      </c>
      <c r="E602" s="49">
        <f t="shared" si="531"/>
        <v>0</v>
      </c>
      <c r="F602" s="35">
        <f t="shared" si="518"/>
        <v>0</v>
      </c>
      <c r="G602" s="414">
        <f t="shared" si="519"/>
        <v>0</v>
      </c>
      <c r="H602" s="49">
        <f t="shared" si="532"/>
        <v>0</v>
      </c>
      <c r="I602" s="35">
        <f t="shared" si="520"/>
        <v>44529.130000000143</v>
      </c>
      <c r="J602" s="414">
        <f t="shared" si="521"/>
        <v>0.04</v>
      </c>
      <c r="K602" s="329">
        <f t="shared" si="533"/>
        <v>0</v>
      </c>
      <c r="L602" s="35">
        <f t="shared" si="522"/>
        <v>0</v>
      </c>
      <c r="M602" s="414">
        <f t="shared" si="523"/>
        <v>0</v>
      </c>
      <c r="N602" s="329">
        <f t="shared" si="534"/>
        <v>0</v>
      </c>
      <c r="O602" s="35">
        <f t="shared" si="524"/>
        <v>25.06611111099599</v>
      </c>
      <c r="P602" s="414">
        <f t="shared" si="525"/>
        <v>0</v>
      </c>
      <c r="Q602" s="329">
        <f t="shared" si="535"/>
        <v>0</v>
      </c>
      <c r="R602" s="35">
        <f t="shared" si="526"/>
        <v>0</v>
      </c>
      <c r="S602" s="414">
        <f t="shared" si="527"/>
        <v>0</v>
      </c>
      <c r="T602" s="880">
        <f>[5]Sheet1!$B1017</f>
        <v>8.2200000000000003E-7</v>
      </c>
      <c r="U602" s="10">
        <f t="shared" si="528"/>
        <v>44336</v>
      </c>
      <c r="V602" s="276">
        <f t="shared" si="529"/>
        <v>3.0003000000000001E-4</v>
      </c>
    </row>
    <row r="603" spans="1:22" x14ac:dyDescent="0.25">
      <c r="A603" s="335">
        <f t="shared" si="536"/>
        <v>44337</v>
      </c>
      <c r="B603" s="329">
        <f t="shared" si="530"/>
        <v>312364.18</v>
      </c>
      <c r="C603" s="338">
        <f t="shared" si="516"/>
        <v>318864.18</v>
      </c>
      <c r="D603" s="414">
        <f t="shared" si="517"/>
        <v>0.01</v>
      </c>
      <c r="E603" s="49">
        <f t="shared" si="531"/>
        <v>0</v>
      </c>
      <c r="F603" s="35">
        <f t="shared" si="518"/>
        <v>0</v>
      </c>
      <c r="G603" s="414">
        <f t="shared" si="519"/>
        <v>0</v>
      </c>
      <c r="H603" s="49">
        <f t="shared" si="532"/>
        <v>0</v>
      </c>
      <c r="I603" s="35">
        <f t="shared" si="520"/>
        <v>44529.130000000143</v>
      </c>
      <c r="J603" s="414">
        <f t="shared" si="521"/>
        <v>0.04</v>
      </c>
      <c r="K603" s="329">
        <f t="shared" si="533"/>
        <v>0</v>
      </c>
      <c r="L603" s="35">
        <f t="shared" si="522"/>
        <v>0</v>
      </c>
      <c r="M603" s="414">
        <f t="shared" si="523"/>
        <v>0</v>
      </c>
      <c r="N603" s="329">
        <f t="shared" si="534"/>
        <v>0</v>
      </c>
      <c r="O603" s="35">
        <f t="shared" si="524"/>
        <v>25.06611111099599</v>
      </c>
      <c r="P603" s="414">
        <f t="shared" si="525"/>
        <v>0</v>
      </c>
      <c r="Q603" s="329">
        <f t="shared" si="535"/>
        <v>0</v>
      </c>
      <c r="R603" s="35">
        <f t="shared" si="526"/>
        <v>0</v>
      </c>
      <c r="S603" s="414">
        <f t="shared" si="527"/>
        <v>0</v>
      </c>
      <c r="T603" s="880">
        <f>[5]Sheet1!$B1018</f>
        <v>2.4660000000000002E-6</v>
      </c>
      <c r="U603" s="10">
        <f t="shared" si="528"/>
        <v>44337</v>
      </c>
      <c r="V603" s="276">
        <f t="shared" si="529"/>
        <v>3.0003000000000001E-4</v>
      </c>
    </row>
    <row r="604" spans="1:22" x14ac:dyDescent="0.25">
      <c r="A604" s="335">
        <f t="shared" si="536"/>
        <v>44340</v>
      </c>
      <c r="B604" s="329">
        <f t="shared" si="530"/>
        <v>0</v>
      </c>
      <c r="C604" s="338">
        <f t="shared" si="516"/>
        <v>318864.18</v>
      </c>
      <c r="D604" s="414">
        <f t="shared" si="517"/>
        <v>0.79</v>
      </c>
      <c r="E604" s="49">
        <f t="shared" si="531"/>
        <v>0</v>
      </c>
      <c r="F604" s="35">
        <f t="shared" si="518"/>
        <v>0</v>
      </c>
      <c r="G604" s="414">
        <f t="shared" si="519"/>
        <v>0</v>
      </c>
      <c r="H604" s="49">
        <f t="shared" si="532"/>
        <v>0</v>
      </c>
      <c r="I604" s="35">
        <f t="shared" si="520"/>
        <v>44529.130000000143</v>
      </c>
      <c r="J604" s="414">
        <f t="shared" si="521"/>
        <v>0.11</v>
      </c>
      <c r="K604" s="329">
        <f t="shared" si="533"/>
        <v>0</v>
      </c>
      <c r="L604" s="35">
        <f t="shared" si="522"/>
        <v>0</v>
      </c>
      <c r="M604" s="414">
        <f t="shared" si="523"/>
        <v>0</v>
      </c>
      <c r="N604" s="329">
        <f t="shared" si="534"/>
        <v>0</v>
      </c>
      <c r="O604" s="35">
        <f t="shared" si="524"/>
        <v>25.06611111099599</v>
      </c>
      <c r="P604" s="414">
        <f t="shared" si="525"/>
        <v>0</v>
      </c>
      <c r="Q604" s="329">
        <f t="shared" si="535"/>
        <v>0</v>
      </c>
      <c r="R604" s="35">
        <f t="shared" si="526"/>
        <v>0</v>
      </c>
      <c r="S604" s="414">
        <f t="shared" si="527"/>
        <v>0</v>
      </c>
      <c r="T604" s="880">
        <f>[5]Sheet1!$B1019</f>
        <v>8.2200000000000003E-7</v>
      </c>
      <c r="U604" s="10">
        <f t="shared" si="528"/>
        <v>44340</v>
      </c>
      <c r="V604" s="276">
        <f t="shared" si="529"/>
        <v>3.0003000000000001E-4</v>
      </c>
    </row>
    <row r="605" spans="1:22" x14ac:dyDescent="0.25">
      <c r="A605" s="335">
        <f t="shared" si="536"/>
        <v>44341</v>
      </c>
      <c r="B605" s="329">
        <f t="shared" si="530"/>
        <v>0</v>
      </c>
      <c r="C605" s="338">
        <f t="shared" si="516"/>
        <v>318864.18</v>
      </c>
      <c r="D605" s="414">
        <f t="shared" si="517"/>
        <v>0.26</v>
      </c>
      <c r="E605" s="49">
        <f t="shared" si="531"/>
        <v>0</v>
      </c>
      <c r="F605" s="35">
        <f t="shared" si="518"/>
        <v>0</v>
      </c>
      <c r="G605" s="414">
        <f t="shared" si="519"/>
        <v>0</v>
      </c>
      <c r="H605" s="49">
        <f t="shared" si="532"/>
        <v>0</v>
      </c>
      <c r="I605" s="35">
        <f t="shared" si="520"/>
        <v>44529.130000000143</v>
      </c>
      <c r="J605" s="414">
        <f t="shared" si="521"/>
        <v>0.04</v>
      </c>
      <c r="K605" s="329">
        <f t="shared" si="533"/>
        <v>0</v>
      </c>
      <c r="L605" s="35">
        <f t="shared" si="522"/>
        <v>0</v>
      </c>
      <c r="M605" s="414">
        <f t="shared" si="523"/>
        <v>0</v>
      </c>
      <c r="N605" s="329">
        <f t="shared" si="534"/>
        <v>0</v>
      </c>
      <c r="O605" s="35">
        <f t="shared" si="524"/>
        <v>25.06611111099599</v>
      </c>
      <c r="P605" s="414">
        <f t="shared" si="525"/>
        <v>0</v>
      </c>
      <c r="Q605" s="329">
        <f t="shared" si="535"/>
        <v>0</v>
      </c>
      <c r="R605" s="35">
        <f t="shared" si="526"/>
        <v>0</v>
      </c>
      <c r="S605" s="414">
        <f t="shared" si="527"/>
        <v>0</v>
      </c>
      <c r="T605" s="880">
        <f>[5]Sheet1!$B1020</f>
        <v>8.2200000000000003E-7</v>
      </c>
      <c r="U605" s="10">
        <f t="shared" si="528"/>
        <v>44341</v>
      </c>
      <c r="V605" s="276">
        <f t="shared" si="529"/>
        <v>3.0003000000000001E-4</v>
      </c>
    </row>
    <row r="606" spans="1:22" x14ac:dyDescent="0.25">
      <c r="A606" s="335">
        <f t="shared" si="536"/>
        <v>44342</v>
      </c>
      <c r="B606" s="329">
        <f t="shared" si="530"/>
        <v>0</v>
      </c>
      <c r="C606" s="338">
        <f t="shared" si="516"/>
        <v>318864.18</v>
      </c>
      <c r="D606" s="414">
        <f t="shared" si="517"/>
        <v>0.26</v>
      </c>
      <c r="E606" s="49">
        <f t="shared" si="531"/>
        <v>0</v>
      </c>
      <c r="F606" s="35">
        <f t="shared" si="518"/>
        <v>0</v>
      </c>
      <c r="G606" s="414">
        <f t="shared" si="519"/>
        <v>0</v>
      </c>
      <c r="H606" s="49">
        <f t="shared" si="532"/>
        <v>0</v>
      </c>
      <c r="I606" s="35">
        <f t="shared" si="520"/>
        <v>44529.130000000143</v>
      </c>
      <c r="J606" s="414">
        <f t="shared" si="521"/>
        <v>0.04</v>
      </c>
      <c r="K606" s="329">
        <f t="shared" si="533"/>
        <v>0</v>
      </c>
      <c r="L606" s="35">
        <f t="shared" si="522"/>
        <v>0</v>
      </c>
      <c r="M606" s="414">
        <f t="shared" si="523"/>
        <v>0</v>
      </c>
      <c r="N606" s="329">
        <f t="shared" si="534"/>
        <v>0</v>
      </c>
      <c r="O606" s="35">
        <f t="shared" si="524"/>
        <v>25.06611111099599</v>
      </c>
      <c r="P606" s="414">
        <f t="shared" si="525"/>
        <v>0</v>
      </c>
      <c r="Q606" s="329">
        <f t="shared" si="535"/>
        <v>0</v>
      </c>
      <c r="R606" s="35">
        <f t="shared" si="526"/>
        <v>0</v>
      </c>
      <c r="S606" s="414">
        <f t="shared" si="527"/>
        <v>0</v>
      </c>
      <c r="T606" s="880">
        <f>[5]Sheet1!$B1021</f>
        <v>8.2200000000000003E-7</v>
      </c>
      <c r="U606" s="10">
        <f t="shared" si="528"/>
        <v>44342</v>
      </c>
      <c r="V606" s="276">
        <f t="shared" si="529"/>
        <v>3.0003000000000001E-4</v>
      </c>
    </row>
    <row r="607" spans="1:22" x14ac:dyDescent="0.25">
      <c r="A607" s="335">
        <f t="shared" si="536"/>
        <v>44343</v>
      </c>
      <c r="B607" s="329">
        <f t="shared" si="530"/>
        <v>0</v>
      </c>
      <c r="C607" s="338">
        <f t="shared" si="516"/>
        <v>318864.18</v>
      </c>
      <c r="D607" s="414">
        <f t="shared" si="517"/>
        <v>0.26</v>
      </c>
      <c r="E607" s="49">
        <f t="shared" si="531"/>
        <v>0</v>
      </c>
      <c r="F607" s="35">
        <f t="shared" si="518"/>
        <v>0</v>
      </c>
      <c r="G607" s="414">
        <f t="shared" si="519"/>
        <v>0</v>
      </c>
      <c r="H607" s="49">
        <f t="shared" si="532"/>
        <v>0</v>
      </c>
      <c r="I607" s="35">
        <f t="shared" si="520"/>
        <v>44529.130000000143</v>
      </c>
      <c r="J607" s="414">
        <f t="shared" si="521"/>
        <v>0.04</v>
      </c>
      <c r="K607" s="329">
        <f t="shared" si="533"/>
        <v>0</v>
      </c>
      <c r="L607" s="35">
        <f t="shared" si="522"/>
        <v>0</v>
      </c>
      <c r="M607" s="414">
        <f t="shared" si="523"/>
        <v>0</v>
      </c>
      <c r="N607" s="329">
        <f t="shared" si="534"/>
        <v>0</v>
      </c>
      <c r="O607" s="35">
        <f t="shared" si="524"/>
        <v>25.06611111099599</v>
      </c>
      <c r="P607" s="414">
        <f t="shared" si="525"/>
        <v>0</v>
      </c>
      <c r="Q607" s="329">
        <f t="shared" si="535"/>
        <v>0</v>
      </c>
      <c r="R607" s="35">
        <f t="shared" si="526"/>
        <v>0</v>
      </c>
      <c r="S607" s="414">
        <f t="shared" si="527"/>
        <v>0</v>
      </c>
      <c r="T607" s="880">
        <f>[5]Sheet1!$B1022</f>
        <v>8.2200000000000003E-7</v>
      </c>
      <c r="U607" s="10">
        <f t="shared" si="528"/>
        <v>44343</v>
      </c>
      <c r="V607" s="276">
        <f t="shared" si="529"/>
        <v>3.0003000000000001E-4</v>
      </c>
    </row>
    <row r="608" spans="1:22" x14ac:dyDescent="0.25">
      <c r="A608" s="335">
        <f t="shared" si="536"/>
        <v>44344</v>
      </c>
      <c r="B608" s="329">
        <f t="shared" si="530"/>
        <v>0</v>
      </c>
      <c r="C608" s="338">
        <f t="shared" si="516"/>
        <v>318864.18</v>
      </c>
      <c r="D608" s="414">
        <f t="shared" si="517"/>
        <v>0.26</v>
      </c>
      <c r="E608" s="49">
        <f t="shared" si="531"/>
        <v>0</v>
      </c>
      <c r="F608" s="35">
        <f t="shared" si="518"/>
        <v>0</v>
      </c>
      <c r="G608" s="414">
        <f t="shared" si="519"/>
        <v>0</v>
      </c>
      <c r="H608" s="49">
        <f t="shared" si="532"/>
        <v>0</v>
      </c>
      <c r="I608" s="35">
        <f t="shared" si="520"/>
        <v>44529.130000000143</v>
      </c>
      <c r="J608" s="414">
        <f t="shared" si="521"/>
        <v>0.04</v>
      </c>
      <c r="K608" s="329">
        <f t="shared" si="533"/>
        <v>0</v>
      </c>
      <c r="L608" s="35">
        <f t="shared" si="522"/>
        <v>0</v>
      </c>
      <c r="M608" s="414">
        <f t="shared" si="523"/>
        <v>0</v>
      </c>
      <c r="N608" s="329">
        <f t="shared" si="534"/>
        <v>0</v>
      </c>
      <c r="O608" s="35">
        <f t="shared" si="524"/>
        <v>25.06611111099599</v>
      </c>
      <c r="P608" s="414">
        <f t="shared" si="525"/>
        <v>0</v>
      </c>
      <c r="Q608" s="329">
        <f t="shared" si="535"/>
        <v>0</v>
      </c>
      <c r="R608" s="35">
        <f t="shared" si="526"/>
        <v>0</v>
      </c>
      <c r="S608" s="414">
        <f t="shared" si="527"/>
        <v>0</v>
      </c>
      <c r="T608" s="880">
        <f>[5]Sheet1!$B1023</f>
        <v>2.4660000000000002E-6</v>
      </c>
      <c r="U608" s="10">
        <f t="shared" si="528"/>
        <v>44344</v>
      </c>
      <c r="V608" s="276">
        <f t="shared" si="529"/>
        <v>3.0003000000000001E-4</v>
      </c>
    </row>
    <row r="609" spans="1:22" x14ac:dyDescent="0.25">
      <c r="A609" s="335">
        <v>44347</v>
      </c>
      <c r="B609" s="329">
        <f t="shared" si="530"/>
        <v>0</v>
      </c>
      <c r="C609" s="338">
        <f t="shared" si="516"/>
        <v>318864.18</v>
      </c>
      <c r="D609" s="414">
        <f t="shared" si="517"/>
        <v>0.79</v>
      </c>
      <c r="E609" s="49">
        <f t="shared" si="531"/>
        <v>0</v>
      </c>
      <c r="F609" s="35">
        <f t="shared" si="518"/>
        <v>0</v>
      </c>
      <c r="G609" s="414">
        <f t="shared" si="519"/>
        <v>0</v>
      </c>
      <c r="H609" s="49">
        <f t="shared" si="532"/>
        <v>0</v>
      </c>
      <c r="I609" s="35">
        <f t="shared" si="520"/>
        <v>44529.130000000143</v>
      </c>
      <c r="J609" s="414">
        <f t="shared" si="521"/>
        <v>0.11</v>
      </c>
      <c r="K609" s="329">
        <f t="shared" si="533"/>
        <v>0</v>
      </c>
      <c r="L609" s="35">
        <f t="shared" si="522"/>
        <v>0</v>
      </c>
      <c r="M609" s="414">
        <f t="shared" si="523"/>
        <v>0</v>
      </c>
      <c r="N609" s="329">
        <f t="shared" si="534"/>
        <v>0</v>
      </c>
      <c r="O609" s="35">
        <f t="shared" si="524"/>
        <v>25.06611111099599</v>
      </c>
      <c r="P609" s="414">
        <f t="shared" si="525"/>
        <v>0</v>
      </c>
      <c r="Q609" s="329">
        <f t="shared" si="535"/>
        <v>0</v>
      </c>
      <c r="R609" s="35">
        <f t="shared" si="526"/>
        <v>0</v>
      </c>
      <c r="S609" s="414">
        <f t="shared" si="527"/>
        <v>0</v>
      </c>
      <c r="T609" s="880">
        <f>[5]Sheet1!$B1024</f>
        <v>8.2200000000000003E-7</v>
      </c>
      <c r="U609" s="10">
        <f t="shared" si="528"/>
        <v>44347</v>
      </c>
      <c r="V609" s="276">
        <f t="shared" si="529"/>
        <v>3.0003000000000001E-4</v>
      </c>
    </row>
    <row r="610" spans="1:22" x14ac:dyDescent="0.25">
      <c r="A610" s="335">
        <f t="shared" si="536"/>
        <v>44348</v>
      </c>
      <c r="B610" s="329">
        <f t="shared" si="530"/>
        <v>240138.78</v>
      </c>
      <c r="C610" s="338">
        <f t="shared" si="516"/>
        <v>559002.96</v>
      </c>
      <c r="D610" s="414">
        <f t="shared" si="517"/>
        <v>0.26</v>
      </c>
      <c r="E610" s="49">
        <f t="shared" si="531"/>
        <v>0</v>
      </c>
      <c r="F610" s="35">
        <f t="shared" si="518"/>
        <v>0</v>
      </c>
      <c r="G610" s="414">
        <f t="shared" si="519"/>
        <v>0</v>
      </c>
      <c r="H610" s="49">
        <f t="shared" si="532"/>
        <v>0</v>
      </c>
      <c r="I610" s="35">
        <f t="shared" si="520"/>
        <v>44529.130000000143</v>
      </c>
      <c r="J610" s="414">
        <f t="shared" si="521"/>
        <v>0.04</v>
      </c>
      <c r="K610" s="329">
        <f t="shared" si="533"/>
        <v>0</v>
      </c>
      <c r="L610" s="35">
        <f t="shared" si="522"/>
        <v>0</v>
      </c>
      <c r="M610" s="414">
        <f t="shared" si="523"/>
        <v>0</v>
      </c>
      <c r="N610" s="329">
        <f t="shared" si="534"/>
        <v>0</v>
      </c>
      <c r="O610" s="35">
        <f t="shared" si="524"/>
        <v>25.06611111099599</v>
      </c>
      <c r="P610" s="414">
        <f t="shared" si="525"/>
        <v>0</v>
      </c>
      <c r="Q610" s="329">
        <f t="shared" si="535"/>
        <v>0</v>
      </c>
      <c r="R610" s="35">
        <f t="shared" si="526"/>
        <v>0</v>
      </c>
      <c r="S610" s="414">
        <f t="shared" si="527"/>
        <v>0</v>
      </c>
      <c r="T610" s="880">
        <f>[5]Sheet1!$B1025</f>
        <v>8.2200000000000003E-7</v>
      </c>
      <c r="U610" s="10">
        <f t="shared" si="528"/>
        <v>44348</v>
      </c>
      <c r="V610" s="276">
        <f t="shared" si="529"/>
        <v>3.0003000000000001E-4</v>
      </c>
    </row>
    <row r="611" spans="1:22" x14ac:dyDescent="0.25">
      <c r="A611" s="335">
        <f t="shared" si="536"/>
        <v>44349</v>
      </c>
      <c r="B611" s="329">
        <f t="shared" si="530"/>
        <v>-128555.34</v>
      </c>
      <c r="C611" s="338">
        <f t="shared" si="516"/>
        <v>430447.62</v>
      </c>
      <c r="D611" s="414">
        <f t="shared" si="517"/>
        <v>0.46</v>
      </c>
      <c r="E611" s="49">
        <f t="shared" si="531"/>
        <v>0</v>
      </c>
      <c r="F611" s="35">
        <f t="shared" si="518"/>
        <v>0</v>
      </c>
      <c r="G611" s="414">
        <f t="shared" si="519"/>
        <v>0</v>
      </c>
      <c r="H611" s="49">
        <f t="shared" si="532"/>
        <v>1.22</v>
      </c>
      <c r="I611" s="35">
        <f t="shared" si="520"/>
        <v>44530.350000000144</v>
      </c>
      <c r="J611" s="414">
        <f t="shared" si="521"/>
        <v>0.04</v>
      </c>
      <c r="K611" s="329">
        <f t="shared" si="533"/>
        <v>0</v>
      </c>
      <c r="L611" s="35">
        <f t="shared" si="522"/>
        <v>0</v>
      </c>
      <c r="M611" s="414">
        <f t="shared" si="523"/>
        <v>0</v>
      </c>
      <c r="N611" s="329">
        <f t="shared" si="534"/>
        <v>0</v>
      </c>
      <c r="O611" s="35">
        <f t="shared" si="524"/>
        <v>25.06611111099599</v>
      </c>
      <c r="P611" s="414">
        <f t="shared" si="525"/>
        <v>0</v>
      </c>
      <c r="Q611" s="329">
        <f t="shared" si="535"/>
        <v>0</v>
      </c>
      <c r="R611" s="35">
        <f t="shared" si="526"/>
        <v>0</v>
      </c>
      <c r="S611" s="414">
        <f t="shared" si="527"/>
        <v>0</v>
      </c>
      <c r="T611" s="880">
        <f>[5]Sheet1!$B1026</f>
        <v>8.2200000000000003E-7</v>
      </c>
      <c r="U611" s="10">
        <f t="shared" si="528"/>
        <v>44349</v>
      </c>
      <c r="V611" s="276">
        <f t="shared" si="529"/>
        <v>3.0003000000000001E-4</v>
      </c>
    </row>
    <row r="612" spans="1:22" x14ac:dyDescent="0.25">
      <c r="A612" s="335">
        <f t="shared" si="536"/>
        <v>44350</v>
      </c>
      <c r="B612" s="329">
        <f t="shared" si="530"/>
        <v>-133890</v>
      </c>
      <c r="C612" s="338">
        <f t="shared" si="516"/>
        <v>296557.62</v>
      </c>
      <c r="D612" s="414">
        <f t="shared" si="517"/>
        <v>0.35</v>
      </c>
      <c r="E612" s="49">
        <f t="shared" si="531"/>
        <v>0</v>
      </c>
      <c r="F612" s="35">
        <f t="shared" si="518"/>
        <v>0</v>
      </c>
      <c r="G612" s="414">
        <f t="shared" si="519"/>
        <v>0</v>
      </c>
      <c r="H612" s="49">
        <f t="shared" si="532"/>
        <v>0</v>
      </c>
      <c r="I612" s="35">
        <f t="shared" si="520"/>
        <v>44530.350000000144</v>
      </c>
      <c r="J612" s="414">
        <f t="shared" si="521"/>
        <v>0.04</v>
      </c>
      <c r="K612" s="329">
        <f t="shared" si="533"/>
        <v>0</v>
      </c>
      <c r="L612" s="35">
        <f t="shared" si="522"/>
        <v>0</v>
      </c>
      <c r="M612" s="414">
        <f t="shared" si="523"/>
        <v>0</v>
      </c>
      <c r="N612" s="329">
        <f t="shared" si="534"/>
        <v>0</v>
      </c>
      <c r="O612" s="35">
        <f t="shared" si="524"/>
        <v>25.06611111099599</v>
      </c>
      <c r="P612" s="414">
        <f t="shared" si="525"/>
        <v>0</v>
      </c>
      <c r="Q612" s="329">
        <f t="shared" si="535"/>
        <v>0</v>
      </c>
      <c r="R612" s="35">
        <f t="shared" si="526"/>
        <v>0</v>
      </c>
      <c r="S612" s="414">
        <f t="shared" si="527"/>
        <v>0</v>
      </c>
      <c r="T612" s="880">
        <f>[5]Sheet1!$B1027</f>
        <v>8.2200000000000003E-7</v>
      </c>
      <c r="U612" s="10">
        <f t="shared" si="528"/>
        <v>44350</v>
      </c>
      <c r="V612" s="276">
        <f t="shared" si="529"/>
        <v>3.0003000000000001E-4</v>
      </c>
    </row>
    <row r="613" spans="1:22" x14ac:dyDescent="0.25">
      <c r="A613" s="335">
        <f t="shared" si="536"/>
        <v>44351</v>
      </c>
      <c r="B613" s="329">
        <f t="shared" si="530"/>
        <v>0</v>
      </c>
      <c r="C613" s="338">
        <f t="shared" si="516"/>
        <v>296557.62</v>
      </c>
      <c r="D613" s="414">
        <f t="shared" si="517"/>
        <v>0.24</v>
      </c>
      <c r="E613" s="49">
        <f t="shared" si="531"/>
        <v>0</v>
      </c>
      <c r="F613" s="35">
        <f t="shared" si="518"/>
        <v>0</v>
      </c>
      <c r="G613" s="414">
        <f t="shared" si="519"/>
        <v>0</v>
      </c>
      <c r="H613" s="49">
        <f t="shared" si="532"/>
        <v>0</v>
      </c>
      <c r="I613" s="35">
        <f t="shared" si="520"/>
        <v>44530.350000000144</v>
      </c>
      <c r="J613" s="414">
        <f t="shared" si="521"/>
        <v>0.04</v>
      </c>
      <c r="K613" s="329">
        <f t="shared" si="533"/>
        <v>0</v>
      </c>
      <c r="L613" s="35">
        <f t="shared" si="522"/>
        <v>0</v>
      </c>
      <c r="M613" s="414">
        <f t="shared" si="523"/>
        <v>0</v>
      </c>
      <c r="N613" s="329">
        <f t="shared" si="534"/>
        <v>0</v>
      </c>
      <c r="O613" s="35">
        <f t="shared" si="524"/>
        <v>25.06611111099599</v>
      </c>
      <c r="P613" s="414">
        <f t="shared" si="525"/>
        <v>0</v>
      </c>
      <c r="Q613" s="329">
        <f t="shared" si="535"/>
        <v>0</v>
      </c>
      <c r="R613" s="35">
        <f t="shared" si="526"/>
        <v>0</v>
      </c>
      <c r="S613" s="414">
        <f t="shared" si="527"/>
        <v>0</v>
      </c>
      <c r="T613" s="880">
        <f>[5]Sheet1!$B1028</f>
        <v>2.4660000000000002E-6</v>
      </c>
      <c r="U613" s="10">
        <f t="shared" si="528"/>
        <v>44351</v>
      </c>
      <c r="V613" s="276">
        <f t="shared" si="529"/>
        <v>3.0003000000000001E-4</v>
      </c>
    </row>
    <row r="614" spans="1:22" x14ac:dyDescent="0.25">
      <c r="A614" s="335">
        <f t="shared" si="536"/>
        <v>44354</v>
      </c>
      <c r="B614" s="329">
        <f t="shared" si="530"/>
        <v>882233</v>
      </c>
      <c r="C614" s="338">
        <f t="shared" si="516"/>
        <v>1178790.6200000001</v>
      </c>
      <c r="D614" s="414">
        <f t="shared" si="517"/>
        <v>0.73</v>
      </c>
      <c r="E614" s="49">
        <f t="shared" si="531"/>
        <v>0</v>
      </c>
      <c r="F614" s="35">
        <f t="shared" si="518"/>
        <v>0</v>
      </c>
      <c r="G614" s="414">
        <f t="shared" si="519"/>
        <v>0</v>
      </c>
      <c r="H614" s="49">
        <f t="shared" si="532"/>
        <v>0</v>
      </c>
      <c r="I614" s="35">
        <f t="shared" si="520"/>
        <v>44530.350000000144</v>
      </c>
      <c r="J614" s="414">
        <f t="shared" si="521"/>
        <v>0.11</v>
      </c>
      <c r="K614" s="329">
        <f t="shared" si="533"/>
        <v>0</v>
      </c>
      <c r="L614" s="35">
        <f t="shared" si="522"/>
        <v>0</v>
      </c>
      <c r="M614" s="414">
        <f t="shared" si="523"/>
        <v>0</v>
      </c>
      <c r="N614" s="329">
        <f t="shared" si="534"/>
        <v>0</v>
      </c>
      <c r="O614" s="35">
        <f t="shared" si="524"/>
        <v>25.06611111099599</v>
      </c>
      <c r="P614" s="414">
        <f t="shared" si="525"/>
        <v>0</v>
      </c>
      <c r="Q614" s="329">
        <f t="shared" si="535"/>
        <v>0</v>
      </c>
      <c r="R614" s="35">
        <f t="shared" si="526"/>
        <v>0</v>
      </c>
      <c r="S614" s="414">
        <f t="shared" si="527"/>
        <v>0</v>
      </c>
      <c r="T614" s="880">
        <f>[5]Sheet1!$B1029</f>
        <v>8.2200000000000003E-7</v>
      </c>
      <c r="U614" s="10">
        <f t="shared" si="528"/>
        <v>44354</v>
      </c>
      <c r="V614" s="276">
        <f t="shared" si="529"/>
        <v>3.0003000000000001E-4</v>
      </c>
    </row>
    <row r="615" spans="1:22" x14ac:dyDescent="0.25">
      <c r="A615" s="335">
        <f t="shared" si="536"/>
        <v>44355</v>
      </c>
      <c r="B615" s="329">
        <f t="shared" si="530"/>
        <v>120871.9</v>
      </c>
      <c r="C615" s="338">
        <f t="shared" si="516"/>
        <v>1299662.52</v>
      </c>
      <c r="D615" s="414">
        <f t="shared" si="517"/>
        <v>0.97</v>
      </c>
      <c r="E615" s="49">
        <f t="shared" si="531"/>
        <v>0</v>
      </c>
      <c r="F615" s="35">
        <f t="shared" si="518"/>
        <v>0</v>
      </c>
      <c r="G615" s="414">
        <f t="shared" si="519"/>
        <v>0</v>
      </c>
      <c r="H615" s="49">
        <f t="shared" si="532"/>
        <v>0</v>
      </c>
      <c r="I615" s="35">
        <f t="shared" si="520"/>
        <v>44530.350000000144</v>
      </c>
      <c r="J615" s="414">
        <f t="shared" si="521"/>
        <v>0.04</v>
      </c>
      <c r="K615" s="329">
        <f t="shared" si="533"/>
        <v>0</v>
      </c>
      <c r="L615" s="35">
        <f t="shared" si="522"/>
        <v>0</v>
      </c>
      <c r="M615" s="414">
        <f t="shared" si="523"/>
        <v>0</v>
      </c>
      <c r="N615" s="329">
        <f t="shared" si="534"/>
        <v>0</v>
      </c>
      <c r="O615" s="35">
        <f t="shared" si="524"/>
        <v>25.06611111099599</v>
      </c>
      <c r="P615" s="414">
        <f t="shared" si="525"/>
        <v>0</v>
      </c>
      <c r="Q615" s="329">
        <f t="shared" si="535"/>
        <v>0</v>
      </c>
      <c r="R615" s="35">
        <f t="shared" si="526"/>
        <v>0</v>
      </c>
      <c r="S615" s="414">
        <f t="shared" si="527"/>
        <v>0</v>
      </c>
      <c r="T615" s="880">
        <f>[5]Sheet1!$B1030</f>
        <v>8.2200000000000003E-7</v>
      </c>
      <c r="U615" s="10">
        <f t="shared" si="528"/>
        <v>44355</v>
      </c>
      <c r="V615" s="276">
        <f t="shared" si="529"/>
        <v>3.0003000000000001E-4</v>
      </c>
    </row>
    <row r="616" spans="1:22" x14ac:dyDescent="0.25">
      <c r="A616" s="335">
        <f t="shared" si="536"/>
        <v>44356</v>
      </c>
      <c r="B616" s="329">
        <f t="shared" si="530"/>
        <v>0</v>
      </c>
      <c r="C616" s="338">
        <f t="shared" si="516"/>
        <v>1299662.52</v>
      </c>
      <c r="D616" s="414">
        <f t="shared" si="517"/>
        <v>1.07</v>
      </c>
      <c r="E616" s="49">
        <f t="shared" si="531"/>
        <v>0</v>
      </c>
      <c r="F616" s="35">
        <f t="shared" si="518"/>
        <v>0</v>
      </c>
      <c r="G616" s="414">
        <f t="shared" si="519"/>
        <v>0</v>
      </c>
      <c r="H616" s="49">
        <f t="shared" si="532"/>
        <v>0</v>
      </c>
      <c r="I616" s="35">
        <f t="shared" si="520"/>
        <v>44530.350000000144</v>
      </c>
      <c r="J616" s="414">
        <f t="shared" si="521"/>
        <v>0.04</v>
      </c>
      <c r="K616" s="329">
        <f t="shared" si="533"/>
        <v>0</v>
      </c>
      <c r="L616" s="35">
        <f t="shared" si="522"/>
        <v>0</v>
      </c>
      <c r="M616" s="414">
        <f t="shared" si="523"/>
        <v>0</v>
      </c>
      <c r="N616" s="329">
        <f t="shared" si="534"/>
        <v>0</v>
      </c>
      <c r="O616" s="35">
        <f t="shared" si="524"/>
        <v>25.06611111099599</v>
      </c>
      <c r="P616" s="414">
        <f t="shared" si="525"/>
        <v>0</v>
      </c>
      <c r="Q616" s="329">
        <f t="shared" si="535"/>
        <v>0</v>
      </c>
      <c r="R616" s="35">
        <f t="shared" si="526"/>
        <v>0</v>
      </c>
      <c r="S616" s="414">
        <f t="shared" si="527"/>
        <v>0</v>
      </c>
      <c r="T616" s="880">
        <f>[5]Sheet1!$B1031</f>
        <v>5.4799999999999998E-7</v>
      </c>
      <c r="U616" s="10">
        <f t="shared" si="528"/>
        <v>44356</v>
      </c>
      <c r="V616" s="276">
        <f t="shared" si="529"/>
        <v>2.0002E-4</v>
      </c>
    </row>
    <row r="617" spans="1:22" x14ac:dyDescent="0.25">
      <c r="A617" s="335">
        <f t="shared" si="536"/>
        <v>44357</v>
      </c>
      <c r="B617" s="329">
        <f t="shared" si="530"/>
        <v>80000</v>
      </c>
      <c r="C617" s="338">
        <f t="shared" si="516"/>
        <v>1379662.52</v>
      </c>
      <c r="D617" s="414">
        <f t="shared" si="517"/>
        <v>0.71</v>
      </c>
      <c r="E617" s="49">
        <f t="shared" si="531"/>
        <v>0</v>
      </c>
      <c r="F617" s="35">
        <f t="shared" si="518"/>
        <v>0</v>
      </c>
      <c r="G617" s="414">
        <f t="shared" si="519"/>
        <v>0</v>
      </c>
      <c r="H617" s="49">
        <f t="shared" si="532"/>
        <v>0</v>
      </c>
      <c r="I617" s="35">
        <f t="shared" si="520"/>
        <v>44530.350000000144</v>
      </c>
      <c r="J617" s="414">
        <f t="shared" si="521"/>
        <v>0.02</v>
      </c>
      <c r="K617" s="329">
        <f t="shared" si="533"/>
        <v>0</v>
      </c>
      <c r="L617" s="35">
        <f t="shared" si="522"/>
        <v>0</v>
      </c>
      <c r="M617" s="414">
        <f t="shared" si="523"/>
        <v>0</v>
      </c>
      <c r="N617" s="329">
        <f t="shared" si="534"/>
        <v>0</v>
      </c>
      <c r="O617" s="35">
        <f t="shared" si="524"/>
        <v>25.06611111099599</v>
      </c>
      <c r="P617" s="414">
        <f t="shared" si="525"/>
        <v>0</v>
      </c>
      <c r="Q617" s="329">
        <f t="shared" si="535"/>
        <v>0</v>
      </c>
      <c r="R617" s="35">
        <f t="shared" si="526"/>
        <v>0</v>
      </c>
      <c r="S617" s="414">
        <f t="shared" si="527"/>
        <v>0</v>
      </c>
      <c r="T617" s="880">
        <f>[5]Sheet1!$B1032</f>
        <v>5.4799999999999998E-7</v>
      </c>
      <c r="U617" s="10">
        <f t="shared" si="528"/>
        <v>44357</v>
      </c>
      <c r="V617" s="276">
        <f t="shared" si="529"/>
        <v>2.0002E-4</v>
      </c>
    </row>
    <row r="618" spans="1:22" x14ac:dyDescent="0.25">
      <c r="A618" s="335">
        <f t="shared" si="536"/>
        <v>44358</v>
      </c>
      <c r="B618" s="329">
        <f t="shared" si="530"/>
        <v>-980000</v>
      </c>
      <c r="C618" s="338">
        <f t="shared" si="516"/>
        <v>399662.52</v>
      </c>
      <c r="D618" s="414">
        <f t="shared" si="517"/>
        <v>0.76</v>
      </c>
      <c r="E618" s="49">
        <f t="shared" si="531"/>
        <v>0</v>
      </c>
      <c r="F618" s="35">
        <f t="shared" si="518"/>
        <v>0</v>
      </c>
      <c r="G618" s="414">
        <f t="shared" si="519"/>
        <v>0</v>
      </c>
      <c r="H618" s="49">
        <f t="shared" si="532"/>
        <v>0</v>
      </c>
      <c r="I618" s="35">
        <f t="shared" si="520"/>
        <v>44530.350000000144</v>
      </c>
      <c r="J618" s="414">
        <f t="shared" si="521"/>
        <v>0.02</v>
      </c>
      <c r="K618" s="329">
        <f t="shared" si="533"/>
        <v>0</v>
      </c>
      <c r="L618" s="35">
        <f t="shared" si="522"/>
        <v>0</v>
      </c>
      <c r="M618" s="414">
        <f t="shared" si="523"/>
        <v>0</v>
      </c>
      <c r="N618" s="329">
        <f t="shared" si="534"/>
        <v>60000</v>
      </c>
      <c r="O618" s="35">
        <f t="shared" si="524"/>
        <v>60025.066111110995</v>
      </c>
      <c r="P618" s="414">
        <f t="shared" si="525"/>
        <v>0</v>
      </c>
      <c r="Q618" s="329">
        <f t="shared" si="535"/>
        <v>0</v>
      </c>
      <c r="R618" s="35">
        <f t="shared" si="526"/>
        <v>0</v>
      </c>
      <c r="S618" s="414">
        <f t="shared" si="527"/>
        <v>0</v>
      </c>
      <c r="T618" s="880">
        <f>[5]Sheet1!$B1033</f>
        <v>1.6440000000000001E-6</v>
      </c>
      <c r="U618" s="10">
        <f t="shared" si="528"/>
        <v>44358</v>
      </c>
      <c r="V618" s="276">
        <f t="shared" si="529"/>
        <v>2.0002E-4</v>
      </c>
    </row>
    <row r="619" spans="1:22" x14ac:dyDescent="0.25">
      <c r="A619" s="335">
        <f t="shared" si="536"/>
        <v>44361</v>
      </c>
      <c r="B619" s="329">
        <f t="shared" si="530"/>
        <v>0</v>
      </c>
      <c r="C619" s="338">
        <f t="shared" si="516"/>
        <v>399662.52</v>
      </c>
      <c r="D619" s="414">
        <f t="shared" si="517"/>
        <v>0.66</v>
      </c>
      <c r="E619" s="49">
        <f t="shared" si="531"/>
        <v>0</v>
      </c>
      <c r="F619" s="35">
        <f t="shared" si="518"/>
        <v>0</v>
      </c>
      <c r="G619" s="414">
        <f t="shared" si="519"/>
        <v>0</v>
      </c>
      <c r="H619" s="49">
        <f t="shared" si="532"/>
        <v>0</v>
      </c>
      <c r="I619" s="35">
        <f t="shared" si="520"/>
        <v>44530.350000000144</v>
      </c>
      <c r="J619" s="414">
        <f t="shared" si="521"/>
        <v>7.0000000000000007E-2</v>
      </c>
      <c r="K619" s="329">
        <f t="shared" si="533"/>
        <v>0</v>
      </c>
      <c r="L619" s="35">
        <f t="shared" si="522"/>
        <v>0</v>
      </c>
      <c r="M619" s="414">
        <f t="shared" si="523"/>
        <v>0</v>
      </c>
      <c r="N619" s="329">
        <f t="shared" si="534"/>
        <v>-60000</v>
      </c>
      <c r="O619" s="35">
        <f t="shared" si="524"/>
        <v>25.066111110994825</v>
      </c>
      <c r="P619" s="414">
        <f t="shared" si="525"/>
        <v>0.1</v>
      </c>
      <c r="Q619" s="329">
        <f t="shared" si="535"/>
        <v>0</v>
      </c>
      <c r="R619" s="35">
        <f t="shared" si="526"/>
        <v>0</v>
      </c>
      <c r="S619" s="414">
        <f t="shared" si="527"/>
        <v>0</v>
      </c>
      <c r="T619" s="880">
        <f>[5]Sheet1!$B1034</f>
        <v>5.4799999999999998E-7</v>
      </c>
      <c r="U619" s="10">
        <f t="shared" si="528"/>
        <v>44361</v>
      </c>
      <c r="V619" s="276">
        <f t="shared" si="529"/>
        <v>2.0002E-4</v>
      </c>
    </row>
    <row r="620" spans="1:22" x14ac:dyDescent="0.25">
      <c r="A620" s="335">
        <f t="shared" si="536"/>
        <v>44362</v>
      </c>
      <c r="B620" s="329">
        <f t="shared" si="530"/>
        <v>-218633.50000000003</v>
      </c>
      <c r="C620" s="338">
        <f t="shared" si="516"/>
        <v>181029.02</v>
      </c>
      <c r="D620" s="414">
        <f t="shared" si="517"/>
        <v>0.22</v>
      </c>
      <c r="E620" s="49">
        <f t="shared" si="531"/>
        <v>0</v>
      </c>
      <c r="F620" s="35">
        <f t="shared" si="518"/>
        <v>0</v>
      </c>
      <c r="G620" s="414">
        <f t="shared" si="519"/>
        <v>0</v>
      </c>
      <c r="H620" s="49">
        <f t="shared" si="532"/>
        <v>20739.560000000001</v>
      </c>
      <c r="I620" s="35">
        <f t="shared" si="520"/>
        <v>65269.910000000149</v>
      </c>
      <c r="J620" s="414">
        <f t="shared" si="521"/>
        <v>0.02</v>
      </c>
      <c r="K620" s="329">
        <f t="shared" si="533"/>
        <v>0</v>
      </c>
      <c r="L620" s="35">
        <f t="shared" si="522"/>
        <v>0</v>
      </c>
      <c r="M620" s="414">
        <f t="shared" si="523"/>
        <v>0</v>
      </c>
      <c r="N620" s="329">
        <f t="shared" si="534"/>
        <v>130597.35</v>
      </c>
      <c r="O620" s="35">
        <f t="shared" si="524"/>
        <v>130622.416111111</v>
      </c>
      <c r="P620" s="414">
        <f t="shared" si="525"/>
        <v>0</v>
      </c>
      <c r="Q620" s="329">
        <f t="shared" si="535"/>
        <v>0</v>
      </c>
      <c r="R620" s="35">
        <f t="shared" si="526"/>
        <v>0</v>
      </c>
      <c r="S620" s="414">
        <f t="shared" si="527"/>
        <v>0</v>
      </c>
      <c r="T620" s="880">
        <f>[5]Sheet1!$B1035</f>
        <v>5.4799999999999998E-7</v>
      </c>
      <c r="U620" s="10">
        <f t="shared" si="528"/>
        <v>44362</v>
      </c>
      <c r="V620" s="276">
        <f t="shared" si="529"/>
        <v>2.0002E-4</v>
      </c>
    </row>
    <row r="621" spans="1:22" x14ac:dyDescent="0.25">
      <c r="A621" s="335">
        <f t="shared" si="536"/>
        <v>44363</v>
      </c>
      <c r="B621" s="329">
        <f t="shared" si="530"/>
        <v>0</v>
      </c>
      <c r="C621" s="338">
        <f t="shared" si="516"/>
        <v>181029.02</v>
      </c>
      <c r="D621" s="414">
        <f t="shared" si="517"/>
        <v>0.1</v>
      </c>
      <c r="E621" s="49">
        <f t="shared" si="531"/>
        <v>0</v>
      </c>
      <c r="F621" s="35">
        <f t="shared" si="518"/>
        <v>0</v>
      </c>
      <c r="G621" s="414">
        <f t="shared" si="519"/>
        <v>0</v>
      </c>
      <c r="H621" s="49">
        <f t="shared" si="532"/>
        <v>-14695.26</v>
      </c>
      <c r="I621" s="35">
        <f t="shared" si="520"/>
        <v>50574.650000000147</v>
      </c>
      <c r="J621" s="414">
        <f t="shared" si="521"/>
        <v>0.04</v>
      </c>
      <c r="K621" s="329">
        <f t="shared" si="533"/>
        <v>0</v>
      </c>
      <c r="L621" s="35">
        <f t="shared" si="522"/>
        <v>0</v>
      </c>
      <c r="M621" s="414">
        <f t="shared" si="523"/>
        <v>0</v>
      </c>
      <c r="N621" s="329">
        <f t="shared" si="534"/>
        <v>0</v>
      </c>
      <c r="O621" s="35">
        <f t="shared" si="524"/>
        <v>130622.416111111</v>
      </c>
      <c r="P621" s="414">
        <f t="shared" si="525"/>
        <v>7.0000000000000007E-2</v>
      </c>
      <c r="Q621" s="329">
        <f t="shared" si="535"/>
        <v>0</v>
      </c>
      <c r="R621" s="35">
        <f t="shared" si="526"/>
        <v>0</v>
      </c>
      <c r="S621" s="414">
        <f t="shared" si="527"/>
        <v>0</v>
      </c>
      <c r="T621" s="880">
        <f>[5]Sheet1!$B1036</f>
        <v>5.4799999999999998E-7</v>
      </c>
      <c r="U621" s="10">
        <f t="shared" si="528"/>
        <v>44363</v>
      </c>
      <c r="V621" s="276">
        <f t="shared" si="529"/>
        <v>2.0002E-4</v>
      </c>
    </row>
    <row r="622" spans="1:22" x14ac:dyDescent="0.25">
      <c r="A622" s="335">
        <f t="shared" si="536"/>
        <v>44364</v>
      </c>
      <c r="B622" s="329">
        <f t="shared" si="530"/>
        <v>0</v>
      </c>
      <c r="C622" s="338">
        <f t="shared" si="516"/>
        <v>181029.02</v>
      </c>
      <c r="D622" s="414">
        <f t="shared" si="517"/>
        <v>0.1</v>
      </c>
      <c r="E622" s="49">
        <f t="shared" si="531"/>
        <v>0</v>
      </c>
      <c r="F622" s="35">
        <f t="shared" si="518"/>
        <v>0</v>
      </c>
      <c r="G622" s="414">
        <f t="shared" si="519"/>
        <v>0</v>
      </c>
      <c r="H622" s="49">
        <f t="shared" si="532"/>
        <v>0</v>
      </c>
      <c r="I622" s="35">
        <f t="shared" si="520"/>
        <v>50574.650000000147</v>
      </c>
      <c r="J622" s="414">
        <f t="shared" si="521"/>
        <v>0.03</v>
      </c>
      <c r="K622" s="329">
        <f t="shared" si="533"/>
        <v>0</v>
      </c>
      <c r="L622" s="35">
        <f t="shared" si="522"/>
        <v>0</v>
      </c>
      <c r="M622" s="414">
        <f t="shared" si="523"/>
        <v>0</v>
      </c>
      <c r="N622" s="329">
        <f t="shared" si="534"/>
        <v>0</v>
      </c>
      <c r="O622" s="35">
        <f t="shared" si="524"/>
        <v>130622.416111111</v>
      </c>
      <c r="P622" s="414">
        <f t="shared" si="525"/>
        <v>7.0000000000000007E-2</v>
      </c>
      <c r="Q622" s="329">
        <f t="shared" si="535"/>
        <v>0</v>
      </c>
      <c r="R622" s="35">
        <f t="shared" si="526"/>
        <v>0</v>
      </c>
      <c r="S622" s="414">
        <f t="shared" si="527"/>
        <v>0</v>
      </c>
      <c r="T622" s="880">
        <f>[5]Sheet1!$B1037</f>
        <v>5.4799999999999998E-7</v>
      </c>
      <c r="U622" s="10">
        <f t="shared" si="528"/>
        <v>44364</v>
      </c>
      <c r="V622" s="276">
        <f t="shared" si="529"/>
        <v>2.0002E-4</v>
      </c>
    </row>
    <row r="623" spans="1:22" x14ac:dyDescent="0.25">
      <c r="A623" s="335">
        <f t="shared" si="536"/>
        <v>44365</v>
      </c>
      <c r="B623" s="329">
        <f t="shared" si="530"/>
        <v>0</v>
      </c>
      <c r="C623" s="338">
        <f t="shared" si="516"/>
        <v>181029.02</v>
      </c>
      <c r="D623" s="414">
        <f t="shared" si="517"/>
        <v>0.1</v>
      </c>
      <c r="E623" s="49">
        <f t="shared" si="531"/>
        <v>0</v>
      </c>
      <c r="F623" s="35">
        <f t="shared" si="518"/>
        <v>0</v>
      </c>
      <c r="G623" s="414">
        <f t="shared" si="519"/>
        <v>0</v>
      </c>
      <c r="H623" s="49">
        <f t="shared" si="532"/>
        <v>0</v>
      </c>
      <c r="I623" s="35">
        <f t="shared" si="520"/>
        <v>50574.650000000147</v>
      </c>
      <c r="J623" s="414">
        <f t="shared" si="521"/>
        <v>0.03</v>
      </c>
      <c r="K623" s="329">
        <f t="shared" si="533"/>
        <v>0</v>
      </c>
      <c r="L623" s="35">
        <f t="shared" si="522"/>
        <v>0</v>
      </c>
      <c r="M623" s="414">
        <f t="shared" si="523"/>
        <v>0</v>
      </c>
      <c r="N623" s="329">
        <f t="shared" si="534"/>
        <v>0</v>
      </c>
      <c r="O623" s="35">
        <f t="shared" si="524"/>
        <v>130622.416111111</v>
      </c>
      <c r="P623" s="414">
        <f t="shared" si="525"/>
        <v>7.0000000000000007E-2</v>
      </c>
      <c r="Q623" s="329">
        <f t="shared" si="535"/>
        <v>0</v>
      </c>
      <c r="R623" s="35">
        <f t="shared" si="526"/>
        <v>0</v>
      </c>
      <c r="S623" s="414">
        <f t="shared" si="527"/>
        <v>0</v>
      </c>
      <c r="T623" s="880">
        <f>[5]Sheet1!$B1038</f>
        <v>2.4660000000000002E-6</v>
      </c>
      <c r="U623" s="10">
        <f t="shared" si="528"/>
        <v>44365</v>
      </c>
      <c r="V623" s="276">
        <f t="shared" si="529"/>
        <v>3.0003000000000001E-4</v>
      </c>
    </row>
    <row r="624" spans="1:22" x14ac:dyDescent="0.25">
      <c r="A624" s="335">
        <f t="shared" si="536"/>
        <v>44368</v>
      </c>
      <c r="B624" s="329">
        <f t="shared" si="530"/>
        <v>0</v>
      </c>
      <c r="C624" s="338">
        <f t="shared" si="516"/>
        <v>181029.02</v>
      </c>
      <c r="D624" s="414">
        <f t="shared" si="517"/>
        <v>0.45</v>
      </c>
      <c r="E624" s="49">
        <f t="shared" si="531"/>
        <v>0</v>
      </c>
      <c r="F624" s="35">
        <f t="shared" si="518"/>
        <v>0</v>
      </c>
      <c r="G624" s="414">
        <f t="shared" si="519"/>
        <v>0</v>
      </c>
      <c r="H624" s="49">
        <f t="shared" si="532"/>
        <v>0</v>
      </c>
      <c r="I624" s="35">
        <f t="shared" si="520"/>
        <v>50574.650000000147</v>
      </c>
      <c r="J624" s="414">
        <f t="shared" si="521"/>
        <v>0.12</v>
      </c>
      <c r="K624" s="329">
        <f t="shared" si="533"/>
        <v>0</v>
      </c>
      <c r="L624" s="35">
        <f t="shared" si="522"/>
        <v>0</v>
      </c>
      <c r="M624" s="414">
        <f t="shared" si="523"/>
        <v>0</v>
      </c>
      <c r="N624" s="329">
        <f t="shared" si="534"/>
        <v>0</v>
      </c>
      <c r="O624" s="35">
        <f t="shared" si="524"/>
        <v>130622.416111111</v>
      </c>
      <c r="P624" s="414">
        <f t="shared" si="525"/>
        <v>0.32</v>
      </c>
      <c r="Q624" s="329">
        <f t="shared" si="535"/>
        <v>0</v>
      </c>
      <c r="R624" s="35">
        <f t="shared" si="526"/>
        <v>0</v>
      </c>
      <c r="S624" s="414">
        <f t="shared" si="527"/>
        <v>0</v>
      </c>
      <c r="T624" s="880">
        <f>[5]Sheet1!$B1039</f>
        <v>8.2200000000000003E-7</v>
      </c>
      <c r="U624" s="10">
        <f t="shared" si="528"/>
        <v>44368</v>
      </c>
      <c r="V624" s="276">
        <f t="shared" si="529"/>
        <v>3.0003000000000001E-4</v>
      </c>
    </row>
    <row r="625" spans="1:22" x14ac:dyDescent="0.25">
      <c r="A625" s="335">
        <f t="shared" si="536"/>
        <v>44369</v>
      </c>
      <c r="B625" s="329">
        <f t="shared" si="530"/>
        <v>0</v>
      </c>
      <c r="C625" s="338">
        <f t="shared" si="516"/>
        <v>181029.02</v>
      </c>
      <c r="D625" s="414">
        <f t="shared" si="517"/>
        <v>0.15</v>
      </c>
      <c r="E625" s="49">
        <f t="shared" si="531"/>
        <v>0</v>
      </c>
      <c r="F625" s="35">
        <f t="shared" si="518"/>
        <v>0</v>
      </c>
      <c r="G625" s="414">
        <f t="shared" si="519"/>
        <v>0</v>
      </c>
      <c r="H625" s="49">
        <f t="shared" si="532"/>
        <v>0</v>
      </c>
      <c r="I625" s="35">
        <f t="shared" si="520"/>
        <v>50574.650000000147</v>
      </c>
      <c r="J625" s="414">
        <f t="shared" si="521"/>
        <v>0.04</v>
      </c>
      <c r="K625" s="329">
        <f t="shared" si="533"/>
        <v>0</v>
      </c>
      <c r="L625" s="35">
        <f t="shared" si="522"/>
        <v>0</v>
      </c>
      <c r="M625" s="414">
        <f t="shared" si="523"/>
        <v>0</v>
      </c>
      <c r="N625" s="329">
        <f t="shared" si="534"/>
        <v>0</v>
      </c>
      <c r="O625" s="35">
        <f t="shared" si="524"/>
        <v>130622.416111111</v>
      </c>
      <c r="P625" s="414">
        <f t="shared" si="525"/>
        <v>0.11</v>
      </c>
      <c r="Q625" s="329">
        <f t="shared" si="535"/>
        <v>0</v>
      </c>
      <c r="R625" s="35">
        <f t="shared" si="526"/>
        <v>0</v>
      </c>
      <c r="S625" s="414">
        <f t="shared" si="527"/>
        <v>0</v>
      </c>
      <c r="T625" s="880">
        <f>[5]Sheet1!$B1040</f>
        <v>8.2200000000000003E-7</v>
      </c>
      <c r="U625" s="10">
        <f t="shared" si="528"/>
        <v>44369</v>
      </c>
      <c r="V625" s="276">
        <f t="shared" si="529"/>
        <v>3.0003000000000001E-4</v>
      </c>
    </row>
    <row r="626" spans="1:22" x14ac:dyDescent="0.25">
      <c r="A626" s="335">
        <f t="shared" si="536"/>
        <v>44370</v>
      </c>
      <c r="B626" s="329">
        <f t="shared" si="530"/>
        <v>41068.03</v>
      </c>
      <c r="C626" s="338">
        <f t="shared" si="516"/>
        <v>222097.05</v>
      </c>
      <c r="D626" s="414">
        <f t="shared" si="517"/>
        <v>0.15</v>
      </c>
      <c r="E626" s="49">
        <f t="shared" si="531"/>
        <v>0</v>
      </c>
      <c r="F626" s="35">
        <f t="shared" si="518"/>
        <v>0</v>
      </c>
      <c r="G626" s="414">
        <f t="shared" si="519"/>
        <v>0</v>
      </c>
      <c r="H626" s="49">
        <f t="shared" si="532"/>
        <v>0</v>
      </c>
      <c r="I626" s="35">
        <f t="shared" si="520"/>
        <v>50574.650000000147</v>
      </c>
      <c r="J626" s="414">
        <f t="shared" si="521"/>
        <v>0.04</v>
      </c>
      <c r="K626" s="329">
        <f t="shared" si="533"/>
        <v>0</v>
      </c>
      <c r="L626" s="35">
        <f t="shared" si="522"/>
        <v>0</v>
      </c>
      <c r="M626" s="414">
        <f t="shared" si="523"/>
        <v>0</v>
      </c>
      <c r="N626" s="329">
        <f t="shared" si="534"/>
        <v>0</v>
      </c>
      <c r="O626" s="35">
        <f t="shared" si="524"/>
        <v>130622.416111111</v>
      </c>
      <c r="P626" s="414">
        <f t="shared" si="525"/>
        <v>0.11</v>
      </c>
      <c r="Q626" s="329">
        <f t="shared" si="535"/>
        <v>0</v>
      </c>
      <c r="R626" s="35">
        <f t="shared" si="526"/>
        <v>0</v>
      </c>
      <c r="S626" s="414">
        <f t="shared" si="527"/>
        <v>0</v>
      </c>
      <c r="T626" s="880">
        <f>[5]Sheet1!$B1041</f>
        <v>8.2200000000000003E-7</v>
      </c>
      <c r="U626" s="10">
        <f t="shared" si="528"/>
        <v>44370</v>
      </c>
      <c r="V626" s="276">
        <f t="shared" si="529"/>
        <v>3.0003000000000001E-4</v>
      </c>
    </row>
    <row r="627" spans="1:22" x14ac:dyDescent="0.25">
      <c r="A627" s="335">
        <f t="shared" si="536"/>
        <v>44371</v>
      </c>
      <c r="B627" s="329">
        <f t="shared" si="530"/>
        <v>0</v>
      </c>
      <c r="C627" s="338">
        <f t="shared" si="516"/>
        <v>222097.05</v>
      </c>
      <c r="D627" s="414">
        <f t="shared" si="517"/>
        <v>0.18</v>
      </c>
      <c r="E627" s="49">
        <f t="shared" si="531"/>
        <v>0</v>
      </c>
      <c r="F627" s="35">
        <f t="shared" si="518"/>
        <v>0</v>
      </c>
      <c r="G627" s="414">
        <f t="shared" si="519"/>
        <v>0</v>
      </c>
      <c r="H627" s="49">
        <f t="shared" si="532"/>
        <v>0</v>
      </c>
      <c r="I627" s="35">
        <f t="shared" si="520"/>
        <v>50574.650000000147</v>
      </c>
      <c r="J627" s="414">
        <f t="shared" si="521"/>
        <v>0.04</v>
      </c>
      <c r="K627" s="329">
        <f t="shared" si="533"/>
        <v>0</v>
      </c>
      <c r="L627" s="35">
        <f t="shared" si="522"/>
        <v>0</v>
      </c>
      <c r="M627" s="414">
        <f t="shared" si="523"/>
        <v>0</v>
      </c>
      <c r="N627" s="329">
        <f t="shared" si="534"/>
        <v>0</v>
      </c>
      <c r="O627" s="35">
        <f t="shared" si="524"/>
        <v>130622.416111111</v>
      </c>
      <c r="P627" s="414">
        <f t="shared" si="525"/>
        <v>0.11</v>
      </c>
      <c r="Q627" s="329">
        <f t="shared" si="535"/>
        <v>0</v>
      </c>
      <c r="R627" s="35">
        <f t="shared" si="526"/>
        <v>0</v>
      </c>
      <c r="S627" s="414">
        <f t="shared" si="527"/>
        <v>0</v>
      </c>
      <c r="T627" s="880">
        <f>[5]Sheet1!$B1042</f>
        <v>8.2200000000000003E-7</v>
      </c>
      <c r="U627" s="10">
        <f t="shared" si="528"/>
        <v>44371</v>
      </c>
      <c r="V627" s="276">
        <f t="shared" si="529"/>
        <v>3.0003000000000001E-4</v>
      </c>
    </row>
    <row r="628" spans="1:22" x14ac:dyDescent="0.25">
      <c r="A628" s="335">
        <f t="shared" si="536"/>
        <v>44372</v>
      </c>
      <c r="B628" s="329">
        <f t="shared" si="530"/>
        <v>1762548.31</v>
      </c>
      <c r="C628" s="338">
        <f t="shared" si="516"/>
        <v>1984645.36</v>
      </c>
      <c r="D628" s="414">
        <f t="shared" si="517"/>
        <v>0.18</v>
      </c>
      <c r="E628" s="49">
        <f t="shared" si="531"/>
        <v>0</v>
      </c>
      <c r="F628" s="35">
        <f t="shared" si="518"/>
        <v>0</v>
      </c>
      <c r="G628" s="414">
        <f t="shared" si="519"/>
        <v>0</v>
      </c>
      <c r="H628" s="49">
        <f t="shared" si="532"/>
        <v>0</v>
      </c>
      <c r="I628" s="35">
        <f t="shared" si="520"/>
        <v>50574.650000000147</v>
      </c>
      <c r="J628" s="414">
        <f t="shared" si="521"/>
        <v>0.04</v>
      </c>
      <c r="K628" s="329">
        <f t="shared" si="533"/>
        <v>0</v>
      </c>
      <c r="L628" s="35">
        <f t="shared" si="522"/>
        <v>0</v>
      </c>
      <c r="M628" s="414">
        <f t="shared" si="523"/>
        <v>0</v>
      </c>
      <c r="N628" s="329">
        <f t="shared" si="534"/>
        <v>0</v>
      </c>
      <c r="O628" s="35">
        <f t="shared" si="524"/>
        <v>130622.416111111</v>
      </c>
      <c r="P628" s="414">
        <f t="shared" si="525"/>
        <v>0.11</v>
      </c>
      <c r="Q628" s="329">
        <f t="shared" si="535"/>
        <v>0</v>
      </c>
      <c r="R628" s="35">
        <f t="shared" si="526"/>
        <v>0</v>
      </c>
      <c r="S628" s="414">
        <f t="shared" si="527"/>
        <v>0</v>
      </c>
      <c r="T628" s="880">
        <f>[5]Sheet1!$B1043</f>
        <v>2.4660000000000002E-6</v>
      </c>
      <c r="U628" s="10">
        <f t="shared" si="528"/>
        <v>44372</v>
      </c>
      <c r="V628" s="276">
        <f t="shared" si="529"/>
        <v>3.0003000000000001E-4</v>
      </c>
    </row>
    <row r="629" spans="1:22" x14ac:dyDescent="0.25">
      <c r="A629" s="335">
        <f t="shared" si="536"/>
        <v>44375</v>
      </c>
      <c r="B629" s="329">
        <f t="shared" si="530"/>
        <v>-1984631.7000000002</v>
      </c>
      <c r="C629" s="338">
        <f t="shared" si="516"/>
        <v>13.659999999916181</v>
      </c>
      <c r="D629" s="414">
        <f t="shared" si="517"/>
        <v>4.8899999999999997</v>
      </c>
      <c r="E629" s="49">
        <f t="shared" si="531"/>
        <v>0</v>
      </c>
      <c r="F629" s="35">
        <f t="shared" si="518"/>
        <v>0</v>
      </c>
      <c r="G629" s="414">
        <f t="shared" si="519"/>
        <v>0</v>
      </c>
      <c r="H629" s="49">
        <f t="shared" si="532"/>
        <v>0</v>
      </c>
      <c r="I629" s="35">
        <f t="shared" si="520"/>
        <v>50574.650000000147</v>
      </c>
      <c r="J629" s="414">
        <f t="shared" si="521"/>
        <v>0.12</v>
      </c>
      <c r="K629" s="329">
        <f t="shared" si="533"/>
        <v>0</v>
      </c>
      <c r="L629" s="35">
        <f t="shared" si="522"/>
        <v>0</v>
      </c>
      <c r="M629" s="414">
        <f t="shared" si="523"/>
        <v>0</v>
      </c>
      <c r="N629" s="329">
        <f t="shared" si="534"/>
        <v>0</v>
      </c>
      <c r="O629" s="35">
        <f t="shared" si="524"/>
        <v>130622.416111111</v>
      </c>
      <c r="P629" s="414">
        <f t="shared" si="525"/>
        <v>0.32</v>
      </c>
      <c r="Q629" s="329">
        <f t="shared" si="535"/>
        <v>0</v>
      </c>
      <c r="R629" s="35">
        <f t="shared" si="526"/>
        <v>0</v>
      </c>
      <c r="S629" s="414">
        <f t="shared" si="527"/>
        <v>0</v>
      </c>
      <c r="T629" s="880">
        <f>[5]Sheet1!$B1044</f>
        <v>8.2200000000000003E-7</v>
      </c>
      <c r="U629" s="10">
        <f t="shared" si="528"/>
        <v>44375</v>
      </c>
      <c r="V629" s="276">
        <f t="shared" si="529"/>
        <v>3.0003000000000001E-4</v>
      </c>
    </row>
    <row r="630" spans="1:22" x14ac:dyDescent="0.25">
      <c r="A630" s="335">
        <f t="shared" si="536"/>
        <v>44376</v>
      </c>
      <c r="B630" s="329">
        <f t="shared" si="530"/>
        <v>129527.14</v>
      </c>
      <c r="C630" s="338">
        <f t="shared" si="516"/>
        <v>129540.79999999992</v>
      </c>
      <c r="D630" s="414">
        <f t="shared" si="517"/>
        <v>0</v>
      </c>
      <c r="E630" s="49">
        <f t="shared" si="531"/>
        <v>0</v>
      </c>
      <c r="F630" s="35">
        <f t="shared" si="518"/>
        <v>0</v>
      </c>
      <c r="G630" s="414">
        <f t="shared" si="519"/>
        <v>0</v>
      </c>
      <c r="H630" s="49">
        <f t="shared" si="532"/>
        <v>0</v>
      </c>
      <c r="I630" s="35">
        <f t="shared" si="520"/>
        <v>50574.650000000147</v>
      </c>
      <c r="J630" s="414">
        <f t="shared" si="521"/>
        <v>0.04</v>
      </c>
      <c r="K630" s="329">
        <f t="shared" si="533"/>
        <v>0</v>
      </c>
      <c r="L630" s="35">
        <f t="shared" si="522"/>
        <v>0</v>
      </c>
      <c r="M630" s="414">
        <f t="shared" si="523"/>
        <v>0</v>
      </c>
      <c r="N630" s="329">
        <f t="shared" si="534"/>
        <v>0</v>
      </c>
      <c r="O630" s="35">
        <f t="shared" si="524"/>
        <v>130622.416111111</v>
      </c>
      <c r="P630" s="414">
        <f t="shared" si="525"/>
        <v>0.11</v>
      </c>
      <c r="Q630" s="329">
        <f t="shared" si="535"/>
        <v>0</v>
      </c>
      <c r="R630" s="35">
        <f t="shared" si="526"/>
        <v>0</v>
      </c>
      <c r="S630" s="414">
        <f t="shared" si="527"/>
        <v>0</v>
      </c>
      <c r="T630" s="880">
        <f>[5]Sheet1!$B1045</f>
        <v>8.2200000000000003E-7</v>
      </c>
      <c r="U630" s="10">
        <f t="shared" si="528"/>
        <v>44376</v>
      </c>
      <c r="V630" s="276">
        <f t="shared" si="529"/>
        <v>3.0003000000000001E-4</v>
      </c>
    </row>
    <row r="631" spans="1:22" x14ac:dyDescent="0.25">
      <c r="A631" s="335">
        <f t="shared" si="536"/>
        <v>44377</v>
      </c>
      <c r="B631" s="329">
        <f t="shared" si="530"/>
        <v>2021524.4700000002</v>
      </c>
      <c r="C631" s="338">
        <f t="shared" si="516"/>
        <v>2151065.27</v>
      </c>
      <c r="D631" s="414">
        <f t="shared" si="517"/>
        <v>0.11</v>
      </c>
      <c r="E631" s="49">
        <f t="shared" si="531"/>
        <v>0</v>
      </c>
      <c r="F631" s="35">
        <f t="shared" si="518"/>
        <v>0</v>
      </c>
      <c r="G631" s="414">
        <f t="shared" si="519"/>
        <v>0</v>
      </c>
      <c r="H631" s="49">
        <f t="shared" si="532"/>
        <v>0</v>
      </c>
      <c r="I631" s="35">
        <f t="shared" si="520"/>
        <v>50574.650000000147</v>
      </c>
      <c r="J631" s="414">
        <f t="shared" si="521"/>
        <v>0.04</v>
      </c>
      <c r="K631" s="329">
        <f t="shared" si="533"/>
        <v>0</v>
      </c>
      <c r="L631" s="35">
        <f t="shared" si="522"/>
        <v>0</v>
      </c>
      <c r="M631" s="414">
        <f t="shared" si="523"/>
        <v>0</v>
      </c>
      <c r="N631" s="329">
        <f t="shared" si="534"/>
        <v>-130597.35</v>
      </c>
      <c r="O631" s="35">
        <f t="shared" si="524"/>
        <v>25.066111110994825</v>
      </c>
      <c r="P631" s="414">
        <f t="shared" si="525"/>
        <v>0.11</v>
      </c>
      <c r="Q631" s="329">
        <f t="shared" si="535"/>
        <v>0</v>
      </c>
      <c r="R631" s="35">
        <f t="shared" si="526"/>
        <v>0</v>
      </c>
      <c r="S631" s="414">
        <f t="shared" si="527"/>
        <v>0</v>
      </c>
      <c r="T631" s="880">
        <f>[5]Sheet1!$B1046</f>
        <v>8.2200000000000003E-7</v>
      </c>
      <c r="U631" s="10">
        <f t="shared" si="528"/>
        <v>44377</v>
      </c>
      <c r="V631" s="276">
        <f t="shared" si="529"/>
        <v>3.0003000000000001E-4</v>
      </c>
    </row>
    <row r="632" spans="1:22" x14ac:dyDescent="0.25">
      <c r="A632" s="335">
        <f t="shared" si="536"/>
        <v>44378</v>
      </c>
      <c r="B632" s="329">
        <f t="shared" si="530"/>
        <v>31422.1</v>
      </c>
      <c r="C632" s="338">
        <f t="shared" si="516"/>
        <v>2182487.37</v>
      </c>
      <c r="D632" s="414">
        <f t="shared" si="517"/>
        <v>1.77</v>
      </c>
      <c r="E632" s="49">
        <f t="shared" si="531"/>
        <v>0</v>
      </c>
      <c r="F632" s="35">
        <f t="shared" si="518"/>
        <v>0</v>
      </c>
      <c r="G632" s="414">
        <f t="shared" si="519"/>
        <v>0</v>
      </c>
      <c r="H632" s="49">
        <f t="shared" si="532"/>
        <v>0</v>
      </c>
      <c r="I632" s="35">
        <f t="shared" si="520"/>
        <v>50574.650000000147</v>
      </c>
      <c r="J632" s="414">
        <f t="shared" si="521"/>
        <v>0.04</v>
      </c>
      <c r="K632" s="329">
        <f t="shared" si="533"/>
        <v>0</v>
      </c>
      <c r="L632" s="35">
        <f t="shared" si="522"/>
        <v>0</v>
      </c>
      <c r="M632" s="414">
        <f t="shared" si="523"/>
        <v>0</v>
      </c>
      <c r="N632" s="329">
        <f t="shared" si="534"/>
        <v>0</v>
      </c>
      <c r="O632" s="35">
        <f t="shared" si="524"/>
        <v>25.066111110994825</v>
      </c>
      <c r="P632" s="414">
        <f t="shared" si="525"/>
        <v>0</v>
      </c>
      <c r="Q632" s="329">
        <f t="shared" si="535"/>
        <v>0</v>
      </c>
      <c r="R632" s="35">
        <f t="shared" si="526"/>
        <v>0</v>
      </c>
      <c r="S632" s="414">
        <f t="shared" si="527"/>
        <v>0</v>
      </c>
      <c r="T632" s="880">
        <f>[5]Sheet1!$B1047</f>
        <v>8.2200000000000003E-7</v>
      </c>
      <c r="U632" s="10">
        <f t="shared" si="528"/>
        <v>44378</v>
      </c>
      <c r="V632" s="276">
        <f t="shared" si="529"/>
        <v>3.0003000000000001E-4</v>
      </c>
    </row>
    <row r="633" spans="1:22" x14ac:dyDescent="0.25">
      <c r="A633" s="335">
        <f t="shared" si="536"/>
        <v>44379</v>
      </c>
      <c r="B633" s="329">
        <f t="shared" si="530"/>
        <v>14.25</v>
      </c>
      <c r="C633" s="338">
        <f t="shared" si="516"/>
        <v>2182501.62</v>
      </c>
      <c r="D633" s="414">
        <f t="shared" si="517"/>
        <v>1.79</v>
      </c>
      <c r="E633" s="49">
        <f t="shared" si="531"/>
        <v>0</v>
      </c>
      <c r="F633" s="35">
        <f t="shared" si="518"/>
        <v>0</v>
      </c>
      <c r="G633" s="414">
        <f t="shared" si="519"/>
        <v>0</v>
      </c>
      <c r="H633" s="49">
        <f t="shared" si="532"/>
        <v>1.06</v>
      </c>
      <c r="I633" s="35">
        <f t="shared" si="520"/>
        <v>50575.710000000145</v>
      </c>
      <c r="J633" s="414">
        <f t="shared" si="521"/>
        <v>0.04</v>
      </c>
      <c r="K633" s="329">
        <f t="shared" si="533"/>
        <v>0</v>
      </c>
      <c r="L633" s="35">
        <f t="shared" si="522"/>
        <v>0</v>
      </c>
      <c r="M633" s="414">
        <f t="shared" si="523"/>
        <v>0</v>
      </c>
      <c r="N633" s="329">
        <f t="shared" si="534"/>
        <v>1.61</v>
      </c>
      <c r="O633" s="35">
        <f t="shared" si="524"/>
        <v>26.676111110994825</v>
      </c>
      <c r="P633" s="414">
        <f t="shared" si="525"/>
        <v>0</v>
      </c>
      <c r="Q633" s="329">
        <f t="shared" si="535"/>
        <v>0</v>
      </c>
      <c r="R633" s="35">
        <f t="shared" si="526"/>
        <v>0</v>
      </c>
      <c r="S633" s="414">
        <f t="shared" si="527"/>
        <v>0</v>
      </c>
      <c r="T633" s="880">
        <f>[5]Sheet1!$B1048</f>
        <v>3.2880000000000001E-6</v>
      </c>
      <c r="U633" s="10">
        <f t="shared" si="528"/>
        <v>44379</v>
      </c>
      <c r="V633" s="276">
        <f t="shared" si="529"/>
        <v>3.0003000000000001E-4</v>
      </c>
    </row>
    <row r="634" spans="1:22" x14ac:dyDescent="0.25">
      <c r="A634" s="335">
        <f t="shared" si="536"/>
        <v>44383</v>
      </c>
      <c r="B634" s="329">
        <f t="shared" si="530"/>
        <v>0</v>
      </c>
      <c r="C634" s="338">
        <f t="shared" si="516"/>
        <v>2182501.62</v>
      </c>
      <c r="D634" s="414">
        <f t="shared" si="517"/>
        <v>7.18</v>
      </c>
      <c r="E634" s="49">
        <f t="shared" si="531"/>
        <v>0</v>
      </c>
      <c r="F634" s="35">
        <f t="shared" si="518"/>
        <v>0</v>
      </c>
      <c r="G634" s="414">
        <f t="shared" si="519"/>
        <v>0</v>
      </c>
      <c r="H634" s="49">
        <f t="shared" si="532"/>
        <v>0</v>
      </c>
      <c r="I634" s="35">
        <f t="shared" si="520"/>
        <v>50575.710000000145</v>
      </c>
      <c r="J634" s="414">
        <f t="shared" si="521"/>
        <v>0.17</v>
      </c>
      <c r="K634" s="329">
        <f t="shared" si="533"/>
        <v>0</v>
      </c>
      <c r="L634" s="35">
        <f t="shared" si="522"/>
        <v>0</v>
      </c>
      <c r="M634" s="414">
        <f t="shared" si="523"/>
        <v>0</v>
      </c>
      <c r="N634" s="329">
        <f t="shared" si="534"/>
        <v>0</v>
      </c>
      <c r="O634" s="35">
        <f t="shared" si="524"/>
        <v>26.676111110994825</v>
      </c>
      <c r="P634" s="414">
        <f t="shared" si="525"/>
        <v>0</v>
      </c>
      <c r="Q634" s="329">
        <f t="shared" si="535"/>
        <v>0</v>
      </c>
      <c r="R634" s="35">
        <f t="shared" si="526"/>
        <v>0</v>
      </c>
      <c r="S634" s="414">
        <f t="shared" si="527"/>
        <v>0</v>
      </c>
      <c r="T634" s="880">
        <f>[5]Sheet1!$B1049</f>
        <v>8.2200000000000003E-7</v>
      </c>
      <c r="U634" s="10">
        <f t="shared" si="528"/>
        <v>44383</v>
      </c>
      <c r="V634" s="276">
        <f t="shared" si="529"/>
        <v>3.0003000000000001E-4</v>
      </c>
    </row>
    <row r="635" spans="1:22" x14ac:dyDescent="0.25">
      <c r="A635" s="335">
        <f t="shared" si="536"/>
        <v>44384</v>
      </c>
      <c r="B635" s="329">
        <f t="shared" si="530"/>
        <v>-1200000</v>
      </c>
      <c r="C635" s="338">
        <f t="shared" si="516"/>
        <v>982501.62000000011</v>
      </c>
      <c r="D635" s="414">
        <f t="shared" si="517"/>
        <v>1.79</v>
      </c>
      <c r="E635" s="49">
        <f t="shared" si="531"/>
        <v>0</v>
      </c>
      <c r="F635" s="35">
        <f t="shared" si="518"/>
        <v>0</v>
      </c>
      <c r="G635" s="414">
        <f t="shared" si="519"/>
        <v>0</v>
      </c>
      <c r="H635" s="49">
        <f t="shared" si="532"/>
        <v>0</v>
      </c>
      <c r="I635" s="35">
        <f t="shared" si="520"/>
        <v>50575.710000000145</v>
      </c>
      <c r="J635" s="414">
        <f t="shared" si="521"/>
        <v>0.04</v>
      </c>
      <c r="K635" s="329">
        <f t="shared" si="533"/>
        <v>0</v>
      </c>
      <c r="L635" s="35">
        <f t="shared" si="522"/>
        <v>0</v>
      </c>
      <c r="M635" s="414">
        <f t="shared" si="523"/>
        <v>0</v>
      </c>
      <c r="N635" s="329">
        <f t="shared" si="534"/>
        <v>0</v>
      </c>
      <c r="O635" s="35">
        <f t="shared" si="524"/>
        <v>26.676111110994825</v>
      </c>
      <c r="P635" s="414">
        <f t="shared" si="525"/>
        <v>0</v>
      </c>
      <c r="Q635" s="329">
        <f t="shared" si="535"/>
        <v>0</v>
      </c>
      <c r="R635" s="35">
        <f t="shared" si="526"/>
        <v>0</v>
      </c>
      <c r="S635" s="414">
        <f t="shared" si="527"/>
        <v>0</v>
      </c>
      <c r="T635" s="880">
        <f>[5]Sheet1!$B1050</f>
        <v>8.2200000000000003E-7</v>
      </c>
      <c r="U635" s="10">
        <f t="shared" si="528"/>
        <v>44384</v>
      </c>
      <c r="V635" s="276">
        <f t="shared" si="529"/>
        <v>3.0003000000000001E-4</v>
      </c>
    </row>
    <row r="636" spans="1:22" x14ac:dyDescent="0.25">
      <c r="A636" s="335">
        <f t="shared" si="536"/>
        <v>44385</v>
      </c>
      <c r="B636" s="329">
        <f t="shared" si="530"/>
        <v>0</v>
      </c>
      <c r="C636" s="338">
        <f t="shared" si="516"/>
        <v>982501.62000000011</v>
      </c>
      <c r="D636" s="414">
        <f t="shared" si="517"/>
        <v>0.81</v>
      </c>
      <c r="E636" s="49">
        <f t="shared" si="531"/>
        <v>0</v>
      </c>
      <c r="F636" s="35">
        <f t="shared" si="518"/>
        <v>0</v>
      </c>
      <c r="G636" s="414">
        <f t="shared" si="519"/>
        <v>0</v>
      </c>
      <c r="H636" s="49">
        <f t="shared" si="532"/>
        <v>0</v>
      </c>
      <c r="I636" s="35">
        <f t="shared" si="520"/>
        <v>50575.710000000145</v>
      </c>
      <c r="J636" s="414">
        <f t="shared" si="521"/>
        <v>0.04</v>
      </c>
      <c r="K636" s="329">
        <f t="shared" si="533"/>
        <v>0</v>
      </c>
      <c r="L636" s="35">
        <f t="shared" si="522"/>
        <v>0</v>
      </c>
      <c r="M636" s="414">
        <f t="shared" si="523"/>
        <v>0</v>
      </c>
      <c r="N636" s="329">
        <f t="shared" si="534"/>
        <v>0</v>
      </c>
      <c r="O636" s="35">
        <f t="shared" si="524"/>
        <v>26.676111110994825</v>
      </c>
      <c r="P636" s="414">
        <f t="shared" si="525"/>
        <v>0</v>
      </c>
      <c r="Q636" s="329">
        <f t="shared" si="535"/>
        <v>0</v>
      </c>
      <c r="R636" s="35">
        <f t="shared" si="526"/>
        <v>0</v>
      </c>
      <c r="S636" s="414">
        <f t="shared" si="527"/>
        <v>0</v>
      </c>
      <c r="T636" s="880">
        <f>[5]Sheet1!$B1051</f>
        <v>8.2200000000000003E-7</v>
      </c>
      <c r="U636" s="10">
        <f t="shared" si="528"/>
        <v>44385</v>
      </c>
      <c r="V636" s="276">
        <f t="shared" si="529"/>
        <v>3.0003000000000001E-4</v>
      </c>
    </row>
    <row r="637" spans="1:22" x14ac:dyDescent="0.25">
      <c r="A637" s="335">
        <f t="shared" si="536"/>
        <v>44386</v>
      </c>
      <c r="B637" s="329">
        <f t="shared" si="530"/>
        <v>0</v>
      </c>
      <c r="C637" s="338">
        <f t="shared" ref="C637:C676" si="537">B637+C636</f>
        <v>982501.62000000011</v>
      </c>
      <c r="D637" s="414">
        <f t="shared" ref="D637:D676" si="538">ROUND(C636*$T636,2)</f>
        <v>0.81</v>
      </c>
      <c r="E637" s="49">
        <f t="shared" si="531"/>
        <v>0</v>
      </c>
      <c r="F637" s="35">
        <f t="shared" ref="F637:F676" si="539">E637+F636</f>
        <v>0</v>
      </c>
      <c r="G637" s="414">
        <f t="shared" ref="G637:G676" si="540">ROUND(F636*$T636,2)</f>
        <v>0</v>
      </c>
      <c r="H637" s="49">
        <f t="shared" si="532"/>
        <v>0</v>
      </c>
      <c r="I637" s="35">
        <f t="shared" ref="I637:I676" si="541">H637+I636</f>
        <v>50575.710000000145</v>
      </c>
      <c r="J637" s="414">
        <f t="shared" ref="J637:J676" si="542">ROUND(I636*$T636,2)</f>
        <v>0.04</v>
      </c>
      <c r="K637" s="329">
        <f t="shared" si="533"/>
        <v>0</v>
      </c>
      <c r="L637" s="35">
        <f t="shared" ref="L637:L676" si="543">K637+L636</f>
        <v>0</v>
      </c>
      <c r="M637" s="414">
        <f t="shared" ref="M637:M676" si="544">ROUND(L636*$T636,2)</f>
        <v>0</v>
      </c>
      <c r="N637" s="329">
        <f t="shared" si="534"/>
        <v>0</v>
      </c>
      <c r="O637" s="35">
        <f t="shared" ref="O637:O676" si="545">N637+O636</f>
        <v>26.676111110994825</v>
      </c>
      <c r="P637" s="414">
        <f t="shared" ref="P637:P676" si="546">ROUND(O636*$T636,2)</f>
        <v>0</v>
      </c>
      <c r="Q637" s="329">
        <f t="shared" si="535"/>
        <v>0</v>
      </c>
      <c r="R637" s="35">
        <f t="shared" ref="R637:R676" si="547">Q637+R636</f>
        <v>0</v>
      </c>
      <c r="S637" s="414">
        <f t="shared" ref="S637:S676" si="548">ROUND(R636*$T636,2)</f>
        <v>0</v>
      </c>
      <c r="T637" s="880">
        <f>[5]Sheet1!$B1052</f>
        <v>2.4660000000000002E-6</v>
      </c>
      <c r="U637" s="10">
        <f t="shared" ref="U637:U676" si="549">A637</f>
        <v>44386</v>
      </c>
      <c r="V637" s="276">
        <f t="shared" ref="V637:V676" si="550">T637*365/(A638-A637)</f>
        <v>3.0003000000000001E-4</v>
      </c>
    </row>
    <row r="638" spans="1:22" x14ac:dyDescent="0.25">
      <c r="A638" s="335">
        <f t="shared" si="536"/>
        <v>44389</v>
      </c>
      <c r="B638" s="329">
        <f t="shared" si="530"/>
        <v>0</v>
      </c>
      <c r="C638" s="338">
        <f t="shared" si="537"/>
        <v>982501.62000000011</v>
      </c>
      <c r="D638" s="414">
        <f t="shared" si="538"/>
        <v>2.42</v>
      </c>
      <c r="E638" s="49">
        <f t="shared" si="531"/>
        <v>0</v>
      </c>
      <c r="F638" s="35">
        <f t="shared" si="539"/>
        <v>0</v>
      </c>
      <c r="G638" s="414">
        <f t="shared" si="540"/>
        <v>0</v>
      </c>
      <c r="H638" s="49">
        <f t="shared" si="532"/>
        <v>0</v>
      </c>
      <c r="I638" s="35">
        <f t="shared" si="541"/>
        <v>50575.710000000145</v>
      </c>
      <c r="J638" s="414">
        <f t="shared" si="542"/>
        <v>0.12</v>
      </c>
      <c r="K638" s="329">
        <f t="shared" si="533"/>
        <v>0</v>
      </c>
      <c r="L638" s="35">
        <f t="shared" si="543"/>
        <v>0</v>
      </c>
      <c r="M638" s="414">
        <f t="shared" si="544"/>
        <v>0</v>
      </c>
      <c r="N638" s="329">
        <f t="shared" si="534"/>
        <v>0</v>
      </c>
      <c r="O638" s="35">
        <f t="shared" si="545"/>
        <v>26.676111110994825</v>
      </c>
      <c r="P638" s="414">
        <f t="shared" si="546"/>
        <v>0</v>
      </c>
      <c r="Q638" s="329">
        <f t="shared" si="535"/>
        <v>0</v>
      </c>
      <c r="R638" s="35">
        <f t="shared" si="547"/>
        <v>0</v>
      </c>
      <c r="S638" s="414">
        <f t="shared" si="548"/>
        <v>0</v>
      </c>
      <c r="T638" s="880">
        <f>[5]Sheet1!$B1053</f>
        <v>8.2200000000000003E-7</v>
      </c>
      <c r="U638" s="10">
        <f t="shared" si="549"/>
        <v>44389</v>
      </c>
      <c r="V638" s="276">
        <f t="shared" si="550"/>
        <v>3.0003000000000001E-4</v>
      </c>
    </row>
    <row r="639" spans="1:22" x14ac:dyDescent="0.25">
      <c r="A639" s="335">
        <f t="shared" si="536"/>
        <v>44390</v>
      </c>
      <c r="B639" s="329">
        <f t="shared" si="530"/>
        <v>-500066.67</v>
      </c>
      <c r="C639" s="338">
        <f t="shared" si="537"/>
        <v>482434.95000000013</v>
      </c>
      <c r="D639" s="414">
        <f t="shared" si="538"/>
        <v>0.81</v>
      </c>
      <c r="E639" s="49">
        <f t="shared" si="531"/>
        <v>0</v>
      </c>
      <c r="F639" s="35">
        <f t="shared" si="539"/>
        <v>0</v>
      </c>
      <c r="G639" s="414">
        <f t="shared" si="540"/>
        <v>0</v>
      </c>
      <c r="H639" s="49">
        <f t="shared" si="532"/>
        <v>0</v>
      </c>
      <c r="I639" s="35">
        <f t="shared" si="541"/>
        <v>50575.710000000145</v>
      </c>
      <c r="J639" s="414">
        <f t="shared" si="542"/>
        <v>0.04</v>
      </c>
      <c r="K639" s="329">
        <f t="shared" si="533"/>
        <v>0</v>
      </c>
      <c r="L639" s="35">
        <f t="shared" si="543"/>
        <v>0</v>
      </c>
      <c r="M639" s="414">
        <f t="shared" si="544"/>
        <v>0</v>
      </c>
      <c r="N639" s="329">
        <f t="shared" si="534"/>
        <v>0</v>
      </c>
      <c r="O639" s="35">
        <f t="shared" si="545"/>
        <v>26.676111110994825</v>
      </c>
      <c r="P639" s="414">
        <f t="shared" si="546"/>
        <v>0</v>
      </c>
      <c r="Q639" s="329">
        <f t="shared" si="535"/>
        <v>0</v>
      </c>
      <c r="R639" s="35">
        <f t="shared" si="547"/>
        <v>0</v>
      </c>
      <c r="S639" s="414">
        <f t="shared" si="548"/>
        <v>0</v>
      </c>
      <c r="T639" s="880">
        <f>[5]Sheet1!$B1054</f>
        <v>8.2200000000000003E-7</v>
      </c>
      <c r="U639" s="10">
        <f t="shared" si="549"/>
        <v>44390</v>
      </c>
      <c r="V639" s="276">
        <f t="shared" si="550"/>
        <v>3.0003000000000001E-4</v>
      </c>
    </row>
    <row r="640" spans="1:22" x14ac:dyDescent="0.25">
      <c r="A640" s="335">
        <f t="shared" si="536"/>
        <v>44391</v>
      </c>
      <c r="B640" s="329">
        <f t="shared" si="530"/>
        <v>0</v>
      </c>
      <c r="C640" s="338">
        <f t="shared" si="537"/>
        <v>482434.95000000013</v>
      </c>
      <c r="D640" s="414">
        <f t="shared" si="538"/>
        <v>0.4</v>
      </c>
      <c r="E640" s="49">
        <f t="shared" si="531"/>
        <v>0</v>
      </c>
      <c r="F640" s="35">
        <f t="shared" si="539"/>
        <v>0</v>
      </c>
      <c r="G640" s="414">
        <f t="shared" si="540"/>
        <v>0</v>
      </c>
      <c r="H640" s="49">
        <f t="shared" si="532"/>
        <v>0</v>
      </c>
      <c r="I640" s="35">
        <f t="shared" si="541"/>
        <v>50575.710000000145</v>
      </c>
      <c r="J640" s="414">
        <f t="shared" si="542"/>
        <v>0.04</v>
      </c>
      <c r="K640" s="329">
        <f t="shared" si="533"/>
        <v>0</v>
      </c>
      <c r="L640" s="35">
        <f t="shared" si="543"/>
        <v>0</v>
      </c>
      <c r="M640" s="414">
        <f t="shared" si="544"/>
        <v>0</v>
      </c>
      <c r="N640" s="329">
        <f t="shared" si="534"/>
        <v>0</v>
      </c>
      <c r="O640" s="35">
        <f t="shared" si="545"/>
        <v>26.676111110994825</v>
      </c>
      <c r="P640" s="414">
        <f t="shared" si="546"/>
        <v>0</v>
      </c>
      <c r="Q640" s="329">
        <f t="shared" si="535"/>
        <v>0</v>
      </c>
      <c r="R640" s="35">
        <f t="shared" si="547"/>
        <v>0</v>
      </c>
      <c r="S640" s="414">
        <f t="shared" si="548"/>
        <v>0</v>
      </c>
      <c r="T640" s="880">
        <f>[5]Sheet1!$B1055</f>
        <v>8.2200000000000003E-7</v>
      </c>
      <c r="U640" s="10">
        <f t="shared" si="549"/>
        <v>44391</v>
      </c>
      <c r="V640" s="276">
        <f t="shared" si="550"/>
        <v>3.0003000000000001E-4</v>
      </c>
    </row>
    <row r="641" spans="1:22" x14ac:dyDescent="0.25">
      <c r="A641" s="335">
        <f t="shared" si="536"/>
        <v>44392</v>
      </c>
      <c r="B641" s="329">
        <f t="shared" si="530"/>
        <v>0</v>
      </c>
      <c r="C641" s="338">
        <f t="shared" si="537"/>
        <v>482434.95000000013</v>
      </c>
      <c r="D641" s="414">
        <f t="shared" si="538"/>
        <v>0.4</v>
      </c>
      <c r="E641" s="49">
        <f t="shared" si="531"/>
        <v>0</v>
      </c>
      <c r="F641" s="35">
        <f t="shared" si="539"/>
        <v>0</v>
      </c>
      <c r="G641" s="414">
        <f t="shared" si="540"/>
        <v>0</v>
      </c>
      <c r="H641" s="49">
        <f t="shared" si="532"/>
        <v>0</v>
      </c>
      <c r="I641" s="35">
        <f t="shared" si="541"/>
        <v>50575.710000000145</v>
      </c>
      <c r="J641" s="414">
        <f t="shared" si="542"/>
        <v>0.04</v>
      </c>
      <c r="K641" s="329">
        <f t="shared" si="533"/>
        <v>0</v>
      </c>
      <c r="L641" s="35">
        <f t="shared" si="543"/>
        <v>0</v>
      </c>
      <c r="M641" s="414">
        <f t="shared" si="544"/>
        <v>0</v>
      </c>
      <c r="N641" s="329">
        <f t="shared" si="534"/>
        <v>0</v>
      </c>
      <c r="O641" s="35">
        <f t="shared" si="545"/>
        <v>26.676111110994825</v>
      </c>
      <c r="P641" s="414">
        <f t="shared" si="546"/>
        <v>0</v>
      </c>
      <c r="Q641" s="329">
        <f t="shared" si="535"/>
        <v>0</v>
      </c>
      <c r="R641" s="35">
        <f t="shared" si="547"/>
        <v>0</v>
      </c>
      <c r="S641" s="414">
        <f t="shared" si="548"/>
        <v>0</v>
      </c>
      <c r="T641" s="880">
        <f>[5]Sheet1!$B1056</f>
        <v>8.2200000000000003E-7</v>
      </c>
      <c r="U641" s="10">
        <f t="shared" si="549"/>
        <v>44392</v>
      </c>
      <c r="V641" s="276">
        <f t="shared" si="550"/>
        <v>3.0003000000000001E-4</v>
      </c>
    </row>
    <row r="642" spans="1:22" x14ac:dyDescent="0.25">
      <c r="A642" s="335">
        <f t="shared" si="536"/>
        <v>44393</v>
      </c>
      <c r="B642" s="329">
        <f t="shared" si="530"/>
        <v>0</v>
      </c>
      <c r="C642" s="338">
        <f t="shared" si="537"/>
        <v>482434.95000000013</v>
      </c>
      <c r="D642" s="414">
        <f t="shared" si="538"/>
        <v>0.4</v>
      </c>
      <c r="E642" s="49">
        <f t="shared" si="531"/>
        <v>0</v>
      </c>
      <c r="F642" s="35">
        <f t="shared" si="539"/>
        <v>0</v>
      </c>
      <c r="G642" s="414">
        <f t="shared" si="540"/>
        <v>0</v>
      </c>
      <c r="H642" s="49">
        <f t="shared" si="532"/>
        <v>0</v>
      </c>
      <c r="I642" s="35">
        <f t="shared" si="541"/>
        <v>50575.710000000145</v>
      </c>
      <c r="J642" s="414">
        <f t="shared" si="542"/>
        <v>0.04</v>
      </c>
      <c r="K642" s="329">
        <f t="shared" si="533"/>
        <v>0</v>
      </c>
      <c r="L642" s="35">
        <f t="shared" si="543"/>
        <v>0</v>
      </c>
      <c r="M642" s="414">
        <f t="shared" si="544"/>
        <v>0</v>
      </c>
      <c r="N642" s="329">
        <f t="shared" si="534"/>
        <v>0</v>
      </c>
      <c r="O642" s="35">
        <f t="shared" si="545"/>
        <v>26.676111110994825</v>
      </c>
      <c r="P642" s="414">
        <f t="shared" si="546"/>
        <v>0</v>
      </c>
      <c r="Q642" s="329">
        <f t="shared" si="535"/>
        <v>0</v>
      </c>
      <c r="R642" s="35">
        <f t="shared" si="547"/>
        <v>0</v>
      </c>
      <c r="S642" s="414">
        <f t="shared" si="548"/>
        <v>0</v>
      </c>
      <c r="T642" s="880">
        <f>[5]Sheet1!$B1057</f>
        <v>2.4660000000000002E-6</v>
      </c>
      <c r="U642" s="10">
        <f t="shared" si="549"/>
        <v>44393</v>
      </c>
      <c r="V642" s="276">
        <f t="shared" si="550"/>
        <v>3.0003000000000001E-4</v>
      </c>
    </row>
    <row r="643" spans="1:22" x14ac:dyDescent="0.25">
      <c r="A643" s="335">
        <f t="shared" si="536"/>
        <v>44396</v>
      </c>
      <c r="B643" s="329">
        <f t="shared" si="530"/>
        <v>-140687.5</v>
      </c>
      <c r="C643" s="338">
        <f t="shared" si="537"/>
        <v>341747.45000000013</v>
      </c>
      <c r="D643" s="414">
        <f t="shared" si="538"/>
        <v>1.19</v>
      </c>
      <c r="E643" s="49">
        <f t="shared" si="531"/>
        <v>0</v>
      </c>
      <c r="F643" s="35">
        <f t="shared" si="539"/>
        <v>0</v>
      </c>
      <c r="G643" s="414">
        <f t="shared" si="540"/>
        <v>0</v>
      </c>
      <c r="H643" s="49">
        <f t="shared" si="532"/>
        <v>545</v>
      </c>
      <c r="I643" s="35">
        <f t="shared" si="541"/>
        <v>51120.710000000145</v>
      </c>
      <c r="J643" s="414">
        <f t="shared" si="542"/>
        <v>0.12</v>
      </c>
      <c r="K643" s="329">
        <f t="shared" si="533"/>
        <v>0</v>
      </c>
      <c r="L643" s="35">
        <f t="shared" si="543"/>
        <v>0</v>
      </c>
      <c r="M643" s="414">
        <f t="shared" si="544"/>
        <v>0</v>
      </c>
      <c r="N643" s="329">
        <f t="shared" si="534"/>
        <v>0</v>
      </c>
      <c r="O643" s="35">
        <f t="shared" si="545"/>
        <v>26.676111110994825</v>
      </c>
      <c r="P643" s="414">
        <f t="shared" si="546"/>
        <v>0</v>
      </c>
      <c r="Q643" s="329">
        <f t="shared" si="535"/>
        <v>0</v>
      </c>
      <c r="R643" s="35">
        <f t="shared" si="547"/>
        <v>0</v>
      </c>
      <c r="S643" s="414">
        <f t="shared" si="548"/>
        <v>0</v>
      </c>
      <c r="T643" s="880">
        <f>[5]Sheet1!$B1058</f>
        <v>8.2200000000000003E-7</v>
      </c>
      <c r="U643" s="10">
        <f t="shared" si="549"/>
        <v>44396</v>
      </c>
      <c r="V643" s="276">
        <f t="shared" si="550"/>
        <v>3.0003000000000001E-4</v>
      </c>
    </row>
    <row r="644" spans="1:22" x14ac:dyDescent="0.25">
      <c r="A644" s="335">
        <f t="shared" si="536"/>
        <v>44397</v>
      </c>
      <c r="B644" s="329">
        <f t="shared" si="530"/>
        <v>0</v>
      </c>
      <c r="C644" s="338">
        <f t="shared" si="537"/>
        <v>341747.45000000013</v>
      </c>
      <c r="D644" s="414">
        <f t="shared" si="538"/>
        <v>0.28000000000000003</v>
      </c>
      <c r="E644" s="49">
        <f t="shared" si="531"/>
        <v>0</v>
      </c>
      <c r="F644" s="35">
        <f t="shared" si="539"/>
        <v>0</v>
      </c>
      <c r="G644" s="414">
        <f t="shared" si="540"/>
        <v>0</v>
      </c>
      <c r="H644" s="49">
        <f t="shared" si="532"/>
        <v>0</v>
      </c>
      <c r="I644" s="35">
        <f t="shared" si="541"/>
        <v>51120.710000000145</v>
      </c>
      <c r="J644" s="414">
        <f t="shared" si="542"/>
        <v>0.04</v>
      </c>
      <c r="K644" s="329">
        <f t="shared" si="533"/>
        <v>0</v>
      </c>
      <c r="L644" s="35">
        <f t="shared" si="543"/>
        <v>0</v>
      </c>
      <c r="M644" s="414">
        <f t="shared" si="544"/>
        <v>0</v>
      </c>
      <c r="N644" s="329">
        <f t="shared" si="534"/>
        <v>0</v>
      </c>
      <c r="O644" s="35">
        <f t="shared" si="545"/>
        <v>26.676111110994825</v>
      </c>
      <c r="P644" s="414">
        <f t="shared" si="546"/>
        <v>0</v>
      </c>
      <c r="Q644" s="329">
        <f t="shared" si="535"/>
        <v>0</v>
      </c>
      <c r="R644" s="35">
        <f t="shared" si="547"/>
        <v>0</v>
      </c>
      <c r="S644" s="414">
        <f t="shared" si="548"/>
        <v>0</v>
      </c>
      <c r="T644" s="880">
        <f>[5]Sheet1!$B1059</f>
        <v>8.2200000000000003E-7</v>
      </c>
      <c r="U644" s="10">
        <f t="shared" si="549"/>
        <v>44397</v>
      </c>
      <c r="V644" s="276">
        <f t="shared" si="550"/>
        <v>3.0003000000000001E-4</v>
      </c>
    </row>
    <row r="645" spans="1:22" x14ac:dyDescent="0.25">
      <c r="A645" s="335">
        <f t="shared" si="536"/>
        <v>44398</v>
      </c>
      <c r="B645" s="329">
        <f t="shared" si="530"/>
        <v>0</v>
      </c>
      <c r="C645" s="338">
        <f t="shared" si="537"/>
        <v>341747.45000000013</v>
      </c>
      <c r="D645" s="414">
        <f t="shared" si="538"/>
        <v>0.28000000000000003</v>
      </c>
      <c r="E645" s="49">
        <f t="shared" si="531"/>
        <v>0</v>
      </c>
      <c r="F645" s="35">
        <f t="shared" si="539"/>
        <v>0</v>
      </c>
      <c r="G645" s="414">
        <f t="shared" si="540"/>
        <v>0</v>
      </c>
      <c r="H645" s="49">
        <f t="shared" si="532"/>
        <v>0</v>
      </c>
      <c r="I645" s="35">
        <f t="shared" si="541"/>
        <v>51120.710000000145</v>
      </c>
      <c r="J645" s="414">
        <f t="shared" si="542"/>
        <v>0.04</v>
      </c>
      <c r="K645" s="329">
        <f t="shared" si="533"/>
        <v>0</v>
      </c>
      <c r="L645" s="35">
        <f t="shared" si="543"/>
        <v>0</v>
      </c>
      <c r="M645" s="414">
        <f t="shared" si="544"/>
        <v>0</v>
      </c>
      <c r="N645" s="329">
        <f t="shared" si="534"/>
        <v>0</v>
      </c>
      <c r="O645" s="35">
        <f t="shared" si="545"/>
        <v>26.676111110994825</v>
      </c>
      <c r="P645" s="414">
        <f t="shared" si="546"/>
        <v>0</v>
      </c>
      <c r="Q645" s="329">
        <f t="shared" si="535"/>
        <v>0</v>
      </c>
      <c r="R645" s="35">
        <f t="shared" si="547"/>
        <v>0</v>
      </c>
      <c r="S645" s="414">
        <f t="shared" si="548"/>
        <v>0</v>
      </c>
      <c r="T645" s="880">
        <f>[5]Sheet1!$B1060</f>
        <v>8.2200000000000003E-7</v>
      </c>
      <c r="U645" s="10">
        <f t="shared" si="549"/>
        <v>44398</v>
      </c>
      <c r="V645" s="276">
        <f t="shared" si="550"/>
        <v>3.0003000000000001E-4</v>
      </c>
    </row>
    <row r="646" spans="1:22" x14ac:dyDescent="0.25">
      <c r="A646" s="335">
        <f t="shared" si="536"/>
        <v>44399</v>
      </c>
      <c r="B646" s="329">
        <f t="shared" si="530"/>
        <v>0</v>
      </c>
      <c r="C646" s="338">
        <f t="shared" si="537"/>
        <v>341747.45000000013</v>
      </c>
      <c r="D646" s="414">
        <f t="shared" si="538"/>
        <v>0.28000000000000003</v>
      </c>
      <c r="E646" s="49">
        <f t="shared" si="531"/>
        <v>0</v>
      </c>
      <c r="F646" s="35">
        <f t="shared" si="539"/>
        <v>0</v>
      </c>
      <c r="G646" s="414">
        <f t="shared" si="540"/>
        <v>0</v>
      </c>
      <c r="H646" s="49">
        <f t="shared" si="532"/>
        <v>0</v>
      </c>
      <c r="I646" s="35">
        <f t="shared" si="541"/>
        <v>51120.710000000145</v>
      </c>
      <c r="J646" s="414">
        <f t="shared" si="542"/>
        <v>0.04</v>
      </c>
      <c r="K646" s="329">
        <f t="shared" si="533"/>
        <v>0</v>
      </c>
      <c r="L646" s="35">
        <f t="shared" si="543"/>
        <v>0</v>
      </c>
      <c r="M646" s="414">
        <f t="shared" si="544"/>
        <v>0</v>
      </c>
      <c r="N646" s="329">
        <f t="shared" si="534"/>
        <v>0</v>
      </c>
      <c r="O646" s="35">
        <f t="shared" si="545"/>
        <v>26.676111110994825</v>
      </c>
      <c r="P646" s="414">
        <f t="shared" si="546"/>
        <v>0</v>
      </c>
      <c r="Q646" s="329">
        <f t="shared" si="535"/>
        <v>0</v>
      </c>
      <c r="R646" s="35">
        <f t="shared" si="547"/>
        <v>0</v>
      </c>
      <c r="S646" s="414">
        <f t="shared" si="548"/>
        <v>0</v>
      </c>
      <c r="T646" s="880">
        <f>[5]Sheet1!$B1061</f>
        <v>8.2200000000000003E-7</v>
      </c>
      <c r="U646" s="10">
        <f t="shared" si="549"/>
        <v>44399</v>
      </c>
      <c r="V646" s="276">
        <f t="shared" si="550"/>
        <v>3.0003000000000001E-4</v>
      </c>
    </row>
    <row r="647" spans="1:22" x14ac:dyDescent="0.25">
      <c r="A647" s="335">
        <f t="shared" si="536"/>
        <v>44400</v>
      </c>
      <c r="B647" s="329">
        <f t="shared" ref="B647:B710" si="551">-SUMIFS(CF_Main,CF_Dates,$A647,CF_Descriptions,"MM Sweep")</f>
        <v>0</v>
      </c>
      <c r="C647" s="338">
        <f t="shared" si="537"/>
        <v>341747.45000000013</v>
      </c>
      <c r="D647" s="414">
        <f t="shared" si="538"/>
        <v>0.28000000000000003</v>
      </c>
      <c r="E647" s="49">
        <f t="shared" ref="E647:E710" si="552">-SUMIFS(CF_Main_EUR,CF_Dates,$A647,CF_Descriptions,"MM Sweep")</f>
        <v>0</v>
      </c>
      <c r="F647" s="35">
        <f t="shared" si="539"/>
        <v>0</v>
      </c>
      <c r="G647" s="414">
        <f t="shared" si="540"/>
        <v>0</v>
      </c>
      <c r="H647" s="49">
        <f t="shared" ref="H647:H710" si="553">-SUMIFS(CF_Expenses,CF_Dates,$A647,CF_Descriptions,"MM Sweep")</f>
        <v>-148.79</v>
      </c>
      <c r="I647" s="35">
        <f t="shared" si="541"/>
        <v>50971.920000000144</v>
      </c>
      <c r="J647" s="414">
        <f t="shared" si="542"/>
        <v>0.04</v>
      </c>
      <c r="K647" s="329">
        <f t="shared" ref="K647:K710" si="554">-SUMIFS(CF_Margin,CF_Dates,$A647,CF_Descriptions,"MM Sweep")</f>
        <v>0</v>
      </c>
      <c r="L647" s="35">
        <f t="shared" si="543"/>
        <v>0</v>
      </c>
      <c r="M647" s="414">
        <f t="shared" si="544"/>
        <v>0</v>
      </c>
      <c r="N647" s="329">
        <f t="shared" ref="N647:N710" si="555">-SUMIFS(CF_Mgmt,CF_Dates,$A647,CF_Descriptions,"MM Sweep")</f>
        <v>0</v>
      </c>
      <c r="O647" s="35">
        <f t="shared" si="545"/>
        <v>26.676111110994825</v>
      </c>
      <c r="P647" s="414">
        <f t="shared" si="546"/>
        <v>0</v>
      </c>
      <c r="Q647" s="329">
        <f t="shared" ref="Q647:Q710" si="556">-SUMIFS(CF_SubRedemp,CF_Dates,$A647,CF_Descriptions,"MM Sweep")</f>
        <v>0</v>
      </c>
      <c r="R647" s="35">
        <f t="shared" si="547"/>
        <v>0</v>
      </c>
      <c r="S647" s="414">
        <f t="shared" si="548"/>
        <v>0</v>
      </c>
      <c r="T647" s="880">
        <f>[5]Sheet1!$B1062</f>
        <v>2.4660000000000002E-6</v>
      </c>
      <c r="U647" s="10">
        <f t="shared" si="549"/>
        <v>44400</v>
      </c>
      <c r="V647" s="276">
        <f t="shared" si="550"/>
        <v>3.0003000000000001E-4</v>
      </c>
    </row>
    <row r="648" spans="1:22" x14ac:dyDescent="0.25">
      <c r="A648" s="335">
        <f t="shared" si="536"/>
        <v>44403</v>
      </c>
      <c r="B648" s="329">
        <f t="shared" si="551"/>
        <v>0</v>
      </c>
      <c r="C648" s="338">
        <f t="shared" si="537"/>
        <v>341747.45000000013</v>
      </c>
      <c r="D648" s="414">
        <f t="shared" si="538"/>
        <v>0.84</v>
      </c>
      <c r="E648" s="49">
        <f t="shared" si="552"/>
        <v>0</v>
      </c>
      <c r="F648" s="35">
        <f t="shared" si="539"/>
        <v>0</v>
      </c>
      <c r="G648" s="414">
        <f t="shared" si="540"/>
        <v>0</v>
      </c>
      <c r="H648" s="49">
        <f t="shared" si="553"/>
        <v>0</v>
      </c>
      <c r="I648" s="35">
        <f t="shared" si="541"/>
        <v>50971.920000000144</v>
      </c>
      <c r="J648" s="414">
        <f t="shared" si="542"/>
        <v>0.13</v>
      </c>
      <c r="K648" s="329">
        <f t="shared" si="554"/>
        <v>0</v>
      </c>
      <c r="L648" s="35">
        <f t="shared" si="543"/>
        <v>0</v>
      </c>
      <c r="M648" s="414">
        <f t="shared" si="544"/>
        <v>0</v>
      </c>
      <c r="N648" s="329">
        <f t="shared" si="555"/>
        <v>0</v>
      </c>
      <c r="O648" s="35">
        <f t="shared" si="545"/>
        <v>26.676111110994825</v>
      </c>
      <c r="P648" s="414">
        <f t="shared" si="546"/>
        <v>0</v>
      </c>
      <c r="Q648" s="329">
        <f t="shared" si="556"/>
        <v>0</v>
      </c>
      <c r="R648" s="35">
        <f t="shared" si="547"/>
        <v>0</v>
      </c>
      <c r="S648" s="414">
        <f t="shared" si="548"/>
        <v>0</v>
      </c>
      <c r="T648" s="880">
        <f>[5]Sheet1!$B1063</f>
        <v>8.2200000000000003E-7</v>
      </c>
      <c r="U648" s="10">
        <f t="shared" si="549"/>
        <v>44403</v>
      </c>
      <c r="V648" s="276">
        <f t="shared" si="550"/>
        <v>3.0003000000000001E-4</v>
      </c>
    </row>
    <row r="649" spans="1:22" x14ac:dyDescent="0.25">
      <c r="A649" s="335">
        <f t="shared" si="536"/>
        <v>44404</v>
      </c>
      <c r="B649" s="329">
        <f t="shared" si="551"/>
        <v>18530.72</v>
      </c>
      <c r="C649" s="338">
        <f t="shared" si="537"/>
        <v>360278.17000000016</v>
      </c>
      <c r="D649" s="414">
        <f t="shared" si="538"/>
        <v>0.28000000000000003</v>
      </c>
      <c r="E649" s="49">
        <f t="shared" si="552"/>
        <v>0</v>
      </c>
      <c r="F649" s="35">
        <f t="shared" si="539"/>
        <v>0</v>
      </c>
      <c r="G649" s="414">
        <f t="shared" si="540"/>
        <v>0</v>
      </c>
      <c r="H649" s="49">
        <f t="shared" si="553"/>
        <v>0</v>
      </c>
      <c r="I649" s="35">
        <f t="shared" si="541"/>
        <v>50971.920000000144</v>
      </c>
      <c r="J649" s="414">
        <f t="shared" si="542"/>
        <v>0.04</v>
      </c>
      <c r="K649" s="329">
        <f t="shared" si="554"/>
        <v>0</v>
      </c>
      <c r="L649" s="35">
        <f t="shared" si="543"/>
        <v>0</v>
      </c>
      <c r="M649" s="414">
        <f t="shared" si="544"/>
        <v>0</v>
      </c>
      <c r="N649" s="329">
        <f t="shared" si="555"/>
        <v>0</v>
      </c>
      <c r="O649" s="35">
        <f t="shared" si="545"/>
        <v>26.676111110994825</v>
      </c>
      <c r="P649" s="414">
        <f t="shared" si="546"/>
        <v>0</v>
      </c>
      <c r="Q649" s="329">
        <f t="shared" si="556"/>
        <v>0</v>
      </c>
      <c r="R649" s="35">
        <f t="shared" si="547"/>
        <v>0</v>
      </c>
      <c r="S649" s="414">
        <f t="shared" si="548"/>
        <v>0</v>
      </c>
      <c r="T649" s="880">
        <f>[5]Sheet1!$B1064</f>
        <v>8.2200000000000003E-7</v>
      </c>
      <c r="U649" s="10">
        <f t="shared" si="549"/>
        <v>44404</v>
      </c>
      <c r="V649" s="276">
        <f t="shared" si="550"/>
        <v>3.0003000000000001E-4</v>
      </c>
    </row>
    <row r="650" spans="1:22" x14ac:dyDescent="0.25">
      <c r="A650" s="335">
        <f t="shared" si="536"/>
        <v>44405</v>
      </c>
      <c r="B650" s="329">
        <f t="shared" si="551"/>
        <v>0</v>
      </c>
      <c r="C650" s="338">
        <f t="shared" si="537"/>
        <v>360278.17000000016</v>
      </c>
      <c r="D650" s="414">
        <f t="shared" si="538"/>
        <v>0.3</v>
      </c>
      <c r="E650" s="49">
        <f t="shared" si="552"/>
        <v>0</v>
      </c>
      <c r="F650" s="35">
        <f t="shared" si="539"/>
        <v>0</v>
      </c>
      <c r="G650" s="414">
        <f t="shared" si="540"/>
        <v>0</v>
      </c>
      <c r="H650" s="49">
        <f t="shared" si="553"/>
        <v>0</v>
      </c>
      <c r="I650" s="35">
        <f t="shared" si="541"/>
        <v>50971.920000000144</v>
      </c>
      <c r="J650" s="414">
        <f t="shared" si="542"/>
        <v>0.04</v>
      </c>
      <c r="K650" s="329">
        <f t="shared" si="554"/>
        <v>0</v>
      </c>
      <c r="L650" s="35">
        <f t="shared" si="543"/>
        <v>0</v>
      </c>
      <c r="M650" s="414">
        <f t="shared" si="544"/>
        <v>0</v>
      </c>
      <c r="N650" s="329">
        <f t="shared" si="555"/>
        <v>0</v>
      </c>
      <c r="O650" s="35">
        <f t="shared" si="545"/>
        <v>26.676111110994825</v>
      </c>
      <c r="P650" s="414">
        <f t="shared" si="546"/>
        <v>0</v>
      </c>
      <c r="Q650" s="329">
        <f t="shared" si="556"/>
        <v>0</v>
      </c>
      <c r="R650" s="35">
        <f t="shared" si="547"/>
        <v>0</v>
      </c>
      <c r="S650" s="414">
        <f t="shared" si="548"/>
        <v>0</v>
      </c>
      <c r="T650" s="880">
        <f>[5]Sheet1!$B1065</f>
        <v>8.2200000000000003E-7</v>
      </c>
      <c r="U650" s="10">
        <f t="shared" si="549"/>
        <v>44405</v>
      </c>
      <c r="V650" s="276">
        <f t="shared" si="550"/>
        <v>3.0003000000000001E-4</v>
      </c>
    </row>
    <row r="651" spans="1:22" x14ac:dyDescent="0.25">
      <c r="A651" s="335">
        <f t="shared" si="536"/>
        <v>44406</v>
      </c>
      <c r="B651" s="329">
        <f t="shared" si="551"/>
        <v>0</v>
      </c>
      <c r="C651" s="338">
        <f t="shared" si="537"/>
        <v>360278.17000000016</v>
      </c>
      <c r="D651" s="414">
        <f t="shared" si="538"/>
        <v>0.3</v>
      </c>
      <c r="E651" s="49">
        <f t="shared" si="552"/>
        <v>0</v>
      </c>
      <c r="F651" s="35">
        <f t="shared" si="539"/>
        <v>0</v>
      </c>
      <c r="G651" s="414">
        <f t="shared" si="540"/>
        <v>0</v>
      </c>
      <c r="H651" s="49">
        <f t="shared" si="553"/>
        <v>0</v>
      </c>
      <c r="I651" s="35">
        <f t="shared" si="541"/>
        <v>50971.920000000144</v>
      </c>
      <c r="J651" s="414">
        <f t="shared" si="542"/>
        <v>0.04</v>
      </c>
      <c r="K651" s="329">
        <f t="shared" si="554"/>
        <v>0</v>
      </c>
      <c r="L651" s="35">
        <f t="shared" si="543"/>
        <v>0</v>
      </c>
      <c r="M651" s="414">
        <f t="shared" si="544"/>
        <v>0</v>
      </c>
      <c r="N651" s="329">
        <f t="shared" si="555"/>
        <v>0</v>
      </c>
      <c r="O651" s="35">
        <f t="shared" si="545"/>
        <v>26.676111110994825</v>
      </c>
      <c r="P651" s="414">
        <f t="shared" si="546"/>
        <v>0</v>
      </c>
      <c r="Q651" s="329">
        <f t="shared" si="556"/>
        <v>0</v>
      </c>
      <c r="R651" s="35">
        <f t="shared" si="547"/>
        <v>0</v>
      </c>
      <c r="S651" s="414">
        <f t="shared" si="548"/>
        <v>0</v>
      </c>
      <c r="T651" s="880">
        <f>[5]Sheet1!$B1066</f>
        <v>8.2200000000000003E-7</v>
      </c>
      <c r="U651" s="10">
        <f t="shared" si="549"/>
        <v>44406</v>
      </c>
      <c r="V651" s="276">
        <f t="shared" si="550"/>
        <v>3.0003000000000001E-4</v>
      </c>
    </row>
    <row r="652" spans="1:22" x14ac:dyDescent="0.25">
      <c r="A652" s="335">
        <f t="shared" si="536"/>
        <v>44407</v>
      </c>
      <c r="B652" s="329">
        <f t="shared" si="551"/>
        <v>0</v>
      </c>
      <c r="C652" s="338">
        <f t="shared" si="537"/>
        <v>360278.17000000016</v>
      </c>
      <c r="D652" s="414">
        <f t="shared" si="538"/>
        <v>0.3</v>
      </c>
      <c r="E652" s="49">
        <f t="shared" si="552"/>
        <v>0</v>
      </c>
      <c r="F652" s="35">
        <f t="shared" si="539"/>
        <v>0</v>
      </c>
      <c r="G652" s="414">
        <f t="shared" si="540"/>
        <v>0</v>
      </c>
      <c r="H652" s="49">
        <f t="shared" si="553"/>
        <v>0</v>
      </c>
      <c r="I652" s="35">
        <f t="shared" si="541"/>
        <v>50971.920000000144</v>
      </c>
      <c r="J652" s="414">
        <f t="shared" si="542"/>
        <v>0.04</v>
      </c>
      <c r="K652" s="329">
        <f t="shared" si="554"/>
        <v>0</v>
      </c>
      <c r="L652" s="35">
        <f t="shared" si="543"/>
        <v>0</v>
      </c>
      <c r="M652" s="414">
        <f t="shared" si="544"/>
        <v>0</v>
      </c>
      <c r="N652" s="329">
        <f t="shared" si="555"/>
        <v>0</v>
      </c>
      <c r="O652" s="35">
        <f t="shared" si="545"/>
        <v>26.676111110994825</v>
      </c>
      <c r="P652" s="414">
        <f t="shared" si="546"/>
        <v>0</v>
      </c>
      <c r="Q652" s="329">
        <f t="shared" si="556"/>
        <v>0</v>
      </c>
      <c r="R652" s="35">
        <f t="shared" si="547"/>
        <v>0</v>
      </c>
      <c r="S652" s="414">
        <f t="shared" si="548"/>
        <v>0</v>
      </c>
      <c r="T652" s="880">
        <f>[5]Sheet1!$B1067</f>
        <v>8.2200000000000003E-7</v>
      </c>
      <c r="U652" s="10">
        <f t="shared" si="549"/>
        <v>44407</v>
      </c>
      <c r="V652" s="276">
        <f t="shared" si="550"/>
        <v>3.0003000000000001E-4</v>
      </c>
    </row>
    <row r="653" spans="1:22" x14ac:dyDescent="0.25">
      <c r="A653" s="335">
        <v>44408</v>
      </c>
      <c r="B653" s="329">
        <f t="shared" si="551"/>
        <v>0</v>
      </c>
      <c r="C653" s="338">
        <f t="shared" si="537"/>
        <v>360278.17000000016</v>
      </c>
      <c r="D653" s="414">
        <f t="shared" si="538"/>
        <v>0.3</v>
      </c>
      <c r="E653" s="49">
        <f t="shared" si="552"/>
        <v>0</v>
      </c>
      <c r="F653" s="35">
        <f t="shared" si="539"/>
        <v>0</v>
      </c>
      <c r="G653" s="414">
        <f t="shared" si="540"/>
        <v>0</v>
      </c>
      <c r="H653" s="49">
        <f t="shared" si="553"/>
        <v>0</v>
      </c>
      <c r="I653" s="35">
        <f t="shared" si="541"/>
        <v>50971.920000000144</v>
      </c>
      <c r="J653" s="414">
        <f t="shared" si="542"/>
        <v>0.04</v>
      </c>
      <c r="K653" s="329">
        <f t="shared" si="554"/>
        <v>0</v>
      </c>
      <c r="L653" s="35">
        <f t="shared" si="543"/>
        <v>0</v>
      </c>
      <c r="M653" s="414">
        <f t="shared" si="544"/>
        <v>0</v>
      </c>
      <c r="N653" s="329">
        <f t="shared" si="555"/>
        <v>0</v>
      </c>
      <c r="O653" s="35">
        <f t="shared" si="545"/>
        <v>26.676111110994825</v>
      </c>
      <c r="P653" s="414">
        <f t="shared" si="546"/>
        <v>0</v>
      </c>
      <c r="Q653" s="329">
        <f t="shared" si="556"/>
        <v>0</v>
      </c>
      <c r="R653" s="35">
        <f t="shared" si="547"/>
        <v>0</v>
      </c>
      <c r="S653" s="414">
        <f t="shared" si="548"/>
        <v>0</v>
      </c>
      <c r="T653" s="880">
        <f>[5]Sheet1!$B1068</f>
        <v>8.2200000000000003E-7</v>
      </c>
      <c r="U653" s="10">
        <f t="shared" si="549"/>
        <v>44408</v>
      </c>
      <c r="V653" s="276">
        <f t="shared" si="550"/>
        <v>3.0003000000000001E-4</v>
      </c>
    </row>
    <row r="654" spans="1:22" x14ac:dyDescent="0.25">
      <c r="A654" s="1069">
        <v>44409</v>
      </c>
      <c r="B654" s="329">
        <f t="shared" si="551"/>
        <v>0</v>
      </c>
      <c r="C654" s="338">
        <f t="shared" si="537"/>
        <v>360278.17000000016</v>
      </c>
      <c r="D654" s="414">
        <f t="shared" si="538"/>
        <v>0.3</v>
      </c>
      <c r="E654" s="49">
        <f t="shared" si="552"/>
        <v>0</v>
      </c>
      <c r="F654" s="35">
        <f t="shared" si="539"/>
        <v>0</v>
      </c>
      <c r="G654" s="414">
        <f t="shared" si="540"/>
        <v>0</v>
      </c>
      <c r="H654" s="49">
        <f t="shared" si="553"/>
        <v>0</v>
      </c>
      <c r="I654" s="35">
        <f t="shared" si="541"/>
        <v>50971.920000000144</v>
      </c>
      <c r="J654" s="414">
        <f t="shared" si="542"/>
        <v>0.04</v>
      </c>
      <c r="K654" s="329">
        <f t="shared" si="554"/>
        <v>0</v>
      </c>
      <c r="L654" s="35">
        <f t="shared" si="543"/>
        <v>0</v>
      </c>
      <c r="M654" s="414">
        <f t="shared" si="544"/>
        <v>0</v>
      </c>
      <c r="N654" s="329">
        <f t="shared" si="555"/>
        <v>0</v>
      </c>
      <c r="O654" s="35">
        <f t="shared" si="545"/>
        <v>26.676111110994825</v>
      </c>
      <c r="P654" s="414">
        <f t="shared" si="546"/>
        <v>0</v>
      </c>
      <c r="Q654" s="329">
        <f t="shared" si="556"/>
        <v>0</v>
      </c>
      <c r="R654" s="35">
        <f t="shared" si="547"/>
        <v>0</v>
      </c>
      <c r="S654" s="414">
        <f t="shared" si="548"/>
        <v>0</v>
      </c>
      <c r="T654" s="880">
        <f>[5]Sheet1!$B1069</f>
        <v>8.2200000000000003E-7</v>
      </c>
      <c r="U654" s="10">
        <f t="shared" si="549"/>
        <v>44409</v>
      </c>
      <c r="V654" s="276">
        <f t="shared" si="550"/>
        <v>3.0003000000000001E-4</v>
      </c>
    </row>
    <row r="655" spans="1:22" x14ac:dyDescent="0.25">
      <c r="A655" s="335">
        <f t="shared" ref="A655:A717" si="557">WORKDAY(A654,1,Holidays)</f>
        <v>44410</v>
      </c>
      <c r="B655" s="329">
        <f t="shared" si="551"/>
        <v>0</v>
      </c>
      <c r="C655" s="338">
        <f t="shared" si="537"/>
        <v>360278.17000000016</v>
      </c>
      <c r="D655" s="414">
        <f t="shared" si="538"/>
        <v>0.3</v>
      </c>
      <c r="E655" s="49">
        <f t="shared" si="552"/>
        <v>0</v>
      </c>
      <c r="F655" s="35">
        <f t="shared" si="539"/>
        <v>0</v>
      </c>
      <c r="G655" s="414">
        <f t="shared" si="540"/>
        <v>0</v>
      </c>
      <c r="H655" s="49">
        <f t="shared" si="553"/>
        <v>0</v>
      </c>
      <c r="I655" s="35">
        <f t="shared" si="541"/>
        <v>50971.920000000144</v>
      </c>
      <c r="J655" s="414">
        <f t="shared" si="542"/>
        <v>0.04</v>
      </c>
      <c r="K655" s="329">
        <f t="shared" si="554"/>
        <v>0</v>
      </c>
      <c r="L655" s="35">
        <f t="shared" si="543"/>
        <v>0</v>
      </c>
      <c r="M655" s="414">
        <f t="shared" si="544"/>
        <v>0</v>
      </c>
      <c r="N655" s="329">
        <f t="shared" si="555"/>
        <v>0</v>
      </c>
      <c r="O655" s="35">
        <f t="shared" si="545"/>
        <v>26.676111110994825</v>
      </c>
      <c r="P655" s="414">
        <f t="shared" si="546"/>
        <v>0</v>
      </c>
      <c r="Q655" s="329">
        <f t="shared" si="556"/>
        <v>0</v>
      </c>
      <c r="R655" s="35">
        <f t="shared" si="547"/>
        <v>0</v>
      </c>
      <c r="S655" s="414">
        <f t="shared" si="548"/>
        <v>0</v>
      </c>
      <c r="T655" s="880">
        <f>[5]Sheet1!$B1070</f>
        <v>8.2200000000000003E-7</v>
      </c>
      <c r="U655" s="10">
        <f t="shared" si="549"/>
        <v>44410</v>
      </c>
      <c r="V655" s="276">
        <f t="shared" si="550"/>
        <v>3.0003000000000001E-4</v>
      </c>
    </row>
    <row r="656" spans="1:22" x14ac:dyDescent="0.25">
      <c r="A656" s="335">
        <f t="shared" si="557"/>
        <v>44411</v>
      </c>
      <c r="B656" s="329">
        <f t="shared" si="551"/>
        <v>560021.74</v>
      </c>
      <c r="C656" s="338">
        <f t="shared" si="537"/>
        <v>920299.91000000015</v>
      </c>
      <c r="D656" s="414">
        <f t="shared" si="538"/>
        <v>0.3</v>
      </c>
      <c r="E656" s="49">
        <f t="shared" si="552"/>
        <v>0</v>
      </c>
      <c r="F656" s="35">
        <f t="shared" si="539"/>
        <v>0</v>
      </c>
      <c r="G656" s="414">
        <f t="shared" si="540"/>
        <v>0</v>
      </c>
      <c r="H656" s="49">
        <f t="shared" si="553"/>
        <v>1.26</v>
      </c>
      <c r="I656" s="35">
        <f t="shared" si="541"/>
        <v>50973.180000000146</v>
      </c>
      <c r="J656" s="414">
        <f t="shared" si="542"/>
        <v>0.04</v>
      </c>
      <c r="K656" s="329">
        <f t="shared" si="554"/>
        <v>0</v>
      </c>
      <c r="L656" s="35">
        <f t="shared" si="543"/>
        <v>0</v>
      </c>
      <c r="M656" s="414">
        <f t="shared" si="544"/>
        <v>0</v>
      </c>
      <c r="N656" s="329">
        <f t="shared" si="555"/>
        <v>0</v>
      </c>
      <c r="O656" s="35">
        <f t="shared" si="545"/>
        <v>26.676111110994825</v>
      </c>
      <c r="P656" s="414">
        <f t="shared" si="546"/>
        <v>0</v>
      </c>
      <c r="Q656" s="329">
        <f t="shared" si="556"/>
        <v>0</v>
      </c>
      <c r="R656" s="35">
        <f t="shared" si="547"/>
        <v>0</v>
      </c>
      <c r="S656" s="414">
        <f t="shared" si="548"/>
        <v>0</v>
      </c>
      <c r="T656" s="880">
        <f>[5]Sheet1!$B1071</f>
        <v>8.2200000000000003E-7</v>
      </c>
      <c r="U656" s="10">
        <f t="shared" si="549"/>
        <v>44411</v>
      </c>
      <c r="V656" s="276">
        <f t="shared" si="550"/>
        <v>3.0003000000000001E-4</v>
      </c>
    </row>
    <row r="657" spans="1:22" x14ac:dyDescent="0.25">
      <c r="A657" s="335">
        <f t="shared" si="557"/>
        <v>44412</v>
      </c>
      <c r="B657" s="329">
        <f t="shared" si="551"/>
        <v>409846.56</v>
      </c>
      <c r="C657" s="338">
        <f t="shared" si="537"/>
        <v>1330146.4700000002</v>
      </c>
      <c r="D657" s="414">
        <f t="shared" si="538"/>
        <v>0.76</v>
      </c>
      <c r="E657" s="49">
        <f t="shared" si="552"/>
        <v>0</v>
      </c>
      <c r="F657" s="35">
        <f t="shared" si="539"/>
        <v>0</v>
      </c>
      <c r="G657" s="414">
        <f t="shared" si="540"/>
        <v>0</v>
      </c>
      <c r="H657" s="49">
        <f t="shared" si="553"/>
        <v>0</v>
      </c>
      <c r="I657" s="35">
        <f t="shared" si="541"/>
        <v>50973.180000000146</v>
      </c>
      <c r="J657" s="414">
        <f t="shared" si="542"/>
        <v>0.04</v>
      </c>
      <c r="K657" s="329">
        <f t="shared" si="554"/>
        <v>0</v>
      </c>
      <c r="L657" s="35">
        <f t="shared" si="543"/>
        <v>0</v>
      </c>
      <c r="M657" s="414">
        <f t="shared" si="544"/>
        <v>0</v>
      </c>
      <c r="N657" s="329">
        <f t="shared" si="555"/>
        <v>0</v>
      </c>
      <c r="O657" s="35">
        <f t="shared" si="545"/>
        <v>26.676111110994825</v>
      </c>
      <c r="P657" s="414">
        <f t="shared" si="546"/>
        <v>0</v>
      </c>
      <c r="Q657" s="329">
        <f t="shared" si="556"/>
        <v>0</v>
      </c>
      <c r="R657" s="35">
        <f t="shared" si="547"/>
        <v>0</v>
      </c>
      <c r="S657" s="414">
        <f t="shared" si="548"/>
        <v>0</v>
      </c>
      <c r="T657" s="880">
        <f>[5]Sheet1!$B1072</f>
        <v>8.2200000000000003E-7</v>
      </c>
      <c r="U657" s="10">
        <f t="shared" si="549"/>
        <v>44412</v>
      </c>
      <c r="V657" s="276">
        <f t="shared" si="550"/>
        <v>3.0003000000000001E-4</v>
      </c>
    </row>
    <row r="658" spans="1:22" x14ac:dyDescent="0.25">
      <c r="A658" s="335">
        <f t="shared" si="557"/>
        <v>44413</v>
      </c>
      <c r="B658" s="329">
        <f t="shared" si="551"/>
        <v>0</v>
      </c>
      <c r="C658" s="338">
        <f t="shared" si="537"/>
        <v>1330146.4700000002</v>
      </c>
      <c r="D658" s="414">
        <f t="shared" si="538"/>
        <v>1.0900000000000001</v>
      </c>
      <c r="E658" s="49">
        <f t="shared" si="552"/>
        <v>0</v>
      </c>
      <c r="F658" s="35">
        <f t="shared" si="539"/>
        <v>0</v>
      </c>
      <c r="G658" s="414">
        <f t="shared" si="540"/>
        <v>0</v>
      </c>
      <c r="H658" s="49">
        <f t="shared" si="553"/>
        <v>0</v>
      </c>
      <c r="I658" s="35">
        <f t="shared" si="541"/>
        <v>50973.180000000146</v>
      </c>
      <c r="J658" s="414">
        <f t="shared" si="542"/>
        <v>0.04</v>
      </c>
      <c r="K658" s="329">
        <f t="shared" si="554"/>
        <v>0</v>
      </c>
      <c r="L658" s="35">
        <f t="shared" si="543"/>
        <v>0</v>
      </c>
      <c r="M658" s="414">
        <f t="shared" si="544"/>
        <v>0</v>
      </c>
      <c r="N658" s="329">
        <f t="shared" si="555"/>
        <v>0</v>
      </c>
      <c r="O658" s="35">
        <f t="shared" si="545"/>
        <v>26.676111110994825</v>
      </c>
      <c r="P658" s="414">
        <f t="shared" si="546"/>
        <v>0</v>
      </c>
      <c r="Q658" s="329">
        <f t="shared" si="556"/>
        <v>0</v>
      </c>
      <c r="R658" s="35">
        <f t="shared" si="547"/>
        <v>0</v>
      </c>
      <c r="S658" s="414">
        <f t="shared" si="548"/>
        <v>0</v>
      </c>
      <c r="T658" s="880">
        <f>[5]Sheet1!$B1073</f>
        <v>8.2200000000000003E-7</v>
      </c>
      <c r="U658" s="10">
        <f t="shared" si="549"/>
        <v>44413</v>
      </c>
      <c r="V658" s="276">
        <f t="shared" si="550"/>
        <v>3.0003000000000001E-4</v>
      </c>
    </row>
    <row r="659" spans="1:22" x14ac:dyDescent="0.25">
      <c r="A659" s="335">
        <f t="shared" si="557"/>
        <v>44414</v>
      </c>
      <c r="B659" s="329">
        <f t="shared" si="551"/>
        <v>160172.32999999999</v>
      </c>
      <c r="C659" s="338">
        <f t="shared" si="537"/>
        <v>1490318.8000000003</v>
      </c>
      <c r="D659" s="414">
        <f t="shared" si="538"/>
        <v>1.0900000000000001</v>
      </c>
      <c r="E659" s="49">
        <f t="shared" si="552"/>
        <v>0</v>
      </c>
      <c r="F659" s="35">
        <f t="shared" si="539"/>
        <v>0</v>
      </c>
      <c r="G659" s="414">
        <f t="shared" si="540"/>
        <v>0</v>
      </c>
      <c r="H659" s="49">
        <f t="shared" si="553"/>
        <v>0</v>
      </c>
      <c r="I659" s="35">
        <f t="shared" si="541"/>
        <v>50973.180000000146</v>
      </c>
      <c r="J659" s="414">
        <f t="shared" si="542"/>
        <v>0.04</v>
      </c>
      <c r="K659" s="329">
        <f t="shared" si="554"/>
        <v>0</v>
      </c>
      <c r="L659" s="35">
        <f t="shared" si="543"/>
        <v>0</v>
      </c>
      <c r="M659" s="414">
        <f t="shared" si="544"/>
        <v>0</v>
      </c>
      <c r="N659" s="329">
        <f t="shared" si="555"/>
        <v>0</v>
      </c>
      <c r="O659" s="35">
        <f t="shared" si="545"/>
        <v>26.676111110994825</v>
      </c>
      <c r="P659" s="414">
        <f t="shared" si="546"/>
        <v>0</v>
      </c>
      <c r="Q659" s="329">
        <f t="shared" si="556"/>
        <v>0</v>
      </c>
      <c r="R659" s="35">
        <f t="shared" si="547"/>
        <v>0</v>
      </c>
      <c r="S659" s="414">
        <f t="shared" si="548"/>
        <v>0</v>
      </c>
      <c r="T659" s="880">
        <f>[5]Sheet1!$B1074</f>
        <v>2.4660000000000002E-6</v>
      </c>
      <c r="U659" s="10">
        <f t="shared" si="549"/>
        <v>44414</v>
      </c>
      <c r="V659" s="276">
        <f t="shared" si="550"/>
        <v>3.0003000000000001E-4</v>
      </c>
    </row>
    <row r="660" spans="1:22" x14ac:dyDescent="0.25">
      <c r="A660" s="335">
        <f t="shared" si="557"/>
        <v>44417</v>
      </c>
      <c r="B660" s="329">
        <f t="shared" si="551"/>
        <v>-367000</v>
      </c>
      <c r="C660" s="338">
        <f t="shared" si="537"/>
        <v>1123318.8000000003</v>
      </c>
      <c r="D660" s="414">
        <f t="shared" si="538"/>
        <v>3.68</v>
      </c>
      <c r="E660" s="49">
        <f t="shared" si="552"/>
        <v>0</v>
      </c>
      <c r="F660" s="35">
        <f t="shared" si="539"/>
        <v>0</v>
      </c>
      <c r="G660" s="414">
        <f t="shared" si="540"/>
        <v>0</v>
      </c>
      <c r="H660" s="49">
        <f t="shared" si="553"/>
        <v>0</v>
      </c>
      <c r="I660" s="35">
        <f t="shared" si="541"/>
        <v>50973.180000000146</v>
      </c>
      <c r="J660" s="414">
        <f t="shared" si="542"/>
        <v>0.13</v>
      </c>
      <c r="K660" s="329">
        <f t="shared" si="554"/>
        <v>0</v>
      </c>
      <c r="L660" s="35">
        <f t="shared" si="543"/>
        <v>0</v>
      </c>
      <c r="M660" s="414">
        <f t="shared" si="544"/>
        <v>0</v>
      </c>
      <c r="N660" s="329">
        <f t="shared" si="555"/>
        <v>0</v>
      </c>
      <c r="O660" s="35">
        <f t="shared" si="545"/>
        <v>26.676111110994825</v>
      </c>
      <c r="P660" s="414">
        <f t="shared" si="546"/>
        <v>0</v>
      </c>
      <c r="Q660" s="329">
        <f t="shared" si="556"/>
        <v>0</v>
      </c>
      <c r="R660" s="35">
        <f t="shared" si="547"/>
        <v>0</v>
      </c>
      <c r="S660" s="414">
        <f t="shared" si="548"/>
        <v>0</v>
      </c>
      <c r="T660" s="880">
        <f>[5]Sheet1!$B1075</f>
        <v>8.2200000000000003E-7</v>
      </c>
      <c r="U660" s="10">
        <f t="shared" si="549"/>
        <v>44417</v>
      </c>
      <c r="V660" s="276">
        <f t="shared" si="550"/>
        <v>3.0003000000000001E-4</v>
      </c>
    </row>
    <row r="661" spans="1:22" x14ac:dyDescent="0.25">
      <c r="A661" s="335">
        <f t="shared" si="557"/>
        <v>44418</v>
      </c>
      <c r="B661" s="329">
        <f t="shared" si="551"/>
        <v>0</v>
      </c>
      <c r="C661" s="338">
        <f t="shared" si="537"/>
        <v>1123318.8000000003</v>
      </c>
      <c r="D661" s="414">
        <f t="shared" si="538"/>
        <v>0.92</v>
      </c>
      <c r="E661" s="49">
        <f t="shared" si="552"/>
        <v>0</v>
      </c>
      <c r="F661" s="35">
        <f t="shared" si="539"/>
        <v>0</v>
      </c>
      <c r="G661" s="414">
        <f t="shared" si="540"/>
        <v>0</v>
      </c>
      <c r="H661" s="49">
        <f t="shared" si="553"/>
        <v>0</v>
      </c>
      <c r="I661" s="35">
        <f t="shared" si="541"/>
        <v>50973.180000000146</v>
      </c>
      <c r="J661" s="414">
        <f t="shared" si="542"/>
        <v>0.04</v>
      </c>
      <c r="K661" s="329">
        <f t="shared" si="554"/>
        <v>0</v>
      </c>
      <c r="L661" s="35">
        <f t="shared" si="543"/>
        <v>0</v>
      </c>
      <c r="M661" s="414">
        <f t="shared" si="544"/>
        <v>0</v>
      </c>
      <c r="N661" s="329">
        <f t="shared" si="555"/>
        <v>0</v>
      </c>
      <c r="O661" s="35">
        <f t="shared" si="545"/>
        <v>26.676111110994825</v>
      </c>
      <c r="P661" s="414">
        <f t="shared" si="546"/>
        <v>0</v>
      </c>
      <c r="Q661" s="329">
        <f t="shared" si="556"/>
        <v>0</v>
      </c>
      <c r="R661" s="35">
        <f t="shared" si="547"/>
        <v>0</v>
      </c>
      <c r="S661" s="414">
        <f t="shared" si="548"/>
        <v>0</v>
      </c>
      <c r="T661" s="880">
        <f>[5]Sheet1!$B1076</f>
        <v>8.2200000000000003E-7</v>
      </c>
      <c r="U661" s="10">
        <f t="shared" si="549"/>
        <v>44418</v>
      </c>
      <c r="V661" s="276">
        <f t="shared" si="550"/>
        <v>3.0003000000000001E-4</v>
      </c>
    </row>
    <row r="662" spans="1:22" x14ac:dyDescent="0.25">
      <c r="A662" s="335">
        <f t="shared" si="557"/>
        <v>44419</v>
      </c>
      <c r="B662" s="329">
        <f t="shared" si="551"/>
        <v>0</v>
      </c>
      <c r="C662" s="338">
        <f t="shared" si="537"/>
        <v>1123318.8000000003</v>
      </c>
      <c r="D662" s="414">
        <f t="shared" si="538"/>
        <v>0.92</v>
      </c>
      <c r="E662" s="49">
        <f t="shared" si="552"/>
        <v>0</v>
      </c>
      <c r="F662" s="35">
        <f t="shared" si="539"/>
        <v>0</v>
      </c>
      <c r="G662" s="414">
        <f t="shared" si="540"/>
        <v>0</v>
      </c>
      <c r="H662" s="49">
        <f t="shared" si="553"/>
        <v>0</v>
      </c>
      <c r="I662" s="35">
        <f t="shared" si="541"/>
        <v>50973.180000000146</v>
      </c>
      <c r="J662" s="414">
        <f t="shared" si="542"/>
        <v>0.04</v>
      </c>
      <c r="K662" s="329">
        <f t="shared" si="554"/>
        <v>0</v>
      </c>
      <c r="L662" s="35">
        <f t="shared" si="543"/>
        <v>0</v>
      </c>
      <c r="M662" s="414">
        <f t="shared" si="544"/>
        <v>0</v>
      </c>
      <c r="N662" s="329">
        <f t="shared" si="555"/>
        <v>0</v>
      </c>
      <c r="O662" s="35">
        <f t="shared" si="545"/>
        <v>26.676111110994825</v>
      </c>
      <c r="P662" s="414">
        <f t="shared" si="546"/>
        <v>0</v>
      </c>
      <c r="Q662" s="329">
        <f t="shared" si="556"/>
        <v>0</v>
      </c>
      <c r="R662" s="35">
        <f t="shared" si="547"/>
        <v>0</v>
      </c>
      <c r="S662" s="414">
        <f t="shared" si="548"/>
        <v>0</v>
      </c>
      <c r="T662" s="880">
        <f>[5]Sheet1!$B1077</f>
        <v>8.2200000000000003E-7</v>
      </c>
      <c r="U662" s="10">
        <f t="shared" si="549"/>
        <v>44419</v>
      </c>
      <c r="V662" s="276">
        <f t="shared" si="550"/>
        <v>3.0003000000000001E-4</v>
      </c>
    </row>
    <row r="663" spans="1:22" x14ac:dyDescent="0.25">
      <c r="A663" s="335">
        <f t="shared" si="557"/>
        <v>44420</v>
      </c>
      <c r="B663" s="329">
        <f t="shared" si="551"/>
        <v>0</v>
      </c>
      <c r="C663" s="338">
        <f t="shared" si="537"/>
        <v>1123318.8000000003</v>
      </c>
      <c r="D663" s="414">
        <f t="shared" si="538"/>
        <v>0.92</v>
      </c>
      <c r="E663" s="49">
        <f t="shared" si="552"/>
        <v>0</v>
      </c>
      <c r="F663" s="35">
        <f t="shared" si="539"/>
        <v>0</v>
      </c>
      <c r="G663" s="414">
        <f t="shared" si="540"/>
        <v>0</v>
      </c>
      <c r="H663" s="49">
        <f t="shared" si="553"/>
        <v>0</v>
      </c>
      <c r="I663" s="35">
        <f t="shared" si="541"/>
        <v>50973.180000000146</v>
      </c>
      <c r="J663" s="414">
        <f t="shared" si="542"/>
        <v>0.04</v>
      </c>
      <c r="K663" s="329">
        <f t="shared" si="554"/>
        <v>0</v>
      </c>
      <c r="L663" s="35">
        <f t="shared" si="543"/>
        <v>0</v>
      </c>
      <c r="M663" s="414">
        <f t="shared" si="544"/>
        <v>0</v>
      </c>
      <c r="N663" s="329">
        <f t="shared" si="555"/>
        <v>0</v>
      </c>
      <c r="O663" s="35">
        <f t="shared" si="545"/>
        <v>26.676111110994825</v>
      </c>
      <c r="P663" s="414">
        <f t="shared" si="546"/>
        <v>0</v>
      </c>
      <c r="Q663" s="329">
        <f t="shared" si="556"/>
        <v>0</v>
      </c>
      <c r="R663" s="35">
        <f t="shared" si="547"/>
        <v>0</v>
      </c>
      <c r="S663" s="414">
        <f t="shared" si="548"/>
        <v>0</v>
      </c>
      <c r="T663" s="880">
        <f>[5]Sheet1!$B1078</f>
        <v>8.2200000000000003E-7</v>
      </c>
      <c r="U663" s="10">
        <f t="shared" si="549"/>
        <v>44420</v>
      </c>
      <c r="V663" s="276">
        <f t="shared" si="550"/>
        <v>3.0003000000000001E-4</v>
      </c>
    </row>
    <row r="664" spans="1:22" x14ac:dyDescent="0.25">
      <c r="A664" s="335">
        <f t="shared" si="557"/>
        <v>44421</v>
      </c>
      <c r="B664" s="329">
        <f t="shared" si="551"/>
        <v>-23293.99</v>
      </c>
      <c r="C664" s="338">
        <f t="shared" si="537"/>
        <v>1100024.8100000003</v>
      </c>
      <c r="D664" s="414">
        <f t="shared" si="538"/>
        <v>0.92</v>
      </c>
      <c r="E664" s="49">
        <f t="shared" si="552"/>
        <v>0</v>
      </c>
      <c r="F664" s="35">
        <f t="shared" si="539"/>
        <v>0</v>
      </c>
      <c r="G664" s="414">
        <f t="shared" si="540"/>
        <v>0</v>
      </c>
      <c r="H664" s="49">
        <f t="shared" si="553"/>
        <v>0</v>
      </c>
      <c r="I664" s="35">
        <f t="shared" si="541"/>
        <v>50973.180000000146</v>
      </c>
      <c r="J664" s="414">
        <f t="shared" si="542"/>
        <v>0.04</v>
      </c>
      <c r="K664" s="329">
        <f t="shared" si="554"/>
        <v>0</v>
      </c>
      <c r="L664" s="35">
        <f t="shared" si="543"/>
        <v>0</v>
      </c>
      <c r="M664" s="414">
        <f t="shared" si="544"/>
        <v>0</v>
      </c>
      <c r="N664" s="329">
        <f t="shared" si="555"/>
        <v>0</v>
      </c>
      <c r="O664" s="35">
        <f t="shared" si="545"/>
        <v>26.676111110994825</v>
      </c>
      <c r="P664" s="414">
        <f t="shared" si="546"/>
        <v>0</v>
      </c>
      <c r="Q664" s="329">
        <f t="shared" si="556"/>
        <v>0</v>
      </c>
      <c r="R664" s="35">
        <f t="shared" si="547"/>
        <v>0</v>
      </c>
      <c r="S664" s="414">
        <f t="shared" si="548"/>
        <v>0</v>
      </c>
      <c r="T664" s="880">
        <f>[5]Sheet1!$B1079</f>
        <v>2.4660000000000002E-6</v>
      </c>
      <c r="U664" s="10">
        <f t="shared" si="549"/>
        <v>44421</v>
      </c>
      <c r="V664" s="276">
        <f t="shared" si="550"/>
        <v>3.0003000000000001E-4</v>
      </c>
    </row>
    <row r="665" spans="1:22" x14ac:dyDescent="0.25">
      <c r="A665" s="335">
        <f t="shared" si="557"/>
        <v>44424</v>
      </c>
      <c r="B665" s="329">
        <f t="shared" si="551"/>
        <v>262358.39</v>
      </c>
      <c r="C665" s="338">
        <f t="shared" si="537"/>
        <v>1362383.2000000002</v>
      </c>
      <c r="D665" s="414">
        <f t="shared" si="538"/>
        <v>2.71</v>
      </c>
      <c r="E665" s="49">
        <f t="shared" si="552"/>
        <v>0</v>
      </c>
      <c r="F665" s="35">
        <f t="shared" si="539"/>
        <v>0</v>
      </c>
      <c r="G665" s="414">
        <f t="shared" si="540"/>
        <v>0</v>
      </c>
      <c r="H665" s="49">
        <f t="shared" si="553"/>
        <v>0</v>
      </c>
      <c r="I665" s="35">
        <f t="shared" si="541"/>
        <v>50973.180000000146</v>
      </c>
      <c r="J665" s="414">
        <f t="shared" si="542"/>
        <v>0.13</v>
      </c>
      <c r="K665" s="329">
        <f t="shared" si="554"/>
        <v>0</v>
      </c>
      <c r="L665" s="35">
        <f t="shared" si="543"/>
        <v>0</v>
      </c>
      <c r="M665" s="414">
        <f t="shared" si="544"/>
        <v>0</v>
      </c>
      <c r="N665" s="329">
        <f t="shared" si="555"/>
        <v>0</v>
      </c>
      <c r="O665" s="35">
        <f t="shared" si="545"/>
        <v>26.676111110994825</v>
      </c>
      <c r="P665" s="414">
        <f t="shared" si="546"/>
        <v>0</v>
      </c>
      <c r="Q665" s="329">
        <f t="shared" si="556"/>
        <v>0</v>
      </c>
      <c r="R665" s="35">
        <f t="shared" si="547"/>
        <v>0</v>
      </c>
      <c r="S665" s="414">
        <f t="shared" si="548"/>
        <v>0</v>
      </c>
      <c r="T665" s="880">
        <f>[5]Sheet1!$B1080</f>
        <v>8.2200000000000003E-7</v>
      </c>
      <c r="U665" s="10">
        <f t="shared" si="549"/>
        <v>44424</v>
      </c>
      <c r="V665" s="276">
        <f t="shared" si="550"/>
        <v>3.0003000000000001E-4</v>
      </c>
    </row>
    <row r="666" spans="1:22" x14ac:dyDescent="0.25">
      <c r="A666" s="335">
        <f t="shared" si="557"/>
        <v>44425</v>
      </c>
      <c r="B666" s="329">
        <f t="shared" si="551"/>
        <v>0</v>
      </c>
      <c r="C666" s="338">
        <f t="shared" si="537"/>
        <v>1362383.2000000002</v>
      </c>
      <c r="D666" s="414">
        <f t="shared" si="538"/>
        <v>1.1200000000000001</v>
      </c>
      <c r="E666" s="49">
        <f t="shared" si="552"/>
        <v>0</v>
      </c>
      <c r="F666" s="35">
        <f t="shared" si="539"/>
        <v>0</v>
      </c>
      <c r="G666" s="414">
        <f t="shared" si="540"/>
        <v>0</v>
      </c>
      <c r="H666" s="49">
        <f t="shared" si="553"/>
        <v>0</v>
      </c>
      <c r="I666" s="35">
        <f t="shared" si="541"/>
        <v>50973.180000000146</v>
      </c>
      <c r="J666" s="414">
        <f t="shared" si="542"/>
        <v>0.04</v>
      </c>
      <c r="K666" s="329">
        <f t="shared" si="554"/>
        <v>0</v>
      </c>
      <c r="L666" s="35">
        <f t="shared" si="543"/>
        <v>0</v>
      </c>
      <c r="M666" s="414">
        <f t="shared" si="544"/>
        <v>0</v>
      </c>
      <c r="N666" s="329">
        <f t="shared" si="555"/>
        <v>0</v>
      </c>
      <c r="O666" s="35">
        <f t="shared" si="545"/>
        <v>26.676111110994825</v>
      </c>
      <c r="P666" s="414">
        <f t="shared" si="546"/>
        <v>0</v>
      </c>
      <c r="Q666" s="329">
        <f t="shared" si="556"/>
        <v>0</v>
      </c>
      <c r="R666" s="35">
        <f t="shared" si="547"/>
        <v>0</v>
      </c>
      <c r="S666" s="414">
        <f t="shared" si="548"/>
        <v>0</v>
      </c>
      <c r="T666" s="880">
        <f>[5]Sheet1!$B1081</f>
        <v>8.2200000000000003E-7</v>
      </c>
      <c r="U666" s="10">
        <f t="shared" si="549"/>
        <v>44425</v>
      </c>
      <c r="V666" s="276">
        <f t="shared" si="550"/>
        <v>3.0003000000000001E-4</v>
      </c>
    </row>
    <row r="667" spans="1:22" x14ac:dyDescent="0.25">
      <c r="A667" s="335">
        <f t="shared" si="557"/>
        <v>44426</v>
      </c>
      <c r="B667" s="329">
        <f t="shared" si="551"/>
        <v>-314674.27</v>
      </c>
      <c r="C667" s="338">
        <f t="shared" si="537"/>
        <v>1047708.9300000002</v>
      </c>
      <c r="D667" s="414">
        <f t="shared" si="538"/>
        <v>1.1200000000000001</v>
      </c>
      <c r="E667" s="49">
        <f t="shared" si="552"/>
        <v>0</v>
      </c>
      <c r="F667" s="35">
        <f t="shared" si="539"/>
        <v>0</v>
      </c>
      <c r="G667" s="414">
        <f t="shared" si="540"/>
        <v>0</v>
      </c>
      <c r="H667" s="49">
        <f t="shared" si="553"/>
        <v>14427.52</v>
      </c>
      <c r="I667" s="35">
        <f t="shared" si="541"/>
        <v>65400.700000000143</v>
      </c>
      <c r="J667" s="414">
        <f t="shared" si="542"/>
        <v>0.04</v>
      </c>
      <c r="K667" s="329">
        <f t="shared" si="554"/>
        <v>0</v>
      </c>
      <c r="L667" s="35">
        <f t="shared" si="543"/>
        <v>0</v>
      </c>
      <c r="M667" s="414">
        <f t="shared" si="544"/>
        <v>0</v>
      </c>
      <c r="N667" s="329">
        <f t="shared" si="555"/>
        <v>0</v>
      </c>
      <c r="O667" s="35">
        <f t="shared" si="545"/>
        <v>26.676111110994825</v>
      </c>
      <c r="P667" s="414">
        <f t="shared" si="546"/>
        <v>0</v>
      </c>
      <c r="Q667" s="329">
        <f t="shared" si="556"/>
        <v>0</v>
      </c>
      <c r="R667" s="35">
        <f t="shared" si="547"/>
        <v>0</v>
      </c>
      <c r="S667" s="414">
        <f t="shared" si="548"/>
        <v>0</v>
      </c>
      <c r="T667" s="880">
        <f>[5]Sheet1!$B1082</f>
        <v>8.2200000000000003E-7</v>
      </c>
      <c r="U667" s="10">
        <f t="shared" si="549"/>
        <v>44426</v>
      </c>
      <c r="V667" s="276">
        <f t="shared" si="550"/>
        <v>3.0003000000000001E-4</v>
      </c>
    </row>
    <row r="668" spans="1:22" x14ac:dyDescent="0.25">
      <c r="A668" s="335">
        <f t="shared" si="557"/>
        <v>44427</v>
      </c>
      <c r="B668" s="329">
        <f t="shared" si="551"/>
        <v>0</v>
      </c>
      <c r="C668" s="338">
        <f t="shared" si="537"/>
        <v>1047708.9300000002</v>
      </c>
      <c r="D668" s="414">
        <f t="shared" si="538"/>
        <v>0.86</v>
      </c>
      <c r="E668" s="49">
        <f t="shared" si="552"/>
        <v>0</v>
      </c>
      <c r="F668" s="35">
        <f t="shared" si="539"/>
        <v>0</v>
      </c>
      <c r="G668" s="414">
        <f t="shared" si="540"/>
        <v>0</v>
      </c>
      <c r="H668" s="49">
        <f t="shared" si="553"/>
        <v>0</v>
      </c>
      <c r="I668" s="35">
        <f t="shared" si="541"/>
        <v>65400.700000000143</v>
      </c>
      <c r="J668" s="414">
        <f t="shared" si="542"/>
        <v>0.05</v>
      </c>
      <c r="K668" s="329">
        <f t="shared" si="554"/>
        <v>0</v>
      </c>
      <c r="L668" s="35">
        <f t="shared" si="543"/>
        <v>0</v>
      </c>
      <c r="M668" s="414">
        <f t="shared" si="544"/>
        <v>0</v>
      </c>
      <c r="N668" s="329">
        <f t="shared" si="555"/>
        <v>0</v>
      </c>
      <c r="O668" s="35">
        <f t="shared" si="545"/>
        <v>26.676111110994825</v>
      </c>
      <c r="P668" s="414">
        <f t="shared" si="546"/>
        <v>0</v>
      </c>
      <c r="Q668" s="329">
        <f t="shared" si="556"/>
        <v>0</v>
      </c>
      <c r="R668" s="35">
        <f t="shared" si="547"/>
        <v>0</v>
      </c>
      <c r="S668" s="414">
        <f t="shared" si="548"/>
        <v>0</v>
      </c>
      <c r="T668" s="880">
        <f>[5]Sheet1!$B1083</f>
        <v>8.2200000000000003E-7</v>
      </c>
      <c r="U668" s="10">
        <f t="shared" si="549"/>
        <v>44427</v>
      </c>
      <c r="V668" s="276">
        <f t="shared" si="550"/>
        <v>3.0003000000000001E-4</v>
      </c>
    </row>
    <row r="669" spans="1:22" x14ac:dyDescent="0.25">
      <c r="A669" s="335">
        <f t="shared" si="557"/>
        <v>44428</v>
      </c>
      <c r="B669" s="329">
        <f t="shared" si="551"/>
        <v>-1827.6</v>
      </c>
      <c r="C669" s="338">
        <f t="shared" si="537"/>
        <v>1045881.3300000002</v>
      </c>
      <c r="D669" s="414">
        <f t="shared" si="538"/>
        <v>0.86</v>
      </c>
      <c r="E669" s="49">
        <f t="shared" si="552"/>
        <v>0</v>
      </c>
      <c r="F669" s="35">
        <f t="shared" si="539"/>
        <v>0</v>
      </c>
      <c r="G669" s="414">
        <f t="shared" si="540"/>
        <v>0</v>
      </c>
      <c r="H669" s="49">
        <f t="shared" si="553"/>
        <v>-6627.62</v>
      </c>
      <c r="I669" s="35">
        <f t="shared" si="541"/>
        <v>58773.08000000014</v>
      </c>
      <c r="J669" s="414">
        <f t="shared" si="542"/>
        <v>0.05</v>
      </c>
      <c r="K669" s="329">
        <f t="shared" si="554"/>
        <v>0</v>
      </c>
      <c r="L669" s="35">
        <f t="shared" si="543"/>
        <v>0</v>
      </c>
      <c r="M669" s="414">
        <f t="shared" si="544"/>
        <v>0</v>
      </c>
      <c r="N669" s="329">
        <f t="shared" si="555"/>
        <v>0</v>
      </c>
      <c r="O669" s="35">
        <f t="shared" si="545"/>
        <v>26.676111110994825</v>
      </c>
      <c r="P669" s="414">
        <f t="shared" si="546"/>
        <v>0</v>
      </c>
      <c r="Q669" s="329">
        <f t="shared" si="556"/>
        <v>0</v>
      </c>
      <c r="R669" s="35">
        <f t="shared" si="547"/>
        <v>0</v>
      </c>
      <c r="S669" s="414">
        <f t="shared" si="548"/>
        <v>0</v>
      </c>
      <c r="T669" s="880">
        <f>[5]Sheet1!$B1084</f>
        <v>2.4660000000000002E-6</v>
      </c>
      <c r="U669" s="10">
        <f t="shared" si="549"/>
        <v>44428</v>
      </c>
      <c r="V669" s="276">
        <f t="shared" si="550"/>
        <v>3.0003000000000001E-4</v>
      </c>
    </row>
    <row r="670" spans="1:22" x14ac:dyDescent="0.25">
      <c r="A670" s="335">
        <f t="shared" si="557"/>
        <v>44431</v>
      </c>
      <c r="B670" s="329">
        <f t="shared" si="551"/>
        <v>0</v>
      </c>
      <c r="C670" s="338">
        <f t="shared" si="537"/>
        <v>1045881.3300000002</v>
      </c>
      <c r="D670" s="414">
        <f t="shared" si="538"/>
        <v>2.58</v>
      </c>
      <c r="E670" s="49">
        <f t="shared" si="552"/>
        <v>0</v>
      </c>
      <c r="F670" s="35">
        <f t="shared" si="539"/>
        <v>0</v>
      </c>
      <c r="G670" s="414">
        <f t="shared" si="540"/>
        <v>0</v>
      </c>
      <c r="H670" s="49">
        <f t="shared" si="553"/>
        <v>0</v>
      </c>
      <c r="I670" s="35">
        <f t="shared" si="541"/>
        <v>58773.08000000014</v>
      </c>
      <c r="J670" s="414">
        <f t="shared" si="542"/>
        <v>0.14000000000000001</v>
      </c>
      <c r="K670" s="329">
        <f t="shared" si="554"/>
        <v>0</v>
      </c>
      <c r="L670" s="35">
        <f t="shared" si="543"/>
        <v>0</v>
      </c>
      <c r="M670" s="414">
        <f t="shared" si="544"/>
        <v>0</v>
      </c>
      <c r="N670" s="329">
        <f t="shared" si="555"/>
        <v>0</v>
      </c>
      <c r="O670" s="35">
        <f t="shared" si="545"/>
        <v>26.676111110994825</v>
      </c>
      <c r="P670" s="414">
        <f t="shared" si="546"/>
        <v>0</v>
      </c>
      <c r="Q670" s="329">
        <f t="shared" si="556"/>
        <v>0</v>
      </c>
      <c r="R670" s="35">
        <f t="shared" si="547"/>
        <v>0</v>
      </c>
      <c r="S670" s="414">
        <f t="shared" si="548"/>
        <v>0</v>
      </c>
      <c r="T670" s="880">
        <f>[5]Sheet1!$B1085</f>
        <v>8.2200000000000003E-7</v>
      </c>
      <c r="U670" s="10">
        <f t="shared" si="549"/>
        <v>44431</v>
      </c>
      <c r="V670" s="276">
        <f t="shared" si="550"/>
        <v>3.0003000000000001E-4</v>
      </c>
    </row>
    <row r="671" spans="1:22" x14ac:dyDescent="0.25">
      <c r="A671" s="335">
        <f t="shared" si="557"/>
        <v>44432</v>
      </c>
      <c r="B671" s="329">
        <f t="shared" si="551"/>
        <v>108688.9</v>
      </c>
      <c r="C671" s="338">
        <f t="shared" si="537"/>
        <v>1154570.2300000002</v>
      </c>
      <c r="D671" s="414">
        <f t="shared" si="538"/>
        <v>0.86</v>
      </c>
      <c r="E671" s="49">
        <f t="shared" si="552"/>
        <v>0</v>
      </c>
      <c r="F671" s="35">
        <f t="shared" si="539"/>
        <v>0</v>
      </c>
      <c r="G671" s="414">
        <f t="shared" si="540"/>
        <v>0</v>
      </c>
      <c r="H671" s="49">
        <f t="shared" si="553"/>
        <v>0</v>
      </c>
      <c r="I671" s="35">
        <f t="shared" si="541"/>
        <v>58773.08000000014</v>
      </c>
      <c r="J671" s="414">
        <f t="shared" si="542"/>
        <v>0.05</v>
      </c>
      <c r="K671" s="329">
        <f t="shared" si="554"/>
        <v>0</v>
      </c>
      <c r="L671" s="35">
        <f t="shared" si="543"/>
        <v>0</v>
      </c>
      <c r="M671" s="414">
        <f t="shared" si="544"/>
        <v>0</v>
      </c>
      <c r="N671" s="329">
        <f t="shared" si="555"/>
        <v>0</v>
      </c>
      <c r="O671" s="35">
        <f t="shared" si="545"/>
        <v>26.676111110994825</v>
      </c>
      <c r="P671" s="414">
        <f t="shared" si="546"/>
        <v>0</v>
      </c>
      <c r="Q671" s="329">
        <f t="shared" si="556"/>
        <v>0</v>
      </c>
      <c r="R671" s="35">
        <f t="shared" si="547"/>
        <v>0</v>
      </c>
      <c r="S671" s="414">
        <f t="shared" si="548"/>
        <v>0</v>
      </c>
      <c r="T671" s="880">
        <f>[5]Sheet1!$B1086</f>
        <v>8.2200000000000003E-7</v>
      </c>
      <c r="U671" s="10">
        <f t="shared" si="549"/>
        <v>44432</v>
      </c>
      <c r="V671" s="276">
        <f t="shared" si="550"/>
        <v>3.0003000000000001E-4</v>
      </c>
    </row>
    <row r="672" spans="1:22" x14ac:dyDescent="0.25">
      <c r="A672" s="335">
        <f t="shared" si="557"/>
        <v>44433</v>
      </c>
      <c r="B672" s="329">
        <f t="shared" si="551"/>
        <v>-23359.79</v>
      </c>
      <c r="C672" s="338">
        <f t="shared" si="537"/>
        <v>1131210.4400000002</v>
      </c>
      <c r="D672" s="414">
        <f t="shared" si="538"/>
        <v>0.95</v>
      </c>
      <c r="E672" s="49">
        <f t="shared" si="552"/>
        <v>0</v>
      </c>
      <c r="F672" s="35">
        <f t="shared" si="539"/>
        <v>0</v>
      </c>
      <c r="G672" s="414">
        <f t="shared" si="540"/>
        <v>0</v>
      </c>
      <c r="H672" s="49">
        <f t="shared" si="553"/>
        <v>0</v>
      </c>
      <c r="I672" s="35">
        <f t="shared" si="541"/>
        <v>58773.08000000014</v>
      </c>
      <c r="J672" s="414">
        <f t="shared" si="542"/>
        <v>0.05</v>
      </c>
      <c r="K672" s="329">
        <f t="shared" si="554"/>
        <v>0</v>
      </c>
      <c r="L672" s="35">
        <f t="shared" si="543"/>
        <v>0</v>
      </c>
      <c r="M672" s="414">
        <f t="shared" si="544"/>
        <v>0</v>
      </c>
      <c r="N672" s="329">
        <f t="shared" si="555"/>
        <v>0</v>
      </c>
      <c r="O672" s="35">
        <f t="shared" si="545"/>
        <v>26.676111110994825</v>
      </c>
      <c r="P672" s="414">
        <f t="shared" si="546"/>
        <v>0</v>
      </c>
      <c r="Q672" s="329">
        <f t="shared" si="556"/>
        <v>0</v>
      </c>
      <c r="R672" s="35">
        <f t="shared" si="547"/>
        <v>0</v>
      </c>
      <c r="S672" s="414">
        <f t="shared" si="548"/>
        <v>0</v>
      </c>
      <c r="T672" s="880">
        <f>[5]Sheet1!$B1087</f>
        <v>8.2200000000000003E-7</v>
      </c>
      <c r="U672" s="10">
        <f t="shared" si="549"/>
        <v>44433</v>
      </c>
      <c r="V672" s="276">
        <f t="shared" si="550"/>
        <v>3.0003000000000001E-4</v>
      </c>
    </row>
    <row r="673" spans="1:22" x14ac:dyDescent="0.25">
      <c r="A673" s="335">
        <f t="shared" si="557"/>
        <v>44434</v>
      </c>
      <c r="B673" s="329">
        <f t="shared" si="551"/>
        <v>0</v>
      </c>
      <c r="C673" s="338">
        <f t="shared" si="537"/>
        <v>1131210.4400000002</v>
      </c>
      <c r="D673" s="414">
        <f t="shared" si="538"/>
        <v>0.93</v>
      </c>
      <c r="E673" s="49">
        <f t="shared" si="552"/>
        <v>0</v>
      </c>
      <c r="F673" s="35">
        <f t="shared" si="539"/>
        <v>0</v>
      </c>
      <c r="G673" s="414">
        <f t="shared" si="540"/>
        <v>0</v>
      </c>
      <c r="H673" s="49">
        <f t="shared" si="553"/>
        <v>0</v>
      </c>
      <c r="I673" s="35">
        <f t="shared" si="541"/>
        <v>58773.08000000014</v>
      </c>
      <c r="J673" s="414">
        <f t="shared" si="542"/>
        <v>0.05</v>
      </c>
      <c r="K673" s="329">
        <f t="shared" si="554"/>
        <v>0</v>
      </c>
      <c r="L673" s="35">
        <f t="shared" si="543"/>
        <v>0</v>
      </c>
      <c r="M673" s="414">
        <f t="shared" si="544"/>
        <v>0</v>
      </c>
      <c r="N673" s="329">
        <f t="shared" si="555"/>
        <v>0</v>
      </c>
      <c r="O673" s="35">
        <f t="shared" si="545"/>
        <v>26.676111110994825</v>
      </c>
      <c r="P673" s="414">
        <f t="shared" si="546"/>
        <v>0</v>
      </c>
      <c r="Q673" s="329">
        <f t="shared" si="556"/>
        <v>0</v>
      </c>
      <c r="R673" s="35">
        <f t="shared" si="547"/>
        <v>0</v>
      </c>
      <c r="S673" s="414">
        <f t="shared" si="548"/>
        <v>0</v>
      </c>
      <c r="T673" s="880">
        <f>[5]Sheet1!$B1088</f>
        <v>8.2200000000000003E-7</v>
      </c>
      <c r="U673" s="10">
        <f t="shared" si="549"/>
        <v>44434</v>
      </c>
      <c r="V673" s="276">
        <f t="shared" si="550"/>
        <v>3.0003000000000001E-4</v>
      </c>
    </row>
    <row r="674" spans="1:22" x14ac:dyDescent="0.25">
      <c r="A674" s="335">
        <f t="shared" si="557"/>
        <v>44435</v>
      </c>
      <c r="B674" s="329">
        <f t="shared" si="551"/>
        <v>0</v>
      </c>
      <c r="C674" s="338">
        <f t="shared" si="537"/>
        <v>1131210.4400000002</v>
      </c>
      <c r="D674" s="414">
        <f t="shared" si="538"/>
        <v>0.93</v>
      </c>
      <c r="E674" s="49">
        <f t="shared" si="552"/>
        <v>0</v>
      </c>
      <c r="F674" s="35">
        <f t="shared" si="539"/>
        <v>0</v>
      </c>
      <c r="G674" s="414">
        <f t="shared" si="540"/>
        <v>0</v>
      </c>
      <c r="H674" s="49">
        <f t="shared" si="553"/>
        <v>0</v>
      </c>
      <c r="I674" s="35">
        <f t="shared" si="541"/>
        <v>58773.08000000014</v>
      </c>
      <c r="J674" s="414">
        <f t="shared" si="542"/>
        <v>0.05</v>
      </c>
      <c r="K674" s="329">
        <f t="shared" si="554"/>
        <v>0</v>
      </c>
      <c r="L674" s="35">
        <f t="shared" si="543"/>
        <v>0</v>
      </c>
      <c r="M674" s="414">
        <f t="shared" si="544"/>
        <v>0</v>
      </c>
      <c r="N674" s="329">
        <f t="shared" si="555"/>
        <v>0</v>
      </c>
      <c r="O674" s="35">
        <f t="shared" si="545"/>
        <v>26.676111110994825</v>
      </c>
      <c r="P674" s="414">
        <f t="shared" si="546"/>
        <v>0</v>
      </c>
      <c r="Q674" s="329">
        <f t="shared" si="556"/>
        <v>0</v>
      </c>
      <c r="R674" s="35">
        <f t="shared" si="547"/>
        <v>0</v>
      </c>
      <c r="S674" s="414">
        <f t="shared" si="548"/>
        <v>0</v>
      </c>
      <c r="T674" s="880">
        <f>[5]Sheet1!$B1089</f>
        <v>2.4657534246575337E-6</v>
      </c>
      <c r="U674" s="10">
        <f t="shared" si="549"/>
        <v>44435</v>
      </c>
      <c r="V674" s="276">
        <f t="shared" si="550"/>
        <v>2.9999999999999992E-4</v>
      </c>
    </row>
    <row r="675" spans="1:22" x14ac:dyDescent="0.25">
      <c r="A675" s="335">
        <f t="shared" si="557"/>
        <v>44438</v>
      </c>
      <c r="B675" s="329">
        <f t="shared" si="551"/>
        <v>-108688.9</v>
      </c>
      <c r="C675" s="338">
        <f t="shared" si="537"/>
        <v>1022521.5400000002</v>
      </c>
      <c r="D675" s="414">
        <f t="shared" si="538"/>
        <v>2.79</v>
      </c>
      <c r="E675" s="49">
        <f t="shared" si="552"/>
        <v>0</v>
      </c>
      <c r="F675" s="35">
        <f t="shared" si="539"/>
        <v>0</v>
      </c>
      <c r="G675" s="414">
        <f t="shared" si="540"/>
        <v>0</v>
      </c>
      <c r="H675" s="49">
        <f t="shared" si="553"/>
        <v>0</v>
      </c>
      <c r="I675" s="35">
        <f t="shared" si="541"/>
        <v>58773.08000000014</v>
      </c>
      <c r="J675" s="414">
        <f t="shared" si="542"/>
        <v>0.14000000000000001</v>
      </c>
      <c r="K675" s="329">
        <f t="shared" si="554"/>
        <v>0</v>
      </c>
      <c r="L675" s="35">
        <f t="shared" si="543"/>
        <v>0</v>
      </c>
      <c r="M675" s="414">
        <f t="shared" si="544"/>
        <v>0</v>
      </c>
      <c r="N675" s="329">
        <f t="shared" si="555"/>
        <v>0</v>
      </c>
      <c r="O675" s="35">
        <f t="shared" si="545"/>
        <v>26.676111110994825</v>
      </c>
      <c r="P675" s="414">
        <f t="shared" si="546"/>
        <v>0</v>
      </c>
      <c r="Q675" s="329">
        <f t="shared" si="556"/>
        <v>0</v>
      </c>
      <c r="R675" s="35">
        <f t="shared" si="547"/>
        <v>0</v>
      </c>
      <c r="S675" s="414">
        <f t="shared" si="548"/>
        <v>0</v>
      </c>
      <c r="T675" s="880">
        <f>[5]Sheet1!$B1090</f>
        <v>8.2191780821917796E-7</v>
      </c>
      <c r="U675" s="10">
        <f t="shared" si="549"/>
        <v>44438</v>
      </c>
      <c r="V675" s="276">
        <f t="shared" si="550"/>
        <v>2.9999999999999997E-4</v>
      </c>
    </row>
    <row r="676" spans="1:22" x14ac:dyDescent="0.25">
      <c r="A676" s="335">
        <f t="shared" si="557"/>
        <v>44439</v>
      </c>
      <c r="B676" s="329">
        <f t="shared" si="551"/>
        <v>0</v>
      </c>
      <c r="C676" s="338">
        <f t="shared" si="537"/>
        <v>1022521.5400000002</v>
      </c>
      <c r="D676" s="414">
        <f t="shared" si="538"/>
        <v>0.84</v>
      </c>
      <c r="E676" s="49">
        <f t="shared" si="552"/>
        <v>0</v>
      </c>
      <c r="F676" s="35">
        <f t="shared" si="539"/>
        <v>0</v>
      </c>
      <c r="G676" s="414">
        <f t="shared" si="540"/>
        <v>0</v>
      </c>
      <c r="H676" s="49">
        <f t="shared" si="553"/>
        <v>0</v>
      </c>
      <c r="I676" s="35">
        <f t="shared" si="541"/>
        <v>58773.08000000014</v>
      </c>
      <c r="J676" s="414">
        <f t="shared" si="542"/>
        <v>0.05</v>
      </c>
      <c r="K676" s="329">
        <f t="shared" si="554"/>
        <v>0</v>
      </c>
      <c r="L676" s="35">
        <f t="shared" si="543"/>
        <v>0</v>
      </c>
      <c r="M676" s="414">
        <f t="shared" si="544"/>
        <v>0</v>
      </c>
      <c r="N676" s="329">
        <f t="shared" si="555"/>
        <v>0</v>
      </c>
      <c r="O676" s="35">
        <f t="shared" si="545"/>
        <v>26.676111110994825</v>
      </c>
      <c r="P676" s="414">
        <f t="shared" si="546"/>
        <v>0</v>
      </c>
      <c r="Q676" s="329">
        <f t="shared" si="556"/>
        <v>0</v>
      </c>
      <c r="R676" s="35">
        <f t="shared" si="547"/>
        <v>0</v>
      </c>
      <c r="S676" s="414">
        <f t="shared" si="548"/>
        <v>0</v>
      </c>
      <c r="T676" s="880">
        <f>[5]Sheet1!$B1091</f>
        <v>8.2191780821917796E-7</v>
      </c>
      <c r="U676" s="10">
        <f t="shared" si="549"/>
        <v>44439</v>
      </c>
      <c r="V676" s="276">
        <f t="shared" si="550"/>
        <v>2.9999999999999997E-4</v>
      </c>
    </row>
    <row r="677" spans="1:22" x14ac:dyDescent="0.25">
      <c r="A677" s="335">
        <f t="shared" si="557"/>
        <v>44440</v>
      </c>
      <c r="B677" s="329">
        <f t="shared" si="551"/>
        <v>0</v>
      </c>
      <c r="C677" s="338">
        <f t="shared" ref="C677:C740" si="558">B677+C676</f>
        <v>1022521.5400000002</v>
      </c>
      <c r="D677" s="414">
        <f t="shared" ref="D677:D740" si="559">ROUND(C676*$T676,2)</f>
        <v>0.84</v>
      </c>
      <c r="E677" s="49">
        <f t="shared" si="552"/>
        <v>0</v>
      </c>
      <c r="F677" s="35">
        <f t="shared" ref="F677:F740" si="560">E677+F676</f>
        <v>0</v>
      </c>
      <c r="G677" s="414">
        <f t="shared" ref="G677:G740" si="561">ROUND(F676*$T676,2)</f>
        <v>0</v>
      </c>
      <c r="H677" s="49">
        <f t="shared" si="553"/>
        <v>0</v>
      </c>
      <c r="I677" s="35">
        <f t="shared" ref="I677:I740" si="562">H677+I676</f>
        <v>58773.08000000014</v>
      </c>
      <c r="J677" s="414">
        <f t="shared" ref="J677:J740" si="563">ROUND(I676*$T676,2)</f>
        <v>0.05</v>
      </c>
      <c r="K677" s="329">
        <f t="shared" si="554"/>
        <v>0</v>
      </c>
      <c r="L677" s="35">
        <f t="shared" ref="L677:L740" si="564">K677+L676</f>
        <v>0</v>
      </c>
      <c r="M677" s="414">
        <f t="shared" ref="M677:M740" si="565">ROUND(L676*$T676,2)</f>
        <v>0</v>
      </c>
      <c r="N677" s="329">
        <f t="shared" si="555"/>
        <v>0</v>
      </c>
      <c r="O677" s="35">
        <f t="shared" ref="O677:O740" si="566">N677+O676</f>
        <v>26.676111110994825</v>
      </c>
      <c r="P677" s="414">
        <f t="shared" ref="P677:P740" si="567">ROUND(O676*$T676,2)</f>
        <v>0</v>
      </c>
      <c r="Q677" s="329">
        <f t="shared" si="556"/>
        <v>0</v>
      </c>
      <c r="R677" s="35">
        <f t="shared" ref="R677:R740" si="568">Q677+R676</f>
        <v>0</v>
      </c>
      <c r="S677" s="414">
        <f t="shared" ref="S677:S740" si="569">ROUND(R676*$T676,2)</f>
        <v>0</v>
      </c>
      <c r="T677" s="880">
        <f>[5]Sheet1!$B1092</f>
        <v>8.2191780821917796E-7</v>
      </c>
      <c r="U677" s="10">
        <f t="shared" ref="U677:U740" si="570">A677</f>
        <v>44440</v>
      </c>
      <c r="V677" s="276">
        <f t="shared" ref="V677:V740" si="571">T677*365/(A678-A677)</f>
        <v>2.9999999999999997E-4</v>
      </c>
    </row>
    <row r="678" spans="1:22" x14ac:dyDescent="0.25">
      <c r="A678" s="335">
        <f t="shared" si="557"/>
        <v>44441</v>
      </c>
      <c r="B678" s="329">
        <f t="shared" si="551"/>
        <v>28.29</v>
      </c>
      <c r="C678" s="338">
        <f t="shared" si="558"/>
        <v>1022549.8300000002</v>
      </c>
      <c r="D678" s="414">
        <f t="shared" si="559"/>
        <v>0.84</v>
      </c>
      <c r="E678" s="49">
        <f t="shared" si="552"/>
        <v>0</v>
      </c>
      <c r="F678" s="35">
        <f t="shared" si="560"/>
        <v>0</v>
      </c>
      <c r="G678" s="414">
        <f t="shared" si="561"/>
        <v>0</v>
      </c>
      <c r="H678" s="49">
        <f t="shared" si="553"/>
        <v>1.38</v>
      </c>
      <c r="I678" s="35">
        <f t="shared" si="562"/>
        <v>58774.460000000137</v>
      </c>
      <c r="J678" s="414">
        <f t="shared" si="563"/>
        <v>0.05</v>
      </c>
      <c r="K678" s="329">
        <f t="shared" si="554"/>
        <v>0</v>
      </c>
      <c r="L678" s="35">
        <f t="shared" si="564"/>
        <v>0</v>
      </c>
      <c r="M678" s="414">
        <f t="shared" si="565"/>
        <v>0</v>
      </c>
      <c r="N678" s="329">
        <f t="shared" si="555"/>
        <v>0</v>
      </c>
      <c r="O678" s="35">
        <f t="shared" si="566"/>
        <v>26.676111110994825</v>
      </c>
      <c r="P678" s="414">
        <f t="shared" si="567"/>
        <v>0</v>
      </c>
      <c r="Q678" s="329">
        <f t="shared" si="556"/>
        <v>0</v>
      </c>
      <c r="R678" s="35">
        <f t="shared" si="568"/>
        <v>0</v>
      </c>
      <c r="S678" s="414">
        <f t="shared" si="569"/>
        <v>0</v>
      </c>
      <c r="T678" s="880">
        <f>[5]Sheet1!$B1093</f>
        <v>8.2191780821917796E-7</v>
      </c>
      <c r="U678" s="10">
        <f t="shared" si="570"/>
        <v>44441</v>
      </c>
      <c r="V678" s="276">
        <f t="shared" si="571"/>
        <v>2.9999999999999997E-4</v>
      </c>
    </row>
    <row r="679" spans="1:22" x14ac:dyDescent="0.25">
      <c r="A679" s="335">
        <f t="shared" si="557"/>
        <v>44442</v>
      </c>
      <c r="B679" s="329">
        <f t="shared" si="551"/>
        <v>0</v>
      </c>
      <c r="C679" s="338">
        <f t="shared" si="558"/>
        <v>1022549.8300000002</v>
      </c>
      <c r="D679" s="414">
        <f t="shared" si="559"/>
        <v>0.84</v>
      </c>
      <c r="E679" s="49">
        <f t="shared" si="552"/>
        <v>0</v>
      </c>
      <c r="F679" s="35">
        <f t="shared" si="560"/>
        <v>0</v>
      </c>
      <c r="G679" s="414">
        <f t="shared" si="561"/>
        <v>0</v>
      </c>
      <c r="H679" s="49">
        <f t="shared" si="553"/>
        <v>0</v>
      </c>
      <c r="I679" s="35">
        <f t="shared" si="562"/>
        <v>58774.460000000137</v>
      </c>
      <c r="J679" s="414">
        <f t="shared" si="563"/>
        <v>0.05</v>
      </c>
      <c r="K679" s="329">
        <f t="shared" si="554"/>
        <v>0</v>
      </c>
      <c r="L679" s="35">
        <f t="shared" si="564"/>
        <v>0</v>
      </c>
      <c r="M679" s="414">
        <f t="shared" si="565"/>
        <v>0</v>
      </c>
      <c r="N679" s="329">
        <f t="shared" si="555"/>
        <v>0</v>
      </c>
      <c r="O679" s="35">
        <f t="shared" si="566"/>
        <v>26.676111110994825</v>
      </c>
      <c r="P679" s="414">
        <f t="shared" si="567"/>
        <v>0</v>
      </c>
      <c r="Q679" s="329">
        <f t="shared" si="556"/>
        <v>0</v>
      </c>
      <c r="R679" s="35">
        <f t="shared" si="568"/>
        <v>0</v>
      </c>
      <c r="S679" s="414">
        <f t="shared" si="569"/>
        <v>0</v>
      </c>
      <c r="T679" s="880">
        <f>[5]Sheet1!$B1094</f>
        <v>3.2876712328767118E-6</v>
      </c>
      <c r="U679" s="10">
        <f t="shared" si="570"/>
        <v>44442</v>
      </c>
      <c r="V679" s="276">
        <f t="shared" si="571"/>
        <v>2.9999999999999997E-4</v>
      </c>
    </row>
    <row r="680" spans="1:22" x14ac:dyDescent="0.25">
      <c r="A680" s="335">
        <f t="shared" si="557"/>
        <v>44446</v>
      </c>
      <c r="B680" s="329">
        <f t="shared" si="551"/>
        <v>0</v>
      </c>
      <c r="C680" s="338">
        <f t="shared" si="558"/>
        <v>1022549.8300000002</v>
      </c>
      <c r="D680" s="414">
        <f t="shared" si="559"/>
        <v>3.36</v>
      </c>
      <c r="E680" s="49">
        <f t="shared" si="552"/>
        <v>0</v>
      </c>
      <c r="F680" s="35">
        <f t="shared" si="560"/>
        <v>0</v>
      </c>
      <c r="G680" s="414">
        <f t="shared" si="561"/>
        <v>0</v>
      </c>
      <c r="H680" s="49">
        <f t="shared" si="553"/>
        <v>0</v>
      </c>
      <c r="I680" s="35">
        <f t="shared" si="562"/>
        <v>58774.460000000137</v>
      </c>
      <c r="J680" s="414">
        <f t="shared" si="563"/>
        <v>0.19</v>
      </c>
      <c r="K680" s="329">
        <f t="shared" si="554"/>
        <v>0</v>
      </c>
      <c r="L680" s="35">
        <f t="shared" si="564"/>
        <v>0</v>
      </c>
      <c r="M680" s="414">
        <f t="shared" si="565"/>
        <v>0</v>
      </c>
      <c r="N680" s="329">
        <f t="shared" si="555"/>
        <v>0</v>
      </c>
      <c r="O680" s="35">
        <f t="shared" si="566"/>
        <v>26.676111110994825</v>
      </c>
      <c r="P680" s="414">
        <f t="shared" si="567"/>
        <v>0</v>
      </c>
      <c r="Q680" s="329">
        <f t="shared" si="556"/>
        <v>0</v>
      </c>
      <c r="R680" s="35">
        <f t="shared" si="568"/>
        <v>0</v>
      </c>
      <c r="S680" s="414">
        <f t="shared" si="569"/>
        <v>0</v>
      </c>
      <c r="T680" s="880">
        <f>[5]Sheet1!$B1095</f>
        <v>8.2191780821917796E-7</v>
      </c>
      <c r="U680" s="10">
        <f t="shared" si="570"/>
        <v>44446</v>
      </c>
      <c r="V680" s="276">
        <f t="shared" si="571"/>
        <v>2.9999999999999997E-4</v>
      </c>
    </row>
    <row r="681" spans="1:22" x14ac:dyDescent="0.25">
      <c r="A681" s="335">
        <f t="shared" si="557"/>
        <v>44447</v>
      </c>
      <c r="B681" s="329">
        <f t="shared" si="551"/>
        <v>0</v>
      </c>
      <c r="C681" s="338">
        <f t="shared" si="558"/>
        <v>1022549.8300000002</v>
      </c>
      <c r="D681" s="414">
        <f t="shared" si="559"/>
        <v>0.84</v>
      </c>
      <c r="E681" s="49">
        <f t="shared" si="552"/>
        <v>0</v>
      </c>
      <c r="F681" s="35">
        <f t="shared" si="560"/>
        <v>0</v>
      </c>
      <c r="G681" s="414">
        <f t="shared" si="561"/>
        <v>0</v>
      </c>
      <c r="H681" s="49">
        <f t="shared" si="553"/>
        <v>0</v>
      </c>
      <c r="I681" s="35">
        <f t="shared" si="562"/>
        <v>58774.460000000137</v>
      </c>
      <c r="J681" s="414">
        <f t="shared" si="563"/>
        <v>0.05</v>
      </c>
      <c r="K681" s="329">
        <f t="shared" si="554"/>
        <v>0</v>
      </c>
      <c r="L681" s="35">
        <f t="shared" si="564"/>
        <v>0</v>
      </c>
      <c r="M681" s="414">
        <f t="shared" si="565"/>
        <v>0</v>
      </c>
      <c r="N681" s="329">
        <f t="shared" si="555"/>
        <v>0</v>
      </c>
      <c r="O681" s="35">
        <f t="shared" si="566"/>
        <v>26.676111110994825</v>
      </c>
      <c r="P681" s="414">
        <f t="shared" si="567"/>
        <v>0</v>
      </c>
      <c r="Q681" s="329">
        <f t="shared" si="556"/>
        <v>0</v>
      </c>
      <c r="R681" s="35">
        <f t="shared" si="568"/>
        <v>0</v>
      </c>
      <c r="S681" s="414">
        <f t="shared" si="569"/>
        <v>0</v>
      </c>
      <c r="T681" s="880">
        <f>[5]Sheet1!$B1096</f>
        <v>8.2191780821917796E-7</v>
      </c>
      <c r="U681" s="10">
        <f t="shared" si="570"/>
        <v>44447</v>
      </c>
      <c r="V681" s="276">
        <f t="shared" si="571"/>
        <v>2.9999999999999997E-4</v>
      </c>
    </row>
    <row r="682" spans="1:22" x14ac:dyDescent="0.25">
      <c r="A682" s="335">
        <f t="shared" si="557"/>
        <v>44448</v>
      </c>
      <c r="B682" s="329">
        <f t="shared" si="551"/>
        <v>0</v>
      </c>
      <c r="C682" s="338">
        <f t="shared" si="558"/>
        <v>1022549.8300000002</v>
      </c>
      <c r="D682" s="414">
        <f t="shared" si="559"/>
        <v>0.84</v>
      </c>
      <c r="E682" s="49">
        <f t="shared" si="552"/>
        <v>0</v>
      </c>
      <c r="F682" s="35">
        <f t="shared" si="560"/>
        <v>0</v>
      </c>
      <c r="G682" s="414">
        <f t="shared" si="561"/>
        <v>0</v>
      </c>
      <c r="H682" s="49">
        <f t="shared" si="553"/>
        <v>0</v>
      </c>
      <c r="I682" s="35">
        <f t="shared" si="562"/>
        <v>58774.460000000137</v>
      </c>
      <c r="J682" s="414">
        <f t="shared" si="563"/>
        <v>0.05</v>
      </c>
      <c r="K682" s="329">
        <f t="shared" si="554"/>
        <v>0</v>
      </c>
      <c r="L682" s="35">
        <f t="shared" si="564"/>
        <v>0</v>
      </c>
      <c r="M682" s="414">
        <f t="shared" si="565"/>
        <v>0</v>
      </c>
      <c r="N682" s="329">
        <f t="shared" si="555"/>
        <v>0</v>
      </c>
      <c r="O682" s="35">
        <f t="shared" si="566"/>
        <v>26.676111110994825</v>
      </c>
      <c r="P682" s="414">
        <f t="shared" si="567"/>
        <v>0</v>
      </c>
      <c r="Q682" s="329">
        <f t="shared" si="556"/>
        <v>0</v>
      </c>
      <c r="R682" s="35">
        <f t="shared" si="568"/>
        <v>0</v>
      </c>
      <c r="S682" s="414">
        <f t="shared" si="569"/>
        <v>0</v>
      </c>
      <c r="T682" s="880">
        <f>[5]Sheet1!$B1097</f>
        <v>8.2191780821917796E-7</v>
      </c>
      <c r="U682" s="10">
        <f t="shared" si="570"/>
        <v>44448</v>
      </c>
      <c r="V682" s="276">
        <f t="shared" si="571"/>
        <v>2.9999999999999997E-4</v>
      </c>
    </row>
    <row r="683" spans="1:22" x14ac:dyDescent="0.25">
      <c r="A683" s="335">
        <f t="shared" si="557"/>
        <v>44449</v>
      </c>
      <c r="B683" s="329">
        <f t="shared" si="551"/>
        <v>0</v>
      </c>
      <c r="C683" s="338">
        <f t="shared" si="558"/>
        <v>1022549.8300000002</v>
      </c>
      <c r="D683" s="414">
        <f t="shared" si="559"/>
        <v>0.84</v>
      </c>
      <c r="E683" s="49">
        <f t="shared" si="552"/>
        <v>0</v>
      </c>
      <c r="F683" s="35">
        <f t="shared" si="560"/>
        <v>0</v>
      </c>
      <c r="G683" s="414">
        <f t="shared" si="561"/>
        <v>0</v>
      </c>
      <c r="H683" s="49">
        <f t="shared" si="553"/>
        <v>0</v>
      </c>
      <c r="I683" s="35">
        <f t="shared" si="562"/>
        <v>58774.460000000137</v>
      </c>
      <c r="J683" s="414">
        <f t="shared" si="563"/>
        <v>0.05</v>
      </c>
      <c r="K683" s="329">
        <f t="shared" si="554"/>
        <v>0</v>
      </c>
      <c r="L683" s="35">
        <f t="shared" si="564"/>
        <v>0</v>
      </c>
      <c r="M683" s="414">
        <f t="shared" si="565"/>
        <v>0</v>
      </c>
      <c r="N683" s="329">
        <f t="shared" si="555"/>
        <v>0</v>
      </c>
      <c r="O683" s="35">
        <f t="shared" si="566"/>
        <v>26.676111110994825</v>
      </c>
      <c r="P683" s="414">
        <f t="shared" si="567"/>
        <v>0</v>
      </c>
      <c r="Q683" s="329">
        <f t="shared" si="556"/>
        <v>0</v>
      </c>
      <c r="R683" s="35">
        <f t="shared" si="568"/>
        <v>0</v>
      </c>
      <c r="S683" s="414">
        <f t="shared" si="569"/>
        <v>0</v>
      </c>
      <c r="T683" s="880">
        <f>[5]Sheet1!$B1098</f>
        <v>2.4657534246575337E-6</v>
      </c>
      <c r="U683" s="10">
        <f t="shared" si="570"/>
        <v>44449</v>
      </c>
      <c r="V683" s="276">
        <f t="shared" si="571"/>
        <v>2.9999999999999992E-4</v>
      </c>
    </row>
    <row r="684" spans="1:22" x14ac:dyDescent="0.25">
      <c r="A684" s="335">
        <f t="shared" si="557"/>
        <v>44452</v>
      </c>
      <c r="B684" s="329">
        <f t="shared" si="551"/>
        <v>0</v>
      </c>
      <c r="C684" s="338">
        <f t="shared" si="558"/>
        <v>1022549.8300000002</v>
      </c>
      <c r="D684" s="414">
        <f t="shared" si="559"/>
        <v>2.52</v>
      </c>
      <c r="E684" s="49">
        <f t="shared" si="552"/>
        <v>0</v>
      </c>
      <c r="F684" s="35">
        <f t="shared" si="560"/>
        <v>0</v>
      </c>
      <c r="G684" s="414">
        <f t="shared" si="561"/>
        <v>0</v>
      </c>
      <c r="H684" s="49">
        <f t="shared" si="553"/>
        <v>0</v>
      </c>
      <c r="I684" s="35">
        <f t="shared" si="562"/>
        <v>58774.460000000137</v>
      </c>
      <c r="J684" s="414">
        <f t="shared" si="563"/>
        <v>0.14000000000000001</v>
      </c>
      <c r="K684" s="329">
        <f t="shared" si="554"/>
        <v>0</v>
      </c>
      <c r="L684" s="35">
        <f t="shared" si="564"/>
        <v>0</v>
      </c>
      <c r="M684" s="414">
        <f t="shared" si="565"/>
        <v>0</v>
      </c>
      <c r="N684" s="329">
        <f t="shared" si="555"/>
        <v>0</v>
      </c>
      <c r="O684" s="35">
        <f t="shared" si="566"/>
        <v>26.676111110994825</v>
      </c>
      <c r="P684" s="414">
        <f t="shared" si="567"/>
        <v>0</v>
      </c>
      <c r="Q684" s="329">
        <f t="shared" si="556"/>
        <v>0</v>
      </c>
      <c r="R684" s="35">
        <f t="shared" si="568"/>
        <v>0</v>
      </c>
      <c r="S684" s="414">
        <f t="shared" si="569"/>
        <v>0</v>
      </c>
      <c r="T684" s="880">
        <f>[5]Sheet1!$B1099</f>
        <v>8.2191780821917796E-7</v>
      </c>
      <c r="U684" s="10">
        <f t="shared" si="570"/>
        <v>44452</v>
      </c>
      <c r="V684" s="276">
        <f t="shared" si="571"/>
        <v>2.9999999999999997E-4</v>
      </c>
    </row>
    <row r="685" spans="1:22" x14ac:dyDescent="0.25">
      <c r="A685" s="335">
        <f t="shared" si="557"/>
        <v>44453</v>
      </c>
      <c r="B685" s="329">
        <f t="shared" si="551"/>
        <v>0</v>
      </c>
      <c r="C685" s="338">
        <f t="shared" si="558"/>
        <v>1022549.8300000002</v>
      </c>
      <c r="D685" s="414">
        <f t="shared" si="559"/>
        <v>0.84</v>
      </c>
      <c r="E685" s="49">
        <f t="shared" si="552"/>
        <v>0</v>
      </c>
      <c r="F685" s="35">
        <f t="shared" si="560"/>
        <v>0</v>
      </c>
      <c r="G685" s="414">
        <f t="shared" si="561"/>
        <v>0</v>
      </c>
      <c r="H685" s="49">
        <f t="shared" si="553"/>
        <v>0</v>
      </c>
      <c r="I685" s="35">
        <f t="shared" si="562"/>
        <v>58774.460000000137</v>
      </c>
      <c r="J685" s="414">
        <f t="shared" si="563"/>
        <v>0.05</v>
      </c>
      <c r="K685" s="329">
        <f t="shared" si="554"/>
        <v>0</v>
      </c>
      <c r="L685" s="35">
        <f t="shared" si="564"/>
        <v>0</v>
      </c>
      <c r="M685" s="414">
        <f t="shared" si="565"/>
        <v>0</v>
      </c>
      <c r="N685" s="329">
        <f t="shared" si="555"/>
        <v>0</v>
      </c>
      <c r="O685" s="35">
        <f t="shared" si="566"/>
        <v>26.676111110994825</v>
      </c>
      <c r="P685" s="414">
        <f t="shared" si="567"/>
        <v>0</v>
      </c>
      <c r="Q685" s="329">
        <f t="shared" si="556"/>
        <v>0</v>
      </c>
      <c r="R685" s="35">
        <f t="shared" si="568"/>
        <v>0</v>
      </c>
      <c r="S685" s="414">
        <f t="shared" si="569"/>
        <v>0</v>
      </c>
      <c r="T685" s="880">
        <f>[5]Sheet1!$B1100</f>
        <v>8.2191780821917796E-7</v>
      </c>
      <c r="U685" s="10">
        <f t="shared" si="570"/>
        <v>44453</v>
      </c>
      <c r="V685" s="276">
        <f t="shared" si="571"/>
        <v>2.9999999999999997E-4</v>
      </c>
    </row>
    <row r="686" spans="1:22" x14ac:dyDescent="0.25">
      <c r="A686" s="335">
        <f t="shared" si="557"/>
        <v>44454</v>
      </c>
      <c r="B686" s="329">
        <f t="shared" si="551"/>
        <v>163392.19</v>
      </c>
      <c r="C686" s="338">
        <f t="shared" si="558"/>
        <v>1185942.0200000003</v>
      </c>
      <c r="D686" s="414">
        <f t="shared" si="559"/>
        <v>0.84</v>
      </c>
      <c r="E686" s="49">
        <f t="shared" si="552"/>
        <v>0</v>
      </c>
      <c r="F686" s="35">
        <f t="shared" si="560"/>
        <v>0</v>
      </c>
      <c r="G686" s="414">
        <f t="shared" si="561"/>
        <v>0</v>
      </c>
      <c r="H686" s="49">
        <f t="shared" si="553"/>
        <v>0</v>
      </c>
      <c r="I686" s="35">
        <f t="shared" si="562"/>
        <v>58774.460000000137</v>
      </c>
      <c r="J686" s="414">
        <f t="shared" si="563"/>
        <v>0.05</v>
      </c>
      <c r="K686" s="329">
        <f t="shared" si="554"/>
        <v>0</v>
      </c>
      <c r="L686" s="35">
        <f t="shared" si="564"/>
        <v>0</v>
      </c>
      <c r="M686" s="414">
        <f t="shared" si="565"/>
        <v>0</v>
      </c>
      <c r="N686" s="329">
        <f t="shared" si="555"/>
        <v>0</v>
      </c>
      <c r="O686" s="35">
        <f t="shared" si="566"/>
        <v>26.676111110994825</v>
      </c>
      <c r="P686" s="414">
        <f t="shared" si="567"/>
        <v>0</v>
      </c>
      <c r="Q686" s="329">
        <f t="shared" si="556"/>
        <v>0</v>
      </c>
      <c r="R686" s="35">
        <f t="shared" si="568"/>
        <v>0</v>
      </c>
      <c r="S686" s="414">
        <f t="shared" si="569"/>
        <v>0</v>
      </c>
      <c r="T686" s="880">
        <f>[5]Sheet1!$B1101</f>
        <v>8.2191780821917796E-7</v>
      </c>
      <c r="U686" s="10">
        <f t="shared" si="570"/>
        <v>44454</v>
      </c>
      <c r="V686" s="276">
        <f t="shared" si="571"/>
        <v>2.9999999999999997E-4</v>
      </c>
    </row>
    <row r="687" spans="1:22" x14ac:dyDescent="0.25">
      <c r="A687" s="335">
        <f t="shared" si="557"/>
        <v>44455</v>
      </c>
      <c r="B687" s="329">
        <f t="shared" si="551"/>
        <v>-110663.13</v>
      </c>
      <c r="C687" s="338">
        <f t="shared" si="558"/>
        <v>1075278.8900000001</v>
      </c>
      <c r="D687" s="414">
        <f t="shared" si="559"/>
        <v>0.97</v>
      </c>
      <c r="E687" s="49">
        <f t="shared" si="552"/>
        <v>0</v>
      </c>
      <c r="F687" s="35">
        <f t="shared" si="560"/>
        <v>0</v>
      </c>
      <c r="G687" s="414">
        <f t="shared" si="561"/>
        <v>0</v>
      </c>
      <c r="H687" s="49">
        <f t="shared" si="553"/>
        <v>6164.37</v>
      </c>
      <c r="I687" s="35">
        <f t="shared" si="562"/>
        <v>64938.83000000014</v>
      </c>
      <c r="J687" s="414">
        <f t="shared" si="563"/>
        <v>0.05</v>
      </c>
      <c r="K687" s="329">
        <f t="shared" si="554"/>
        <v>0</v>
      </c>
      <c r="L687" s="35">
        <f t="shared" si="564"/>
        <v>0</v>
      </c>
      <c r="M687" s="414">
        <f t="shared" si="565"/>
        <v>0</v>
      </c>
      <c r="N687" s="329">
        <f t="shared" si="555"/>
        <v>0</v>
      </c>
      <c r="O687" s="35">
        <f t="shared" si="566"/>
        <v>26.676111110994825</v>
      </c>
      <c r="P687" s="414">
        <f t="shared" si="567"/>
        <v>0</v>
      </c>
      <c r="Q687" s="329">
        <f t="shared" si="556"/>
        <v>0</v>
      </c>
      <c r="R687" s="35">
        <f t="shared" si="568"/>
        <v>0</v>
      </c>
      <c r="S687" s="414">
        <f t="shared" si="569"/>
        <v>0</v>
      </c>
      <c r="T687" s="880">
        <f>[5]Sheet1!$B1102</f>
        <v>8.2191780821917796E-7</v>
      </c>
      <c r="U687" s="10">
        <f t="shared" si="570"/>
        <v>44455</v>
      </c>
      <c r="V687" s="276">
        <f t="shared" si="571"/>
        <v>2.9999999999999997E-4</v>
      </c>
    </row>
    <row r="688" spans="1:22" x14ac:dyDescent="0.25">
      <c r="A688" s="335">
        <f t="shared" si="557"/>
        <v>44456</v>
      </c>
      <c r="B688" s="329">
        <f t="shared" si="551"/>
        <v>-105379.91</v>
      </c>
      <c r="C688" s="338">
        <f t="shared" si="558"/>
        <v>969898.9800000001</v>
      </c>
      <c r="D688" s="414">
        <f t="shared" si="559"/>
        <v>0.88</v>
      </c>
      <c r="E688" s="49">
        <f t="shared" si="552"/>
        <v>0</v>
      </c>
      <c r="F688" s="35">
        <f t="shared" si="560"/>
        <v>0</v>
      </c>
      <c r="G688" s="414">
        <f t="shared" si="561"/>
        <v>0</v>
      </c>
      <c r="H688" s="49">
        <f t="shared" si="553"/>
        <v>0</v>
      </c>
      <c r="I688" s="35">
        <f t="shared" si="562"/>
        <v>64938.83000000014</v>
      </c>
      <c r="J688" s="414">
        <f t="shared" si="563"/>
        <v>0.05</v>
      </c>
      <c r="K688" s="329">
        <f t="shared" si="554"/>
        <v>0</v>
      </c>
      <c r="L688" s="35">
        <f t="shared" si="564"/>
        <v>0</v>
      </c>
      <c r="M688" s="414">
        <f t="shared" si="565"/>
        <v>0</v>
      </c>
      <c r="N688" s="329">
        <f t="shared" si="555"/>
        <v>0</v>
      </c>
      <c r="O688" s="35">
        <f t="shared" si="566"/>
        <v>26.676111110994825</v>
      </c>
      <c r="P688" s="414">
        <f t="shared" si="567"/>
        <v>0</v>
      </c>
      <c r="Q688" s="329">
        <f t="shared" si="556"/>
        <v>0</v>
      </c>
      <c r="R688" s="35">
        <f t="shared" si="568"/>
        <v>0</v>
      </c>
      <c r="S688" s="414">
        <f t="shared" si="569"/>
        <v>0</v>
      </c>
      <c r="T688" s="880">
        <f>[5]Sheet1!$B1103</f>
        <v>2.4657534246575337E-6</v>
      </c>
      <c r="U688" s="10">
        <f t="shared" si="570"/>
        <v>44456</v>
      </c>
      <c r="V688" s="276">
        <f t="shared" si="571"/>
        <v>2.9999999999999992E-4</v>
      </c>
    </row>
    <row r="689" spans="1:22" x14ac:dyDescent="0.25">
      <c r="A689" s="335">
        <f t="shared" si="557"/>
        <v>44459</v>
      </c>
      <c r="B689" s="329">
        <f t="shared" si="551"/>
        <v>1686473.17</v>
      </c>
      <c r="C689" s="338">
        <f t="shared" si="558"/>
        <v>2656372.15</v>
      </c>
      <c r="D689" s="414">
        <f t="shared" si="559"/>
        <v>2.39</v>
      </c>
      <c r="E689" s="49">
        <f t="shared" si="552"/>
        <v>0</v>
      </c>
      <c r="F689" s="35">
        <f t="shared" si="560"/>
        <v>0</v>
      </c>
      <c r="G689" s="414">
        <f t="shared" si="561"/>
        <v>0</v>
      </c>
      <c r="H689" s="49">
        <f t="shared" si="553"/>
        <v>0</v>
      </c>
      <c r="I689" s="35">
        <f t="shared" si="562"/>
        <v>64938.83000000014</v>
      </c>
      <c r="J689" s="414">
        <f t="shared" si="563"/>
        <v>0.16</v>
      </c>
      <c r="K689" s="329">
        <f t="shared" si="554"/>
        <v>0</v>
      </c>
      <c r="L689" s="35">
        <f t="shared" si="564"/>
        <v>0</v>
      </c>
      <c r="M689" s="414">
        <f t="shared" si="565"/>
        <v>0</v>
      </c>
      <c r="N689" s="329">
        <f t="shared" si="555"/>
        <v>0</v>
      </c>
      <c r="O689" s="35">
        <f t="shared" si="566"/>
        <v>26.676111110994825</v>
      </c>
      <c r="P689" s="414">
        <f t="shared" si="567"/>
        <v>0</v>
      </c>
      <c r="Q689" s="329">
        <f t="shared" si="556"/>
        <v>0</v>
      </c>
      <c r="R689" s="35">
        <f t="shared" si="568"/>
        <v>0</v>
      </c>
      <c r="S689" s="414">
        <f t="shared" si="569"/>
        <v>0</v>
      </c>
      <c r="T689" s="880">
        <f>[5]Sheet1!$B1104</f>
        <v>8.2191780821917796E-7</v>
      </c>
      <c r="U689" s="10">
        <f t="shared" si="570"/>
        <v>44459</v>
      </c>
      <c r="V689" s="276">
        <f t="shared" si="571"/>
        <v>2.9999999999999997E-4</v>
      </c>
    </row>
    <row r="690" spans="1:22" x14ac:dyDescent="0.25">
      <c r="A690" s="335">
        <f t="shared" si="557"/>
        <v>44460</v>
      </c>
      <c r="B690" s="329">
        <f t="shared" si="551"/>
        <v>0</v>
      </c>
      <c r="C690" s="338">
        <f t="shared" si="558"/>
        <v>2656372.15</v>
      </c>
      <c r="D690" s="414">
        <f t="shared" si="559"/>
        <v>2.1800000000000002</v>
      </c>
      <c r="E690" s="49">
        <f t="shared" si="552"/>
        <v>0</v>
      </c>
      <c r="F690" s="35">
        <f t="shared" si="560"/>
        <v>0</v>
      </c>
      <c r="G690" s="414">
        <f t="shared" si="561"/>
        <v>0</v>
      </c>
      <c r="H690" s="49">
        <f t="shared" si="553"/>
        <v>0</v>
      </c>
      <c r="I690" s="35">
        <f t="shared" si="562"/>
        <v>64938.83000000014</v>
      </c>
      <c r="J690" s="414">
        <f t="shared" si="563"/>
        <v>0.05</v>
      </c>
      <c r="K690" s="329">
        <f t="shared" si="554"/>
        <v>0</v>
      </c>
      <c r="L690" s="35">
        <f t="shared" si="564"/>
        <v>0</v>
      </c>
      <c r="M690" s="414">
        <f t="shared" si="565"/>
        <v>0</v>
      </c>
      <c r="N690" s="329">
        <f t="shared" si="555"/>
        <v>0</v>
      </c>
      <c r="O690" s="35">
        <f t="shared" si="566"/>
        <v>26.676111110994825</v>
      </c>
      <c r="P690" s="414">
        <f t="shared" si="567"/>
        <v>0</v>
      </c>
      <c r="Q690" s="329">
        <f t="shared" si="556"/>
        <v>0</v>
      </c>
      <c r="R690" s="35">
        <f t="shared" si="568"/>
        <v>0</v>
      </c>
      <c r="S690" s="414">
        <f t="shared" si="569"/>
        <v>0</v>
      </c>
      <c r="T690" s="880">
        <f>[5]Sheet1!$B1105</f>
        <v>8.2191780821917796E-7</v>
      </c>
      <c r="U690" s="10">
        <f t="shared" si="570"/>
        <v>44460</v>
      </c>
      <c r="V690" s="276">
        <f t="shared" si="571"/>
        <v>2.9999999999999997E-4</v>
      </c>
    </row>
    <row r="691" spans="1:22" x14ac:dyDescent="0.25">
      <c r="A691" s="335">
        <f t="shared" si="557"/>
        <v>44461</v>
      </c>
      <c r="B691" s="329">
        <f t="shared" si="551"/>
        <v>-2000000</v>
      </c>
      <c r="C691" s="338">
        <f t="shared" si="558"/>
        <v>656372.14999999991</v>
      </c>
      <c r="D691" s="414">
        <f t="shared" si="559"/>
        <v>2.1800000000000002</v>
      </c>
      <c r="E691" s="49">
        <f t="shared" si="552"/>
        <v>0</v>
      </c>
      <c r="F691" s="35">
        <f t="shared" si="560"/>
        <v>0</v>
      </c>
      <c r="G691" s="414">
        <f t="shared" si="561"/>
        <v>0</v>
      </c>
      <c r="H691" s="49">
        <f t="shared" si="553"/>
        <v>0</v>
      </c>
      <c r="I691" s="35">
        <f t="shared" si="562"/>
        <v>64938.83000000014</v>
      </c>
      <c r="J691" s="414">
        <f t="shared" si="563"/>
        <v>0.05</v>
      </c>
      <c r="K691" s="329">
        <f t="shared" si="554"/>
        <v>0</v>
      </c>
      <c r="L691" s="35">
        <f t="shared" si="564"/>
        <v>0</v>
      </c>
      <c r="M691" s="414">
        <f t="shared" si="565"/>
        <v>0</v>
      </c>
      <c r="N691" s="329">
        <f t="shared" si="555"/>
        <v>0</v>
      </c>
      <c r="O691" s="35">
        <f t="shared" si="566"/>
        <v>26.676111110994825</v>
      </c>
      <c r="P691" s="414">
        <f t="shared" si="567"/>
        <v>0</v>
      </c>
      <c r="Q691" s="329">
        <f t="shared" si="556"/>
        <v>0</v>
      </c>
      <c r="R691" s="35">
        <f t="shared" si="568"/>
        <v>0</v>
      </c>
      <c r="S691" s="414">
        <f t="shared" si="569"/>
        <v>0</v>
      </c>
      <c r="T691" s="880">
        <f>[5]Sheet1!$B1106</f>
        <v>8.2191780821917796E-7</v>
      </c>
      <c r="U691" s="10">
        <f t="shared" si="570"/>
        <v>44461</v>
      </c>
      <c r="V691" s="276">
        <f t="shared" si="571"/>
        <v>2.9999999999999997E-4</v>
      </c>
    </row>
    <row r="692" spans="1:22" x14ac:dyDescent="0.25">
      <c r="A692" s="335">
        <f t="shared" si="557"/>
        <v>44462</v>
      </c>
      <c r="B692" s="329">
        <f t="shared" si="551"/>
        <v>0</v>
      </c>
      <c r="C692" s="338">
        <f t="shared" si="558"/>
        <v>656372.14999999991</v>
      </c>
      <c r="D692" s="414">
        <f t="shared" si="559"/>
        <v>0.54</v>
      </c>
      <c r="E692" s="49">
        <f t="shared" si="552"/>
        <v>0</v>
      </c>
      <c r="F692" s="35">
        <f t="shared" si="560"/>
        <v>0</v>
      </c>
      <c r="G692" s="414">
        <f t="shared" si="561"/>
        <v>0</v>
      </c>
      <c r="H692" s="49">
        <f t="shared" si="553"/>
        <v>0</v>
      </c>
      <c r="I692" s="35">
        <f t="shared" si="562"/>
        <v>64938.83000000014</v>
      </c>
      <c r="J692" s="414">
        <f t="shared" si="563"/>
        <v>0.05</v>
      </c>
      <c r="K692" s="329">
        <f t="shared" si="554"/>
        <v>0</v>
      </c>
      <c r="L692" s="35">
        <f t="shared" si="564"/>
        <v>0</v>
      </c>
      <c r="M692" s="414">
        <f t="shared" si="565"/>
        <v>0</v>
      </c>
      <c r="N692" s="329">
        <f t="shared" si="555"/>
        <v>0</v>
      </c>
      <c r="O692" s="35">
        <f t="shared" si="566"/>
        <v>26.676111110994825</v>
      </c>
      <c r="P692" s="414">
        <f t="shared" si="567"/>
        <v>0</v>
      </c>
      <c r="Q692" s="329">
        <f t="shared" si="556"/>
        <v>0</v>
      </c>
      <c r="R692" s="35">
        <f t="shared" si="568"/>
        <v>0</v>
      </c>
      <c r="S692" s="414">
        <f t="shared" si="569"/>
        <v>0</v>
      </c>
      <c r="T692" s="880">
        <f>[5]Sheet1!$B1107</f>
        <v>8.2191780821917796E-7</v>
      </c>
      <c r="U692" s="10">
        <f t="shared" si="570"/>
        <v>44462</v>
      </c>
      <c r="V692" s="276">
        <f t="shared" si="571"/>
        <v>2.9999999999999997E-4</v>
      </c>
    </row>
    <row r="693" spans="1:22" x14ac:dyDescent="0.25">
      <c r="A693" s="335">
        <f t="shared" si="557"/>
        <v>44463</v>
      </c>
      <c r="B693" s="329">
        <f t="shared" si="551"/>
        <v>299537.8</v>
      </c>
      <c r="C693" s="338">
        <f t="shared" si="558"/>
        <v>955909.95</v>
      </c>
      <c r="D693" s="414">
        <f t="shared" si="559"/>
        <v>0.54</v>
      </c>
      <c r="E693" s="49">
        <f t="shared" si="552"/>
        <v>0</v>
      </c>
      <c r="F693" s="35">
        <f t="shared" si="560"/>
        <v>0</v>
      </c>
      <c r="G693" s="414">
        <f t="shared" si="561"/>
        <v>0</v>
      </c>
      <c r="H693" s="49">
        <f t="shared" si="553"/>
        <v>0</v>
      </c>
      <c r="I693" s="35">
        <f t="shared" si="562"/>
        <v>64938.83000000014</v>
      </c>
      <c r="J693" s="414">
        <f t="shared" si="563"/>
        <v>0.05</v>
      </c>
      <c r="K693" s="329">
        <f t="shared" si="554"/>
        <v>0</v>
      </c>
      <c r="L693" s="35">
        <f t="shared" si="564"/>
        <v>0</v>
      </c>
      <c r="M693" s="414">
        <f t="shared" si="565"/>
        <v>0</v>
      </c>
      <c r="N693" s="329">
        <f t="shared" si="555"/>
        <v>0</v>
      </c>
      <c r="O693" s="35">
        <f t="shared" si="566"/>
        <v>26.676111110994825</v>
      </c>
      <c r="P693" s="414">
        <f t="shared" si="567"/>
        <v>0</v>
      </c>
      <c r="Q693" s="329">
        <f t="shared" si="556"/>
        <v>0</v>
      </c>
      <c r="R693" s="35">
        <f t="shared" si="568"/>
        <v>0</v>
      </c>
      <c r="S693" s="414">
        <f t="shared" si="569"/>
        <v>0</v>
      </c>
      <c r="T693" s="880">
        <f>[5]Sheet1!$B1108</f>
        <v>2.4657534246575337E-6</v>
      </c>
      <c r="U693" s="10">
        <f t="shared" si="570"/>
        <v>44463</v>
      </c>
      <c r="V693" s="276">
        <f t="shared" si="571"/>
        <v>2.9999999999999992E-4</v>
      </c>
    </row>
    <row r="694" spans="1:22" x14ac:dyDescent="0.25">
      <c r="A694" s="335">
        <f t="shared" si="557"/>
        <v>44466</v>
      </c>
      <c r="B694" s="329">
        <f t="shared" si="551"/>
        <v>0</v>
      </c>
      <c r="C694" s="338">
        <f t="shared" si="558"/>
        <v>955909.95</v>
      </c>
      <c r="D694" s="414">
        <f t="shared" si="559"/>
        <v>2.36</v>
      </c>
      <c r="E694" s="49">
        <f t="shared" si="552"/>
        <v>0</v>
      </c>
      <c r="F694" s="35">
        <f t="shared" si="560"/>
        <v>0</v>
      </c>
      <c r="G694" s="414">
        <f t="shared" si="561"/>
        <v>0</v>
      </c>
      <c r="H694" s="49">
        <f t="shared" si="553"/>
        <v>0</v>
      </c>
      <c r="I694" s="35">
        <f t="shared" si="562"/>
        <v>64938.83000000014</v>
      </c>
      <c r="J694" s="414">
        <f t="shared" si="563"/>
        <v>0.16</v>
      </c>
      <c r="K694" s="329">
        <f t="shared" si="554"/>
        <v>0</v>
      </c>
      <c r="L694" s="35">
        <f t="shared" si="564"/>
        <v>0</v>
      </c>
      <c r="M694" s="414">
        <f t="shared" si="565"/>
        <v>0</v>
      </c>
      <c r="N694" s="329">
        <f t="shared" si="555"/>
        <v>0</v>
      </c>
      <c r="O694" s="35">
        <f t="shared" si="566"/>
        <v>26.676111110994825</v>
      </c>
      <c r="P694" s="414">
        <f t="shared" si="567"/>
        <v>0</v>
      </c>
      <c r="Q694" s="329">
        <f t="shared" si="556"/>
        <v>0</v>
      </c>
      <c r="R694" s="35">
        <f t="shared" si="568"/>
        <v>0</v>
      </c>
      <c r="S694" s="414">
        <f t="shared" si="569"/>
        <v>0</v>
      </c>
      <c r="T694" s="880">
        <f>[5]Sheet1!$B1109</f>
        <v>8.2191780821917796E-7</v>
      </c>
      <c r="U694" s="10">
        <f t="shared" si="570"/>
        <v>44466</v>
      </c>
      <c r="V694" s="276">
        <f t="shared" si="571"/>
        <v>2.9999999999999997E-4</v>
      </c>
    </row>
    <row r="695" spans="1:22" x14ac:dyDescent="0.25">
      <c r="A695" s="335">
        <f t="shared" si="557"/>
        <v>44467</v>
      </c>
      <c r="B695" s="329">
        <f t="shared" si="551"/>
        <v>0</v>
      </c>
      <c r="C695" s="338">
        <f t="shared" si="558"/>
        <v>955909.95</v>
      </c>
      <c r="D695" s="414">
        <f t="shared" si="559"/>
        <v>0.79</v>
      </c>
      <c r="E695" s="49">
        <f t="shared" si="552"/>
        <v>0</v>
      </c>
      <c r="F695" s="35">
        <f t="shared" si="560"/>
        <v>0</v>
      </c>
      <c r="G695" s="414">
        <f t="shared" si="561"/>
        <v>0</v>
      </c>
      <c r="H695" s="49">
        <f t="shared" si="553"/>
        <v>0</v>
      </c>
      <c r="I695" s="35">
        <f t="shared" si="562"/>
        <v>64938.83000000014</v>
      </c>
      <c r="J695" s="414">
        <f t="shared" si="563"/>
        <v>0.05</v>
      </c>
      <c r="K695" s="329">
        <f t="shared" si="554"/>
        <v>0</v>
      </c>
      <c r="L695" s="35">
        <f t="shared" si="564"/>
        <v>0</v>
      </c>
      <c r="M695" s="414">
        <f t="shared" si="565"/>
        <v>0</v>
      </c>
      <c r="N695" s="329">
        <f t="shared" si="555"/>
        <v>0</v>
      </c>
      <c r="O695" s="35">
        <f t="shared" si="566"/>
        <v>26.676111110994825</v>
      </c>
      <c r="P695" s="414">
        <f t="shared" si="567"/>
        <v>0</v>
      </c>
      <c r="Q695" s="329">
        <f t="shared" si="556"/>
        <v>0</v>
      </c>
      <c r="R695" s="35">
        <f t="shared" si="568"/>
        <v>0</v>
      </c>
      <c r="S695" s="414">
        <f t="shared" si="569"/>
        <v>0</v>
      </c>
      <c r="T695" s="880">
        <f>[5]Sheet1!$B1110</f>
        <v>8.2191780821917796E-7</v>
      </c>
      <c r="U695" s="10">
        <f t="shared" si="570"/>
        <v>44467</v>
      </c>
      <c r="V695" s="276">
        <f t="shared" si="571"/>
        <v>2.9999999999999997E-4</v>
      </c>
    </row>
    <row r="696" spans="1:22" x14ac:dyDescent="0.25">
      <c r="A696" s="335">
        <f t="shared" si="557"/>
        <v>44468</v>
      </c>
      <c r="B696" s="329">
        <f t="shared" si="551"/>
        <v>0</v>
      </c>
      <c r="C696" s="338">
        <f t="shared" si="558"/>
        <v>955909.95</v>
      </c>
      <c r="D696" s="414">
        <f t="shared" si="559"/>
        <v>0.79</v>
      </c>
      <c r="E696" s="49">
        <f t="shared" si="552"/>
        <v>0</v>
      </c>
      <c r="F696" s="35">
        <f t="shared" si="560"/>
        <v>0</v>
      </c>
      <c r="G696" s="414">
        <f t="shared" si="561"/>
        <v>0</v>
      </c>
      <c r="H696" s="49">
        <f t="shared" si="553"/>
        <v>0</v>
      </c>
      <c r="I696" s="35">
        <f t="shared" si="562"/>
        <v>64938.83000000014</v>
      </c>
      <c r="J696" s="414">
        <f t="shared" si="563"/>
        <v>0.05</v>
      </c>
      <c r="K696" s="329">
        <f t="shared" si="554"/>
        <v>0</v>
      </c>
      <c r="L696" s="35">
        <f t="shared" si="564"/>
        <v>0</v>
      </c>
      <c r="M696" s="414">
        <f t="shared" si="565"/>
        <v>0</v>
      </c>
      <c r="N696" s="329">
        <f t="shared" si="555"/>
        <v>0</v>
      </c>
      <c r="O696" s="35">
        <f t="shared" si="566"/>
        <v>26.676111110994825</v>
      </c>
      <c r="P696" s="414">
        <f t="shared" si="567"/>
        <v>0</v>
      </c>
      <c r="Q696" s="329">
        <f t="shared" si="556"/>
        <v>0</v>
      </c>
      <c r="R696" s="35">
        <f t="shared" si="568"/>
        <v>0</v>
      </c>
      <c r="S696" s="414">
        <f t="shared" si="569"/>
        <v>0</v>
      </c>
      <c r="T696" s="880">
        <f>[5]Sheet1!$B1111</f>
        <v>8.2191780821917796E-7</v>
      </c>
      <c r="U696" s="10">
        <f t="shared" si="570"/>
        <v>44468</v>
      </c>
      <c r="V696" s="276">
        <f t="shared" si="571"/>
        <v>2.9999999999999997E-4</v>
      </c>
    </row>
    <row r="697" spans="1:22" x14ac:dyDescent="0.25">
      <c r="A697" s="335">
        <f t="shared" si="557"/>
        <v>44469</v>
      </c>
      <c r="B697" s="329">
        <f t="shared" si="551"/>
        <v>0</v>
      </c>
      <c r="C697" s="338">
        <f t="shared" si="558"/>
        <v>955909.95</v>
      </c>
      <c r="D697" s="414">
        <f t="shared" si="559"/>
        <v>0.79</v>
      </c>
      <c r="E697" s="49">
        <f t="shared" si="552"/>
        <v>0</v>
      </c>
      <c r="F697" s="35">
        <f t="shared" si="560"/>
        <v>0</v>
      </c>
      <c r="G697" s="414">
        <f t="shared" si="561"/>
        <v>0</v>
      </c>
      <c r="H697" s="49">
        <f t="shared" si="553"/>
        <v>0</v>
      </c>
      <c r="I697" s="35">
        <f t="shared" si="562"/>
        <v>64938.83000000014</v>
      </c>
      <c r="J697" s="414">
        <f t="shared" si="563"/>
        <v>0.05</v>
      </c>
      <c r="K697" s="329">
        <f t="shared" si="554"/>
        <v>0</v>
      </c>
      <c r="L697" s="35">
        <f t="shared" si="564"/>
        <v>0</v>
      </c>
      <c r="M697" s="414">
        <f t="shared" si="565"/>
        <v>0</v>
      </c>
      <c r="N697" s="329">
        <f t="shared" si="555"/>
        <v>0</v>
      </c>
      <c r="O697" s="35">
        <f t="shared" si="566"/>
        <v>26.676111110994825</v>
      </c>
      <c r="P697" s="414">
        <f t="shared" si="567"/>
        <v>0</v>
      </c>
      <c r="Q697" s="329">
        <f t="shared" si="556"/>
        <v>0</v>
      </c>
      <c r="R697" s="35">
        <f t="shared" si="568"/>
        <v>0</v>
      </c>
      <c r="S697" s="414">
        <f t="shared" si="569"/>
        <v>0</v>
      </c>
      <c r="T697" s="880">
        <f>[5]Sheet1!$B1112</f>
        <v>8.2191780821917796E-7</v>
      </c>
      <c r="U697" s="10">
        <f t="shared" si="570"/>
        <v>44469</v>
      </c>
      <c r="V697" s="276">
        <f t="shared" si="571"/>
        <v>2.9999999999999997E-4</v>
      </c>
    </row>
    <row r="698" spans="1:22" x14ac:dyDescent="0.25">
      <c r="A698" s="335">
        <f t="shared" si="557"/>
        <v>44470</v>
      </c>
      <c r="B698" s="329">
        <f t="shared" si="551"/>
        <v>-937281.02</v>
      </c>
      <c r="C698" s="338">
        <f t="shared" si="558"/>
        <v>18628.929999999935</v>
      </c>
      <c r="D698" s="414">
        <f t="shared" si="559"/>
        <v>0.79</v>
      </c>
      <c r="E698" s="49">
        <f t="shared" si="552"/>
        <v>0</v>
      </c>
      <c r="F698" s="35">
        <f t="shared" si="560"/>
        <v>0</v>
      </c>
      <c r="G698" s="414">
        <f t="shared" si="561"/>
        <v>0</v>
      </c>
      <c r="H698" s="49">
        <f t="shared" si="553"/>
        <v>0</v>
      </c>
      <c r="I698" s="35">
        <f t="shared" si="562"/>
        <v>64938.83000000014</v>
      </c>
      <c r="J698" s="414">
        <f t="shared" si="563"/>
        <v>0.05</v>
      </c>
      <c r="K698" s="329">
        <f t="shared" si="554"/>
        <v>0</v>
      </c>
      <c r="L698" s="35">
        <f t="shared" si="564"/>
        <v>0</v>
      </c>
      <c r="M698" s="414">
        <f t="shared" si="565"/>
        <v>0</v>
      </c>
      <c r="N698" s="329">
        <f t="shared" si="555"/>
        <v>0</v>
      </c>
      <c r="O698" s="35">
        <f t="shared" si="566"/>
        <v>26.676111110994825</v>
      </c>
      <c r="P698" s="414">
        <f t="shared" si="567"/>
        <v>0</v>
      </c>
      <c r="Q698" s="329">
        <f t="shared" si="556"/>
        <v>0</v>
      </c>
      <c r="R698" s="35">
        <f t="shared" si="568"/>
        <v>0</v>
      </c>
      <c r="S698" s="414">
        <f t="shared" si="569"/>
        <v>0</v>
      </c>
      <c r="T698" s="880">
        <f>[5]Sheet1!$B1113</f>
        <v>2.4657534246575337E-6</v>
      </c>
      <c r="U698" s="10">
        <f t="shared" si="570"/>
        <v>44470</v>
      </c>
      <c r="V698" s="276">
        <f t="shared" si="571"/>
        <v>2.9999999999999992E-4</v>
      </c>
    </row>
    <row r="699" spans="1:22" x14ac:dyDescent="0.25">
      <c r="A699" s="335">
        <f t="shared" si="557"/>
        <v>44473</v>
      </c>
      <c r="B699" s="329">
        <f t="shared" si="551"/>
        <v>1107354.51</v>
      </c>
      <c r="C699" s="338">
        <f t="shared" si="558"/>
        <v>1125983.44</v>
      </c>
      <c r="D699" s="414">
        <f t="shared" si="559"/>
        <v>0.05</v>
      </c>
      <c r="E699" s="49">
        <f t="shared" si="552"/>
        <v>0</v>
      </c>
      <c r="F699" s="35">
        <f t="shared" si="560"/>
        <v>0</v>
      </c>
      <c r="G699" s="414">
        <f t="shared" si="561"/>
        <v>0</v>
      </c>
      <c r="H699" s="49">
        <f t="shared" si="553"/>
        <v>1.5</v>
      </c>
      <c r="I699" s="35">
        <f t="shared" si="562"/>
        <v>64940.33000000014</v>
      </c>
      <c r="J699" s="414">
        <f t="shared" si="563"/>
        <v>0.16</v>
      </c>
      <c r="K699" s="329">
        <f t="shared" si="554"/>
        <v>0</v>
      </c>
      <c r="L699" s="35">
        <f t="shared" si="564"/>
        <v>0</v>
      </c>
      <c r="M699" s="414">
        <f t="shared" si="565"/>
        <v>0</v>
      </c>
      <c r="N699" s="329">
        <f t="shared" si="555"/>
        <v>0</v>
      </c>
      <c r="O699" s="35">
        <f t="shared" si="566"/>
        <v>26.676111110994825</v>
      </c>
      <c r="P699" s="414">
        <f t="shared" si="567"/>
        <v>0</v>
      </c>
      <c r="Q699" s="329">
        <f t="shared" si="556"/>
        <v>0</v>
      </c>
      <c r="R699" s="35">
        <f t="shared" si="568"/>
        <v>0</v>
      </c>
      <c r="S699" s="414">
        <f t="shared" si="569"/>
        <v>0</v>
      </c>
      <c r="T699" s="880">
        <f>[5]Sheet1!$B1114</f>
        <v>8.2191780821917796E-7</v>
      </c>
      <c r="U699" s="10">
        <f t="shared" si="570"/>
        <v>44473</v>
      </c>
      <c r="V699" s="276">
        <f t="shared" si="571"/>
        <v>2.9999999999999997E-4</v>
      </c>
    </row>
    <row r="700" spans="1:22" x14ac:dyDescent="0.25">
      <c r="A700" s="335">
        <f t="shared" si="557"/>
        <v>44474</v>
      </c>
      <c r="B700" s="329">
        <f t="shared" si="551"/>
        <v>-1165.1099999999999</v>
      </c>
      <c r="C700" s="338">
        <f t="shared" si="558"/>
        <v>1124818.3299999998</v>
      </c>
      <c r="D700" s="414">
        <f t="shared" si="559"/>
        <v>0.93</v>
      </c>
      <c r="E700" s="49">
        <f t="shared" si="552"/>
        <v>0</v>
      </c>
      <c r="F700" s="35">
        <f t="shared" si="560"/>
        <v>0</v>
      </c>
      <c r="G700" s="414">
        <f t="shared" si="561"/>
        <v>0</v>
      </c>
      <c r="H700" s="49">
        <f t="shared" si="553"/>
        <v>0</v>
      </c>
      <c r="I700" s="35">
        <f t="shared" si="562"/>
        <v>64940.33000000014</v>
      </c>
      <c r="J700" s="414">
        <f t="shared" si="563"/>
        <v>0.05</v>
      </c>
      <c r="K700" s="329">
        <f t="shared" si="554"/>
        <v>0</v>
      </c>
      <c r="L700" s="35">
        <f t="shared" si="564"/>
        <v>0</v>
      </c>
      <c r="M700" s="414">
        <f t="shared" si="565"/>
        <v>0</v>
      </c>
      <c r="N700" s="329">
        <f t="shared" si="555"/>
        <v>0</v>
      </c>
      <c r="O700" s="35">
        <f t="shared" si="566"/>
        <v>26.676111110994825</v>
      </c>
      <c r="P700" s="414">
        <f t="shared" si="567"/>
        <v>0</v>
      </c>
      <c r="Q700" s="329">
        <f t="shared" si="556"/>
        <v>0</v>
      </c>
      <c r="R700" s="35">
        <f t="shared" si="568"/>
        <v>0</v>
      </c>
      <c r="S700" s="414">
        <f t="shared" si="569"/>
        <v>0</v>
      </c>
      <c r="T700" s="880">
        <f>[5]Sheet1!$B1115</f>
        <v>8.2191780821917796E-7</v>
      </c>
      <c r="U700" s="10">
        <f t="shared" si="570"/>
        <v>44474</v>
      </c>
      <c r="V700" s="276">
        <f t="shared" si="571"/>
        <v>2.9999999999999997E-4</v>
      </c>
    </row>
    <row r="701" spans="1:22" x14ac:dyDescent="0.25">
      <c r="A701" s="335">
        <f t="shared" si="557"/>
        <v>44475</v>
      </c>
      <c r="B701" s="329">
        <f t="shared" si="551"/>
        <v>960655.11</v>
      </c>
      <c r="C701" s="338">
        <f t="shared" si="558"/>
        <v>2085473.44</v>
      </c>
      <c r="D701" s="414">
        <f t="shared" si="559"/>
        <v>0.92</v>
      </c>
      <c r="E701" s="49">
        <f t="shared" si="552"/>
        <v>0</v>
      </c>
      <c r="F701" s="35">
        <f t="shared" si="560"/>
        <v>0</v>
      </c>
      <c r="G701" s="414">
        <f t="shared" si="561"/>
        <v>0</v>
      </c>
      <c r="H701" s="49">
        <f t="shared" si="553"/>
        <v>0</v>
      </c>
      <c r="I701" s="35">
        <f t="shared" si="562"/>
        <v>64940.33000000014</v>
      </c>
      <c r="J701" s="414">
        <f t="shared" si="563"/>
        <v>0.05</v>
      </c>
      <c r="K701" s="329">
        <f t="shared" si="554"/>
        <v>0</v>
      </c>
      <c r="L701" s="35">
        <f t="shared" si="564"/>
        <v>0</v>
      </c>
      <c r="M701" s="414">
        <f t="shared" si="565"/>
        <v>0</v>
      </c>
      <c r="N701" s="329">
        <f t="shared" si="555"/>
        <v>0</v>
      </c>
      <c r="O701" s="35">
        <f t="shared" si="566"/>
        <v>26.676111110994825</v>
      </c>
      <c r="P701" s="414">
        <f t="shared" si="567"/>
        <v>0</v>
      </c>
      <c r="Q701" s="329">
        <f t="shared" si="556"/>
        <v>0</v>
      </c>
      <c r="R701" s="35">
        <f t="shared" si="568"/>
        <v>0</v>
      </c>
      <c r="S701" s="414">
        <f t="shared" si="569"/>
        <v>0</v>
      </c>
      <c r="T701" s="880">
        <f>[5]Sheet1!$B1116</f>
        <v>8.2191780821917796E-7</v>
      </c>
      <c r="U701" s="10">
        <f t="shared" si="570"/>
        <v>44475</v>
      </c>
      <c r="V701" s="276">
        <f t="shared" si="571"/>
        <v>2.9999999999999997E-4</v>
      </c>
    </row>
    <row r="702" spans="1:22" x14ac:dyDescent="0.25">
      <c r="A702" s="335">
        <f t="shared" si="557"/>
        <v>44476</v>
      </c>
      <c r="B702" s="329">
        <f t="shared" si="551"/>
        <v>0</v>
      </c>
      <c r="C702" s="338">
        <f t="shared" si="558"/>
        <v>2085473.44</v>
      </c>
      <c r="D702" s="414">
        <f t="shared" si="559"/>
        <v>1.71</v>
      </c>
      <c r="E702" s="49">
        <f t="shared" si="552"/>
        <v>0</v>
      </c>
      <c r="F702" s="35">
        <f t="shared" si="560"/>
        <v>0</v>
      </c>
      <c r="G702" s="414">
        <f t="shared" si="561"/>
        <v>0</v>
      </c>
      <c r="H702" s="49">
        <f t="shared" si="553"/>
        <v>0</v>
      </c>
      <c r="I702" s="35">
        <f t="shared" si="562"/>
        <v>64940.33000000014</v>
      </c>
      <c r="J702" s="414">
        <f t="shared" si="563"/>
        <v>0.05</v>
      </c>
      <c r="K702" s="329">
        <f t="shared" si="554"/>
        <v>0</v>
      </c>
      <c r="L702" s="35">
        <f t="shared" si="564"/>
        <v>0</v>
      </c>
      <c r="M702" s="414">
        <f t="shared" si="565"/>
        <v>0</v>
      </c>
      <c r="N702" s="329">
        <f t="shared" si="555"/>
        <v>0</v>
      </c>
      <c r="O702" s="35">
        <f t="shared" si="566"/>
        <v>26.676111110994825</v>
      </c>
      <c r="P702" s="414">
        <f t="shared" si="567"/>
        <v>0</v>
      </c>
      <c r="Q702" s="329">
        <f t="shared" si="556"/>
        <v>0</v>
      </c>
      <c r="R702" s="35">
        <f t="shared" si="568"/>
        <v>0</v>
      </c>
      <c r="S702" s="414">
        <f t="shared" si="569"/>
        <v>0</v>
      </c>
      <c r="T702" s="880">
        <f>[5]Sheet1!$B1117</f>
        <v>8.2191780821917796E-7</v>
      </c>
      <c r="U702" s="10">
        <f t="shared" si="570"/>
        <v>44476</v>
      </c>
      <c r="V702" s="276">
        <f t="shared" si="571"/>
        <v>2.9999999999999997E-4</v>
      </c>
    </row>
    <row r="703" spans="1:22" x14ac:dyDescent="0.25">
      <c r="A703" s="335">
        <f t="shared" si="557"/>
        <v>44477</v>
      </c>
      <c r="B703" s="329">
        <f t="shared" si="551"/>
        <v>-1014415.09</v>
      </c>
      <c r="C703" s="338">
        <f t="shared" si="558"/>
        <v>1071058.3500000001</v>
      </c>
      <c r="D703" s="414">
        <f t="shared" si="559"/>
        <v>1.71</v>
      </c>
      <c r="E703" s="49">
        <f t="shared" si="552"/>
        <v>0</v>
      </c>
      <c r="F703" s="35">
        <f t="shared" si="560"/>
        <v>0</v>
      </c>
      <c r="G703" s="414">
        <f t="shared" si="561"/>
        <v>0</v>
      </c>
      <c r="H703" s="49">
        <f t="shared" si="553"/>
        <v>0</v>
      </c>
      <c r="I703" s="35">
        <f t="shared" si="562"/>
        <v>64940.33000000014</v>
      </c>
      <c r="J703" s="414">
        <f t="shared" si="563"/>
        <v>0.05</v>
      </c>
      <c r="K703" s="329">
        <f t="shared" si="554"/>
        <v>0</v>
      </c>
      <c r="L703" s="35">
        <f t="shared" si="564"/>
        <v>0</v>
      </c>
      <c r="M703" s="414">
        <f t="shared" si="565"/>
        <v>0</v>
      </c>
      <c r="N703" s="329">
        <f t="shared" si="555"/>
        <v>0</v>
      </c>
      <c r="O703" s="35">
        <f t="shared" si="566"/>
        <v>26.676111110994825</v>
      </c>
      <c r="P703" s="414">
        <f t="shared" si="567"/>
        <v>0</v>
      </c>
      <c r="Q703" s="329">
        <f t="shared" si="556"/>
        <v>0</v>
      </c>
      <c r="R703" s="35">
        <f t="shared" si="568"/>
        <v>0</v>
      </c>
      <c r="S703" s="414">
        <f t="shared" si="569"/>
        <v>0</v>
      </c>
      <c r="T703" s="880">
        <f>[5]Sheet1!$B1118</f>
        <v>3.2876712328767118E-6</v>
      </c>
      <c r="U703" s="10">
        <f t="shared" si="570"/>
        <v>44477</v>
      </c>
      <c r="V703" s="276">
        <f t="shared" si="571"/>
        <v>2.9999999999999997E-4</v>
      </c>
    </row>
    <row r="704" spans="1:22" x14ac:dyDescent="0.25">
      <c r="A704" s="335">
        <f t="shared" si="557"/>
        <v>44481</v>
      </c>
      <c r="B704" s="329">
        <f t="shared" si="551"/>
        <v>3992827</v>
      </c>
      <c r="C704" s="338">
        <f t="shared" si="558"/>
        <v>5063885.3499999996</v>
      </c>
      <c r="D704" s="414">
        <f t="shared" si="559"/>
        <v>3.52</v>
      </c>
      <c r="E704" s="49">
        <f t="shared" si="552"/>
        <v>0</v>
      </c>
      <c r="F704" s="35">
        <f t="shared" si="560"/>
        <v>0</v>
      </c>
      <c r="G704" s="414">
        <f t="shared" si="561"/>
        <v>0</v>
      </c>
      <c r="H704" s="49">
        <f t="shared" si="553"/>
        <v>0</v>
      </c>
      <c r="I704" s="35">
        <f t="shared" si="562"/>
        <v>64940.33000000014</v>
      </c>
      <c r="J704" s="414">
        <f t="shared" si="563"/>
        <v>0.21</v>
      </c>
      <c r="K704" s="329">
        <f t="shared" si="554"/>
        <v>0</v>
      </c>
      <c r="L704" s="35">
        <f t="shared" si="564"/>
        <v>0</v>
      </c>
      <c r="M704" s="414">
        <f t="shared" si="565"/>
        <v>0</v>
      </c>
      <c r="N704" s="329">
        <f t="shared" si="555"/>
        <v>0</v>
      </c>
      <c r="O704" s="35">
        <f t="shared" si="566"/>
        <v>26.676111110994825</v>
      </c>
      <c r="P704" s="414">
        <f t="shared" si="567"/>
        <v>0</v>
      </c>
      <c r="Q704" s="329">
        <f t="shared" si="556"/>
        <v>0</v>
      </c>
      <c r="R704" s="35">
        <f t="shared" si="568"/>
        <v>0</v>
      </c>
      <c r="S704" s="414">
        <f t="shared" si="569"/>
        <v>0</v>
      </c>
      <c r="T704" s="880">
        <f>[5]Sheet1!$B1119</f>
        <v>8.2191780821917796E-7</v>
      </c>
      <c r="U704" s="10">
        <f t="shared" si="570"/>
        <v>44481</v>
      </c>
      <c r="V704" s="276">
        <f t="shared" si="571"/>
        <v>2.9999999999999997E-4</v>
      </c>
    </row>
    <row r="705" spans="1:22" x14ac:dyDescent="0.25">
      <c r="A705" s="335">
        <f t="shared" si="557"/>
        <v>44482</v>
      </c>
      <c r="B705" s="329">
        <f t="shared" si="551"/>
        <v>-4000000</v>
      </c>
      <c r="C705" s="338">
        <f t="shared" si="558"/>
        <v>1063885.3499999996</v>
      </c>
      <c r="D705" s="414">
        <f t="shared" si="559"/>
        <v>4.16</v>
      </c>
      <c r="E705" s="49">
        <f t="shared" si="552"/>
        <v>0</v>
      </c>
      <c r="F705" s="35">
        <f t="shared" si="560"/>
        <v>0</v>
      </c>
      <c r="G705" s="414">
        <f t="shared" si="561"/>
        <v>0</v>
      </c>
      <c r="H705" s="49">
        <f t="shared" si="553"/>
        <v>0</v>
      </c>
      <c r="I705" s="35">
        <f t="shared" si="562"/>
        <v>64940.33000000014</v>
      </c>
      <c r="J705" s="414">
        <f t="shared" si="563"/>
        <v>0.05</v>
      </c>
      <c r="K705" s="329">
        <f t="shared" si="554"/>
        <v>0</v>
      </c>
      <c r="L705" s="35">
        <f t="shared" si="564"/>
        <v>0</v>
      </c>
      <c r="M705" s="414">
        <f t="shared" si="565"/>
        <v>0</v>
      </c>
      <c r="N705" s="329">
        <f t="shared" si="555"/>
        <v>0</v>
      </c>
      <c r="O705" s="35">
        <f t="shared" si="566"/>
        <v>26.676111110994825</v>
      </c>
      <c r="P705" s="414">
        <f t="shared" si="567"/>
        <v>0</v>
      </c>
      <c r="Q705" s="329">
        <f t="shared" si="556"/>
        <v>0</v>
      </c>
      <c r="R705" s="35">
        <f t="shared" si="568"/>
        <v>0</v>
      </c>
      <c r="S705" s="414">
        <f t="shared" si="569"/>
        <v>0</v>
      </c>
      <c r="T705" s="880">
        <f>[5]Sheet1!$B1120</f>
        <v>8.2191780821917796E-7</v>
      </c>
      <c r="U705" s="10">
        <f t="shared" si="570"/>
        <v>44482</v>
      </c>
      <c r="V705" s="276">
        <f t="shared" si="571"/>
        <v>2.9999999999999997E-4</v>
      </c>
    </row>
    <row r="706" spans="1:22" x14ac:dyDescent="0.25">
      <c r="A706" s="335">
        <f t="shared" si="557"/>
        <v>44483</v>
      </c>
      <c r="B706" s="329">
        <f t="shared" si="551"/>
        <v>0</v>
      </c>
      <c r="C706" s="338">
        <f t="shared" si="558"/>
        <v>1063885.3499999996</v>
      </c>
      <c r="D706" s="414">
        <f t="shared" si="559"/>
        <v>0.87</v>
      </c>
      <c r="E706" s="49">
        <f t="shared" si="552"/>
        <v>0</v>
      </c>
      <c r="F706" s="35">
        <f t="shared" si="560"/>
        <v>0</v>
      </c>
      <c r="G706" s="414">
        <f t="shared" si="561"/>
        <v>0</v>
      </c>
      <c r="H706" s="49">
        <f t="shared" si="553"/>
        <v>0</v>
      </c>
      <c r="I706" s="35">
        <f t="shared" si="562"/>
        <v>64940.33000000014</v>
      </c>
      <c r="J706" s="414">
        <f t="shared" si="563"/>
        <v>0.05</v>
      </c>
      <c r="K706" s="329">
        <f t="shared" si="554"/>
        <v>0</v>
      </c>
      <c r="L706" s="35">
        <f t="shared" si="564"/>
        <v>0</v>
      </c>
      <c r="M706" s="414">
        <f t="shared" si="565"/>
        <v>0</v>
      </c>
      <c r="N706" s="329">
        <f t="shared" si="555"/>
        <v>0</v>
      </c>
      <c r="O706" s="35">
        <f t="shared" si="566"/>
        <v>26.676111110994825</v>
      </c>
      <c r="P706" s="414">
        <f t="shared" si="567"/>
        <v>0</v>
      </c>
      <c r="Q706" s="329">
        <f t="shared" si="556"/>
        <v>0</v>
      </c>
      <c r="R706" s="35">
        <f t="shared" si="568"/>
        <v>0</v>
      </c>
      <c r="S706" s="414">
        <f t="shared" si="569"/>
        <v>0</v>
      </c>
      <c r="T706" s="880">
        <f>[5]Sheet1!$B1121</f>
        <v>8.2191780821917796E-7</v>
      </c>
      <c r="U706" s="10">
        <f t="shared" si="570"/>
        <v>44483</v>
      </c>
      <c r="V706" s="276">
        <f t="shared" si="571"/>
        <v>2.9999999999999997E-4</v>
      </c>
    </row>
    <row r="707" spans="1:22" x14ac:dyDescent="0.25">
      <c r="A707" s="335">
        <f t="shared" si="557"/>
        <v>44484</v>
      </c>
      <c r="B707" s="329">
        <f t="shared" si="551"/>
        <v>0</v>
      </c>
      <c r="C707" s="338">
        <f t="shared" si="558"/>
        <v>1063885.3499999996</v>
      </c>
      <c r="D707" s="414">
        <f t="shared" si="559"/>
        <v>0.87</v>
      </c>
      <c r="E707" s="49">
        <f t="shared" si="552"/>
        <v>0</v>
      </c>
      <c r="F707" s="35">
        <f t="shared" si="560"/>
        <v>0</v>
      </c>
      <c r="G707" s="414">
        <f t="shared" si="561"/>
        <v>0</v>
      </c>
      <c r="H707" s="49">
        <f t="shared" si="553"/>
        <v>0</v>
      </c>
      <c r="I707" s="35">
        <f t="shared" si="562"/>
        <v>64940.33000000014</v>
      </c>
      <c r="J707" s="414">
        <f t="shared" si="563"/>
        <v>0.05</v>
      </c>
      <c r="K707" s="329">
        <f t="shared" si="554"/>
        <v>0</v>
      </c>
      <c r="L707" s="35">
        <f t="shared" si="564"/>
        <v>0</v>
      </c>
      <c r="M707" s="414">
        <f t="shared" si="565"/>
        <v>0</v>
      </c>
      <c r="N707" s="329">
        <f t="shared" si="555"/>
        <v>0</v>
      </c>
      <c r="O707" s="35">
        <f t="shared" si="566"/>
        <v>26.676111110994825</v>
      </c>
      <c r="P707" s="414">
        <f t="shared" si="567"/>
        <v>0</v>
      </c>
      <c r="Q707" s="329">
        <f t="shared" si="556"/>
        <v>0</v>
      </c>
      <c r="R707" s="35">
        <f t="shared" si="568"/>
        <v>0</v>
      </c>
      <c r="S707" s="414">
        <f t="shared" si="569"/>
        <v>0</v>
      </c>
      <c r="T707" s="880">
        <f>[5]Sheet1!$B1122</f>
        <v>2.4657534246575337E-6</v>
      </c>
      <c r="U707" s="10">
        <f t="shared" si="570"/>
        <v>44484</v>
      </c>
      <c r="V707" s="276">
        <f t="shared" si="571"/>
        <v>2.9999999999999992E-4</v>
      </c>
    </row>
    <row r="708" spans="1:22" x14ac:dyDescent="0.25">
      <c r="A708" s="335">
        <f t="shared" si="557"/>
        <v>44487</v>
      </c>
      <c r="B708" s="329">
        <f t="shared" si="551"/>
        <v>0</v>
      </c>
      <c r="C708" s="338">
        <f t="shared" si="558"/>
        <v>1063885.3499999996</v>
      </c>
      <c r="D708" s="414">
        <f t="shared" si="559"/>
        <v>2.62</v>
      </c>
      <c r="E708" s="49">
        <f t="shared" si="552"/>
        <v>0</v>
      </c>
      <c r="F708" s="35">
        <f t="shared" si="560"/>
        <v>0</v>
      </c>
      <c r="G708" s="414">
        <f t="shared" si="561"/>
        <v>0</v>
      </c>
      <c r="H708" s="49">
        <f t="shared" si="553"/>
        <v>-147.190000000141</v>
      </c>
      <c r="I708" s="35">
        <f t="shared" si="562"/>
        <v>64793.14</v>
      </c>
      <c r="J708" s="414">
        <f t="shared" si="563"/>
        <v>0.16</v>
      </c>
      <c r="K708" s="329">
        <f t="shared" si="554"/>
        <v>0</v>
      </c>
      <c r="L708" s="35">
        <f t="shared" si="564"/>
        <v>0</v>
      </c>
      <c r="M708" s="414">
        <f t="shared" si="565"/>
        <v>0</v>
      </c>
      <c r="N708" s="329">
        <f t="shared" si="555"/>
        <v>0</v>
      </c>
      <c r="O708" s="35">
        <f t="shared" si="566"/>
        <v>26.676111110994825</v>
      </c>
      <c r="P708" s="414">
        <f t="shared" si="567"/>
        <v>0</v>
      </c>
      <c r="Q708" s="329">
        <f t="shared" si="556"/>
        <v>0</v>
      </c>
      <c r="R708" s="35">
        <f t="shared" si="568"/>
        <v>0</v>
      </c>
      <c r="S708" s="414">
        <f t="shared" si="569"/>
        <v>0</v>
      </c>
      <c r="T708" s="880">
        <f>[5]Sheet1!$B1123</f>
        <v>8.2191780821917796E-7</v>
      </c>
      <c r="U708" s="10">
        <f t="shared" si="570"/>
        <v>44487</v>
      </c>
      <c r="V708" s="276">
        <f t="shared" si="571"/>
        <v>2.9999999999999997E-4</v>
      </c>
    </row>
    <row r="709" spans="1:22" x14ac:dyDescent="0.25">
      <c r="A709" s="335">
        <f t="shared" si="557"/>
        <v>44488</v>
      </c>
      <c r="B709" s="329">
        <f t="shared" si="551"/>
        <v>-90850.43</v>
      </c>
      <c r="C709" s="338">
        <f t="shared" si="558"/>
        <v>973034.91999999969</v>
      </c>
      <c r="D709" s="414">
        <f t="shared" si="559"/>
        <v>0.87</v>
      </c>
      <c r="E709" s="49">
        <f t="shared" si="552"/>
        <v>0</v>
      </c>
      <c r="F709" s="35">
        <f t="shared" si="560"/>
        <v>0</v>
      </c>
      <c r="G709" s="414">
        <f t="shared" si="561"/>
        <v>0</v>
      </c>
      <c r="H709" s="49">
        <f t="shared" si="553"/>
        <v>0</v>
      </c>
      <c r="I709" s="35">
        <f t="shared" si="562"/>
        <v>64793.14</v>
      </c>
      <c r="J709" s="414">
        <f t="shared" si="563"/>
        <v>0.05</v>
      </c>
      <c r="K709" s="329">
        <f t="shared" si="554"/>
        <v>0</v>
      </c>
      <c r="L709" s="35">
        <f t="shared" si="564"/>
        <v>0</v>
      </c>
      <c r="M709" s="414">
        <f t="shared" si="565"/>
        <v>0</v>
      </c>
      <c r="N709" s="329">
        <f t="shared" si="555"/>
        <v>0</v>
      </c>
      <c r="O709" s="35">
        <f t="shared" si="566"/>
        <v>26.676111110994825</v>
      </c>
      <c r="P709" s="414">
        <f t="shared" si="567"/>
        <v>0</v>
      </c>
      <c r="Q709" s="329">
        <f t="shared" si="556"/>
        <v>0</v>
      </c>
      <c r="R709" s="35">
        <f t="shared" si="568"/>
        <v>0</v>
      </c>
      <c r="S709" s="414">
        <f t="shared" si="569"/>
        <v>0</v>
      </c>
      <c r="T709" s="880">
        <f>[5]Sheet1!$B1124</f>
        <v>8.2191780821917796E-7</v>
      </c>
      <c r="U709" s="10">
        <f t="shared" si="570"/>
        <v>44488</v>
      </c>
      <c r="V709" s="276">
        <f t="shared" si="571"/>
        <v>2.9999999999999997E-4</v>
      </c>
    </row>
    <row r="710" spans="1:22" x14ac:dyDescent="0.25">
      <c r="A710" s="335">
        <f t="shared" si="557"/>
        <v>44489</v>
      </c>
      <c r="B710" s="329">
        <f t="shared" si="551"/>
        <v>-6973.75</v>
      </c>
      <c r="C710" s="338">
        <f t="shared" si="558"/>
        <v>966061.16999999969</v>
      </c>
      <c r="D710" s="414">
        <f t="shared" si="559"/>
        <v>0.8</v>
      </c>
      <c r="E710" s="49">
        <f t="shared" si="552"/>
        <v>0</v>
      </c>
      <c r="F710" s="35">
        <f t="shared" si="560"/>
        <v>0</v>
      </c>
      <c r="G710" s="414">
        <f t="shared" si="561"/>
        <v>0</v>
      </c>
      <c r="H710" s="49">
        <f t="shared" si="553"/>
        <v>0</v>
      </c>
      <c r="I710" s="35">
        <f t="shared" si="562"/>
        <v>64793.14</v>
      </c>
      <c r="J710" s="414">
        <f t="shared" si="563"/>
        <v>0.05</v>
      </c>
      <c r="K710" s="329">
        <f t="shared" si="554"/>
        <v>0</v>
      </c>
      <c r="L710" s="35">
        <f t="shared" si="564"/>
        <v>0</v>
      </c>
      <c r="M710" s="414">
        <f t="shared" si="565"/>
        <v>0</v>
      </c>
      <c r="N710" s="329">
        <f t="shared" si="555"/>
        <v>0</v>
      </c>
      <c r="O710" s="35">
        <f t="shared" si="566"/>
        <v>26.676111110994825</v>
      </c>
      <c r="P710" s="414">
        <f t="shared" si="567"/>
        <v>0</v>
      </c>
      <c r="Q710" s="329">
        <f t="shared" si="556"/>
        <v>0</v>
      </c>
      <c r="R710" s="35">
        <f t="shared" si="568"/>
        <v>0</v>
      </c>
      <c r="S710" s="414">
        <f t="shared" si="569"/>
        <v>0</v>
      </c>
      <c r="T710" s="880">
        <f>[5]Sheet1!$B1125</f>
        <v>8.2191780821917796E-7</v>
      </c>
      <c r="U710" s="10">
        <f t="shared" si="570"/>
        <v>44489</v>
      </c>
      <c r="V710" s="276">
        <f t="shared" si="571"/>
        <v>2.9999999999999997E-4</v>
      </c>
    </row>
    <row r="711" spans="1:22" x14ac:dyDescent="0.25">
      <c r="A711" s="335">
        <f t="shared" si="557"/>
        <v>44490</v>
      </c>
      <c r="B711" s="329">
        <f t="shared" ref="B711:B774" si="572">-SUMIFS(CF_Main,CF_Dates,$A711,CF_Descriptions,"MM Sweep")</f>
        <v>0</v>
      </c>
      <c r="C711" s="338">
        <f t="shared" si="558"/>
        <v>966061.16999999969</v>
      </c>
      <c r="D711" s="414">
        <f t="shared" si="559"/>
        <v>0.79</v>
      </c>
      <c r="E711" s="49">
        <f t="shared" ref="E711:E774" si="573">-SUMIFS(CF_Main_EUR,CF_Dates,$A711,CF_Descriptions,"MM Sweep")</f>
        <v>0</v>
      </c>
      <c r="F711" s="35">
        <f t="shared" si="560"/>
        <v>0</v>
      </c>
      <c r="G711" s="414">
        <f t="shared" si="561"/>
        <v>0</v>
      </c>
      <c r="H711" s="49">
        <f t="shared" ref="H711:H774" si="574">-SUMIFS(CF_Expenses,CF_Dates,$A711,CF_Descriptions,"MM Sweep")</f>
        <v>0</v>
      </c>
      <c r="I711" s="35">
        <f t="shared" si="562"/>
        <v>64793.14</v>
      </c>
      <c r="J711" s="414">
        <f t="shared" si="563"/>
        <v>0.05</v>
      </c>
      <c r="K711" s="329">
        <f t="shared" ref="K711:K774" si="575">-SUMIFS(CF_Margin,CF_Dates,$A711,CF_Descriptions,"MM Sweep")</f>
        <v>0</v>
      </c>
      <c r="L711" s="35">
        <f t="shared" si="564"/>
        <v>0</v>
      </c>
      <c r="M711" s="414">
        <f t="shared" si="565"/>
        <v>0</v>
      </c>
      <c r="N711" s="329">
        <f t="shared" ref="N711:N774" si="576">-SUMIFS(CF_Mgmt,CF_Dates,$A711,CF_Descriptions,"MM Sweep")</f>
        <v>0</v>
      </c>
      <c r="O711" s="35">
        <f t="shared" si="566"/>
        <v>26.676111110994825</v>
      </c>
      <c r="P711" s="414">
        <f t="shared" si="567"/>
        <v>0</v>
      </c>
      <c r="Q711" s="329">
        <f t="shared" ref="Q711:Q774" si="577">-SUMIFS(CF_SubRedemp,CF_Dates,$A711,CF_Descriptions,"MM Sweep")</f>
        <v>0</v>
      </c>
      <c r="R711" s="35">
        <f t="shared" si="568"/>
        <v>0</v>
      </c>
      <c r="S711" s="414">
        <f t="shared" si="569"/>
        <v>0</v>
      </c>
      <c r="T711" s="880">
        <f>[5]Sheet1!$B1126</f>
        <v>8.2191780821917796E-7</v>
      </c>
      <c r="U711" s="10">
        <f t="shared" si="570"/>
        <v>44490</v>
      </c>
      <c r="V711" s="276">
        <f t="shared" si="571"/>
        <v>2.9999999999999997E-4</v>
      </c>
    </row>
    <row r="712" spans="1:22" x14ac:dyDescent="0.25">
      <c r="A712" s="335">
        <f t="shared" si="557"/>
        <v>44491</v>
      </c>
      <c r="B712" s="329">
        <f t="shared" si="572"/>
        <v>0</v>
      </c>
      <c r="C712" s="338">
        <f t="shared" si="558"/>
        <v>966061.16999999969</v>
      </c>
      <c r="D712" s="414">
        <f t="shared" si="559"/>
        <v>0.79</v>
      </c>
      <c r="E712" s="49">
        <f t="shared" si="573"/>
        <v>0</v>
      </c>
      <c r="F712" s="35">
        <f t="shared" si="560"/>
        <v>0</v>
      </c>
      <c r="G712" s="414">
        <f t="shared" si="561"/>
        <v>0</v>
      </c>
      <c r="H712" s="49">
        <f t="shared" si="574"/>
        <v>0</v>
      </c>
      <c r="I712" s="35">
        <f t="shared" si="562"/>
        <v>64793.14</v>
      </c>
      <c r="J712" s="414">
        <f t="shared" si="563"/>
        <v>0.05</v>
      </c>
      <c r="K712" s="329">
        <f t="shared" si="575"/>
        <v>0</v>
      </c>
      <c r="L712" s="35">
        <f t="shared" si="564"/>
        <v>0</v>
      </c>
      <c r="M712" s="414">
        <f t="shared" si="565"/>
        <v>0</v>
      </c>
      <c r="N712" s="329">
        <f t="shared" si="576"/>
        <v>0</v>
      </c>
      <c r="O712" s="35">
        <f t="shared" si="566"/>
        <v>26.676111110994825</v>
      </c>
      <c r="P712" s="414">
        <f t="shared" si="567"/>
        <v>0</v>
      </c>
      <c r="Q712" s="329">
        <f t="shared" si="577"/>
        <v>0</v>
      </c>
      <c r="R712" s="35">
        <f t="shared" si="568"/>
        <v>0</v>
      </c>
      <c r="S712" s="414">
        <f t="shared" si="569"/>
        <v>0</v>
      </c>
      <c r="T712" s="880">
        <f>[5]Sheet1!$B1127</f>
        <v>2.4657534246575337E-6</v>
      </c>
      <c r="U712" s="10">
        <f t="shared" si="570"/>
        <v>44491</v>
      </c>
      <c r="V712" s="276">
        <f t="shared" si="571"/>
        <v>2.9999999999999992E-4</v>
      </c>
    </row>
    <row r="713" spans="1:22" x14ac:dyDescent="0.25">
      <c r="A713" s="335">
        <f t="shared" si="557"/>
        <v>44494</v>
      </c>
      <c r="B713" s="329">
        <f t="shared" si="572"/>
        <v>0</v>
      </c>
      <c r="C713" s="338">
        <f t="shared" si="558"/>
        <v>966061.16999999969</v>
      </c>
      <c r="D713" s="414">
        <f t="shared" si="559"/>
        <v>2.38</v>
      </c>
      <c r="E713" s="49">
        <f t="shared" si="573"/>
        <v>0</v>
      </c>
      <c r="F713" s="35">
        <f t="shared" si="560"/>
        <v>0</v>
      </c>
      <c r="G713" s="414">
        <f t="shared" si="561"/>
        <v>0</v>
      </c>
      <c r="H713" s="49">
        <f t="shared" si="574"/>
        <v>0</v>
      </c>
      <c r="I713" s="35">
        <f t="shared" si="562"/>
        <v>64793.14</v>
      </c>
      <c r="J713" s="414">
        <f t="shared" si="563"/>
        <v>0.16</v>
      </c>
      <c r="K713" s="329">
        <f t="shared" si="575"/>
        <v>0</v>
      </c>
      <c r="L713" s="35">
        <f t="shared" si="564"/>
        <v>0</v>
      </c>
      <c r="M713" s="414">
        <f t="shared" si="565"/>
        <v>0</v>
      </c>
      <c r="N713" s="329">
        <f t="shared" si="576"/>
        <v>0</v>
      </c>
      <c r="O713" s="35">
        <f t="shared" si="566"/>
        <v>26.676111110994825</v>
      </c>
      <c r="P713" s="414">
        <f t="shared" si="567"/>
        <v>0</v>
      </c>
      <c r="Q713" s="329">
        <f t="shared" si="577"/>
        <v>0</v>
      </c>
      <c r="R713" s="35">
        <f t="shared" si="568"/>
        <v>0</v>
      </c>
      <c r="S713" s="414">
        <f t="shared" si="569"/>
        <v>0</v>
      </c>
      <c r="T713" s="880">
        <f>[5]Sheet1!$B1128</f>
        <v>8.2191780821917796E-7</v>
      </c>
      <c r="U713" s="10">
        <f t="shared" si="570"/>
        <v>44494</v>
      </c>
      <c r="V713" s="276">
        <f t="shared" si="571"/>
        <v>2.9999999999999997E-4</v>
      </c>
    </row>
    <row r="714" spans="1:22" x14ac:dyDescent="0.25">
      <c r="A714" s="335">
        <f t="shared" si="557"/>
        <v>44495</v>
      </c>
      <c r="B714" s="329">
        <f t="shared" si="572"/>
        <v>0</v>
      </c>
      <c r="C714" s="338">
        <f t="shared" si="558"/>
        <v>966061.16999999969</v>
      </c>
      <c r="D714" s="414">
        <f t="shared" si="559"/>
        <v>0.79</v>
      </c>
      <c r="E714" s="49">
        <f t="shared" si="573"/>
        <v>0</v>
      </c>
      <c r="F714" s="35">
        <f t="shared" si="560"/>
        <v>0</v>
      </c>
      <c r="G714" s="414">
        <f t="shared" si="561"/>
        <v>0</v>
      </c>
      <c r="H714" s="49">
        <f t="shared" si="574"/>
        <v>0</v>
      </c>
      <c r="I714" s="35">
        <f t="shared" si="562"/>
        <v>64793.14</v>
      </c>
      <c r="J714" s="414">
        <f t="shared" si="563"/>
        <v>0.05</v>
      </c>
      <c r="K714" s="329">
        <f t="shared" si="575"/>
        <v>0</v>
      </c>
      <c r="L714" s="35">
        <f t="shared" si="564"/>
        <v>0</v>
      </c>
      <c r="M714" s="414">
        <f t="shared" si="565"/>
        <v>0</v>
      </c>
      <c r="N714" s="329">
        <f t="shared" si="576"/>
        <v>0</v>
      </c>
      <c r="O714" s="35">
        <f t="shared" si="566"/>
        <v>26.676111110994825</v>
      </c>
      <c r="P714" s="414">
        <f t="shared" si="567"/>
        <v>0</v>
      </c>
      <c r="Q714" s="329">
        <f t="shared" si="577"/>
        <v>0</v>
      </c>
      <c r="R714" s="35">
        <f t="shared" si="568"/>
        <v>0</v>
      </c>
      <c r="S714" s="414">
        <f t="shared" si="569"/>
        <v>0</v>
      </c>
      <c r="T714" s="880">
        <f>[5]Sheet1!$B1129</f>
        <v>8.2191780821917796E-7</v>
      </c>
      <c r="U714" s="10">
        <f t="shared" si="570"/>
        <v>44495</v>
      </c>
      <c r="V714" s="276">
        <f t="shared" si="571"/>
        <v>2.9999999999999997E-4</v>
      </c>
    </row>
    <row r="715" spans="1:22" x14ac:dyDescent="0.25">
      <c r="A715" s="335">
        <f t="shared" si="557"/>
        <v>44496</v>
      </c>
      <c r="B715" s="329">
        <f t="shared" si="572"/>
        <v>0</v>
      </c>
      <c r="C715" s="338">
        <f t="shared" si="558"/>
        <v>966061.16999999969</v>
      </c>
      <c r="D715" s="414">
        <f t="shared" si="559"/>
        <v>0.79</v>
      </c>
      <c r="E715" s="49">
        <f t="shared" si="573"/>
        <v>0</v>
      </c>
      <c r="F715" s="35">
        <f t="shared" si="560"/>
        <v>0</v>
      </c>
      <c r="G715" s="414">
        <f t="shared" si="561"/>
        <v>0</v>
      </c>
      <c r="H715" s="49">
        <f t="shared" si="574"/>
        <v>0</v>
      </c>
      <c r="I715" s="35">
        <f t="shared" si="562"/>
        <v>64793.14</v>
      </c>
      <c r="J715" s="414">
        <f t="shared" si="563"/>
        <v>0.05</v>
      </c>
      <c r="K715" s="329">
        <f t="shared" si="575"/>
        <v>0</v>
      </c>
      <c r="L715" s="35">
        <f t="shared" si="564"/>
        <v>0</v>
      </c>
      <c r="M715" s="414">
        <f t="shared" si="565"/>
        <v>0</v>
      </c>
      <c r="N715" s="329">
        <f t="shared" si="576"/>
        <v>0</v>
      </c>
      <c r="O715" s="35">
        <f t="shared" si="566"/>
        <v>26.676111110994825</v>
      </c>
      <c r="P715" s="414">
        <f t="shared" si="567"/>
        <v>0</v>
      </c>
      <c r="Q715" s="329">
        <f t="shared" si="577"/>
        <v>0</v>
      </c>
      <c r="R715" s="35">
        <f t="shared" si="568"/>
        <v>0</v>
      </c>
      <c r="S715" s="414">
        <f t="shared" si="569"/>
        <v>0</v>
      </c>
      <c r="T715" s="880">
        <f>[5]Sheet1!$B1130</f>
        <v>8.2191780821917796E-7</v>
      </c>
      <c r="U715" s="10">
        <f t="shared" si="570"/>
        <v>44496</v>
      </c>
      <c r="V715" s="276">
        <f t="shared" si="571"/>
        <v>2.9999999999999997E-4</v>
      </c>
    </row>
    <row r="716" spans="1:22" x14ac:dyDescent="0.25">
      <c r="A716" s="335">
        <f t="shared" si="557"/>
        <v>44497</v>
      </c>
      <c r="B716" s="329">
        <f t="shared" si="572"/>
        <v>0</v>
      </c>
      <c r="C716" s="338">
        <f t="shared" si="558"/>
        <v>966061.16999999969</v>
      </c>
      <c r="D716" s="414">
        <f t="shared" si="559"/>
        <v>0.79</v>
      </c>
      <c r="E716" s="49">
        <f t="shared" si="573"/>
        <v>0</v>
      </c>
      <c r="F716" s="35">
        <f t="shared" si="560"/>
        <v>0</v>
      </c>
      <c r="G716" s="414">
        <f t="shared" si="561"/>
        <v>0</v>
      </c>
      <c r="H716" s="49">
        <f t="shared" si="574"/>
        <v>0</v>
      </c>
      <c r="I716" s="35">
        <f t="shared" si="562"/>
        <v>64793.14</v>
      </c>
      <c r="J716" s="414">
        <f t="shared" si="563"/>
        <v>0.05</v>
      </c>
      <c r="K716" s="329">
        <f t="shared" si="575"/>
        <v>0</v>
      </c>
      <c r="L716" s="35">
        <f t="shared" si="564"/>
        <v>0</v>
      </c>
      <c r="M716" s="414">
        <f t="shared" si="565"/>
        <v>0</v>
      </c>
      <c r="N716" s="329">
        <f t="shared" si="576"/>
        <v>0</v>
      </c>
      <c r="O716" s="35">
        <f t="shared" si="566"/>
        <v>26.676111110994825</v>
      </c>
      <c r="P716" s="414">
        <f t="shared" si="567"/>
        <v>0</v>
      </c>
      <c r="Q716" s="329">
        <f t="shared" si="577"/>
        <v>0</v>
      </c>
      <c r="R716" s="35">
        <f t="shared" si="568"/>
        <v>0</v>
      </c>
      <c r="S716" s="414">
        <f t="shared" si="569"/>
        <v>0</v>
      </c>
      <c r="T716" s="880">
        <f>[5]Sheet1!$B1131</f>
        <v>8.2191780821917796E-7</v>
      </c>
      <c r="U716" s="10">
        <f t="shared" si="570"/>
        <v>44497</v>
      </c>
      <c r="V716" s="276">
        <f t="shared" si="571"/>
        <v>2.9999999999999997E-4</v>
      </c>
    </row>
    <row r="717" spans="1:22" x14ac:dyDescent="0.25">
      <c r="A717" s="335">
        <f t="shared" si="557"/>
        <v>44498</v>
      </c>
      <c r="B717" s="329">
        <f t="shared" si="572"/>
        <v>0</v>
      </c>
      <c r="C717" s="338">
        <f t="shared" si="558"/>
        <v>966061.16999999969</v>
      </c>
      <c r="D717" s="414">
        <f t="shared" si="559"/>
        <v>0.79</v>
      </c>
      <c r="E717" s="49">
        <f t="shared" si="573"/>
        <v>0</v>
      </c>
      <c r="F717" s="35">
        <f t="shared" si="560"/>
        <v>0</v>
      </c>
      <c r="G717" s="414">
        <f t="shared" si="561"/>
        <v>0</v>
      </c>
      <c r="H717" s="49">
        <f t="shared" si="574"/>
        <v>0</v>
      </c>
      <c r="I717" s="35">
        <f t="shared" si="562"/>
        <v>64793.14</v>
      </c>
      <c r="J717" s="414">
        <f t="shared" si="563"/>
        <v>0.05</v>
      </c>
      <c r="K717" s="329">
        <f t="shared" si="575"/>
        <v>0</v>
      </c>
      <c r="L717" s="35">
        <f t="shared" si="564"/>
        <v>0</v>
      </c>
      <c r="M717" s="414">
        <f t="shared" si="565"/>
        <v>0</v>
      </c>
      <c r="N717" s="329">
        <f t="shared" si="576"/>
        <v>0</v>
      </c>
      <c r="O717" s="35">
        <f t="shared" si="566"/>
        <v>26.676111110994825</v>
      </c>
      <c r="P717" s="414">
        <f t="shared" si="567"/>
        <v>0</v>
      </c>
      <c r="Q717" s="329">
        <f t="shared" si="577"/>
        <v>0</v>
      </c>
      <c r="R717" s="35">
        <f t="shared" si="568"/>
        <v>0</v>
      </c>
      <c r="S717" s="414">
        <f t="shared" si="569"/>
        <v>0</v>
      </c>
      <c r="T717" s="880">
        <f>[5]Sheet1!$B1132</f>
        <v>1.6438356164383599E-6</v>
      </c>
      <c r="U717" s="10">
        <f t="shared" si="570"/>
        <v>44498</v>
      </c>
      <c r="V717" s="276">
        <f t="shared" si="571"/>
        <v>3.0000000000000068E-4</v>
      </c>
    </row>
    <row r="718" spans="1:22" x14ac:dyDescent="0.25">
      <c r="A718" s="1069">
        <v>44500</v>
      </c>
      <c r="B718" s="329">
        <f t="shared" si="572"/>
        <v>0</v>
      </c>
      <c r="C718" s="338">
        <f t="shared" si="558"/>
        <v>966061.16999999969</v>
      </c>
      <c r="D718" s="414">
        <f t="shared" si="559"/>
        <v>1.59</v>
      </c>
      <c r="E718" s="49">
        <f t="shared" si="573"/>
        <v>0</v>
      </c>
      <c r="F718" s="35">
        <f t="shared" si="560"/>
        <v>0</v>
      </c>
      <c r="G718" s="414">
        <f t="shared" si="561"/>
        <v>0</v>
      </c>
      <c r="H718" s="49">
        <f t="shared" si="574"/>
        <v>0</v>
      </c>
      <c r="I718" s="35">
        <f t="shared" si="562"/>
        <v>64793.14</v>
      </c>
      <c r="J718" s="414">
        <f t="shared" si="563"/>
        <v>0.11</v>
      </c>
      <c r="K718" s="329">
        <f t="shared" si="575"/>
        <v>0</v>
      </c>
      <c r="L718" s="35">
        <f t="shared" si="564"/>
        <v>0</v>
      </c>
      <c r="M718" s="414">
        <f t="shared" si="565"/>
        <v>0</v>
      </c>
      <c r="N718" s="329">
        <f t="shared" si="576"/>
        <v>0</v>
      </c>
      <c r="O718" s="35">
        <f t="shared" si="566"/>
        <v>26.676111110994825</v>
      </c>
      <c r="P718" s="414">
        <f t="shared" si="567"/>
        <v>0</v>
      </c>
      <c r="Q718" s="329">
        <f t="shared" si="577"/>
        <v>0</v>
      </c>
      <c r="R718" s="35">
        <f t="shared" si="568"/>
        <v>0</v>
      </c>
      <c r="S718" s="414">
        <f t="shared" si="569"/>
        <v>0</v>
      </c>
      <c r="T718" s="880">
        <f>[5]Sheet1!$B1133</f>
        <v>8.2191780821917796E-7</v>
      </c>
      <c r="U718" s="10">
        <f t="shared" si="570"/>
        <v>44500</v>
      </c>
      <c r="V718" s="276">
        <f t="shared" si="571"/>
        <v>2.9999999999999997E-4</v>
      </c>
    </row>
    <row r="719" spans="1:22" x14ac:dyDescent="0.25">
      <c r="A719" s="335">
        <f t="shared" ref="A719:A782" si="578">WORKDAY(A718,1,Holidays)</f>
        <v>44501</v>
      </c>
      <c r="B719" s="329">
        <f t="shared" si="572"/>
        <v>1724521.26</v>
      </c>
      <c r="C719" s="338">
        <f t="shared" si="558"/>
        <v>2690582.4299999997</v>
      </c>
      <c r="D719" s="414">
        <f t="shared" si="559"/>
        <v>0.79</v>
      </c>
      <c r="E719" s="49">
        <f t="shared" si="573"/>
        <v>0</v>
      </c>
      <c r="F719" s="35">
        <f t="shared" si="560"/>
        <v>0</v>
      </c>
      <c r="G719" s="414">
        <f t="shared" si="561"/>
        <v>0</v>
      </c>
      <c r="H719" s="49">
        <f t="shared" si="574"/>
        <v>0</v>
      </c>
      <c r="I719" s="35">
        <f t="shared" si="562"/>
        <v>64793.14</v>
      </c>
      <c r="J719" s="414">
        <f t="shared" si="563"/>
        <v>0.05</v>
      </c>
      <c r="K719" s="329">
        <f t="shared" si="575"/>
        <v>0</v>
      </c>
      <c r="L719" s="35">
        <f t="shared" si="564"/>
        <v>0</v>
      </c>
      <c r="M719" s="414">
        <f t="shared" si="565"/>
        <v>0</v>
      </c>
      <c r="N719" s="329">
        <f t="shared" si="576"/>
        <v>0</v>
      </c>
      <c r="O719" s="35">
        <f t="shared" si="566"/>
        <v>26.676111110994825</v>
      </c>
      <c r="P719" s="414">
        <f t="shared" si="567"/>
        <v>0</v>
      </c>
      <c r="Q719" s="329">
        <f t="shared" si="577"/>
        <v>0</v>
      </c>
      <c r="R719" s="35">
        <f t="shared" si="568"/>
        <v>0</v>
      </c>
      <c r="S719" s="414">
        <f t="shared" si="569"/>
        <v>0</v>
      </c>
      <c r="T719" s="880">
        <f>[5]Sheet1!$B1134</f>
        <v>8.2191780821917796E-7</v>
      </c>
      <c r="U719" s="10">
        <f t="shared" si="570"/>
        <v>44501</v>
      </c>
      <c r="V719" s="276">
        <f t="shared" si="571"/>
        <v>2.9999999999999997E-4</v>
      </c>
    </row>
    <row r="720" spans="1:22" x14ac:dyDescent="0.25">
      <c r="A720" s="335">
        <f t="shared" si="578"/>
        <v>44502</v>
      </c>
      <c r="B720" s="329">
        <f t="shared" si="572"/>
        <v>-9435.4699999999993</v>
      </c>
      <c r="C720" s="338">
        <f t="shared" si="558"/>
        <v>2681146.9599999995</v>
      </c>
      <c r="D720" s="414">
        <f t="shared" si="559"/>
        <v>2.21</v>
      </c>
      <c r="E720" s="49">
        <f t="shared" si="573"/>
        <v>0</v>
      </c>
      <c r="F720" s="35">
        <f t="shared" si="560"/>
        <v>0</v>
      </c>
      <c r="G720" s="414">
        <f t="shared" si="561"/>
        <v>0</v>
      </c>
      <c r="H720" s="49">
        <f t="shared" si="574"/>
        <v>1.6</v>
      </c>
      <c r="I720" s="35">
        <f t="shared" si="562"/>
        <v>64794.74</v>
      </c>
      <c r="J720" s="414">
        <f t="shared" si="563"/>
        <v>0.05</v>
      </c>
      <c r="K720" s="329">
        <f t="shared" si="575"/>
        <v>0</v>
      </c>
      <c r="L720" s="35">
        <f t="shared" si="564"/>
        <v>0</v>
      </c>
      <c r="M720" s="414">
        <f t="shared" si="565"/>
        <v>0</v>
      </c>
      <c r="N720" s="329">
        <f t="shared" si="576"/>
        <v>0</v>
      </c>
      <c r="O720" s="35">
        <f t="shared" si="566"/>
        <v>26.676111110994825</v>
      </c>
      <c r="P720" s="414">
        <f t="shared" si="567"/>
        <v>0</v>
      </c>
      <c r="Q720" s="329">
        <f t="shared" si="577"/>
        <v>0</v>
      </c>
      <c r="R720" s="35">
        <f t="shared" si="568"/>
        <v>0</v>
      </c>
      <c r="S720" s="414">
        <f t="shared" si="569"/>
        <v>0</v>
      </c>
      <c r="T720" s="880">
        <f>[5]Sheet1!$B1135</f>
        <v>8.2191780821917796E-7</v>
      </c>
      <c r="U720" s="10">
        <f t="shared" si="570"/>
        <v>44502</v>
      </c>
      <c r="V720" s="276">
        <f t="shared" si="571"/>
        <v>2.9999999999999997E-4</v>
      </c>
    </row>
    <row r="721" spans="1:22" x14ac:dyDescent="0.25">
      <c r="A721" s="335">
        <f t="shared" si="578"/>
        <v>44503</v>
      </c>
      <c r="B721" s="329">
        <f t="shared" si="572"/>
        <v>764615.63</v>
      </c>
      <c r="C721" s="338">
        <f t="shared" si="558"/>
        <v>3445762.5899999994</v>
      </c>
      <c r="D721" s="414">
        <f t="shared" si="559"/>
        <v>2.2000000000000002</v>
      </c>
      <c r="E721" s="49">
        <f t="shared" si="573"/>
        <v>0</v>
      </c>
      <c r="F721" s="35">
        <f t="shared" si="560"/>
        <v>0</v>
      </c>
      <c r="G721" s="414">
        <f t="shared" si="561"/>
        <v>0</v>
      </c>
      <c r="H721" s="49">
        <f t="shared" si="574"/>
        <v>0</v>
      </c>
      <c r="I721" s="35">
        <f t="shared" si="562"/>
        <v>64794.74</v>
      </c>
      <c r="J721" s="414">
        <f t="shared" si="563"/>
        <v>0.05</v>
      </c>
      <c r="K721" s="329">
        <f t="shared" si="575"/>
        <v>0</v>
      </c>
      <c r="L721" s="35">
        <f t="shared" si="564"/>
        <v>0</v>
      </c>
      <c r="M721" s="414">
        <f t="shared" si="565"/>
        <v>0</v>
      </c>
      <c r="N721" s="329">
        <f t="shared" si="576"/>
        <v>0</v>
      </c>
      <c r="O721" s="35">
        <f t="shared" si="566"/>
        <v>26.676111110994825</v>
      </c>
      <c r="P721" s="414">
        <f t="shared" si="567"/>
        <v>0</v>
      </c>
      <c r="Q721" s="329">
        <f t="shared" si="577"/>
        <v>0</v>
      </c>
      <c r="R721" s="35">
        <f t="shared" si="568"/>
        <v>0</v>
      </c>
      <c r="S721" s="414">
        <f t="shared" si="569"/>
        <v>0</v>
      </c>
      <c r="T721" s="880">
        <f>[5]Sheet1!$B1136</f>
        <v>8.2191780821917796E-7</v>
      </c>
      <c r="U721" s="10">
        <f t="shared" si="570"/>
        <v>44503</v>
      </c>
      <c r="V721" s="276">
        <f t="shared" si="571"/>
        <v>2.9999999999999997E-4</v>
      </c>
    </row>
    <row r="722" spans="1:22" x14ac:dyDescent="0.25">
      <c r="A722" s="335">
        <f t="shared" si="578"/>
        <v>44504</v>
      </c>
      <c r="B722" s="329">
        <f t="shared" si="572"/>
        <v>-787837.49</v>
      </c>
      <c r="C722" s="338">
        <f t="shared" si="558"/>
        <v>2657925.0999999996</v>
      </c>
      <c r="D722" s="414">
        <f t="shared" si="559"/>
        <v>2.83</v>
      </c>
      <c r="E722" s="49">
        <f t="shared" si="573"/>
        <v>0</v>
      </c>
      <c r="F722" s="35">
        <f t="shared" si="560"/>
        <v>0</v>
      </c>
      <c r="G722" s="414">
        <f t="shared" si="561"/>
        <v>0</v>
      </c>
      <c r="H722" s="49">
        <f t="shared" si="574"/>
        <v>0</v>
      </c>
      <c r="I722" s="35">
        <f t="shared" si="562"/>
        <v>64794.74</v>
      </c>
      <c r="J722" s="414">
        <f t="shared" si="563"/>
        <v>0.05</v>
      </c>
      <c r="K722" s="329">
        <f t="shared" si="575"/>
        <v>0</v>
      </c>
      <c r="L722" s="35">
        <f t="shared" si="564"/>
        <v>0</v>
      </c>
      <c r="M722" s="414">
        <f t="shared" si="565"/>
        <v>0</v>
      </c>
      <c r="N722" s="329">
        <f t="shared" si="576"/>
        <v>0</v>
      </c>
      <c r="O722" s="35">
        <f t="shared" si="566"/>
        <v>26.676111110994825</v>
      </c>
      <c r="P722" s="414">
        <f t="shared" si="567"/>
        <v>0</v>
      </c>
      <c r="Q722" s="329">
        <f t="shared" si="577"/>
        <v>0</v>
      </c>
      <c r="R722" s="35">
        <f t="shared" si="568"/>
        <v>0</v>
      </c>
      <c r="S722" s="414">
        <f t="shared" si="569"/>
        <v>0</v>
      </c>
      <c r="T722" s="880">
        <f>[5]Sheet1!$B1137</f>
        <v>8.2191780821917796E-7</v>
      </c>
      <c r="U722" s="10">
        <f t="shared" si="570"/>
        <v>44504</v>
      </c>
      <c r="V722" s="276">
        <f t="shared" si="571"/>
        <v>2.9999999999999997E-4</v>
      </c>
    </row>
    <row r="723" spans="1:22" x14ac:dyDescent="0.25">
      <c r="A723" s="335">
        <f t="shared" si="578"/>
        <v>44505</v>
      </c>
      <c r="B723" s="329">
        <f t="shared" si="572"/>
        <v>-19986.650000000001</v>
      </c>
      <c r="C723" s="338">
        <f t="shared" si="558"/>
        <v>2637938.4499999997</v>
      </c>
      <c r="D723" s="414">
        <f t="shared" si="559"/>
        <v>2.1800000000000002</v>
      </c>
      <c r="E723" s="49">
        <f t="shared" si="573"/>
        <v>0</v>
      </c>
      <c r="F723" s="35">
        <f t="shared" si="560"/>
        <v>0</v>
      </c>
      <c r="G723" s="414">
        <f t="shared" si="561"/>
        <v>0</v>
      </c>
      <c r="H723" s="49">
        <f t="shared" si="574"/>
        <v>0</v>
      </c>
      <c r="I723" s="35">
        <f t="shared" si="562"/>
        <v>64794.74</v>
      </c>
      <c r="J723" s="414">
        <f t="shared" si="563"/>
        <v>0.05</v>
      </c>
      <c r="K723" s="329">
        <f t="shared" si="575"/>
        <v>0</v>
      </c>
      <c r="L723" s="35">
        <f t="shared" si="564"/>
        <v>0</v>
      </c>
      <c r="M723" s="414">
        <f t="shared" si="565"/>
        <v>0</v>
      </c>
      <c r="N723" s="329">
        <f t="shared" si="576"/>
        <v>0</v>
      </c>
      <c r="O723" s="35">
        <f t="shared" si="566"/>
        <v>26.676111110994825</v>
      </c>
      <c r="P723" s="414">
        <f t="shared" si="567"/>
        <v>0</v>
      </c>
      <c r="Q723" s="329">
        <f t="shared" si="577"/>
        <v>0</v>
      </c>
      <c r="R723" s="35">
        <f t="shared" si="568"/>
        <v>0</v>
      </c>
      <c r="S723" s="414">
        <f t="shared" si="569"/>
        <v>0</v>
      </c>
      <c r="T723" s="880">
        <f>[5]Sheet1!$B1138</f>
        <v>2.4657534246575337E-6</v>
      </c>
      <c r="U723" s="10">
        <f t="shared" si="570"/>
        <v>44505</v>
      </c>
      <c r="V723" s="276">
        <f t="shared" si="571"/>
        <v>2.9999999999999992E-4</v>
      </c>
    </row>
    <row r="724" spans="1:22" x14ac:dyDescent="0.25">
      <c r="A724" s="335">
        <f t="shared" si="578"/>
        <v>44508</v>
      </c>
      <c r="B724" s="329">
        <f t="shared" si="572"/>
        <v>0</v>
      </c>
      <c r="C724" s="338">
        <f t="shared" si="558"/>
        <v>2637938.4499999997</v>
      </c>
      <c r="D724" s="414">
        <f t="shared" si="559"/>
        <v>6.5</v>
      </c>
      <c r="E724" s="49">
        <f t="shared" si="573"/>
        <v>0</v>
      </c>
      <c r="F724" s="35">
        <f t="shared" si="560"/>
        <v>0</v>
      </c>
      <c r="G724" s="414">
        <f t="shared" si="561"/>
        <v>0</v>
      </c>
      <c r="H724" s="49">
        <f t="shared" si="574"/>
        <v>0</v>
      </c>
      <c r="I724" s="35">
        <f t="shared" si="562"/>
        <v>64794.74</v>
      </c>
      <c r="J724" s="414">
        <f t="shared" si="563"/>
        <v>0.16</v>
      </c>
      <c r="K724" s="329">
        <f t="shared" si="575"/>
        <v>0</v>
      </c>
      <c r="L724" s="35">
        <f t="shared" si="564"/>
        <v>0</v>
      </c>
      <c r="M724" s="414">
        <f t="shared" si="565"/>
        <v>0</v>
      </c>
      <c r="N724" s="329">
        <f t="shared" si="576"/>
        <v>0</v>
      </c>
      <c r="O724" s="35">
        <f t="shared" si="566"/>
        <v>26.676111110994825</v>
      </c>
      <c r="P724" s="414">
        <f t="shared" si="567"/>
        <v>0</v>
      </c>
      <c r="Q724" s="329">
        <f t="shared" si="577"/>
        <v>0</v>
      </c>
      <c r="R724" s="35">
        <f t="shared" si="568"/>
        <v>0</v>
      </c>
      <c r="S724" s="414">
        <f t="shared" si="569"/>
        <v>0</v>
      </c>
      <c r="T724" s="880">
        <f>[5]Sheet1!$B1139</f>
        <v>8.2191780821917796E-7</v>
      </c>
      <c r="U724" s="10">
        <f t="shared" si="570"/>
        <v>44508</v>
      </c>
      <c r="V724" s="276">
        <f t="shared" si="571"/>
        <v>2.9999999999999997E-4</v>
      </c>
    </row>
    <row r="725" spans="1:22" x14ac:dyDescent="0.25">
      <c r="A725" s="335">
        <f t="shared" si="578"/>
        <v>44509</v>
      </c>
      <c r="B725" s="329">
        <f t="shared" si="572"/>
        <v>0</v>
      </c>
      <c r="C725" s="338">
        <f t="shared" si="558"/>
        <v>2637938.4499999997</v>
      </c>
      <c r="D725" s="414">
        <f t="shared" si="559"/>
        <v>2.17</v>
      </c>
      <c r="E725" s="49">
        <f t="shared" si="573"/>
        <v>0</v>
      </c>
      <c r="F725" s="35">
        <f t="shared" si="560"/>
        <v>0</v>
      </c>
      <c r="G725" s="414">
        <f t="shared" si="561"/>
        <v>0</v>
      </c>
      <c r="H725" s="49">
        <f t="shared" si="574"/>
        <v>0</v>
      </c>
      <c r="I725" s="35">
        <f t="shared" si="562"/>
        <v>64794.74</v>
      </c>
      <c r="J725" s="414">
        <f t="shared" si="563"/>
        <v>0.05</v>
      </c>
      <c r="K725" s="329">
        <f t="shared" si="575"/>
        <v>0</v>
      </c>
      <c r="L725" s="35">
        <f t="shared" si="564"/>
        <v>0</v>
      </c>
      <c r="M725" s="414">
        <f t="shared" si="565"/>
        <v>0</v>
      </c>
      <c r="N725" s="329">
        <f t="shared" si="576"/>
        <v>0</v>
      </c>
      <c r="O725" s="35">
        <f t="shared" si="566"/>
        <v>26.676111110994825</v>
      </c>
      <c r="P725" s="414">
        <f t="shared" si="567"/>
        <v>0</v>
      </c>
      <c r="Q725" s="329">
        <f t="shared" si="577"/>
        <v>0</v>
      </c>
      <c r="R725" s="35">
        <f t="shared" si="568"/>
        <v>0</v>
      </c>
      <c r="S725" s="414">
        <f t="shared" si="569"/>
        <v>0</v>
      </c>
      <c r="T725" s="880">
        <f>[5]Sheet1!$B1140</f>
        <v>8.2191780821917796E-7</v>
      </c>
      <c r="U725" s="10">
        <f t="shared" si="570"/>
        <v>44509</v>
      </c>
      <c r="V725" s="276">
        <f t="shared" si="571"/>
        <v>2.9999999999999997E-4</v>
      </c>
    </row>
    <row r="726" spans="1:22" x14ac:dyDescent="0.25">
      <c r="A726" s="1069">
        <f t="shared" si="578"/>
        <v>44510</v>
      </c>
      <c r="B726" s="329">
        <f t="shared" si="572"/>
        <v>0</v>
      </c>
      <c r="C726" s="338">
        <f t="shared" si="558"/>
        <v>2637938.4499999997</v>
      </c>
      <c r="D726" s="414">
        <f t="shared" si="559"/>
        <v>2.17</v>
      </c>
      <c r="E726" s="49">
        <f t="shared" si="573"/>
        <v>0</v>
      </c>
      <c r="F726" s="35">
        <f t="shared" si="560"/>
        <v>0</v>
      </c>
      <c r="G726" s="414">
        <f t="shared" si="561"/>
        <v>0</v>
      </c>
      <c r="H726" s="49">
        <f t="shared" si="574"/>
        <v>0</v>
      </c>
      <c r="I726" s="35">
        <f t="shared" si="562"/>
        <v>64794.74</v>
      </c>
      <c r="J726" s="414">
        <f t="shared" si="563"/>
        <v>0.05</v>
      </c>
      <c r="K726" s="329">
        <f t="shared" si="575"/>
        <v>0</v>
      </c>
      <c r="L726" s="35">
        <f t="shared" si="564"/>
        <v>0</v>
      </c>
      <c r="M726" s="414">
        <f t="shared" si="565"/>
        <v>0</v>
      </c>
      <c r="N726" s="329">
        <f t="shared" si="576"/>
        <v>0</v>
      </c>
      <c r="O726" s="35">
        <f t="shared" si="566"/>
        <v>26.676111110994825</v>
      </c>
      <c r="P726" s="414">
        <f t="shared" si="567"/>
        <v>0</v>
      </c>
      <c r="Q726" s="329">
        <f t="shared" si="577"/>
        <v>0</v>
      </c>
      <c r="R726" s="35">
        <f t="shared" si="568"/>
        <v>0</v>
      </c>
      <c r="S726" s="414">
        <f t="shared" si="569"/>
        <v>0</v>
      </c>
      <c r="T726" s="880">
        <f>[5]Sheet1!$B1141</f>
        <v>1.6438356164383559E-6</v>
      </c>
      <c r="U726" s="10">
        <f t="shared" si="570"/>
        <v>44510</v>
      </c>
      <c r="V726" s="276">
        <f t="shared" si="571"/>
        <v>2.9999999999999997E-4</v>
      </c>
    </row>
    <row r="727" spans="1:22" x14ac:dyDescent="0.25">
      <c r="A727" s="335">
        <f t="shared" si="578"/>
        <v>44512</v>
      </c>
      <c r="B727" s="329">
        <f t="shared" si="572"/>
        <v>0</v>
      </c>
      <c r="C727" s="338">
        <f t="shared" si="558"/>
        <v>2637938.4499999997</v>
      </c>
      <c r="D727" s="414">
        <f t="shared" si="559"/>
        <v>4.34</v>
      </c>
      <c r="E727" s="49">
        <f t="shared" si="573"/>
        <v>0</v>
      </c>
      <c r="F727" s="35">
        <f t="shared" si="560"/>
        <v>0</v>
      </c>
      <c r="G727" s="414">
        <f t="shared" si="561"/>
        <v>0</v>
      </c>
      <c r="H727" s="49">
        <f t="shared" si="574"/>
        <v>0</v>
      </c>
      <c r="I727" s="35">
        <f t="shared" si="562"/>
        <v>64794.74</v>
      </c>
      <c r="J727" s="414">
        <f t="shared" si="563"/>
        <v>0.11</v>
      </c>
      <c r="K727" s="329">
        <f t="shared" si="575"/>
        <v>0</v>
      </c>
      <c r="L727" s="35">
        <f t="shared" si="564"/>
        <v>0</v>
      </c>
      <c r="M727" s="414">
        <f t="shared" si="565"/>
        <v>0</v>
      </c>
      <c r="N727" s="329">
        <f t="shared" si="576"/>
        <v>0</v>
      </c>
      <c r="O727" s="35">
        <f t="shared" si="566"/>
        <v>26.676111110994825</v>
      </c>
      <c r="P727" s="414">
        <f t="shared" si="567"/>
        <v>0</v>
      </c>
      <c r="Q727" s="329">
        <f t="shared" si="577"/>
        <v>0</v>
      </c>
      <c r="R727" s="35">
        <f t="shared" si="568"/>
        <v>0</v>
      </c>
      <c r="S727" s="414">
        <f t="shared" si="569"/>
        <v>0</v>
      </c>
      <c r="T727" s="880">
        <f>[5]Sheet1!$B1142</f>
        <v>2.4657534246575337E-6</v>
      </c>
      <c r="U727" s="10">
        <f t="shared" si="570"/>
        <v>44512</v>
      </c>
      <c r="V727" s="276">
        <f t="shared" si="571"/>
        <v>2.9999999999999992E-4</v>
      </c>
    </row>
    <row r="728" spans="1:22" x14ac:dyDescent="0.25">
      <c r="A728" s="335">
        <f t="shared" si="578"/>
        <v>44515</v>
      </c>
      <c r="B728" s="329">
        <f t="shared" si="572"/>
        <v>12599.07</v>
      </c>
      <c r="C728" s="338">
        <f t="shared" si="558"/>
        <v>2650537.5199999996</v>
      </c>
      <c r="D728" s="414">
        <f t="shared" si="559"/>
        <v>6.5</v>
      </c>
      <c r="E728" s="49">
        <f t="shared" si="573"/>
        <v>0</v>
      </c>
      <c r="F728" s="35">
        <f t="shared" si="560"/>
        <v>0</v>
      </c>
      <c r="G728" s="414">
        <f t="shared" si="561"/>
        <v>0</v>
      </c>
      <c r="H728" s="49">
        <f t="shared" si="574"/>
        <v>0</v>
      </c>
      <c r="I728" s="35">
        <f t="shared" si="562"/>
        <v>64794.74</v>
      </c>
      <c r="J728" s="414">
        <f t="shared" si="563"/>
        <v>0.16</v>
      </c>
      <c r="K728" s="329">
        <f t="shared" si="575"/>
        <v>0</v>
      </c>
      <c r="L728" s="35">
        <f t="shared" si="564"/>
        <v>0</v>
      </c>
      <c r="M728" s="414">
        <f t="shared" si="565"/>
        <v>0</v>
      </c>
      <c r="N728" s="329">
        <f t="shared" si="576"/>
        <v>0</v>
      </c>
      <c r="O728" s="35">
        <f t="shared" si="566"/>
        <v>26.676111110994825</v>
      </c>
      <c r="P728" s="414">
        <f t="shared" si="567"/>
        <v>0</v>
      </c>
      <c r="Q728" s="329">
        <f t="shared" si="577"/>
        <v>0</v>
      </c>
      <c r="R728" s="35">
        <f t="shared" si="568"/>
        <v>0</v>
      </c>
      <c r="S728" s="414">
        <f t="shared" si="569"/>
        <v>0</v>
      </c>
      <c r="T728" s="880">
        <f>[5]Sheet1!$B1143</f>
        <v>8.2191780821917796E-7</v>
      </c>
      <c r="U728" s="10">
        <f t="shared" si="570"/>
        <v>44515</v>
      </c>
      <c r="V728" s="276">
        <f t="shared" si="571"/>
        <v>2.9999999999999997E-4</v>
      </c>
    </row>
    <row r="729" spans="1:22" x14ac:dyDescent="0.25">
      <c r="A729" s="335">
        <f t="shared" si="578"/>
        <v>44516</v>
      </c>
      <c r="B729" s="329">
        <f t="shared" si="572"/>
        <v>-109429.46</v>
      </c>
      <c r="C729" s="338">
        <f t="shared" si="558"/>
        <v>2541108.0599999996</v>
      </c>
      <c r="D729" s="414">
        <f t="shared" si="559"/>
        <v>2.1800000000000002</v>
      </c>
      <c r="E729" s="49">
        <f t="shared" si="573"/>
        <v>0</v>
      </c>
      <c r="F729" s="35">
        <f t="shared" si="560"/>
        <v>0</v>
      </c>
      <c r="G729" s="414">
        <f t="shared" si="561"/>
        <v>0</v>
      </c>
      <c r="H729" s="49">
        <f t="shared" si="574"/>
        <v>-7541.22</v>
      </c>
      <c r="I729" s="35">
        <f t="shared" si="562"/>
        <v>57253.52</v>
      </c>
      <c r="J729" s="414">
        <f t="shared" si="563"/>
        <v>0.05</v>
      </c>
      <c r="K729" s="329">
        <f t="shared" si="575"/>
        <v>0</v>
      </c>
      <c r="L729" s="35">
        <f t="shared" si="564"/>
        <v>0</v>
      </c>
      <c r="M729" s="414">
        <f t="shared" si="565"/>
        <v>0</v>
      </c>
      <c r="N729" s="329">
        <f t="shared" si="576"/>
        <v>0</v>
      </c>
      <c r="O729" s="35">
        <f t="shared" si="566"/>
        <v>26.676111110994825</v>
      </c>
      <c r="P729" s="414">
        <f t="shared" si="567"/>
        <v>0</v>
      </c>
      <c r="Q729" s="329">
        <f t="shared" si="577"/>
        <v>0</v>
      </c>
      <c r="R729" s="35">
        <f t="shared" si="568"/>
        <v>0</v>
      </c>
      <c r="S729" s="414">
        <f t="shared" si="569"/>
        <v>0</v>
      </c>
      <c r="T729" s="880">
        <f>[5]Sheet1!$B1144</f>
        <v>8.2191780821917796E-7</v>
      </c>
      <c r="U729" s="10">
        <f t="shared" si="570"/>
        <v>44516</v>
      </c>
      <c r="V729" s="276">
        <f t="shared" si="571"/>
        <v>2.9999999999999997E-4</v>
      </c>
    </row>
    <row r="730" spans="1:22" x14ac:dyDescent="0.25">
      <c r="A730" s="335">
        <f t="shared" si="578"/>
        <v>44517</v>
      </c>
      <c r="B730" s="329">
        <f t="shared" si="572"/>
        <v>0</v>
      </c>
      <c r="C730" s="338">
        <f t="shared" si="558"/>
        <v>2541108.0599999996</v>
      </c>
      <c r="D730" s="414">
        <f t="shared" si="559"/>
        <v>2.09</v>
      </c>
      <c r="E730" s="49">
        <f t="shared" si="573"/>
        <v>0</v>
      </c>
      <c r="F730" s="35">
        <f t="shared" si="560"/>
        <v>0</v>
      </c>
      <c r="G730" s="414">
        <f t="shared" si="561"/>
        <v>0</v>
      </c>
      <c r="H730" s="49">
        <f t="shared" si="574"/>
        <v>0</v>
      </c>
      <c r="I730" s="35">
        <f t="shared" si="562"/>
        <v>57253.52</v>
      </c>
      <c r="J730" s="414">
        <f t="shared" si="563"/>
        <v>0.05</v>
      </c>
      <c r="K730" s="329">
        <f t="shared" si="575"/>
        <v>0</v>
      </c>
      <c r="L730" s="35">
        <f t="shared" si="564"/>
        <v>0</v>
      </c>
      <c r="M730" s="414">
        <f t="shared" si="565"/>
        <v>0</v>
      </c>
      <c r="N730" s="329">
        <f t="shared" si="576"/>
        <v>0</v>
      </c>
      <c r="O730" s="35">
        <f t="shared" si="566"/>
        <v>26.676111110994825</v>
      </c>
      <c r="P730" s="414">
        <f t="shared" si="567"/>
        <v>0</v>
      </c>
      <c r="Q730" s="329">
        <f t="shared" si="577"/>
        <v>0</v>
      </c>
      <c r="R730" s="35">
        <f t="shared" si="568"/>
        <v>0</v>
      </c>
      <c r="S730" s="414">
        <f t="shared" si="569"/>
        <v>0</v>
      </c>
      <c r="T730" s="880">
        <f>[5]Sheet1!$B1145</f>
        <v>8.2191780821917796E-7</v>
      </c>
      <c r="U730" s="10">
        <f t="shared" si="570"/>
        <v>44517</v>
      </c>
      <c r="V730" s="276">
        <f t="shared" si="571"/>
        <v>2.9999999999999997E-4</v>
      </c>
    </row>
    <row r="731" spans="1:22" x14ac:dyDescent="0.25">
      <c r="A731" s="335">
        <f t="shared" si="578"/>
        <v>44518</v>
      </c>
      <c r="B731" s="329">
        <f t="shared" si="572"/>
        <v>0</v>
      </c>
      <c r="C731" s="338">
        <f t="shared" si="558"/>
        <v>2541108.0599999996</v>
      </c>
      <c r="D731" s="414">
        <f t="shared" si="559"/>
        <v>2.09</v>
      </c>
      <c r="E731" s="49">
        <f t="shared" si="573"/>
        <v>0</v>
      </c>
      <c r="F731" s="35">
        <f t="shared" si="560"/>
        <v>0</v>
      </c>
      <c r="G731" s="414">
        <f t="shared" si="561"/>
        <v>0</v>
      </c>
      <c r="H731" s="49">
        <f t="shared" si="574"/>
        <v>0</v>
      </c>
      <c r="I731" s="35">
        <f t="shared" si="562"/>
        <v>57253.52</v>
      </c>
      <c r="J731" s="414">
        <f t="shared" si="563"/>
        <v>0.05</v>
      </c>
      <c r="K731" s="329">
        <f t="shared" si="575"/>
        <v>0</v>
      </c>
      <c r="L731" s="35">
        <f t="shared" si="564"/>
        <v>0</v>
      </c>
      <c r="M731" s="414">
        <f t="shared" si="565"/>
        <v>0</v>
      </c>
      <c r="N731" s="329">
        <f t="shared" si="576"/>
        <v>0</v>
      </c>
      <c r="O731" s="35">
        <f t="shared" si="566"/>
        <v>26.676111110994825</v>
      </c>
      <c r="P731" s="414">
        <f t="shared" si="567"/>
        <v>0</v>
      </c>
      <c r="Q731" s="329">
        <f t="shared" si="577"/>
        <v>0</v>
      </c>
      <c r="R731" s="35">
        <f t="shared" si="568"/>
        <v>0</v>
      </c>
      <c r="S731" s="414">
        <f t="shared" si="569"/>
        <v>0</v>
      </c>
      <c r="T731" s="880">
        <f>[5]Sheet1!$B1146</f>
        <v>8.2191780821917796E-7</v>
      </c>
      <c r="U731" s="10">
        <f t="shared" si="570"/>
        <v>44518</v>
      </c>
      <c r="V731" s="276">
        <f t="shared" si="571"/>
        <v>2.9999999999999997E-4</v>
      </c>
    </row>
    <row r="732" spans="1:22" x14ac:dyDescent="0.25">
      <c r="A732" s="335">
        <f t="shared" si="578"/>
        <v>44519</v>
      </c>
      <c r="B732" s="329">
        <f t="shared" si="572"/>
        <v>0</v>
      </c>
      <c r="C732" s="338">
        <f t="shared" si="558"/>
        <v>2541108.0599999996</v>
      </c>
      <c r="D732" s="414">
        <f t="shared" si="559"/>
        <v>2.09</v>
      </c>
      <c r="E732" s="49">
        <f t="shared" si="573"/>
        <v>0</v>
      </c>
      <c r="F732" s="35">
        <f t="shared" si="560"/>
        <v>0</v>
      </c>
      <c r="G732" s="414">
        <f t="shared" si="561"/>
        <v>0</v>
      </c>
      <c r="H732" s="49">
        <f t="shared" si="574"/>
        <v>-147.38</v>
      </c>
      <c r="I732" s="35">
        <f t="shared" si="562"/>
        <v>57106.14</v>
      </c>
      <c r="J732" s="414">
        <f t="shared" si="563"/>
        <v>0.05</v>
      </c>
      <c r="K732" s="329">
        <f t="shared" si="575"/>
        <v>0</v>
      </c>
      <c r="L732" s="35">
        <f t="shared" si="564"/>
        <v>0</v>
      </c>
      <c r="M732" s="414">
        <f t="shared" si="565"/>
        <v>0</v>
      </c>
      <c r="N732" s="329">
        <f t="shared" si="576"/>
        <v>0</v>
      </c>
      <c r="O732" s="35">
        <f t="shared" si="566"/>
        <v>26.676111110994825</v>
      </c>
      <c r="P732" s="414">
        <f t="shared" si="567"/>
        <v>0</v>
      </c>
      <c r="Q732" s="329">
        <f t="shared" si="577"/>
        <v>0</v>
      </c>
      <c r="R732" s="35">
        <f t="shared" si="568"/>
        <v>0</v>
      </c>
      <c r="S732" s="414">
        <f t="shared" si="569"/>
        <v>0</v>
      </c>
      <c r="T732" s="880">
        <f>[5]Sheet1!$B1147</f>
        <v>2.4657534246575337E-6</v>
      </c>
      <c r="U732" s="10">
        <f t="shared" si="570"/>
        <v>44519</v>
      </c>
      <c r="V732" s="276">
        <f t="shared" si="571"/>
        <v>2.9999999999999992E-4</v>
      </c>
    </row>
    <row r="733" spans="1:22" x14ac:dyDescent="0.25">
      <c r="A733" s="335">
        <f t="shared" si="578"/>
        <v>44522</v>
      </c>
      <c r="B733" s="329">
        <f t="shared" si="572"/>
        <v>0</v>
      </c>
      <c r="C733" s="338">
        <f t="shared" si="558"/>
        <v>2541108.0599999996</v>
      </c>
      <c r="D733" s="414">
        <f t="shared" si="559"/>
        <v>6.27</v>
      </c>
      <c r="E733" s="49">
        <f t="shared" si="573"/>
        <v>0</v>
      </c>
      <c r="F733" s="35">
        <f t="shared" si="560"/>
        <v>0</v>
      </c>
      <c r="G733" s="414">
        <f t="shared" si="561"/>
        <v>0</v>
      </c>
      <c r="H733" s="49">
        <f t="shared" si="574"/>
        <v>0</v>
      </c>
      <c r="I733" s="35">
        <f t="shared" si="562"/>
        <v>57106.14</v>
      </c>
      <c r="J733" s="414">
        <f t="shared" si="563"/>
        <v>0.14000000000000001</v>
      </c>
      <c r="K733" s="329">
        <f t="shared" si="575"/>
        <v>0</v>
      </c>
      <c r="L733" s="35">
        <f t="shared" si="564"/>
        <v>0</v>
      </c>
      <c r="M733" s="414">
        <f t="shared" si="565"/>
        <v>0</v>
      </c>
      <c r="N733" s="329">
        <f t="shared" si="576"/>
        <v>0</v>
      </c>
      <c r="O733" s="35">
        <f t="shared" si="566"/>
        <v>26.676111110994825</v>
      </c>
      <c r="P733" s="414">
        <f t="shared" si="567"/>
        <v>0</v>
      </c>
      <c r="Q733" s="329">
        <f t="shared" si="577"/>
        <v>0</v>
      </c>
      <c r="R733" s="35">
        <f t="shared" si="568"/>
        <v>0</v>
      </c>
      <c r="S733" s="414">
        <f t="shared" si="569"/>
        <v>0</v>
      </c>
      <c r="T733" s="880">
        <f>[5]Sheet1!$B1148</f>
        <v>8.2191780821917796E-7</v>
      </c>
      <c r="U733" s="10">
        <f t="shared" si="570"/>
        <v>44522</v>
      </c>
      <c r="V733" s="276">
        <f t="shared" si="571"/>
        <v>2.9999999999999997E-4</v>
      </c>
    </row>
    <row r="734" spans="1:22" x14ac:dyDescent="0.25">
      <c r="A734" s="335">
        <f t="shared" si="578"/>
        <v>44523</v>
      </c>
      <c r="B734" s="329">
        <f t="shared" si="572"/>
        <v>0</v>
      </c>
      <c r="C734" s="338">
        <f t="shared" si="558"/>
        <v>2541108.0599999996</v>
      </c>
      <c r="D734" s="414">
        <f t="shared" si="559"/>
        <v>2.09</v>
      </c>
      <c r="E734" s="49">
        <f t="shared" si="573"/>
        <v>0</v>
      </c>
      <c r="F734" s="35">
        <f t="shared" si="560"/>
        <v>0</v>
      </c>
      <c r="G734" s="414">
        <f t="shared" si="561"/>
        <v>0</v>
      </c>
      <c r="H734" s="49">
        <f t="shared" si="574"/>
        <v>0</v>
      </c>
      <c r="I734" s="35">
        <f t="shared" si="562"/>
        <v>57106.14</v>
      </c>
      <c r="J734" s="414">
        <f t="shared" si="563"/>
        <v>0.05</v>
      </c>
      <c r="K734" s="329">
        <f t="shared" si="575"/>
        <v>0</v>
      </c>
      <c r="L734" s="35">
        <f t="shared" si="564"/>
        <v>0</v>
      </c>
      <c r="M734" s="414">
        <f t="shared" si="565"/>
        <v>0</v>
      </c>
      <c r="N734" s="329">
        <f t="shared" si="576"/>
        <v>0</v>
      </c>
      <c r="O734" s="35">
        <f t="shared" si="566"/>
        <v>26.676111110994825</v>
      </c>
      <c r="P734" s="414">
        <f t="shared" si="567"/>
        <v>0</v>
      </c>
      <c r="Q734" s="329">
        <f t="shared" si="577"/>
        <v>0</v>
      </c>
      <c r="R734" s="35">
        <f t="shared" si="568"/>
        <v>0</v>
      </c>
      <c r="S734" s="414">
        <f t="shared" si="569"/>
        <v>0</v>
      </c>
      <c r="T734" s="880">
        <f>[5]Sheet1!$B1149</f>
        <v>8.2191780821917796E-7</v>
      </c>
      <c r="U734" s="10">
        <f t="shared" si="570"/>
        <v>44523</v>
      </c>
      <c r="V734" s="276">
        <f t="shared" si="571"/>
        <v>2.9999999999999997E-4</v>
      </c>
    </row>
    <row r="735" spans="1:22" x14ac:dyDescent="0.25">
      <c r="A735" s="335">
        <f t="shared" si="578"/>
        <v>44524</v>
      </c>
      <c r="B735" s="329">
        <f t="shared" si="572"/>
        <v>24073.52</v>
      </c>
      <c r="C735" s="338">
        <f t="shared" si="558"/>
        <v>2565181.5799999996</v>
      </c>
      <c r="D735" s="414">
        <f t="shared" si="559"/>
        <v>2.09</v>
      </c>
      <c r="E735" s="49">
        <f t="shared" si="573"/>
        <v>0</v>
      </c>
      <c r="F735" s="35">
        <f t="shared" si="560"/>
        <v>0</v>
      </c>
      <c r="G735" s="414">
        <f t="shared" si="561"/>
        <v>0</v>
      </c>
      <c r="H735" s="49">
        <f t="shared" si="574"/>
        <v>0</v>
      </c>
      <c r="I735" s="35">
        <f t="shared" si="562"/>
        <v>57106.14</v>
      </c>
      <c r="J735" s="414">
        <f t="shared" si="563"/>
        <v>0.05</v>
      </c>
      <c r="K735" s="329">
        <f t="shared" si="575"/>
        <v>0</v>
      </c>
      <c r="L735" s="35">
        <f t="shared" si="564"/>
        <v>0</v>
      </c>
      <c r="M735" s="414">
        <f t="shared" si="565"/>
        <v>0</v>
      </c>
      <c r="N735" s="329">
        <f t="shared" si="576"/>
        <v>0</v>
      </c>
      <c r="O735" s="35">
        <f t="shared" si="566"/>
        <v>26.676111110994825</v>
      </c>
      <c r="P735" s="414">
        <f t="shared" si="567"/>
        <v>0</v>
      </c>
      <c r="Q735" s="329">
        <f t="shared" si="577"/>
        <v>0</v>
      </c>
      <c r="R735" s="35">
        <f t="shared" si="568"/>
        <v>0</v>
      </c>
      <c r="S735" s="414">
        <f t="shared" si="569"/>
        <v>0</v>
      </c>
      <c r="T735" s="880">
        <f>[5]Sheet1!$B1150</f>
        <v>1.6438356164383559E-6</v>
      </c>
      <c r="U735" s="10">
        <f t="shared" si="570"/>
        <v>44524</v>
      </c>
      <c r="V735" s="276">
        <f t="shared" si="571"/>
        <v>2.9999999999999997E-4</v>
      </c>
    </row>
    <row r="736" spans="1:22" x14ac:dyDescent="0.25">
      <c r="A736" s="335">
        <f t="shared" si="578"/>
        <v>44526</v>
      </c>
      <c r="B736" s="329">
        <f t="shared" si="572"/>
        <v>7652.06</v>
      </c>
      <c r="C736" s="338">
        <f t="shared" si="558"/>
        <v>2572833.6399999997</v>
      </c>
      <c r="D736" s="414">
        <f t="shared" si="559"/>
        <v>4.22</v>
      </c>
      <c r="E736" s="49">
        <f t="shared" si="573"/>
        <v>0</v>
      </c>
      <c r="F736" s="35">
        <f t="shared" si="560"/>
        <v>0</v>
      </c>
      <c r="G736" s="414">
        <f t="shared" si="561"/>
        <v>0</v>
      </c>
      <c r="H736" s="49">
        <f t="shared" si="574"/>
        <v>0</v>
      </c>
      <c r="I736" s="35">
        <f t="shared" si="562"/>
        <v>57106.14</v>
      </c>
      <c r="J736" s="414">
        <f t="shared" si="563"/>
        <v>0.09</v>
      </c>
      <c r="K736" s="329">
        <f t="shared" si="575"/>
        <v>0</v>
      </c>
      <c r="L736" s="35">
        <f t="shared" si="564"/>
        <v>0</v>
      </c>
      <c r="M736" s="414">
        <f t="shared" si="565"/>
        <v>0</v>
      </c>
      <c r="N736" s="329">
        <f t="shared" si="576"/>
        <v>0</v>
      </c>
      <c r="O736" s="35">
        <f t="shared" si="566"/>
        <v>26.676111110994825</v>
      </c>
      <c r="P736" s="414">
        <f t="shared" si="567"/>
        <v>0</v>
      </c>
      <c r="Q736" s="329">
        <f t="shared" si="577"/>
        <v>0</v>
      </c>
      <c r="R736" s="35">
        <f t="shared" si="568"/>
        <v>0</v>
      </c>
      <c r="S736" s="414">
        <f t="shared" si="569"/>
        <v>0</v>
      </c>
      <c r="T736" s="880">
        <f>[5]Sheet1!$B1151</f>
        <v>2.4657534246575337E-6</v>
      </c>
      <c r="U736" s="10">
        <f t="shared" si="570"/>
        <v>44526</v>
      </c>
      <c r="V736" s="276">
        <f t="shared" si="571"/>
        <v>2.9999999999999992E-4</v>
      </c>
    </row>
    <row r="737" spans="1:22" x14ac:dyDescent="0.25">
      <c r="A737" s="335">
        <f t="shared" si="578"/>
        <v>44529</v>
      </c>
      <c r="B737" s="329">
        <f t="shared" si="572"/>
        <v>262000</v>
      </c>
      <c r="C737" s="338">
        <f t="shared" si="558"/>
        <v>2834833.6399999997</v>
      </c>
      <c r="D737" s="414">
        <f t="shared" si="559"/>
        <v>6.34</v>
      </c>
      <c r="E737" s="49">
        <f t="shared" si="573"/>
        <v>0</v>
      </c>
      <c r="F737" s="35">
        <f t="shared" si="560"/>
        <v>0</v>
      </c>
      <c r="G737" s="414">
        <f t="shared" si="561"/>
        <v>0</v>
      </c>
      <c r="H737" s="49">
        <f t="shared" si="574"/>
        <v>0</v>
      </c>
      <c r="I737" s="35">
        <f t="shared" si="562"/>
        <v>57106.14</v>
      </c>
      <c r="J737" s="414">
        <f t="shared" si="563"/>
        <v>0.14000000000000001</v>
      </c>
      <c r="K737" s="329">
        <f t="shared" si="575"/>
        <v>0</v>
      </c>
      <c r="L737" s="35">
        <f t="shared" si="564"/>
        <v>0</v>
      </c>
      <c r="M737" s="414">
        <f t="shared" si="565"/>
        <v>0</v>
      </c>
      <c r="N737" s="329">
        <f t="shared" si="576"/>
        <v>0</v>
      </c>
      <c r="O737" s="35">
        <f t="shared" si="566"/>
        <v>26.676111110994825</v>
      </c>
      <c r="P737" s="414">
        <f t="shared" si="567"/>
        <v>0</v>
      </c>
      <c r="Q737" s="329">
        <f t="shared" si="577"/>
        <v>0</v>
      </c>
      <c r="R737" s="35">
        <f t="shared" si="568"/>
        <v>0</v>
      </c>
      <c r="S737" s="414">
        <f t="shared" si="569"/>
        <v>0</v>
      </c>
      <c r="T737" s="880">
        <f>[5]Sheet1!$B1152</f>
        <v>8.2191780821917796E-7</v>
      </c>
      <c r="U737" s="10">
        <f t="shared" si="570"/>
        <v>44529</v>
      </c>
      <c r="V737" s="276">
        <f t="shared" si="571"/>
        <v>2.9999999999999997E-4</v>
      </c>
    </row>
    <row r="738" spans="1:22" x14ac:dyDescent="0.25">
      <c r="A738" s="335">
        <f t="shared" si="578"/>
        <v>44530</v>
      </c>
      <c r="B738" s="329">
        <f t="shared" si="572"/>
        <v>108629.11</v>
      </c>
      <c r="C738" s="338">
        <f t="shared" si="558"/>
        <v>2943462.7499999995</v>
      </c>
      <c r="D738" s="414">
        <f t="shared" si="559"/>
        <v>2.33</v>
      </c>
      <c r="E738" s="49">
        <f t="shared" si="573"/>
        <v>0</v>
      </c>
      <c r="F738" s="35">
        <f t="shared" si="560"/>
        <v>0</v>
      </c>
      <c r="G738" s="414">
        <f t="shared" si="561"/>
        <v>0</v>
      </c>
      <c r="H738" s="49">
        <f t="shared" si="574"/>
        <v>17223.93</v>
      </c>
      <c r="I738" s="35">
        <f t="shared" si="562"/>
        <v>74330.070000000007</v>
      </c>
      <c r="J738" s="414">
        <f t="shared" si="563"/>
        <v>0.05</v>
      </c>
      <c r="K738" s="329">
        <f t="shared" si="575"/>
        <v>0</v>
      </c>
      <c r="L738" s="35">
        <f t="shared" si="564"/>
        <v>0</v>
      </c>
      <c r="M738" s="414">
        <f t="shared" si="565"/>
        <v>0</v>
      </c>
      <c r="N738" s="329">
        <f t="shared" si="576"/>
        <v>132869.34</v>
      </c>
      <c r="O738" s="35">
        <f t="shared" si="566"/>
        <v>132896.01611111098</v>
      </c>
      <c r="P738" s="414">
        <f t="shared" si="567"/>
        <v>0</v>
      </c>
      <c r="Q738" s="329">
        <f t="shared" si="577"/>
        <v>0</v>
      </c>
      <c r="R738" s="35">
        <f t="shared" si="568"/>
        <v>0</v>
      </c>
      <c r="S738" s="414">
        <f t="shared" si="569"/>
        <v>0</v>
      </c>
      <c r="T738" s="880">
        <f>[5]Sheet1!$B1153</f>
        <v>8.2191780821917796E-7</v>
      </c>
      <c r="U738" s="10">
        <f t="shared" si="570"/>
        <v>44530</v>
      </c>
      <c r="V738" s="276">
        <f t="shared" si="571"/>
        <v>2.9999999999999997E-4</v>
      </c>
    </row>
    <row r="739" spans="1:22" x14ac:dyDescent="0.25">
      <c r="A739" s="335">
        <f t="shared" si="578"/>
        <v>44531</v>
      </c>
      <c r="B739" s="329">
        <f t="shared" si="572"/>
        <v>0</v>
      </c>
      <c r="C739" s="338">
        <f t="shared" si="558"/>
        <v>2943462.7499999995</v>
      </c>
      <c r="D739" s="414">
        <f t="shared" si="559"/>
        <v>2.42</v>
      </c>
      <c r="E739" s="49">
        <f t="shared" si="573"/>
        <v>0</v>
      </c>
      <c r="F739" s="35">
        <f t="shared" si="560"/>
        <v>0</v>
      </c>
      <c r="G739" s="414">
        <f t="shared" si="561"/>
        <v>0</v>
      </c>
      <c r="H739" s="49">
        <f t="shared" si="574"/>
        <v>0</v>
      </c>
      <c r="I739" s="35">
        <f t="shared" si="562"/>
        <v>74330.070000000007</v>
      </c>
      <c r="J739" s="414">
        <f t="shared" si="563"/>
        <v>0.06</v>
      </c>
      <c r="K739" s="329">
        <f t="shared" si="575"/>
        <v>0</v>
      </c>
      <c r="L739" s="35">
        <f t="shared" si="564"/>
        <v>0</v>
      </c>
      <c r="M739" s="414">
        <f t="shared" si="565"/>
        <v>0</v>
      </c>
      <c r="N739" s="329">
        <f t="shared" si="576"/>
        <v>-132869.34</v>
      </c>
      <c r="O739" s="35">
        <f t="shared" si="566"/>
        <v>26.676111110980855</v>
      </c>
      <c r="P739" s="414">
        <f t="shared" si="567"/>
        <v>0.11</v>
      </c>
      <c r="Q739" s="329">
        <f t="shared" si="577"/>
        <v>0</v>
      </c>
      <c r="R739" s="35">
        <f t="shared" si="568"/>
        <v>0</v>
      </c>
      <c r="S739" s="414">
        <f t="shared" si="569"/>
        <v>0</v>
      </c>
      <c r="T739" s="880">
        <f>[5]Sheet1!$B1154</f>
        <v>8.2191780821917796E-7</v>
      </c>
      <c r="U739" s="10">
        <f t="shared" si="570"/>
        <v>44531</v>
      </c>
      <c r="V739" s="276">
        <f t="shared" si="571"/>
        <v>2.9999999999999997E-4</v>
      </c>
    </row>
    <row r="740" spans="1:22" x14ac:dyDescent="0.25">
      <c r="A740" s="335">
        <f t="shared" si="578"/>
        <v>44532</v>
      </c>
      <c r="B740" s="329">
        <f t="shared" si="572"/>
        <v>-129468.55999999946</v>
      </c>
      <c r="C740" s="338">
        <f t="shared" si="558"/>
        <v>2813994.19</v>
      </c>
      <c r="D740" s="414">
        <f t="shared" si="559"/>
        <v>2.42</v>
      </c>
      <c r="E740" s="49">
        <f t="shared" si="573"/>
        <v>0</v>
      </c>
      <c r="F740" s="35">
        <f t="shared" si="560"/>
        <v>0</v>
      </c>
      <c r="G740" s="414">
        <f t="shared" si="561"/>
        <v>0</v>
      </c>
      <c r="H740" s="49">
        <f t="shared" si="574"/>
        <v>1.5</v>
      </c>
      <c r="I740" s="35">
        <f t="shared" si="562"/>
        <v>74331.570000000007</v>
      </c>
      <c r="J740" s="414">
        <f t="shared" si="563"/>
        <v>0.06</v>
      </c>
      <c r="K740" s="329">
        <f t="shared" si="575"/>
        <v>0</v>
      </c>
      <c r="L740" s="35">
        <f t="shared" si="564"/>
        <v>0</v>
      </c>
      <c r="M740" s="414">
        <f t="shared" si="565"/>
        <v>0</v>
      </c>
      <c r="N740" s="329">
        <f t="shared" si="576"/>
        <v>0.11388888901914385</v>
      </c>
      <c r="O740" s="35">
        <f t="shared" si="566"/>
        <v>26.79</v>
      </c>
      <c r="P740" s="414">
        <f t="shared" si="567"/>
        <v>0</v>
      </c>
      <c r="Q740" s="329">
        <f t="shared" si="577"/>
        <v>0</v>
      </c>
      <c r="R740" s="35">
        <f t="shared" si="568"/>
        <v>0</v>
      </c>
      <c r="S740" s="414">
        <f t="shared" si="569"/>
        <v>0</v>
      </c>
      <c r="T740" s="880">
        <f>[5]Sheet1!$B1155</f>
        <v>8.2191780821917796E-7</v>
      </c>
      <c r="U740" s="10">
        <f t="shared" si="570"/>
        <v>44532</v>
      </c>
      <c r="V740" s="276">
        <f t="shared" si="571"/>
        <v>2.9999999999999997E-4</v>
      </c>
    </row>
    <row r="741" spans="1:22" x14ac:dyDescent="0.25">
      <c r="A741" s="335">
        <f t="shared" si="578"/>
        <v>44533</v>
      </c>
      <c r="B741" s="329">
        <f t="shared" si="572"/>
        <v>-1972299.38</v>
      </c>
      <c r="C741" s="338">
        <f t="shared" ref="C741:C766" si="579">B741+C740</f>
        <v>841694.81</v>
      </c>
      <c r="D741" s="414">
        <f t="shared" ref="D741:D766" si="580">ROUND(C740*$T740,2)</f>
        <v>2.31</v>
      </c>
      <c r="E741" s="49">
        <f t="shared" si="573"/>
        <v>0</v>
      </c>
      <c r="F741" s="35">
        <f t="shared" ref="F741:F766" si="581">E741+F740</f>
        <v>0</v>
      </c>
      <c r="G741" s="414">
        <f t="shared" ref="G741:G766" si="582">ROUND(F740*$T740,2)</f>
        <v>0</v>
      </c>
      <c r="H741" s="49">
        <f t="shared" si="574"/>
        <v>0</v>
      </c>
      <c r="I741" s="35">
        <f t="shared" ref="I741:I766" si="583">H741+I740</f>
        <v>74331.570000000007</v>
      </c>
      <c r="J741" s="414">
        <f t="shared" ref="J741:J766" si="584">ROUND(I740*$T740,2)</f>
        <v>0.06</v>
      </c>
      <c r="K741" s="329">
        <f t="shared" si="575"/>
        <v>0</v>
      </c>
      <c r="L741" s="35">
        <f t="shared" ref="L741:L766" si="585">K741+L740</f>
        <v>0</v>
      </c>
      <c r="M741" s="414">
        <f t="shared" ref="M741:M766" si="586">ROUND(L740*$T740,2)</f>
        <v>0</v>
      </c>
      <c r="N741" s="329">
        <f t="shared" si="576"/>
        <v>0</v>
      </c>
      <c r="O741" s="35">
        <f t="shared" ref="O741:O766" si="587">N741+O740</f>
        <v>26.79</v>
      </c>
      <c r="P741" s="414">
        <f t="shared" ref="P741:P766" si="588">ROUND(O740*$T740,2)</f>
        <v>0</v>
      </c>
      <c r="Q741" s="329">
        <f t="shared" si="577"/>
        <v>0</v>
      </c>
      <c r="R741" s="35">
        <f t="shared" ref="R741:R766" si="589">Q741+R740</f>
        <v>0</v>
      </c>
      <c r="S741" s="414">
        <f t="shared" ref="S741:S766" si="590">ROUND(R740*$T740,2)</f>
        <v>0</v>
      </c>
      <c r="T741" s="880">
        <f>[5]Sheet1!$B1156</f>
        <v>2.4657534246575337E-6</v>
      </c>
      <c r="U741" s="10">
        <f t="shared" ref="U741:U766" si="591">A741</f>
        <v>44533</v>
      </c>
      <c r="V741" s="276">
        <f t="shared" ref="V741:V766" si="592">T741*365/(A742-A741)</f>
        <v>2.9999999999999992E-4</v>
      </c>
    </row>
    <row r="742" spans="1:22" x14ac:dyDescent="0.25">
      <c r="A742" s="335">
        <f t="shared" si="578"/>
        <v>44536</v>
      </c>
      <c r="B742" s="329">
        <f t="shared" si="572"/>
        <v>0</v>
      </c>
      <c r="C742" s="338">
        <f t="shared" si="579"/>
        <v>841694.81</v>
      </c>
      <c r="D742" s="414">
        <f t="shared" si="580"/>
        <v>2.08</v>
      </c>
      <c r="E742" s="49">
        <f t="shared" si="573"/>
        <v>0</v>
      </c>
      <c r="F742" s="35">
        <f t="shared" si="581"/>
        <v>0</v>
      </c>
      <c r="G742" s="414">
        <f t="shared" si="582"/>
        <v>0</v>
      </c>
      <c r="H742" s="49">
        <f t="shared" si="574"/>
        <v>0</v>
      </c>
      <c r="I742" s="35">
        <f t="shared" si="583"/>
        <v>74331.570000000007</v>
      </c>
      <c r="J742" s="414">
        <f t="shared" si="584"/>
        <v>0.18</v>
      </c>
      <c r="K742" s="329">
        <f t="shared" si="575"/>
        <v>0</v>
      </c>
      <c r="L742" s="35">
        <f t="shared" si="585"/>
        <v>0</v>
      </c>
      <c r="M742" s="414">
        <f t="shared" si="586"/>
        <v>0</v>
      </c>
      <c r="N742" s="329">
        <f t="shared" si="576"/>
        <v>0</v>
      </c>
      <c r="O742" s="35">
        <f t="shared" si="587"/>
        <v>26.79</v>
      </c>
      <c r="P742" s="414">
        <f t="shared" si="588"/>
        <v>0</v>
      </c>
      <c r="Q742" s="329">
        <f t="shared" si="577"/>
        <v>0</v>
      </c>
      <c r="R742" s="35">
        <f t="shared" si="589"/>
        <v>0</v>
      </c>
      <c r="S742" s="414">
        <f t="shared" si="590"/>
        <v>0</v>
      </c>
      <c r="T742" s="880">
        <f>[5]Sheet1!$B1157</f>
        <v>8.2191780821917796E-7</v>
      </c>
      <c r="U742" s="10">
        <f t="shared" si="591"/>
        <v>44536</v>
      </c>
      <c r="V742" s="276">
        <f t="shared" si="592"/>
        <v>2.9999999999999997E-4</v>
      </c>
    </row>
    <row r="743" spans="1:22" x14ac:dyDescent="0.25">
      <c r="A743" s="335">
        <f t="shared" si="578"/>
        <v>44537</v>
      </c>
      <c r="B743" s="329">
        <f t="shared" si="572"/>
        <v>-153061.01999999999</v>
      </c>
      <c r="C743" s="338">
        <f t="shared" si="579"/>
        <v>688633.79</v>
      </c>
      <c r="D743" s="414">
        <f t="shared" si="580"/>
        <v>0.69</v>
      </c>
      <c r="E743" s="49">
        <f t="shared" si="573"/>
        <v>0</v>
      </c>
      <c r="F743" s="35">
        <f t="shared" si="581"/>
        <v>0</v>
      </c>
      <c r="G743" s="414">
        <f t="shared" si="582"/>
        <v>0</v>
      </c>
      <c r="H743" s="49">
        <f t="shared" si="574"/>
        <v>0</v>
      </c>
      <c r="I743" s="35">
        <f t="shared" si="583"/>
        <v>74331.570000000007</v>
      </c>
      <c r="J743" s="414">
        <f t="shared" si="584"/>
        <v>0.06</v>
      </c>
      <c r="K743" s="329">
        <f t="shared" si="575"/>
        <v>0</v>
      </c>
      <c r="L743" s="35">
        <f t="shared" si="585"/>
        <v>0</v>
      </c>
      <c r="M743" s="414">
        <f t="shared" si="586"/>
        <v>0</v>
      </c>
      <c r="N743" s="329">
        <f t="shared" si="576"/>
        <v>0</v>
      </c>
      <c r="O743" s="35">
        <f t="shared" si="587"/>
        <v>26.79</v>
      </c>
      <c r="P743" s="414">
        <f t="shared" si="588"/>
        <v>0</v>
      </c>
      <c r="Q743" s="329">
        <f t="shared" si="577"/>
        <v>0</v>
      </c>
      <c r="R743" s="35">
        <f t="shared" si="589"/>
        <v>0</v>
      </c>
      <c r="S743" s="414">
        <f t="shared" si="590"/>
        <v>0</v>
      </c>
      <c r="T743" s="880">
        <f>[5]Sheet1!$B1158</f>
        <v>8.2191780821917796E-7</v>
      </c>
      <c r="U743" s="10">
        <f t="shared" si="591"/>
        <v>44537</v>
      </c>
      <c r="V743" s="276">
        <f t="shared" si="592"/>
        <v>2.9999999999999997E-4</v>
      </c>
    </row>
    <row r="744" spans="1:22" x14ac:dyDescent="0.25">
      <c r="A744" s="335">
        <f t="shared" si="578"/>
        <v>44538</v>
      </c>
      <c r="B744" s="329">
        <f t="shared" si="572"/>
        <v>0</v>
      </c>
      <c r="C744" s="338">
        <f t="shared" si="579"/>
        <v>688633.79</v>
      </c>
      <c r="D744" s="414">
        <f t="shared" si="580"/>
        <v>0.56999999999999995</v>
      </c>
      <c r="E744" s="49">
        <f t="shared" si="573"/>
        <v>0</v>
      </c>
      <c r="F744" s="35">
        <f t="shared" si="581"/>
        <v>0</v>
      </c>
      <c r="G744" s="414">
        <f t="shared" si="582"/>
        <v>0</v>
      </c>
      <c r="H744" s="49">
        <f t="shared" si="574"/>
        <v>0</v>
      </c>
      <c r="I744" s="35">
        <f t="shared" si="583"/>
        <v>74331.570000000007</v>
      </c>
      <c r="J744" s="414">
        <f t="shared" si="584"/>
        <v>0.06</v>
      </c>
      <c r="K744" s="329">
        <f t="shared" si="575"/>
        <v>0</v>
      </c>
      <c r="L744" s="35">
        <f t="shared" si="585"/>
        <v>0</v>
      </c>
      <c r="M744" s="414">
        <f t="shared" si="586"/>
        <v>0</v>
      </c>
      <c r="N744" s="329">
        <f t="shared" si="576"/>
        <v>0</v>
      </c>
      <c r="O744" s="35">
        <f t="shared" si="587"/>
        <v>26.79</v>
      </c>
      <c r="P744" s="414">
        <f t="shared" si="588"/>
        <v>0</v>
      </c>
      <c r="Q744" s="329">
        <f t="shared" si="577"/>
        <v>0</v>
      </c>
      <c r="R744" s="35">
        <f t="shared" si="589"/>
        <v>0</v>
      </c>
      <c r="S744" s="414">
        <f t="shared" si="590"/>
        <v>0</v>
      </c>
      <c r="T744" s="880">
        <f>[5]Sheet1!$B1159</f>
        <v>8.2191780821917796E-7</v>
      </c>
      <c r="U744" s="10">
        <f t="shared" si="591"/>
        <v>44538</v>
      </c>
      <c r="V744" s="276">
        <f t="shared" si="592"/>
        <v>2.9999999999999997E-4</v>
      </c>
    </row>
    <row r="745" spans="1:22" x14ac:dyDescent="0.25">
      <c r="A745" s="335">
        <f t="shared" si="578"/>
        <v>44539</v>
      </c>
      <c r="B745" s="329">
        <f t="shared" si="572"/>
        <v>0</v>
      </c>
      <c r="C745" s="338">
        <f t="shared" si="579"/>
        <v>688633.79</v>
      </c>
      <c r="D745" s="414">
        <f t="shared" si="580"/>
        <v>0.56999999999999995</v>
      </c>
      <c r="E745" s="49">
        <f t="shared" si="573"/>
        <v>0</v>
      </c>
      <c r="F745" s="35">
        <f t="shared" si="581"/>
        <v>0</v>
      </c>
      <c r="G745" s="414">
        <f t="shared" si="582"/>
        <v>0</v>
      </c>
      <c r="H745" s="49">
        <f t="shared" si="574"/>
        <v>0</v>
      </c>
      <c r="I745" s="35">
        <f t="shared" si="583"/>
        <v>74331.570000000007</v>
      </c>
      <c r="J745" s="414">
        <f t="shared" si="584"/>
        <v>0.06</v>
      </c>
      <c r="K745" s="329">
        <f t="shared" si="575"/>
        <v>0</v>
      </c>
      <c r="L745" s="35">
        <f t="shared" si="585"/>
        <v>0</v>
      </c>
      <c r="M745" s="414">
        <f t="shared" si="586"/>
        <v>0</v>
      </c>
      <c r="N745" s="329">
        <f t="shared" si="576"/>
        <v>0</v>
      </c>
      <c r="O745" s="35">
        <f t="shared" si="587"/>
        <v>26.79</v>
      </c>
      <c r="P745" s="414">
        <f t="shared" si="588"/>
        <v>0</v>
      </c>
      <c r="Q745" s="329">
        <f t="shared" si="577"/>
        <v>0</v>
      </c>
      <c r="R745" s="35">
        <f t="shared" si="589"/>
        <v>0</v>
      </c>
      <c r="S745" s="414">
        <f t="shared" si="590"/>
        <v>0</v>
      </c>
      <c r="T745" s="880">
        <f>[5]Sheet1!$B1160</f>
        <v>8.2191780821917796E-7</v>
      </c>
      <c r="U745" s="10">
        <f t="shared" si="591"/>
        <v>44539</v>
      </c>
      <c r="V745" s="276">
        <f t="shared" si="592"/>
        <v>2.9999999999999997E-4</v>
      </c>
    </row>
    <row r="746" spans="1:22" x14ac:dyDescent="0.25">
      <c r="A746" s="335">
        <f t="shared" si="578"/>
        <v>44540</v>
      </c>
      <c r="B746" s="329">
        <f t="shared" si="572"/>
        <v>171440.83</v>
      </c>
      <c r="C746" s="338">
        <f t="shared" si="579"/>
        <v>860074.62</v>
      </c>
      <c r="D746" s="414">
        <f t="shared" si="580"/>
        <v>0.56999999999999995</v>
      </c>
      <c r="E746" s="49">
        <f t="shared" si="573"/>
        <v>0</v>
      </c>
      <c r="F746" s="35">
        <f t="shared" si="581"/>
        <v>0</v>
      </c>
      <c r="G746" s="414">
        <f t="shared" si="582"/>
        <v>0</v>
      </c>
      <c r="H746" s="49">
        <f t="shared" si="574"/>
        <v>0</v>
      </c>
      <c r="I746" s="35">
        <f t="shared" si="583"/>
        <v>74331.570000000007</v>
      </c>
      <c r="J746" s="414">
        <f t="shared" si="584"/>
        <v>0.06</v>
      </c>
      <c r="K746" s="329">
        <f t="shared" si="575"/>
        <v>0</v>
      </c>
      <c r="L746" s="35">
        <f t="shared" si="585"/>
        <v>0</v>
      </c>
      <c r="M746" s="414">
        <f t="shared" si="586"/>
        <v>0</v>
      </c>
      <c r="N746" s="329">
        <f t="shared" si="576"/>
        <v>0</v>
      </c>
      <c r="O746" s="35">
        <f t="shared" si="587"/>
        <v>26.79</v>
      </c>
      <c r="P746" s="414">
        <f t="shared" si="588"/>
        <v>0</v>
      </c>
      <c r="Q746" s="329">
        <f t="shared" si="577"/>
        <v>0</v>
      </c>
      <c r="R746" s="35">
        <f t="shared" si="589"/>
        <v>0</v>
      </c>
      <c r="S746" s="414">
        <f t="shared" si="590"/>
        <v>0</v>
      </c>
      <c r="T746" s="880">
        <f>[5]Sheet1!$B1161</f>
        <v>2.4657534246575337E-6</v>
      </c>
      <c r="U746" s="10">
        <f t="shared" si="591"/>
        <v>44540</v>
      </c>
      <c r="V746" s="276">
        <f t="shared" si="592"/>
        <v>2.9999999999999992E-4</v>
      </c>
    </row>
    <row r="747" spans="1:22" x14ac:dyDescent="0.25">
      <c r="A747" s="335">
        <f t="shared" si="578"/>
        <v>44543</v>
      </c>
      <c r="B747" s="329">
        <f t="shared" si="572"/>
        <v>0</v>
      </c>
      <c r="C747" s="338">
        <f t="shared" si="579"/>
        <v>860074.62</v>
      </c>
      <c r="D747" s="414">
        <f t="shared" si="580"/>
        <v>2.12</v>
      </c>
      <c r="E747" s="49">
        <f t="shared" si="573"/>
        <v>0</v>
      </c>
      <c r="F747" s="35">
        <f t="shared" si="581"/>
        <v>0</v>
      </c>
      <c r="G747" s="414">
        <f t="shared" si="582"/>
        <v>0</v>
      </c>
      <c r="H747" s="49">
        <f t="shared" si="574"/>
        <v>0</v>
      </c>
      <c r="I747" s="35">
        <f t="shared" si="583"/>
        <v>74331.570000000007</v>
      </c>
      <c r="J747" s="414">
        <f t="shared" si="584"/>
        <v>0.18</v>
      </c>
      <c r="K747" s="329">
        <f t="shared" si="575"/>
        <v>0</v>
      </c>
      <c r="L747" s="35">
        <f t="shared" si="585"/>
        <v>0</v>
      </c>
      <c r="M747" s="414">
        <f t="shared" si="586"/>
        <v>0</v>
      </c>
      <c r="N747" s="329">
        <f t="shared" si="576"/>
        <v>0</v>
      </c>
      <c r="O747" s="35">
        <f t="shared" si="587"/>
        <v>26.79</v>
      </c>
      <c r="P747" s="414">
        <f t="shared" si="588"/>
        <v>0</v>
      </c>
      <c r="Q747" s="329">
        <f t="shared" si="577"/>
        <v>0</v>
      </c>
      <c r="R747" s="35">
        <f t="shared" si="589"/>
        <v>0</v>
      </c>
      <c r="S747" s="414">
        <f t="shared" si="590"/>
        <v>0</v>
      </c>
      <c r="T747" s="880">
        <f>[5]Sheet1!$B1162</f>
        <v>8.2191780821917796E-7</v>
      </c>
      <c r="U747" s="10">
        <f t="shared" si="591"/>
        <v>44543</v>
      </c>
      <c r="V747" s="276">
        <f t="shared" si="592"/>
        <v>2.9999999999999997E-4</v>
      </c>
    </row>
    <row r="748" spans="1:22" x14ac:dyDescent="0.25">
      <c r="A748" s="335">
        <f t="shared" si="578"/>
        <v>44544</v>
      </c>
      <c r="B748" s="329">
        <f t="shared" si="572"/>
        <v>0</v>
      </c>
      <c r="C748" s="338">
        <f t="shared" si="579"/>
        <v>860074.62</v>
      </c>
      <c r="D748" s="414">
        <f t="shared" si="580"/>
        <v>0.71</v>
      </c>
      <c r="E748" s="49">
        <f t="shared" si="573"/>
        <v>0</v>
      </c>
      <c r="F748" s="35">
        <f t="shared" si="581"/>
        <v>0</v>
      </c>
      <c r="G748" s="414">
        <f t="shared" si="582"/>
        <v>0</v>
      </c>
      <c r="H748" s="49">
        <f t="shared" si="574"/>
        <v>0</v>
      </c>
      <c r="I748" s="35">
        <f t="shared" si="583"/>
        <v>74331.570000000007</v>
      </c>
      <c r="J748" s="414">
        <f t="shared" si="584"/>
        <v>0.06</v>
      </c>
      <c r="K748" s="329">
        <f t="shared" si="575"/>
        <v>0</v>
      </c>
      <c r="L748" s="35">
        <f t="shared" si="585"/>
        <v>0</v>
      </c>
      <c r="M748" s="414">
        <f t="shared" si="586"/>
        <v>0</v>
      </c>
      <c r="N748" s="329">
        <f t="shared" si="576"/>
        <v>0</v>
      </c>
      <c r="O748" s="35">
        <f t="shared" si="587"/>
        <v>26.79</v>
      </c>
      <c r="P748" s="414">
        <f t="shared" si="588"/>
        <v>0</v>
      </c>
      <c r="Q748" s="329">
        <f t="shared" si="577"/>
        <v>0</v>
      </c>
      <c r="R748" s="35">
        <f t="shared" si="589"/>
        <v>0</v>
      </c>
      <c r="S748" s="414">
        <f t="shared" si="590"/>
        <v>0</v>
      </c>
      <c r="T748" s="880">
        <f>[5]Sheet1!$B1163</f>
        <v>8.2191780821917796E-7</v>
      </c>
      <c r="U748" s="10">
        <f t="shared" si="591"/>
        <v>44544</v>
      </c>
      <c r="V748" s="276">
        <f t="shared" si="592"/>
        <v>2.9999999999999997E-4</v>
      </c>
    </row>
    <row r="749" spans="1:22" x14ac:dyDescent="0.25">
      <c r="A749" s="335">
        <f t="shared" si="578"/>
        <v>44545</v>
      </c>
      <c r="B749" s="329">
        <f t="shared" si="572"/>
        <v>2014.76</v>
      </c>
      <c r="C749" s="338">
        <f t="shared" si="579"/>
        <v>862089.38</v>
      </c>
      <c r="D749" s="414">
        <f t="shared" si="580"/>
        <v>0.71</v>
      </c>
      <c r="E749" s="49">
        <f t="shared" si="573"/>
        <v>0</v>
      </c>
      <c r="F749" s="35">
        <f t="shared" si="581"/>
        <v>0</v>
      </c>
      <c r="G749" s="414">
        <f t="shared" si="582"/>
        <v>0</v>
      </c>
      <c r="H749" s="49">
        <f t="shared" si="574"/>
        <v>3399.45999999999</v>
      </c>
      <c r="I749" s="35">
        <f t="shared" si="583"/>
        <v>77731.03</v>
      </c>
      <c r="J749" s="414">
        <f t="shared" si="584"/>
        <v>0.06</v>
      </c>
      <c r="K749" s="329">
        <f t="shared" si="575"/>
        <v>0</v>
      </c>
      <c r="L749" s="35">
        <f t="shared" si="585"/>
        <v>0</v>
      </c>
      <c r="M749" s="414">
        <f t="shared" si="586"/>
        <v>0</v>
      </c>
      <c r="N749" s="329">
        <f t="shared" si="576"/>
        <v>26201.65</v>
      </c>
      <c r="O749" s="35">
        <f t="shared" si="587"/>
        <v>26228.440000000002</v>
      </c>
      <c r="P749" s="414">
        <f t="shared" si="588"/>
        <v>0</v>
      </c>
      <c r="Q749" s="329">
        <f t="shared" si="577"/>
        <v>0</v>
      </c>
      <c r="R749" s="35">
        <f t="shared" si="589"/>
        <v>0</v>
      </c>
      <c r="S749" s="414">
        <f t="shared" si="590"/>
        <v>0</v>
      </c>
      <c r="T749" s="880">
        <f>[5]Sheet1!$B1164</f>
        <v>8.2191780821917796E-7</v>
      </c>
      <c r="U749" s="10">
        <f t="shared" si="591"/>
        <v>44545</v>
      </c>
      <c r="V749" s="276">
        <f t="shared" si="592"/>
        <v>2.9999999999999997E-4</v>
      </c>
    </row>
    <row r="750" spans="1:22" x14ac:dyDescent="0.25">
      <c r="A750" s="335">
        <f t="shared" si="578"/>
        <v>44546</v>
      </c>
      <c r="B750" s="329">
        <f t="shared" si="572"/>
        <v>0</v>
      </c>
      <c r="C750" s="338">
        <f t="shared" si="579"/>
        <v>862089.38</v>
      </c>
      <c r="D750" s="414">
        <f t="shared" si="580"/>
        <v>0.71</v>
      </c>
      <c r="E750" s="49">
        <f t="shared" si="573"/>
        <v>0</v>
      </c>
      <c r="F750" s="35">
        <f t="shared" si="581"/>
        <v>0</v>
      </c>
      <c r="G750" s="414">
        <f t="shared" si="582"/>
        <v>0</v>
      </c>
      <c r="H750" s="49">
        <f t="shared" si="574"/>
        <v>-5352.07</v>
      </c>
      <c r="I750" s="35">
        <f t="shared" si="583"/>
        <v>72378.959999999992</v>
      </c>
      <c r="J750" s="414">
        <f t="shared" si="584"/>
        <v>0.06</v>
      </c>
      <c r="K750" s="329">
        <f t="shared" si="575"/>
        <v>0</v>
      </c>
      <c r="L750" s="35">
        <f t="shared" si="585"/>
        <v>0</v>
      </c>
      <c r="M750" s="414">
        <f t="shared" si="586"/>
        <v>0</v>
      </c>
      <c r="N750" s="329">
        <f t="shared" si="576"/>
        <v>-26201.65</v>
      </c>
      <c r="O750" s="35">
        <f t="shared" si="587"/>
        <v>26.790000000000873</v>
      </c>
      <c r="P750" s="414">
        <f t="shared" si="588"/>
        <v>0.02</v>
      </c>
      <c r="Q750" s="329">
        <f t="shared" si="577"/>
        <v>0</v>
      </c>
      <c r="R750" s="35">
        <f t="shared" si="589"/>
        <v>0</v>
      </c>
      <c r="S750" s="414">
        <f t="shared" si="590"/>
        <v>0</v>
      </c>
      <c r="T750" s="880">
        <f>[5]Sheet1!$B1165</f>
        <v>8.2191780821917796E-7</v>
      </c>
      <c r="U750" s="10">
        <f t="shared" si="591"/>
        <v>44546</v>
      </c>
      <c r="V750" s="276">
        <f t="shared" si="592"/>
        <v>2.9999999999999997E-4</v>
      </c>
    </row>
    <row r="751" spans="1:22" x14ac:dyDescent="0.25">
      <c r="A751" s="335">
        <f t="shared" si="578"/>
        <v>44547</v>
      </c>
      <c r="B751" s="329">
        <f t="shared" si="572"/>
        <v>91655.99</v>
      </c>
      <c r="C751" s="338">
        <f t="shared" si="579"/>
        <v>953745.37</v>
      </c>
      <c r="D751" s="414">
        <f t="shared" si="580"/>
        <v>0.71</v>
      </c>
      <c r="E751" s="49">
        <f t="shared" si="573"/>
        <v>0</v>
      </c>
      <c r="F751" s="35">
        <f t="shared" si="581"/>
        <v>0</v>
      </c>
      <c r="G751" s="414">
        <f t="shared" si="582"/>
        <v>0</v>
      </c>
      <c r="H751" s="49">
        <f t="shared" si="574"/>
        <v>0</v>
      </c>
      <c r="I751" s="35">
        <f t="shared" si="583"/>
        <v>72378.959999999992</v>
      </c>
      <c r="J751" s="414">
        <f t="shared" si="584"/>
        <v>0.06</v>
      </c>
      <c r="K751" s="329">
        <f t="shared" si="575"/>
        <v>0</v>
      </c>
      <c r="L751" s="35">
        <f t="shared" si="585"/>
        <v>0</v>
      </c>
      <c r="M751" s="414">
        <f t="shared" si="586"/>
        <v>0</v>
      </c>
      <c r="N751" s="329">
        <f t="shared" si="576"/>
        <v>0</v>
      </c>
      <c r="O751" s="35">
        <f t="shared" si="587"/>
        <v>26.790000000000873</v>
      </c>
      <c r="P751" s="414">
        <f t="shared" si="588"/>
        <v>0</v>
      </c>
      <c r="Q751" s="329">
        <f t="shared" si="577"/>
        <v>0</v>
      </c>
      <c r="R751" s="35">
        <f t="shared" si="589"/>
        <v>0</v>
      </c>
      <c r="S751" s="414">
        <f t="shared" si="590"/>
        <v>0</v>
      </c>
      <c r="T751" s="880">
        <f>[5]Sheet1!$B1166</f>
        <v>2.4657534246575337E-6</v>
      </c>
      <c r="U751" s="10">
        <f t="shared" si="591"/>
        <v>44547</v>
      </c>
      <c r="V751" s="276">
        <f t="shared" si="592"/>
        <v>2.9999999999999992E-4</v>
      </c>
    </row>
    <row r="752" spans="1:22" x14ac:dyDescent="0.25">
      <c r="A752" s="335">
        <f t="shared" si="578"/>
        <v>44550</v>
      </c>
      <c r="B752" s="329">
        <f t="shared" si="572"/>
        <v>0</v>
      </c>
      <c r="C752" s="338">
        <f t="shared" si="579"/>
        <v>953745.37</v>
      </c>
      <c r="D752" s="414">
        <f t="shared" si="580"/>
        <v>2.35</v>
      </c>
      <c r="E752" s="49">
        <f t="shared" si="573"/>
        <v>0</v>
      </c>
      <c r="F752" s="35">
        <f t="shared" si="581"/>
        <v>0</v>
      </c>
      <c r="G752" s="414">
        <f t="shared" si="582"/>
        <v>0</v>
      </c>
      <c r="H752" s="49">
        <f t="shared" si="574"/>
        <v>0</v>
      </c>
      <c r="I752" s="35">
        <f t="shared" si="583"/>
        <v>72378.959999999992</v>
      </c>
      <c r="J752" s="414">
        <f t="shared" si="584"/>
        <v>0.18</v>
      </c>
      <c r="K752" s="329">
        <f t="shared" si="575"/>
        <v>0</v>
      </c>
      <c r="L752" s="35">
        <f t="shared" si="585"/>
        <v>0</v>
      </c>
      <c r="M752" s="414">
        <f t="shared" si="586"/>
        <v>0</v>
      </c>
      <c r="N752" s="329">
        <f t="shared" si="576"/>
        <v>0</v>
      </c>
      <c r="O752" s="35">
        <f t="shared" si="587"/>
        <v>26.790000000000873</v>
      </c>
      <c r="P752" s="414">
        <f t="shared" si="588"/>
        <v>0</v>
      </c>
      <c r="Q752" s="329">
        <f t="shared" si="577"/>
        <v>0</v>
      </c>
      <c r="R752" s="35">
        <f t="shared" si="589"/>
        <v>0</v>
      </c>
      <c r="S752" s="414">
        <f t="shared" si="590"/>
        <v>0</v>
      </c>
      <c r="T752" s="880">
        <f>[5]Sheet1!$B1167</f>
        <v>8.2191780821917796E-7</v>
      </c>
      <c r="U752" s="10">
        <f t="shared" si="591"/>
        <v>44550</v>
      </c>
      <c r="V752" s="276">
        <f t="shared" si="592"/>
        <v>2.9999999999999997E-4</v>
      </c>
    </row>
    <row r="753" spans="1:24" x14ac:dyDescent="0.25">
      <c r="A753" s="335">
        <f t="shared" si="578"/>
        <v>44551</v>
      </c>
      <c r="B753" s="329">
        <f t="shared" si="572"/>
        <v>-881910.09</v>
      </c>
      <c r="C753" s="338">
        <f t="shared" si="579"/>
        <v>71835.280000000028</v>
      </c>
      <c r="D753" s="414">
        <f t="shared" si="580"/>
        <v>0.78</v>
      </c>
      <c r="E753" s="49">
        <f t="shared" si="573"/>
        <v>0</v>
      </c>
      <c r="F753" s="35">
        <f t="shared" si="581"/>
        <v>0</v>
      </c>
      <c r="G753" s="414">
        <f t="shared" si="582"/>
        <v>0</v>
      </c>
      <c r="H753" s="49">
        <f t="shared" si="574"/>
        <v>0</v>
      </c>
      <c r="I753" s="35">
        <f t="shared" si="583"/>
        <v>72378.959999999992</v>
      </c>
      <c r="J753" s="414">
        <f t="shared" si="584"/>
        <v>0.06</v>
      </c>
      <c r="K753" s="329">
        <f t="shared" si="575"/>
        <v>0</v>
      </c>
      <c r="L753" s="35">
        <f t="shared" si="585"/>
        <v>0</v>
      </c>
      <c r="M753" s="414">
        <f t="shared" si="586"/>
        <v>0</v>
      </c>
      <c r="N753" s="329">
        <f t="shared" si="576"/>
        <v>0</v>
      </c>
      <c r="O753" s="35">
        <f t="shared" si="587"/>
        <v>26.790000000000873</v>
      </c>
      <c r="P753" s="414">
        <f t="shared" si="588"/>
        <v>0</v>
      </c>
      <c r="Q753" s="329">
        <f t="shared" si="577"/>
        <v>0</v>
      </c>
      <c r="R753" s="35">
        <f t="shared" si="589"/>
        <v>0</v>
      </c>
      <c r="S753" s="414">
        <f t="shared" si="590"/>
        <v>0</v>
      </c>
      <c r="T753" s="880">
        <f>[5]Sheet1!$B1168</f>
        <v>8.2191780821917796E-7</v>
      </c>
      <c r="U753" s="10">
        <f t="shared" si="591"/>
        <v>44551</v>
      </c>
      <c r="V753" s="276">
        <f t="shared" si="592"/>
        <v>2.9999999999999997E-4</v>
      </c>
    </row>
    <row r="754" spans="1:24" x14ac:dyDescent="0.25">
      <c r="A754" s="335">
        <f t="shared" si="578"/>
        <v>44552</v>
      </c>
      <c r="B754" s="329">
        <f t="shared" si="572"/>
        <v>730571.67</v>
      </c>
      <c r="C754" s="338">
        <f t="shared" si="579"/>
        <v>802406.95000000007</v>
      </c>
      <c r="D754" s="414">
        <f t="shared" si="580"/>
        <v>0.06</v>
      </c>
      <c r="E754" s="49">
        <f t="shared" si="573"/>
        <v>0</v>
      </c>
      <c r="F754" s="35">
        <f t="shared" si="581"/>
        <v>0</v>
      </c>
      <c r="G754" s="414">
        <f t="shared" si="582"/>
        <v>0</v>
      </c>
      <c r="H754" s="49">
        <f t="shared" si="574"/>
        <v>0</v>
      </c>
      <c r="I754" s="35">
        <f t="shared" si="583"/>
        <v>72378.959999999992</v>
      </c>
      <c r="J754" s="414">
        <f t="shared" si="584"/>
        <v>0.06</v>
      </c>
      <c r="K754" s="329">
        <f t="shared" si="575"/>
        <v>0</v>
      </c>
      <c r="L754" s="35">
        <f t="shared" si="585"/>
        <v>0</v>
      </c>
      <c r="M754" s="414">
        <f t="shared" si="586"/>
        <v>0</v>
      </c>
      <c r="N754" s="329">
        <f t="shared" si="576"/>
        <v>0</v>
      </c>
      <c r="O754" s="35">
        <f t="shared" si="587"/>
        <v>26.790000000000873</v>
      </c>
      <c r="P754" s="414">
        <f t="shared" si="588"/>
        <v>0</v>
      </c>
      <c r="Q754" s="329">
        <f t="shared" si="577"/>
        <v>0</v>
      </c>
      <c r="R754" s="35">
        <f t="shared" si="589"/>
        <v>0</v>
      </c>
      <c r="S754" s="414">
        <f t="shared" si="590"/>
        <v>0</v>
      </c>
      <c r="T754" s="880">
        <f>[5]Sheet1!$B1169</f>
        <v>8.2191780821917796E-7</v>
      </c>
      <c r="U754" s="10">
        <f t="shared" si="591"/>
        <v>44552</v>
      </c>
      <c r="V754" s="276">
        <f t="shared" si="592"/>
        <v>2.9999999999999997E-4</v>
      </c>
    </row>
    <row r="755" spans="1:24" x14ac:dyDescent="0.25">
      <c r="A755" s="335">
        <f t="shared" si="578"/>
        <v>44553</v>
      </c>
      <c r="B755" s="329">
        <f t="shared" si="572"/>
        <v>-2753.0600000000559</v>
      </c>
      <c r="C755" s="338">
        <f t="shared" si="579"/>
        <v>799653.89</v>
      </c>
      <c r="D755" s="414">
        <f t="shared" si="580"/>
        <v>0.66</v>
      </c>
      <c r="E755" s="49">
        <f t="shared" si="573"/>
        <v>0</v>
      </c>
      <c r="F755" s="35">
        <f t="shared" si="581"/>
        <v>0</v>
      </c>
      <c r="G755" s="414">
        <f t="shared" si="582"/>
        <v>0</v>
      </c>
      <c r="H755" s="49">
        <f t="shared" si="574"/>
        <v>0</v>
      </c>
      <c r="I755" s="35">
        <f t="shared" si="583"/>
        <v>72378.959999999992</v>
      </c>
      <c r="J755" s="414">
        <f t="shared" si="584"/>
        <v>0.06</v>
      </c>
      <c r="K755" s="329">
        <f t="shared" si="575"/>
        <v>0</v>
      </c>
      <c r="L755" s="35">
        <f t="shared" si="585"/>
        <v>0</v>
      </c>
      <c r="M755" s="414">
        <f t="shared" si="586"/>
        <v>0</v>
      </c>
      <c r="N755" s="329">
        <f t="shared" si="576"/>
        <v>0</v>
      </c>
      <c r="O755" s="35">
        <f t="shared" si="587"/>
        <v>26.790000000000873</v>
      </c>
      <c r="P755" s="414">
        <f t="shared" si="588"/>
        <v>0</v>
      </c>
      <c r="Q755" s="329">
        <f t="shared" si="577"/>
        <v>0</v>
      </c>
      <c r="R755" s="35">
        <f t="shared" si="589"/>
        <v>0</v>
      </c>
      <c r="S755" s="414">
        <f t="shared" si="590"/>
        <v>0</v>
      </c>
      <c r="T755" s="880">
        <f>[5]Sheet1!$B1170</f>
        <v>3.2876712328767118E-6</v>
      </c>
      <c r="U755" s="10">
        <f t="shared" si="591"/>
        <v>44553</v>
      </c>
      <c r="V755" s="276">
        <f t="shared" si="592"/>
        <v>2.9999999999999997E-4</v>
      </c>
    </row>
    <row r="756" spans="1:24" x14ac:dyDescent="0.25">
      <c r="A756" s="335">
        <f t="shared" si="578"/>
        <v>44557</v>
      </c>
      <c r="B756" s="329">
        <f t="shared" si="572"/>
        <v>-150000</v>
      </c>
      <c r="C756" s="338">
        <f t="shared" si="579"/>
        <v>649653.89</v>
      </c>
      <c r="D756" s="414">
        <f t="shared" si="580"/>
        <v>2.63</v>
      </c>
      <c r="E756" s="49">
        <f t="shared" si="573"/>
        <v>0</v>
      </c>
      <c r="F756" s="35">
        <f t="shared" si="581"/>
        <v>0</v>
      </c>
      <c r="G756" s="414">
        <f t="shared" si="582"/>
        <v>0</v>
      </c>
      <c r="H756" s="49">
        <f t="shared" si="574"/>
        <v>0</v>
      </c>
      <c r="I756" s="35">
        <f t="shared" si="583"/>
        <v>72378.959999999992</v>
      </c>
      <c r="J756" s="414">
        <f t="shared" si="584"/>
        <v>0.24</v>
      </c>
      <c r="K756" s="329">
        <f t="shared" si="575"/>
        <v>0</v>
      </c>
      <c r="L756" s="35">
        <f t="shared" si="585"/>
        <v>0</v>
      </c>
      <c r="M756" s="414">
        <f t="shared" si="586"/>
        <v>0</v>
      </c>
      <c r="N756" s="329">
        <f t="shared" si="576"/>
        <v>0</v>
      </c>
      <c r="O756" s="35">
        <f t="shared" si="587"/>
        <v>26.790000000000873</v>
      </c>
      <c r="P756" s="414">
        <f t="shared" si="588"/>
        <v>0</v>
      </c>
      <c r="Q756" s="329">
        <f t="shared" si="577"/>
        <v>0</v>
      </c>
      <c r="R756" s="35">
        <f t="shared" si="589"/>
        <v>0</v>
      </c>
      <c r="S756" s="414">
        <f t="shared" si="590"/>
        <v>0</v>
      </c>
      <c r="T756" s="880">
        <f>[5]Sheet1!$B1171</f>
        <v>8.2191780821917796E-7</v>
      </c>
      <c r="U756" s="10">
        <f t="shared" si="591"/>
        <v>44557</v>
      </c>
      <c r="V756" s="276">
        <f t="shared" si="592"/>
        <v>2.9999999999999997E-4</v>
      </c>
    </row>
    <row r="757" spans="1:24" x14ac:dyDescent="0.25">
      <c r="A757" s="335">
        <f t="shared" si="578"/>
        <v>44558</v>
      </c>
      <c r="B757" s="329">
        <f t="shared" si="572"/>
        <v>0</v>
      </c>
      <c r="C757" s="338">
        <f t="shared" si="579"/>
        <v>649653.89</v>
      </c>
      <c r="D757" s="414">
        <f t="shared" si="580"/>
        <v>0.53</v>
      </c>
      <c r="E757" s="49">
        <f t="shared" si="573"/>
        <v>0</v>
      </c>
      <c r="F757" s="35">
        <f t="shared" si="581"/>
        <v>0</v>
      </c>
      <c r="G757" s="414">
        <f t="shared" si="582"/>
        <v>0</v>
      </c>
      <c r="H757" s="49">
        <f t="shared" si="574"/>
        <v>0</v>
      </c>
      <c r="I757" s="35">
        <f t="shared" si="583"/>
        <v>72378.959999999992</v>
      </c>
      <c r="J757" s="414">
        <f t="shared" si="584"/>
        <v>0.06</v>
      </c>
      <c r="K757" s="329">
        <f t="shared" si="575"/>
        <v>0</v>
      </c>
      <c r="L757" s="35">
        <f t="shared" si="585"/>
        <v>0</v>
      </c>
      <c r="M757" s="414">
        <f t="shared" si="586"/>
        <v>0</v>
      </c>
      <c r="N757" s="329">
        <f t="shared" si="576"/>
        <v>0</v>
      </c>
      <c r="O757" s="35">
        <f t="shared" si="587"/>
        <v>26.790000000000873</v>
      </c>
      <c r="P757" s="414">
        <f t="shared" si="588"/>
        <v>0</v>
      </c>
      <c r="Q757" s="329">
        <f t="shared" si="577"/>
        <v>0</v>
      </c>
      <c r="R757" s="35">
        <f t="shared" si="589"/>
        <v>0</v>
      </c>
      <c r="S757" s="414">
        <f t="shared" si="590"/>
        <v>0</v>
      </c>
      <c r="T757" s="880">
        <f>[5]Sheet1!$B1172</f>
        <v>8.2191780821917796E-7</v>
      </c>
      <c r="U757" s="10">
        <f t="shared" si="591"/>
        <v>44558</v>
      </c>
      <c r="V757" s="276">
        <f t="shared" si="592"/>
        <v>2.9999999999999997E-4</v>
      </c>
    </row>
    <row r="758" spans="1:24" x14ac:dyDescent="0.25">
      <c r="A758" s="335">
        <f t="shared" si="578"/>
        <v>44559</v>
      </c>
      <c r="B758" s="329">
        <f t="shared" si="572"/>
        <v>-275000</v>
      </c>
      <c r="C758" s="338">
        <f t="shared" si="579"/>
        <v>374653.89</v>
      </c>
      <c r="D758" s="414">
        <f t="shared" si="580"/>
        <v>0.53</v>
      </c>
      <c r="E758" s="49">
        <f t="shared" si="573"/>
        <v>0</v>
      </c>
      <c r="F758" s="35">
        <f t="shared" si="581"/>
        <v>0</v>
      </c>
      <c r="G758" s="414">
        <f t="shared" si="582"/>
        <v>0</v>
      </c>
      <c r="H758" s="49">
        <f t="shared" si="574"/>
        <v>0</v>
      </c>
      <c r="I758" s="35">
        <f t="shared" si="583"/>
        <v>72378.959999999992</v>
      </c>
      <c r="J758" s="414">
        <f t="shared" si="584"/>
        <v>0.06</v>
      </c>
      <c r="K758" s="329">
        <f t="shared" si="575"/>
        <v>0</v>
      </c>
      <c r="L758" s="35">
        <f t="shared" si="585"/>
        <v>0</v>
      </c>
      <c r="M758" s="414">
        <f t="shared" si="586"/>
        <v>0</v>
      </c>
      <c r="N758" s="329">
        <f t="shared" si="576"/>
        <v>75000</v>
      </c>
      <c r="O758" s="35">
        <f t="shared" si="587"/>
        <v>75026.790000000008</v>
      </c>
      <c r="P758" s="414">
        <f t="shared" si="588"/>
        <v>0</v>
      </c>
      <c r="Q758" s="329">
        <f t="shared" si="577"/>
        <v>0</v>
      </c>
      <c r="R758" s="35">
        <f t="shared" si="589"/>
        <v>0</v>
      </c>
      <c r="S758" s="414">
        <f t="shared" si="590"/>
        <v>0</v>
      </c>
      <c r="T758" s="880">
        <f>[5]Sheet1!$B1173</f>
        <v>8.2191780821917796E-7</v>
      </c>
      <c r="U758" s="10">
        <f t="shared" si="591"/>
        <v>44559</v>
      </c>
      <c r="V758" s="276">
        <f t="shared" si="592"/>
        <v>2.9999999999999997E-4</v>
      </c>
    </row>
    <row r="759" spans="1:24" x14ac:dyDescent="0.25">
      <c r="A759" s="335">
        <f t="shared" si="578"/>
        <v>44560</v>
      </c>
      <c r="B759" s="329">
        <f t="shared" si="572"/>
        <v>120594.38</v>
      </c>
      <c r="C759" s="338">
        <f t="shared" si="579"/>
        <v>495248.27</v>
      </c>
      <c r="D759" s="414">
        <f t="shared" si="580"/>
        <v>0.31</v>
      </c>
      <c r="E759" s="49">
        <f t="shared" si="573"/>
        <v>0</v>
      </c>
      <c r="F759" s="35">
        <f t="shared" si="581"/>
        <v>0</v>
      </c>
      <c r="G759" s="414">
        <f t="shared" si="582"/>
        <v>0</v>
      </c>
      <c r="H759" s="49">
        <f t="shared" si="574"/>
        <v>0</v>
      </c>
      <c r="I759" s="35">
        <f t="shared" si="583"/>
        <v>72378.959999999992</v>
      </c>
      <c r="J759" s="414">
        <f t="shared" si="584"/>
        <v>0.06</v>
      </c>
      <c r="K759" s="329">
        <f t="shared" si="575"/>
        <v>0</v>
      </c>
      <c r="L759" s="35">
        <f t="shared" si="585"/>
        <v>0</v>
      </c>
      <c r="M759" s="414">
        <f t="shared" si="586"/>
        <v>0</v>
      </c>
      <c r="N759" s="329">
        <f t="shared" si="576"/>
        <v>-75000</v>
      </c>
      <c r="O759" s="35">
        <f t="shared" si="587"/>
        <v>26.790000000008149</v>
      </c>
      <c r="P759" s="414">
        <f t="shared" si="588"/>
        <v>0.06</v>
      </c>
      <c r="Q759" s="329">
        <f t="shared" si="577"/>
        <v>0</v>
      </c>
      <c r="R759" s="35">
        <f t="shared" si="589"/>
        <v>0</v>
      </c>
      <c r="S759" s="414">
        <f t="shared" si="590"/>
        <v>0</v>
      </c>
      <c r="T759" s="880">
        <f>[5]Sheet1!$B1174</f>
        <v>8.2191780821917796E-7</v>
      </c>
      <c r="U759" s="10">
        <f t="shared" si="591"/>
        <v>44560</v>
      </c>
      <c r="V759" s="276">
        <f t="shared" si="592"/>
        <v>2.9999999999999997E-4</v>
      </c>
    </row>
    <row r="760" spans="1:24" x14ac:dyDescent="0.25">
      <c r="A760" s="335">
        <f t="shared" si="578"/>
        <v>44561</v>
      </c>
      <c r="B760" s="329">
        <f t="shared" si="572"/>
        <v>-33035.949999999997</v>
      </c>
      <c r="C760" s="338">
        <f t="shared" si="579"/>
        <v>462212.32</v>
      </c>
      <c r="D760" s="414">
        <f t="shared" si="580"/>
        <v>0.41</v>
      </c>
      <c r="E760" s="49">
        <f t="shared" si="573"/>
        <v>0</v>
      </c>
      <c r="F760" s="35">
        <f t="shared" si="581"/>
        <v>0</v>
      </c>
      <c r="G760" s="414">
        <f t="shared" si="582"/>
        <v>0</v>
      </c>
      <c r="H760" s="49">
        <f t="shared" si="574"/>
        <v>3626.09</v>
      </c>
      <c r="I760" s="35">
        <f t="shared" si="583"/>
        <v>76005.049999999988</v>
      </c>
      <c r="J760" s="414">
        <f t="shared" si="584"/>
        <v>0.06</v>
      </c>
      <c r="K760" s="329">
        <f t="shared" si="575"/>
        <v>0</v>
      </c>
      <c r="L760" s="35">
        <f t="shared" si="585"/>
        <v>0</v>
      </c>
      <c r="M760" s="414">
        <f t="shared" si="586"/>
        <v>0</v>
      </c>
      <c r="N760" s="329">
        <f t="shared" si="576"/>
        <v>29409.86</v>
      </c>
      <c r="O760" s="35">
        <f t="shared" si="587"/>
        <v>29436.650000000009</v>
      </c>
      <c r="P760" s="414">
        <f t="shared" si="588"/>
        <v>0</v>
      </c>
      <c r="Q760" s="329">
        <f t="shared" si="577"/>
        <v>0</v>
      </c>
      <c r="R760" s="35">
        <f t="shared" si="589"/>
        <v>0</v>
      </c>
      <c r="S760" s="414">
        <f t="shared" si="590"/>
        <v>0</v>
      </c>
      <c r="T760" s="880">
        <f>[5]Sheet1!$B1175</f>
        <v>8.2191780821917796E-7</v>
      </c>
      <c r="U760" s="10">
        <f t="shared" si="591"/>
        <v>44561</v>
      </c>
      <c r="V760" s="276">
        <f t="shared" si="592"/>
        <v>2.9999999999999997E-4</v>
      </c>
      <c r="X760" s="765">
        <v>8.2191780821917796E-7</v>
      </c>
    </row>
    <row r="761" spans="1:24" x14ac:dyDescent="0.25">
      <c r="A761" s="335">
        <v>44562</v>
      </c>
      <c r="B761" s="329">
        <f t="shared" si="572"/>
        <v>0</v>
      </c>
      <c r="C761" s="338">
        <f t="shared" si="579"/>
        <v>462212.32</v>
      </c>
      <c r="D761" s="414">
        <f t="shared" si="580"/>
        <v>0.38</v>
      </c>
      <c r="E761" s="49">
        <f t="shared" si="573"/>
        <v>0</v>
      </c>
      <c r="F761" s="35">
        <f t="shared" si="581"/>
        <v>0</v>
      </c>
      <c r="G761" s="414">
        <f t="shared" si="582"/>
        <v>0</v>
      </c>
      <c r="H761" s="49">
        <f t="shared" si="574"/>
        <v>0</v>
      </c>
      <c r="I761" s="35">
        <f t="shared" si="583"/>
        <v>76005.049999999988</v>
      </c>
      <c r="J761" s="414">
        <f t="shared" si="584"/>
        <v>0.06</v>
      </c>
      <c r="K761" s="329">
        <f t="shared" si="575"/>
        <v>0</v>
      </c>
      <c r="L761" s="35">
        <f t="shared" si="585"/>
        <v>0</v>
      </c>
      <c r="M761" s="414">
        <f t="shared" si="586"/>
        <v>0</v>
      </c>
      <c r="N761" s="329">
        <f t="shared" si="576"/>
        <v>0</v>
      </c>
      <c r="O761" s="35">
        <f t="shared" si="587"/>
        <v>29436.650000000009</v>
      </c>
      <c r="P761" s="414">
        <f t="shared" si="588"/>
        <v>0.02</v>
      </c>
      <c r="Q761" s="329">
        <f t="shared" si="577"/>
        <v>0</v>
      </c>
      <c r="R761" s="35">
        <f t="shared" si="589"/>
        <v>0</v>
      </c>
      <c r="S761" s="414">
        <f t="shared" si="590"/>
        <v>0</v>
      </c>
      <c r="T761" s="880">
        <f>[5]Sheet1!$B1176</f>
        <v>8.2191780821917796E-7</v>
      </c>
      <c r="U761" s="10">
        <f t="shared" si="591"/>
        <v>44562</v>
      </c>
      <c r="V761" s="276">
        <f t="shared" si="592"/>
        <v>2.9999999999999997E-4</v>
      </c>
      <c r="X761" s="765">
        <v>2.4657534246575337E-6</v>
      </c>
    </row>
    <row r="762" spans="1:24" x14ac:dyDescent="0.25">
      <c r="A762" s="335">
        <v>44563</v>
      </c>
      <c r="B762" s="329">
        <f t="shared" si="572"/>
        <v>0</v>
      </c>
      <c r="C762" s="338">
        <f t="shared" si="579"/>
        <v>462212.32</v>
      </c>
      <c r="D762" s="414">
        <f t="shared" si="580"/>
        <v>0.38</v>
      </c>
      <c r="E762" s="49">
        <f t="shared" si="573"/>
        <v>0</v>
      </c>
      <c r="F762" s="35">
        <f t="shared" si="581"/>
        <v>0</v>
      </c>
      <c r="G762" s="414">
        <f t="shared" si="582"/>
        <v>0</v>
      </c>
      <c r="H762" s="49">
        <f t="shared" si="574"/>
        <v>0</v>
      </c>
      <c r="I762" s="35">
        <f t="shared" si="583"/>
        <v>76005.049999999988</v>
      </c>
      <c r="J762" s="414">
        <f t="shared" si="584"/>
        <v>0.06</v>
      </c>
      <c r="K762" s="329">
        <f t="shared" si="575"/>
        <v>0</v>
      </c>
      <c r="L762" s="35">
        <f t="shared" si="585"/>
        <v>0</v>
      </c>
      <c r="M762" s="414">
        <f t="shared" si="586"/>
        <v>0</v>
      </c>
      <c r="N762" s="329">
        <f t="shared" si="576"/>
        <v>0</v>
      </c>
      <c r="O762" s="35">
        <f t="shared" si="587"/>
        <v>29436.650000000009</v>
      </c>
      <c r="P762" s="414">
        <f t="shared" si="588"/>
        <v>0.02</v>
      </c>
      <c r="Q762" s="329">
        <f t="shared" si="577"/>
        <v>0</v>
      </c>
      <c r="R762" s="35">
        <f t="shared" si="589"/>
        <v>0</v>
      </c>
      <c r="S762" s="414">
        <f t="shared" si="590"/>
        <v>0</v>
      </c>
      <c r="T762" s="880">
        <f>[5]Sheet1!$B1177</f>
        <v>8.2191780821917796E-7</v>
      </c>
      <c r="U762" s="10">
        <f t="shared" si="591"/>
        <v>44563</v>
      </c>
      <c r="V762" s="276">
        <f t="shared" si="592"/>
        <v>2.9999999999999997E-4</v>
      </c>
    </row>
    <row r="763" spans="1:24" x14ac:dyDescent="0.25">
      <c r="A763" s="335">
        <f t="shared" si="578"/>
        <v>44564</v>
      </c>
      <c r="B763" s="329">
        <f t="shared" si="572"/>
        <v>0</v>
      </c>
      <c r="C763" s="338">
        <f t="shared" si="579"/>
        <v>462212.32</v>
      </c>
      <c r="D763" s="414">
        <f t="shared" si="580"/>
        <v>0.38</v>
      </c>
      <c r="E763" s="49">
        <f t="shared" si="573"/>
        <v>0</v>
      </c>
      <c r="F763" s="35">
        <f t="shared" si="581"/>
        <v>0</v>
      </c>
      <c r="G763" s="414">
        <f t="shared" si="582"/>
        <v>0</v>
      </c>
      <c r="H763" s="49">
        <f t="shared" si="574"/>
        <v>-146.93</v>
      </c>
      <c r="I763" s="35">
        <f t="shared" si="583"/>
        <v>75858.12</v>
      </c>
      <c r="J763" s="414">
        <f t="shared" si="584"/>
        <v>0.06</v>
      </c>
      <c r="K763" s="329">
        <f t="shared" si="575"/>
        <v>0</v>
      </c>
      <c r="L763" s="35">
        <f t="shared" si="585"/>
        <v>0</v>
      </c>
      <c r="M763" s="414">
        <f t="shared" si="586"/>
        <v>0</v>
      </c>
      <c r="N763" s="329">
        <f t="shared" si="576"/>
        <v>0</v>
      </c>
      <c r="O763" s="35">
        <f t="shared" si="587"/>
        <v>29436.650000000009</v>
      </c>
      <c r="P763" s="414">
        <f t="shared" si="588"/>
        <v>0.02</v>
      </c>
      <c r="Q763" s="329">
        <f t="shared" si="577"/>
        <v>0</v>
      </c>
      <c r="R763" s="35">
        <f t="shared" si="589"/>
        <v>0</v>
      </c>
      <c r="S763" s="414">
        <f t="shared" si="590"/>
        <v>0</v>
      </c>
      <c r="T763" s="880">
        <f>[5]Sheet1!$B1178</f>
        <v>8.2191780821917796E-7</v>
      </c>
      <c r="U763" s="10">
        <f t="shared" si="591"/>
        <v>44564</v>
      </c>
      <c r="V763" s="276">
        <f t="shared" si="592"/>
        <v>2.9999999999999997E-4</v>
      </c>
    </row>
    <row r="764" spans="1:24" x14ac:dyDescent="0.25">
      <c r="A764" s="335">
        <f t="shared" si="578"/>
        <v>44565</v>
      </c>
      <c r="B764" s="329">
        <f t="shared" si="572"/>
        <v>50022.81</v>
      </c>
      <c r="C764" s="338">
        <f t="shared" si="579"/>
        <v>512235.13</v>
      </c>
      <c r="D764" s="414">
        <f t="shared" si="580"/>
        <v>0.38</v>
      </c>
      <c r="E764" s="49">
        <f t="shared" si="573"/>
        <v>0</v>
      </c>
      <c r="F764" s="35">
        <f t="shared" si="581"/>
        <v>0</v>
      </c>
      <c r="G764" s="414">
        <f t="shared" si="582"/>
        <v>0</v>
      </c>
      <c r="H764" s="49">
        <f t="shared" si="574"/>
        <v>1.86</v>
      </c>
      <c r="I764" s="35">
        <f t="shared" si="583"/>
        <v>75859.98</v>
      </c>
      <c r="J764" s="414">
        <f t="shared" si="584"/>
        <v>0.06</v>
      </c>
      <c r="K764" s="329">
        <f t="shared" si="575"/>
        <v>0</v>
      </c>
      <c r="L764" s="35">
        <f t="shared" si="585"/>
        <v>0</v>
      </c>
      <c r="M764" s="414">
        <f t="shared" si="586"/>
        <v>0</v>
      </c>
      <c r="N764" s="329">
        <f t="shared" si="576"/>
        <v>-29409.759999999998</v>
      </c>
      <c r="O764" s="35">
        <f t="shared" si="587"/>
        <v>26.890000000010332</v>
      </c>
      <c r="P764" s="414">
        <f t="shared" si="588"/>
        <v>0.02</v>
      </c>
      <c r="Q764" s="329">
        <f t="shared" si="577"/>
        <v>0</v>
      </c>
      <c r="R764" s="35">
        <f t="shared" si="589"/>
        <v>0</v>
      </c>
      <c r="S764" s="414">
        <f t="shared" si="590"/>
        <v>0</v>
      </c>
      <c r="T764" s="880">
        <f>[5]Sheet1!$B1179</f>
        <v>8.2191780821917796E-7</v>
      </c>
      <c r="U764" s="10">
        <f t="shared" si="591"/>
        <v>44565</v>
      </c>
      <c r="V764" s="276">
        <f t="shared" si="592"/>
        <v>2.9999999999999997E-4</v>
      </c>
    </row>
    <row r="765" spans="1:24" x14ac:dyDescent="0.25">
      <c r="A765" s="335">
        <f t="shared" si="578"/>
        <v>44566</v>
      </c>
      <c r="B765" s="329">
        <f t="shared" si="572"/>
        <v>0</v>
      </c>
      <c r="C765" s="338">
        <f t="shared" si="579"/>
        <v>512235.13</v>
      </c>
      <c r="D765" s="414">
        <f t="shared" si="580"/>
        <v>0.42</v>
      </c>
      <c r="E765" s="49">
        <f t="shared" si="573"/>
        <v>0</v>
      </c>
      <c r="F765" s="35">
        <f t="shared" si="581"/>
        <v>0</v>
      </c>
      <c r="G765" s="414">
        <f t="shared" si="582"/>
        <v>0</v>
      </c>
      <c r="H765" s="49">
        <f t="shared" si="574"/>
        <v>0</v>
      </c>
      <c r="I765" s="35">
        <f t="shared" si="583"/>
        <v>75859.98</v>
      </c>
      <c r="J765" s="414">
        <f t="shared" si="584"/>
        <v>0.06</v>
      </c>
      <c r="K765" s="329">
        <f t="shared" si="575"/>
        <v>0</v>
      </c>
      <c r="L765" s="35">
        <f t="shared" si="585"/>
        <v>0</v>
      </c>
      <c r="M765" s="414">
        <f t="shared" si="586"/>
        <v>0</v>
      </c>
      <c r="N765" s="329">
        <f t="shared" si="576"/>
        <v>0</v>
      </c>
      <c r="O765" s="35">
        <f t="shared" si="587"/>
        <v>26.890000000010332</v>
      </c>
      <c r="P765" s="414">
        <f t="shared" si="588"/>
        <v>0</v>
      </c>
      <c r="Q765" s="329">
        <f t="shared" si="577"/>
        <v>0</v>
      </c>
      <c r="R765" s="35">
        <f t="shared" si="589"/>
        <v>0</v>
      </c>
      <c r="S765" s="414">
        <f t="shared" si="590"/>
        <v>0</v>
      </c>
      <c r="T765" s="880">
        <f>[5]Sheet1!$B1180</f>
        <v>8.2191780821917796E-7</v>
      </c>
      <c r="U765" s="10">
        <f t="shared" si="591"/>
        <v>44566</v>
      </c>
      <c r="V765" s="276">
        <f t="shared" si="592"/>
        <v>2.9999999999999997E-4</v>
      </c>
    </row>
    <row r="766" spans="1:24" x14ac:dyDescent="0.25">
      <c r="A766" s="335">
        <f t="shared" si="578"/>
        <v>44567</v>
      </c>
      <c r="B766" s="329">
        <f t="shared" si="572"/>
        <v>-4718.09</v>
      </c>
      <c r="C766" s="338">
        <f t="shared" si="579"/>
        <v>507517.04</v>
      </c>
      <c r="D766" s="414">
        <f t="shared" si="580"/>
        <v>0.42</v>
      </c>
      <c r="E766" s="49">
        <f t="shared" si="573"/>
        <v>0</v>
      </c>
      <c r="F766" s="35">
        <f t="shared" si="581"/>
        <v>0</v>
      </c>
      <c r="G766" s="414">
        <f t="shared" si="582"/>
        <v>0</v>
      </c>
      <c r="H766" s="49">
        <f t="shared" si="574"/>
        <v>0</v>
      </c>
      <c r="I766" s="35">
        <f t="shared" si="583"/>
        <v>75859.98</v>
      </c>
      <c r="J766" s="414">
        <f t="shared" si="584"/>
        <v>0.06</v>
      </c>
      <c r="K766" s="329">
        <f t="shared" si="575"/>
        <v>0</v>
      </c>
      <c r="L766" s="35">
        <f t="shared" si="585"/>
        <v>0</v>
      </c>
      <c r="M766" s="414">
        <f t="shared" si="586"/>
        <v>0</v>
      </c>
      <c r="N766" s="329">
        <f t="shared" si="576"/>
        <v>0</v>
      </c>
      <c r="O766" s="35">
        <f t="shared" si="587"/>
        <v>26.890000000010332</v>
      </c>
      <c r="P766" s="414">
        <f t="shared" si="588"/>
        <v>0</v>
      </c>
      <c r="Q766" s="329">
        <f t="shared" si="577"/>
        <v>0</v>
      </c>
      <c r="R766" s="35">
        <f t="shared" si="589"/>
        <v>0</v>
      </c>
      <c r="S766" s="414">
        <f t="shared" si="590"/>
        <v>0</v>
      </c>
      <c r="T766" s="880">
        <f>[5]Sheet1!$B1181</f>
        <v>8.2191780821917796E-7</v>
      </c>
      <c r="U766" s="10">
        <f t="shared" si="591"/>
        <v>44567</v>
      </c>
      <c r="V766" s="276">
        <f t="shared" si="592"/>
        <v>2.9999999999999997E-4</v>
      </c>
    </row>
    <row r="767" spans="1:24" x14ac:dyDescent="0.25">
      <c r="A767" s="335">
        <f t="shared" si="578"/>
        <v>44568</v>
      </c>
      <c r="B767" s="329">
        <f t="shared" si="572"/>
        <v>0</v>
      </c>
      <c r="C767" s="338">
        <f t="shared" ref="C767:C830" si="593">B767+C766</f>
        <v>507517.04</v>
      </c>
      <c r="D767" s="414">
        <f t="shared" ref="D767:D830" si="594">ROUND(C766*$T766,2)</f>
        <v>0.42</v>
      </c>
      <c r="E767" s="49">
        <f t="shared" si="573"/>
        <v>0</v>
      </c>
      <c r="F767" s="35">
        <f t="shared" ref="F767:F830" si="595">E767+F766</f>
        <v>0</v>
      </c>
      <c r="G767" s="414">
        <f t="shared" ref="G767:G830" si="596">ROUND(F766*$T766,2)</f>
        <v>0</v>
      </c>
      <c r="H767" s="49">
        <f t="shared" si="574"/>
        <v>0</v>
      </c>
      <c r="I767" s="35">
        <f t="shared" ref="I767:I830" si="597">H767+I766</f>
        <v>75859.98</v>
      </c>
      <c r="J767" s="414">
        <f t="shared" ref="J767:J830" si="598">ROUND(I766*$T766,2)</f>
        <v>0.06</v>
      </c>
      <c r="K767" s="329">
        <f t="shared" si="575"/>
        <v>0</v>
      </c>
      <c r="L767" s="35">
        <f t="shared" ref="L767:L830" si="599">K767+L766</f>
        <v>0</v>
      </c>
      <c r="M767" s="414">
        <f t="shared" ref="M767:M830" si="600">ROUND(L766*$T766,2)</f>
        <v>0</v>
      </c>
      <c r="N767" s="329">
        <f t="shared" si="576"/>
        <v>0</v>
      </c>
      <c r="O767" s="35">
        <f t="shared" ref="O767:O830" si="601">N767+O766</f>
        <v>26.890000000010332</v>
      </c>
      <c r="P767" s="414">
        <f t="shared" ref="P767:P830" si="602">ROUND(O766*$T766,2)</f>
        <v>0</v>
      </c>
      <c r="Q767" s="329">
        <f t="shared" si="577"/>
        <v>0</v>
      </c>
      <c r="R767" s="35">
        <f t="shared" ref="R767:R830" si="603">Q767+R766</f>
        <v>0</v>
      </c>
      <c r="S767" s="414">
        <f t="shared" ref="S767:S830" si="604">ROUND(R766*$T766,2)</f>
        <v>0</v>
      </c>
      <c r="T767" s="880">
        <f>[5]Sheet1!$B1182</f>
        <v>2.4657534246575337E-6</v>
      </c>
      <c r="U767" s="10">
        <f t="shared" ref="U767:U830" si="605">A767</f>
        <v>44568</v>
      </c>
      <c r="V767" s="276">
        <f t="shared" ref="V767:V830" si="606">T767*365/(A768-A767)</f>
        <v>2.9999999999999992E-4</v>
      </c>
    </row>
    <row r="768" spans="1:24" x14ac:dyDescent="0.25">
      <c r="A768" s="335">
        <f t="shared" si="578"/>
        <v>44571</v>
      </c>
      <c r="B768" s="329">
        <f t="shared" si="572"/>
        <v>0</v>
      </c>
      <c r="C768" s="338">
        <f t="shared" si="593"/>
        <v>507517.04</v>
      </c>
      <c r="D768" s="414">
        <f t="shared" si="594"/>
        <v>1.25</v>
      </c>
      <c r="E768" s="49">
        <f t="shared" si="573"/>
        <v>0</v>
      </c>
      <c r="F768" s="35">
        <f t="shared" si="595"/>
        <v>0</v>
      </c>
      <c r="G768" s="414">
        <f t="shared" si="596"/>
        <v>0</v>
      </c>
      <c r="H768" s="49">
        <f t="shared" si="574"/>
        <v>0</v>
      </c>
      <c r="I768" s="35">
        <f t="shared" si="597"/>
        <v>75859.98</v>
      </c>
      <c r="J768" s="414">
        <f t="shared" si="598"/>
        <v>0.19</v>
      </c>
      <c r="K768" s="329">
        <f t="shared" si="575"/>
        <v>0</v>
      </c>
      <c r="L768" s="35">
        <f t="shared" si="599"/>
        <v>0</v>
      </c>
      <c r="M768" s="414">
        <f t="shared" si="600"/>
        <v>0</v>
      </c>
      <c r="N768" s="329">
        <f t="shared" si="576"/>
        <v>0</v>
      </c>
      <c r="O768" s="35">
        <f t="shared" si="601"/>
        <v>26.890000000010332</v>
      </c>
      <c r="P768" s="414">
        <f t="shared" si="602"/>
        <v>0</v>
      </c>
      <c r="Q768" s="329">
        <f t="shared" si="577"/>
        <v>0</v>
      </c>
      <c r="R768" s="35">
        <f t="shared" si="603"/>
        <v>0</v>
      </c>
      <c r="S768" s="414">
        <f t="shared" si="604"/>
        <v>0</v>
      </c>
      <c r="T768" s="880">
        <f>[5]Sheet1!$B1183</f>
        <v>8.2191780821917796E-7</v>
      </c>
      <c r="U768" s="10">
        <f t="shared" si="605"/>
        <v>44571</v>
      </c>
      <c r="V768" s="276">
        <f t="shared" si="606"/>
        <v>2.9999999999999997E-4</v>
      </c>
    </row>
    <row r="769" spans="1:22" x14ac:dyDescent="0.25">
      <c r="A769" s="335">
        <f t="shared" si="578"/>
        <v>44572</v>
      </c>
      <c r="B769" s="329">
        <f t="shared" si="572"/>
        <v>0</v>
      </c>
      <c r="C769" s="338">
        <f t="shared" si="593"/>
        <v>507517.04</v>
      </c>
      <c r="D769" s="414">
        <f t="shared" si="594"/>
        <v>0.42</v>
      </c>
      <c r="E769" s="49">
        <f t="shared" si="573"/>
        <v>0</v>
      </c>
      <c r="F769" s="35">
        <f t="shared" si="595"/>
        <v>0</v>
      </c>
      <c r="G769" s="414">
        <f t="shared" si="596"/>
        <v>0</v>
      </c>
      <c r="H769" s="49">
        <f t="shared" si="574"/>
        <v>0</v>
      </c>
      <c r="I769" s="35">
        <f t="shared" si="597"/>
        <v>75859.98</v>
      </c>
      <c r="J769" s="414">
        <f t="shared" si="598"/>
        <v>0.06</v>
      </c>
      <c r="K769" s="329">
        <f t="shared" si="575"/>
        <v>0</v>
      </c>
      <c r="L769" s="35">
        <f t="shared" si="599"/>
        <v>0</v>
      </c>
      <c r="M769" s="414">
        <f t="shared" si="600"/>
        <v>0</v>
      </c>
      <c r="N769" s="329">
        <f t="shared" si="576"/>
        <v>0</v>
      </c>
      <c r="O769" s="35">
        <f t="shared" si="601"/>
        <v>26.890000000010332</v>
      </c>
      <c r="P769" s="414">
        <f t="shared" si="602"/>
        <v>0</v>
      </c>
      <c r="Q769" s="329">
        <f t="shared" si="577"/>
        <v>0</v>
      </c>
      <c r="R769" s="35">
        <f t="shared" si="603"/>
        <v>0</v>
      </c>
      <c r="S769" s="414">
        <f t="shared" si="604"/>
        <v>0</v>
      </c>
      <c r="T769" s="880">
        <f>[5]Sheet1!$B1184</f>
        <v>8.2191780821917796E-7</v>
      </c>
      <c r="U769" s="10">
        <f t="shared" si="605"/>
        <v>44572</v>
      </c>
      <c r="V769" s="276">
        <f t="shared" si="606"/>
        <v>2.9999999999999997E-4</v>
      </c>
    </row>
    <row r="770" spans="1:22" x14ac:dyDescent="0.25">
      <c r="A770" s="335">
        <f t="shared" si="578"/>
        <v>44573</v>
      </c>
      <c r="B770" s="329">
        <f t="shared" si="572"/>
        <v>0</v>
      </c>
      <c r="C770" s="338">
        <f t="shared" si="593"/>
        <v>507517.04</v>
      </c>
      <c r="D770" s="414">
        <f t="shared" si="594"/>
        <v>0.42</v>
      </c>
      <c r="E770" s="49">
        <f t="shared" si="573"/>
        <v>0</v>
      </c>
      <c r="F770" s="35">
        <f t="shared" si="595"/>
        <v>0</v>
      </c>
      <c r="G770" s="414">
        <f t="shared" si="596"/>
        <v>0</v>
      </c>
      <c r="H770" s="49">
        <f t="shared" si="574"/>
        <v>0</v>
      </c>
      <c r="I770" s="35">
        <f t="shared" si="597"/>
        <v>75859.98</v>
      </c>
      <c r="J770" s="414">
        <f t="shared" si="598"/>
        <v>0.06</v>
      </c>
      <c r="K770" s="329">
        <f t="shared" si="575"/>
        <v>0</v>
      </c>
      <c r="L770" s="35">
        <f t="shared" si="599"/>
        <v>0</v>
      </c>
      <c r="M770" s="414">
        <f t="shared" si="600"/>
        <v>0</v>
      </c>
      <c r="N770" s="329">
        <f t="shared" si="576"/>
        <v>0</v>
      </c>
      <c r="O770" s="35">
        <f t="shared" si="601"/>
        <v>26.890000000010332</v>
      </c>
      <c r="P770" s="414">
        <f t="shared" si="602"/>
        <v>0</v>
      </c>
      <c r="Q770" s="329">
        <f t="shared" si="577"/>
        <v>0</v>
      </c>
      <c r="R770" s="35">
        <f t="shared" si="603"/>
        <v>0</v>
      </c>
      <c r="S770" s="414">
        <f t="shared" si="604"/>
        <v>0</v>
      </c>
      <c r="T770" s="880">
        <f>[5]Sheet1!$B1185</f>
        <v>8.2191780821917796E-7</v>
      </c>
      <c r="U770" s="10">
        <f t="shared" si="605"/>
        <v>44573</v>
      </c>
      <c r="V770" s="276">
        <f t="shared" si="606"/>
        <v>2.9999999999999997E-4</v>
      </c>
    </row>
    <row r="771" spans="1:22" x14ac:dyDescent="0.25">
      <c r="A771" s="335">
        <f t="shared" si="578"/>
        <v>44574</v>
      </c>
      <c r="B771" s="329">
        <f t="shared" si="572"/>
        <v>0</v>
      </c>
      <c r="C771" s="338">
        <f t="shared" si="593"/>
        <v>507517.04</v>
      </c>
      <c r="D771" s="414">
        <f t="shared" si="594"/>
        <v>0.42</v>
      </c>
      <c r="E771" s="49">
        <f t="shared" si="573"/>
        <v>0</v>
      </c>
      <c r="F771" s="35">
        <f t="shared" si="595"/>
        <v>0</v>
      </c>
      <c r="G771" s="414">
        <f t="shared" si="596"/>
        <v>0</v>
      </c>
      <c r="H771" s="49">
        <f t="shared" si="574"/>
        <v>0</v>
      </c>
      <c r="I771" s="35">
        <f t="shared" si="597"/>
        <v>75859.98</v>
      </c>
      <c r="J771" s="414">
        <f t="shared" si="598"/>
        <v>0.06</v>
      </c>
      <c r="K771" s="329">
        <f t="shared" si="575"/>
        <v>0</v>
      </c>
      <c r="L771" s="35">
        <f t="shared" si="599"/>
        <v>0</v>
      </c>
      <c r="M771" s="414">
        <f t="shared" si="600"/>
        <v>0</v>
      </c>
      <c r="N771" s="329">
        <f t="shared" si="576"/>
        <v>0</v>
      </c>
      <c r="O771" s="35">
        <f t="shared" si="601"/>
        <v>26.890000000010332</v>
      </c>
      <c r="P771" s="414">
        <f t="shared" si="602"/>
        <v>0</v>
      </c>
      <c r="Q771" s="329">
        <f t="shared" si="577"/>
        <v>0</v>
      </c>
      <c r="R771" s="35">
        <f t="shared" si="603"/>
        <v>0</v>
      </c>
      <c r="S771" s="414">
        <f t="shared" si="604"/>
        <v>0</v>
      </c>
      <c r="T771" s="880">
        <f>[5]Sheet1!$B1186</f>
        <v>8.2191780821917796E-7</v>
      </c>
      <c r="U771" s="10">
        <f t="shared" si="605"/>
        <v>44574</v>
      </c>
      <c r="V771" s="276">
        <f t="shared" si="606"/>
        <v>2.9999999999999997E-4</v>
      </c>
    </row>
    <row r="772" spans="1:22" x14ac:dyDescent="0.25">
      <c r="A772" s="335">
        <f t="shared" si="578"/>
        <v>44575</v>
      </c>
      <c r="B772" s="329">
        <f t="shared" si="572"/>
        <v>0</v>
      </c>
      <c r="C772" s="338">
        <f t="shared" si="593"/>
        <v>507517.04</v>
      </c>
      <c r="D772" s="414">
        <f t="shared" si="594"/>
        <v>0.42</v>
      </c>
      <c r="E772" s="49">
        <f t="shared" si="573"/>
        <v>0</v>
      </c>
      <c r="F772" s="35">
        <f t="shared" si="595"/>
        <v>0</v>
      </c>
      <c r="G772" s="414">
        <f t="shared" si="596"/>
        <v>0</v>
      </c>
      <c r="H772" s="49">
        <f t="shared" si="574"/>
        <v>0</v>
      </c>
      <c r="I772" s="35">
        <f t="shared" si="597"/>
        <v>75859.98</v>
      </c>
      <c r="J772" s="414">
        <f t="shared" si="598"/>
        <v>0.06</v>
      </c>
      <c r="K772" s="329">
        <f t="shared" si="575"/>
        <v>0</v>
      </c>
      <c r="L772" s="35">
        <f t="shared" si="599"/>
        <v>0</v>
      </c>
      <c r="M772" s="414">
        <f t="shared" si="600"/>
        <v>0</v>
      </c>
      <c r="N772" s="329">
        <f t="shared" si="576"/>
        <v>0</v>
      </c>
      <c r="O772" s="35">
        <f t="shared" si="601"/>
        <v>26.890000000010332</v>
      </c>
      <c r="P772" s="414">
        <f t="shared" si="602"/>
        <v>0</v>
      </c>
      <c r="Q772" s="329">
        <f t="shared" si="577"/>
        <v>0</v>
      </c>
      <c r="R772" s="35">
        <f t="shared" si="603"/>
        <v>0</v>
      </c>
      <c r="S772" s="414">
        <f t="shared" si="604"/>
        <v>0</v>
      </c>
      <c r="T772" s="880">
        <f>[5]Sheet1!$B1187</f>
        <v>3.2876712328767118E-6</v>
      </c>
      <c r="U772" s="10">
        <f t="shared" si="605"/>
        <v>44575</v>
      </c>
      <c r="V772" s="276">
        <f t="shared" si="606"/>
        <v>2.9999999999999997E-4</v>
      </c>
    </row>
    <row r="773" spans="1:22" x14ac:dyDescent="0.25">
      <c r="A773" s="335">
        <v>44579</v>
      </c>
      <c r="B773" s="329">
        <f t="shared" si="572"/>
        <v>1003.7800000000279</v>
      </c>
      <c r="C773" s="338">
        <f t="shared" si="593"/>
        <v>508520.82</v>
      </c>
      <c r="D773" s="414">
        <f t="shared" si="594"/>
        <v>1.67</v>
      </c>
      <c r="E773" s="49">
        <f t="shared" si="573"/>
        <v>0</v>
      </c>
      <c r="F773" s="35">
        <f t="shared" si="595"/>
        <v>0</v>
      </c>
      <c r="G773" s="414">
        <f t="shared" si="596"/>
        <v>0</v>
      </c>
      <c r="H773" s="49">
        <f t="shared" si="574"/>
        <v>0</v>
      </c>
      <c r="I773" s="35">
        <f t="shared" si="597"/>
        <v>75859.98</v>
      </c>
      <c r="J773" s="414">
        <f t="shared" si="598"/>
        <v>0.25</v>
      </c>
      <c r="K773" s="329">
        <f t="shared" si="575"/>
        <v>0</v>
      </c>
      <c r="L773" s="35">
        <f t="shared" si="599"/>
        <v>0</v>
      </c>
      <c r="M773" s="414">
        <f t="shared" si="600"/>
        <v>0</v>
      </c>
      <c r="N773" s="329">
        <f t="shared" si="576"/>
        <v>0</v>
      </c>
      <c r="O773" s="35">
        <f t="shared" si="601"/>
        <v>26.890000000010332</v>
      </c>
      <c r="P773" s="414">
        <f t="shared" si="602"/>
        <v>0</v>
      </c>
      <c r="Q773" s="329">
        <f t="shared" si="577"/>
        <v>0</v>
      </c>
      <c r="R773" s="35">
        <f t="shared" si="603"/>
        <v>0</v>
      </c>
      <c r="S773" s="414">
        <f t="shared" si="604"/>
        <v>0</v>
      </c>
      <c r="T773" s="880">
        <f>[5]Sheet1!$B1188</f>
        <v>8.2191780821917796E-7</v>
      </c>
      <c r="U773" s="10">
        <f t="shared" si="605"/>
        <v>44579</v>
      </c>
      <c r="V773" s="276">
        <f t="shared" si="606"/>
        <v>2.9999999999999997E-4</v>
      </c>
    </row>
    <row r="774" spans="1:22" x14ac:dyDescent="0.25">
      <c r="A774" s="335">
        <f t="shared" si="578"/>
        <v>44580</v>
      </c>
      <c r="B774" s="329">
        <f t="shared" si="572"/>
        <v>-123992.18</v>
      </c>
      <c r="C774" s="338">
        <f t="shared" si="593"/>
        <v>384528.64000000001</v>
      </c>
      <c r="D774" s="414">
        <f t="shared" si="594"/>
        <v>0.42</v>
      </c>
      <c r="E774" s="49">
        <f t="shared" si="573"/>
        <v>0</v>
      </c>
      <c r="F774" s="35">
        <f t="shared" si="595"/>
        <v>0</v>
      </c>
      <c r="G774" s="414">
        <f t="shared" si="596"/>
        <v>0</v>
      </c>
      <c r="H774" s="49">
        <f t="shared" si="574"/>
        <v>0</v>
      </c>
      <c r="I774" s="35">
        <f t="shared" si="597"/>
        <v>75859.98</v>
      </c>
      <c r="J774" s="414">
        <f t="shared" si="598"/>
        <v>0.06</v>
      </c>
      <c r="K774" s="329">
        <f t="shared" si="575"/>
        <v>0</v>
      </c>
      <c r="L774" s="35">
        <f t="shared" si="599"/>
        <v>0</v>
      </c>
      <c r="M774" s="414">
        <f t="shared" si="600"/>
        <v>0</v>
      </c>
      <c r="N774" s="329">
        <f t="shared" si="576"/>
        <v>0</v>
      </c>
      <c r="O774" s="35">
        <f t="shared" si="601"/>
        <v>26.890000000010332</v>
      </c>
      <c r="P774" s="414">
        <f t="shared" si="602"/>
        <v>0</v>
      </c>
      <c r="Q774" s="329">
        <f t="shared" si="577"/>
        <v>0</v>
      </c>
      <c r="R774" s="35">
        <f t="shared" si="603"/>
        <v>0</v>
      </c>
      <c r="S774" s="414">
        <f t="shared" si="604"/>
        <v>0</v>
      </c>
      <c r="T774" s="880">
        <f>[5]Sheet1!$B1189</f>
        <v>8.2191780821917796E-7</v>
      </c>
      <c r="U774" s="10">
        <f t="shared" si="605"/>
        <v>44580</v>
      </c>
      <c r="V774" s="276">
        <f t="shared" si="606"/>
        <v>2.9999999999999997E-4</v>
      </c>
    </row>
    <row r="775" spans="1:22" x14ac:dyDescent="0.25">
      <c r="A775" s="335">
        <f t="shared" si="578"/>
        <v>44581</v>
      </c>
      <c r="B775" s="329">
        <f t="shared" ref="B775:B838" si="607">-SUMIFS(CF_Main,CF_Dates,$A775,CF_Descriptions,"MM Sweep")</f>
        <v>0</v>
      </c>
      <c r="C775" s="338">
        <f t="shared" si="593"/>
        <v>384528.64000000001</v>
      </c>
      <c r="D775" s="414">
        <f t="shared" si="594"/>
        <v>0.32</v>
      </c>
      <c r="E775" s="49">
        <f t="shared" ref="E775:E838" si="608">-SUMIFS(CF_Main_EUR,CF_Dates,$A775,CF_Descriptions,"MM Sweep")</f>
        <v>0</v>
      </c>
      <c r="F775" s="35">
        <f t="shared" si="595"/>
        <v>0</v>
      </c>
      <c r="G775" s="414">
        <f t="shared" si="596"/>
        <v>0</v>
      </c>
      <c r="H775" s="49">
        <f t="shared" ref="H775:H838" si="609">-SUMIFS(CF_Expenses,CF_Dates,$A775,CF_Descriptions,"MM Sweep")</f>
        <v>0</v>
      </c>
      <c r="I775" s="35">
        <f t="shared" si="597"/>
        <v>75859.98</v>
      </c>
      <c r="J775" s="414">
        <f t="shared" si="598"/>
        <v>0.06</v>
      </c>
      <c r="K775" s="329">
        <f t="shared" ref="K775:K838" si="610">-SUMIFS(CF_Margin,CF_Dates,$A775,CF_Descriptions,"MM Sweep")</f>
        <v>0</v>
      </c>
      <c r="L775" s="35">
        <f t="shared" si="599"/>
        <v>0</v>
      </c>
      <c r="M775" s="414">
        <f t="shared" si="600"/>
        <v>0</v>
      </c>
      <c r="N775" s="329">
        <f t="shared" ref="N775:N838" si="611">-SUMIFS(CF_Mgmt,CF_Dates,$A775,CF_Descriptions,"MM Sweep")</f>
        <v>0</v>
      </c>
      <c r="O775" s="35">
        <f t="shared" si="601"/>
        <v>26.890000000010332</v>
      </c>
      <c r="P775" s="414">
        <f t="shared" si="602"/>
        <v>0</v>
      </c>
      <c r="Q775" s="329">
        <f t="shared" ref="Q775:Q838" si="612">-SUMIFS(CF_SubRedemp,CF_Dates,$A775,CF_Descriptions,"MM Sweep")</f>
        <v>0</v>
      </c>
      <c r="R775" s="35">
        <f t="shared" si="603"/>
        <v>0</v>
      </c>
      <c r="S775" s="414">
        <f t="shared" si="604"/>
        <v>0</v>
      </c>
      <c r="T775" s="880">
        <f>[5]Sheet1!$B1190</f>
        <v>8.2191780821917796E-7</v>
      </c>
      <c r="U775" s="10">
        <f t="shared" si="605"/>
        <v>44581</v>
      </c>
      <c r="V775" s="276">
        <f t="shared" si="606"/>
        <v>2.9999999999999997E-4</v>
      </c>
    </row>
    <row r="776" spans="1:22" x14ac:dyDescent="0.25">
      <c r="A776" s="335">
        <f t="shared" si="578"/>
        <v>44582</v>
      </c>
      <c r="B776" s="329">
        <f t="shared" si="607"/>
        <v>0</v>
      </c>
      <c r="C776" s="338">
        <f t="shared" si="593"/>
        <v>384528.64000000001</v>
      </c>
      <c r="D776" s="414">
        <f t="shared" si="594"/>
        <v>0.32</v>
      </c>
      <c r="E776" s="49">
        <f t="shared" si="608"/>
        <v>0</v>
      </c>
      <c r="F776" s="35">
        <f t="shared" si="595"/>
        <v>0</v>
      </c>
      <c r="G776" s="414">
        <f t="shared" si="596"/>
        <v>0</v>
      </c>
      <c r="H776" s="49">
        <f t="shared" si="609"/>
        <v>-161.35</v>
      </c>
      <c r="I776" s="35">
        <f t="shared" si="597"/>
        <v>75698.62999999999</v>
      </c>
      <c r="J776" s="414">
        <f t="shared" si="598"/>
        <v>0.06</v>
      </c>
      <c r="K776" s="329">
        <f t="shared" si="610"/>
        <v>0</v>
      </c>
      <c r="L776" s="35">
        <f t="shared" si="599"/>
        <v>0</v>
      </c>
      <c r="M776" s="414">
        <f t="shared" si="600"/>
        <v>0</v>
      </c>
      <c r="N776" s="329">
        <f t="shared" si="611"/>
        <v>0</v>
      </c>
      <c r="O776" s="35">
        <f t="shared" si="601"/>
        <v>26.890000000010332</v>
      </c>
      <c r="P776" s="414">
        <f t="shared" si="602"/>
        <v>0</v>
      </c>
      <c r="Q776" s="329">
        <f t="shared" si="612"/>
        <v>0</v>
      </c>
      <c r="R776" s="35">
        <f t="shared" si="603"/>
        <v>0</v>
      </c>
      <c r="S776" s="414">
        <f t="shared" si="604"/>
        <v>0</v>
      </c>
      <c r="T776" s="880">
        <f>[5]Sheet1!$B1191</f>
        <v>2.4657534246575337E-6</v>
      </c>
      <c r="U776" s="10">
        <f t="shared" si="605"/>
        <v>44582</v>
      </c>
      <c r="V776" s="276">
        <f t="shared" si="606"/>
        <v>2.9999999999999992E-4</v>
      </c>
    </row>
    <row r="777" spans="1:22" x14ac:dyDescent="0.25">
      <c r="A777" s="335">
        <f t="shared" si="578"/>
        <v>44585</v>
      </c>
      <c r="B777" s="329">
        <f t="shared" si="607"/>
        <v>308000</v>
      </c>
      <c r="C777" s="338">
        <f t="shared" si="593"/>
        <v>692528.64000000001</v>
      </c>
      <c r="D777" s="414">
        <f t="shared" si="594"/>
        <v>0.95</v>
      </c>
      <c r="E777" s="49">
        <f t="shared" si="608"/>
        <v>0</v>
      </c>
      <c r="F777" s="35">
        <f t="shared" si="595"/>
        <v>0</v>
      </c>
      <c r="G777" s="414">
        <f t="shared" si="596"/>
        <v>0</v>
      </c>
      <c r="H777" s="49">
        <f t="shared" si="609"/>
        <v>0</v>
      </c>
      <c r="I777" s="35">
        <f t="shared" si="597"/>
        <v>75698.62999999999</v>
      </c>
      <c r="J777" s="414">
        <f t="shared" si="598"/>
        <v>0.19</v>
      </c>
      <c r="K777" s="329">
        <f t="shared" si="610"/>
        <v>0</v>
      </c>
      <c r="L777" s="35">
        <f t="shared" si="599"/>
        <v>0</v>
      </c>
      <c r="M777" s="414">
        <f t="shared" si="600"/>
        <v>0</v>
      </c>
      <c r="N777" s="329">
        <f t="shared" si="611"/>
        <v>0</v>
      </c>
      <c r="O777" s="35">
        <f t="shared" si="601"/>
        <v>26.890000000010332</v>
      </c>
      <c r="P777" s="414">
        <f t="shared" si="602"/>
        <v>0</v>
      </c>
      <c r="Q777" s="329">
        <f t="shared" si="612"/>
        <v>0</v>
      </c>
      <c r="R777" s="35">
        <f t="shared" si="603"/>
        <v>0</v>
      </c>
      <c r="S777" s="414">
        <f t="shared" si="604"/>
        <v>0</v>
      </c>
      <c r="T777" s="880">
        <f>[5]Sheet1!$B1192</f>
        <v>8.2191780821917796E-7</v>
      </c>
      <c r="U777" s="10">
        <f t="shared" si="605"/>
        <v>44585</v>
      </c>
      <c r="V777" s="276">
        <f t="shared" si="606"/>
        <v>2.9999999999999997E-4</v>
      </c>
    </row>
    <row r="778" spans="1:22" x14ac:dyDescent="0.25">
      <c r="A778" s="335">
        <f t="shared" si="578"/>
        <v>44586</v>
      </c>
      <c r="B778" s="329">
        <f t="shared" si="607"/>
        <v>-1280.1199999999999</v>
      </c>
      <c r="C778" s="338">
        <f t="shared" si="593"/>
        <v>691248.52</v>
      </c>
      <c r="D778" s="414">
        <f t="shared" si="594"/>
        <v>0.56999999999999995</v>
      </c>
      <c r="E778" s="49">
        <f t="shared" si="608"/>
        <v>0</v>
      </c>
      <c r="F778" s="35">
        <f t="shared" si="595"/>
        <v>0</v>
      </c>
      <c r="G778" s="414">
        <f t="shared" si="596"/>
        <v>0</v>
      </c>
      <c r="H778" s="49">
        <f t="shared" si="609"/>
        <v>0</v>
      </c>
      <c r="I778" s="35">
        <f t="shared" si="597"/>
        <v>75698.62999999999</v>
      </c>
      <c r="J778" s="414">
        <f t="shared" si="598"/>
        <v>0.06</v>
      </c>
      <c r="K778" s="329">
        <f t="shared" si="610"/>
        <v>0</v>
      </c>
      <c r="L778" s="35">
        <f t="shared" si="599"/>
        <v>0</v>
      </c>
      <c r="M778" s="414">
        <f t="shared" si="600"/>
        <v>0</v>
      </c>
      <c r="N778" s="329">
        <f t="shared" si="611"/>
        <v>0</v>
      </c>
      <c r="O778" s="35">
        <f t="shared" si="601"/>
        <v>26.890000000010332</v>
      </c>
      <c r="P778" s="414">
        <f t="shared" si="602"/>
        <v>0</v>
      </c>
      <c r="Q778" s="329">
        <f t="shared" si="612"/>
        <v>0</v>
      </c>
      <c r="R778" s="35">
        <f t="shared" si="603"/>
        <v>0</v>
      </c>
      <c r="S778" s="414">
        <f t="shared" si="604"/>
        <v>0</v>
      </c>
      <c r="T778" s="880">
        <f>[5]Sheet1!$B1193</f>
        <v>8.2191780821917796E-7</v>
      </c>
      <c r="U778" s="10">
        <f t="shared" si="605"/>
        <v>44586</v>
      </c>
      <c r="V778" s="276">
        <f t="shared" si="606"/>
        <v>2.9999999999999997E-4</v>
      </c>
    </row>
    <row r="779" spans="1:22" x14ac:dyDescent="0.25">
      <c r="A779" s="335">
        <f t="shared" si="578"/>
        <v>44587</v>
      </c>
      <c r="B779" s="329">
        <f t="shared" si="607"/>
        <v>150276.34</v>
      </c>
      <c r="C779" s="338">
        <f t="shared" si="593"/>
        <v>841524.86</v>
      </c>
      <c r="D779" s="414">
        <f t="shared" si="594"/>
        <v>0.56999999999999995</v>
      </c>
      <c r="E779" s="49">
        <f t="shared" si="608"/>
        <v>0</v>
      </c>
      <c r="F779" s="35">
        <f t="shared" si="595"/>
        <v>0</v>
      </c>
      <c r="G779" s="414">
        <f t="shared" si="596"/>
        <v>0</v>
      </c>
      <c r="H779" s="49">
        <f t="shared" si="609"/>
        <v>0</v>
      </c>
      <c r="I779" s="35">
        <f t="shared" si="597"/>
        <v>75698.62999999999</v>
      </c>
      <c r="J779" s="414">
        <f t="shared" si="598"/>
        <v>0.06</v>
      </c>
      <c r="K779" s="329">
        <f t="shared" si="610"/>
        <v>0</v>
      </c>
      <c r="L779" s="35">
        <f t="shared" si="599"/>
        <v>0</v>
      </c>
      <c r="M779" s="414">
        <f t="shared" si="600"/>
        <v>0</v>
      </c>
      <c r="N779" s="329">
        <f t="shared" si="611"/>
        <v>0</v>
      </c>
      <c r="O779" s="35">
        <f t="shared" si="601"/>
        <v>26.890000000010332</v>
      </c>
      <c r="P779" s="414">
        <f t="shared" si="602"/>
        <v>0</v>
      </c>
      <c r="Q779" s="329">
        <f t="shared" si="612"/>
        <v>0</v>
      </c>
      <c r="R779" s="35">
        <f t="shared" si="603"/>
        <v>0</v>
      </c>
      <c r="S779" s="414">
        <f t="shared" si="604"/>
        <v>0</v>
      </c>
      <c r="T779" s="880">
        <f>[5]Sheet1!$B1194</f>
        <v>8.2191780821917796E-7</v>
      </c>
      <c r="U779" s="10">
        <f t="shared" si="605"/>
        <v>44587</v>
      </c>
      <c r="V779" s="276">
        <f t="shared" si="606"/>
        <v>2.9999999999999997E-4</v>
      </c>
    </row>
    <row r="780" spans="1:22" x14ac:dyDescent="0.25">
      <c r="A780" s="335">
        <f t="shared" si="578"/>
        <v>44588</v>
      </c>
      <c r="B780" s="329">
        <f t="shared" si="607"/>
        <v>-500695.59</v>
      </c>
      <c r="C780" s="338">
        <f t="shared" si="593"/>
        <v>340829.26999999996</v>
      </c>
      <c r="D780" s="414">
        <f t="shared" si="594"/>
        <v>0.69</v>
      </c>
      <c r="E780" s="49">
        <f t="shared" si="608"/>
        <v>0</v>
      </c>
      <c r="F780" s="35">
        <f t="shared" si="595"/>
        <v>0</v>
      </c>
      <c r="G780" s="414">
        <f t="shared" si="596"/>
        <v>0</v>
      </c>
      <c r="H780" s="49">
        <f t="shared" si="609"/>
        <v>0</v>
      </c>
      <c r="I780" s="35">
        <f t="shared" si="597"/>
        <v>75698.62999999999</v>
      </c>
      <c r="J780" s="414">
        <f t="shared" si="598"/>
        <v>0.06</v>
      </c>
      <c r="K780" s="329">
        <f t="shared" si="610"/>
        <v>0</v>
      </c>
      <c r="L780" s="35">
        <f t="shared" si="599"/>
        <v>0</v>
      </c>
      <c r="M780" s="414">
        <f t="shared" si="600"/>
        <v>0</v>
      </c>
      <c r="N780" s="329">
        <f t="shared" si="611"/>
        <v>0</v>
      </c>
      <c r="O780" s="35">
        <f t="shared" si="601"/>
        <v>26.890000000010332</v>
      </c>
      <c r="P780" s="414">
        <f t="shared" si="602"/>
        <v>0</v>
      </c>
      <c r="Q780" s="329">
        <f t="shared" si="612"/>
        <v>0</v>
      </c>
      <c r="R780" s="35">
        <f t="shared" si="603"/>
        <v>0</v>
      </c>
      <c r="S780" s="414">
        <f t="shared" si="604"/>
        <v>0</v>
      </c>
      <c r="T780" s="880">
        <f>[5]Sheet1!$B1195</f>
        <v>8.2191780821917796E-7</v>
      </c>
      <c r="U780" s="10">
        <f t="shared" si="605"/>
        <v>44588</v>
      </c>
      <c r="V780" s="276">
        <f t="shared" si="606"/>
        <v>2.9999999999999997E-4</v>
      </c>
    </row>
    <row r="781" spans="1:22" x14ac:dyDescent="0.25">
      <c r="A781" s="335">
        <f t="shared" si="578"/>
        <v>44589</v>
      </c>
      <c r="B781" s="329">
        <f t="shared" si="607"/>
        <v>0</v>
      </c>
      <c r="C781" s="338">
        <f t="shared" si="593"/>
        <v>340829.26999999996</v>
      </c>
      <c r="D781" s="414">
        <f t="shared" si="594"/>
        <v>0.28000000000000003</v>
      </c>
      <c r="E781" s="49">
        <f t="shared" si="608"/>
        <v>0</v>
      </c>
      <c r="F781" s="35">
        <f t="shared" si="595"/>
        <v>0</v>
      </c>
      <c r="G781" s="414">
        <f t="shared" si="596"/>
        <v>0</v>
      </c>
      <c r="H781" s="49">
        <f t="shared" si="609"/>
        <v>0</v>
      </c>
      <c r="I781" s="35">
        <f t="shared" si="597"/>
        <v>75698.62999999999</v>
      </c>
      <c r="J781" s="414">
        <f t="shared" si="598"/>
        <v>0.06</v>
      </c>
      <c r="K781" s="329">
        <f t="shared" si="610"/>
        <v>0</v>
      </c>
      <c r="L781" s="35">
        <f t="shared" si="599"/>
        <v>0</v>
      </c>
      <c r="M781" s="414">
        <f t="shared" si="600"/>
        <v>0</v>
      </c>
      <c r="N781" s="329">
        <f t="shared" si="611"/>
        <v>0</v>
      </c>
      <c r="O781" s="35">
        <f t="shared" si="601"/>
        <v>26.890000000010332</v>
      </c>
      <c r="P781" s="414">
        <f t="shared" si="602"/>
        <v>0</v>
      </c>
      <c r="Q781" s="329">
        <f t="shared" si="612"/>
        <v>0</v>
      </c>
      <c r="R781" s="35">
        <f t="shared" si="603"/>
        <v>0</v>
      </c>
      <c r="S781" s="414">
        <f t="shared" si="604"/>
        <v>0</v>
      </c>
      <c r="T781" s="880">
        <f>[5]Sheet1!$B1196</f>
        <v>2.4657534246575337E-6</v>
      </c>
      <c r="U781" s="10">
        <f t="shared" si="605"/>
        <v>44589</v>
      </c>
      <c r="V781" s="276">
        <f t="shared" si="606"/>
        <v>2.9999999999999992E-4</v>
      </c>
    </row>
    <row r="782" spans="1:22" x14ac:dyDescent="0.25">
      <c r="A782" s="335">
        <f t="shared" si="578"/>
        <v>44592</v>
      </c>
      <c r="B782" s="329">
        <f t="shared" si="607"/>
        <v>0</v>
      </c>
      <c r="C782" s="338">
        <f t="shared" si="593"/>
        <v>340829.26999999996</v>
      </c>
      <c r="D782" s="414">
        <f t="shared" si="594"/>
        <v>0.84</v>
      </c>
      <c r="E782" s="49">
        <f t="shared" si="608"/>
        <v>0</v>
      </c>
      <c r="F782" s="35">
        <f t="shared" si="595"/>
        <v>0</v>
      </c>
      <c r="G782" s="414">
        <f t="shared" si="596"/>
        <v>0</v>
      </c>
      <c r="H782" s="49">
        <f t="shared" si="609"/>
        <v>0</v>
      </c>
      <c r="I782" s="35">
        <f t="shared" si="597"/>
        <v>75698.62999999999</v>
      </c>
      <c r="J782" s="414">
        <f t="shared" si="598"/>
        <v>0.19</v>
      </c>
      <c r="K782" s="329">
        <f t="shared" si="610"/>
        <v>0</v>
      </c>
      <c r="L782" s="35">
        <f t="shared" si="599"/>
        <v>0</v>
      </c>
      <c r="M782" s="414">
        <f t="shared" si="600"/>
        <v>0</v>
      </c>
      <c r="N782" s="329">
        <f t="shared" si="611"/>
        <v>0</v>
      </c>
      <c r="O782" s="35">
        <f t="shared" si="601"/>
        <v>26.890000000010332</v>
      </c>
      <c r="P782" s="414">
        <f t="shared" si="602"/>
        <v>0</v>
      </c>
      <c r="Q782" s="329">
        <f t="shared" si="612"/>
        <v>0</v>
      </c>
      <c r="R782" s="35">
        <f t="shared" si="603"/>
        <v>0</v>
      </c>
      <c r="S782" s="414">
        <f t="shared" si="604"/>
        <v>0</v>
      </c>
      <c r="T782" s="880">
        <f>[5]Sheet1!$B1197</f>
        <v>8.2191780821917796E-7</v>
      </c>
      <c r="U782" s="10">
        <f t="shared" si="605"/>
        <v>44592</v>
      </c>
      <c r="V782" s="276">
        <f t="shared" si="606"/>
        <v>2.9999999999999997E-4</v>
      </c>
    </row>
    <row r="783" spans="1:22" x14ac:dyDescent="0.25">
      <c r="A783" s="335">
        <f t="shared" ref="A783:A846" si="613">WORKDAY(A782,1,Holidays)</f>
        <v>44593</v>
      </c>
      <c r="B783" s="329">
        <f t="shared" si="607"/>
        <v>0</v>
      </c>
      <c r="C783" s="338">
        <f t="shared" si="593"/>
        <v>340829.26999999996</v>
      </c>
      <c r="D783" s="414">
        <f t="shared" si="594"/>
        <v>0.28000000000000003</v>
      </c>
      <c r="E783" s="49">
        <f t="shared" si="608"/>
        <v>0</v>
      </c>
      <c r="F783" s="35">
        <f t="shared" si="595"/>
        <v>0</v>
      </c>
      <c r="G783" s="414">
        <f t="shared" si="596"/>
        <v>0</v>
      </c>
      <c r="H783" s="49">
        <f t="shared" si="609"/>
        <v>0</v>
      </c>
      <c r="I783" s="35">
        <f t="shared" si="597"/>
        <v>75698.62999999999</v>
      </c>
      <c r="J783" s="414">
        <f t="shared" si="598"/>
        <v>0.06</v>
      </c>
      <c r="K783" s="329">
        <f t="shared" si="610"/>
        <v>0</v>
      </c>
      <c r="L783" s="35">
        <f t="shared" si="599"/>
        <v>0</v>
      </c>
      <c r="M783" s="414">
        <f t="shared" si="600"/>
        <v>0</v>
      </c>
      <c r="N783" s="329">
        <f t="shared" si="611"/>
        <v>0</v>
      </c>
      <c r="O783" s="35">
        <f t="shared" si="601"/>
        <v>26.890000000010332</v>
      </c>
      <c r="P783" s="414">
        <f t="shared" si="602"/>
        <v>0</v>
      </c>
      <c r="Q783" s="329">
        <f t="shared" si="612"/>
        <v>0</v>
      </c>
      <c r="R783" s="35">
        <f t="shared" si="603"/>
        <v>0</v>
      </c>
      <c r="S783" s="414">
        <f t="shared" si="604"/>
        <v>0</v>
      </c>
      <c r="T783" s="880">
        <f>[5]Sheet1!$B1198</f>
        <v>8.2191780821917796E-7</v>
      </c>
      <c r="U783" s="10">
        <f t="shared" si="605"/>
        <v>44593</v>
      </c>
      <c r="V783" s="276">
        <f t="shared" si="606"/>
        <v>2.9999999999999997E-4</v>
      </c>
    </row>
    <row r="784" spans="1:22" x14ac:dyDescent="0.25">
      <c r="A784" s="335">
        <f t="shared" si="613"/>
        <v>44594</v>
      </c>
      <c r="B784" s="329">
        <f t="shared" si="607"/>
        <v>12.24</v>
      </c>
      <c r="C784" s="338">
        <f t="shared" si="593"/>
        <v>340841.50999999995</v>
      </c>
      <c r="D784" s="414">
        <f t="shared" si="594"/>
        <v>0.28000000000000003</v>
      </c>
      <c r="E784" s="49">
        <f t="shared" si="608"/>
        <v>0</v>
      </c>
      <c r="F784" s="35">
        <f t="shared" si="595"/>
        <v>0</v>
      </c>
      <c r="G784" s="414">
        <f t="shared" si="596"/>
        <v>0</v>
      </c>
      <c r="H784" s="49">
        <f t="shared" si="609"/>
        <v>1.9</v>
      </c>
      <c r="I784" s="35">
        <f t="shared" si="597"/>
        <v>75700.529999999984</v>
      </c>
      <c r="J784" s="414">
        <f t="shared" si="598"/>
        <v>0.06</v>
      </c>
      <c r="K784" s="329">
        <f t="shared" si="610"/>
        <v>0</v>
      </c>
      <c r="L784" s="35">
        <f t="shared" si="599"/>
        <v>0</v>
      </c>
      <c r="M784" s="414">
        <f t="shared" si="600"/>
        <v>0</v>
      </c>
      <c r="N784" s="329">
        <f t="shared" si="611"/>
        <v>0.05</v>
      </c>
      <c r="O784" s="35">
        <f t="shared" si="601"/>
        <v>26.940000000010333</v>
      </c>
      <c r="P784" s="414">
        <f t="shared" si="602"/>
        <v>0</v>
      </c>
      <c r="Q784" s="329">
        <f t="shared" si="612"/>
        <v>0</v>
      </c>
      <c r="R784" s="35">
        <f t="shared" si="603"/>
        <v>0</v>
      </c>
      <c r="S784" s="414">
        <f t="shared" si="604"/>
        <v>0</v>
      </c>
      <c r="T784" s="880">
        <f>[5]Sheet1!$B1199</f>
        <v>8.2191780821917796E-7</v>
      </c>
      <c r="U784" s="10">
        <f t="shared" si="605"/>
        <v>44594</v>
      </c>
      <c r="V784" s="276">
        <f t="shared" si="606"/>
        <v>2.9999999999999997E-4</v>
      </c>
    </row>
    <row r="785" spans="1:22" x14ac:dyDescent="0.25">
      <c r="A785" s="335">
        <f t="shared" si="613"/>
        <v>44595</v>
      </c>
      <c r="B785" s="329">
        <f t="shared" si="607"/>
        <v>977966.02</v>
      </c>
      <c r="C785" s="338">
        <f t="shared" si="593"/>
        <v>1318807.53</v>
      </c>
      <c r="D785" s="414">
        <f t="shared" si="594"/>
        <v>0.28000000000000003</v>
      </c>
      <c r="E785" s="49">
        <f t="shared" si="608"/>
        <v>0</v>
      </c>
      <c r="F785" s="35">
        <f t="shared" si="595"/>
        <v>0</v>
      </c>
      <c r="G785" s="414">
        <f t="shared" si="596"/>
        <v>0</v>
      </c>
      <c r="H785" s="49">
        <f t="shared" si="609"/>
        <v>0</v>
      </c>
      <c r="I785" s="35">
        <f t="shared" si="597"/>
        <v>75700.529999999984</v>
      </c>
      <c r="J785" s="414">
        <f t="shared" si="598"/>
        <v>0.06</v>
      </c>
      <c r="K785" s="329">
        <f t="shared" si="610"/>
        <v>0</v>
      </c>
      <c r="L785" s="35">
        <f t="shared" si="599"/>
        <v>0</v>
      </c>
      <c r="M785" s="414">
        <f t="shared" si="600"/>
        <v>0</v>
      </c>
      <c r="N785" s="329">
        <f t="shared" si="611"/>
        <v>0</v>
      </c>
      <c r="O785" s="35">
        <f t="shared" si="601"/>
        <v>26.940000000010333</v>
      </c>
      <c r="P785" s="414">
        <f t="shared" si="602"/>
        <v>0</v>
      </c>
      <c r="Q785" s="329">
        <f t="shared" si="612"/>
        <v>0</v>
      </c>
      <c r="R785" s="35">
        <f t="shared" si="603"/>
        <v>0</v>
      </c>
      <c r="S785" s="414">
        <f t="shared" si="604"/>
        <v>0</v>
      </c>
      <c r="T785" s="880">
        <f>[5]Sheet1!$B1200</f>
        <v>8.2191780821917796E-7</v>
      </c>
      <c r="U785" s="10">
        <f t="shared" si="605"/>
        <v>44595</v>
      </c>
      <c r="V785" s="276">
        <f t="shared" si="606"/>
        <v>2.9999999999999997E-4</v>
      </c>
    </row>
    <row r="786" spans="1:22" x14ac:dyDescent="0.25">
      <c r="A786" s="335">
        <f t="shared" si="613"/>
        <v>44596</v>
      </c>
      <c r="B786" s="329">
        <f t="shared" si="607"/>
        <v>0</v>
      </c>
      <c r="C786" s="338">
        <f t="shared" si="593"/>
        <v>1318807.53</v>
      </c>
      <c r="D786" s="414">
        <f t="shared" si="594"/>
        <v>1.08</v>
      </c>
      <c r="E786" s="49">
        <f t="shared" si="608"/>
        <v>0</v>
      </c>
      <c r="F786" s="35">
        <f t="shared" si="595"/>
        <v>0</v>
      </c>
      <c r="G786" s="414">
        <f t="shared" si="596"/>
        <v>0</v>
      </c>
      <c r="H786" s="49">
        <f t="shared" si="609"/>
        <v>0</v>
      </c>
      <c r="I786" s="35">
        <f t="shared" si="597"/>
        <v>75700.529999999984</v>
      </c>
      <c r="J786" s="414">
        <f t="shared" si="598"/>
        <v>0.06</v>
      </c>
      <c r="K786" s="329">
        <f t="shared" si="610"/>
        <v>0</v>
      </c>
      <c r="L786" s="35">
        <f t="shared" si="599"/>
        <v>0</v>
      </c>
      <c r="M786" s="414">
        <f t="shared" si="600"/>
        <v>0</v>
      </c>
      <c r="N786" s="329">
        <f t="shared" si="611"/>
        <v>0</v>
      </c>
      <c r="O786" s="35">
        <f t="shared" si="601"/>
        <v>26.940000000010333</v>
      </c>
      <c r="P786" s="414">
        <f t="shared" si="602"/>
        <v>0</v>
      </c>
      <c r="Q786" s="329">
        <f t="shared" si="612"/>
        <v>0</v>
      </c>
      <c r="R786" s="35">
        <f t="shared" si="603"/>
        <v>0</v>
      </c>
      <c r="S786" s="414">
        <f t="shared" si="604"/>
        <v>0</v>
      </c>
      <c r="T786" s="880">
        <f>[5]Sheet1!$B1201</f>
        <v>2.4657534246575337E-6</v>
      </c>
      <c r="U786" s="10">
        <f t="shared" si="605"/>
        <v>44596</v>
      </c>
      <c r="V786" s="276">
        <f t="shared" si="606"/>
        <v>2.9999999999999992E-4</v>
      </c>
    </row>
    <row r="787" spans="1:22" x14ac:dyDescent="0.25">
      <c r="A787" s="335">
        <f t="shared" si="613"/>
        <v>44599</v>
      </c>
      <c r="B787" s="329">
        <f t="shared" si="607"/>
        <v>0</v>
      </c>
      <c r="C787" s="338">
        <f t="shared" si="593"/>
        <v>1318807.53</v>
      </c>
      <c r="D787" s="414">
        <f t="shared" si="594"/>
        <v>3.25</v>
      </c>
      <c r="E787" s="49">
        <f t="shared" si="608"/>
        <v>0</v>
      </c>
      <c r="F787" s="35">
        <f t="shared" si="595"/>
        <v>0</v>
      </c>
      <c r="G787" s="414">
        <f t="shared" si="596"/>
        <v>0</v>
      </c>
      <c r="H787" s="49">
        <f t="shared" si="609"/>
        <v>0</v>
      </c>
      <c r="I787" s="35">
        <f t="shared" si="597"/>
        <v>75700.529999999984</v>
      </c>
      <c r="J787" s="414">
        <f t="shared" si="598"/>
        <v>0.19</v>
      </c>
      <c r="K787" s="329">
        <f t="shared" si="610"/>
        <v>0</v>
      </c>
      <c r="L787" s="35">
        <f t="shared" si="599"/>
        <v>0</v>
      </c>
      <c r="M787" s="414">
        <f t="shared" si="600"/>
        <v>0</v>
      </c>
      <c r="N787" s="329">
        <f t="shared" si="611"/>
        <v>0</v>
      </c>
      <c r="O787" s="35">
        <f t="shared" si="601"/>
        <v>26.940000000010333</v>
      </c>
      <c r="P787" s="414">
        <f t="shared" si="602"/>
        <v>0</v>
      </c>
      <c r="Q787" s="329">
        <f t="shared" si="612"/>
        <v>0</v>
      </c>
      <c r="R787" s="35">
        <f t="shared" si="603"/>
        <v>0</v>
      </c>
      <c r="S787" s="414">
        <f t="shared" si="604"/>
        <v>0</v>
      </c>
      <c r="T787" s="880">
        <f>[5]Sheet1!$B1202</f>
        <v>8.2191780821917796E-7</v>
      </c>
      <c r="U787" s="10">
        <f t="shared" si="605"/>
        <v>44599</v>
      </c>
      <c r="V787" s="276">
        <f t="shared" si="606"/>
        <v>2.9999999999999997E-4</v>
      </c>
    </row>
    <row r="788" spans="1:22" x14ac:dyDescent="0.25">
      <c r="A788" s="335">
        <f t="shared" si="613"/>
        <v>44600</v>
      </c>
      <c r="B788" s="329">
        <f t="shared" si="607"/>
        <v>0</v>
      </c>
      <c r="C788" s="338">
        <f t="shared" si="593"/>
        <v>1318807.53</v>
      </c>
      <c r="D788" s="414">
        <f t="shared" si="594"/>
        <v>1.08</v>
      </c>
      <c r="E788" s="49">
        <f t="shared" si="608"/>
        <v>0</v>
      </c>
      <c r="F788" s="35">
        <f t="shared" si="595"/>
        <v>0</v>
      </c>
      <c r="G788" s="414">
        <f t="shared" si="596"/>
        <v>0</v>
      </c>
      <c r="H788" s="49">
        <f t="shared" si="609"/>
        <v>0</v>
      </c>
      <c r="I788" s="35">
        <f t="shared" si="597"/>
        <v>75700.529999999984</v>
      </c>
      <c r="J788" s="414">
        <f t="shared" si="598"/>
        <v>0.06</v>
      </c>
      <c r="K788" s="329">
        <f t="shared" si="610"/>
        <v>0</v>
      </c>
      <c r="L788" s="35">
        <f t="shared" si="599"/>
        <v>0</v>
      </c>
      <c r="M788" s="414">
        <f t="shared" si="600"/>
        <v>0</v>
      </c>
      <c r="N788" s="329">
        <f t="shared" si="611"/>
        <v>0</v>
      </c>
      <c r="O788" s="35">
        <f t="shared" si="601"/>
        <v>26.940000000010333</v>
      </c>
      <c r="P788" s="414">
        <f t="shared" si="602"/>
        <v>0</v>
      </c>
      <c r="Q788" s="329">
        <f t="shared" si="612"/>
        <v>0</v>
      </c>
      <c r="R788" s="35">
        <f t="shared" si="603"/>
        <v>0</v>
      </c>
      <c r="S788" s="414">
        <f t="shared" si="604"/>
        <v>0</v>
      </c>
      <c r="T788" s="880">
        <f>[5]Sheet1!$B1203</f>
        <v>8.2191780821917796E-7</v>
      </c>
      <c r="U788" s="10">
        <f t="shared" si="605"/>
        <v>44600</v>
      </c>
      <c r="V788" s="276">
        <f t="shared" si="606"/>
        <v>2.9999999999999997E-4</v>
      </c>
    </row>
    <row r="789" spans="1:22" x14ac:dyDescent="0.25">
      <c r="A789" s="335">
        <f t="shared" si="613"/>
        <v>44601</v>
      </c>
      <c r="B789" s="329">
        <f t="shared" si="607"/>
        <v>0</v>
      </c>
      <c r="C789" s="338">
        <f t="shared" si="593"/>
        <v>1318807.53</v>
      </c>
      <c r="D789" s="414">
        <f t="shared" si="594"/>
        <v>1.08</v>
      </c>
      <c r="E789" s="49">
        <f t="shared" si="608"/>
        <v>0</v>
      </c>
      <c r="F789" s="35">
        <f t="shared" si="595"/>
        <v>0</v>
      </c>
      <c r="G789" s="414">
        <f t="shared" si="596"/>
        <v>0</v>
      </c>
      <c r="H789" s="49">
        <f t="shared" si="609"/>
        <v>0</v>
      </c>
      <c r="I789" s="35">
        <f t="shared" si="597"/>
        <v>75700.529999999984</v>
      </c>
      <c r="J789" s="414">
        <f t="shared" si="598"/>
        <v>0.06</v>
      </c>
      <c r="K789" s="329">
        <f t="shared" si="610"/>
        <v>0</v>
      </c>
      <c r="L789" s="35">
        <f t="shared" si="599"/>
        <v>0</v>
      </c>
      <c r="M789" s="414">
        <f t="shared" si="600"/>
        <v>0</v>
      </c>
      <c r="N789" s="329">
        <f t="shared" si="611"/>
        <v>0</v>
      </c>
      <c r="O789" s="35">
        <f t="shared" si="601"/>
        <v>26.940000000010333</v>
      </c>
      <c r="P789" s="414">
        <f t="shared" si="602"/>
        <v>0</v>
      </c>
      <c r="Q789" s="329">
        <f t="shared" si="612"/>
        <v>0</v>
      </c>
      <c r="R789" s="35">
        <f t="shared" si="603"/>
        <v>0</v>
      </c>
      <c r="S789" s="414">
        <f t="shared" si="604"/>
        <v>0</v>
      </c>
      <c r="T789" s="880">
        <f>[5]Sheet1!$B1204</f>
        <v>8.2191780821917796E-7</v>
      </c>
      <c r="U789" s="10">
        <f t="shared" si="605"/>
        <v>44601</v>
      </c>
      <c r="V789" s="276">
        <f t="shared" si="606"/>
        <v>2.9999999999999997E-4</v>
      </c>
    </row>
    <row r="790" spans="1:22" x14ac:dyDescent="0.25">
      <c r="A790" s="335">
        <f t="shared" si="613"/>
        <v>44602</v>
      </c>
      <c r="B790" s="329">
        <f t="shared" si="607"/>
        <v>0</v>
      </c>
      <c r="C790" s="338">
        <f t="shared" si="593"/>
        <v>1318807.53</v>
      </c>
      <c r="D790" s="414">
        <f t="shared" si="594"/>
        <v>1.08</v>
      </c>
      <c r="E790" s="49">
        <f t="shared" si="608"/>
        <v>0</v>
      </c>
      <c r="F790" s="35">
        <f t="shared" si="595"/>
        <v>0</v>
      </c>
      <c r="G790" s="414">
        <f t="shared" si="596"/>
        <v>0</v>
      </c>
      <c r="H790" s="49">
        <f t="shared" si="609"/>
        <v>0</v>
      </c>
      <c r="I790" s="35">
        <f t="shared" si="597"/>
        <v>75700.529999999984</v>
      </c>
      <c r="J790" s="414">
        <f t="shared" si="598"/>
        <v>0.06</v>
      </c>
      <c r="K790" s="329">
        <f t="shared" si="610"/>
        <v>0</v>
      </c>
      <c r="L790" s="35">
        <f t="shared" si="599"/>
        <v>0</v>
      </c>
      <c r="M790" s="414">
        <f t="shared" si="600"/>
        <v>0</v>
      </c>
      <c r="N790" s="329">
        <f t="shared" si="611"/>
        <v>0</v>
      </c>
      <c r="O790" s="35">
        <f t="shared" si="601"/>
        <v>26.940000000010333</v>
      </c>
      <c r="P790" s="414">
        <f t="shared" si="602"/>
        <v>0</v>
      </c>
      <c r="Q790" s="329">
        <f t="shared" si="612"/>
        <v>0</v>
      </c>
      <c r="R790" s="35">
        <f t="shared" si="603"/>
        <v>0</v>
      </c>
      <c r="S790" s="414">
        <f t="shared" si="604"/>
        <v>0</v>
      </c>
      <c r="T790" s="880">
        <f>[5]Sheet1!$B1205</f>
        <v>8.2191780821917796E-7</v>
      </c>
      <c r="U790" s="10">
        <f t="shared" si="605"/>
        <v>44602</v>
      </c>
      <c r="V790" s="276">
        <f t="shared" si="606"/>
        <v>2.9999999999999997E-4</v>
      </c>
    </row>
    <row r="791" spans="1:22" x14ac:dyDescent="0.25">
      <c r="A791" s="335">
        <f t="shared" si="613"/>
        <v>44603</v>
      </c>
      <c r="B791" s="329">
        <f t="shared" si="607"/>
        <v>0</v>
      </c>
      <c r="C791" s="338">
        <f t="shared" si="593"/>
        <v>1318807.53</v>
      </c>
      <c r="D791" s="414">
        <f t="shared" si="594"/>
        <v>1.08</v>
      </c>
      <c r="E791" s="49">
        <f t="shared" si="608"/>
        <v>0</v>
      </c>
      <c r="F791" s="35">
        <f t="shared" si="595"/>
        <v>0</v>
      </c>
      <c r="G791" s="414">
        <f t="shared" si="596"/>
        <v>0</v>
      </c>
      <c r="H791" s="49">
        <f t="shared" si="609"/>
        <v>0</v>
      </c>
      <c r="I791" s="35">
        <f t="shared" si="597"/>
        <v>75700.529999999984</v>
      </c>
      <c r="J791" s="414">
        <f t="shared" si="598"/>
        <v>0.06</v>
      </c>
      <c r="K791" s="329">
        <f t="shared" si="610"/>
        <v>0</v>
      </c>
      <c r="L791" s="35">
        <f t="shared" si="599"/>
        <v>0</v>
      </c>
      <c r="M791" s="414">
        <f t="shared" si="600"/>
        <v>0</v>
      </c>
      <c r="N791" s="329">
        <f t="shared" si="611"/>
        <v>0</v>
      </c>
      <c r="O791" s="35">
        <f t="shared" si="601"/>
        <v>26.940000000010333</v>
      </c>
      <c r="P791" s="414">
        <f t="shared" si="602"/>
        <v>0</v>
      </c>
      <c r="Q791" s="329">
        <f t="shared" si="612"/>
        <v>0</v>
      </c>
      <c r="R791" s="35">
        <f t="shared" si="603"/>
        <v>0</v>
      </c>
      <c r="S791" s="414">
        <f t="shared" si="604"/>
        <v>0</v>
      </c>
      <c r="T791" s="880">
        <f>[5]Sheet1!$B1206</f>
        <v>2.4657534246575337E-6</v>
      </c>
      <c r="U791" s="10">
        <f t="shared" si="605"/>
        <v>44603</v>
      </c>
      <c r="V791" s="276">
        <f t="shared" si="606"/>
        <v>2.9999999999999992E-4</v>
      </c>
    </row>
    <row r="792" spans="1:22" x14ac:dyDescent="0.25">
      <c r="A792" s="335">
        <f t="shared" si="613"/>
        <v>44606</v>
      </c>
      <c r="B792" s="329">
        <f t="shared" si="607"/>
        <v>0</v>
      </c>
      <c r="C792" s="338">
        <f t="shared" si="593"/>
        <v>1318807.53</v>
      </c>
      <c r="D792" s="414">
        <f t="shared" si="594"/>
        <v>3.25</v>
      </c>
      <c r="E792" s="49">
        <f t="shared" si="608"/>
        <v>0</v>
      </c>
      <c r="F792" s="35">
        <f t="shared" si="595"/>
        <v>0</v>
      </c>
      <c r="G792" s="414">
        <f t="shared" si="596"/>
        <v>0</v>
      </c>
      <c r="H792" s="49">
        <f t="shared" si="609"/>
        <v>0</v>
      </c>
      <c r="I792" s="35">
        <f t="shared" si="597"/>
        <v>75700.529999999984</v>
      </c>
      <c r="J792" s="414">
        <f t="shared" si="598"/>
        <v>0.19</v>
      </c>
      <c r="K792" s="329">
        <f t="shared" si="610"/>
        <v>0</v>
      </c>
      <c r="L792" s="35">
        <f t="shared" si="599"/>
        <v>0</v>
      </c>
      <c r="M792" s="414">
        <f t="shared" si="600"/>
        <v>0</v>
      </c>
      <c r="N792" s="329">
        <f t="shared" si="611"/>
        <v>0</v>
      </c>
      <c r="O792" s="35">
        <f t="shared" si="601"/>
        <v>26.940000000010333</v>
      </c>
      <c r="P792" s="414">
        <f t="shared" si="602"/>
        <v>0</v>
      </c>
      <c r="Q792" s="329">
        <f t="shared" si="612"/>
        <v>0</v>
      </c>
      <c r="R792" s="35">
        <f t="shared" si="603"/>
        <v>0</v>
      </c>
      <c r="S792" s="414">
        <f t="shared" si="604"/>
        <v>0</v>
      </c>
      <c r="T792" s="880">
        <f>[5]Sheet1!$B1207</f>
        <v>8.2191780821917796E-7</v>
      </c>
      <c r="U792" s="10">
        <f t="shared" si="605"/>
        <v>44606</v>
      </c>
      <c r="V792" s="276">
        <f t="shared" si="606"/>
        <v>2.9999999999999997E-4</v>
      </c>
    </row>
    <row r="793" spans="1:22" x14ac:dyDescent="0.25">
      <c r="A793" s="335">
        <f t="shared" si="613"/>
        <v>44607</v>
      </c>
      <c r="B793" s="329">
        <f t="shared" si="607"/>
        <v>70715.64</v>
      </c>
      <c r="C793" s="338">
        <f t="shared" si="593"/>
        <v>1389523.17</v>
      </c>
      <c r="D793" s="414">
        <f t="shared" si="594"/>
        <v>1.08</v>
      </c>
      <c r="E793" s="49">
        <f t="shared" si="608"/>
        <v>0</v>
      </c>
      <c r="F793" s="35">
        <f t="shared" si="595"/>
        <v>0</v>
      </c>
      <c r="G793" s="414">
        <f t="shared" si="596"/>
        <v>0</v>
      </c>
      <c r="H793" s="49">
        <f t="shared" si="609"/>
        <v>0</v>
      </c>
      <c r="I793" s="35">
        <f t="shared" si="597"/>
        <v>75700.529999999984</v>
      </c>
      <c r="J793" s="414">
        <f t="shared" si="598"/>
        <v>0.06</v>
      </c>
      <c r="K793" s="329">
        <f t="shared" si="610"/>
        <v>0</v>
      </c>
      <c r="L793" s="35">
        <f t="shared" si="599"/>
        <v>0</v>
      </c>
      <c r="M793" s="414">
        <f t="shared" si="600"/>
        <v>0</v>
      </c>
      <c r="N793" s="329">
        <f t="shared" si="611"/>
        <v>0</v>
      </c>
      <c r="O793" s="35">
        <f t="shared" si="601"/>
        <v>26.940000000010333</v>
      </c>
      <c r="P793" s="414">
        <f t="shared" si="602"/>
        <v>0</v>
      </c>
      <c r="Q793" s="329">
        <f t="shared" si="612"/>
        <v>0</v>
      </c>
      <c r="R793" s="35">
        <f t="shared" si="603"/>
        <v>0</v>
      </c>
      <c r="S793" s="414">
        <f t="shared" si="604"/>
        <v>0</v>
      </c>
      <c r="T793" s="880">
        <f>[5]Sheet1!$B1208</f>
        <v>8.2191780821917796E-7</v>
      </c>
      <c r="U793" s="10">
        <f t="shared" si="605"/>
        <v>44607</v>
      </c>
      <c r="V793" s="276">
        <f t="shared" si="606"/>
        <v>2.9999999999999997E-4</v>
      </c>
    </row>
    <row r="794" spans="1:22" x14ac:dyDescent="0.25">
      <c r="A794" s="335">
        <f t="shared" si="613"/>
        <v>44608</v>
      </c>
      <c r="B794" s="329">
        <f t="shared" si="607"/>
        <v>-406936.49</v>
      </c>
      <c r="C794" s="338">
        <f t="shared" si="593"/>
        <v>982586.67999999993</v>
      </c>
      <c r="D794" s="414">
        <f t="shared" si="594"/>
        <v>1.1399999999999999</v>
      </c>
      <c r="E794" s="49">
        <f t="shared" si="608"/>
        <v>0</v>
      </c>
      <c r="F794" s="35">
        <f t="shared" si="595"/>
        <v>0</v>
      </c>
      <c r="G794" s="414">
        <f t="shared" si="596"/>
        <v>0</v>
      </c>
      <c r="H794" s="49">
        <f t="shared" si="609"/>
        <v>0</v>
      </c>
      <c r="I794" s="35">
        <f t="shared" si="597"/>
        <v>75700.529999999984</v>
      </c>
      <c r="J794" s="414">
        <f t="shared" si="598"/>
        <v>0.06</v>
      </c>
      <c r="K794" s="329">
        <f t="shared" si="610"/>
        <v>0</v>
      </c>
      <c r="L794" s="35">
        <f t="shared" si="599"/>
        <v>0</v>
      </c>
      <c r="M794" s="414">
        <f t="shared" si="600"/>
        <v>0</v>
      </c>
      <c r="N794" s="329">
        <f t="shared" si="611"/>
        <v>0</v>
      </c>
      <c r="O794" s="35">
        <f t="shared" si="601"/>
        <v>26.940000000010333</v>
      </c>
      <c r="P794" s="414">
        <f t="shared" si="602"/>
        <v>0</v>
      </c>
      <c r="Q794" s="329">
        <f t="shared" si="612"/>
        <v>0</v>
      </c>
      <c r="R794" s="35">
        <f t="shared" si="603"/>
        <v>0</v>
      </c>
      <c r="S794" s="414">
        <f t="shared" si="604"/>
        <v>0</v>
      </c>
      <c r="T794" s="880">
        <f>[5]Sheet1!$B1209</f>
        <v>8.2191780821917796E-7</v>
      </c>
      <c r="U794" s="10">
        <f t="shared" si="605"/>
        <v>44608</v>
      </c>
      <c r="V794" s="276">
        <f t="shared" si="606"/>
        <v>2.9999999999999997E-4</v>
      </c>
    </row>
    <row r="795" spans="1:22" x14ac:dyDescent="0.25">
      <c r="A795" s="335">
        <f t="shared" si="613"/>
        <v>44609</v>
      </c>
      <c r="B795" s="329">
        <f t="shared" si="607"/>
        <v>0</v>
      </c>
      <c r="C795" s="338">
        <f t="shared" si="593"/>
        <v>982586.67999999993</v>
      </c>
      <c r="D795" s="414">
        <f t="shared" si="594"/>
        <v>0.81</v>
      </c>
      <c r="E795" s="49">
        <f t="shared" si="608"/>
        <v>0</v>
      </c>
      <c r="F795" s="35">
        <f t="shared" si="595"/>
        <v>0</v>
      </c>
      <c r="G795" s="414">
        <f t="shared" si="596"/>
        <v>0</v>
      </c>
      <c r="H795" s="49">
        <f t="shared" si="609"/>
        <v>0</v>
      </c>
      <c r="I795" s="35">
        <f t="shared" si="597"/>
        <v>75700.529999999984</v>
      </c>
      <c r="J795" s="414">
        <f t="shared" si="598"/>
        <v>0.06</v>
      </c>
      <c r="K795" s="329">
        <f t="shared" si="610"/>
        <v>0</v>
      </c>
      <c r="L795" s="35">
        <f t="shared" si="599"/>
        <v>0</v>
      </c>
      <c r="M795" s="414">
        <f t="shared" si="600"/>
        <v>0</v>
      </c>
      <c r="N795" s="329">
        <f t="shared" si="611"/>
        <v>0</v>
      </c>
      <c r="O795" s="35">
        <f t="shared" si="601"/>
        <v>26.940000000010333</v>
      </c>
      <c r="P795" s="414">
        <f t="shared" si="602"/>
        <v>0</v>
      </c>
      <c r="Q795" s="329">
        <f t="shared" si="612"/>
        <v>0</v>
      </c>
      <c r="R795" s="35">
        <f t="shared" si="603"/>
        <v>0</v>
      </c>
      <c r="S795" s="414">
        <f t="shared" si="604"/>
        <v>0</v>
      </c>
      <c r="T795" s="880">
        <f>[5]Sheet1!$B1210</f>
        <v>8.2191780821917796E-7</v>
      </c>
      <c r="U795" s="10">
        <f t="shared" si="605"/>
        <v>44609</v>
      </c>
      <c r="V795" s="276">
        <f t="shared" si="606"/>
        <v>2.9999999999999997E-4</v>
      </c>
    </row>
    <row r="796" spans="1:22" x14ac:dyDescent="0.25">
      <c r="A796" s="335">
        <v>44610</v>
      </c>
      <c r="B796" s="329">
        <f t="shared" si="607"/>
        <v>0</v>
      </c>
      <c r="C796" s="338">
        <f t="shared" si="593"/>
        <v>982586.67999999993</v>
      </c>
      <c r="D796" s="414">
        <f t="shared" si="594"/>
        <v>0.81</v>
      </c>
      <c r="E796" s="49">
        <f t="shared" si="608"/>
        <v>0</v>
      </c>
      <c r="F796" s="35">
        <f t="shared" si="595"/>
        <v>0</v>
      </c>
      <c r="G796" s="414">
        <f t="shared" si="596"/>
        <v>0</v>
      </c>
      <c r="H796" s="49">
        <f t="shared" si="609"/>
        <v>0</v>
      </c>
      <c r="I796" s="35">
        <f t="shared" si="597"/>
        <v>75700.529999999984</v>
      </c>
      <c r="J796" s="414">
        <f t="shared" si="598"/>
        <v>0.06</v>
      </c>
      <c r="K796" s="329">
        <f t="shared" si="610"/>
        <v>0</v>
      </c>
      <c r="L796" s="35">
        <f t="shared" si="599"/>
        <v>0</v>
      </c>
      <c r="M796" s="414">
        <f t="shared" si="600"/>
        <v>0</v>
      </c>
      <c r="N796" s="329">
        <f t="shared" si="611"/>
        <v>0</v>
      </c>
      <c r="O796" s="35">
        <f t="shared" si="601"/>
        <v>26.940000000010333</v>
      </c>
      <c r="P796" s="414">
        <f t="shared" si="602"/>
        <v>0</v>
      </c>
      <c r="Q796" s="329">
        <f t="shared" si="612"/>
        <v>0</v>
      </c>
      <c r="R796" s="35">
        <f t="shared" si="603"/>
        <v>0</v>
      </c>
      <c r="S796" s="414">
        <f t="shared" si="604"/>
        <v>0</v>
      </c>
      <c r="T796" s="880">
        <f>[5]Sheet1!$B1211</f>
        <v>3.2876712328767118E-6</v>
      </c>
      <c r="U796" s="10">
        <f t="shared" si="605"/>
        <v>44610</v>
      </c>
      <c r="V796" s="276">
        <f t="shared" si="606"/>
        <v>2.9999999999999997E-4</v>
      </c>
    </row>
    <row r="797" spans="1:22" x14ac:dyDescent="0.25">
      <c r="A797" s="335">
        <v>44614</v>
      </c>
      <c r="B797" s="329">
        <f t="shared" si="607"/>
        <v>-35581.26</v>
      </c>
      <c r="C797" s="338">
        <f t="shared" si="593"/>
        <v>947005.41999999993</v>
      </c>
      <c r="D797" s="414">
        <f t="shared" si="594"/>
        <v>3.23</v>
      </c>
      <c r="E797" s="49">
        <f t="shared" si="608"/>
        <v>0</v>
      </c>
      <c r="F797" s="35">
        <f t="shared" si="595"/>
        <v>0</v>
      </c>
      <c r="G797" s="414">
        <f t="shared" si="596"/>
        <v>0</v>
      </c>
      <c r="H797" s="49">
        <f t="shared" si="609"/>
        <v>-162.41</v>
      </c>
      <c r="I797" s="35">
        <f t="shared" si="597"/>
        <v>75538.119999999981</v>
      </c>
      <c r="J797" s="414">
        <f t="shared" si="598"/>
        <v>0.25</v>
      </c>
      <c r="K797" s="329">
        <f t="shared" si="610"/>
        <v>0</v>
      </c>
      <c r="L797" s="35">
        <f t="shared" si="599"/>
        <v>0</v>
      </c>
      <c r="M797" s="414">
        <f t="shared" si="600"/>
        <v>0</v>
      </c>
      <c r="N797" s="329">
        <f t="shared" si="611"/>
        <v>0</v>
      </c>
      <c r="O797" s="35">
        <f t="shared" si="601"/>
        <v>26.940000000010333</v>
      </c>
      <c r="P797" s="414">
        <f t="shared" si="602"/>
        <v>0</v>
      </c>
      <c r="Q797" s="329">
        <f t="shared" si="612"/>
        <v>0</v>
      </c>
      <c r="R797" s="35">
        <f t="shared" si="603"/>
        <v>0</v>
      </c>
      <c r="S797" s="414">
        <f t="shared" si="604"/>
        <v>0</v>
      </c>
      <c r="T797" s="880">
        <f>[5]Sheet1!$B1212</f>
        <v>8.2191780821917796E-7</v>
      </c>
      <c r="U797" s="10">
        <f t="shared" si="605"/>
        <v>44614</v>
      </c>
      <c r="V797" s="276">
        <f t="shared" si="606"/>
        <v>2.9999999999999997E-4</v>
      </c>
    </row>
    <row r="798" spans="1:22" x14ac:dyDescent="0.25">
      <c r="A798" s="335">
        <f t="shared" si="613"/>
        <v>44615</v>
      </c>
      <c r="B798" s="329">
        <f t="shared" si="607"/>
        <v>0</v>
      </c>
      <c r="C798" s="338">
        <f t="shared" si="593"/>
        <v>947005.41999999993</v>
      </c>
      <c r="D798" s="414">
        <f t="shared" si="594"/>
        <v>0.78</v>
      </c>
      <c r="E798" s="49">
        <f t="shared" si="608"/>
        <v>0</v>
      </c>
      <c r="F798" s="35">
        <f t="shared" si="595"/>
        <v>0</v>
      </c>
      <c r="G798" s="414">
        <f t="shared" si="596"/>
        <v>0</v>
      </c>
      <c r="H798" s="49">
        <f t="shared" si="609"/>
        <v>0</v>
      </c>
      <c r="I798" s="35">
        <f t="shared" si="597"/>
        <v>75538.119999999981</v>
      </c>
      <c r="J798" s="414">
        <f t="shared" si="598"/>
        <v>0.06</v>
      </c>
      <c r="K798" s="329">
        <f t="shared" si="610"/>
        <v>0</v>
      </c>
      <c r="L798" s="35">
        <f t="shared" si="599"/>
        <v>0</v>
      </c>
      <c r="M798" s="414">
        <f t="shared" si="600"/>
        <v>0</v>
      </c>
      <c r="N798" s="329">
        <f t="shared" si="611"/>
        <v>0</v>
      </c>
      <c r="O798" s="35">
        <f t="shared" si="601"/>
        <v>26.940000000010333</v>
      </c>
      <c r="P798" s="414">
        <f t="shared" si="602"/>
        <v>0</v>
      </c>
      <c r="Q798" s="329">
        <f t="shared" si="612"/>
        <v>0</v>
      </c>
      <c r="R798" s="35">
        <f t="shared" si="603"/>
        <v>0</v>
      </c>
      <c r="S798" s="414">
        <f t="shared" si="604"/>
        <v>0</v>
      </c>
      <c r="T798" s="880">
        <f>[5]Sheet1!$B1213</f>
        <v>8.2191780821917796E-7</v>
      </c>
      <c r="U798" s="10">
        <f t="shared" si="605"/>
        <v>44615</v>
      </c>
      <c r="V798" s="276">
        <f t="shared" si="606"/>
        <v>2.9999999999999997E-4</v>
      </c>
    </row>
    <row r="799" spans="1:22" x14ac:dyDescent="0.25">
      <c r="A799" s="335">
        <f t="shared" si="613"/>
        <v>44616</v>
      </c>
      <c r="B799" s="329">
        <f t="shared" si="607"/>
        <v>0</v>
      </c>
      <c r="C799" s="338">
        <f t="shared" si="593"/>
        <v>947005.41999999993</v>
      </c>
      <c r="D799" s="414">
        <f t="shared" si="594"/>
        <v>0.78</v>
      </c>
      <c r="E799" s="49">
        <f t="shared" si="608"/>
        <v>0</v>
      </c>
      <c r="F799" s="35">
        <f t="shared" si="595"/>
        <v>0</v>
      </c>
      <c r="G799" s="414">
        <f t="shared" si="596"/>
        <v>0</v>
      </c>
      <c r="H799" s="49">
        <f t="shared" si="609"/>
        <v>0</v>
      </c>
      <c r="I799" s="35">
        <f t="shared" si="597"/>
        <v>75538.119999999981</v>
      </c>
      <c r="J799" s="414">
        <f t="shared" si="598"/>
        <v>0.06</v>
      </c>
      <c r="K799" s="329">
        <f t="shared" si="610"/>
        <v>0</v>
      </c>
      <c r="L799" s="35">
        <f t="shared" si="599"/>
        <v>0</v>
      </c>
      <c r="M799" s="414">
        <f t="shared" si="600"/>
        <v>0</v>
      </c>
      <c r="N799" s="329">
        <f t="shared" si="611"/>
        <v>0</v>
      </c>
      <c r="O799" s="35">
        <f t="shared" si="601"/>
        <v>26.940000000010333</v>
      </c>
      <c r="P799" s="414">
        <f t="shared" si="602"/>
        <v>0</v>
      </c>
      <c r="Q799" s="329">
        <f t="shared" si="612"/>
        <v>0</v>
      </c>
      <c r="R799" s="35">
        <f t="shared" si="603"/>
        <v>0</v>
      </c>
      <c r="S799" s="414">
        <f t="shared" si="604"/>
        <v>0</v>
      </c>
      <c r="T799" s="880">
        <f>[5]Sheet1!$B1214</f>
        <v>8.2191780821917796E-7</v>
      </c>
      <c r="U799" s="10">
        <f t="shared" si="605"/>
        <v>44616</v>
      </c>
      <c r="V799" s="276">
        <f t="shared" si="606"/>
        <v>2.9999999999999997E-4</v>
      </c>
    </row>
    <row r="800" spans="1:22" x14ac:dyDescent="0.25">
      <c r="A800" s="335">
        <f t="shared" si="613"/>
        <v>44617</v>
      </c>
      <c r="B800" s="329">
        <f t="shared" si="607"/>
        <v>0</v>
      </c>
      <c r="C800" s="338">
        <f t="shared" si="593"/>
        <v>947005.41999999993</v>
      </c>
      <c r="D800" s="414">
        <f t="shared" si="594"/>
        <v>0.78</v>
      </c>
      <c r="E800" s="49">
        <f t="shared" si="608"/>
        <v>0</v>
      </c>
      <c r="F800" s="35">
        <f t="shared" si="595"/>
        <v>0</v>
      </c>
      <c r="G800" s="414">
        <f t="shared" si="596"/>
        <v>0</v>
      </c>
      <c r="H800" s="49">
        <f t="shared" si="609"/>
        <v>0</v>
      </c>
      <c r="I800" s="35">
        <f t="shared" si="597"/>
        <v>75538.119999999981</v>
      </c>
      <c r="J800" s="414">
        <f t="shared" si="598"/>
        <v>0.06</v>
      </c>
      <c r="K800" s="329">
        <f t="shared" si="610"/>
        <v>0</v>
      </c>
      <c r="L800" s="35">
        <f t="shared" si="599"/>
        <v>0</v>
      </c>
      <c r="M800" s="414">
        <f t="shared" si="600"/>
        <v>0</v>
      </c>
      <c r="N800" s="329">
        <f t="shared" si="611"/>
        <v>0</v>
      </c>
      <c r="O800" s="35">
        <f t="shared" si="601"/>
        <v>26.940000000010333</v>
      </c>
      <c r="P800" s="414">
        <f t="shared" si="602"/>
        <v>0</v>
      </c>
      <c r="Q800" s="329">
        <f t="shared" si="612"/>
        <v>0</v>
      </c>
      <c r="R800" s="35">
        <f t="shared" si="603"/>
        <v>0</v>
      </c>
      <c r="S800" s="414">
        <f t="shared" si="604"/>
        <v>0</v>
      </c>
      <c r="T800" s="880">
        <f>[5]Sheet1!$B1215</f>
        <v>2.4657534246575337E-6</v>
      </c>
      <c r="U800" s="10">
        <f t="shared" si="605"/>
        <v>44617</v>
      </c>
      <c r="V800" s="276">
        <f t="shared" si="606"/>
        <v>2.9999999999999992E-4</v>
      </c>
    </row>
    <row r="801" spans="1:22" x14ac:dyDescent="0.25">
      <c r="A801" s="335">
        <f t="shared" si="613"/>
        <v>44620</v>
      </c>
      <c r="B801" s="329">
        <f t="shared" si="607"/>
        <v>-120000</v>
      </c>
      <c r="C801" s="338">
        <f t="shared" si="593"/>
        <v>827005.41999999993</v>
      </c>
      <c r="D801" s="414">
        <f t="shared" si="594"/>
        <v>2.34</v>
      </c>
      <c r="E801" s="49">
        <f t="shared" si="608"/>
        <v>0</v>
      </c>
      <c r="F801" s="35">
        <f t="shared" si="595"/>
        <v>0</v>
      </c>
      <c r="G801" s="414">
        <f t="shared" si="596"/>
        <v>0</v>
      </c>
      <c r="H801" s="49">
        <f t="shared" si="609"/>
        <v>0</v>
      </c>
      <c r="I801" s="35">
        <f t="shared" si="597"/>
        <v>75538.119999999981</v>
      </c>
      <c r="J801" s="414">
        <f t="shared" si="598"/>
        <v>0.19</v>
      </c>
      <c r="K801" s="329">
        <f t="shared" si="610"/>
        <v>0</v>
      </c>
      <c r="L801" s="35">
        <f t="shared" si="599"/>
        <v>0</v>
      </c>
      <c r="M801" s="414">
        <f t="shared" si="600"/>
        <v>0</v>
      </c>
      <c r="N801" s="329">
        <f t="shared" si="611"/>
        <v>0</v>
      </c>
      <c r="O801" s="35">
        <f t="shared" si="601"/>
        <v>26.940000000010333</v>
      </c>
      <c r="P801" s="414">
        <f t="shared" si="602"/>
        <v>0</v>
      </c>
      <c r="Q801" s="329">
        <f t="shared" si="612"/>
        <v>0</v>
      </c>
      <c r="R801" s="35">
        <f t="shared" si="603"/>
        <v>0</v>
      </c>
      <c r="S801" s="414">
        <f t="shared" si="604"/>
        <v>0</v>
      </c>
      <c r="T801" s="880">
        <f>[5]Sheet1!$B1216</f>
        <v>8.2191780821917796E-7</v>
      </c>
      <c r="U801" s="10">
        <f t="shared" si="605"/>
        <v>44620</v>
      </c>
      <c r="V801" s="276">
        <f t="shared" si="606"/>
        <v>2.9999999999999997E-4</v>
      </c>
    </row>
    <row r="802" spans="1:22" x14ac:dyDescent="0.25">
      <c r="A802" s="335">
        <f t="shared" si="613"/>
        <v>44621</v>
      </c>
      <c r="B802" s="329">
        <f t="shared" si="607"/>
        <v>0</v>
      </c>
      <c r="C802" s="338">
        <f t="shared" si="593"/>
        <v>827005.41999999993</v>
      </c>
      <c r="D802" s="414">
        <f t="shared" si="594"/>
        <v>0.68</v>
      </c>
      <c r="E802" s="49">
        <f t="shared" si="608"/>
        <v>0</v>
      </c>
      <c r="F802" s="35">
        <f t="shared" si="595"/>
        <v>0</v>
      </c>
      <c r="G802" s="414">
        <f t="shared" si="596"/>
        <v>0</v>
      </c>
      <c r="H802" s="49">
        <f t="shared" si="609"/>
        <v>0</v>
      </c>
      <c r="I802" s="35">
        <f t="shared" si="597"/>
        <v>75538.119999999981</v>
      </c>
      <c r="J802" s="414">
        <f t="shared" si="598"/>
        <v>0.06</v>
      </c>
      <c r="K802" s="329">
        <f t="shared" si="610"/>
        <v>0</v>
      </c>
      <c r="L802" s="35">
        <f t="shared" si="599"/>
        <v>0</v>
      </c>
      <c r="M802" s="414">
        <f t="shared" si="600"/>
        <v>0</v>
      </c>
      <c r="N802" s="329">
        <f t="shared" si="611"/>
        <v>0</v>
      </c>
      <c r="O802" s="35">
        <f t="shared" si="601"/>
        <v>26.940000000010333</v>
      </c>
      <c r="P802" s="414">
        <f t="shared" si="602"/>
        <v>0</v>
      </c>
      <c r="Q802" s="329">
        <f t="shared" si="612"/>
        <v>0</v>
      </c>
      <c r="R802" s="35">
        <f t="shared" si="603"/>
        <v>0</v>
      </c>
      <c r="S802" s="414">
        <f t="shared" si="604"/>
        <v>0</v>
      </c>
      <c r="T802" s="880">
        <f>[5]Sheet1!$B1217</f>
        <v>8.2191780821917796E-7</v>
      </c>
      <c r="U802" s="10">
        <f t="shared" si="605"/>
        <v>44621</v>
      </c>
      <c r="V802" s="276">
        <f t="shared" si="606"/>
        <v>2.9999999999999997E-4</v>
      </c>
    </row>
    <row r="803" spans="1:22" x14ac:dyDescent="0.25">
      <c r="A803" s="335">
        <f t="shared" si="613"/>
        <v>44622</v>
      </c>
      <c r="B803" s="329">
        <f t="shared" si="607"/>
        <v>713000</v>
      </c>
      <c r="C803" s="338">
        <f t="shared" si="593"/>
        <v>1540005.42</v>
      </c>
      <c r="D803" s="414">
        <f t="shared" si="594"/>
        <v>0.68</v>
      </c>
      <c r="E803" s="49">
        <f t="shared" si="608"/>
        <v>0</v>
      </c>
      <c r="F803" s="35">
        <f t="shared" si="595"/>
        <v>0</v>
      </c>
      <c r="G803" s="414">
        <f t="shared" si="596"/>
        <v>0</v>
      </c>
      <c r="H803" s="49">
        <f t="shared" si="609"/>
        <v>-29298.28</v>
      </c>
      <c r="I803" s="35">
        <f t="shared" si="597"/>
        <v>46239.839999999982</v>
      </c>
      <c r="J803" s="414">
        <f t="shared" si="598"/>
        <v>0.06</v>
      </c>
      <c r="K803" s="329">
        <f t="shared" si="610"/>
        <v>0</v>
      </c>
      <c r="L803" s="35">
        <f t="shared" si="599"/>
        <v>0</v>
      </c>
      <c r="M803" s="414">
        <f t="shared" si="600"/>
        <v>0</v>
      </c>
      <c r="N803" s="329">
        <f t="shared" si="611"/>
        <v>0.04</v>
      </c>
      <c r="O803" s="35">
        <f t="shared" si="601"/>
        <v>26.980000000010332</v>
      </c>
      <c r="P803" s="414">
        <f t="shared" si="602"/>
        <v>0</v>
      </c>
      <c r="Q803" s="329">
        <f t="shared" si="612"/>
        <v>0</v>
      </c>
      <c r="R803" s="35">
        <f t="shared" si="603"/>
        <v>0</v>
      </c>
      <c r="S803" s="414">
        <f t="shared" si="604"/>
        <v>0</v>
      </c>
      <c r="T803" s="880">
        <f>[5]Sheet1!$B1218</f>
        <v>8.2191780821917796E-7</v>
      </c>
      <c r="U803" s="10">
        <f t="shared" si="605"/>
        <v>44622</v>
      </c>
      <c r="V803" s="276">
        <f t="shared" si="606"/>
        <v>2.9999999999999997E-4</v>
      </c>
    </row>
    <row r="804" spans="1:22" x14ac:dyDescent="0.25">
      <c r="A804" s="335">
        <f t="shared" si="613"/>
        <v>44623</v>
      </c>
      <c r="B804" s="329">
        <f t="shared" si="607"/>
        <v>-719475.11</v>
      </c>
      <c r="C804" s="338">
        <f t="shared" si="593"/>
        <v>820530.30999999994</v>
      </c>
      <c r="D804" s="414">
        <f t="shared" si="594"/>
        <v>1.27</v>
      </c>
      <c r="E804" s="49">
        <f t="shared" si="608"/>
        <v>0</v>
      </c>
      <c r="F804" s="35">
        <f t="shared" si="595"/>
        <v>0</v>
      </c>
      <c r="G804" s="414">
        <f t="shared" si="596"/>
        <v>0</v>
      </c>
      <c r="H804" s="49">
        <f t="shared" si="609"/>
        <v>0</v>
      </c>
      <c r="I804" s="35">
        <f t="shared" si="597"/>
        <v>46239.839999999982</v>
      </c>
      <c r="J804" s="414">
        <f t="shared" si="598"/>
        <v>0.04</v>
      </c>
      <c r="K804" s="329">
        <f t="shared" si="610"/>
        <v>0</v>
      </c>
      <c r="L804" s="35">
        <f t="shared" si="599"/>
        <v>0</v>
      </c>
      <c r="M804" s="414">
        <f t="shared" si="600"/>
        <v>0</v>
      </c>
      <c r="N804" s="329">
        <f t="shared" si="611"/>
        <v>0</v>
      </c>
      <c r="O804" s="35">
        <f t="shared" si="601"/>
        <v>26.980000000010332</v>
      </c>
      <c r="P804" s="414">
        <f t="shared" si="602"/>
        <v>0</v>
      </c>
      <c r="Q804" s="329">
        <f t="shared" si="612"/>
        <v>0</v>
      </c>
      <c r="R804" s="35">
        <f t="shared" si="603"/>
        <v>0</v>
      </c>
      <c r="S804" s="414">
        <f t="shared" si="604"/>
        <v>0</v>
      </c>
      <c r="T804" s="880">
        <f>[5]Sheet1!$B1219</f>
        <v>8.2191780821917796E-7</v>
      </c>
      <c r="U804" s="10">
        <f t="shared" si="605"/>
        <v>44623</v>
      </c>
      <c r="V804" s="276">
        <f t="shared" si="606"/>
        <v>2.9999999999999997E-4</v>
      </c>
    </row>
    <row r="805" spans="1:22" x14ac:dyDescent="0.25">
      <c r="A805" s="335">
        <f t="shared" si="613"/>
        <v>44624</v>
      </c>
      <c r="B805" s="329">
        <f t="shared" si="607"/>
        <v>0</v>
      </c>
      <c r="C805" s="338">
        <f t="shared" si="593"/>
        <v>820530.30999999994</v>
      </c>
      <c r="D805" s="414">
        <f t="shared" si="594"/>
        <v>0.67</v>
      </c>
      <c r="E805" s="49">
        <f t="shared" si="608"/>
        <v>0</v>
      </c>
      <c r="F805" s="35">
        <f t="shared" si="595"/>
        <v>0</v>
      </c>
      <c r="G805" s="414">
        <f t="shared" si="596"/>
        <v>0</v>
      </c>
      <c r="H805" s="49">
        <f t="shared" si="609"/>
        <v>0</v>
      </c>
      <c r="I805" s="35">
        <f t="shared" si="597"/>
        <v>46239.839999999982</v>
      </c>
      <c r="J805" s="414">
        <f t="shared" si="598"/>
        <v>0.04</v>
      </c>
      <c r="K805" s="329">
        <f t="shared" si="610"/>
        <v>0</v>
      </c>
      <c r="L805" s="35">
        <f t="shared" si="599"/>
        <v>0</v>
      </c>
      <c r="M805" s="414">
        <f t="shared" si="600"/>
        <v>0</v>
      </c>
      <c r="N805" s="329">
        <f t="shared" si="611"/>
        <v>0</v>
      </c>
      <c r="O805" s="35">
        <f t="shared" si="601"/>
        <v>26.980000000010332</v>
      </c>
      <c r="P805" s="414">
        <f t="shared" si="602"/>
        <v>0</v>
      </c>
      <c r="Q805" s="329">
        <f t="shared" si="612"/>
        <v>0</v>
      </c>
      <c r="R805" s="35">
        <f t="shared" si="603"/>
        <v>0</v>
      </c>
      <c r="S805" s="414">
        <f t="shared" si="604"/>
        <v>0</v>
      </c>
      <c r="T805" s="880">
        <f>[5]Sheet1!$B1220</f>
        <v>2.4657534246575337E-6</v>
      </c>
      <c r="U805" s="10">
        <f t="shared" si="605"/>
        <v>44624</v>
      </c>
      <c r="V805" s="276">
        <f t="shared" si="606"/>
        <v>2.9999999999999992E-4</v>
      </c>
    </row>
    <row r="806" spans="1:22" x14ac:dyDescent="0.25">
      <c r="A806" s="335">
        <f t="shared" si="613"/>
        <v>44627</v>
      </c>
      <c r="B806" s="329">
        <f t="shared" si="607"/>
        <v>98278.48</v>
      </c>
      <c r="C806" s="338">
        <f t="shared" si="593"/>
        <v>918808.78999999992</v>
      </c>
      <c r="D806" s="414">
        <f t="shared" si="594"/>
        <v>2.02</v>
      </c>
      <c r="E806" s="49">
        <f t="shared" si="608"/>
        <v>0</v>
      </c>
      <c r="F806" s="35">
        <f t="shared" si="595"/>
        <v>0</v>
      </c>
      <c r="G806" s="414">
        <f t="shared" si="596"/>
        <v>0</v>
      </c>
      <c r="H806" s="49">
        <f t="shared" si="609"/>
        <v>0</v>
      </c>
      <c r="I806" s="35">
        <f t="shared" si="597"/>
        <v>46239.839999999982</v>
      </c>
      <c r="J806" s="414">
        <f t="shared" si="598"/>
        <v>0.11</v>
      </c>
      <c r="K806" s="329">
        <f t="shared" si="610"/>
        <v>0</v>
      </c>
      <c r="L806" s="35">
        <f t="shared" si="599"/>
        <v>0</v>
      </c>
      <c r="M806" s="414">
        <f t="shared" si="600"/>
        <v>0</v>
      </c>
      <c r="N806" s="329">
        <f t="shared" si="611"/>
        <v>0</v>
      </c>
      <c r="O806" s="35">
        <f t="shared" si="601"/>
        <v>26.980000000010332</v>
      </c>
      <c r="P806" s="414">
        <f t="shared" si="602"/>
        <v>0</v>
      </c>
      <c r="Q806" s="329">
        <f t="shared" si="612"/>
        <v>0</v>
      </c>
      <c r="R806" s="35">
        <f t="shared" si="603"/>
        <v>0</v>
      </c>
      <c r="S806" s="414">
        <f t="shared" si="604"/>
        <v>0</v>
      </c>
      <c r="T806" s="880">
        <f>[5]Sheet1!$B1221</f>
        <v>8.2191780821917796E-7</v>
      </c>
      <c r="U806" s="10">
        <f t="shared" si="605"/>
        <v>44627</v>
      </c>
      <c r="V806" s="276">
        <f t="shared" si="606"/>
        <v>2.9999999999999997E-4</v>
      </c>
    </row>
    <row r="807" spans="1:22" x14ac:dyDescent="0.25">
      <c r="A807" s="335">
        <f t="shared" si="613"/>
        <v>44628</v>
      </c>
      <c r="B807" s="329">
        <f t="shared" si="607"/>
        <v>324102.12</v>
      </c>
      <c r="C807" s="338">
        <f t="shared" si="593"/>
        <v>1242910.9099999999</v>
      </c>
      <c r="D807" s="414">
        <f t="shared" si="594"/>
        <v>0.76</v>
      </c>
      <c r="E807" s="49">
        <f t="shared" si="608"/>
        <v>0</v>
      </c>
      <c r="F807" s="35">
        <f t="shared" si="595"/>
        <v>0</v>
      </c>
      <c r="G807" s="414">
        <f t="shared" si="596"/>
        <v>0</v>
      </c>
      <c r="H807" s="49">
        <f t="shared" si="609"/>
        <v>0</v>
      </c>
      <c r="I807" s="35">
        <f t="shared" si="597"/>
        <v>46239.839999999982</v>
      </c>
      <c r="J807" s="414">
        <f t="shared" si="598"/>
        <v>0.04</v>
      </c>
      <c r="K807" s="329">
        <f t="shared" si="610"/>
        <v>0</v>
      </c>
      <c r="L807" s="35">
        <f t="shared" si="599"/>
        <v>0</v>
      </c>
      <c r="M807" s="414">
        <f t="shared" si="600"/>
        <v>0</v>
      </c>
      <c r="N807" s="329">
        <f t="shared" si="611"/>
        <v>0</v>
      </c>
      <c r="O807" s="35">
        <f t="shared" si="601"/>
        <v>26.980000000010332</v>
      </c>
      <c r="P807" s="414">
        <f t="shared" si="602"/>
        <v>0</v>
      </c>
      <c r="Q807" s="329">
        <f t="shared" si="612"/>
        <v>0</v>
      </c>
      <c r="R807" s="35">
        <f t="shared" si="603"/>
        <v>0</v>
      </c>
      <c r="S807" s="414">
        <f t="shared" si="604"/>
        <v>0</v>
      </c>
      <c r="T807" s="880">
        <f>[5]Sheet1!$B1222</f>
        <v>8.2191780821917796E-7</v>
      </c>
      <c r="U807" s="10">
        <f t="shared" si="605"/>
        <v>44628</v>
      </c>
      <c r="V807" s="276">
        <f t="shared" si="606"/>
        <v>2.9999999999999997E-4</v>
      </c>
    </row>
    <row r="808" spans="1:22" x14ac:dyDescent="0.25">
      <c r="A808" s="335">
        <f t="shared" si="613"/>
        <v>44629</v>
      </c>
      <c r="B808" s="329">
        <f t="shared" si="607"/>
        <v>0</v>
      </c>
      <c r="C808" s="338">
        <f t="shared" si="593"/>
        <v>1242910.9099999999</v>
      </c>
      <c r="D808" s="414">
        <f t="shared" si="594"/>
        <v>1.02</v>
      </c>
      <c r="E808" s="49">
        <f t="shared" si="608"/>
        <v>0</v>
      </c>
      <c r="F808" s="35">
        <f t="shared" si="595"/>
        <v>0</v>
      </c>
      <c r="G808" s="414">
        <f t="shared" si="596"/>
        <v>0</v>
      </c>
      <c r="H808" s="49">
        <f t="shared" si="609"/>
        <v>0</v>
      </c>
      <c r="I808" s="35">
        <f t="shared" si="597"/>
        <v>46239.839999999982</v>
      </c>
      <c r="J808" s="414">
        <f t="shared" si="598"/>
        <v>0.04</v>
      </c>
      <c r="K808" s="329">
        <f t="shared" si="610"/>
        <v>0</v>
      </c>
      <c r="L808" s="35">
        <f t="shared" si="599"/>
        <v>0</v>
      </c>
      <c r="M808" s="414">
        <f t="shared" si="600"/>
        <v>0</v>
      </c>
      <c r="N808" s="329">
        <f t="shared" si="611"/>
        <v>0</v>
      </c>
      <c r="O808" s="35">
        <f t="shared" si="601"/>
        <v>26.980000000010332</v>
      </c>
      <c r="P808" s="414">
        <f t="shared" si="602"/>
        <v>0</v>
      </c>
      <c r="Q808" s="329">
        <f t="shared" si="612"/>
        <v>0</v>
      </c>
      <c r="R808" s="35">
        <f t="shared" si="603"/>
        <v>0</v>
      </c>
      <c r="S808" s="414">
        <f t="shared" si="604"/>
        <v>0</v>
      </c>
      <c r="T808" s="880">
        <f>[5]Sheet1!$B1223</f>
        <v>8.2191780821917796E-7</v>
      </c>
      <c r="U808" s="10">
        <f t="shared" si="605"/>
        <v>44629</v>
      </c>
      <c r="V808" s="276">
        <f t="shared" si="606"/>
        <v>2.9999999999999997E-4</v>
      </c>
    </row>
    <row r="809" spans="1:22" x14ac:dyDescent="0.25">
      <c r="A809" s="335">
        <f t="shared" si="613"/>
        <v>44630</v>
      </c>
      <c r="B809" s="329">
        <f t="shared" si="607"/>
        <v>0</v>
      </c>
      <c r="C809" s="338">
        <f t="shared" si="593"/>
        <v>1242910.9099999999</v>
      </c>
      <c r="D809" s="414">
        <f t="shared" si="594"/>
        <v>1.02</v>
      </c>
      <c r="E809" s="49">
        <f t="shared" si="608"/>
        <v>0</v>
      </c>
      <c r="F809" s="35">
        <f t="shared" si="595"/>
        <v>0</v>
      </c>
      <c r="G809" s="414">
        <f t="shared" si="596"/>
        <v>0</v>
      </c>
      <c r="H809" s="49">
        <f t="shared" si="609"/>
        <v>0</v>
      </c>
      <c r="I809" s="35">
        <f t="shared" si="597"/>
        <v>46239.839999999982</v>
      </c>
      <c r="J809" s="414">
        <f t="shared" si="598"/>
        <v>0.04</v>
      </c>
      <c r="K809" s="329">
        <f t="shared" si="610"/>
        <v>0</v>
      </c>
      <c r="L809" s="35">
        <f t="shared" si="599"/>
        <v>0</v>
      </c>
      <c r="M809" s="414">
        <f t="shared" si="600"/>
        <v>0</v>
      </c>
      <c r="N809" s="329">
        <f t="shared" si="611"/>
        <v>0</v>
      </c>
      <c r="O809" s="35">
        <f t="shared" si="601"/>
        <v>26.980000000010332</v>
      </c>
      <c r="P809" s="414">
        <f t="shared" si="602"/>
        <v>0</v>
      </c>
      <c r="Q809" s="329">
        <f t="shared" si="612"/>
        <v>0</v>
      </c>
      <c r="R809" s="35">
        <f t="shared" si="603"/>
        <v>0</v>
      </c>
      <c r="S809" s="414">
        <f t="shared" si="604"/>
        <v>0</v>
      </c>
      <c r="T809" s="880">
        <f>[5]Sheet1!$B1224</f>
        <v>8.2191780821917796E-7</v>
      </c>
      <c r="U809" s="10">
        <f t="shared" si="605"/>
        <v>44630</v>
      </c>
      <c r="V809" s="276">
        <f t="shared" si="606"/>
        <v>2.9999999999999997E-4</v>
      </c>
    </row>
    <row r="810" spans="1:22" x14ac:dyDescent="0.25">
      <c r="A810" s="335">
        <f t="shared" si="613"/>
        <v>44631</v>
      </c>
      <c r="B810" s="329">
        <f t="shared" si="607"/>
        <v>0</v>
      </c>
      <c r="C810" s="338">
        <f t="shared" si="593"/>
        <v>1242910.9099999999</v>
      </c>
      <c r="D810" s="414">
        <f t="shared" si="594"/>
        <v>1.02</v>
      </c>
      <c r="E810" s="49">
        <f t="shared" si="608"/>
        <v>0</v>
      </c>
      <c r="F810" s="35">
        <f t="shared" si="595"/>
        <v>0</v>
      </c>
      <c r="G810" s="414">
        <f t="shared" si="596"/>
        <v>0</v>
      </c>
      <c r="H810" s="49">
        <f t="shared" si="609"/>
        <v>0</v>
      </c>
      <c r="I810" s="35">
        <f t="shared" si="597"/>
        <v>46239.839999999982</v>
      </c>
      <c r="J810" s="414">
        <f t="shared" si="598"/>
        <v>0.04</v>
      </c>
      <c r="K810" s="329">
        <f t="shared" si="610"/>
        <v>0</v>
      </c>
      <c r="L810" s="35">
        <f t="shared" si="599"/>
        <v>0</v>
      </c>
      <c r="M810" s="414">
        <f t="shared" si="600"/>
        <v>0</v>
      </c>
      <c r="N810" s="329">
        <f t="shared" si="611"/>
        <v>0</v>
      </c>
      <c r="O810" s="35">
        <f t="shared" si="601"/>
        <v>26.980000000010332</v>
      </c>
      <c r="P810" s="414">
        <f t="shared" si="602"/>
        <v>0</v>
      </c>
      <c r="Q810" s="329">
        <f t="shared" si="612"/>
        <v>0</v>
      </c>
      <c r="R810" s="35">
        <f t="shared" si="603"/>
        <v>0</v>
      </c>
      <c r="S810" s="414">
        <f t="shared" si="604"/>
        <v>0</v>
      </c>
      <c r="T810" s="880">
        <f>[5]Sheet1!$B1225</f>
        <v>2.4660000000000002E-6</v>
      </c>
      <c r="U810" s="10">
        <f t="shared" si="605"/>
        <v>44631</v>
      </c>
      <c r="V810" s="276">
        <f t="shared" si="606"/>
        <v>3.0003000000000001E-4</v>
      </c>
    </row>
    <row r="811" spans="1:22" x14ac:dyDescent="0.25">
      <c r="A811" s="335">
        <f t="shared" si="613"/>
        <v>44634</v>
      </c>
      <c r="B811" s="329">
        <f t="shared" si="607"/>
        <v>-600000</v>
      </c>
      <c r="C811" s="338">
        <f t="shared" si="593"/>
        <v>642910.90999999992</v>
      </c>
      <c r="D811" s="414">
        <f t="shared" si="594"/>
        <v>3.07</v>
      </c>
      <c r="E811" s="49">
        <f t="shared" si="608"/>
        <v>0</v>
      </c>
      <c r="F811" s="35">
        <f t="shared" si="595"/>
        <v>0</v>
      </c>
      <c r="G811" s="414">
        <f t="shared" si="596"/>
        <v>0</v>
      </c>
      <c r="H811" s="49">
        <f t="shared" si="609"/>
        <v>0</v>
      </c>
      <c r="I811" s="35">
        <f t="shared" si="597"/>
        <v>46239.839999999982</v>
      </c>
      <c r="J811" s="414">
        <f t="shared" si="598"/>
        <v>0.11</v>
      </c>
      <c r="K811" s="329">
        <f t="shared" si="610"/>
        <v>0</v>
      </c>
      <c r="L811" s="35">
        <f t="shared" si="599"/>
        <v>0</v>
      </c>
      <c r="M811" s="414">
        <f t="shared" si="600"/>
        <v>0</v>
      </c>
      <c r="N811" s="329">
        <f t="shared" si="611"/>
        <v>0</v>
      </c>
      <c r="O811" s="35">
        <f t="shared" si="601"/>
        <v>26.980000000010332</v>
      </c>
      <c r="P811" s="414">
        <f t="shared" si="602"/>
        <v>0</v>
      </c>
      <c r="Q811" s="329">
        <f t="shared" si="612"/>
        <v>0</v>
      </c>
      <c r="R811" s="35">
        <f t="shared" si="603"/>
        <v>0</v>
      </c>
      <c r="S811" s="414">
        <f t="shared" si="604"/>
        <v>0</v>
      </c>
      <c r="T811" s="880">
        <f>[5]Sheet1!$B1226</f>
        <v>8.2200000000000003E-7</v>
      </c>
      <c r="U811" s="10">
        <f t="shared" si="605"/>
        <v>44634</v>
      </c>
      <c r="V811" s="276">
        <f t="shared" si="606"/>
        <v>3.0003000000000001E-4</v>
      </c>
    </row>
    <row r="812" spans="1:22" x14ac:dyDescent="0.25">
      <c r="A812" s="335">
        <f t="shared" si="613"/>
        <v>44635</v>
      </c>
      <c r="B812" s="329">
        <f t="shared" si="607"/>
        <v>731990.55</v>
      </c>
      <c r="C812" s="338">
        <f t="shared" si="593"/>
        <v>1374901.46</v>
      </c>
      <c r="D812" s="414">
        <f t="shared" si="594"/>
        <v>0.53</v>
      </c>
      <c r="E812" s="49">
        <f t="shared" si="608"/>
        <v>0</v>
      </c>
      <c r="F812" s="35">
        <f t="shared" si="595"/>
        <v>0</v>
      </c>
      <c r="G812" s="414">
        <f t="shared" si="596"/>
        <v>0</v>
      </c>
      <c r="H812" s="49">
        <f t="shared" si="609"/>
        <v>-7000</v>
      </c>
      <c r="I812" s="35">
        <f t="shared" si="597"/>
        <v>39239.839999999982</v>
      </c>
      <c r="J812" s="414">
        <f t="shared" si="598"/>
        <v>0.04</v>
      </c>
      <c r="K812" s="329">
        <f t="shared" si="610"/>
        <v>0</v>
      </c>
      <c r="L812" s="35">
        <f t="shared" si="599"/>
        <v>0</v>
      </c>
      <c r="M812" s="414">
        <f t="shared" si="600"/>
        <v>0</v>
      </c>
      <c r="N812" s="329">
        <f t="shared" si="611"/>
        <v>0</v>
      </c>
      <c r="O812" s="35">
        <f t="shared" si="601"/>
        <v>26.980000000010332</v>
      </c>
      <c r="P812" s="414">
        <f t="shared" si="602"/>
        <v>0</v>
      </c>
      <c r="Q812" s="329">
        <f t="shared" si="612"/>
        <v>0</v>
      </c>
      <c r="R812" s="35">
        <f t="shared" si="603"/>
        <v>0</v>
      </c>
      <c r="S812" s="414">
        <f t="shared" si="604"/>
        <v>0</v>
      </c>
      <c r="T812" s="880">
        <f>[5]Sheet1!$B1227</f>
        <v>8.2191780821917796E-7</v>
      </c>
      <c r="U812" s="10">
        <f t="shared" si="605"/>
        <v>44635</v>
      </c>
      <c r="V812" s="276">
        <f t="shared" si="606"/>
        <v>2.9999999999999997E-4</v>
      </c>
    </row>
    <row r="813" spans="1:22" x14ac:dyDescent="0.25">
      <c r="A813" s="335">
        <f t="shared" si="613"/>
        <v>44636</v>
      </c>
      <c r="B813" s="329">
        <f t="shared" si="607"/>
        <v>642476.66</v>
      </c>
      <c r="C813" s="338">
        <f t="shared" si="593"/>
        <v>2017378.12</v>
      </c>
      <c r="D813" s="414">
        <f t="shared" si="594"/>
        <v>1.1299999999999999</v>
      </c>
      <c r="E813" s="49">
        <f t="shared" si="608"/>
        <v>0</v>
      </c>
      <c r="F813" s="35">
        <f t="shared" si="595"/>
        <v>0</v>
      </c>
      <c r="G813" s="414">
        <f t="shared" si="596"/>
        <v>0</v>
      </c>
      <c r="H813" s="49">
        <f t="shared" si="609"/>
        <v>16770.669999999998</v>
      </c>
      <c r="I813" s="35">
        <f t="shared" si="597"/>
        <v>56010.50999999998</v>
      </c>
      <c r="J813" s="414">
        <f t="shared" si="598"/>
        <v>0.03</v>
      </c>
      <c r="K813" s="329">
        <f t="shared" si="610"/>
        <v>0</v>
      </c>
      <c r="L813" s="35">
        <f t="shared" si="599"/>
        <v>0</v>
      </c>
      <c r="M813" s="414">
        <f t="shared" si="600"/>
        <v>0</v>
      </c>
      <c r="N813" s="329">
        <f t="shared" si="611"/>
        <v>0</v>
      </c>
      <c r="O813" s="35">
        <f t="shared" si="601"/>
        <v>26.980000000010332</v>
      </c>
      <c r="P813" s="414">
        <f t="shared" si="602"/>
        <v>0</v>
      </c>
      <c r="Q813" s="329">
        <f t="shared" si="612"/>
        <v>0</v>
      </c>
      <c r="R813" s="35">
        <f t="shared" si="603"/>
        <v>0</v>
      </c>
      <c r="S813" s="414">
        <f t="shared" si="604"/>
        <v>0</v>
      </c>
      <c r="T813" s="880">
        <f>[5]Sheet1!$B1228</f>
        <v>8.2191780821917796E-7</v>
      </c>
      <c r="U813" s="10">
        <f t="shared" si="605"/>
        <v>44636</v>
      </c>
      <c r="V813" s="276">
        <f t="shared" si="606"/>
        <v>2.9999999999999997E-4</v>
      </c>
    </row>
    <row r="814" spans="1:22" x14ac:dyDescent="0.25">
      <c r="A814" s="335">
        <f t="shared" si="613"/>
        <v>44637</v>
      </c>
      <c r="B814" s="329">
        <f t="shared" si="607"/>
        <v>-335490.18</v>
      </c>
      <c r="C814" s="338">
        <f t="shared" si="593"/>
        <v>1681887.9400000002</v>
      </c>
      <c r="D814" s="414">
        <f t="shared" si="594"/>
        <v>1.66</v>
      </c>
      <c r="E814" s="49">
        <f t="shared" si="608"/>
        <v>0</v>
      </c>
      <c r="F814" s="35">
        <f t="shared" si="595"/>
        <v>0</v>
      </c>
      <c r="G814" s="414">
        <f t="shared" si="596"/>
        <v>0</v>
      </c>
      <c r="H814" s="49">
        <f t="shared" si="609"/>
        <v>-160.80000000000001</v>
      </c>
      <c r="I814" s="35">
        <f t="shared" si="597"/>
        <v>55849.709999999977</v>
      </c>
      <c r="J814" s="414">
        <f t="shared" si="598"/>
        <v>0.05</v>
      </c>
      <c r="K814" s="329">
        <f t="shared" si="610"/>
        <v>0</v>
      </c>
      <c r="L814" s="35">
        <f t="shared" si="599"/>
        <v>0</v>
      </c>
      <c r="M814" s="414">
        <f t="shared" si="600"/>
        <v>0</v>
      </c>
      <c r="N814" s="329">
        <f t="shared" si="611"/>
        <v>0</v>
      </c>
      <c r="O814" s="35">
        <f t="shared" si="601"/>
        <v>26.980000000010332</v>
      </c>
      <c r="P814" s="414">
        <f t="shared" si="602"/>
        <v>0</v>
      </c>
      <c r="Q814" s="329">
        <f t="shared" si="612"/>
        <v>0</v>
      </c>
      <c r="R814" s="35">
        <f t="shared" si="603"/>
        <v>0</v>
      </c>
      <c r="S814" s="414">
        <f t="shared" si="604"/>
        <v>0</v>
      </c>
      <c r="T814" s="880">
        <f>[5]Sheet1!$B1229</f>
        <v>2.9950000000000001E-6</v>
      </c>
      <c r="U814" s="10">
        <f t="shared" si="605"/>
        <v>44637</v>
      </c>
      <c r="V814" s="276">
        <f t="shared" si="606"/>
        <v>1.093175E-3</v>
      </c>
    </row>
    <row r="815" spans="1:22" x14ac:dyDescent="0.25">
      <c r="A815" s="335">
        <f t="shared" si="613"/>
        <v>44638</v>
      </c>
      <c r="B815" s="329">
        <f t="shared" si="607"/>
        <v>-600030</v>
      </c>
      <c r="C815" s="338">
        <f t="shared" si="593"/>
        <v>1081857.9400000002</v>
      </c>
      <c r="D815" s="414">
        <f t="shared" si="594"/>
        <v>5.04</v>
      </c>
      <c r="E815" s="49">
        <f t="shared" si="608"/>
        <v>0</v>
      </c>
      <c r="F815" s="35">
        <f t="shared" si="595"/>
        <v>0</v>
      </c>
      <c r="G815" s="414">
        <f t="shared" si="596"/>
        <v>0</v>
      </c>
      <c r="H815" s="49">
        <f t="shared" si="609"/>
        <v>0</v>
      </c>
      <c r="I815" s="35">
        <f t="shared" si="597"/>
        <v>55849.709999999977</v>
      </c>
      <c r="J815" s="414">
        <f t="shared" si="598"/>
        <v>0.17</v>
      </c>
      <c r="K815" s="329">
        <f t="shared" si="610"/>
        <v>0</v>
      </c>
      <c r="L815" s="35">
        <f t="shared" si="599"/>
        <v>0</v>
      </c>
      <c r="M815" s="414">
        <f t="shared" si="600"/>
        <v>0</v>
      </c>
      <c r="N815" s="329">
        <f t="shared" si="611"/>
        <v>0</v>
      </c>
      <c r="O815" s="35">
        <f t="shared" si="601"/>
        <v>26.980000000010332</v>
      </c>
      <c r="P815" s="414">
        <f t="shared" si="602"/>
        <v>0</v>
      </c>
      <c r="Q815" s="329">
        <f t="shared" si="612"/>
        <v>0</v>
      </c>
      <c r="R815" s="35">
        <f t="shared" si="603"/>
        <v>0</v>
      </c>
      <c r="S815" s="414">
        <f t="shared" si="604"/>
        <v>0</v>
      </c>
      <c r="T815" s="880">
        <f>[5]Sheet1!$B1230</f>
        <v>1.2670999999999999E-5</v>
      </c>
      <c r="U815" s="10">
        <f t="shared" si="605"/>
        <v>44638</v>
      </c>
      <c r="V815" s="276">
        <f t="shared" si="606"/>
        <v>1.5416383333333331E-3</v>
      </c>
    </row>
    <row r="816" spans="1:22" x14ac:dyDescent="0.25">
      <c r="A816" s="335">
        <f t="shared" si="613"/>
        <v>44641</v>
      </c>
      <c r="B816" s="329">
        <f t="shared" si="607"/>
        <v>0</v>
      </c>
      <c r="C816" s="338">
        <f t="shared" si="593"/>
        <v>1081857.9400000002</v>
      </c>
      <c r="D816" s="414">
        <f t="shared" si="594"/>
        <v>13.71</v>
      </c>
      <c r="E816" s="49">
        <f t="shared" si="608"/>
        <v>0</v>
      </c>
      <c r="F816" s="35">
        <f t="shared" si="595"/>
        <v>0</v>
      </c>
      <c r="G816" s="414">
        <f t="shared" si="596"/>
        <v>0</v>
      </c>
      <c r="H816" s="49">
        <f t="shared" si="609"/>
        <v>0</v>
      </c>
      <c r="I816" s="35">
        <f t="shared" si="597"/>
        <v>55849.709999999977</v>
      </c>
      <c r="J816" s="414">
        <f t="shared" si="598"/>
        <v>0.71</v>
      </c>
      <c r="K816" s="329">
        <f t="shared" si="610"/>
        <v>0</v>
      </c>
      <c r="L816" s="35">
        <f t="shared" si="599"/>
        <v>0</v>
      </c>
      <c r="M816" s="414">
        <f t="shared" si="600"/>
        <v>0</v>
      </c>
      <c r="N816" s="329">
        <f t="shared" si="611"/>
        <v>0</v>
      </c>
      <c r="O816" s="35">
        <f t="shared" si="601"/>
        <v>26.980000000010332</v>
      </c>
      <c r="P816" s="414">
        <f t="shared" si="602"/>
        <v>0</v>
      </c>
      <c r="Q816" s="329">
        <f t="shared" si="612"/>
        <v>0</v>
      </c>
      <c r="R816" s="35">
        <f t="shared" si="603"/>
        <v>0</v>
      </c>
      <c r="S816" s="414">
        <f t="shared" si="604"/>
        <v>0</v>
      </c>
      <c r="T816" s="880">
        <f>[5]Sheet1!$B1231</f>
        <v>3.8619999999999996E-6</v>
      </c>
      <c r="U816" s="10">
        <f t="shared" si="605"/>
        <v>44641</v>
      </c>
      <c r="V816" s="276">
        <f t="shared" si="606"/>
        <v>1.4096299999999998E-3</v>
      </c>
    </row>
    <row r="817" spans="1:22" x14ac:dyDescent="0.25">
      <c r="A817" s="335">
        <f t="shared" si="613"/>
        <v>44642</v>
      </c>
      <c r="B817" s="329">
        <f t="shared" si="607"/>
        <v>-933144.27</v>
      </c>
      <c r="C817" s="338">
        <f t="shared" si="593"/>
        <v>148713.67000000016</v>
      </c>
      <c r="D817" s="414">
        <f t="shared" si="594"/>
        <v>4.18</v>
      </c>
      <c r="E817" s="49">
        <f t="shared" si="608"/>
        <v>0</v>
      </c>
      <c r="F817" s="35">
        <f t="shared" si="595"/>
        <v>0</v>
      </c>
      <c r="G817" s="414">
        <f t="shared" si="596"/>
        <v>0</v>
      </c>
      <c r="H817" s="49">
        <f t="shared" si="609"/>
        <v>0</v>
      </c>
      <c r="I817" s="35">
        <f t="shared" si="597"/>
        <v>55849.709999999977</v>
      </c>
      <c r="J817" s="414">
        <f t="shared" si="598"/>
        <v>0.22</v>
      </c>
      <c r="K817" s="329">
        <f t="shared" si="610"/>
        <v>0</v>
      </c>
      <c r="L817" s="35">
        <f t="shared" si="599"/>
        <v>0</v>
      </c>
      <c r="M817" s="414">
        <f t="shared" si="600"/>
        <v>0</v>
      </c>
      <c r="N817" s="329">
        <f t="shared" si="611"/>
        <v>0</v>
      </c>
      <c r="O817" s="35">
        <f t="shared" si="601"/>
        <v>26.980000000010332</v>
      </c>
      <c r="P817" s="414">
        <f t="shared" si="602"/>
        <v>0</v>
      </c>
      <c r="Q817" s="329">
        <f t="shared" si="612"/>
        <v>0</v>
      </c>
      <c r="R817" s="35">
        <f t="shared" si="603"/>
        <v>0</v>
      </c>
      <c r="S817" s="414">
        <f t="shared" si="604"/>
        <v>0</v>
      </c>
      <c r="T817" s="880">
        <f>[5]Sheet1!$B1232</f>
        <v>4.8459999999999999E-6</v>
      </c>
      <c r="U817" s="10">
        <f t="shared" si="605"/>
        <v>44642</v>
      </c>
      <c r="V817" s="276">
        <f t="shared" si="606"/>
        <v>1.7687899999999999E-3</v>
      </c>
    </row>
    <row r="818" spans="1:22" x14ac:dyDescent="0.25">
      <c r="A818" s="335">
        <f t="shared" si="613"/>
        <v>44643</v>
      </c>
      <c r="B818" s="329">
        <f t="shared" si="607"/>
        <v>0</v>
      </c>
      <c r="C818" s="338">
        <f t="shared" si="593"/>
        <v>148713.67000000016</v>
      </c>
      <c r="D818" s="414">
        <f t="shared" si="594"/>
        <v>0.72</v>
      </c>
      <c r="E818" s="49">
        <f t="shared" si="608"/>
        <v>0</v>
      </c>
      <c r="F818" s="35">
        <f t="shared" si="595"/>
        <v>0</v>
      </c>
      <c r="G818" s="414">
        <f t="shared" si="596"/>
        <v>0</v>
      </c>
      <c r="H818" s="49">
        <f t="shared" si="609"/>
        <v>0</v>
      </c>
      <c r="I818" s="35">
        <f t="shared" si="597"/>
        <v>55849.709999999977</v>
      </c>
      <c r="J818" s="414">
        <f t="shared" si="598"/>
        <v>0.27</v>
      </c>
      <c r="K818" s="329">
        <f t="shared" si="610"/>
        <v>0</v>
      </c>
      <c r="L818" s="35">
        <f t="shared" si="599"/>
        <v>0</v>
      </c>
      <c r="M818" s="414">
        <f t="shared" si="600"/>
        <v>0</v>
      </c>
      <c r="N818" s="329">
        <f t="shared" si="611"/>
        <v>0</v>
      </c>
      <c r="O818" s="35">
        <f t="shared" si="601"/>
        <v>26.980000000010332</v>
      </c>
      <c r="P818" s="414">
        <f t="shared" si="602"/>
        <v>0</v>
      </c>
      <c r="Q818" s="329">
        <f t="shared" si="612"/>
        <v>0</v>
      </c>
      <c r="R818" s="35">
        <f t="shared" si="603"/>
        <v>0</v>
      </c>
      <c r="S818" s="414">
        <f t="shared" si="604"/>
        <v>0</v>
      </c>
      <c r="T818" s="880">
        <f>[5]Sheet1!$B1233</f>
        <v>4.9640000000000002E-6</v>
      </c>
      <c r="U818" s="10">
        <f t="shared" si="605"/>
        <v>44643</v>
      </c>
      <c r="V818" s="276">
        <f t="shared" si="606"/>
        <v>1.81186E-3</v>
      </c>
    </row>
    <row r="819" spans="1:22" x14ac:dyDescent="0.25">
      <c r="A819" s="335">
        <f t="shared" si="613"/>
        <v>44644</v>
      </c>
      <c r="B819" s="329">
        <f t="shared" si="607"/>
        <v>296962.87</v>
      </c>
      <c r="C819" s="338">
        <f t="shared" si="593"/>
        <v>445676.54000000015</v>
      </c>
      <c r="D819" s="414">
        <f t="shared" si="594"/>
        <v>0.74</v>
      </c>
      <c r="E819" s="49">
        <f t="shared" si="608"/>
        <v>0</v>
      </c>
      <c r="F819" s="35">
        <f t="shared" si="595"/>
        <v>0</v>
      </c>
      <c r="G819" s="414">
        <f t="shared" si="596"/>
        <v>0</v>
      </c>
      <c r="H819" s="49">
        <f t="shared" si="609"/>
        <v>0</v>
      </c>
      <c r="I819" s="35">
        <f t="shared" si="597"/>
        <v>55849.709999999977</v>
      </c>
      <c r="J819" s="414">
        <f t="shared" si="598"/>
        <v>0.28000000000000003</v>
      </c>
      <c r="K819" s="329">
        <f t="shared" si="610"/>
        <v>0</v>
      </c>
      <c r="L819" s="35">
        <f t="shared" si="599"/>
        <v>0</v>
      </c>
      <c r="M819" s="414">
        <f t="shared" si="600"/>
        <v>0</v>
      </c>
      <c r="N819" s="329">
        <f t="shared" si="611"/>
        <v>0</v>
      </c>
      <c r="O819" s="35">
        <f t="shared" si="601"/>
        <v>26.980000000010332</v>
      </c>
      <c r="P819" s="414">
        <f t="shared" si="602"/>
        <v>0</v>
      </c>
      <c r="Q819" s="329">
        <f t="shared" si="612"/>
        <v>0</v>
      </c>
      <c r="R819" s="35">
        <f t="shared" si="603"/>
        <v>0</v>
      </c>
      <c r="S819" s="414">
        <f t="shared" si="604"/>
        <v>0</v>
      </c>
      <c r="T819" s="880">
        <f>[5]Sheet1!$B1234</f>
        <v>5.1630000000000004E-6</v>
      </c>
      <c r="U819" s="10">
        <f t="shared" si="605"/>
        <v>44644</v>
      </c>
      <c r="V819" s="276">
        <f t="shared" si="606"/>
        <v>1.8844950000000001E-3</v>
      </c>
    </row>
    <row r="820" spans="1:22" x14ac:dyDescent="0.25">
      <c r="A820" s="335">
        <f t="shared" si="613"/>
        <v>44645</v>
      </c>
      <c r="B820" s="329">
        <f t="shared" si="607"/>
        <v>0</v>
      </c>
      <c r="C820" s="338">
        <f t="shared" si="593"/>
        <v>445676.54000000015</v>
      </c>
      <c r="D820" s="414">
        <f t="shared" si="594"/>
        <v>2.2999999999999998</v>
      </c>
      <c r="E820" s="49">
        <f t="shared" si="608"/>
        <v>0</v>
      </c>
      <c r="F820" s="35">
        <f t="shared" si="595"/>
        <v>0</v>
      </c>
      <c r="G820" s="414">
        <f t="shared" si="596"/>
        <v>0</v>
      </c>
      <c r="H820" s="49">
        <f t="shared" si="609"/>
        <v>0</v>
      </c>
      <c r="I820" s="35">
        <f t="shared" si="597"/>
        <v>55849.709999999977</v>
      </c>
      <c r="J820" s="414">
        <f t="shared" si="598"/>
        <v>0.28999999999999998</v>
      </c>
      <c r="K820" s="329">
        <f t="shared" si="610"/>
        <v>0</v>
      </c>
      <c r="L820" s="35">
        <f t="shared" si="599"/>
        <v>0</v>
      </c>
      <c r="M820" s="414">
        <f t="shared" si="600"/>
        <v>0</v>
      </c>
      <c r="N820" s="329">
        <f t="shared" si="611"/>
        <v>0</v>
      </c>
      <c r="O820" s="35">
        <f t="shared" si="601"/>
        <v>26.980000000010332</v>
      </c>
      <c r="P820" s="414">
        <f t="shared" si="602"/>
        <v>0</v>
      </c>
      <c r="Q820" s="329">
        <f t="shared" si="612"/>
        <v>0</v>
      </c>
      <c r="R820" s="35">
        <f t="shared" si="603"/>
        <v>0</v>
      </c>
      <c r="S820" s="414">
        <f t="shared" si="604"/>
        <v>0</v>
      </c>
      <c r="T820" s="880">
        <f>[5]Sheet1!$B1235</f>
        <v>1.5191000000000001E-5</v>
      </c>
      <c r="U820" s="10">
        <f t="shared" si="605"/>
        <v>44645</v>
      </c>
      <c r="V820" s="276">
        <f t="shared" si="606"/>
        <v>1.8482383333333335E-3</v>
      </c>
    </row>
    <row r="821" spans="1:22" x14ac:dyDescent="0.25">
      <c r="A821" s="335">
        <f t="shared" si="613"/>
        <v>44648</v>
      </c>
      <c r="B821" s="329">
        <f t="shared" si="607"/>
        <v>-299962.92</v>
      </c>
      <c r="C821" s="338">
        <f t="shared" si="593"/>
        <v>145713.62000000017</v>
      </c>
      <c r="D821" s="414">
        <f t="shared" si="594"/>
        <v>6.77</v>
      </c>
      <c r="E821" s="49">
        <f t="shared" si="608"/>
        <v>0</v>
      </c>
      <c r="F821" s="35">
        <f t="shared" si="595"/>
        <v>0</v>
      </c>
      <c r="G821" s="414">
        <f t="shared" si="596"/>
        <v>0</v>
      </c>
      <c r="H821" s="49">
        <f t="shared" si="609"/>
        <v>0</v>
      </c>
      <c r="I821" s="35">
        <f t="shared" si="597"/>
        <v>55849.709999999977</v>
      </c>
      <c r="J821" s="414">
        <f t="shared" si="598"/>
        <v>0.85</v>
      </c>
      <c r="K821" s="329">
        <f t="shared" si="610"/>
        <v>0</v>
      </c>
      <c r="L821" s="35">
        <f t="shared" si="599"/>
        <v>0</v>
      </c>
      <c r="M821" s="414">
        <f t="shared" si="600"/>
        <v>0</v>
      </c>
      <c r="N821" s="329">
        <f t="shared" si="611"/>
        <v>0</v>
      </c>
      <c r="O821" s="35">
        <f t="shared" si="601"/>
        <v>26.980000000010332</v>
      </c>
      <c r="P821" s="414">
        <f t="shared" si="602"/>
        <v>0</v>
      </c>
      <c r="Q821" s="329">
        <f t="shared" si="612"/>
        <v>0</v>
      </c>
      <c r="R821" s="35">
        <f t="shared" si="603"/>
        <v>0</v>
      </c>
      <c r="S821" s="414">
        <f t="shared" si="604"/>
        <v>0</v>
      </c>
      <c r="T821" s="880">
        <f>[5]Sheet1!$B1236</f>
        <v>5.2000000000000002E-6</v>
      </c>
      <c r="U821" s="10">
        <f>A821</f>
        <v>44648</v>
      </c>
      <c r="V821" s="276">
        <f t="shared" si="606"/>
        <v>1.8980000000000002E-3</v>
      </c>
    </row>
    <row r="822" spans="1:22" x14ac:dyDescent="0.25">
      <c r="A822" s="335">
        <f t="shared" si="613"/>
        <v>44649</v>
      </c>
      <c r="B822" s="329">
        <f t="shared" si="607"/>
        <v>0</v>
      </c>
      <c r="C822" s="338">
        <f t="shared" si="593"/>
        <v>145713.62000000017</v>
      </c>
      <c r="D822" s="414">
        <f t="shared" si="594"/>
        <v>0.76</v>
      </c>
      <c r="E822" s="49">
        <f t="shared" si="608"/>
        <v>0</v>
      </c>
      <c r="F822" s="35">
        <f t="shared" si="595"/>
        <v>0</v>
      </c>
      <c r="G822" s="414">
        <f t="shared" si="596"/>
        <v>0</v>
      </c>
      <c r="H822" s="49">
        <f t="shared" si="609"/>
        <v>0</v>
      </c>
      <c r="I822" s="35">
        <f t="shared" si="597"/>
        <v>55849.709999999977</v>
      </c>
      <c r="J822" s="414">
        <f t="shared" si="598"/>
        <v>0.28999999999999998</v>
      </c>
      <c r="K822" s="329">
        <f t="shared" si="610"/>
        <v>0</v>
      </c>
      <c r="L822" s="35">
        <f t="shared" si="599"/>
        <v>0</v>
      </c>
      <c r="M822" s="414">
        <f t="shared" si="600"/>
        <v>0</v>
      </c>
      <c r="N822" s="329">
        <f t="shared" si="611"/>
        <v>0</v>
      </c>
      <c r="O822" s="35">
        <f t="shared" si="601"/>
        <v>26.980000000010332</v>
      </c>
      <c r="P822" s="414">
        <f t="shared" si="602"/>
        <v>0</v>
      </c>
      <c r="Q822" s="329">
        <f t="shared" si="612"/>
        <v>0</v>
      </c>
      <c r="R822" s="35">
        <f t="shared" si="603"/>
        <v>0</v>
      </c>
      <c r="S822" s="414">
        <f t="shared" si="604"/>
        <v>0</v>
      </c>
      <c r="T822" s="880">
        <f>[5]Sheet1!$B1237</f>
        <v>5.5860000000000004E-6</v>
      </c>
      <c r="U822" s="10">
        <f>A822</f>
        <v>44649</v>
      </c>
      <c r="V822" s="276">
        <f t="shared" si="606"/>
        <v>2.0388900000000002E-3</v>
      </c>
    </row>
    <row r="823" spans="1:22" x14ac:dyDescent="0.25">
      <c r="A823" s="335">
        <f t="shared" si="613"/>
        <v>44650</v>
      </c>
      <c r="B823" s="329">
        <f t="shared" si="607"/>
        <v>0</v>
      </c>
      <c r="C823" s="338">
        <f t="shared" si="593"/>
        <v>145713.62000000017</v>
      </c>
      <c r="D823" s="414">
        <f t="shared" si="594"/>
        <v>0.81</v>
      </c>
      <c r="E823" s="49">
        <f t="shared" si="608"/>
        <v>0</v>
      </c>
      <c r="F823" s="35">
        <f t="shared" si="595"/>
        <v>0</v>
      </c>
      <c r="G823" s="414">
        <f t="shared" si="596"/>
        <v>0</v>
      </c>
      <c r="H823" s="49">
        <f t="shared" si="609"/>
        <v>0</v>
      </c>
      <c r="I823" s="35">
        <f t="shared" si="597"/>
        <v>55849.709999999977</v>
      </c>
      <c r="J823" s="414">
        <f t="shared" si="598"/>
        <v>0.31</v>
      </c>
      <c r="K823" s="329">
        <f t="shared" si="610"/>
        <v>0</v>
      </c>
      <c r="L823" s="35">
        <f t="shared" si="599"/>
        <v>0</v>
      </c>
      <c r="M823" s="414">
        <f t="shared" si="600"/>
        <v>0</v>
      </c>
      <c r="N823" s="329">
        <f t="shared" si="611"/>
        <v>0</v>
      </c>
      <c r="O823" s="35">
        <f t="shared" si="601"/>
        <v>26.980000000010332</v>
      </c>
      <c r="P823" s="414">
        <f t="shared" si="602"/>
        <v>0</v>
      </c>
      <c r="Q823" s="329">
        <f t="shared" si="612"/>
        <v>0</v>
      </c>
      <c r="R823" s="35">
        <f t="shared" si="603"/>
        <v>0</v>
      </c>
      <c r="S823" s="414">
        <f t="shared" si="604"/>
        <v>0</v>
      </c>
      <c r="T823" s="880">
        <f>[5]Sheet1!$B1238</f>
        <v>5.6570000000000002E-6</v>
      </c>
      <c r="U823" s="10">
        <f>A823</f>
        <v>44650</v>
      </c>
      <c r="V823" s="276">
        <f t="shared" si="606"/>
        <v>2.0648050000000003E-3</v>
      </c>
    </row>
    <row r="824" spans="1:22" x14ac:dyDescent="0.25">
      <c r="A824" s="335">
        <f t="shared" si="613"/>
        <v>44651</v>
      </c>
      <c r="B824" s="329">
        <f t="shared" si="607"/>
        <v>43067.42</v>
      </c>
      <c r="C824" s="338">
        <f t="shared" si="593"/>
        <v>188781.04000000015</v>
      </c>
      <c r="D824" s="414">
        <f t="shared" si="594"/>
        <v>0.82</v>
      </c>
      <c r="E824" s="49">
        <f t="shared" si="608"/>
        <v>0</v>
      </c>
      <c r="F824" s="35">
        <f t="shared" si="595"/>
        <v>0</v>
      </c>
      <c r="G824" s="414">
        <f t="shared" si="596"/>
        <v>0</v>
      </c>
      <c r="H824" s="49">
        <f t="shared" si="609"/>
        <v>0</v>
      </c>
      <c r="I824" s="35">
        <f t="shared" si="597"/>
        <v>55849.709999999977</v>
      </c>
      <c r="J824" s="414">
        <f t="shared" si="598"/>
        <v>0.32</v>
      </c>
      <c r="K824" s="329">
        <f t="shared" si="610"/>
        <v>0</v>
      </c>
      <c r="L824" s="35">
        <f t="shared" si="599"/>
        <v>0</v>
      </c>
      <c r="M824" s="414">
        <f t="shared" si="600"/>
        <v>0</v>
      </c>
      <c r="N824" s="329">
        <f t="shared" si="611"/>
        <v>0</v>
      </c>
      <c r="O824" s="35">
        <f t="shared" si="601"/>
        <v>26.980000000010332</v>
      </c>
      <c r="P824" s="414">
        <f t="shared" si="602"/>
        <v>0</v>
      </c>
      <c r="Q824" s="329">
        <f t="shared" si="612"/>
        <v>0</v>
      </c>
      <c r="R824" s="35">
        <f t="shared" si="603"/>
        <v>0</v>
      </c>
      <c r="S824" s="414">
        <f t="shared" si="604"/>
        <v>0</v>
      </c>
      <c r="T824" s="880">
        <f>[5]Sheet1!$B1239</f>
        <v>5.5130000000000004E-6</v>
      </c>
      <c r="U824" s="10">
        <f t="shared" si="605"/>
        <v>44651</v>
      </c>
      <c r="V824" s="276">
        <f t="shared" si="606"/>
        <v>2.0122450000000002E-3</v>
      </c>
    </row>
    <row r="825" spans="1:22" x14ac:dyDescent="0.25">
      <c r="A825" s="335">
        <f t="shared" si="613"/>
        <v>44652</v>
      </c>
      <c r="B825" s="329">
        <f t="shared" si="607"/>
        <v>0</v>
      </c>
      <c r="C825" s="338">
        <f t="shared" si="593"/>
        <v>188781.04000000015</v>
      </c>
      <c r="D825" s="414">
        <f t="shared" si="594"/>
        <v>1.04</v>
      </c>
      <c r="E825" s="49">
        <f t="shared" si="608"/>
        <v>0</v>
      </c>
      <c r="F825" s="35">
        <f t="shared" si="595"/>
        <v>0</v>
      </c>
      <c r="G825" s="414">
        <f t="shared" si="596"/>
        <v>0</v>
      </c>
      <c r="H825" s="49">
        <f t="shared" si="609"/>
        <v>0</v>
      </c>
      <c r="I825" s="35">
        <f t="shared" si="597"/>
        <v>55849.709999999977</v>
      </c>
      <c r="J825" s="414">
        <f t="shared" si="598"/>
        <v>0.31</v>
      </c>
      <c r="K825" s="329">
        <f t="shared" si="610"/>
        <v>0</v>
      </c>
      <c r="L825" s="35">
        <f t="shared" si="599"/>
        <v>0</v>
      </c>
      <c r="M825" s="414">
        <f t="shared" si="600"/>
        <v>0</v>
      </c>
      <c r="N825" s="329">
        <f t="shared" si="611"/>
        <v>0</v>
      </c>
      <c r="O825" s="35">
        <f t="shared" si="601"/>
        <v>26.980000000010332</v>
      </c>
      <c r="P825" s="414">
        <f t="shared" si="602"/>
        <v>0</v>
      </c>
      <c r="Q825" s="329">
        <f t="shared" si="612"/>
        <v>0</v>
      </c>
      <c r="R825" s="35">
        <f t="shared" si="603"/>
        <v>0</v>
      </c>
      <c r="S825" s="414">
        <f t="shared" si="604"/>
        <v>0</v>
      </c>
      <c r="T825" s="880">
        <f>[5]Sheet1!$B1240</f>
        <v>0</v>
      </c>
      <c r="U825" s="10">
        <f t="shared" si="605"/>
        <v>44652</v>
      </c>
      <c r="V825" s="276">
        <f t="shared" si="606"/>
        <v>0</v>
      </c>
    </row>
    <row r="826" spans="1:22" x14ac:dyDescent="0.25">
      <c r="A826" s="335">
        <f t="shared" si="613"/>
        <v>44655</v>
      </c>
      <c r="B826" s="329">
        <f t="shared" si="607"/>
        <v>0</v>
      </c>
      <c r="C826" s="338">
        <f t="shared" si="593"/>
        <v>188781.04000000015</v>
      </c>
      <c r="D826" s="414">
        <f t="shared" si="594"/>
        <v>0</v>
      </c>
      <c r="E826" s="49">
        <f t="shared" si="608"/>
        <v>0</v>
      </c>
      <c r="F826" s="35">
        <f t="shared" si="595"/>
        <v>0</v>
      </c>
      <c r="G826" s="414">
        <f t="shared" si="596"/>
        <v>0</v>
      </c>
      <c r="H826" s="49">
        <f t="shared" si="609"/>
        <v>0</v>
      </c>
      <c r="I826" s="35">
        <f t="shared" si="597"/>
        <v>55849.709999999977</v>
      </c>
      <c r="J826" s="414">
        <f t="shared" si="598"/>
        <v>0</v>
      </c>
      <c r="K826" s="329">
        <f t="shared" si="610"/>
        <v>0</v>
      </c>
      <c r="L826" s="35">
        <f t="shared" si="599"/>
        <v>0</v>
      </c>
      <c r="M826" s="414">
        <f t="shared" si="600"/>
        <v>0</v>
      </c>
      <c r="N826" s="329">
        <f t="shared" si="611"/>
        <v>0</v>
      </c>
      <c r="O826" s="35">
        <f t="shared" si="601"/>
        <v>26.980000000010332</v>
      </c>
      <c r="P826" s="414">
        <f t="shared" si="602"/>
        <v>0</v>
      </c>
      <c r="Q826" s="329">
        <f t="shared" si="612"/>
        <v>0</v>
      </c>
      <c r="R826" s="35">
        <f t="shared" si="603"/>
        <v>0</v>
      </c>
      <c r="S826" s="414">
        <f t="shared" si="604"/>
        <v>0</v>
      </c>
      <c r="T826" s="880">
        <f>[5]Sheet1!$B1241</f>
        <v>0</v>
      </c>
      <c r="U826" s="10">
        <f t="shared" si="605"/>
        <v>44655</v>
      </c>
      <c r="V826" s="276">
        <f t="shared" si="606"/>
        <v>0</v>
      </c>
    </row>
    <row r="827" spans="1:22" x14ac:dyDescent="0.25">
      <c r="A827" s="335">
        <f t="shared" si="613"/>
        <v>44656</v>
      </c>
      <c r="B827" s="329">
        <f t="shared" si="607"/>
        <v>0</v>
      </c>
      <c r="C827" s="338">
        <f t="shared" si="593"/>
        <v>188781.04000000015</v>
      </c>
      <c r="D827" s="414">
        <f t="shared" si="594"/>
        <v>0</v>
      </c>
      <c r="E827" s="49">
        <f t="shared" si="608"/>
        <v>0</v>
      </c>
      <c r="F827" s="35">
        <f t="shared" si="595"/>
        <v>0</v>
      </c>
      <c r="G827" s="414">
        <f t="shared" si="596"/>
        <v>0</v>
      </c>
      <c r="H827" s="49">
        <f t="shared" si="609"/>
        <v>0</v>
      </c>
      <c r="I827" s="35">
        <f t="shared" si="597"/>
        <v>55849.709999999977</v>
      </c>
      <c r="J827" s="414">
        <f t="shared" si="598"/>
        <v>0</v>
      </c>
      <c r="K827" s="329">
        <f t="shared" si="610"/>
        <v>0</v>
      </c>
      <c r="L827" s="35">
        <f t="shared" si="599"/>
        <v>0</v>
      </c>
      <c r="M827" s="414">
        <f t="shared" si="600"/>
        <v>0</v>
      </c>
      <c r="N827" s="329">
        <f t="shared" si="611"/>
        <v>0</v>
      </c>
      <c r="O827" s="35">
        <f t="shared" si="601"/>
        <v>26.980000000010332</v>
      </c>
      <c r="P827" s="414">
        <f t="shared" si="602"/>
        <v>0</v>
      </c>
      <c r="Q827" s="329">
        <f t="shared" si="612"/>
        <v>0</v>
      </c>
      <c r="R827" s="35">
        <f t="shared" si="603"/>
        <v>0</v>
      </c>
      <c r="S827" s="414">
        <f t="shared" si="604"/>
        <v>0</v>
      </c>
      <c r="T827" s="880">
        <f>[5]Sheet1!$B1242</f>
        <v>0</v>
      </c>
      <c r="U827" s="10">
        <f t="shared" si="605"/>
        <v>44656</v>
      </c>
      <c r="V827" s="276">
        <f t="shared" si="606"/>
        <v>0</v>
      </c>
    </row>
    <row r="828" spans="1:22" x14ac:dyDescent="0.25">
      <c r="A828" s="335">
        <f t="shared" si="613"/>
        <v>44657</v>
      </c>
      <c r="B828" s="329">
        <f t="shared" si="607"/>
        <v>0</v>
      </c>
      <c r="C828" s="338">
        <f t="shared" si="593"/>
        <v>188781.04000000015</v>
      </c>
      <c r="D828" s="414">
        <f t="shared" si="594"/>
        <v>0</v>
      </c>
      <c r="E828" s="49">
        <f t="shared" si="608"/>
        <v>0</v>
      </c>
      <c r="F828" s="35">
        <f t="shared" si="595"/>
        <v>0</v>
      </c>
      <c r="G828" s="414">
        <f t="shared" si="596"/>
        <v>0</v>
      </c>
      <c r="H828" s="49">
        <f t="shared" si="609"/>
        <v>0</v>
      </c>
      <c r="I828" s="35">
        <f t="shared" si="597"/>
        <v>55849.709999999977</v>
      </c>
      <c r="J828" s="414">
        <f t="shared" si="598"/>
        <v>0</v>
      </c>
      <c r="K828" s="329">
        <f t="shared" si="610"/>
        <v>0</v>
      </c>
      <c r="L828" s="35">
        <f t="shared" si="599"/>
        <v>0</v>
      </c>
      <c r="M828" s="414">
        <f t="shared" si="600"/>
        <v>0</v>
      </c>
      <c r="N828" s="329">
        <f t="shared" si="611"/>
        <v>0</v>
      </c>
      <c r="O828" s="35">
        <f t="shared" si="601"/>
        <v>26.980000000010332</v>
      </c>
      <c r="P828" s="414">
        <f t="shared" si="602"/>
        <v>0</v>
      </c>
      <c r="Q828" s="329">
        <f t="shared" si="612"/>
        <v>0</v>
      </c>
      <c r="R828" s="35">
        <f t="shared" si="603"/>
        <v>0</v>
      </c>
      <c r="S828" s="414">
        <f t="shared" si="604"/>
        <v>0</v>
      </c>
      <c r="T828" s="880">
        <f>[5]Sheet1!$B1243</f>
        <v>0</v>
      </c>
      <c r="U828" s="10">
        <f t="shared" si="605"/>
        <v>44657</v>
      </c>
      <c r="V828" s="276">
        <f t="shared" si="606"/>
        <v>0</v>
      </c>
    </row>
    <row r="829" spans="1:22" x14ac:dyDescent="0.25">
      <c r="A829" s="335">
        <f t="shared" si="613"/>
        <v>44658</v>
      </c>
      <c r="B829" s="329">
        <f t="shared" si="607"/>
        <v>0</v>
      </c>
      <c r="C829" s="338">
        <f t="shared" si="593"/>
        <v>188781.04000000015</v>
      </c>
      <c r="D829" s="414">
        <f t="shared" si="594"/>
        <v>0</v>
      </c>
      <c r="E829" s="49">
        <f t="shared" si="608"/>
        <v>0</v>
      </c>
      <c r="F829" s="35">
        <f t="shared" si="595"/>
        <v>0</v>
      </c>
      <c r="G829" s="414">
        <f t="shared" si="596"/>
        <v>0</v>
      </c>
      <c r="H829" s="49">
        <f t="shared" si="609"/>
        <v>0</v>
      </c>
      <c r="I829" s="35">
        <f t="shared" si="597"/>
        <v>55849.709999999977</v>
      </c>
      <c r="J829" s="414">
        <f t="shared" si="598"/>
        <v>0</v>
      </c>
      <c r="K829" s="329">
        <f t="shared" si="610"/>
        <v>0</v>
      </c>
      <c r="L829" s="35">
        <f t="shared" si="599"/>
        <v>0</v>
      </c>
      <c r="M829" s="414">
        <f t="shared" si="600"/>
        <v>0</v>
      </c>
      <c r="N829" s="329">
        <f t="shared" si="611"/>
        <v>0</v>
      </c>
      <c r="O829" s="35">
        <f t="shared" si="601"/>
        <v>26.980000000010332</v>
      </c>
      <c r="P829" s="414">
        <f t="shared" si="602"/>
        <v>0</v>
      </c>
      <c r="Q829" s="329">
        <f t="shared" si="612"/>
        <v>0</v>
      </c>
      <c r="R829" s="35">
        <f t="shared" si="603"/>
        <v>0</v>
      </c>
      <c r="S829" s="414">
        <f t="shared" si="604"/>
        <v>0</v>
      </c>
      <c r="T829" s="880">
        <f>[5]Sheet1!$B1244</f>
        <v>0</v>
      </c>
      <c r="U829" s="10">
        <f t="shared" si="605"/>
        <v>44658</v>
      </c>
      <c r="V829" s="276">
        <f t="shared" si="606"/>
        <v>0</v>
      </c>
    </row>
    <row r="830" spans="1:22" x14ac:dyDescent="0.25">
      <c r="A830" s="335">
        <f t="shared" si="613"/>
        <v>44659</v>
      </c>
      <c r="B830" s="329">
        <f t="shared" si="607"/>
        <v>0</v>
      </c>
      <c r="C830" s="338">
        <f t="shared" si="593"/>
        <v>188781.04000000015</v>
      </c>
      <c r="D830" s="414">
        <f t="shared" si="594"/>
        <v>0</v>
      </c>
      <c r="E830" s="49">
        <f t="shared" si="608"/>
        <v>0</v>
      </c>
      <c r="F830" s="35">
        <f t="shared" si="595"/>
        <v>0</v>
      </c>
      <c r="G830" s="414">
        <f t="shared" si="596"/>
        <v>0</v>
      </c>
      <c r="H830" s="49">
        <f t="shared" si="609"/>
        <v>0</v>
      </c>
      <c r="I830" s="35">
        <f t="shared" si="597"/>
        <v>55849.709999999977</v>
      </c>
      <c r="J830" s="414">
        <f t="shared" si="598"/>
        <v>0</v>
      </c>
      <c r="K830" s="329">
        <f t="shared" si="610"/>
        <v>0</v>
      </c>
      <c r="L830" s="35">
        <f t="shared" si="599"/>
        <v>0</v>
      </c>
      <c r="M830" s="414">
        <f t="shared" si="600"/>
        <v>0</v>
      </c>
      <c r="N830" s="329">
        <f t="shared" si="611"/>
        <v>0</v>
      </c>
      <c r="O830" s="35">
        <f t="shared" si="601"/>
        <v>26.980000000010332</v>
      </c>
      <c r="P830" s="414">
        <f t="shared" si="602"/>
        <v>0</v>
      </c>
      <c r="Q830" s="329">
        <f t="shared" si="612"/>
        <v>0</v>
      </c>
      <c r="R830" s="35">
        <f t="shared" si="603"/>
        <v>0</v>
      </c>
      <c r="S830" s="414">
        <f t="shared" si="604"/>
        <v>0</v>
      </c>
      <c r="T830" s="880">
        <f>[5]Sheet1!$B1245</f>
        <v>0</v>
      </c>
      <c r="U830" s="10">
        <f t="shared" si="605"/>
        <v>44659</v>
      </c>
      <c r="V830" s="276">
        <f t="shared" si="606"/>
        <v>0</v>
      </c>
    </row>
    <row r="831" spans="1:22" x14ac:dyDescent="0.25">
      <c r="A831" s="335">
        <f t="shared" si="613"/>
        <v>44662</v>
      </c>
      <c r="B831" s="329">
        <f t="shared" si="607"/>
        <v>0</v>
      </c>
      <c r="C831" s="338">
        <f t="shared" ref="C831:C894" si="614">B831+C830</f>
        <v>188781.04000000015</v>
      </c>
      <c r="D831" s="414">
        <f t="shared" ref="D831:D894" si="615">ROUND(C830*$T830,2)</f>
        <v>0</v>
      </c>
      <c r="E831" s="49">
        <f t="shared" si="608"/>
        <v>0</v>
      </c>
      <c r="F831" s="35">
        <f t="shared" ref="F831:F894" si="616">E831+F830</f>
        <v>0</v>
      </c>
      <c r="G831" s="414">
        <f t="shared" ref="G831:G894" si="617">ROUND(F830*$T830,2)</f>
        <v>0</v>
      </c>
      <c r="H831" s="49">
        <f t="shared" si="609"/>
        <v>0</v>
      </c>
      <c r="I831" s="35">
        <f t="shared" ref="I831:I894" si="618">H831+I830</f>
        <v>55849.709999999977</v>
      </c>
      <c r="J831" s="414">
        <f t="shared" ref="J831:J894" si="619">ROUND(I830*$T830,2)</f>
        <v>0</v>
      </c>
      <c r="K831" s="329">
        <f t="shared" si="610"/>
        <v>0</v>
      </c>
      <c r="L831" s="35">
        <f t="shared" ref="L831:L894" si="620">K831+L830</f>
        <v>0</v>
      </c>
      <c r="M831" s="414">
        <f t="shared" ref="M831:M894" si="621">ROUND(L830*$T830,2)</f>
        <v>0</v>
      </c>
      <c r="N831" s="329">
        <f t="shared" si="611"/>
        <v>0</v>
      </c>
      <c r="O831" s="35">
        <f t="shared" ref="O831:O894" si="622">N831+O830</f>
        <v>26.980000000010332</v>
      </c>
      <c r="P831" s="414">
        <f t="shared" ref="P831:P894" si="623">ROUND(O830*$T830,2)</f>
        <v>0</v>
      </c>
      <c r="Q831" s="329">
        <f t="shared" si="612"/>
        <v>0</v>
      </c>
      <c r="R831" s="35">
        <f t="shared" ref="R831:R894" si="624">Q831+R830</f>
        <v>0</v>
      </c>
      <c r="S831" s="414">
        <f t="shared" ref="S831:S894" si="625">ROUND(R830*$T830,2)</f>
        <v>0</v>
      </c>
      <c r="T831" s="880">
        <f>[5]Sheet1!$B1246</f>
        <v>0</v>
      </c>
      <c r="U831" s="10">
        <f t="shared" ref="U831:U894" si="626">A831</f>
        <v>44662</v>
      </c>
      <c r="V831" s="276">
        <f t="shared" ref="V831:V894" si="627">T831*365/(A832-A831)</f>
        <v>0</v>
      </c>
    </row>
    <row r="832" spans="1:22" x14ac:dyDescent="0.25">
      <c r="A832" s="335">
        <f t="shared" si="613"/>
        <v>44663</v>
      </c>
      <c r="B832" s="329">
        <f t="shared" si="607"/>
        <v>0</v>
      </c>
      <c r="C832" s="338">
        <f t="shared" si="614"/>
        <v>188781.04000000015</v>
      </c>
      <c r="D832" s="414">
        <f t="shared" si="615"/>
        <v>0</v>
      </c>
      <c r="E832" s="49">
        <f t="shared" si="608"/>
        <v>0</v>
      </c>
      <c r="F832" s="35">
        <f t="shared" si="616"/>
        <v>0</v>
      </c>
      <c r="G832" s="414">
        <f t="shared" si="617"/>
        <v>0</v>
      </c>
      <c r="H832" s="49">
        <f t="shared" si="609"/>
        <v>0</v>
      </c>
      <c r="I832" s="35">
        <f t="shared" si="618"/>
        <v>55849.709999999977</v>
      </c>
      <c r="J832" s="414">
        <f t="shared" si="619"/>
        <v>0</v>
      </c>
      <c r="K832" s="329">
        <f t="shared" si="610"/>
        <v>0</v>
      </c>
      <c r="L832" s="35">
        <f t="shared" si="620"/>
        <v>0</v>
      </c>
      <c r="M832" s="414">
        <f t="shared" si="621"/>
        <v>0</v>
      </c>
      <c r="N832" s="329">
        <f t="shared" si="611"/>
        <v>0</v>
      </c>
      <c r="O832" s="35">
        <f t="shared" si="622"/>
        <v>26.980000000010332</v>
      </c>
      <c r="P832" s="414">
        <f t="shared" si="623"/>
        <v>0</v>
      </c>
      <c r="Q832" s="329">
        <f t="shared" si="612"/>
        <v>0</v>
      </c>
      <c r="R832" s="35">
        <f t="shared" si="624"/>
        <v>0</v>
      </c>
      <c r="S832" s="414">
        <f t="shared" si="625"/>
        <v>0</v>
      </c>
      <c r="T832" s="880">
        <f>[5]Sheet1!$B1247</f>
        <v>0</v>
      </c>
      <c r="U832" s="10">
        <f t="shared" si="626"/>
        <v>44663</v>
      </c>
      <c r="V832" s="276">
        <f t="shared" si="627"/>
        <v>0</v>
      </c>
    </row>
    <row r="833" spans="1:22" x14ac:dyDescent="0.25">
      <c r="A833" s="335">
        <f t="shared" si="613"/>
        <v>44664</v>
      </c>
      <c r="B833" s="329">
        <f t="shared" si="607"/>
        <v>0</v>
      </c>
      <c r="C833" s="338">
        <f t="shared" si="614"/>
        <v>188781.04000000015</v>
      </c>
      <c r="D833" s="414">
        <f t="shared" si="615"/>
        <v>0</v>
      </c>
      <c r="E833" s="49">
        <f t="shared" si="608"/>
        <v>0</v>
      </c>
      <c r="F833" s="35">
        <f t="shared" si="616"/>
        <v>0</v>
      </c>
      <c r="G833" s="414">
        <f t="shared" si="617"/>
        <v>0</v>
      </c>
      <c r="H833" s="49">
        <f t="shared" si="609"/>
        <v>0</v>
      </c>
      <c r="I833" s="35">
        <f t="shared" si="618"/>
        <v>55849.709999999977</v>
      </c>
      <c r="J833" s="414">
        <f t="shared" si="619"/>
        <v>0</v>
      </c>
      <c r="K833" s="329">
        <f t="shared" si="610"/>
        <v>0</v>
      </c>
      <c r="L833" s="35">
        <f t="shared" si="620"/>
        <v>0</v>
      </c>
      <c r="M833" s="414">
        <f t="shared" si="621"/>
        <v>0</v>
      </c>
      <c r="N833" s="329">
        <f t="shared" si="611"/>
        <v>0</v>
      </c>
      <c r="O833" s="35">
        <f t="shared" si="622"/>
        <v>26.980000000010332</v>
      </c>
      <c r="P833" s="414">
        <f t="shared" si="623"/>
        <v>0</v>
      </c>
      <c r="Q833" s="329">
        <f t="shared" si="612"/>
        <v>0</v>
      </c>
      <c r="R833" s="35">
        <f t="shared" si="624"/>
        <v>0</v>
      </c>
      <c r="S833" s="414">
        <f t="shared" si="625"/>
        <v>0</v>
      </c>
      <c r="T833" s="880">
        <f>[5]Sheet1!$B1248</f>
        <v>0</v>
      </c>
      <c r="U833" s="10">
        <f t="shared" si="626"/>
        <v>44664</v>
      </c>
      <c r="V833" s="276">
        <f t="shared" si="627"/>
        <v>0</v>
      </c>
    </row>
    <row r="834" spans="1:22" x14ac:dyDescent="0.25">
      <c r="A834" s="335">
        <f t="shared" si="613"/>
        <v>44665</v>
      </c>
      <c r="B834" s="329">
        <f t="shared" si="607"/>
        <v>0</v>
      </c>
      <c r="C834" s="338">
        <f t="shared" si="614"/>
        <v>188781.04000000015</v>
      </c>
      <c r="D834" s="414">
        <f t="shared" si="615"/>
        <v>0</v>
      </c>
      <c r="E834" s="49">
        <f t="shared" si="608"/>
        <v>0</v>
      </c>
      <c r="F834" s="35">
        <f t="shared" si="616"/>
        <v>0</v>
      </c>
      <c r="G834" s="414">
        <f t="shared" si="617"/>
        <v>0</v>
      </c>
      <c r="H834" s="49">
        <f t="shared" si="609"/>
        <v>0</v>
      </c>
      <c r="I834" s="35">
        <f t="shared" si="618"/>
        <v>55849.709999999977</v>
      </c>
      <c r="J834" s="414">
        <f t="shared" si="619"/>
        <v>0</v>
      </c>
      <c r="K834" s="329">
        <f t="shared" si="610"/>
        <v>0</v>
      </c>
      <c r="L834" s="35">
        <f t="shared" si="620"/>
        <v>0</v>
      </c>
      <c r="M834" s="414">
        <f t="shared" si="621"/>
        <v>0</v>
      </c>
      <c r="N834" s="329">
        <f t="shared" si="611"/>
        <v>0</v>
      </c>
      <c r="O834" s="35">
        <f t="shared" si="622"/>
        <v>26.980000000010332</v>
      </c>
      <c r="P834" s="414">
        <f t="shared" si="623"/>
        <v>0</v>
      </c>
      <c r="Q834" s="329">
        <f t="shared" si="612"/>
        <v>0</v>
      </c>
      <c r="R834" s="35">
        <f t="shared" si="624"/>
        <v>0</v>
      </c>
      <c r="S834" s="414">
        <f t="shared" si="625"/>
        <v>0</v>
      </c>
      <c r="T834" s="880">
        <f>[5]Sheet1!$B1249</f>
        <v>0</v>
      </c>
      <c r="U834" s="10">
        <f t="shared" si="626"/>
        <v>44665</v>
      </c>
      <c r="V834" s="276">
        <f t="shared" si="627"/>
        <v>0</v>
      </c>
    </row>
    <row r="835" spans="1:22" x14ac:dyDescent="0.25">
      <c r="A835" s="335">
        <f t="shared" si="613"/>
        <v>44666</v>
      </c>
      <c r="B835" s="329">
        <f t="shared" si="607"/>
        <v>0</v>
      </c>
      <c r="C835" s="338">
        <f t="shared" si="614"/>
        <v>188781.04000000015</v>
      </c>
      <c r="D835" s="414">
        <f t="shared" si="615"/>
        <v>0</v>
      </c>
      <c r="E835" s="49">
        <f t="shared" si="608"/>
        <v>0</v>
      </c>
      <c r="F835" s="35">
        <f t="shared" si="616"/>
        <v>0</v>
      </c>
      <c r="G835" s="414">
        <f t="shared" si="617"/>
        <v>0</v>
      </c>
      <c r="H835" s="49">
        <f t="shared" si="609"/>
        <v>0</v>
      </c>
      <c r="I835" s="35">
        <f t="shared" si="618"/>
        <v>55849.709999999977</v>
      </c>
      <c r="J835" s="414">
        <f t="shared" si="619"/>
        <v>0</v>
      </c>
      <c r="K835" s="329">
        <f t="shared" si="610"/>
        <v>0</v>
      </c>
      <c r="L835" s="35">
        <f t="shared" si="620"/>
        <v>0</v>
      </c>
      <c r="M835" s="414">
        <f t="shared" si="621"/>
        <v>0</v>
      </c>
      <c r="N835" s="329">
        <f t="shared" si="611"/>
        <v>0</v>
      </c>
      <c r="O835" s="35">
        <f t="shared" si="622"/>
        <v>26.980000000010332</v>
      </c>
      <c r="P835" s="414">
        <f t="shared" si="623"/>
        <v>0</v>
      </c>
      <c r="Q835" s="329">
        <f t="shared" si="612"/>
        <v>0</v>
      </c>
      <c r="R835" s="35">
        <f t="shared" si="624"/>
        <v>0</v>
      </c>
      <c r="S835" s="414">
        <f t="shared" si="625"/>
        <v>0</v>
      </c>
      <c r="T835" s="880">
        <f>[5]Sheet1!$B1250</f>
        <v>0</v>
      </c>
      <c r="U835" s="10">
        <f t="shared" si="626"/>
        <v>44666</v>
      </c>
      <c r="V835" s="276">
        <f t="shared" si="627"/>
        <v>0</v>
      </c>
    </row>
    <row r="836" spans="1:22" x14ac:dyDescent="0.25">
      <c r="A836" s="335">
        <f t="shared" si="613"/>
        <v>44669</v>
      </c>
      <c r="B836" s="329">
        <f t="shared" si="607"/>
        <v>0</v>
      </c>
      <c r="C836" s="338">
        <f t="shared" si="614"/>
        <v>188781.04000000015</v>
      </c>
      <c r="D836" s="414">
        <f t="shared" si="615"/>
        <v>0</v>
      </c>
      <c r="E836" s="49">
        <f t="shared" si="608"/>
        <v>0</v>
      </c>
      <c r="F836" s="35">
        <f t="shared" si="616"/>
        <v>0</v>
      </c>
      <c r="G836" s="414">
        <f t="shared" si="617"/>
        <v>0</v>
      </c>
      <c r="H836" s="49">
        <f t="shared" si="609"/>
        <v>0</v>
      </c>
      <c r="I836" s="35">
        <f t="shared" si="618"/>
        <v>55849.709999999977</v>
      </c>
      <c r="J836" s="414">
        <f t="shared" si="619"/>
        <v>0</v>
      </c>
      <c r="K836" s="329">
        <f t="shared" si="610"/>
        <v>0</v>
      </c>
      <c r="L836" s="35">
        <f t="shared" si="620"/>
        <v>0</v>
      </c>
      <c r="M836" s="414">
        <f t="shared" si="621"/>
        <v>0</v>
      </c>
      <c r="N836" s="329">
        <f t="shared" si="611"/>
        <v>0</v>
      </c>
      <c r="O836" s="35">
        <f t="shared" si="622"/>
        <v>26.980000000010332</v>
      </c>
      <c r="P836" s="414">
        <f t="shared" si="623"/>
        <v>0</v>
      </c>
      <c r="Q836" s="329">
        <f t="shared" si="612"/>
        <v>0</v>
      </c>
      <c r="R836" s="35">
        <f t="shared" si="624"/>
        <v>0</v>
      </c>
      <c r="S836" s="414">
        <f t="shared" si="625"/>
        <v>0</v>
      </c>
      <c r="T836" s="880">
        <f>[5]Sheet1!$B1251</f>
        <v>0</v>
      </c>
      <c r="U836" s="10">
        <f t="shared" si="626"/>
        <v>44669</v>
      </c>
      <c r="V836" s="276">
        <f t="shared" si="627"/>
        <v>0</v>
      </c>
    </row>
    <row r="837" spans="1:22" x14ac:dyDescent="0.25">
      <c r="A837" s="335">
        <f t="shared" si="613"/>
        <v>44670</v>
      </c>
      <c r="B837" s="329">
        <f t="shared" si="607"/>
        <v>0</v>
      </c>
      <c r="C837" s="338">
        <f t="shared" si="614"/>
        <v>188781.04000000015</v>
      </c>
      <c r="D837" s="414">
        <f t="shared" si="615"/>
        <v>0</v>
      </c>
      <c r="E837" s="49">
        <f t="shared" si="608"/>
        <v>0</v>
      </c>
      <c r="F837" s="35">
        <f t="shared" si="616"/>
        <v>0</v>
      </c>
      <c r="G837" s="414">
        <f t="shared" si="617"/>
        <v>0</v>
      </c>
      <c r="H837" s="49">
        <f t="shared" si="609"/>
        <v>0</v>
      </c>
      <c r="I837" s="35">
        <f t="shared" si="618"/>
        <v>55849.709999999977</v>
      </c>
      <c r="J837" s="414">
        <f t="shared" si="619"/>
        <v>0</v>
      </c>
      <c r="K837" s="329">
        <f t="shared" si="610"/>
        <v>0</v>
      </c>
      <c r="L837" s="35">
        <f t="shared" si="620"/>
        <v>0</v>
      </c>
      <c r="M837" s="414">
        <f t="shared" si="621"/>
        <v>0</v>
      </c>
      <c r="N837" s="329">
        <f t="shared" si="611"/>
        <v>0</v>
      </c>
      <c r="O837" s="35">
        <f t="shared" si="622"/>
        <v>26.980000000010332</v>
      </c>
      <c r="P837" s="414">
        <f t="shared" si="623"/>
        <v>0</v>
      </c>
      <c r="Q837" s="329">
        <f t="shared" si="612"/>
        <v>0</v>
      </c>
      <c r="R837" s="35">
        <f t="shared" si="624"/>
        <v>0</v>
      </c>
      <c r="S837" s="414">
        <f t="shared" si="625"/>
        <v>0</v>
      </c>
      <c r="T837" s="880">
        <f>[5]Sheet1!$B1252</f>
        <v>0</v>
      </c>
      <c r="U837" s="10">
        <f t="shared" si="626"/>
        <v>44670</v>
      </c>
      <c r="V837" s="276">
        <f t="shared" si="627"/>
        <v>0</v>
      </c>
    </row>
    <row r="838" spans="1:22" x14ac:dyDescent="0.25">
      <c r="A838" s="335">
        <f t="shared" si="613"/>
        <v>44671</v>
      </c>
      <c r="B838" s="329">
        <f t="shared" si="607"/>
        <v>0</v>
      </c>
      <c r="C838" s="338">
        <f t="shared" si="614"/>
        <v>188781.04000000015</v>
      </c>
      <c r="D838" s="414">
        <f t="shared" si="615"/>
        <v>0</v>
      </c>
      <c r="E838" s="49">
        <f t="shared" si="608"/>
        <v>0</v>
      </c>
      <c r="F838" s="35">
        <f t="shared" si="616"/>
        <v>0</v>
      </c>
      <c r="G838" s="414">
        <f t="shared" si="617"/>
        <v>0</v>
      </c>
      <c r="H838" s="49">
        <f t="shared" si="609"/>
        <v>0</v>
      </c>
      <c r="I838" s="35">
        <f t="shared" si="618"/>
        <v>55849.709999999977</v>
      </c>
      <c r="J838" s="414">
        <f t="shared" si="619"/>
        <v>0</v>
      </c>
      <c r="K838" s="329">
        <f t="shared" si="610"/>
        <v>0</v>
      </c>
      <c r="L838" s="35">
        <f t="shared" si="620"/>
        <v>0</v>
      </c>
      <c r="M838" s="414">
        <f t="shared" si="621"/>
        <v>0</v>
      </c>
      <c r="N838" s="329">
        <f t="shared" si="611"/>
        <v>0</v>
      </c>
      <c r="O838" s="35">
        <f t="shared" si="622"/>
        <v>26.980000000010332</v>
      </c>
      <c r="P838" s="414">
        <f t="shared" si="623"/>
        <v>0</v>
      </c>
      <c r="Q838" s="329">
        <f t="shared" si="612"/>
        <v>0</v>
      </c>
      <c r="R838" s="35">
        <f t="shared" si="624"/>
        <v>0</v>
      </c>
      <c r="S838" s="414">
        <f t="shared" si="625"/>
        <v>0</v>
      </c>
      <c r="T838" s="880">
        <f>[5]Sheet1!$B1253</f>
        <v>0</v>
      </c>
      <c r="U838" s="10">
        <f t="shared" si="626"/>
        <v>44671</v>
      </c>
      <c r="V838" s="276">
        <f t="shared" si="627"/>
        <v>0</v>
      </c>
    </row>
    <row r="839" spans="1:22" x14ac:dyDescent="0.25">
      <c r="A839" s="335">
        <f t="shared" si="613"/>
        <v>44672</v>
      </c>
      <c r="B839" s="329">
        <f t="shared" ref="B839:B902" si="628">-SUMIFS(CF_Main,CF_Dates,$A839,CF_Descriptions,"MM Sweep")</f>
        <v>0</v>
      </c>
      <c r="C839" s="338">
        <f t="shared" si="614"/>
        <v>188781.04000000015</v>
      </c>
      <c r="D839" s="414">
        <f t="shared" si="615"/>
        <v>0</v>
      </c>
      <c r="E839" s="49">
        <f t="shared" ref="E839:E902" si="629">-SUMIFS(CF_Main_EUR,CF_Dates,$A839,CF_Descriptions,"MM Sweep")</f>
        <v>0</v>
      </c>
      <c r="F839" s="35">
        <f t="shared" si="616"/>
        <v>0</v>
      </c>
      <c r="G839" s="414">
        <f t="shared" si="617"/>
        <v>0</v>
      </c>
      <c r="H839" s="49">
        <f t="shared" ref="H839:H902" si="630">-SUMIFS(CF_Expenses,CF_Dates,$A839,CF_Descriptions,"MM Sweep")</f>
        <v>0</v>
      </c>
      <c r="I839" s="35">
        <f t="shared" si="618"/>
        <v>55849.709999999977</v>
      </c>
      <c r="J839" s="414">
        <f t="shared" si="619"/>
        <v>0</v>
      </c>
      <c r="K839" s="329">
        <f t="shared" ref="K839:K902" si="631">-SUMIFS(CF_Margin,CF_Dates,$A839,CF_Descriptions,"MM Sweep")</f>
        <v>0</v>
      </c>
      <c r="L839" s="35">
        <f t="shared" si="620"/>
        <v>0</v>
      </c>
      <c r="M839" s="414">
        <f t="shared" si="621"/>
        <v>0</v>
      </c>
      <c r="N839" s="329">
        <f t="shared" ref="N839:N902" si="632">-SUMIFS(CF_Mgmt,CF_Dates,$A839,CF_Descriptions,"MM Sweep")</f>
        <v>0</v>
      </c>
      <c r="O839" s="35">
        <f t="shared" si="622"/>
        <v>26.980000000010332</v>
      </c>
      <c r="P839" s="414">
        <f t="shared" si="623"/>
        <v>0</v>
      </c>
      <c r="Q839" s="329">
        <f t="shared" ref="Q839:Q902" si="633">-SUMIFS(CF_SubRedemp,CF_Dates,$A839,CF_Descriptions,"MM Sweep")</f>
        <v>0</v>
      </c>
      <c r="R839" s="35">
        <f t="shared" si="624"/>
        <v>0</v>
      </c>
      <c r="S839" s="414">
        <f t="shared" si="625"/>
        <v>0</v>
      </c>
      <c r="T839" s="880">
        <f>[5]Sheet1!$B1254</f>
        <v>0</v>
      </c>
      <c r="U839" s="10">
        <f t="shared" si="626"/>
        <v>44672</v>
      </c>
      <c r="V839" s="276">
        <f t="shared" si="627"/>
        <v>0</v>
      </c>
    </row>
    <row r="840" spans="1:22" x14ac:dyDescent="0.25">
      <c r="A840" s="335">
        <f t="shared" si="613"/>
        <v>44673</v>
      </c>
      <c r="B840" s="329">
        <f t="shared" si="628"/>
        <v>0</v>
      </c>
      <c r="C840" s="338">
        <f t="shared" si="614"/>
        <v>188781.04000000015</v>
      </c>
      <c r="D840" s="414">
        <f t="shared" si="615"/>
        <v>0</v>
      </c>
      <c r="E840" s="49">
        <f t="shared" si="629"/>
        <v>0</v>
      </c>
      <c r="F840" s="35">
        <f t="shared" si="616"/>
        <v>0</v>
      </c>
      <c r="G840" s="414">
        <f t="shared" si="617"/>
        <v>0</v>
      </c>
      <c r="H840" s="49">
        <f t="shared" si="630"/>
        <v>0</v>
      </c>
      <c r="I840" s="35">
        <f t="shared" si="618"/>
        <v>55849.709999999977</v>
      </c>
      <c r="J840" s="414">
        <f t="shared" si="619"/>
        <v>0</v>
      </c>
      <c r="K840" s="329">
        <f t="shared" si="631"/>
        <v>0</v>
      </c>
      <c r="L840" s="35">
        <f t="shared" si="620"/>
        <v>0</v>
      </c>
      <c r="M840" s="414">
        <f t="shared" si="621"/>
        <v>0</v>
      </c>
      <c r="N840" s="329">
        <f t="shared" si="632"/>
        <v>0</v>
      </c>
      <c r="O840" s="35">
        <f t="shared" si="622"/>
        <v>26.980000000010332</v>
      </c>
      <c r="P840" s="414">
        <f t="shared" si="623"/>
        <v>0</v>
      </c>
      <c r="Q840" s="329">
        <f t="shared" si="633"/>
        <v>0</v>
      </c>
      <c r="R840" s="35">
        <f t="shared" si="624"/>
        <v>0</v>
      </c>
      <c r="S840" s="414">
        <f t="shared" si="625"/>
        <v>0</v>
      </c>
      <c r="T840" s="880">
        <f>[5]Sheet1!$B1255</f>
        <v>0</v>
      </c>
      <c r="U840" s="10">
        <f t="shared" si="626"/>
        <v>44673</v>
      </c>
      <c r="V840" s="276">
        <f t="shared" si="627"/>
        <v>0</v>
      </c>
    </row>
    <row r="841" spans="1:22" x14ac:dyDescent="0.25">
      <c r="A841" s="335">
        <f t="shared" si="613"/>
        <v>44676</v>
      </c>
      <c r="B841" s="329">
        <f t="shared" si="628"/>
        <v>0</v>
      </c>
      <c r="C841" s="338">
        <f t="shared" si="614"/>
        <v>188781.04000000015</v>
      </c>
      <c r="D841" s="414">
        <f t="shared" si="615"/>
        <v>0</v>
      </c>
      <c r="E841" s="49">
        <f t="shared" si="629"/>
        <v>0</v>
      </c>
      <c r="F841" s="35">
        <f t="shared" si="616"/>
        <v>0</v>
      </c>
      <c r="G841" s="414">
        <f t="shared" si="617"/>
        <v>0</v>
      </c>
      <c r="H841" s="49">
        <f t="shared" si="630"/>
        <v>0</v>
      </c>
      <c r="I841" s="35">
        <f t="shared" si="618"/>
        <v>55849.709999999977</v>
      </c>
      <c r="J841" s="414">
        <f t="shared" si="619"/>
        <v>0</v>
      </c>
      <c r="K841" s="329">
        <f t="shared" si="631"/>
        <v>0</v>
      </c>
      <c r="L841" s="35">
        <f t="shared" si="620"/>
        <v>0</v>
      </c>
      <c r="M841" s="414">
        <f t="shared" si="621"/>
        <v>0</v>
      </c>
      <c r="N841" s="329">
        <f t="shared" si="632"/>
        <v>0</v>
      </c>
      <c r="O841" s="35">
        <f t="shared" si="622"/>
        <v>26.980000000010332</v>
      </c>
      <c r="P841" s="414">
        <f t="shared" si="623"/>
        <v>0</v>
      </c>
      <c r="Q841" s="329">
        <f t="shared" si="633"/>
        <v>0</v>
      </c>
      <c r="R841" s="35">
        <f t="shared" si="624"/>
        <v>0</v>
      </c>
      <c r="S841" s="414">
        <f t="shared" si="625"/>
        <v>0</v>
      </c>
      <c r="T841" s="880">
        <f>[5]Sheet1!$B1256</f>
        <v>0</v>
      </c>
      <c r="U841" s="10">
        <f t="shared" si="626"/>
        <v>44676</v>
      </c>
      <c r="V841" s="276">
        <f t="shared" si="627"/>
        <v>0</v>
      </c>
    </row>
    <row r="842" spans="1:22" x14ac:dyDescent="0.25">
      <c r="A842" s="335">
        <f t="shared" si="613"/>
        <v>44677</v>
      </c>
      <c r="B842" s="329">
        <f t="shared" si="628"/>
        <v>0</v>
      </c>
      <c r="C842" s="338">
        <f t="shared" si="614"/>
        <v>188781.04000000015</v>
      </c>
      <c r="D842" s="414">
        <f t="shared" si="615"/>
        <v>0</v>
      </c>
      <c r="E842" s="49">
        <f t="shared" si="629"/>
        <v>0</v>
      </c>
      <c r="F842" s="35">
        <f t="shared" si="616"/>
        <v>0</v>
      </c>
      <c r="G842" s="414">
        <f t="shared" si="617"/>
        <v>0</v>
      </c>
      <c r="H842" s="49">
        <f t="shared" si="630"/>
        <v>0</v>
      </c>
      <c r="I842" s="35">
        <f t="shared" si="618"/>
        <v>55849.709999999977</v>
      </c>
      <c r="J842" s="414">
        <f t="shared" si="619"/>
        <v>0</v>
      </c>
      <c r="K842" s="329">
        <f t="shared" si="631"/>
        <v>0</v>
      </c>
      <c r="L842" s="35">
        <f t="shared" si="620"/>
        <v>0</v>
      </c>
      <c r="M842" s="414">
        <f t="shared" si="621"/>
        <v>0</v>
      </c>
      <c r="N842" s="329">
        <f t="shared" si="632"/>
        <v>0</v>
      </c>
      <c r="O842" s="35">
        <f t="shared" si="622"/>
        <v>26.980000000010332</v>
      </c>
      <c r="P842" s="414">
        <f t="shared" si="623"/>
        <v>0</v>
      </c>
      <c r="Q842" s="329">
        <f t="shared" si="633"/>
        <v>0</v>
      </c>
      <c r="R842" s="35">
        <f t="shared" si="624"/>
        <v>0</v>
      </c>
      <c r="S842" s="414">
        <f t="shared" si="625"/>
        <v>0</v>
      </c>
      <c r="T842" s="880">
        <f>[5]Sheet1!$B1257</f>
        <v>0</v>
      </c>
      <c r="U842" s="10">
        <f t="shared" si="626"/>
        <v>44677</v>
      </c>
      <c r="V842" s="276">
        <f t="shared" si="627"/>
        <v>0</v>
      </c>
    </row>
    <row r="843" spans="1:22" x14ac:dyDescent="0.25">
      <c r="A843" s="335">
        <f t="shared" si="613"/>
        <v>44678</v>
      </c>
      <c r="B843" s="329">
        <f t="shared" si="628"/>
        <v>0</v>
      </c>
      <c r="C843" s="338">
        <f t="shared" si="614"/>
        <v>188781.04000000015</v>
      </c>
      <c r="D843" s="414">
        <f t="shared" si="615"/>
        <v>0</v>
      </c>
      <c r="E843" s="49">
        <f t="shared" si="629"/>
        <v>0</v>
      </c>
      <c r="F843" s="35">
        <f t="shared" si="616"/>
        <v>0</v>
      </c>
      <c r="G843" s="414">
        <f t="shared" si="617"/>
        <v>0</v>
      </c>
      <c r="H843" s="49">
        <f t="shared" si="630"/>
        <v>0</v>
      </c>
      <c r="I843" s="35">
        <f t="shared" si="618"/>
        <v>55849.709999999977</v>
      </c>
      <c r="J843" s="414">
        <f t="shared" si="619"/>
        <v>0</v>
      </c>
      <c r="K843" s="329">
        <f t="shared" si="631"/>
        <v>0</v>
      </c>
      <c r="L843" s="35">
        <f t="shared" si="620"/>
        <v>0</v>
      </c>
      <c r="M843" s="414">
        <f t="shared" si="621"/>
        <v>0</v>
      </c>
      <c r="N843" s="329">
        <f t="shared" si="632"/>
        <v>0</v>
      </c>
      <c r="O843" s="35">
        <f t="shared" si="622"/>
        <v>26.980000000010332</v>
      </c>
      <c r="P843" s="414">
        <f t="shared" si="623"/>
        <v>0</v>
      </c>
      <c r="Q843" s="329">
        <f t="shared" si="633"/>
        <v>0</v>
      </c>
      <c r="R843" s="35">
        <f t="shared" si="624"/>
        <v>0</v>
      </c>
      <c r="S843" s="414">
        <f t="shared" si="625"/>
        <v>0</v>
      </c>
      <c r="T843" s="880">
        <f>[5]Sheet1!$B1258</f>
        <v>0</v>
      </c>
      <c r="U843" s="10">
        <f t="shared" si="626"/>
        <v>44678</v>
      </c>
      <c r="V843" s="276">
        <f t="shared" si="627"/>
        <v>0</v>
      </c>
    </row>
    <row r="844" spans="1:22" x14ac:dyDescent="0.25">
      <c r="A844" s="335">
        <f t="shared" si="613"/>
        <v>44679</v>
      </c>
      <c r="B844" s="329">
        <f t="shared" si="628"/>
        <v>0</v>
      </c>
      <c r="C844" s="338">
        <f t="shared" si="614"/>
        <v>188781.04000000015</v>
      </c>
      <c r="D844" s="414">
        <f t="shared" si="615"/>
        <v>0</v>
      </c>
      <c r="E844" s="49">
        <f t="shared" si="629"/>
        <v>0</v>
      </c>
      <c r="F844" s="35">
        <f t="shared" si="616"/>
        <v>0</v>
      </c>
      <c r="G844" s="414">
        <f t="shared" si="617"/>
        <v>0</v>
      </c>
      <c r="H844" s="49">
        <f t="shared" si="630"/>
        <v>0</v>
      </c>
      <c r="I844" s="35">
        <f t="shared" si="618"/>
        <v>55849.709999999977</v>
      </c>
      <c r="J844" s="414">
        <f t="shared" si="619"/>
        <v>0</v>
      </c>
      <c r="K844" s="329">
        <f t="shared" si="631"/>
        <v>0</v>
      </c>
      <c r="L844" s="35">
        <f t="shared" si="620"/>
        <v>0</v>
      </c>
      <c r="M844" s="414">
        <f t="shared" si="621"/>
        <v>0</v>
      </c>
      <c r="N844" s="329">
        <f t="shared" si="632"/>
        <v>0</v>
      </c>
      <c r="O844" s="35">
        <f t="shared" si="622"/>
        <v>26.980000000010332</v>
      </c>
      <c r="P844" s="414">
        <f t="shared" si="623"/>
        <v>0</v>
      </c>
      <c r="Q844" s="329">
        <f t="shared" si="633"/>
        <v>0</v>
      </c>
      <c r="R844" s="35">
        <f t="shared" si="624"/>
        <v>0</v>
      </c>
      <c r="S844" s="414">
        <f t="shared" si="625"/>
        <v>0</v>
      </c>
      <c r="T844" s="880">
        <f>[5]Sheet1!$B1259</f>
        <v>0</v>
      </c>
      <c r="U844" s="10">
        <f t="shared" si="626"/>
        <v>44679</v>
      </c>
      <c r="V844" s="276">
        <f t="shared" si="627"/>
        <v>0</v>
      </c>
    </row>
    <row r="845" spans="1:22" x14ac:dyDescent="0.25">
      <c r="A845" s="335">
        <f t="shared" si="613"/>
        <v>44680</v>
      </c>
      <c r="B845" s="329">
        <f t="shared" si="628"/>
        <v>0</v>
      </c>
      <c r="C845" s="338">
        <f t="shared" si="614"/>
        <v>188781.04000000015</v>
      </c>
      <c r="D845" s="414">
        <f t="shared" si="615"/>
        <v>0</v>
      </c>
      <c r="E845" s="49">
        <f t="shared" si="629"/>
        <v>0</v>
      </c>
      <c r="F845" s="35">
        <f t="shared" si="616"/>
        <v>0</v>
      </c>
      <c r="G845" s="414">
        <f t="shared" si="617"/>
        <v>0</v>
      </c>
      <c r="H845" s="49">
        <f t="shared" si="630"/>
        <v>0</v>
      </c>
      <c r="I845" s="35">
        <f t="shared" si="618"/>
        <v>55849.709999999977</v>
      </c>
      <c r="J845" s="414">
        <f t="shared" si="619"/>
        <v>0</v>
      </c>
      <c r="K845" s="329">
        <f t="shared" si="631"/>
        <v>0</v>
      </c>
      <c r="L845" s="35">
        <f t="shared" si="620"/>
        <v>0</v>
      </c>
      <c r="M845" s="414">
        <f t="shared" si="621"/>
        <v>0</v>
      </c>
      <c r="N845" s="329">
        <f t="shared" si="632"/>
        <v>0</v>
      </c>
      <c r="O845" s="35">
        <f t="shared" si="622"/>
        <v>26.980000000010332</v>
      </c>
      <c r="P845" s="414">
        <f t="shared" si="623"/>
        <v>0</v>
      </c>
      <c r="Q845" s="329">
        <f t="shared" si="633"/>
        <v>0</v>
      </c>
      <c r="R845" s="35">
        <f t="shared" si="624"/>
        <v>0</v>
      </c>
      <c r="S845" s="414">
        <f t="shared" si="625"/>
        <v>0</v>
      </c>
      <c r="T845" s="880">
        <f>[5]Sheet1!$B1260</f>
        <v>0</v>
      </c>
      <c r="U845" s="10">
        <f t="shared" si="626"/>
        <v>44680</v>
      </c>
      <c r="V845" s="276">
        <f t="shared" si="627"/>
        <v>0</v>
      </c>
    </row>
    <row r="846" spans="1:22" x14ac:dyDescent="0.25">
      <c r="A846" s="335">
        <f t="shared" si="613"/>
        <v>44683</v>
      </c>
      <c r="B846" s="329">
        <f t="shared" si="628"/>
        <v>0</v>
      </c>
      <c r="C846" s="338">
        <f t="shared" si="614"/>
        <v>188781.04000000015</v>
      </c>
      <c r="D846" s="414">
        <f t="shared" si="615"/>
        <v>0</v>
      </c>
      <c r="E846" s="49">
        <f t="shared" si="629"/>
        <v>0</v>
      </c>
      <c r="F846" s="35">
        <f t="shared" si="616"/>
        <v>0</v>
      </c>
      <c r="G846" s="414">
        <f t="shared" si="617"/>
        <v>0</v>
      </c>
      <c r="H846" s="49">
        <f t="shared" si="630"/>
        <v>0</v>
      </c>
      <c r="I846" s="35">
        <f t="shared" si="618"/>
        <v>55849.709999999977</v>
      </c>
      <c r="J846" s="414">
        <f t="shared" si="619"/>
        <v>0</v>
      </c>
      <c r="K846" s="329">
        <f t="shared" si="631"/>
        <v>0</v>
      </c>
      <c r="L846" s="35">
        <f t="shared" si="620"/>
        <v>0</v>
      </c>
      <c r="M846" s="414">
        <f t="shared" si="621"/>
        <v>0</v>
      </c>
      <c r="N846" s="329">
        <f t="shared" si="632"/>
        <v>0</v>
      </c>
      <c r="O846" s="35">
        <f t="shared" si="622"/>
        <v>26.980000000010332</v>
      </c>
      <c r="P846" s="414">
        <f t="shared" si="623"/>
        <v>0</v>
      </c>
      <c r="Q846" s="329">
        <f t="shared" si="633"/>
        <v>0</v>
      </c>
      <c r="R846" s="35">
        <f t="shared" si="624"/>
        <v>0</v>
      </c>
      <c r="S846" s="414">
        <f t="shared" si="625"/>
        <v>0</v>
      </c>
      <c r="T846" s="880">
        <f>[5]Sheet1!$B1261</f>
        <v>0</v>
      </c>
      <c r="U846" s="10">
        <f t="shared" si="626"/>
        <v>44683</v>
      </c>
      <c r="V846" s="276">
        <f t="shared" si="627"/>
        <v>0</v>
      </c>
    </row>
    <row r="847" spans="1:22" x14ac:dyDescent="0.25">
      <c r="A847" s="335">
        <f t="shared" ref="A847:A910" si="634">WORKDAY(A846,1,Holidays)</f>
        <v>44684</v>
      </c>
      <c r="B847" s="329">
        <f t="shared" si="628"/>
        <v>0</v>
      </c>
      <c r="C847" s="338">
        <f t="shared" si="614"/>
        <v>188781.04000000015</v>
      </c>
      <c r="D847" s="414">
        <f t="shared" si="615"/>
        <v>0</v>
      </c>
      <c r="E847" s="49">
        <f t="shared" si="629"/>
        <v>0</v>
      </c>
      <c r="F847" s="35">
        <f t="shared" si="616"/>
        <v>0</v>
      </c>
      <c r="G847" s="414">
        <f t="shared" si="617"/>
        <v>0</v>
      </c>
      <c r="H847" s="49">
        <f t="shared" si="630"/>
        <v>0</v>
      </c>
      <c r="I847" s="35">
        <f t="shared" si="618"/>
        <v>55849.709999999977</v>
      </c>
      <c r="J847" s="414">
        <f t="shared" si="619"/>
        <v>0</v>
      </c>
      <c r="K847" s="329">
        <f t="shared" si="631"/>
        <v>0</v>
      </c>
      <c r="L847" s="35">
        <f t="shared" si="620"/>
        <v>0</v>
      </c>
      <c r="M847" s="414">
        <f t="shared" si="621"/>
        <v>0</v>
      </c>
      <c r="N847" s="329">
        <f t="shared" si="632"/>
        <v>0</v>
      </c>
      <c r="O847" s="35">
        <f t="shared" si="622"/>
        <v>26.980000000010332</v>
      </c>
      <c r="P847" s="414">
        <f t="shared" si="623"/>
        <v>0</v>
      </c>
      <c r="Q847" s="329">
        <f t="shared" si="633"/>
        <v>0</v>
      </c>
      <c r="R847" s="35">
        <f t="shared" si="624"/>
        <v>0</v>
      </c>
      <c r="S847" s="414">
        <f t="shared" si="625"/>
        <v>0</v>
      </c>
      <c r="T847" s="880">
        <f>[5]Sheet1!$B1262</f>
        <v>0</v>
      </c>
      <c r="U847" s="10">
        <f t="shared" si="626"/>
        <v>44684</v>
      </c>
      <c r="V847" s="276">
        <f t="shared" si="627"/>
        <v>0</v>
      </c>
    </row>
    <row r="848" spans="1:22" x14ac:dyDescent="0.25">
      <c r="A848" s="335">
        <f t="shared" si="634"/>
        <v>44685</v>
      </c>
      <c r="B848" s="329">
        <f t="shared" si="628"/>
        <v>0</v>
      </c>
      <c r="C848" s="338">
        <f t="shared" si="614"/>
        <v>188781.04000000015</v>
      </c>
      <c r="D848" s="414">
        <f t="shared" si="615"/>
        <v>0</v>
      </c>
      <c r="E848" s="49">
        <f t="shared" si="629"/>
        <v>0</v>
      </c>
      <c r="F848" s="35">
        <f t="shared" si="616"/>
        <v>0</v>
      </c>
      <c r="G848" s="414">
        <f t="shared" si="617"/>
        <v>0</v>
      </c>
      <c r="H848" s="49">
        <f t="shared" si="630"/>
        <v>0</v>
      </c>
      <c r="I848" s="35">
        <f t="shared" si="618"/>
        <v>55849.709999999977</v>
      </c>
      <c r="J848" s="414">
        <f t="shared" si="619"/>
        <v>0</v>
      </c>
      <c r="K848" s="329">
        <f t="shared" si="631"/>
        <v>0</v>
      </c>
      <c r="L848" s="35">
        <f t="shared" si="620"/>
        <v>0</v>
      </c>
      <c r="M848" s="414">
        <f t="shared" si="621"/>
        <v>0</v>
      </c>
      <c r="N848" s="329">
        <f t="shared" si="632"/>
        <v>0</v>
      </c>
      <c r="O848" s="35">
        <f t="shared" si="622"/>
        <v>26.980000000010332</v>
      </c>
      <c r="P848" s="414">
        <f t="shared" si="623"/>
        <v>0</v>
      </c>
      <c r="Q848" s="329">
        <f t="shared" si="633"/>
        <v>0</v>
      </c>
      <c r="R848" s="35">
        <f t="shared" si="624"/>
        <v>0</v>
      </c>
      <c r="S848" s="414">
        <f t="shared" si="625"/>
        <v>0</v>
      </c>
      <c r="T848" s="880">
        <f>[5]Sheet1!$B1263</f>
        <v>0</v>
      </c>
      <c r="U848" s="10">
        <f t="shared" si="626"/>
        <v>44685</v>
      </c>
      <c r="V848" s="276">
        <f t="shared" si="627"/>
        <v>0</v>
      </c>
    </row>
    <row r="849" spans="1:22" x14ac:dyDescent="0.25">
      <c r="A849" s="335">
        <f t="shared" si="634"/>
        <v>44686</v>
      </c>
      <c r="B849" s="329">
        <f t="shared" si="628"/>
        <v>0</v>
      </c>
      <c r="C849" s="338">
        <f t="shared" si="614"/>
        <v>188781.04000000015</v>
      </c>
      <c r="D849" s="414">
        <f t="shared" si="615"/>
        <v>0</v>
      </c>
      <c r="E849" s="49">
        <f t="shared" si="629"/>
        <v>0</v>
      </c>
      <c r="F849" s="35">
        <f t="shared" si="616"/>
        <v>0</v>
      </c>
      <c r="G849" s="414">
        <f t="shared" si="617"/>
        <v>0</v>
      </c>
      <c r="H849" s="49">
        <f t="shared" si="630"/>
        <v>0</v>
      </c>
      <c r="I849" s="35">
        <f t="shared" si="618"/>
        <v>55849.709999999977</v>
      </c>
      <c r="J849" s="414">
        <f t="shared" si="619"/>
        <v>0</v>
      </c>
      <c r="K849" s="329">
        <f t="shared" si="631"/>
        <v>0</v>
      </c>
      <c r="L849" s="35">
        <f t="shared" si="620"/>
        <v>0</v>
      </c>
      <c r="M849" s="414">
        <f t="shared" si="621"/>
        <v>0</v>
      </c>
      <c r="N849" s="329">
        <f t="shared" si="632"/>
        <v>0</v>
      </c>
      <c r="O849" s="35">
        <f t="shared" si="622"/>
        <v>26.980000000010332</v>
      </c>
      <c r="P849" s="414">
        <f t="shared" si="623"/>
        <v>0</v>
      </c>
      <c r="Q849" s="329">
        <f t="shared" si="633"/>
        <v>0</v>
      </c>
      <c r="R849" s="35">
        <f t="shared" si="624"/>
        <v>0</v>
      </c>
      <c r="S849" s="414">
        <f t="shared" si="625"/>
        <v>0</v>
      </c>
      <c r="T849" s="880">
        <f>[5]Sheet1!$B1264</f>
        <v>0</v>
      </c>
      <c r="U849" s="10">
        <f t="shared" si="626"/>
        <v>44686</v>
      </c>
      <c r="V849" s="276">
        <f t="shared" si="627"/>
        <v>0</v>
      </c>
    </row>
    <row r="850" spans="1:22" x14ac:dyDescent="0.25">
      <c r="A850" s="335">
        <f t="shared" si="634"/>
        <v>44687</v>
      </c>
      <c r="B850" s="329">
        <f t="shared" si="628"/>
        <v>0</v>
      </c>
      <c r="C850" s="338">
        <f t="shared" si="614"/>
        <v>188781.04000000015</v>
      </c>
      <c r="D850" s="414">
        <f t="shared" si="615"/>
        <v>0</v>
      </c>
      <c r="E850" s="49">
        <f t="shared" si="629"/>
        <v>0</v>
      </c>
      <c r="F850" s="35">
        <f t="shared" si="616"/>
        <v>0</v>
      </c>
      <c r="G850" s="414">
        <f t="shared" si="617"/>
        <v>0</v>
      </c>
      <c r="H850" s="49">
        <f t="shared" si="630"/>
        <v>0</v>
      </c>
      <c r="I850" s="35">
        <f t="shared" si="618"/>
        <v>55849.709999999977</v>
      </c>
      <c r="J850" s="414">
        <f t="shared" si="619"/>
        <v>0</v>
      </c>
      <c r="K850" s="329">
        <f t="shared" si="631"/>
        <v>0</v>
      </c>
      <c r="L850" s="35">
        <f t="shared" si="620"/>
        <v>0</v>
      </c>
      <c r="M850" s="414">
        <f t="shared" si="621"/>
        <v>0</v>
      </c>
      <c r="N850" s="329">
        <f t="shared" si="632"/>
        <v>0</v>
      </c>
      <c r="O850" s="35">
        <f t="shared" si="622"/>
        <v>26.980000000010332</v>
      </c>
      <c r="P850" s="414">
        <f t="shared" si="623"/>
        <v>0</v>
      </c>
      <c r="Q850" s="329">
        <f t="shared" si="633"/>
        <v>0</v>
      </c>
      <c r="R850" s="35">
        <f t="shared" si="624"/>
        <v>0</v>
      </c>
      <c r="S850" s="414">
        <f t="shared" si="625"/>
        <v>0</v>
      </c>
      <c r="T850" s="880">
        <f>[5]Sheet1!$B1265</f>
        <v>0</v>
      </c>
      <c r="U850" s="10">
        <f t="shared" si="626"/>
        <v>44687</v>
      </c>
      <c r="V850" s="276">
        <f t="shared" si="627"/>
        <v>0</v>
      </c>
    </row>
    <row r="851" spans="1:22" x14ac:dyDescent="0.25">
      <c r="A851" s="335">
        <f t="shared" si="634"/>
        <v>44690</v>
      </c>
      <c r="B851" s="329">
        <f t="shared" si="628"/>
        <v>0</v>
      </c>
      <c r="C851" s="338">
        <f t="shared" si="614"/>
        <v>188781.04000000015</v>
      </c>
      <c r="D851" s="414">
        <f t="shared" si="615"/>
        <v>0</v>
      </c>
      <c r="E851" s="49">
        <f t="shared" si="629"/>
        <v>0</v>
      </c>
      <c r="F851" s="35">
        <f t="shared" si="616"/>
        <v>0</v>
      </c>
      <c r="G851" s="414">
        <f t="shared" si="617"/>
        <v>0</v>
      </c>
      <c r="H851" s="49">
        <f t="shared" si="630"/>
        <v>0</v>
      </c>
      <c r="I851" s="35">
        <f t="shared" si="618"/>
        <v>55849.709999999977</v>
      </c>
      <c r="J851" s="414">
        <f t="shared" si="619"/>
        <v>0</v>
      </c>
      <c r="K851" s="329">
        <f t="shared" si="631"/>
        <v>0</v>
      </c>
      <c r="L851" s="35">
        <f t="shared" si="620"/>
        <v>0</v>
      </c>
      <c r="M851" s="414">
        <f t="shared" si="621"/>
        <v>0</v>
      </c>
      <c r="N851" s="329">
        <f t="shared" si="632"/>
        <v>0</v>
      </c>
      <c r="O851" s="35">
        <f t="shared" si="622"/>
        <v>26.980000000010332</v>
      </c>
      <c r="P851" s="414">
        <f t="shared" si="623"/>
        <v>0</v>
      </c>
      <c r="Q851" s="329">
        <f t="shared" si="633"/>
        <v>0</v>
      </c>
      <c r="R851" s="35">
        <f t="shared" si="624"/>
        <v>0</v>
      </c>
      <c r="S851" s="414">
        <f t="shared" si="625"/>
        <v>0</v>
      </c>
      <c r="T851" s="880">
        <f>[5]Sheet1!$B1266</f>
        <v>0</v>
      </c>
      <c r="U851" s="10">
        <f t="shared" si="626"/>
        <v>44690</v>
      </c>
      <c r="V851" s="276">
        <f t="shared" si="627"/>
        <v>0</v>
      </c>
    </row>
    <row r="852" spans="1:22" x14ac:dyDescent="0.25">
      <c r="A852" s="335">
        <f t="shared" si="634"/>
        <v>44691</v>
      </c>
      <c r="B852" s="329">
        <f t="shared" si="628"/>
        <v>0</v>
      </c>
      <c r="C852" s="338">
        <f t="shared" si="614"/>
        <v>188781.04000000015</v>
      </c>
      <c r="D852" s="414">
        <f t="shared" si="615"/>
        <v>0</v>
      </c>
      <c r="E852" s="49">
        <f t="shared" si="629"/>
        <v>0</v>
      </c>
      <c r="F852" s="35">
        <f t="shared" si="616"/>
        <v>0</v>
      </c>
      <c r="G852" s="414">
        <f t="shared" si="617"/>
        <v>0</v>
      </c>
      <c r="H852" s="49">
        <f t="shared" si="630"/>
        <v>0</v>
      </c>
      <c r="I852" s="35">
        <f t="shared" si="618"/>
        <v>55849.709999999977</v>
      </c>
      <c r="J852" s="414">
        <f t="shared" si="619"/>
        <v>0</v>
      </c>
      <c r="K852" s="329">
        <f t="shared" si="631"/>
        <v>0</v>
      </c>
      <c r="L852" s="35">
        <f t="shared" si="620"/>
        <v>0</v>
      </c>
      <c r="M852" s="414">
        <f t="shared" si="621"/>
        <v>0</v>
      </c>
      <c r="N852" s="329">
        <f t="shared" si="632"/>
        <v>0</v>
      </c>
      <c r="O852" s="35">
        <f t="shared" si="622"/>
        <v>26.980000000010332</v>
      </c>
      <c r="P852" s="414">
        <f t="shared" si="623"/>
        <v>0</v>
      </c>
      <c r="Q852" s="329">
        <f t="shared" si="633"/>
        <v>0</v>
      </c>
      <c r="R852" s="35">
        <f t="shared" si="624"/>
        <v>0</v>
      </c>
      <c r="S852" s="414">
        <f t="shared" si="625"/>
        <v>0</v>
      </c>
      <c r="T852" s="880">
        <f>[5]Sheet1!$B1267</f>
        <v>0</v>
      </c>
      <c r="U852" s="10">
        <f t="shared" si="626"/>
        <v>44691</v>
      </c>
      <c r="V852" s="276">
        <f t="shared" si="627"/>
        <v>0</v>
      </c>
    </row>
    <row r="853" spans="1:22" x14ac:dyDescent="0.25">
      <c r="A853" s="335">
        <f t="shared" si="634"/>
        <v>44692</v>
      </c>
      <c r="B853" s="329">
        <f t="shared" si="628"/>
        <v>0</v>
      </c>
      <c r="C853" s="338">
        <f t="shared" si="614"/>
        <v>188781.04000000015</v>
      </c>
      <c r="D853" s="414">
        <f t="shared" si="615"/>
        <v>0</v>
      </c>
      <c r="E853" s="49">
        <f t="shared" si="629"/>
        <v>0</v>
      </c>
      <c r="F853" s="35">
        <f t="shared" si="616"/>
        <v>0</v>
      </c>
      <c r="G853" s="414">
        <f t="shared" si="617"/>
        <v>0</v>
      </c>
      <c r="H853" s="49">
        <f t="shared" si="630"/>
        <v>0</v>
      </c>
      <c r="I853" s="35">
        <f t="shared" si="618"/>
        <v>55849.709999999977</v>
      </c>
      <c r="J853" s="414">
        <f t="shared" si="619"/>
        <v>0</v>
      </c>
      <c r="K853" s="329">
        <f t="shared" si="631"/>
        <v>0</v>
      </c>
      <c r="L853" s="35">
        <f t="shared" si="620"/>
        <v>0</v>
      </c>
      <c r="M853" s="414">
        <f t="shared" si="621"/>
        <v>0</v>
      </c>
      <c r="N853" s="329">
        <f t="shared" si="632"/>
        <v>0</v>
      </c>
      <c r="O853" s="35">
        <f t="shared" si="622"/>
        <v>26.980000000010332</v>
      </c>
      <c r="P853" s="414">
        <f t="shared" si="623"/>
        <v>0</v>
      </c>
      <c r="Q853" s="329">
        <f t="shared" si="633"/>
        <v>0</v>
      </c>
      <c r="R853" s="35">
        <f t="shared" si="624"/>
        <v>0</v>
      </c>
      <c r="S853" s="414">
        <f t="shared" si="625"/>
        <v>0</v>
      </c>
      <c r="T853" s="880">
        <f>[5]Sheet1!$B1268</f>
        <v>0</v>
      </c>
      <c r="U853" s="10">
        <f t="shared" si="626"/>
        <v>44692</v>
      </c>
      <c r="V853" s="276">
        <f t="shared" si="627"/>
        <v>0</v>
      </c>
    </row>
    <row r="854" spans="1:22" x14ac:dyDescent="0.25">
      <c r="A854" s="335">
        <f t="shared" si="634"/>
        <v>44693</v>
      </c>
      <c r="B854" s="329">
        <f t="shared" si="628"/>
        <v>0</v>
      </c>
      <c r="C854" s="338">
        <f t="shared" si="614"/>
        <v>188781.04000000015</v>
      </c>
      <c r="D854" s="414">
        <f t="shared" si="615"/>
        <v>0</v>
      </c>
      <c r="E854" s="49">
        <f t="shared" si="629"/>
        <v>0</v>
      </c>
      <c r="F854" s="35">
        <f t="shared" si="616"/>
        <v>0</v>
      </c>
      <c r="G854" s="414">
        <f t="shared" si="617"/>
        <v>0</v>
      </c>
      <c r="H854" s="49">
        <f t="shared" si="630"/>
        <v>0</v>
      </c>
      <c r="I854" s="35">
        <f t="shared" si="618"/>
        <v>55849.709999999977</v>
      </c>
      <c r="J854" s="414">
        <f t="shared" si="619"/>
        <v>0</v>
      </c>
      <c r="K854" s="329">
        <f t="shared" si="631"/>
        <v>0</v>
      </c>
      <c r="L854" s="35">
        <f t="shared" si="620"/>
        <v>0</v>
      </c>
      <c r="M854" s="414">
        <f t="shared" si="621"/>
        <v>0</v>
      </c>
      <c r="N854" s="329">
        <f t="shared" si="632"/>
        <v>0</v>
      </c>
      <c r="O854" s="35">
        <f t="shared" si="622"/>
        <v>26.980000000010332</v>
      </c>
      <c r="P854" s="414">
        <f t="shared" si="623"/>
        <v>0</v>
      </c>
      <c r="Q854" s="329">
        <f t="shared" si="633"/>
        <v>0</v>
      </c>
      <c r="R854" s="35">
        <f t="shared" si="624"/>
        <v>0</v>
      </c>
      <c r="S854" s="414">
        <f t="shared" si="625"/>
        <v>0</v>
      </c>
      <c r="T854" s="880">
        <f>[5]Sheet1!$B1269</f>
        <v>0</v>
      </c>
      <c r="U854" s="10">
        <f t="shared" si="626"/>
        <v>44693</v>
      </c>
      <c r="V854" s="276">
        <f t="shared" si="627"/>
        <v>0</v>
      </c>
    </row>
    <row r="855" spans="1:22" x14ac:dyDescent="0.25">
      <c r="A855" s="335">
        <f t="shared" si="634"/>
        <v>44694</v>
      </c>
      <c r="B855" s="329">
        <f t="shared" si="628"/>
        <v>0</v>
      </c>
      <c r="C855" s="338">
        <f t="shared" si="614"/>
        <v>188781.04000000015</v>
      </c>
      <c r="D855" s="414">
        <f t="shared" si="615"/>
        <v>0</v>
      </c>
      <c r="E855" s="49">
        <f t="shared" si="629"/>
        <v>0</v>
      </c>
      <c r="F855" s="35">
        <f t="shared" si="616"/>
        <v>0</v>
      </c>
      <c r="G855" s="414">
        <f t="shared" si="617"/>
        <v>0</v>
      </c>
      <c r="H855" s="49">
        <f t="shared" si="630"/>
        <v>0</v>
      </c>
      <c r="I855" s="35">
        <f t="shared" si="618"/>
        <v>55849.709999999977</v>
      </c>
      <c r="J855" s="414">
        <f t="shared" si="619"/>
        <v>0</v>
      </c>
      <c r="K855" s="329">
        <f t="shared" si="631"/>
        <v>0</v>
      </c>
      <c r="L855" s="35">
        <f t="shared" si="620"/>
        <v>0</v>
      </c>
      <c r="M855" s="414">
        <f t="shared" si="621"/>
        <v>0</v>
      </c>
      <c r="N855" s="329">
        <f t="shared" si="632"/>
        <v>0</v>
      </c>
      <c r="O855" s="35">
        <f t="shared" si="622"/>
        <v>26.980000000010332</v>
      </c>
      <c r="P855" s="414">
        <f t="shared" si="623"/>
        <v>0</v>
      </c>
      <c r="Q855" s="329">
        <f t="shared" si="633"/>
        <v>0</v>
      </c>
      <c r="R855" s="35">
        <f t="shared" si="624"/>
        <v>0</v>
      </c>
      <c r="S855" s="414">
        <f t="shared" si="625"/>
        <v>0</v>
      </c>
      <c r="T855" s="880">
        <f>[5]Sheet1!$B1270</f>
        <v>0</v>
      </c>
      <c r="U855" s="10">
        <f t="shared" si="626"/>
        <v>44694</v>
      </c>
      <c r="V855" s="276">
        <f t="shared" si="627"/>
        <v>0</v>
      </c>
    </row>
    <row r="856" spans="1:22" x14ac:dyDescent="0.25">
      <c r="A856" s="335">
        <f t="shared" si="634"/>
        <v>44697</v>
      </c>
      <c r="B856" s="329">
        <f t="shared" si="628"/>
        <v>0</v>
      </c>
      <c r="C856" s="338">
        <f t="shared" si="614"/>
        <v>188781.04000000015</v>
      </c>
      <c r="D856" s="414">
        <f t="shared" si="615"/>
        <v>0</v>
      </c>
      <c r="E856" s="49">
        <f t="shared" si="629"/>
        <v>0</v>
      </c>
      <c r="F856" s="35">
        <f t="shared" si="616"/>
        <v>0</v>
      </c>
      <c r="G856" s="414">
        <f t="shared" si="617"/>
        <v>0</v>
      </c>
      <c r="H856" s="49">
        <f t="shared" si="630"/>
        <v>0</v>
      </c>
      <c r="I856" s="35">
        <f t="shared" si="618"/>
        <v>55849.709999999977</v>
      </c>
      <c r="J856" s="414">
        <f t="shared" si="619"/>
        <v>0</v>
      </c>
      <c r="K856" s="329">
        <f t="shared" si="631"/>
        <v>0</v>
      </c>
      <c r="L856" s="35">
        <f t="shared" si="620"/>
        <v>0</v>
      </c>
      <c r="M856" s="414">
        <f t="shared" si="621"/>
        <v>0</v>
      </c>
      <c r="N856" s="329">
        <f t="shared" si="632"/>
        <v>0</v>
      </c>
      <c r="O856" s="35">
        <f t="shared" si="622"/>
        <v>26.980000000010332</v>
      </c>
      <c r="P856" s="414">
        <f t="shared" si="623"/>
        <v>0</v>
      </c>
      <c r="Q856" s="329">
        <f t="shared" si="633"/>
        <v>0</v>
      </c>
      <c r="R856" s="35">
        <f t="shared" si="624"/>
        <v>0</v>
      </c>
      <c r="S856" s="414">
        <f t="shared" si="625"/>
        <v>0</v>
      </c>
      <c r="T856" s="880">
        <f>[5]Sheet1!$B1271</f>
        <v>0</v>
      </c>
      <c r="U856" s="10">
        <f t="shared" si="626"/>
        <v>44697</v>
      </c>
      <c r="V856" s="276">
        <f t="shared" si="627"/>
        <v>0</v>
      </c>
    </row>
    <row r="857" spans="1:22" x14ac:dyDescent="0.25">
      <c r="A857" s="335">
        <f t="shared" si="634"/>
        <v>44698</v>
      </c>
      <c r="B857" s="329">
        <f t="shared" si="628"/>
        <v>0</v>
      </c>
      <c r="C857" s="338">
        <f t="shared" si="614"/>
        <v>188781.04000000015</v>
      </c>
      <c r="D857" s="414">
        <f t="shared" si="615"/>
        <v>0</v>
      </c>
      <c r="E857" s="49">
        <f t="shared" si="629"/>
        <v>0</v>
      </c>
      <c r="F857" s="35">
        <f t="shared" si="616"/>
        <v>0</v>
      </c>
      <c r="G857" s="414">
        <f t="shared" si="617"/>
        <v>0</v>
      </c>
      <c r="H857" s="49">
        <f t="shared" si="630"/>
        <v>0</v>
      </c>
      <c r="I857" s="35">
        <f t="shared" si="618"/>
        <v>55849.709999999977</v>
      </c>
      <c r="J857" s="414">
        <f t="shared" si="619"/>
        <v>0</v>
      </c>
      <c r="K857" s="329">
        <f t="shared" si="631"/>
        <v>0</v>
      </c>
      <c r="L857" s="35">
        <f t="shared" si="620"/>
        <v>0</v>
      </c>
      <c r="M857" s="414">
        <f t="shared" si="621"/>
        <v>0</v>
      </c>
      <c r="N857" s="329">
        <f t="shared" si="632"/>
        <v>0</v>
      </c>
      <c r="O857" s="35">
        <f t="shared" si="622"/>
        <v>26.980000000010332</v>
      </c>
      <c r="P857" s="414">
        <f t="shared" si="623"/>
        <v>0</v>
      </c>
      <c r="Q857" s="329">
        <f t="shared" si="633"/>
        <v>0</v>
      </c>
      <c r="R857" s="35">
        <f t="shared" si="624"/>
        <v>0</v>
      </c>
      <c r="S857" s="414">
        <f t="shared" si="625"/>
        <v>0</v>
      </c>
      <c r="T857" s="880">
        <f>[5]Sheet1!$B1272</f>
        <v>0</v>
      </c>
      <c r="U857" s="10">
        <f t="shared" si="626"/>
        <v>44698</v>
      </c>
      <c r="V857" s="276">
        <f t="shared" si="627"/>
        <v>0</v>
      </c>
    </row>
    <row r="858" spans="1:22" x14ac:dyDescent="0.25">
      <c r="A858" s="335">
        <f t="shared" si="634"/>
        <v>44699</v>
      </c>
      <c r="B858" s="329">
        <f t="shared" si="628"/>
        <v>0</v>
      </c>
      <c r="C858" s="338">
        <f t="shared" si="614"/>
        <v>188781.04000000015</v>
      </c>
      <c r="D858" s="414">
        <f t="shared" si="615"/>
        <v>0</v>
      </c>
      <c r="E858" s="49">
        <f t="shared" si="629"/>
        <v>0</v>
      </c>
      <c r="F858" s="35">
        <f t="shared" si="616"/>
        <v>0</v>
      </c>
      <c r="G858" s="414">
        <f t="shared" si="617"/>
        <v>0</v>
      </c>
      <c r="H858" s="49">
        <f t="shared" si="630"/>
        <v>0</v>
      </c>
      <c r="I858" s="35">
        <f t="shared" si="618"/>
        <v>55849.709999999977</v>
      </c>
      <c r="J858" s="414">
        <f t="shared" si="619"/>
        <v>0</v>
      </c>
      <c r="K858" s="329">
        <f t="shared" si="631"/>
        <v>0</v>
      </c>
      <c r="L858" s="35">
        <f t="shared" si="620"/>
        <v>0</v>
      </c>
      <c r="M858" s="414">
        <f t="shared" si="621"/>
        <v>0</v>
      </c>
      <c r="N858" s="329">
        <f t="shared" si="632"/>
        <v>0</v>
      </c>
      <c r="O858" s="35">
        <f t="shared" si="622"/>
        <v>26.980000000010332</v>
      </c>
      <c r="P858" s="414">
        <f t="shared" si="623"/>
        <v>0</v>
      </c>
      <c r="Q858" s="329">
        <f t="shared" si="633"/>
        <v>0</v>
      </c>
      <c r="R858" s="35">
        <f t="shared" si="624"/>
        <v>0</v>
      </c>
      <c r="S858" s="414">
        <f t="shared" si="625"/>
        <v>0</v>
      </c>
      <c r="T858" s="880">
        <f>[5]Sheet1!$B1273</f>
        <v>0</v>
      </c>
      <c r="U858" s="10">
        <f t="shared" si="626"/>
        <v>44699</v>
      </c>
      <c r="V858" s="276">
        <f t="shared" si="627"/>
        <v>0</v>
      </c>
    </row>
    <row r="859" spans="1:22" x14ac:dyDescent="0.25">
      <c r="A859" s="335">
        <f t="shared" si="634"/>
        <v>44700</v>
      </c>
      <c r="B859" s="329">
        <f t="shared" si="628"/>
        <v>0</v>
      </c>
      <c r="C859" s="338">
        <f t="shared" si="614"/>
        <v>188781.04000000015</v>
      </c>
      <c r="D859" s="414">
        <f t="shared" si="615"/>
        <v>0</v>
      </c>
      <c r="E859" s="49">
        <f t="shared" si="629"/>
        <v>0</v>
      </c>
      <c r="F859" s="35">
        <f t="shared" si="616"/>
        <v>0</v>
      </c>
      <c r="G859" s="414">
        <f t="shared" si="617"/>
        <v>0</v>
      </c>
      <c r="H859" s="49">
        <f t="shared" si="630"/>
        <v>0</v>
      </c>
      <c r="I859" s="35">
        <f t="shared" si="618"/>
        <v>55849.709999999977</v>
      </c>
      <c r="J859" s="414">
        <f t="shared" si="619"/>
        <v>0</v>
      </c>
      <c r="K859" s="329">
        <f t="shared" si="631"/>
        <v>0</v>
      </c>
      <c r="L859" s="35">
        <f t="shared" si="620"/>
        <v>0</v>
      </c>
      <c r="M859" s="414">
        <f t="shared" si="621"/>
        <v>0</v>
      </c>
      <c r="N859" s="329">
        <f t="shared" si="632"/>
        <v>0</v>
      </c>
      <c r="O859" s="35">
        <f t="shared" si="622"/>
        <v>26.980000000010332</v>
      </c>
      <c r="P859" s="414">
        <f t="shared" si="623"/>
        <v>0</v>
      </c>
      <c r="Q859" s="329">
        <f t="shared" si="633"/>
        <v>0</v>
      </c>
      <c r="R859" s="35">
        <f t="shared" si="624"/>
        <v>0</v>
      </c>
      <c r="S859" s="414">
        <f t="shared" si="625"/>
        <v>0</v>
      </c>
      <c r="T859" s="880">
        <f>[5]Sheet1!$B1274</f>
        <v>0</v>
      </c>
      <c r="U859" s="10">
        <f t="shared" si="626"/>
        <v>44700</v>
      </c>
      <c r="V859" s="276">
        <f t="shared" si="627"/>
        <v>0</v>
      </c>
    </row>
    <row r="860" spans="1:22" x14ac:dyDescent="0.25">
      <c r="A860" s="335">
        <f t="shared" si="634"/>
        <v>44701</v>
      </c>
      <c r="B860" s="329">
        <f t="shared" si="628"/>
        <v>0</v>
      </c>
      <c r="C860" s="338">
        <f t="shared" si="614"/>
        <v>188781.04000000015</v>
      </c>
      <c r="D860" s="414">
        <f t="shared" si="615"/>
        <v>0</v>
      </c>
      <c r="E860" s="49">
        <f t="shared" si="629"/>
        <v>0</v>
      </c>
      <c r="F860" s="35">
        <f t="shared" si="616"/>
        <v>0</v>
      </c>
      <c r="G860" s="414">
        <f t="shared" si="617"/>
        <v>0</v>
      </c>
      <c r="H860" s="49">
        <f t="shared" si="630"/>
        <v>0</v>
      </c>
      <c r="I860" s="35">
        <f t="shared" si="618"/>
        <v>55849.709999999977</v>
      </c>
      <c r="J860" s="414">
        <f t="shared" si="619"/>
        <v>0</v>
      </c>
      <c r="K860" s="329">
        <f t="shared" si="631"/>
        <v>0</v>
      </c>
      <c r="L860" s="35">
        <f t="shared" si="620"/>
        <v>0</v>
      </c>
      <c r="M860" s="414">
        <f t="shared" si="621"/>
        <v>0</v>
      </c>
      <c r="N860" s="329">
        <f t="shared" si="632"/>
        <v>0</v>
      </c>
      <c r="O860" s="35">
        <f t="shared" si="622"/>
        <v>26.980000000010332</v>
      </c>
      <c r="P860" s="414">
        <f t="shared" si="623"/>
        <v>0</v>
      </c>
      <c r="Q860" s="329">
        <f t="shared" si="633"/>
        <v>0</v>
      </c>
      <c r="R860" s="35">
        <f t="shared" si="624"/>
        <v>0</v>
      </c>
      <c r="S860" s="414">
        <f t="shared" si="625"/>
        <v>0</v>
      </c>
      <c r="T860" s="880">
        <f>[5]Sheet1!$B1275</f>
        <v>0</v>
      </c>
      <c r="U860" s="10">
        <f t="shared" si="626"/>
        <v>44701</v>
      </c>
      <c r="V860" s="276">
        <f t="shared" si="627"/>
        <v>0</v>
      </c>
    </row>
    <row r="861" spans="1:22" x14ac:dyDescent="0.25">
      <c r="A861" s="335">
        <f t="shared" si="634"/>
        <v>44704</v>
      </c>
      <c r="B861" s="329">
        <f t="shared" si="628"/>
        <v>0</v>
      </c>
      <c r="C861" s="338">
        <f t="shared" si="614"/>
        <v>188781.04000000015</v>
      </c>
      <c r="D861" s="414">
        <f t="shared" si="615"/>
        <v>0</v>
      </c>
      <c r="E861" s="49">
        <f t="shared" si="629"/>
        <v>0</v>
      </c>
      <c r="F861" s="35">
        <f t="shared" si="616"/>
        <v>0</v>
      </c>
      <c r="G861" s="414">
        <f t="shared" si="617"/>
        <v>0</v>
      </c>
      <c r="H861" s="49">
        <f t="shared" si="630"/>
        <v>0</v>
      </c>
      <c r="I861" s="35">
        <f t="shared" si="618"/>
        <v>55849.709999999977</v>
      </c>
      <c r="J861" s="414">
        <f t="shared" si="619"/>
        <v>0</v>
      </c>
      <c r="K861" s="329">
        <f t="shared" si="631"/>
        <v>0</v>
      </c>
      <c r="L861" s="35">
        <f t="shared" si="620"/>
        <v>0</v>
      </c>
      <c r="M861" s="414">
        <f t="shared" si="621"/>
        <v>0</v>
      </c>
      <c r="N861" s="329">
        <f t="shared" si="632"/>
        <v>0</v>
      </c>
      <c r="O861" s="35">
        <f t="shared" si="622"/>
        <v>26.980000000010332</v>
      </c>
      <c r="P861" s="414">
        <f t="shared" si="623"/>
        <v>0</v>
      </c>
      <c r="Q861" s="329">
        <f t="shared" si="633"/>
        <v>0</v>
      </c>
      <c r="R861" s="35">
        <f t="shared" si="624"/>
        <v>0</v>
      </c>
      <c r="S861" s="414">
        <f t="shared" si="625"/>
        <v>0</v>
      </c>
      <c r="T861" s="880">
        <f>[5]Sheet1!$B1276</f>
        <v>0</v>
      </c>
      <c r="U861" s="10">
        <f t="shared" si="626"/>
        <v>44704</v>
      </c>
      <c r="V861" s="276">
        <f t="shared" si="627"/>
        <v>0</v>
      </c>
    </row>
    <row r="862" spans="1:22" x14ac:dyDescent="0.25">
      <c r="A862" s="335">
        <f t="shared" si="634"/>
        <v>44705</v>
      </c>
      <c r="B862" s="329">
        <f t="shared" si="628"/>
        <v>0</v>
      </c>
      <c r="C862" s="338">
        <f t="shared" si="614"/>
        <v>188781.04000000015</v>
      </c>
      <c r="D862" s="414">
        <f t="shared" si="615"/>
        <v>0</v>
      </c>
      <c r="E862" s="49">
        <f t="shared" si="629"/>
        <v>0</v>
      </c>
      <c r="F862" s="35">
        <f t="shared" si="616"/>
        <v>0</v>
      </c>
      <c r="G862" s="414">
        <f t="shared" si="617"/>
        <v>0</v>
      </c>
      <c r="H862" s="49">
        <f t="shared" si="630"/>
        <v>0</v>
      </c>
      <c r="I862" s="35">
        <f t="shared" si="618"/>
        <v>55849.709999999977</v>
      </c>
      <c r="J862" s="414">
        <f t="shared" si="619"/>
        <v>0</v>
      </c>
      <c r="K862" s="329">
        <f t="shared" si="631"/>
        <v>0</v>
      </c>
      <c r="L862" s="35">
        <f t="shared" si="620"/>
        <v>0</v>
      </c>
      <c r="M862" s="414">
        <f t="shared" si="621"/>
        <v>0</v>
      </c>
      <c r="N862" s="329">
        <f t="shared" si="632"/>
        <v>0</v>
      </c>
      <c r="O862" s="35">
        <f t="shared" si="622"/>
        <v>26.980000000010332</v>
      </c>
      <c r="P862" s="414">
        <f t="shared" si="623"/>
        <v>0</v>
      </c>
      <c r="Q862" s="329">
        <f t="shared" si="633"/>
        <v>0</v>
      </c>
      <c r="R862" s="35">
        <f t="shared" si="624"/>
        <v>0</v>
      </c>
      <c r="S862" s="414">
        <f t="shared" si="625"/>
        <v>0</v>
      </c>
      <c r="T862" s="880">
        <f>[5]Sheet1!$B1277</f>
        <v>0</v>
      </c>
      <c r="U862" s="10">
        <f t="shared" si="626"/>
        <v>44705</v>
      </c>
      <c r="V862" s="276">
        <f t="shared" si="627"/>
        <v>0</v>
      </c>
    </row>
    <row r="863" spans="1:22" x14ac:dyDescent="0.25">
      <c r="A863" s="335">
        <f t="shared" si="634"/>
        <v>44706</v>
      </c>
      <c r="B863" s="329">
        <f t="shared" si="628"/>
        <v>0</v>
      </c>
      <c r="C863" s="338">
        <f t="shared" si="614"/>
        <v>188781.04000000015</v>
      </c>
      <c r="D863" s="414">
        <f t="shared" si="615"/>
        <v>0</v>
      </c>
      <c r="E863" s="49">
        <f t="shared" si="629"/>
        <v>0</v>
      </c>
      <c r="F863" s="35">
        <f t="shared" si="616"/>
        <v>0</v>
      </c>
      <c r="G863" s="414">
        <f t="shared" si="617"/>
        <v>0</v>
      </c>
      <c r="H863" s="49">
        <f t="shared" si="630"/>
        <v>0</v>
      </c>
      <c r="I863" s="35">
        <f t="shared" si="618"/>
        <v>55849.709999999977</v>
      </c>
      <c r="J863" s="414">
        <f t="shared" si="619"/>
        <v>0</v>
      </c>
      <c r="K863" s="329">
        <f t="shared" si="631"/>
        <v>0</v>
      </c>
      <c r="L863" s="35">
        <f t="shared" si="620"/>
        <v>0</v>
      </c>
      <c r="M863" s="414">
        <f t="shared" si="621"/>
        <v>0</v>
      </c>
      <c r="N863" s="329">
        <f t="shared" si="632"/>
        <v>0</v>
      </c>
      <c r="O863" s="35">
        <f t="shared" si="622"/>
        <v>26.980000000010332</v>
      </c>
      <c r="P863" s="414">
        <f t="shared" si="623"/>
        <v>0</v>
      </c>
      <c r="Q863" s="329">
        <f t="shared" si="633"/>
        <v>0</v>
      </c>
      <c r="R863" s="35">
        <f t="shared" si="624"/>
        <v>0</v>
      </c>
      <c r="S863" s="414">
        <f t="shared" si="625"/>
        <v>0</v>
      </c>
      <c r="T863" s="880">
        <f>[5]Sheet1!$B1278</f>
        <v>0</v>
      </c>
      <c r="U863" s="10">
        <f t="shared" si="626"/>
        <v>44706</v>
      </c>
      <c r="V863" s="276">
        <f t="shared" si="627"/>
        <v>0</v>
      </c>
    </row>
    <row r="864" spans="1:22" x14ac:dyDescent="0.25">
      <c r="A864" s="335">
        <f t="shared" si="634"/>
        <v>44707</v>
      </c>
      <c r="B864" s="329">
        <f t="shared" si="628"/>
        <v>0</v>
      </c>
      <c r="C864" s="338">
        <f t="shared" si="614"/>
        <v>188781.04000000015</v>
      </c>
      <c r="D864" s="414">
        <f t="shared" si="615"/>
        <v>0</v>
      </c>
      <c r="E864" s="49">
        <f t="shared" si="629"/>
        <v>0</v>
      </c>
      <c r="F864" s="35">
        <f t="shared" si="616"/>
        <v>0</v>
      </c>
      <c r="G864" s="414">
        <f t="shared" si="617"/>
        <v>0</v>
      </c>
      <c r="H864" s="49">
        <f t="shared" si="630"/>
        <v>0</v>
      </c>
      <c r="I864" s="35">
        <f t="shared" si="618"/>
        <v>55849.709999999977</v>
      </c>
      <c r="J864" s="414">
        <f t="shared" si="619"/>
        <v>0</v>
      </c>
      <c r="K864" s="329">
        <f t="shared" si="631"/>
        <v>0</v>
      </c>
      <c r="L864" s="35">
        <f t="shared" si="620"/>
        <v>0</v>
      </c>
      <c r="M864" s="414">
        <f t="shared" si="621"/>
        <v>0</v>
      </c>
      <c r="N864" s="329">
        <f t="shared" si="632"/>
        <v>0</v>
      </c>
      <c r="O864" s="35">
        <f t="shared" si="622"/>
        <v>26.980000000010332</v>
      </c>
      <c r="P864" s="414">
        <f t="shared" si="623"/>
        <v>0</v>
      </c>
      <c r="Q864" s="329">
        <f t="shared" si="633"/>
        <v>0</v>
      </c>
      <c r="R864" s="35">
        <f t="shared" si="624"/>
        <v>0</v>
      </c>
      <c r="S864" s="414">
        <f t="shared" si="625"/>
        <v>0</v>
      </c>
      <c r="T864" s="880">
        <f>[5]Sheet1!$B1279</f>
        <v>0</v>
      </c>
      <c r="U864" s="10">
        <f t="shared" si="626"/>
        <v>44707</v>
      </c>
      <c r="V864" s="276">
        <f t="shared" si="627"/>
        <v>0</v>
      </c>
    </row>
    <row r="865" spans="1:22" x14ac:dyDescent="0.25">
      <c r="A865" s="335">
        <f t="shared" si="634"/>
        <v>44708</v>
      </c>
      <c r="B865" s="329">
        <f t="shared" si="628"/>
        <v>0</v>
      </c>
      <c r="C865" s="338">
        <f t="shared" si="614"/>
        <v>188781.04000000015</v>
      </c>
      <c r="D865" s="414">
        <f t="shared" si="615"/>
        <v>0</v>
      </c>
      <c r="E865" s="49">
        <f t="shared" si="629"/>
        <v>0</v>
      </c>
      <c r="F865" s="35">
        <f t="shared" si="616"/>
        <v>0</v>
      </c>
      <c r="G865" s="414">
        <f t="shared" si="617"/>
        <v>0</v>
      </c>
      <c r="H865" s="49">
        <f t="shared" si="630"/>
        <v>0</v>
      </c>
      <c r="I865" s="35">
        <f t="shared" si="618"/>
        <v>55849.709999999977</v>
      </c>
      <c r="J865" s="414">
        <f t="shared" si="619"/>
        <v>0</v>
      </c>
      <c r="K865" s="329">
        <f t="shared" si="631"/>
        <v>0</v>
      </c>
      <c r="L865" s="35">
        <f t="shared" si="620"/>
        <v>0</v>
      </c>
      <c r="M865" s="414">
        <f t="shared" si="621"/>
        <v>0</v>
      </c>
      <c r="N865" s="329">
        <f t="shared" si="632"/>
        <v>0</v>
      </c>
      <c r="O865" s="35">
        <f t="shared" si="622"/>
        <v>26.980000000010332</v>
      </c>
      <c r="P865" s="414">
        <f t="shared" si="623"/>
        <v>0</v>
      </c>
      <c r="Q865" s="329">
        <f t="shared" si="633"/>
        <v>0</v>
      </c>
      <c r="R865" s="35">
        <f t="shared" si="624"/>
        <v>0</v>
      </c>
      <c r="S865" s="414">
        <f t="shared" si="625"/>
        <v>0</v>
      </c>
      <c r="T865" s="880">
        <f>[5]Sheet1!$B1280</f>
        <v>0</v>
      </c>
      <c r="U865" s="10">
        <f t="shared" si="626"/>
        <v>44708</v>
      </c>
      <c r="V865" s="276">
        <f t="shared" si="627"/>
        <v>0</v>
      </c>
    </row>
    <row r="866" spans="1:22" x14ac:dyDescent="0.25">
      <c r="A866" s="335">
        <f t="shared" si="634"/>
        <v>44711</v>
      </c>
      <c r="B866" s="329">
        <f t="shared" si="628"/>
        <v>0</v>
      </c>
      <c r="C866" s="338">
        <f t="shared" si="614"/>
        <v>188781.04000000015</v>
      </c>
      <c r="D866" s="414">
        <f t="shared" si="615"/>
        <v>0</v>
      </c>
      <c r="E866" s="49">
        <f t="shared" si="629"/>
        <v>0</v>
      </c>
      <c r="F866" s="35">
        <f t="shared" si="616"/>
        <v>0</v>
      </c>
      <c r="G866" s="414">
        <f t="shared" si="617"/>
        <v>0</v>
      </c>
      <c r="H866" s="49">
        <f t="shared" si="630"/>
        <v>0</v>
      </c>
      <c r="I866" s="35">
        <f t="shared" si="618"/>
        <v>55849.709999999977</v>
      </c>
      <c r="J866" s="414">
        <f t="shared" si="619"/>
        <v>0</v>
      </c>
      <c r="K866" s="329">
        <f t="shared" si="631"/>
        <v>0</v>
      </c>
      <c r="L866" s="35">
        <f t="shared" si="620"/>
        <v>0</v>
      </c>
      <c r="M866" s="414">
        <f t="shared" si="621"/>
        <v>0</v>
      </c>
      <c r="N866" s="329">
        <f t="shared" si="632"/>
        <v>0</v>
      </c>
      <c r="O866" s="35">
        <f t="shared" si="622"/>
        <v>26.980000000010332</v>
      </c>
      <c r="P866" s="414">
        <f t="shared" si="623"/>
        <v>0</v>
      </c>
      <c r="Q866" s="329">
        <f t="shared" si="633"/>
        <v>0</v>
      </c>
      <c r="R866" s="35">
        <f t="shared" si="624"/>
        <v>0</v>
      </c>
      <c r="S866" s="414">
        <f t="shared" si="625"/>
        <v>0</v>
      </c>
      <c r="T866" s="880">
        <f>[5]Sheet1!$B1281</f>
        <v>0</v>
      </c>
      <c r="U866" s="10">
        <f t="shared" si="626"/>
        <v>44711</v>
      </c>
      <c r="V866" s="276">
        <f t="shared" si="627"/>
        <v>0</v>
      </c>
    </row>
    <row r="867" spans="1:22" x14ac:dyDescent="0.25">
      <c r="A867" s="335">
        <f t="shared" si="634"/>
        <v>44712</v>
      </c>
      <c r="B867" s="329">
        <f t="shared" si="628"/>
        <v>0</v>
      </c>
      <c r="C867" s="338">
        <f t="shared" si="614"/>
        <v>188781.04000000015</v>
      </c>
      <c r="D867" s="414">
        <f t="shared" si="615"/>
        <v>0</v>
      </c>
      <c r="E867" s="49">
        <f t="shared" si="629"/>
        <v>0</v>
      </c>
      <c r="F867" s="35">
        <f t="shared" si="616"/>
        <v>0</v>
      </c>
      <c r="G867" s="414">
        <f t="shared" si="617"/>
        <v>0</v>
      </c>
      <c r="H867" s="49">
        <f t="shared" si="630"/>
        <v>0</v>
      </c>
      <c r="I867" s="35">
        <f t="shared" si="618"/>
        <v>55849.709999999977</v>
      </c>
      <c r="J867" s="414">
        <f t="shared" si="619"/>
        <v>0</v>
      </c>
      <c r="K867" s="329">
        <f t="shared" si="631"/>
        <v>0</v>
      </c>
      <c r="L867" s="35">
        <f t="shared" si="620"/>
        <v>0</v>
      </c>
      <c r="M867" s="414">
        <f t="shared" si="621"/>
        <v>0</v>
      </c>
      <c r="N867" s="329">
        <f t="shared" si="632"/>
        <v>0</v>
      </c>
      <c r="O867" s="35">
        <f t="shared" si="622"/>
        <v>26.980000000010332</v>
      </c>
      <c r="P867" s="414">
        <f t="shared" si="623"/>
        <v>0</v>
      </c>
      <c r="Q867" s="329">
        <f t="shared" si="633"/>
        <v>0</v>
      </c>
      <c r="R867" s="35">
        <f t="shared" si="624"/>
        <v>0</v>
      </c>
      <c r="S867" s="414">
        <f t="shared" si="625"/>
        <v>0</v>
      </c>
      <c r="T867" s="880">
        <f>[5]Sheet1!$B1282</f>
        <v>0</v>
      </c>
      <c r="U867" s="10">
        <f t="shared" si="626"/>
        <v>44712</v>
      </c>
      <c r="V867" s="276">
        <f t="shared" si="627"/>
        <v>0</v>
      </c>
    </row>
    <row r="868" spans="1:22" x14ac:dyDescent="0.25">
      <c r="A868" s="335">
        <f t="shared" si="634"/>
        <v>44713</v>
      </c>
      <c r="B868" s="329">
        <f t="shared" si="628"/>
        <v>0</v>
      </c>
      <c r="C868" s="338">
        <f t="shared" si="614"/>
        <v>188781.04000000015</v>
      </c>
      <c r="D868" s="414">
        <f t="shared" si="615"/>
        <v>0</v>
      </c>
      <c r="E868" s="49">
        <f t="shared" si="629"/>
        <v>0</v>
      </c>
      <c r="F868" s="35">
        <f t="shared" si="616"/>
        <v>0</v>
      </c>
      <c r="G868" s="414">
        <f t="shared" si="617"/>
        <v>0</v>
      </c>
      <c r="H868" s="49">
        <f t="shared" si="630"/>
        <v>0</v>
      </c>
      <c r="I868" s="35">
        <f t="shared" si="618"/>
        <v>55849.709999999977</v>
      </c>
      <c r="J868" s="414">
        <f t="shared" si="619"/>
        <v>0</v>
      </c>
      <c r="K868" s="329">
        <f t="shared" si="631"/>
        <v>0</v>
      </c>
      <c r="L868" s="35">
        <f t="shared" si="620"/>
        <v>0</v>
      </c>
      <c r="M868" s="414">
        <f t="shared" si="621"/>
        <v>0</v>
      </c>
      <c r="N868" s="329">
        <f t="shared" si="632"/>
        <v>0</v>
      </c>
      <c r="O868" s="35">
        <f t="shared" si="622"/>
        <v>26.980000000010332</v>
      </c>
      <c r="P868" s="414">
        <f t="shared" si="623"/>
        <v>0</v>
      </c>
      <c r="Q868" s="329">
        <f t="shared" si="633"/>
        <v>0</v>
      </c>
      <c r="R868" s="35">
        <f t="shared" si="624"/>
        <v>0</v>
      </c>
      <c r="S868" s="414">
        <f t="shared" si="625"/>
        <v>0</v>
      </c>
      <c r="T868" s="880">
        <f>[5]Sheet1!$B1283</f>
        <v>0</v>
      </c>
      <c r="U868" s="10">
        <f t="shared" si="626"/>
        <v>44713</v>
      </c>
      <c r="V868" s="276">
        <f t="shared" si="627"/>
        <v>0</v>
      </c>
    </row>
    <row r="869" spans="1:22" x14ac:dyDescent="0.25">
      <c r="A869" s="335">
        <f t="shared" si="634"/>
        <v>44714</v>
      </c>
      <c r="B869" s="329">
        <f t="shared" si="628"/>
        <v>0</v>
      </c>
      <c r="C869" s="338">
        <f t="shared" si="614"/>
        <v>188781.04000000015</v>
      </c>
      <c r="D869" s="414">
        <f t="shared" si="615"/>
        <v>0</v>
      </c>
      <c r="E869" s="49">
        <f t="shared" si="629"/>
        <v>0</v>
      </c>
      <c r="F869" s="35">
        <f t="shared" si="616"/>
        <v>0</v>
      </c>
      <c r="G869" s="414">
        <f t="shared" si="617"/>
        <v>0</v>
      </c>
      <c r="H869" s="49">
        <f t="shared" si="630"/>
        <v>0</v>
      </c>
      <c r="I869" s="35">
        <f t="shared" si="618"/>
        <v>55849.709999999977</v>
      </c>
      <c r="J869" s="414">
        <f t="shared" si="619"/>
        <v>0</v>
      </c>
      <c r="K869" s="329">
        <f t="shared" si="631"/>
        <v>0</v>
      </c>
      <c r="L869" s="35">
        <f t="shared" si="620"/>
        <v>0</v>
      </c>
      <c r="M869" s="414">
        <f t="shared" si="621"/>
        <v>0</v>
      </c>
      <c r="N869" s="329">
        <f t="shared" si="632"/>
        <v>0</v>
      </c>
      <c r="O869" s="35">
        <f t="shared" si="622"/>
        <v>26.980000000010332</v>
      </c>
      <c r="P869" s="414">
        <f t="shared" si="623"/>
        <v>0</v>
      </c>
      <c r="Q869" s="329">
        <f t="shared" si="633"/>
        <v>0</v>
      </c>
      <c r="R869" s="35">
        <f t="shared" si="624"/>
        <v>0</v>
      </c>
      <c r="S869" s="414">
        <f t="shared" si="625"/>
        <v>0</v>
      </c>
      <c r="T869" s="880">
        <f>[5]Sheet1!$B1284</f>
        <v>0</v>
      </c>
      <c r="U869" s="10">
        <f t="shared" si="626"/>
        <v>44714</v>
      </c>
      <c r="V869" s="276">
        <f t="shared" si="627"/>
        <v>0</v>
      </c>
    </row>
    <row r="870" spans="1:22" x14ac:dyDescent="0.25">
      <c r="A870" s="335">
        <f t="shared" si="634"/>
        <v>44715</v>
      </c>
      <c r="B870" s="329">
        <f t="shared" si="628"/>
        <v>0</v>
      </c>
      <c r="C870" s="338">
        <f t="shared" si="614"/>
        <v>188781.04000000015</v>
      </c>
      <c r="D870" s="414">
        <f t="shared" si="615"/>
        <v>0</v>
      </c>
      <c r="E870" s="49">
        <f t="shared" si="629"/>
        <v>0</v>
      </c>
      <c r="F870" s="35">
        <f t="shared" si="616"/>
        <v>0</v>
      </c>
      <c r="G870" s="414">
        <f t="shared" si="617"/>
        <v>0</v>
      </c>
      <c r="H870" s="49">
        <f t="shared" si="630"/>
        <v>0</v>
      </c>
      <c r="I870" s="35">
        <f t="shared" si="618"/>
        <v>55849.709999999977</v>
      </c>
      <c r="J870" s="414">
        <f t="shared" si="619"/>
        <v>0</v>
      </c>
      <c r="K870" s="329">
        <f t="shared" si="631"/>
        <v>0</v>
      </c>
      <c r="L870" s="35">
        <f t="shared" si="620"/>
        <v>0</v>
      </c>
      <c r="M870" s="414">
        <f t="shared" si="621"/>
        <v>0</v>
      </c>
      <c r="N870" s="329">
        <f t="shared" si="632"/>
        <v>0</v>
      </c>
      <c r="O870" s="35">
        <f t="shared" si="622"/>
        <v>26.980000000010332</v>
      </c>
      <c r="P870" s="414">
        <f t="shared" si="623"/>
        <v>0</v>
      </c>
      <c r="Q870" s="329">
        <f t="shared" si="633"/>
        <v>0</v>
      </c>
      <c r="R870" s="35">
        <f t="shared" si="624"/>
        <v>0</v>
      </c>
      <c r="S870" s="414">
        <f t="shared" si="625"/>
        <v>0</v>
      </c>
      <c r="T870" s="880">
        <f>[5]Sheet1!$B1285</f>
        <v>0</v>
      </c>
      <c r="U870" s="10">
        <f t="shared" si="626"/>
        <v>44715</v>
      </c>
      <c r="V870" s="276">
        <f t="shared" si="627"/>
        <v>0</v>
      </c>
    </row>
    <row r="871" spans="1:22" x14ac:dyDescent="0.25">
      <c r="A871" s="335">
        <f t="shared" si="634"/>
        <v>44718</v>
      </c>
      <c r="B871" s="329">
        <f t="shared" si="628"/>
        <v>0</v>
      </c>
      <c r="C871" s="338">
        <f t="shared" si="614"/>
        <v>188781.04000000015</v>
      </c>
      <c r="D871" s="414">
        <f t="shared" si="615"/>
        <v>0</v>
      </c>
      <c r="E871" s="49">
        <f t="shared" si="629"/>
        <v>0</v>
      </c>
      <c r="F871" s="35">
        <f t="shared" si="616"/>
        <v>0</v>
      </c>
      <c r="G871" s="414">
        <f t="shared" si="617"/>
        <v>0</v>
      </c>
      <c r="H871" s="49">
        <f t="shared" si="630"/>
        <v>0</v>
      </c>
      <c r="I871" s="35">
        <f t="shared" si="618"/>
        <v>55849.709999999977</v>
      </c>
      <c r="J871" s="414">
        <f t="shared" si="619"/>
        <v>0</v>
      </c>
      <c r="K871" s="329">
        <f t="shared" si="631"/>
        <v>0</v>
      </c>
      <c r="L871" s="35">
        <f t="shared" si="620"/>
        <v>0</v>
      </c>
      <c r="M871" s="414">
        <f t="shared" si="621"/>
        <v>0</v>
      </c>
      <c r="N871" s="329">
        <f t="shared" si="632"/>
        <v>0</v>
      </c>
      <c r="O871" s="35">
        <f t="shared" si="622"/>
        <v>26.980000000010332</v>
      </c>
      <c r="P871" s="414">
        <f t="shared" si="623"/>
        <v>0</v>
      </c>
      <c r="Q871" s="329">
        <f t="shared" si="633"/>
        <v>0</v>
      </c>
      <c r="R871" s="35">
        <f t="shared" si="624"/>
        <v>0</v>
      </c>
      <c r="S871" s="414">
        <f t="shared" si="625"/>
        <v>0</v>
      </c>
      <c r="T871" s="880">
        <f>[5]Sheet1!$B1286</f>
        <v>0</v>
      </c>
      <c r="U871" s="10">
        <f t="shared" si="626"/>
        <v>44718</v>
      </c>
      <c r="V871" s="276">
        <f t="shared" si="627"/>
        <v>0</v>
      </c>
    </row>
    <row r="872" spans="1:22" x14ac:dyDescent="0.25">
      <c r="A872" s="335">
        <f t="shared" si="634"/>
        <v>44719</v>
      </c>
      <c r="B872" s="329">
        <f t="shared" si="628"/>
        <v>0</v>
      </c>
      <c r="C872" s="338">
        <f t="shared" si="614"/>
        <v>188781.04000000015</v>
      </c>
      <c r="D872" s="414">
        <f t="shared" si="615"/>
        <v>0</v>
      </c>
      <c r="E872" s="49">
        <f t="shared" si="629"/>
        <v>0</v>
      </c>
      <c r="F872" s="35">
        <f t="shared" si="616"/>
        <v>0</v>
      </c>
      <c r="G872" s="414">
        <f t="shared" si="617"/>
        <v>0</v>
      </c>
      <c r="H872" s="49">
        <f t="shared" si="630"/>
        <v>0</v>
      </c>
      <c r="I872" s="35">
        <f t="shared" si="618"/>
        <v>55849.709999999977</v>
      </c>
      <c r="J872" s="414">
        <f t="shared" si="619"/>
        <v>0</v>
      </c>
      <c r="K872" s="329">
        <f t="shared" si="631"/>
        <v>0</v>
      </c>
      <c r="L872" s="35">
        <f t="shared" si="620"/>
        <v>0</v>
      </c>
      <c r="M872" s="414">
        <f t="shared" si="621"/>
        <v>0</v>
      </c>
      <c r="N872" s="329">
        <f t="shared" si="632"/>
        <v>0</v>
      </c>
      <c r="O872" s="35">
        <f t="shared" si="622"/>
        <v>26.980000000010332</v>
      </c>
      <c r="P872" s="414">
        <f t="shared" si="623"/>
        <v>0</v>
      </c>
      <c r="Q872" s="329">
        <f t="shared" si="633"/>
        <v>0</v>
      </c>
      <c r="R872" s="35">
        <f t="shared" si="624"/>
        <v>0</v>
      </c>
      <c r="S872" s="414">
        <f t="shared" si="625"/>
        <v>0</v>
      </c>
      <c r="T872" s="880">
        <f>[5]Sheet1!$B1287</f>
        <v>0</v>
      </c>
      <c r="U872" s="10">
        <f t="shared" si="626"/>
        <v>44719</v>
      </c>
      <c r="V872" s="276">
        <f t="shared" si="627"/>
        <v>0</v>
      </c>
    </row>
    <row r="873" spans="1:22" x14ac:dyDescent="0.25">
      <c r="A873" s="335">
        <f t="shared" si="634"/>
        <v>44720</v>
      </c>
      <c r="B873" s="329">
        <f t="shared" si="628"/>
        <v>0</v>
      </c>
      <c r="C873" s="338">
        <f t="shared" si="614"/>
        <v>188781.04000000015</v>
      </c>
      <c r="D873" s="414">
        <f t="shared" si="615"/>
        <v>0</v>
      </c>
      <c r="E873" s="49">
        <f t="shared" si="629"/>
        <v>0</v>
      </c>
      <c r="F873" s="35">
        <f t="shared" si="616"/>
        <v>0</v>
      </c>
      <c r="G873" s="414">
        <f t="shared" si="617"/>
        <v>0</v>
      </c>
      <c r="H873" s="49">
        <f t="shared" si="630"/>
        <v>0</v>
      </c>
      <c r="I873" s="35">
        <f t="shared" si="618"/>
        <v>55849.709999999977</v>
      </c>
      <c r="J873" s="414">
        <f t="shared" si="619"/>
        <v>0</v>
      </c>
      <c r="K873" s="329">
        <f t="shared" si="631"/>
        <v>0</v>
      </c>
      <c r="L873" s="35">
        <f t="shared" si="620"/>
        <v>0</v>
      </c>
      <c r="M873" s="414">
        <f t="shared" si="621"/>
        <v>0</v>
      </c>
      <c r="N873" s="329">
        <f t="shared" si="632"/>
        <v>0</v>
      </c>
      <c r="O873" s="35">
        <f t="shared" si="622"/>
        <v>26.980000000010332</v>
      </c>
      <c r="P873" s="414">
        <f t="shared" si="623"/>
        <v>0</v>
      </c>
      <c r="Q873" s="329">
        <f t="shared" si="633"/>
        <v>0</v>
      </c>
      <c r="R873" s="35">
        <f t="shared" si="624"/>
        <v>0</v>
      </c>
      <c r="S873" s="414">
        <f t="shared" si="625"/>
        <v>0</v>
      </c>
      <c r="T873" s="880">
        <f>[5]Sheet1!$B1288</f>
        <v>0</v>
      </c>
      <c r="U873" s="10">
        <f t="shared" si="626"/>
        <v>44720</v>
      </c>
      <c r="V873" s="276">
        <f t="shared" si="627"/>
        <v>0</v>
      </c>
    </row>
    <row r="874" spans="1:22" x14ac:dyDescent="0.25">
      <c r="A874" s="335">
        <f t="shared" si="634"/>
        <v>44721</v>
      </c>
      <c r="B874" s="329">
        <f t="shared" si="628"/>
        <v>0</v>
      </c>
      <c r="C874" s="338">
        <f t="shared" si="614"/>
        <v>188781.04000000015</v>
      </c>
      <c r="D874" s="414">
        <f t="shared" si="615"/>
        <v>0</v>
      </c>
      <c r="E874" s="49">
        <f t="shared" si="629"/>
        <v>0</v>
      </c>
      <c r="F874" s="35">
        <f t="shared" si="616"/>
        <v>0</v>
      </c>
      <c r="G874" s="414">
        <f t="shared" si="617"/>
        <v>0</v>
      </c>
      <c r="H874" s="49">
        <f t="shared" si="630"/>
        <v>0</v>
      </c>
      <c r="I874" s="35">
        <f t="shared" si="618"/>
        <v>55849.709999999977</v>
      </c>
      <c r="J874" s="414">
        <f t="shared" si="619"/>
        <v>0</v>
      </c>
      <c r="K874" s="329">
        <f t="shared" si="631"/>
        <v>0</v>
      </c>
      <c r="L874" s="35">
        <f t="shared" si="620"/>
        <v>0</v>
      </c>
      <c r="M874" s="414">
        <f t="shared" si="621"/>
        <v>0</v>
      </c>
      <c r="N874" s="329">
        <f t="shared" si="632"/>
        <v>0</v>
      </c>
      <c r="O874" s="35">
        <f t="shared" si="622"/>
        <v>26.980000000010332</v>
      </c>
      <c r="P874" s="414">
        <f t="shared" si="623"/>
        <v>0</v>
      </c>
      <c r="Q874" s="329">
        <f t="shared" si="633"/>
        <v>0</v>
      </c>
      <c r="R874" s="35">
        <f t="shared" si="624"/>
        <v>0</v>
      </c>
      <c r="S874" s="414">
        <f t="shared" si="625"/>
        <v>0</v>
      </c>
      <c r="T874" s="880">
        <f>[5]Sheet1!$B1289</f>
        <v>0</v>
      </c>
      <c r="U874" s="10">
        <f t="shared" si="626"/>
        <v>44721</v>
      </c>
      <c r="V874" s="276">
        <f t="shared" si="627"/>
        <v>0</v>
      </c>
    </row>
    <row r="875" spans="1:22" x14ac:dyDescent="0.25">
      <c r="A875" s="335">
        <f t="shared" si="634"/>
        <v>44722</v>
      </c>
      <c r="B875" s="329">
        <f t="shared" si="628"/>
        <v>0</v>
      </c>
      <c r="C875" s="338">
        <f t="shared" si="614"/>
        <v>188781.04000000015</v>
      </c>
      <c r="D875" s="414">
        <f t="shared" si="615"/>
        <v>0</v>
      </c>
      <c r="E875" s="49">
        <f t="shared" si="629"/>
        <v>0</v>
      </c>
      <c r="F875" s="35">
        <f t="shared" si="616"/>
        <v>0</v>
      </c>
      <c r="G875" s="414">
        <f t="shared" si="617"/>
        <v>0</v>
      </c>
      <c r="H875" s="49">
        <f t="shared" si="630"/>
        <v>0</v>
      </c>
      <c r="I875" s="35">
        <f t="shared" si="618"/>
        <v>55849.709999999977</v>
      </c>
      <c r="J875" s="414">
        <f t="shared" si="619"/>
        <v>0</v>
      </c>
      <c r="K875" s="329">
        <f t="shared" si="631"/>
        <v>0</v>
      </c>
      <c r="L875" s="35">
        <f t="shared" si="620"/>
        <v>0</v>
      </c>
      <c r="M875" s="414">
        <f t="shared" si="621"/>
        <v>0</v>
      </c>
      <c r="N875" s="329">
        <f t="shared" si="632"/>
        <v>0</v>
      </c>
      <c r="O875" s="35">
        <f t="shared" si="622"/>
        <v>26.980000000010332</v>
      </c>
      <c r="P875" s="414">
        <f t="shared" si="623"/>
        <v>0</v>
      </c>
      <c r="Q875" s="329">
        <f t="shared" si="633"/>
        <v>0</v>
      </c>
      <c r="R875" s="35">
        <f t="shared" si="624"/>
        <v>0</v>
      </c>
      <c r="S875" s="414">
        <f t="shared" si="625"/>
        <v>0</v>
      </c>
      <c r="T875" s="880">
        <f>[5]Sheet1!$B1290</f>
        <v>0</v>
      </c>
      <c r="U875" s="10">
        <f t="shared" si="626"/>
        <v>44722</v>
      </c>
      <c r="V875" s="276">
        <f t="shared" si="627"/>
        <v>0</v>
      </c>
    </row>
    <row r="876" spans="1:22" x14ac:dyDescent="0.25">
      <c r="A876" s="335">
        <f t="shared" si="634"/>
        <v>44725</v>
      </c>
      <c r="B876" s="329">
        <f t="shared" si="628"/>
        <v>0</v>
      </c>
      <c r="C876" s="338">
        <f t="shared" si="614"/>
        <v>188781.04000000015</v>
      </c>
      <c r="D876" s="414">
        <f t="shared" si="615"/>
        <v>0</v>
      </c>
      <c r="E876" s="49">
        <f t="shared" si="629"/>
        <v>0</v>
      </c>
      <c r="F876" s="35">
        <f t="shared" si="616"/>
        <v>0</v>
      </c>
      <c r="G876" s="414">
        <f t="shared" si="617"/>
        <v>0</v>
      </c>
      <c r="H876" s="49">
        <f t="shared" si="630"/>
        <v>0</v>
      </c>
      <c r="I876" s="35">
        <f t="shared" si="618"/>
        <v>55849.709999999977</v>
      </c>
      <c r="J876" s="414">
        <f t="shared" si="619"/>
        <v>0</v>
      </c>
      <c r="K876" s="329">
        <f t="shared" si="631"/>
        <v>0</v>
      </c>
      <c r="L876" s="35">
        <f t="shared" si="620"/>
        <v>0</v>
      </c>
      <c r="M876" s="414">
        <f t="shared" si="621"/>
        <v>0</v>
      </c>
      <c r="N876" s="329">
        <f t="shared" si="632"/>
        <v>0</v>
      </c>
      <c r="O876" s="35">
        <f t="shared" si="622"/>
        <v>26.980000000010332</v>
      </c>
      <c r="P876" s="414">
        <f t="shared" si="623"/>
        <v>0</v>
      </c>
      <c r="Q876" s="329">
        <f t="shared" si="633"/>
        <v>0</v>
      </c>
      <c r="R876" s="35">
        <f t="shared" si="624"/>
        <v>0</v>
      </c>
      <c r="S876" s="414">
        <f t="shared" si="625"/>
        <v>0</v>
      </c>
      <c r="T876" s="880">
        <f>[5]Sheet1!$B1291</f>
        <v>0</v>
      </c>
      <c r="U876" s="10">
        <f t="shared" si="626"/>
        <v>44725</v>
      </c>
      <c r="V876" s="276">
        <f t="shared" si="627"/>
        <v>0</v>
      </c>
    </row>
    <row r="877" spans="1:22" x14ac:dyDescent="0.25">
      <c r="A877" s="335">
        <f t="shared" si="634"/>
        <v>44726</v>
      </c>
      <c r="B877" s="329">
        <f t="shared" si="628"/>
        <v>0</v>
      </c>
      <c r="C877" s="338">
        <f t="shared" si="614"/>
        <v>188781.04000000015</v>
      </c>
      <c r="D877" s="414">
        <f t="shared" si="615"/>
        <v>0</v>
      </c>
      <c r="E877" s="49">
        <f t="shared" si="629"/>
        <v>0</v>
      </c>
      <c r="F877" s="35">
        <f t="shared" si="616"/>
        <v>0</v>
      </c>
      <c r="G877" s="414">
        <f t="shared" si="617"/>
        <v>0</v>
      </c>
      <c r="H877" s="49">
        <f t="shared" si="630"/>
        <v>0</v>
      </c>
      <c r="I877" s="35">
        <f t="shared" si="618"/>
        <v>55849.709999999977</v>
      </c>
      <c r="J877" s="414">
        <f t="shared" si="619"/>
        <v>0</v>
      </c>
      <c r="K877" s="329">
        <f t="shared" si="631"/>
        <v>0</v>
      </c>
      <c r="L877" s="35">
        <f t="shared" si="620"/>
        <v>0</v>
      </c>
      <c r="M877" s="414">
        <f t="shared" si="621"/>
        <v>0</v>
      </c>
      <c r="N877" s="329">
        <f t="shared" si="632"/>
        <v>0</v>
      </c>
      <c r="O877" s="35">
        <f t="shared" si="622"/>
        <v>26.980000000010332</v>
      </c>
      <c r="P877" s="414">
        <f t="shared" si="623"/>
        <v>0</v>
      </c>
      <c r="Q877" s="329">
        <f t="shared" si="633"/>
        <v>0</v>
      </c>
      <c r="R877" s="35">
        <f t="shared" si="624"/>
        <v>0</v>
      </c>
      <c r="S877" s="414">
        <f t="shared" si="625"/>
        <v>0</v>
      </c>
      <c r="T877" s="880">
        <f>[5]Sheet1!$B1292</f>
        <v>0</v>
      </c>
      <c r="U877" s="10">
        <f t="shared" si="626"/>
        <v>44726</v>
      </c>
      <c r="V877" s="276">
        <f t="shared" si="627"/>
        <v>0</v>
      </c>
    </row>
    <row r="878" spans="1:22" x14ac:dyDescent="0.25">
      <c r="A878" s="335">
        <f t="shared" si="634"/>
        <v>44727</v>
      </c>
      <c r="B878" s="329">
        <f t="shared" si="628"/>
        <v>0</v>
      </c>
      <c r="C878" s="338">
        <f t="shared" si="614"/>
        <v>188781.04000000015</v>
      </c>
      <c r="D878" s="414">
        <f t="shared" si="615"/>
        <v>0</v>
      </c>
      <c r="E878" s="49">
        <f t="shared" si="629"/>
        <v>0</v>
      </c>
      <c r="F878" s="35">
        <f t="shared" si="616"/>
        <v>0</v>
      </c>
      <c r="G878" s="414">
        <f t="shared" si="617"/>
        <v>0</v>
      </c>
      <c r="H878" s="49">
        <f t="shared" si="630"/>
        <v>0</v>
      </c>
      <c r="I878" s="35">
        <f t="shared" si="618"/>
        <v>55849.709999999977</v>
      </c>
      <c r="J878" s="414">
        <f t="shared" si="619"/>
        <v>0</v>
      </c>
      <c r="K878" s="329">
        <f t="shared" si="631"/>
        <v>0</v>
      </c>
      <c r="L878" s="35">
        <f t="shared" si="620"/>
        <v>0</v>
      </c>
      <c r="M878" s="414">
        <f t="shared" si="621"/>
        <v>0</v>
      </c>
      <c r="N878" s="329">
        <f t="shared" si="632"/>
        <v>0</v>
      </c>
      <c r="O878" s="35">
        <f t="shared" si="622"/>
        <v>26.980000000010332</v>
      </c>
      <c r="P878" s="414">
        <f t="shared" si="623"/>
        <v>0</v>
      </c>
      <c r="Q878" s="329">
        <f t="shared" si="633"/>
        <v>0</v>
      </c>
      <c r="R878" s="35">
        <f t="shared" si="624"/>
        <v>0</v>
      </c>
      <c r="S878" s="414">
        <f t="shared" si="625"/>
        <v>0</v>
      </c>
      <c r="T878" s="880">
        <f>[5]Sheet1!$B1293</f>
        <v>0</v>
      </c>
      <c r="U878" s="10">
        <f t="shared" si="626"/>
        <v>44727</v>
      </c>
      <c r="V878" s="276">
        <f t="shared" si="627"/>
        <v>0</v>
      </c>
    </row>
    <row r="879" spans="1:22" x14ac:dyDescent="0.25">
      <c r="A879" s="335">
        <f t="shared" si="634"/>
        <v>44728</v>
      </c>
      <c r="B879" s="329">
        <f t="shared" si="628"/>
        <v>0</v>
      </c>
      <c r="C879" s="338">
        <f t="shared" si="614"/>
        <v>188781.04000000015</v>
      </c>
      <c r="D879" s="414">
        <f t="shared" si="615"/>
        <v>0</v>
      </c>
      <c r="E879" s="49">
        <f t="shared" si="629"/>
        <v>0</v>
      </c>
      <c r="F879" s="35">
        <f t="shared" si="616"/>
        <v>0</v>
      </c>
      <c r="G879" s="414">
        <f t="shared" si="617"/>
        <v>0</v>
      </c>
      <c r="H879" s="49">
        <f t="shared" si="630"/>
        <v>0</v>
      </c>
      <c r="I879" s="35">
        <f t="shared" si="618"/>
        <v>55849.709999999977</v>
      </c>
      <c r="J879" s="414">
        <f t="shared" si="619"/>
        <v>0</v>
      </c>
      <c r="K879" s="329">
        <f t="shared" si="631"/>
        <v>0</v>
      </c>
      <c r="L879" s="35">
        <f t="shared" si="620"/>
        <v>0</v>
      </c>
      <c r="M879" s="414">
        <f t="shared" si="621"/>
        <v>0</v>
      </c>
      <c r="N879" s="329">
        <f t="shared" si="632"/>
        <v>0</v>
      </c>
      <c r="O879" s="35">
        <f t="shared" si="622"/>
        <v>26.980000000010332</v>
      </c>
      <c r="P879" s="414">
        <f t="shared" si="623"/>
        <v>0</v>
      </c>
      <c r="Q879" s="329">
        <f t="shared" si="633"/>
        <v>0</v>
      </c>
      <c r="R879" s="35">
        <f t="shared" si="624"/>
        <v>0</v>
      </c>
      <c r="S879" s="414">
        <f t="shared" si="625"/>
        <v>0</v>
      </c>
      <c r="T879" s="880">
        <f>[5]Sheet1!$B1294</f>
        <v>0</v>
      </c>
      <c r="U879" s="10">
        <f t="shared" si="626"/>
        <v>44728</v>
      </c>
      <c r="V879" s="276">
        <f t="shared" si="627"/>
        <v>0</v>
      </c>
    </row>
    <row r="880" spans="1:22" x14ac:dyDescent="0.25">
      <c r="A880" s="335">
        <f t="shared" si="634"/>
        <v>44729</v>
      </c>
      <c r="B880" s="329">
        <f t="shared" si="628"/>
        <v>0</v>
      </c>
      <c r="C880" s="338">
        <f t="shared" si="614"/>
        <v>188781.04000000015</v>
      </c>
      <c r="D880" s="414">
        <f t="shared" si="615"/>
        <v>0</v>
      </c>
      <c r="E880" s="49">
        <f t="shared" si="629"/>
        <v>0</v>
      </c>
      <c r="F880" s="35">
        <f t="shared" si="616"/>
        <v>0</v>
      </c>
      <c r="G880" s="414">
        <f t="shared" si="617"/>
        <v>0</v>
      </c>
      <c r="H880" s="49">
        <f t="shared" si="630"/>
        <v>0</v>
      </c>
      <c r="I880" s="35">
        <f t="shared" si="618"/>
        <v>55849.709999999977</v>
      </c>
      <c r="J880" s="414">
        <f t="shared" si="619"/>
        <v>0</v>
      </c>
      <c r="K880" s="329">
        <f t="shared" si="631"/>
        <v>0</v>
      </c>
      <c r="L880" s="35">
        <f t="shared" si="620"/>
        <v>0</v>
      </c>
      <c r="M880" s="414">
        <f t="shared" si="621"/>
        <v>0</v>
      </c>
      <c r="N880" s="329">
        <f t="shared" si="632"/>
        <v>0</v>
      </c>
      <c r="O880" s="35">
        <f t="shared" si="622"/>
        <v>26.980000000010332</v>
      </c>
      <c r="P880" s="414">
        <f t="shared" si="623"/>
        <v>0</v>
      </c>
      <c r="Q880" s="329">
        <f t="shared" si="633"/>
        <v>0</v>
      </c>
      <c r="R880" s="35">
        <f t="shared" si="624"/>
        <v>0</v>
      </c>
      <c r="S880" s="414">
        <f t="shared" si="625"/>
        <v>0</v>
      </c>
      <c r="T880" s="880">
        <f>[5]Sheet1!$B1295</f>
        <v>0</v>
      </c>
      <c r="U880" s="10">
        <f t="shared" si="626"/>
        <v>44729</v>
      </c>
      <c r="V880" s="276">
        <f t="shared" si="627"/>
        <v>0</v>
      </c>
    </row>
    <row r="881" spans="1:22" x14ac:dyDescent="0.25">
      <c r="A881" s="335">
        <f t="shared" si="634"/>
        <v>44732</v>
      </c>
      <c r="B881" s="329">
        <f t="shared" si="628"/>
        <v>0</v>
      </c>
      <c r="C881" s="338">
        <f t="shared" si="614"/>
        <v>188781.04000000015</v>
      </c>
      <c r="D881" s="414">
        <f t="shared" si="615"/>
        <v>0</v>
      </c>
      <c r="E881" s="49">
        <f t="shared" si="629"/>
        <v>0</v>
      </c>
      <c r="F881" s="35">
        <f t="shared" si="616"/>
        <v>0</v>
      </c>
      <c r="G881" s="414">
        <f t="shared" si="617"/>
        <v>0</v>
      </c>
      <c r="H881" s="49">
        <f t="shared" si="630"/>
        <v>0</v>
      </c>
      <c r="I881" s="35">
        <f t="shared" si="618"/>
        <v>55849.709999999977</v>
      </c>
      <c r="J881" s="414">
        <f t="shared" si="619"/>
        <v>0</v>
      </c>
      <c r="K881" s="329">
        <f t="shared" si="631"/>
        <v>0</v>
      </c>
      <c r="L881" s="35">
        <f t="shared" si="620"/>
        <v>0</v>
      </c>
      <c r="M881" s="414">
        <f t="shared" si="621"/>
        <v>0</v>
      </c>
      <c r="N881" s="329">
        <f t="shared" si="632"/>
        <v>0</v>
      </c>
      <c r="O881" s="35">
        <f t="shared" si="622"/>
        <v>26.980000000010332</v>
      </c>
      <c r="P881" s="414">
        <f t="shared" si="623"/>
        <v>0</v>
      </c>
      <c r="Q881" s="329">
        <f t="shared" si="633"/>
        <v>0</v>
      </c>
      <c r="R881" s="35">
        <f t="shared" si="624"/>
        <v>0</v>
      </c>
      <c r="S881" s="414">
        <f t="shared" si="625"/>
        <v>0</v>
      </c>
      <c r="T881" s="880">
        <f>[5]Sheet1!$B1296</f>
        <v>0</v>
      </c>
      <c r="U881" s="10">
        <f t="shared" si="626"/>
        <v>44732</v>
      </c>
      <c r="V881" s="276">
        <f t="shared" si="627"/>
        <v>0</v>
      </c>
    </row>
    <row r="882" spans="1:22" x14ac:dyDescent="0.25">
      <c r="A882" s="335">
        <f t="shared" si="634"/>
        <v>44733</v>
      </c>
      <c r="B882" s="329">
        <f t="shared" si="628"/>
        <v>0</v>
      </c>
      <c r="C882" s="338">
        <f t="shared" si="614"/>
        <v>188781.04000000015</v>
      </c>
      <c r="D882" s="414">
        <f t="shared" si="615"/>
        <v>0</v>
      </c>
      <c r="E882" s="49">
        <f t="shared" si="629"/>
        <v>0</v>
      </c>
      <c r="F882" s="35">
        <f t="shared" si="616"/>
        <v>0</v>
      </c>
      <c r="G882" s="414">
        <f t="shared" si="617"/>
        <v>0</v>
      </c>
      <c r="H882" s="49">
        <f t="shared" si="630"/>
        <v>0</v>
      </c>
      <c r="I882" s="35">
        <f t="shared" si="618"/>
        <v>55849.709999999977</v>
      </c>
      <c r="J882" s="414">
        <f t="shared" si="619"/>
        <v>0</v>
      </c>
      <c r="K882" s="329">
        <f t="shared" si="631"/>
        <v>0</v>
      </c>
      <c r="L882" s="35">
        <f t="shared" si="620"/>
        <v>0</v>
      </c>
      <c r="M882" s="414">
        <f t="shared" si="621"/>
        <v>0</v>
      </c>
      <c r="N882" s="329">
        <f t="shared" si="632"/>
        <v>0</v>
      </c>
      <c r="O882" s="35">
        <f t="shared" si="622"/>
        <v>26.980000000010332</v>
      </c>
      <c r="P882" s="414">
        <f t="shared" si="623"/>
        <v>0</v>
      </c>
      <c r="Q882" s="329">
        <f t="shared" si="633"/>
        <v>0</v>
      </c>
      <c r="R882" s="35">
        <f t="shared" si="624"/>
        <v>0</v>
      </c>
      <c r="S882" s="414">
        <f t="shared" si="625"/>
        <v>0</v>
      </c>
      <c r="T882" s="880">
        <f>[5]Sheet1!$B1297</f>
        <v>0</v>
      </c>
      <c r="U882" s="10">
        <f t="shared" si="626"/>
        <v>44733</v>
      </c>
      <c r="V882" s="276">
        <f t="shared" si="627"/>
        <v>0</v>
      </c>
    </row>
    <row r="883" spans="1:22" x14ac:dyDescent="0.25">
      <c r="A883" s="335">
        <f t="shared" si="634"/>
        <v>44734</v>
      </c>
      <c r="B883" s="329">
        <f t="shared" si="628"/>
        <v>0</v>
      </c>
      <c r="C883" s="338">
        <f t="shared" si="614"/>
        <v>188781.04000000015</v>
      </c>
      <c r="D883" s="414">
        <f t="shared" si="615"/>
        <v>0</v>
      </c>
      <c r="E883" s="49">
        <f t="shared" si="629"/>
        <v>0</v>
      </c>
      <c r="F883" s="35">
        <f t="shared" si="616"/>
        <v>0</v>
      </c>
      <c r="G883" s="414">
        <f t="shared" si="617"/>
        <v>0</v>
      </c>
      <c r="H883" s="49">
        <f t="shared" si="630"/>
        <v>0</v>
      </c>
      <c r="I883" s="35">
        <f t="shared" si="618"/>
        <v>55849.709999999977</v>
      </c>
      <c r="J883" s="414">
        <f t="shared" si="619"/>
        <v>0</v>
      </c>
      <c r="K883" s="329">
        <f t="shared" si="631"/>
        <v>0</v>
      </c>
      <c r="L883" s="35">
        <f t="shared" si="620"/>
        <v>0</v>
      </c>
      <c r="M883" s="414">
        <f t="shared" si="621"/>
        <v>0</v>
      </c>
      <c r="N883" s="329">
        <f t="shared" si="632"/>
        <v>0</v>
      </c>
      <c r="O883" s="35">
        <f t="shared" si="622"/>
        <v>26.980000000010332</v>
      </c>
      <c r="P883" s="414">
        <f t="shared" si="623"/>
        <v>0</v>
      </c>
      <c r="Q883" s="329">
        <f t="shared" si="633"/>
        <v>0</v>
      </c>
      <c r="R883" s="35">
        <f t="shared" si="624"/>
        <v>0</v>
      </c>
      <c r="S883" s="414">
        <f t="shared" si="625"/>
        <v>0</v>
      </c>
      <c r="T883" s="880">
        <f>[5]Sheet1!$B1298</f>
        <v>0</v>
      </c>
      <c r="U883" s="10">
        <f t="shared" si="626"/>
        <v>44734</v>
      </c>
      <c r="V883" s="276">
        <f t="shared" si="627"/>
        <v>0</v>
      </c>
    </row>
    <row r="884" spans="1:22" x14ac:dyDescent="0.25">
      <c r="A884" s="335">
        <f t="shared" si="634"/>
        <v>44735</v>
      </c>
      <c r="B884" s="329">
        <f t="shared" si="628"/>
        <v>0</v>
      </c>
      <c r="C884" s="338">
        <f t="shared" si="614"/>
        <v>188781.04000000015</v>
      </c>
      <c r="D884" s="414">
        <f t="shared" si="615"/>
        <v>0</v>
      </c>
      <c r="E884" s="49">
        <f t="shared" si="629"/>
        <v>0</v>
      </c>
      <c r="F884" s="35">
        <f t="shared" si="616"/>
        <v>0</v>
      </c>
      <c r="G884" s="414">
        <f t="shared" si="617"/>
        <v>0</v>
      </c>
      <c r="H884" s="49">
        <f t="shared" si="630"/>
        <v>0</v>
      </c>
      <c r="I884" s="35">
        <f t="shared" si="618"/>
        <v>55849.709999999977</v>
      </c>
      <c r="J884" s="414">
        <f t="shared" si="619"/>
        <v>0</v>
      </c>
      <c r="K884" s="329">
        <f t="shared" si="631"/>
        <v>0</v>
      </c>
      <c r="L884" s="35">
        <f t="shared" si="620"/>
        <v>0</v>
      </c>
      <c r="M884" s="414">
        <f t="shared" si="621"/>
        <v>0</v>
      </c>
      <c r="N884" s="329">
        <f t="shared" si="632"/>
        <v>0</v>
      </c>
      <c r="O884" s="35">
        <f t="shared" si="622"/>
        <v>26.980000000010332</v>
      </c>
      <c r="P884" s="414">
        <f t="shared" si="623"/>
        <v>0</v>
      </c>
      <c r="Q884" s="329">
        <f t="shared" si="633"/>
        <v>0</v>
      </c>
      <c r="R884" s="35">
        <f t="shared" si="624"/>
        <v>0</v>
      </c>
      <c r="S884" s="414">
        <f t="shared" si="625"/>
        <v>0</v>
      </c>
      <c r="T884" s="880">
        <f>[5]Sheet1!$B1299</f>
        <v>0</v>
      </c>
      <c r="U884" s="10">
        <f t="shared" si="626"/>
        <v>44735</v>
      </c>
      <c r="V884" s="276">
        <f t="shared" si="627"/>
        <v>0</v>
      </c>
    </row>
    <row r="885" spans="1:22" x14ac:dyDescent="0.25">
      <c r="A885" s="335">
        <f t="shared" si="634"/>
        <v>44736</v>
      </c>
      <c r="B885" s="329">
        <f t="shared" si="628"/>
        <v>0</v>
      </c>
      <c r="C885" s="338">
        <f t="shared" si="614"/>
        <v>188781.04000000015</v>
      </c>
      <c r="D885" s="414">
        <f t="shared" si="615"/>
        <v>0</v>
      </c>
      <c r="E885" s="49">
        <f t="shared" si="629"/>
        <v>0</v>
      </c>
      <c r="F885" s="35">
        <f t="shared" si="616"/>
        <v>0</v>
      </c>
      <c r="G885" s="414">
        <f t="shared" si="617"/>
        <v>0</v>
      </c>
      <c r="H885" s="49">
        <f t="shared" si="630"/>
        <v>0</v>
      </c>
      <c r="I885" s="35">
        <f t="shared" si="618"/>
        <v>55849.709999999977</v>
      </c>
      <c r="J885" s="414">
        <f t="shared" si="619"/>
        <v>0</v>
      </c>
      <c r="K885" s="329">
        <f t="shared" si="631"/>
        <v>0</v>
      </c>
      <c r="L885" s="35">
        <f t="shared" si="620"/>
        <v>0</v>
      </c>
      <c r="M885" s="414">
        <f t="shared" si="621"/>
        <v>0</v>
      </c>
      <c r="N885" s="329">
        <f t="shared" si="632"/>
        <v>0</v>
      </c>
      <c r="O885" s="35">
        <f t="shared" si="622"/>
        <v>26.980000000010332</v>
      </c>
      <c r="P885" s="414">
        <f t="shared" si="623"/>
        <v>0</v>
      </c>
      <c r="Q885" s="329">
        <f t="shared" si="633"/>
        <v>0</v>
      </c>
      <c r="R885" s="35">
        <f t="shared" si="624"/>
        <v>0</v>
      </c>
      <c r="S885" s="414">
        <f t="shared" si="625"/>
        <v>0</v>
      </c>
      <c r="T885" s="880">
        <f>[5]Sheet1!$B1300</f>
        <v>0</v>
      </c>
      <c r="U885" s="10">
        <f t="shared" si="626"/>
        <v>44736</v>
      </c>
      <c r="V885" s="276">
        <f t="shared" si="627"/>
        <v>0</v>
      </c>
    </row>
    <row r="886" spans="1:22" x14ac:dyDescent="0.25">
      <c r="A886" s="335">
        <f t="shared" si="634"/>
        <v>44739</v>
      </c>
      <c r="B886" s="329">
        <f t="shared" si="628"/>
        <v>0</v>
      </c>
      <c r="C886" s="338">
        <f t="shared" si="614"/>
        <v>188781.04000000015</v>
      </c>
      <c r="D886" s="414">
        <f t="shared" si="615"/>
        <v>0</v>
      </c>
      <c r="E886" s="49">
        <f t="shared" si="629"/>
        <v>0</v>
      </c>
      <c r="F886" s="35">
        <f t="shared" si="616"/>
        <v>0</v>
      </c>
      <c r="G886" s="414">
        <f t="shared" si="617"/>
        <v>0</v>
      </c>
      <c r="H886" s="49">
        <f t="shared" si="630"/>
        <v>0</v>
      </c>
      <c r="I886" s="35">
        <f t="shared" si="618"/>
        <v>55849.709999999977</v>
      </c>
      <c r="J886" s="414">
        <f t="shared" si="619"/>
        <v>0</v>
      </c>
      <c r="K886" s="329">
        <f t="shared" si="631"/>
        <v>0</v>
      </c>
      <c r="L886" s="35">
        <f t="shared" si="620"/>
        <v>0</v>
      </c>
      <c r="M886" s="414">
        <f t="shared" si="621"/>
        <v>0</v>
      </c>
      <c r="N886" s="329">
        <f t="shared" si="632"/>
        <v>0</v>
      </c>
      <c r="O886" s="35">
        <f t="shared" si="622"/>
        <v>26.980000000010332</v>
      </c>
      <c r="P886" s="414">
        <f t="shared" si="623"/>
        <v>0</v>
      </c>
      <c r="Q886" s="329">
        <f t="shared" si="633"/>
        <v>0</v>
      </c>
      <c r="R886" s="35">
        <f t="shared" si="624"/>
        <v>0</v>
      </c>
      <c r="S886" s="414">
        <f t="shared" si="625"/>
        <v>0</v>
      </c>
      <c r="T886" s="880">
        <f>[5]Sheet1!$B1301</f>
        <v>0</v>
      </c>
      <c r="U886" s="10">
        <f t="shared" si="626"/>
        <v>44739</v>
      </c>
      <c r="V886" s="276">
        <f t="shared" si="627"/>
        <v>0</v>
      </c>
    </row>
    <row r="887" spans="1:22" x14ac:dyDescent="0.25">
      <c r="A887" s="335">
        <f t="shared" si="634"/>
        <v>44740</v>
      </c>
      <c r="B887" s="329">
        <f t="shared" si="628"/>
        <v>0</v>
      </c>
      <c r="C887" s="338">
        <f t="shared" si="614"/>
        <v>188781.04000000015</v>
      </c>
      <c r="D887" s="414">
        <f t="shared" si="615"/>
        <v>0</v>
      </c>
      <c r="E887" s="49">
        <f t="shared" si="629"/>
        <v>0</v>
      </c>
      <c r="F887" s="35">
        <f t="shared" si="616"/>
        <v>0</v>
      </c>
      <c r="G887" s="414">
        <f t="shared" si="617"/>
        <v>0</v>
      </c>
      <c r="H887" s="49">
        <f t="shared" si="630"/>
        <v>0</v>
      </c>
      <c r="I887" s="35">
        <f t="shared" si="618"/>
        <v>55849.709999999977</v>
      </c>
      <c r="J887" s="414">
        <f t="shared" si="619"/>
        <v>0</v>
      </c>
      <c r="K887" s="329">
        <f t="shared" si="631"/>
        <v>0</v>
      </c>
      <c r="L887" s="35">
        <f t="shared" si="620"/>
        <v>0</v>
      </c>
      <c r="M887" s="414">
        <f t="shared" si="621"/>
        <v>0</v>
      </c>
      <c r="N887" s="329">
        <f t="shared" si="632"/>
        <v>0</v>
      </c>
      <c r="O887" s="35">
        <f t="shared" si="622"/>
        <v>26.980000000010332</v>
      </c>
      <c r="P887" s="414">
        <f t="shared" si="623"/>
        <v>0</v>
      </c>
      <c r="Q887" s="329">
        <f t="shared" si="633"/>
        <v>0</v>
      </c>
      <c r="R887" s="35">
        <f t="shared" si="624"/>
        <v>0</v>
      </c>
      <c r="S887" s="414">
        <f t="shared" si="625"/>
        <v>0</v>
      </c>
      <c r="T887" s="880">
        <f>[5]Sheet1!$B1302</f>
        <v>0</v>
      </c>
      <c r="U887" s="10">
        <f t="shared" si="626"/>
        <v>44740</v>
      </c>
      <c r="V887" s="276">
        <f t="shared" si="627"/>
        <v>0</v>
      </c>
    </row>
    <row r="888" spans="1:22" x14ac:dyDescent="0.25">
      <c r="A888" s="335">
        <f t="shared" si="634"/>
        <v>44741</v>
      </c>
      <c r="B888" s="329">
        <f t="shared" si="628"/>
        <v>0</v>
      </c>
      <c r="C888" s="338">
        <f t="shared" si="614"/>
        <v>188781.04000000015</v>
      </c>
      <c r="D888" s="414">
        <f t="shared" si="615"/>
        <v>0</v>
      </c>
      <c r="E888" s="49">
        <f t="shared" si="629"/>
        <v>0</v>
      </c>
      <c r="F888" s="35">
        <f t="shared" si="616"/>
        <v>0</v>
      </c>
      <c r="G888" s="414">
        <f t="shared" si="617"/>
        <v>0</v>
      </c>
      <c r="H888" s="49">
        <f t="shared" si="630"/>
        <v>0</v>
      </c>
      <c r="I888" s="35">
        <f t="shared" si="618"/>
        <v>55849.709999999977</v>
      </c>
      <c r="J888" s="414">
        <f t="shared" si="619"/>
        <v>0</v>
      </c>
      <c r="K888" s="329">
        <f t="shared" si="631"/>
        <v>0</v>
      </c>
      <c r="L888" s="35">
        <f t="shared" si="620"/>
        <v>0</v>
      </c>
      <c r="M888" s="414">
        <f t="shared" si="621"/>
        <v>0</v>
      </c>
      <c r="N888" s="329">
        <f t="shared" si="632"/>
        <v>0</v>
      </c>
      <c r="O888" s="35">
        <f t="shared" si="622"/>
        <v>26.980000000010332</v>
      </c>
      <c r="P888" s="414">
        <f t="shared" si="623"/>
        <v>0</v>
      </c>
      <c r="Q888" s="329">
        <f t="shared" si="633"/>
        <v>0</v>
      </c>
      <c r="R888" s="35">
        <f t="shared" si="624"/>
        <v>0</v>
      </c>
      <c r="S888" s="414">
        <f t="shared" si="625"/>
        <v>0</v>
      </c>
      <c r="T888" s="880">
        <f>[5]Sheet1!$B1303</f>
        <v>0</v>
      </c>
      <c r="U888" s="10">
        <f t="shared" si="626"/>
        <v>44741</v>
      </c>
      <c r="V888" s="276">
        <f t="shared" si="627"/>
        <v>0</v>
      </c>
    </row>
    <row r="889" spans="1:22" x14ac:dyDescent="0.25">
      <c r="A889" s="335">
        <f t="shared" si="634"/>
        <v>44742</v>
      </c>
      <c r="B889" s="329">
        <f t="shared" si="628"/>
        <v>0</v>
      </c>
      <c r="C889" s="338">
        <f t="shared" si="614"/>
        <v>188781.04000000015</v>
      </c>
      <c r="D889" s="414">
        <f t="shared" si="615"/>
        <v>0</v>
      </c>
      <c r="E889" s="49">
        <f t="shared" si="629"/>
        <v>0</v>
      </c>
      <c r="F889" s="35">
        <f t="shared" si="616"/>
        <v>0</v>
      </c>
      <c r="G889" s="414">
        <f t="shared" si="617"/>
        <v>0</v>
      </c>
      <c r="H889" s="49">
        <f t="shared" si="630"/>
        <v>0</v>
      </c>
      <c r="I889" s="35">
        <f t="shared" si="618"/>
        <v>55849.709999999977</v>
      </c>
      <c r="J889" s="414">
        <f t="shared" si="619"/>
        <v>0</v>
      </c>
      <c r="K889" s="329">
        <f t="shared" si="631"/>
        <v>0</v>
      </c>
      <c r="L889" s="35">
        <f t="shared" si="620"/>
        <v>0</v>
      </c>
      <c r="M889" s="414">
        <f t="shared" si="621"/>
        <v>0</v>
      </c>
      <c r="N889" s="329">
        <f t="shared" si="632"/>
        <v>0</v>
      </c>
      <c r="O889" s="35">
        <f t="shared" si="622"/>
        <v>26.980000000010332</v>
      </c>
      <c r="P889" s="414">
        <f t="shared" si="623"/>
        <v>0</v>
      </c>
      <c r="Q889" s="329">
        <f t="shared" si="633"/>
        <v>0</v>
      </c>
      <c r="R889" s="35">
        <f t="shared" si="624"/>
        <v>0</v>
      </c>
      <c r="S889" s="414">
        <f t="shared" si="625"/>
        <v>0</v>
      </c>
      <c r="T889" s="880">
        <f>[5]Sheet1!$B1304</f>
        <v>0</v>
      </c>
      <c r="U889" s="10">
        <f t="shared" si="626"/>
        <v>44742</v>
      </c>
      <c r="V889" s="276">
        <f t="shared" si="627"/>
        <v>0</v>
      </c>
    </row>
    <row r="890" spans="1:22" x14ac:dyDescent="0.25">
      <c r="A890" s="335">
        <f t="shared" si="634"/>
        <v>44743</v>
      </c>
      <c r="B890" s="329">
        <f t="shared" si="628"/>
        <v>0</v>
      </c>
      <c r="C890" s="338">
        <f t="shared" si="614"/>
        <v>188781.04000000015</v>
      </c>
      <c r="D890" s="414">
        <f t="shared" si="615"/>
        <v>0</v>
      </c>
      <c r="E890" s="49">
        <f t="shared" si="629"/>
        <v>0</v>
      </c>
      <c r="F890" s="35">
        <f t="shared" si="616"/>
        <v>0</v>
      </c>
      <c r="G890" s="414">
        <f t="shared" si="617"/>
        <v>0</v>
      </c>
      <c r="H890" s="49">
        <f t="shared" si="630"/>
        <v>0</v>
      </c>
      <c r="I890" s="35">
        <f t="shared" si="618"/>
        <v>55849.709999999977</v>
      </c>
      <c r="J890" s="414">
        <f t="shared" si="619"/>
        <v>0</v>
      </c>
      <c r="K890" s="329">
        <f t="shared" si="631"/>
        <v>0</v>
      </c>
      <c r="L890" s="35">
        <f t="shared" si="620"/>
        <v>0</v>
      </c>
      <c r="M890" s="414">
        <f t="shared" si="621"/>
        <v>0</v>
      </c>
      <c r="N890" s="329">
        <f t="shared" si="632"/>
        <v>0</v>
      </c>
      <c r="O890" s="35">
        <f t="shared" si="622"/>
        <v>26.980000000010332</v>
      </c>
      <c r="P890" s="414">
        <f t="shared" si="623"/>
        <v>0</v>
      </c>
      <c r="Q890" s="329">
        <f t="shared" si="633"/>
        <v>0</v>
      </c>
      <c r="R890" s="35">
        <f t="shared" si="624"/>
        <v>0</v>
      </c>
      <c r="S890" s="414">
        <f t="shared" si="625"/>
        <v>0</v>
      </c>
      <c r="T890" s="880">
        <f>[5]Sheet1!$B1305</f>
        <v>0</v>
      </c>
      <c r="U890" s="10">
        <f t="shared" si="626"/>
        <v>44743</v>
      </c>
      <c r="V890" s="276">
        <f t="shared" si="627"/>
        <v>0</v>
      </c>
    </row>
    <row r="891" spans="1:22" x14ac:dyDescent="0.25">
      <c r="A891" s="335">
        <f t="shared" si="634"/>
        <v>44746</v>
      </c>
      <c r="B891" s="329">
        <f t="shared" si="628"/>
        <v>0</v>
      </c>
      <c r="C891" s="338">
        <f t="shared" si="614"/>
        <v>188781.04000000015</v>
      </c>
      <c r="D891" s="414">
        <f t="shared" si="615"/>
        <v>0</v>
      </c>
      <c r="E891" s="49">
        <f t="shared" si="629"/>
        <v>0</v>
      </c>
      <c r="F891" s="35">
        <f t="shared" si="616"/>
        <v>0</v>
      </c>
      <c r="G891" s="414">
        <f t="shared" si="617"/>
        <v>0</v>
      </c>
      <c r="H891" s="49">
        <f t="shared" si="630"/>
        <v>0</v>
      </c>
      <c r="I891" s="35">
        <f t="shared" si="618"/>
        <v>55849.709999999977</v>
      </c>
      <c r="J891" s="414">
        <f t="shared" si="619"/>
        <v>0</v>
      </c>
      <c r="K891" s="329">
        <f t="shared" si="631"/>
        <v>0</v>
      </c>
      <c r="L891" s="35">
        <f t="shared" si="620"/>
        <v>0</v>
      </c>
      <c r="M891" s="414">
        <f t="shared" si="621"/>
        <v>0</v>
      </c>
      <c r="N891" s="329">
        <f t="shared" si="632"/>
        <v>0</v>
      </c>
      <c r="O891" s="35">
        <f t="shared" si="622"/>
        <v>26.980000000010332</v>
      </c>
      <c r="P891" s="414">
        <f t="shared" si="623"/>
        <v>0</v>
      </c>
      <c r="Q891" s="329">
        <f t="shared" si="633"/>
        <v>0</v>
      </c>
      <c r="R891" s="35">
        <f t="shared" si="624"/>
        <v>0</v>
      </c>
      <c r="S891" s="414">
        <f t="shared" si="625"/>
        <v>0</v>
      </c>
      <c r="T891" s="880">
        <f>[5]Sheet1!$B1306</f>
        <v>0</v>
      </c>
      <c r="U891" s="10">
        <f t="shared" si="626"/>
        <v>44746</v>
      </c>
      <c r="V891" s="276">
        <f t="shared" si="627"/>
        <v>0</v>
      </c>
    </row>
    <row r="892" spans="1:22" x14ac:dyDescent="0.25">
      <c r="A892" s="335">
        <f t="shared" si="634"/>
        <v>44747</v>
      </c>
      <c r="B892" s="329">
        <f t="shared" si="628"/>
        <v>0</v>
      </c>
      <c r="C892" s="338">
        <f t="shared" si="614"/>
        <v>188781.04000000015</v>
      </c>
      <c r="D892" s="414">
        <f t="shared" si="615"/>
        <v>0</v>
      </c>
      <c r="E892" s="49">
        <f t="shared" si="629"/>
        <v>0</v>
      </c>
      <c r="F892" s="35">
        <f t="shared" si="616"/>
        <v>0</v>
      </c>
      <c r="G892" s="414">
        <f t="shared" si="617"/>
        <v>0</v>
      </c>
      <c r="H892" s="49">
        <f t="shared" si="630"/>
        <v>0</v>
      </c>
      <c r="I892" s="35">
        <f t="shared" si="618"/>
        <v>55849.709999999977</v>
      </c>
      <c r="J892" s="414">
        <f t="shared" si="619"/>
        <v>0</v>
      </c>
      <c r="K892" s="329">
        <f t="shared" si="631"/>
        <v>0</v>
      </c>
      <c r="L892" s="35">
        <f t="shared" si="620"/>
        <v>0</v>
      </c>
      <c r="M892" s="414">
        <f t="shared" si="621"/>
        <v>0</v>
      </c>
      <c r="N892" s="329">
        <f t="shared" si="632"/>
        <v>0</v>
      </c>
      <c r="O892" s="35">
        <f t="shared" si="622"/>
        <v>26.980000000010332</v>
      </c>
      <c r="P892" s="414">
        <f t="shared" si="623"/>
        <v>0</v>
      </c>
      <c r="Q892" s="329">
        <f t="shared" si="633"/>
        <v>0</v>
      </c>
      <c r="R892" s="35">
        <f t="shared" si="624"/>
        <v>0</v>
      </c>
      <c r="S892" s="414">
        <f t="shared" si="625"/>
        <v>0</v>
      </c>
      <c r="T892" s="880">
        <f>[5]Sheet1!$B1307</f>
        <v>0</v>
      </c>
      <c r="U892" s="10">
        <f t="shared" si="626"/>
        <v>44747</v>
      </c>
      <c r="V892" s="276">
        <f t="shared" si="627"/>
        <v>0</v>
      </c>
    </row>
    <row r="893" spans="1:22" x14ac:dyDescent="0.25">
      <c r="A893" s="335">
        <f t="shared" si="634"/>
        <v>44748</v>
      </c>
      <c r="B893" s="329">
        <f t="shared" si="628"/>
        <v>0</v>
      </c>
      <c r="C893" s="338">
        <f t="shared" si="614"/>
        <v>188781.04000000015</v>
      </c>
      <c r="D893" s="414">
        <f t="shared" si="615"/>
        <v>0</v>
      </c>
      <c r="E893" s="49">
        <f t="shared" si="629"/>
        <v>0</v>
      </c>
      <c r="F893" s="35">
        <f t="shared" si="616"/>
        <v>0</v>
      </c>
      <c r="G893" s="414">
        <f t="shared" si="617"/>
        <v>0</v>
      </c>
      <c r="H893" s="49">
        <f t="shared" si="630"/>
        <v>0</v>
      </c>
      <c r="I893" s="35">
        <f t="shared" si="618"/>
        <v>55849.709999999977</v>
      </c>
      <c r="J893" s="414">
        <f t="shared" si="619"/>
        <v>0</v>
      </c>
      <c r="K893" s="329">
        <f t="shared" si="631"/>
        <v>0</v>
      </c>
      <c r="L893" s="35">
        <f t="shared" si="620"/>
        <v>0</v>
      </c>
      <c r="M893" s="414">
        <f t="shared" si="621"/>
        <v>0</v>
      </c>
      <c r="N893" s="329">
        <f t="shared" si="632"/>
        <v>0</v>
      </c>
      <c r="O893" s="35">
        <f t="shared" si="622"/>
        <v>26.980000000010332</v>
      </c>
      <c r="P893" s="414">
        <f t="shared" si="623"/>
        <v>0</v>
      </c>
      <c r="Q893" s="329">
        <f t="shared" si="633"/>
        <v>0</v>
      </c>
      <c r="R893" s="35">
        <f t="shared" si="624"/>
        <v>0</v>
      </c>
      <c r="S893" s="414">
        <f t="shared" si="625"/>
        <v>0</v>
      </c>
      <c r="T893" s="880">
        <f>[5]Sheet1!$B1308</f>
        <v>0</v>
      </c>
      <c r="U893" s="10">
        <f t="shared" si="626"/>
        <v>44748</v>
      </c>
      <c r="V893" s="276">
        <f t="shared" si="627"/>
        <v>0</v>
      </c>
    </row>
    <row r="894" spans="1:22" x14ac:dyDescent="0.25">
      <c r="A894" s="335">
        <f t="shared" si="634"/>
        <v>44749</v>
      </c>
      <c r="B894" s="329">
        <f t="shared" si="628"/>
        <v>0</v>
      </c>
      <c r="C894" s="338">
        <f t="shared" si="614"/>
        <v>188781.04000000015</v>
      </c>
      <c r="D894" s="414">
        <f t="shared" si="615"/>
        <v>0</v>
      </c>
      <c r="E894" s="49">
        <f t="shared" si="629"/>
        <v>0</v>
      </c>
      <c r="F894" s="35">
        <f t="shared" si="616"/>
        <v>0</v>
      </c>
      <c r="G894" s="414">
        <f t="shared" si="617"/>
        <v>0</v>
      </c>
      <c r="H894" s="49">
        <f t="shared" si="630"/>
        <v>0</v>
      </c>
      <c r="I894" s="35">
        <f t="shared" si="618"/>
        <v>55849.709999999977</v>
      </c>
      <c r="J894" s="414">
        <f t="shared" si="619"/>
        <v>0</v>
      </c>
      <c r="K894" s="329">
        <f t="shared" si="631"/>
        <v>0</v>
      </c>
      <c r="L894" s="35">
        <f t="shared" si="620"/>
        <v>0</v>
      </c>
      <c r="M894" s="414">
        <f t="shared" si="621"/>
        <v>0</v>
      </c>
      <c r="N894" s="329">
        <f t="shared" si="632"/>
        <v>0</v>
      </c>
      <c r="O894" s="35">
        <f t="shared" si="622"/>
        <v>26.980000000010332</v>
      </c>
      <c r="P894" s="414">
        <f t="shared" si="623"/>
        <v>0</v>
      </c>
      <c r="Q894" s="329">
        <f t="shared" si="633"/>
        <v>0</v>
      </c>
      <c r="R894" s="35">
        <f t="shared" si="624"/>
        <v>0</v>
      </c>
      <c r="S894" s="414">
        <f t="shared" si="625"/>
        <v>0</v>
      </c>
      <c r="T894" s="880">
        <f>[5]Sheet1!$B1309</f>
        <v>0</v>
      </c>
      <c r="U894" s="10">
        <f t="shared" si="626"/>
        <v>44749</v>
      </c>
      <c r="V894" s="276">
        <f t="shared" si="627"/>
        <v>0</v>
      </c>
    </row>
    <row r="895" spans="1:22" x14ac:dyDescent="0.25">
      <c r="A895" s="335">
        <f t="shared" si="634"/>
        <v>44750</v>
      </c>
      <c r="B895" s="329">
        <f t="shared" si="628"/>
        <v>0</v>
      </c>
      <c r="C895" s="338">
        <f t="shared" ref="C895:C958" si="635">B895+C894</f>
        <v>188781.04000000015</v>
      </c>
      <c r="D895" s="414">
        <f t="shared" ref="D895:D958" si="636">ROUND(C894*$T894,2)</f>
        <v>0</v>
      </c>
      <c r="E895" s="49">
        <f t="shared" si="629"/>
        <v>0</v>
      </c>
      <c r="F895" s="35">
        <f t="shared" ref="F895:F958" si="637">E895+F894</f>
        <v>0</v>
      </c>
      <c r="G895" s="414">
        <f t="shared" ref="G895:G958" si="638">ROUND(F894*$T894,2)</f>
        <v>0</v>
      </c>
      <c r="H895" s="49">
        <f t="shared" si="630"/>
        <v>0</v>
      </c>
      <c r="I895" s="35">
        <f t="shared" ref="I895:I958" si="639">H895+I894</f>
        <v>55849.709999999977</v>
      </c>
      <c r="J895" s="414">
        <f t="shared" ref="J895:J958" si="640">ROUND(I894*$T894,2)</f>
        <v>0</v>
      </c>
      <c r="K895" s="329">
        <f t="shared" si="631"/>
        <v>0</v>
      </c>
      <c r="L895" s="35">
        <f t="shared" ref="L895:L958" si="641">K895+L894</f>
        <v>0</v>
      </c>
      <c r="M895" s="414">
        <f t="shared" ref="M895:M958" si="642">ROUND(L894*$T894,2)</f>
        <v>0</v>
      </c>
      <c r="N895" s="329">
        <f t="shared" si="632"/>
        <v>0</v>
      </c>
      <c r="O895" s="35">
        <f t="shared" ref="O895:O958" si="643">N895+O894</f>
        <v>26.980000000010332</v>
      </c>
      <c r="P895" s="414">
        <f t="shared" ref="P895:P958" si="644">ROUND(O894*$T894,2)</f>
        <v>0</v>
      </c>
      <c r="Q895" s="329">
        <f t="shared" si="633"/>
        <v>0</v>
      </c>
      <c r="R895" s="35">
        <f t="shared" ref="R895:R958" si="645">Q895+R894</f>
        <v>0</v>
      </c>
      <c r="S895" s="414">
        <f t="shared" ref="S895:S958" si="646">ROUND(R894*$T894,2)</f>
        <v>0</v>
      </c>
      <c r="T895" s="880">
        <f>[5]Sheet1!$B1310</f>
        <v>0</v>
      </c>
      <c r="U895" s="10">
        <f t="shared" ref="U895:U958" si="647">A895</f>
        <v>44750</v>
      </c>
      <c r="V895" s="276">
        <f t="shared" ref="V895:V958" si="648">T895*365/(A896-A895)</f>
        <v>0</v>
      </c>
    </row>
    <row r="896" spans="1:22" x14ac:dyDescent="0.25">
      <c r="A896" s="335">
        <f t="shared" si="634"/>
        <v>44753</v>
      </c>
      <c r="B896" s="329">
        <f t="shared" si="628"/>
        <v>0</v>
      </c>
      <c r="C896" s="338">
        <f t="shared" si="635"/>
        <v>188781.04000000015</v>
      </c>
      <c r="D896" s="414">
        <f t="shared" si="636"/>
        <v>0</v>
      </c>
      <c r="E896" s="49">
        <f t="shared" si="629"/>
        <v>0</v>
      </c>
      <c r="F896" s="35">
        <f t="shared" si="637"/>
        <v>0</v>
      </c>
      <c r="G896" s="414">
        <f t="shared" si="638"/>
        <v>0</v>
      </c>
      <c r="H896" s="49">
        <f t="shared" si="630"/>
        <v>0</v>
      </c>
      <c r="I896" s="35">
        <f t="shared" si="639"/>
        <v>55849.709999999977</v>
      </c>
      <c r="J896" s="414">
        <f t="shared" si="640"/>
        <v>0</v>
      </c>
      <c r="K896" s="329">
        <f t="shared" si="631"/>
        <v>0</v>
      </c>
      <c r="L896" s="35">
        <f t="shared" si="641"/>
        <v>0</v>
      </c>
      <c r="M896" s="414">
        <f t="shared" si="642"/>
        <v>0</v>
      </c>
      <c r="N896" s="329">
        <f t="shared" si="632"/>
        <v>0</v>
      </c>
      <c r="O896" s="35">
        <f t="shared" si="643"/>
        <v>26.980000000010332</v>
      </c>
      <c r="P896" s="414">
        <f t="shared" si="644"/>
        <v>0</v>
      </c>
      <c r="Q896" s="329">
        <f t="shared" si="633"/>
        <v>0</v>
      </c>
      <c r="R896" s="35">
        <f t="shared" si="645"/>
        <v>0</v>
      </c>
      <c r="S896" s="414">
        <f t="shared" si="646"/>
        <v>0</v>
      </c>
      <c r="T896" s="880">
        <f>[5]Sheet1!$B1311</f>
        <v>0</v>
      </c>
      <c r="U896" s="10">
        <f t="shared" si="647"/>
        <v>44753</v>
      </c>
      <c r="V896" s="276">
        <f t="shared" si="648"/>
        <v>0</v>
      </c>
    </row>
    <row r="897" spans="1:22" x14ac:dyDescent="0.25">
      <c r="A897" s="335">
        <f t="shared" si="634"/>
        <v>44754</v>
      </c>
      <c r="B897" s="329">
        <f t="shared" si="628"/>
        <v>0</v>
      </c>
      <c r="C897" s="338">
        <f t="shared" si="635"/>
        <v>188781.04000000015</v>
      </c>
      <c r="D897" s="414">
        <f t="shared" si="636"/>
        <v>0</v>
      </c>
      <c r="E897" s="49">
        <f t="shared" si="629"/>
        <v>0</v>
      </c>
      <c r="F897" s="35">
        <f t="shared" si="637"/>
        <v>0</v>
      </c>
      <c r="G897" s="414">
        <f t="shared" si="638"/>
        <v>0</v>
      </c>
      <c r="H897" s="49">
        <f t="shared" si="630"/>
        <v>0</v>
      </c>
      <c r="I897" s="35">
        <f t="shared" si="639"/>
        <v>55849.709999999977</v>
      </c>
      <c r="J897" s="414">
        <f t="shared" si="640"/>
        <v>0</v>
      </c>
      <c r="K897" s="329">
        <f t="shared" si="631"/>
        <v>0</v>
      </c>
      <c r="L897" s="35">
        <f t="shared" si="641"/>
        <v>0</v>
      </c>
      <c r="M897" s="414">
        <f t="shared" si="642"/>
        <v>0</v>
      </c>
      <c r="N897" s="329">
        <f t="shared" si="632"/>
        <v>0</v>
      </c>
      <c r="O897" s="35">
        <f t="shared" si="643"/>
        <v>26.980000000010332</v>
      </c>
      <c r="P897" s="414">
        <f t="shared" si="644"/>
        <v>0</v>
      </c>
      <c r="Q897" s="329">
        <f t="shared" si="633"/>
        <v>0</v>
      </c>
      <c r="R897" s="35">
        <f t="shared" si="645"/>
        <v>0</v>
      </c>
      <c r="S897" s="414">
        <f t="shared" si="646"/>
        <v>0</v>
      </c>
      <c r="T897" s="880">
        <f>[5]Sheet1!$B1312</f>
        <v>0</v>
      </c>
      <c r="U897" s="10">
        <f t="shared" si="647"/>
        <v>44754</v>
      </c>
      <c r="V897" s="276">
        <f t="shared" si="648"/>
        <v>0</v>
      </c>
    </row>
    <row r="898" spans="1:22" x14ac:dyDescent="0.25">
      <c r="A898" s="335">
        <f t="shared" si="634"/>
        <v>44755</v>
      </c>
      <c r="B898" s="329">
        <f t="shared" si="628"/>
        <v>0</v>
      </c>
      <c r="C898" s="338">
        <f t="shared" si="635"/>
        <v>188781.04000000015</v>
      </c>
      <c r="D898" s="414">
        <f t="shared" si="636"/>
        <v>0</v>
      </c>
      <c r="E898" s="49">
        <f t="shared" si="629"/>
        <v>0</v>
      </c>
      <c r="F898" s="35">
        <f t="shared" si="637"/>
        <v>0</v>
      </c>
      <c r="G898" s="414">
        <f t="shared" si="638"/>
        <v>0</v>
      </c>
      <c r="H898" s="49">
        <f t="shared" si="630"/>
        <v>0</v>
      </c>
      <c r="I898" s="35">
        <f t="shared" si="639"/>
        <v>55849.709999999977</v>
      </c>
      <c r="J898" s="414">
        <f t="shared" si="640"/>
        <v>0</v>
      </c>
      <c r="K898" s="329">
        <f t="shared" si="631"/>
        <v>0</v>
      </c>
      <c r="L898" s="35">
        <f t="shared" si="641"/>
        <v>0</v>
      </c>
      <c r="M898" s="414">
        <f t="shared" si="642"/>
        <v>0</v>
      </c>
      <c r="N898" s="329">
        <f t="shared" si="632"/>
        <v>0</v>
      </c>
      <c r="O898" s="35">
        <f t="shared" si="643"/>
        <v>26.980000000010332</v>
      </c>
      <c r="P898" s="414">
        <f t="shared" si="644"/>
        <v>0</v>
      </c>
      <c r="Q898" s="329">
        <f t="shared" si="633"/>
        <v>0</v>
      </c>
      <c r="R898" s="35">
        <f t="shared" si="645"/>
        <v>0</v>
      </c>
      <c r="S898" s="414">
        <f t="shared" si="646"/>
        <v>0</v>
      </c>
      <c r="T898" s="880">
        <f>[5]Sheet1!$B1313</f>
        <v>0</v>
      </c>
      <c r="U898" s="10">
        <f t="shared" si="647"/>
        <v>44755</v>
      </c>
      <c r="V898" s="276">
        <f t="shared" si="648"/>
        <v>0</v>
      </c>
    </row>
    <row r="899" spans="1:22" x14ac:dyDescent="0.25">
      <c r="A899" s="335">
        <f t="shared" si="634"/>
        <v>44756</v>
      </c>
      <c r="B899" s="329">
        <f t="shared" si="628"/>
        <v>0</v>
      </c>
      <c r="C899" s="338">
        <f t="shared" si="635"/>
        <v>188781.04000000015</v>
      </c>
      <c r="D899" s="414">
        <f t="shared" si="636"/>
        <v>0</v>
      </c>
      <c r="E899" s="49">
        <f t="shared" si="629"/>
        <v>0</v>
      </c>
      <c r="F899" s="35">
        <f t="shared" si="637"/>
        <v>0</v>
      </c>
      <c r="G899" s="414">
        <f t="shared" si="638"/>
        <v>0</v>
      </c>
      <c r="H899" s="49">
        <f t="shared" si="630"/>
        <v>0</v>
      </c>
      <c r="I899" s="35">
        <f t="shared" si="639"/>
        <v>55849.709999999977</v>
      </c>
      <c r="J899" s="414">
        <f t="shared" si="640"/>
        <v>0</v>
      </c>
      <c r="K899" s="329">
        <f t="shared" si="631"/>
        <v>0</v>
      </c>
      <c r="L899" s="35">
        <f t="shared" si="641"/>
        <v>0</v>
      </c>
      <c r="M899" s="414">
        <f t="shared" si="642"/>
        <v>0</v>
      </c>
      <c r="N899" s="329">
        <f t="shared" si="632"/>
        <v>0</v>
      </c>
      <c r="O899" s="35">
        <f t="shared" si="643"/>
        <v>26.980000000010332</v>
      </c>
      <c r="P899" s="414">
        <f t="shared" si="644"/>
        <v>0</v>
      </c>
      <c r="Q899" s="329">
        <f t="shared" si="633"/>
        <v>0</v>
      </c>
      <c r="R899" s="35">
        <f t="shared" si="645"/>
        <v>0</v>
      </c>
      <c r="S899" s="414">
        <f t="shared" si="646"/>
        <v>0</v>
      </c>
      <c r="T899" s="880">
        <f>[5]Sheet1!$B1314</f>
        <v>0</v>
      </c>
      <c r="U899" s="10">
        <f t="shared" si="647"/>
        <v>44756</v>
      </c>
      <c r="V899" s="276">
        <f t="shared" si="648"/>
        <v>0</v>
      </c>
    </row>
    <row r="900" spans="1:22" x14ac:dyDescent="0.25">
      <c r="A900" s="335">
        <f t="shared" si="634"/>
        <v>44757</v>
      </c>
      <c r="B900" s="329">
        <f t="shared" si="628"/>
        <v>0</v>
      </c>
      <c r="C900" s="338">
        <f t="shared" si="635"/>
        <v>188781.04000000015</v>
      </c>
      <c r="D900" s="414">
        <f t="shared" si="636"/>
        <v>0</v>
      </c>
      <c r="E900" s="49">
        <f t="shared" si="629"/>
        <v>0</v>
      </c>
      <c r="F900" s="35">
        <f t="shared" si="637"/>
        <v>0</v>
      </c>
      <c r="G900" s="414">
        <f t="shared" si="638"/>
        <v>0</v>
      </c>
      <c r="H900" s="49">
        <f t="shared" si="630"/>
        <v>0</v>
      </c>
      <c r="I900" s="35">
        <f t="shared" si="639"/>
        <v>55849.709999999977</v>
      </c>
      <c r="J900" s="414">
        <f t="shared" si="640"/>
        <v>0</v>
      </c>
      <c r="K900" s="329">
        <f t="shared" si="631"/>
        <v>0</v>
      </c>
      <c r="L900" s="35">
        <f t="shared" si="641"/>
        <v>0</v>
      </c>
      <c r="M900" s="414">
        <f t="shared" si="642"/>
        <v>0</v>
      </c>
      <c r="N900" s="329">
        <f t="shared" si="632"/>
        <v>0</v>
      </c>
      <c r="O900" s="35">
        <f t="shared" si="643"/>
        <v>26.980000000010332</v>
      </c>
      <c r="P900" s="414">
        <f t="shared" si="644"/>
        <v>0</v>
      </c>
      <c r="Q900" s="329">
        <f t="shared" si="633"/>
        <v>0</v>
      </c>
      <c r="R900" s="35">
        <f t="shared" si="645"/>
        <v>0</v>
      </c>
      <c r="S900" s="414">
        <f t="shared" si="646"/>
        <v>0</v>
      </c>
      <c r="T900" s="880">
        <f>[5]Sheet1!$B1315</f>
        <v>0</v>
      </c>
      <c r="U900" s="10">
        <f t="shared" si="647"/>
        <v>44757</v>
      </c>
      <c r="V900" s="276">
        <f t="shared" si="648"/>
        <v>0</v>
      </c>
    </row>
    <row r="901" spans="1:22" x14ac:dyDescent="0.25">
      <c r="A901" s="335">
        <f t="shared" si="634"/>
        <v>44760</v>
      </c>
      <c r="B901" s="329">
        <f t="shared" si="628"/>
        <v>0</v>
      </c>
      <c r="C901" s="338">
        <f t="shared" si="635"/>
        <v>188781.04000000015</v>
      </c>
      <c r="D901" s="414">
        <f t="shared" si="636"/>
        <v>0</v>
      </c>
      <c r="E901" s="49">
        <f t="shared" si="629"/>
        <v>0</v>
      </c>
      <c r="F901" s="35">
        <f t="shared" si="637"/>
        <v>0</v>
      </c>
      <c r="G901" s="414">
        <f t="shared" si="638"/>
        <v>0</v>
      </c>
      <c r="H901" s="49">
        <f t="shared" si="630"/>
        <v>0</v>
      </c>
      <c r="I901" s="35">
        <f t="shared" si="639"/>
        <v>55849.709999999977</v>
      </c>
      <c r="J901" s="414">
        <f t="shared" si="640"/>
        <v>0</v>
      </c>
      <c r="K901" s="329">
        <f t="shared" si="631"/>
        <v>0</v>
      </c>
      <c r="L901" s="35">
        <f t="shared" si="641"/>
        <v>0</v>
      </c>
      <c r="M901" s="414">
        <f t="shared" si="642"/>
        <v>0</v>
      </c>
      <c r="N901" s="329">
        <f t="shared" si="632"/>
        <v>0</v>
      </c>
      <c r="O901" s="35">
        <f t="shared" si="643"/>
        <v>26.980000000010332</v>
      </c>
      <c r="P901" s="414">
        <f t="shared" si="644"/>
        <v>0</v>
      </c>
      <c r="Q901" s="329">
        <f t="shared" si="633"/>
        <v>0</v>
      </c>
      <c r="R901" s="35">
        <f t="shared" si="645"/>
        <v>0</v>
      </c>
      <c r="S901" s="414">
        <f t="shared" si="646"/>
        <v>0</v>
      </c>
      <c r="T901" s="880">
        <f>[5]Sheet1!$B1316</f>
        <v>0</v>
      </c>
      <c r="U901" s="10">
        <f t="shared" si="647"/>
        <v>44760</v>
      </c>
      <c r="V901" s="276">
        <f t="shared" si="648"/>
        <v>0</v>
      </c>
    </row>
    <row r="902" spans="1:22" x14ac:dyDescent="0.25">
      <c r="A902" s="335">
        <f t="shared" si="634"/>
        <v>44761</v>
      </c>
      <c r="B902" s="329">
        <f t="shared" si="628"/>
        <v>0</v>
      </c>
      <c r="C902" s="338">
        <f t="shared" si="635"/>
        <v>188781.04000000015</v>
      </c>
      <c r="D902" s="414">
        <f t="shared" si="636"/>
        <v>0</v>
      </c>
      <c r="E902" s="49">
        <f t="shared" si="629"/>
        <v>0</v>
      </c>
      <c r="F902" s="35">
        <f t="shared" si="637"/>
        <v>0</v>
      </c>
      <c r="G902" s="414">
        <f t="shared" si="638"/>
        <v>0</v>
      </c>
      <c r="H902" s="49">
        <f t="shared" si="630"/>
        <v>0</v>
      </c>
      <c r="I902" s="35">
        <f t="shared" si="639"/>
        <v>55849.709999999977</v>
      </c>
      <c r="J902" s="414">
        <f t="shared" si="640"/>
        <v>0</v>
      </c>
      <c r="K902" s="329">
        <f t="shared" si="631"/>
        <v>0</v>
      </c>
      <c r="L902" s="35">
        <f t="shared" si="641"/>
        <v>0</v>
      </c>
      <c r="M902" s="414">
        <f t="shared" si="642"/>
        <v>0</v>
      </c>
      <c r="N902" s="329">
        <f t="shared" si="632"/>
        <v>0</v>
      </c>
      <c r="O902" s="35">
        <f t="shared" si="643"/>
        <v>26.980000000010332</v>
      </c>
      <c r="P902" s="414">
        <f t="shared" si="644"/>
        <v>0</v>
      </c>
      <c r="Q902" s="329">
        <f t="shared" si="633"/>
        <v>0</v>
      </c>
      <c r="R902" s="35">
        <f t="shared" si="645"/>
        <v>0</v>
      </c>
      <c r="S902" s="414">
        <f t="shared" si="646"/>
        <v>0</v>
      </c>
      <c r="T902" s="880">
        <f>[5]Sheet1!$B1317</f>
        <v>0</v>
      </c>
      <c r="U902" s="10">
        <f t="shared" si="647"/>
        <v>44761</v>
      </c>
      <c r="V902" s="276">
        <f t="shared" si="648"/>
        <v>0</v>
      </c>
    </row>
    <row r="903" spans="1:22" x14ac:dyDescent="0.25">
      <c r="A903" s="335">
        <f t="shared" si="634"/>
        <v>44762</v>
      </c>
      <c r="B903" s="329">
        <f t="shared" ref="B903:B966" si="649">-SUMIFS(CF_Main,CF_Dates,$A903,CF_Descriptions,"MM Sweep")</f>
        <v>0</v>
      </c>
      <c r="C903" s="338">
        <f t="shared" si="635"/>
        <v>188781.04000000015</v>
      </c>
      <c r="D903" s="414">
        <f t="shared" si="636"/>
        <v>0</v>
      </c>
      <c r="E903" s="49">
        <f t="shared" ref="E903:E966" si="650">-SUMIFS(CF_Main_EUR,CF_Dates,$A903,CF_Descriptions,"MM Sweep")</f>
        <v>0</v>
      </c>
      <c r="F903" s="35">
        <f t="shared" si="637"/>
        <v>0</v>
      </c>
      <c r="G903" s="414">
        <f t="shared" si="638"/>
        <v>0</v>
      </c>
      <c r="H903" s="49">
        <f t="shared" ref="H903:H966" si="651">-SUMIFS(CF_Expenses,CF_Dates,$A903,CF_Descriptions,"MM Sweep")</f>
        <v>0</v>
      </c>
      <c r="I903" s="35">
        <f t="shared" si="639"/>
        <v>55849.709999999977</v>
      </c>
      <c r="J903" s="414">
        <f t="shared" si="640"/>
        <v>0</v>
      </c>
      <c r="K903" s="329">
        <f t="shared" ref="K903:K966" si="652">-SUMIFS(CF_Margin,CF_Dates,$A903,CF_Descriptions,"MM Sweep")</f>
        <v>0</v>
      </c>
      <c r="L903" s="35">
        <f t="shared" si="641"/>
        <v>0</v>
      </c>
      <c r="M903" s="414">
        <f t="shared" si="642"/>
        <v>0</v>
      </c>
      <c r="N903" s="329">
        <f t="shared" ref="N903:N966" si="653">-SUMIFS(CF_Mgmt,CF_Dates,$A903,CF_Descriptions,"MM Sweep")</f>
        <v>0</v>
      </c>
      <c r="O903" s="35">
        <f t="shared" si="643"/>
        <v>26.980000000010332</v>
      </c>
      <c r="P903" s="414">
        <f t="shared" si="644"/>
        <v>0</v>
      </c>
      <c r="Q903" s="329">
        <f t="shared" ref="Q903:Q966" si="654">-SUMIFS(CF_SubRedemp,CF_Dates,$A903,CF_Descriptions,"MM Sweep")</f>
        <v>0</v>
      </c>
      <c r="R903" s="35">
        <f t="shared" si="645"/>
        <v>0</v>
      </c>
      <c r="S903" s="414">
        <f t="shared" si="646"/>
        <v>0</v>
      </c>
      <c r="T903" s="880">
        <f>[5]Sheet1!$B1318</f>
        <v>0</v>
      </c>
      <c r="U903" s="10">
        <f t="shared" si="647"/>
        <v>44762</v>
      </c>
      <c r="V903" s="276">
        <f t="shared" si="648"/>
        <v>0</v>
      </c>
    </row>
    <row r="904" spans="1:22" x14ac:dyDescent="0.25">
      <c r="A904" s="335">
        <f t="shared" si="634"/>
        <v>44763</v>
      </c>
      <c r="B904" s="329">
        <f t="shared" si="649"/>
        <v>0</v>
      </c>
      <c r="C904" s="338">
        <f t="shared" si="635"/>
        <v>188781.04000000015</v>
      </c>
      <c r="D904" s="414">
        <f t="shared" si="636"/>
        <v>0</v>
      </c>
      <c r="E904" s="49">
        <f t="shared" si="650"/>
        <v>0</v>
      </c>
      <c r="F904" s="35">
        <f t="shared" si="637"/>
        <v>0</v>
      </c>
      <c r="G904" s="414">
        <f t="shared" si="638"/>
        <v>0</v>
      </c>
      <c r="H904" s="49">
        <f t="shared" si="651"/>
        <v>0</v>
      </c>
      <c r="I904" s="35">
        <f t="shared" si="639"/>
        <v>55849.709999999977</v>
      </c>
      <c r="J904" s="414">
        <f t="shared" si="640"/>
        <v>0</v>
      </c>
      <c r="K904" s="329">
        <f t="shared" si="652"/>
        <v>0</v>
      </c>
      <c r="L904" s="35">
        <f t="shared" si="641"/>
        <v>0</v>
      </c>
      <c r="M904" s="414">
        <f t="shared" si="642"/>
        <v>0</v>
      </c>
      <c r="N904" s="329">
        <f t="shared" si="653"/>
        <v>0</v>
      </c>
      <c r="O904" s="35">
        <f t="shared" si="643"/>
        <v>26.980000000010332</v>
      </c>
      <c r="P904" s="414">
        <f t="shared" si="644"/>
        <v>0</v>
      </c>
      <c r="Q904" s="329">
        <f t="shared" si="654"/>
        <v>0</v>
      </c>
      <c r="R904" s="35">
        <f t="shared" si="645"/>
        <v>0</v>
      </c>
      <c r="S904" s="414">
        <f t="shared" si="646"/>
        <v>0</v>
      </c>
      <c r="T904" s="880">
        <f>[5]Sheet1!$B1319</f>
        <v>0</v>
      </c>
      <c r="U904" s="10">
        <f t="shared" si="647"/>
        <v>44763</v>
      </c>
      <c r="V904" s="276">
        <f t="shared" si="648"/>
        <v>0</v>
      </c>
    </row>
    <row r="905" spans="1:22" x14ac:dyDescent="0.25">
      <c r="A905" s="335">
        <f t="shared" si="634"/>
        <v>44764</v>
      </c>
      <c r="B905" s="329">
        <f t="shared" si="649"/>
        <v>0</v>
      </c>
      <c r="C905" s="338">
        <f t="shared" si="635"/>
        <v>188781.04000000015</v>
      </c>
      <c r="D905" s="414">
        <f t="shared" si="636"/>
        <v>0</v>
      </c>
      <c r="E905" s="49">
        <f t="shared" si="650"/>
        <v>0</v>
      </c>
      <c r="F905" s="35">
        <f t="shared" si="637"/>
        <v>0</v>
      </c>
      <c r="G905" s="414">
        <f t="shared" si="638"/>
        <v>0</v>
      </c>
      <c r="H905" s="49">
        <f t="shared" si="651"/>
        <v>0</v>
      </c>
      <c r="I905" s="35">
        <f t="shared" si="639"/>
        <v>55849.709999999977</v>
      </c>
      <c r="J905" s="414">
        <f t="shared" si="640"/>
        <v>0</v>
      </c>
      <c r="K905" s="329">
        <f t="shared" si="652"/>
        <v>0</v>
      </c>
      <c r="L905" s="35">
        <f t="shared" si="641"/>
        <v>0</v>
      </c>
      <c r="M905" s="414">
        <f t="shared" si="642"/>
        <v>0</v>
      </c>
      <c r="N905" s="329">
        <f t="shared" si="653"/>
        <v>0</v>
      </c>
      <c r="O905" s="35">
        <f t="shared" si="643"/>
        <v>26.980000000010332</v>
      </c>
      <c r="P905" s="414">
        <f t="shared" si="644"/>
        <v>0</v>
      </c>
      <c r="Q905" s="329">
        <f t="shared" si="654"/>
        <v>0</v>
      </c>
      <c r="R905" s="35">
        <f t="shared" si="645"/>
        <v>0</v>
      </c>
      <c r="S905" s="414">
        <f t="shared" si="646"/>
        <v>0</v>
      </c>
      <c r="T905" s="880">
        <f>[5]Sheet1!$B1320</f>
        <v>0</v>
      </c>
      <c r="U905" s="10">
        <f t="shared" si="647"/>
        <v>44764</v>
      </c>
      <c r="V905" s="276">
        <f t="shared" si="648"/>
        <v>0</v>
      </c>
    </row>
    <row r="906" spans="1:22" x14ac:dyDescent="0.25">
      <c r="A906" s="335">
        <f t="shared" si="634"/>
        <v>44767</v>
      </c>
      <c r="B906" s="329">
        <f t="shared" si="649"/>
        <v>0</v>
      </c>
      <c r="C906" s="338">
        <f t="shared" si="635"/>
        <v>188781.04000000015</v>
      </c>
      <c r="D906" s="414">
        <f t="shared" si="636"/>
        <v>0</v>
      </c>
      <c r="E906" s="49">
        <f t="shared" si="650"/>
        <v>0</v>
      </c>
      <c r="F906" s="35">
        <f t="shared" si="637"/>
        <v>0</v>
      </c>
      <c r="G906" s="414">
        <f t="shared" si="638"/>
        <v>0</v>
      </c>
      <c r="H906" s="49">
        <f t="shared" si="651"/>
        <v>0</v>
      </c>
      <c r="I906" s="35">
        <f t="shared" si="639"/>
        <v>55849.709999999977</v>
      </c>
      <c r="J906" s="414">
        <f t="shared" si="640"/>
        <v>0</v>
      </c>
      <c r="K906" s="329">
        <f t="shared" si="652"/>
        <v>0</v>
      </c>
      <c r="L906" s="35">
        <f t="shared" si="641"/>
        <v>0</v>
      </c>
      <c r="M906" s="414">
        <f t="shared" si="642"/>
        <v>0</v>
      </c>
      <c r="N906" s="329">
        <f t="shared" si="653"/>
        <v>0</v>
      </c>
      <c r="O906" s="35">
        <f t="shared" si="643"/>
        <v>26.980000000010332</v>
      </c>
      <c r="P906" s="414">
        <f t="shared" si="644"/>
        <v>0</v>
      </c>
      <c r="Q906" s="329">
        <f t="shared" si="654"/>
        <v>0</v>
      </c>
      <c r="R906" s="35">
        <f t="shared" si="645"/>
        <v>0</v>
      </c>
      <c r="S906" s="414">
        <f t="shared" si="646"/>
        <v>0</v>
      </c>
      <c r="T906" s="880">
        <f>[5]Sheet1!$B1321</f>
        <v>0</v>
      </c>
      <c r="U906" s="10">
        <f t="shared" si="647"/>
        <v>44767</v>
      </c>
      <c r="V906" s="276">
        <f t="shared" si="648"/>
        <v>0</v>
      </c>
    </row>
    <row r="907" spans="1:22" x14ac:dyDescent="0.25">
      <c r="A907" s="335">
        <f t="shared" si="634"/>
        <v>44768</v>
      </c>
      <c r="B907" s="329">
        <f t="shared" si="649"/>
        <v>0</v>
      </c>
      <c r="C907" s="338">
        <f t="shared" si="635"/>
        <v>188781.04000000015</v>
      </c>
      <c r="D907" s="414">
        <f t="shared" si="636"/>
        <v>0</v>
      </c>
      <c r="E907" s="49">
        <f t="shared" si="650"/>
        <v>0</v>
      </c>
      <c r="F907" s="35">
        <f t="shared" si="637"/>
        <v>0</v>
      </c>
      <c r="G907" s="414">
        <f t="shared" si="638"/>
        <v>0</v>
      </c>
      <c r="H907" s="49">
        <f t="shared" si="651"/>
        <v>0</v>
      </c>
      <c r="I907" s="35">
        <f t="shared" si="639"/>
        <v>55849.709999999977</v>
      </c>
      <c r="J907" s="414">
        <f t="shared" si="640"/>
        <v>0</v>
      </c>
      <c r="K907" s="329">
        <f t="shared" si="652"/>
        <v>0</v>
      </c>
      <c r="L907" s="35">
        <f t="shared" si="641"/>
        <v>0</v>
      </c>
      <c r="M907" s="414">
        <f t="shared" si="642"/>
        <v>0</v>
      </c>
      <c r="N907" s="329">
        <f t="shared" si="653"/>
        <v>0</v>
      </c>
      <c r="O907" s="35">
        <f t="shared" si="643"/>
        <v>26.980000000010332</v>
      </c>
      <c r="P907" s="414">
        <f t="shared" si="644"/>
        <v>0</v>
      </c>
      <c r="Q907" s="329">
        <f t="shared" si="654"/>
        <v>0</v>
      </c>
      <c r="R907" s="35">
        <f t="shared" si="645"/>
        <v>0</v>
      </c>
      <c r="S907" s="414">
        <f t="shared" si="646"/>
        <v>0</v>
      </c>
      <c r="T907" s="880">
        <f>[5]Sheet1!$B1322</f>
        <v>0</v>
      </c>
      <c r="U907" s="10">
        <f t="shared" si="647"/>
        <v>44768</v>
      </c>
      <c r="V907" s="276">
        <f t="shared" si="648"/>
        <v>0</v>
      </c>
    </row>
    <row r="908" spans="1:22" x14ac:dyDescent="0.25">
      <c r="A908" s="335">
        <f t="shared" si="634"/>
        <v>44769</v>
      </c>
      <c r="B908" s="329">
        <f t="shared" si="649"/>
        <v>0</v>
      </c>
      <c r="C908" s="338">
        <f t="shared" si="635"/>
        <v>188781.04000000015</v>
      </c>
      <c r="D908" s="414">
        <f t="shared" si="636"/>
        <v>0</v>
      </c>
      <c r="E908" s="49">
        <f t="shared" si="650"/>
        <v>0</v>
      </c>
      <c r="F908" s="35">
        <f t="shared" si="637"/>
        <v>0</v>
      </c>
      <c r="G908" s="414">
        <f t="shared" si="638"/>
        <v>0</v>
      </c>
      <c r="H908" s="49">
        <f t="shared" si="651"/>
        <v>0</v>
      </c>
      <c r="I908" s="35">
        <f t="shared" si="639"/>
        <v>55849.709999999977</v>
      </c>
      <c r="J908" s="414">
        <f t="shared" si="640"/>
        <v>0</v>
      </c>
      <c r="K908" s="329">
        <f t="shared" si="652"/>
        <v>0</v>
      </c>
      <c r="L908" s="35">
        <f t="shared" si="641"/>
        <v>0</v>
      </c>
      <c r="M908" s="414">
        <f t="shared" si="642"/>
        <v>0</v>
      </c>
      <c r="N908" s="329">
        <f t="shared" si="653"/>
        <v>0</v>
      </c>
      <c r="O908" s="35">
        <f t="shared" si="643"/>
        <v>26.980000000010332</v>
      </c>
      <c r="P908" s="414">
        <f t="shared" si="644"/>
        <v>0</v>
      </c>
      <c r="Q908" s="329">
        <f t="shared" si="654"/>
        <v>0</v>
      </c>
      <c r="R908" s="35">
        <f t="shared" si="645"/>
        <v>0</v>
      </c>
      <c r="S908" s="414">
        <f t="shared" si="646"/>
        <v>0</v>
      </c>
      <c r="T908" s="880">
        <f>[5]Sheet1!$B1323</f>
        <v>0</v>
      </c>
      <c r="U908" s="10">
        <f t="shared" si="647"/>
        <v>44769</v>
      </c>
      <c r="V908" s="276">
        <f t="shared" si="648"/>
        <v>0</v>
      </c>
    </row>
    <row r="909" spans="1:22" x14ac:dyDescent="0.25">
      <c r="A909" s="335">
        <f t="shared" si="634"/>
        <v>44770</v>
      </c>
      <c r="B909" s="329">
        <f t="shared" si="649"/>
        <v>0</v>
      </c>
      <c r="C909" s="338">
        <f t="shared" si="635"/>
        <v>188781.04000000015</v>
      </c>
      <c r="D909" s="414">
        <f t="shared" si="636"/>
        <v>0</v>
      </c>
      <c r="E909" s="49">
        <f t="shared" si="650"/>
        <v>0</v>
      </c>
      <c r="F909" s="35">
        <f t="shared" si="637"/>
        <v>0</v>
      </c>
      <c r="G909" s="414">
        <f t="shared" si="638"/>
        <v>0</v>
      </c>
      <c r="H909" s="49">
        <f t="shared" si="651"/>
        <v>0</v>
      </c>
      <c r="I909" s="35">
        <f t="shared" si="639"/>
        <v>55849.709999999977</v>
      </c>
      <c r="J909" s="414">
        <f t="shared" si="640"/>
        <v>0</v>
      </c>
      <c r="K909" s="329">
        <f t="shared" si="652"/>
        <v>0</v>
      </c>
      <c r="L909" s="35">
        <f t="shared" si="641"/>
        <v>0</v>
      </c>
      <c r="M909" s="414">
        <f t="shared" si="642"/>
        <v>0</v>
      </c>
      <c r="N909" s="329">
        <f t="shared" si="653"/>
        <v>0</v>
      </c>
      <c r="O909" s="35">
        <f t="shared" si="643"/>
        <v>26.980000000010332</v>
      </c>
      <c r="P909" s="414">
        <f t="shared" si="644"/>
        <v>0</v>
      </c>
      <c r="Q909" s="329">
        <f t="shared" si="654"/>
        <v>0</v>
      </c>
      <c r="R909" s="35">
        <f t="shared" si="645"/>
        <v>0</v>
      </c>
      <c r="S909" s="414">
        <f t="shared" si="646"/>
        <v>0</v>
      </c>
      <c r="T909" s="880">
        <f>[5]Sheet1!$B1324</f>
        <v>0</v>
      </c>
      <c r="U909" s="10">
        <f t="shared" si="647"/>
        <v>44770</v>
      </c>
      <c r="V909" s="276">
        <f t="shared" si="648"/>
        <v>0</v>
      </c>
    </row>
    <row r="910" spans="1:22" x14ac:dyDescent="0.25">
      <c r="A910" s="335">
        <f t="shared" si="634"/>
        <v>44771</v>
      </c>
      <c r="B910" s="329">
        <f t="shared" si="649"/>
        <v>0</v>
      </c>
      <c r="C910" s="338">
        <f t="shared" si="635"/>
        <v>188781.04000000015</v>
      </c>
      <c r="D910" s="414">
        <f t="shared" si="636"/>
        <v>0</v>
      </c>
      <c r="E910" s="49">
        <f t="shared" si="650"/>
        <v>0</v>
      </c>
      <c r="F910" s="35">
        <f t="shared" si="637"/>
        <v>0</v>
      </c>
      <c r="G910" s="414">
        <f t="shared" si="638"/>
        <v>0</v>
      </c>
      <c r="H910" s="49">
        <f t="shared" si="651"/>
        <v>0</v>
      </c>
      <c r="I910" s="35">
        <f t="shared" si="639"/>
        <v>55849.709999999977</v>
      </c>
      <c r="J910" s="414">
        <f t="shared" si="640"/>
        <v>0</v>
      </c>
      <c r="K910" s="329">
        <f t="shared" si="652"/>
        <v>0</v>
      </c>
      <c r="L910" s="35">
        <f t="shared" si="641"/>
        <v>0</v>
      </c>
      <c r="M910" s="414">
        <f t="shared" si="642"/>
        <v>0</v>
      </c>
      <c r="N910" s="329">
        <f t="shared" si="653"/>
        <v>0</v>
      </c>
      <c r="O910" s="35">
        <f t="shared" si="643"/>
        <v>26.980000000010332</v>
      </c>
      <c r="P910" s="414">
        <f t="shared" si="644"/>
        <v>0</v>
      </c>
      <c r="Q910" s="329">
        <f t="shared" si="654"/>
        <v>0</v>
      </c>
      <c r="R910" s="35">
        <f t="shared" si="645"/>
        <v>0</v>
      </c>
      <c r="S910" s="414">
        <f t="shared" si="646"/>
        <v>0</v>
      </c>
      <c r="T910" s="880">
        <f>[5]Sheet1!$B1325</f>
        <v>0</v>
      </c>
      <c r="U910" s="10">
        <f t="shared" si="647"/>
        <v>44771</v>
      </c>
      <c r="V910" s="276">
        <f t="shared" si="648"/>
        <v>0</v>
      </c>
    </row>
    <row r="911" spans="1:22" x14ac:dyDescent="0.25">
      <c r="A911" s="335">
        <f t="shared" ref="A911:A974" si="655">WORKDAY(A910,1,Holidays)</f>
        <v>44774</v>
      </c>
      <c r="B911" s="329">
        <f t="shared" si="649"/>
        <v>0</v>
      </c>
      <c r="C911" s="338">
        <f t="shared" si="635"/>
        <v>188781.04000000015</v>
      </c>
      <c r="D911" s="414">
        <f t="shared" si="636"/>
        <v>0</v>
      </c>
      <c r="E911" s="49">
        <f t="shared" si="650"/>
        <v>0</v>
      </c>
      <c r="F911" s="35">
        <f t="shared" si="637"/>
        <v>0</v>
      </c>
      <c r="G911" s="414">
        <f t="shared" si="638"/>
        <v>0</v>
      </c>
      <c r="H911" s="49">
        <f t="shared" si="651"/>
        <v>0</v>
      </c>
      <c r="I911" s="35">
        <f t="shared" si="639"/>
        <v>55849.709999999977</v>
      </c>
      <c r="J911" s="414">
        <f t="shared" si="640"/>
        <v>0</v>
      </c>
      <c r="K911" s="329">
        <f t="shared" si="652"/>
        <v>0</v>
      </c>
      <c r="L911" s="35">
        <f t="shared" si="641"/>
        <v>0</v>
      </c>
      <c r="M911" s="414">
        <f t="shared" si="642"/>
        <v>0</v>
      </c>
      <c r="N911" s="329">
        <f t="shared" si="653"/>
        <v>0</v>
      </c>
      <c r="O911" s="35">
        <f t="shared" si="643"/>
        <v>26.980000000010332</v>
      </c>
      <c r="P911" s="414">
        <f t="shared" si="644"/>
        <v>0</v>
      </c>
      <c r="Q911" s="329">
        <f t="shared" si="654"/>
        <v>0</v>
      </c>
      <c r="R911" s="35">
        <f t="shared" si="645"/>
        <v>0</v>
      </c>
      <c r="S911" s="414">
        <f t="shared" si="646"/>
        <v>0</v>
      </c>
      <c r="T911" s="880">
        <f>[5]Sheet1!$B1326</f>
        <v>0</v>
      </c>
      <c r="U911" s="10">
        <f t="shared" si="647"/>
        <v>44774</v>
      </c>
      <c r="V911" s="276">
        <f t="shared" si="648"/>
        <v>0</v>
      </c>
    </row>
    <row r="912" spans="1:22" x14ac:dyDescent="0.25">
      <c r="A912" s="335">
        <f t="shared" si="655"/>
        <v>44775</v>
      </c>
      <c r="B912" s="329">
        <f t="shared" si="649"/>
        <v>0</v>
      </c>
      <c r="C912" s="338">
        <f t="shared" si="635"/>
        <v>188781.04000000015</v>
      </c>
      <c r="D912" s="414">
        <f t="shared" si="636"/>
        <v>0</v>
      </c>
      <c r="E912" s="49">
        <f t="shared" si="650"/>
        <v>0</v>
      </c>
      <c r="F912" s="35">
        <f t="shared" si="637"/>
        <v>0</v>
      </c>
      <c r="G912" s="414">
        <f t="shared" si="638"/>
        <v>0</v>
      </c>
      <c r="H912" s="49">
        <f t="shared" si="651"/>
        <v>0</v>
      </c>
      <c r="I912" s="35">
        <f t="shared" si="639"/>
        <v>55849.709999999977</v>
      </c>
      <c r="J912" s="414">
        <f t="shared" si="640"/>
        <v>0</v>
      </c>
      <c r="K912" s="329">
        <f t="shared" si="652"/>
        <v>0</v>
      </c>
      <c r="L912" s="35">
        <f t="shared" si="641"/>
        <v>0</v>
      </c>
      <c r="M912" s="414">
        <f t="shared" si="642"/>
        <v>0</v>
      </c>
      <c r="N912" s="329">
        <f t="shared" si="653"/>
        <v>0</v>
      </c>
      <c r="O912" s="35">
        <f t="shared" si="643"/>
        <v>26.980000000010332</v>
      </c>
      <c r="P912" s="414">
        <f t="shared" si="644"/>
        <v>0</v>
      </c>
      <c r="Q912" s="329">
        <f t="shared" si="654"/>
        <v>0</v>
      </c>
      <c r="R912" s="35">
        <f t="shared" si="645"/>
        <v>0</v>
      </c>
      <c r="S912" s="414">
        <f t="shared" si="646"/>
        <v>0</v>
      </c>
      <c r="T912" s="880">
        <f>[5]Sheet1!$B1327</f>
        <v>0</v>
      </c>
      <c r="U912" s="10">
        <f t="shared" si="647"/>
        <v>44775</v>
      </c>
      <c r="V912" s="276">
        <f t="shared" si="648"/>
        <v>0</v>
      </c>
    </row>
    <row r="913" spans="1:22" x14ac:dyDescent="0.25">
      <c r="A913" s="335">
        <f t="shared" si="655"/>
        <v>44776</v>
      </c>
      <c r="B913" s="329">
        <f t="shared" si="649"/>
        <v>0</v>
      </c>
      <c r="C913" s="338">
        <f t="shared" si="635"/>
        <v>188781.04000000015</v>
      </c>
      <c r="D913" s="414">
        <f t="shared" si="636"/>
        <v>0</v>
      </c>
      <c r="E913" s="49">
        <f t="shared" si="650"/>
        <v>0</v>
      </c>
      <c r="F913" s="35">
        <f t="shared" si="637"/>
        <v>0</v>
      </c>
      <c r="G913" s="414">
        <f t="shared" si="638"/>
        <v>0</v>
      </c>
      <c r="H913" s="49">
        <f t="shared" si="651"/>
        <v>0</v>
      </c>
      <c r="I913" s="35">
        <f t="shared" si="639"/>
        <v>55849.709999999977</v>
      </c>
      <c r="J913" s="414">
        <f t="shared" si="640"/>
        <v>0</v>
      </c>
      <c r="K913" s="329">
        <f t="shared" si="652"/>
        <v>0</v>
      </c>
      <c r="L913" s="35">
        <f t="shared" si="641"/>
        <v>0</v>
      </c>
      <c r="M913" s="414">
        <f t="shared" si="642"/>
        <v>0</v>
      </c>
      <c r="N913" s="329">
        <f t="shared" si="653"/>
        <v>0</v>
      </c>
      <c r="O913" s="35">
        <f t="shared" si="643"/>
        <v>26.980000000010332</v>
      </c>
      <c r="P913" s="414">
        <f t="shared" si="644"/>
        <v>0</v>
      </c>
      <c r="Q913" s="329">
        <f t="shared" si="654"/>
        <v>0</v>
      </c>
      <c r="R913" s="35">
        <f t="shared" si="645"/>
        <v>0</v>
      </c>
      <c r="S913" s="414">
        <f t="shared" si="646"/>
        <v>0</v>
      </c>
      <c r="T913" s="880">
        <f>[5]Sheet1!$B1328</f>
        <v>0</v>
      </c>
      <c r="U913" s="10">
        <f t="shared" si="647"/>
        <v>44776</v>
      </c>
      <c r="V913" s="276">
        <f t="shared" si="648"/>
        <v>0</v>
      </c>
    </row>
    <row r="914" spans="1:22" x14ac:dyDescent="0.25">
      <c r="A914" s="335">
        <f t="shared" si="655"/>
        <v>44777</v>
      </c>
      <c r="B914" s="329">
        <f t="shared" si="649"/>
        <v>0</v>
      </c>
      <c r="C914" s="338">
        <f t="shared" si="635"/>
        <v>188781.04000000015</v>
      </c>
      <c r="D914" s="414">
        <f t="shared" si="636"/>
        <v>0</v>
      </c>
      <c r="E914" s="49">
        <f t="shared" si="650"/>
        <v>0</v>
      </c>
      <c r="F914" s="35">
        <f t="shared" si="637"/>
        <v>0</v>
      </c>
      <c r="G914" s="414">
        <f t="shared" si="638"/>
        <v>0</v>
      </c>
      <c r="H914" s="49">
        <f t="shared" si="651"/>
        <v>0</v>
      </c>
      <c r="I914" s="35">
        <f t="shared" si="639"/>
        <v>55849.709999999977</v>
      </c>
      <c r="J914" s="414">
        <f t="shared" si="640"/>
        <v>0</v>
      </c>
      <c r="K914" s="329">
        <f t="shared" si="652"/>
        <v>0</v>
      </c>
      <c r="L914" s="35">
        <f t="shared" si="641"/>
        <v>0</v>
      </c>
      <c r="M914" s="414">
        <f t="shared" si="642"/>
        <v>0</v>
      </c>
      <c r="N914" s="329">
        <f t="shared" si="653"/>
        <v>0</v>
      </c>
      <c r="O914" s="35">
        <f t="shared" si="643"/>
        <v>26.980000000010332</v>
      </c>
      <c r="P914" s="414">
        <f t="shared" si="644"/>
        <v>0</v>
      </c>
      <c r="Q914" s="329">
        <f t="shared" si="654"/>
        <v>0</v>
      </c>
      <c r="R914" s="35">
        <f t="shared" si="645"/>
        <v>0</v>
      </c>
      <c r="S914" s="414">
        <f t="shared" si="646"/>
        <v>0</v>
      </c>
      <c r="T914" s="880">
        <f>[5]Sheet1!$B1329</f>
        <v>0</v>
      </c>
      <c r="U914" s="10">
        <f t="shared" si="647"/>
        <v>44777</v>
      </c>
      <c r="V914" s="276">
        <f t="shared" si="648"/>
        <v>0</v>
      </c>
    </row>
    <row r="915" spans="1:22" x14ac:dyDescent="0.25">
      <c r="A915" s="335">
        <f t="shared" si="655"/>
        <v>44778</v>
      </c>
      <c r="B915" s="329">
        <f t="shared" si="649"/>
        <v>0</v>
      </c>
      <c r="C915" s="338">
        <f t="shared" si="635"/>
        <v>188781.04000000015</v>
      </c>
      <c r="D915" s="414">
        <f t="shared" si="636"/>
        <v>0</v>
      </c>
      <c r="E915" s="49">
        <f t="shared" si="650"/>
        <v>0</v>
      </c>
      <c r="F915" s="35">
        <f t="shared" si="637"/>
        <v>0</v>
      </c>
      <c r="G915" s="414">
        <f t="shared" si="638"/>
        <v>0</v>
      </c>
      <c r="H915" s="49">
        <f t="shared" si="651"/>
        <v>0</v>
      </c>
      <c r="I915" s="35">
        <f t="shared" si="639"/>
        <v>55849.709999999977</v>
      </c>
      <c r="J915" s="414">
        <f t="shared" si="640"/>
        <v>0</v>
      </c>
      <c r="K915" s="329">
        <f t="shared" si="652"/>
        <v>0</v>
      </c>
      <c r="L915" s="35">
        <f t="shared" si="641"/>
        <v>0</v>
      </c>
      <c r="M915" s="414">
        <f t="shared" si="642"/>
        <v>0</v>
      </c>
      <c r="N915" s="329">
        <f t="shared" si="653"/>
        <v>0</v>
      </c>
      <c r="O915" s="35">
        <f t="shared" si="643"/>
        <v>26.980000000010332</v>
      </c>
      <c r="P915" s="414">
        <f t="shared" si="644"/>
        <v>0</v>
      </c>
      <c r="Q915" s="329">
        <f t="shared" si="654"/>
        <v>0</v>
      </c>
      <c r="R915" s="35">
        <f t="shared" si="645"/>
        <v>0</v>
      </c>
      <c r="S915" s="414">
        <f t="shared" si="646"/>
        <v>0</v>
      </c>
      <c r="T915" s="880">
        <f>[5]Sheet1!$B1330</f>
        <v>0</v>
      </c>
      <c r="U915" s="10">
        <f t="shared" si="647"/>
        <v>44778</v>
      </c>
      <c r="V915" s="276">
        <f t="shared" si="648"/>
        <v>0</v>
      </c>
    </row>
    <row r="916" spans="1:22" x14ac:dyDescent="0.25">
      <c r="A916" s="335">
        <f t="shared" si="655"/>
        <v>44781</v>
      </c>
      <c r="B916" s="329">
        <f t="shared" si="649"/>
        <v>0</v>
      </c>
      <c r="C916" s="338">
        <f t="shared" si="635"/>
        <v>188781.04000000015</v>
      </c>
      <c r="D916" s="414">
        <f t="shared" si="636"/>
        <v>0</v>
      </c>
      <c r="E916" s="49">
        <f t="shared" si="650"/>
        <v>0</v>
      </c>
      <c r="F916" s="35">
        <f t="shared" si="637"/>
        <v>0</v>
      </c>
      <c r="G916" s="414">
        <f t="shared" si="638"/>
        <v>0</v>
      </c>
      <c r="H916" s="49">
        <f t="shared" si="651"/>
        <v>0</v>
      </c>
      <c r="I916" s="35">
        <f t="shared" si="639"/>
        <v>55849.709999999977</v>
      </c>
      <c r="J916" s="414">
        <f t="shared" si="640"/>
        <v>0</v>
      </c>
      <c r="K916" s="329">
        <f t="shared" si="652"/>
        <v>0</v>
      </c>
      <c r="L916" s="35">
        <f t="shared" si="641"/>
        <v>0</v>
      </c>
      <c r="M916" s="414">
        <f t="shared" si="642"/>
        <v>0</v>
      </c>
      <c r="N916" s="329">
        <f t="shared" si="653"/>
        <v>0</v>
      </c>
      <c r="O916" s="35">
        <f t="shared" si="643"/>
        <v>26.980000000010332</v>
      </c>
      <c r="P916" s="414">
        <f t="shared" si="644"/>
        <v>0</v>
      </c>
      <c r="Q916" s="329">
        <f t="shared" si="654"/>
        <v>0</v>
      </c>
      <c r="R916" s="35">
        <f t="shared" si="645"/>
        <v>0</v>
      </c>
      <c r="S916" s="414">
        <f t="shared" si="646"/>
        <v>0</v>
      </c>
      <c r="T916" s="880">
        <f>[5]Sheet1!$B1331</f>
        <v>0</v>
      </c>
      <c r="U916" s="10">
        <f t="shared" si="647"/>
        <v>44781</v>
      </c>
      <c r="V916" s="276">
        <f t="shared" si="648"/>
        <v>0</v>
      </c>
    </row>
    <row r="917" spans="1:22" x14ac:dyDescent="0.25">
      <c r="A917" s="335">
        <f t="shared" si="655"/>
        <v>44782</v>
      </c>
      <c r="B917" s="329">
        <f t="shared" si="649"/>
        <v>0</v>
      </c>
      <c r="C917" s="338">
        <f t="shared" si="635"/>
        <v>188781.04000000015</v>
      </c>
      <c r="D917" s="414">
        <f t="shared" si="636"/>
        <v>0</v>
      </c>
      <c r="E917" s="49">
        <f t="shared" si="650"/>
        <v>0</v>
      </c>
      <c r="F917" s="35">
        <f t="shared" si="637"/>
        <v>0</v>
      </c>
      <c r="G917" s="414">
        <f t="shared" si="638"/>
        <v>0</v>
      </c>
      <c r="H917" s="49">
        <f t="shared" si="651"/>
        <v>0</v>
      </c>
      <c r="I917" s="35">
        <f t="shared" si="639"/>
        <v>55849.709999999977</v>
      </c>
      <c r="J917" s="414">
        <f t="shared" si="640"/>
        <v>0</v>
      </c>
      <c r="K917" s="329">
        <f t="shared" si="652"/>
        <v>0</v>
      </c>
      <c r="L917" s="35">
        <f t="shared" si="641"/>
        <v>0</v>
      </c>
      <c r="M917" s="414">
        <f t="shared" si="642"/>
        <v>0</v>
      </c>
      <c r="N917" s="329">
        <f t="shared" si="653"/>
        <v>0</v>
      </c>
      <c r="O917" s="35">
        <f t="shared" si="643"/>
        <v>26.980000000010332</v>
      </c>
      <c r="P917" s="414">
        <f t="shared" si="644"/>
        <v>0</v>
      </c>
      <c r="Q917" s="329">
        <f t="shared" si="654"/>
        <v>0</v>
      </c>
      <c r="R917" s="35">
        <f t="shared" si="645"/>
        <v>0</v>
      </c>
      <c r="S917" s="414">
        <f t="shared" si="646"/>
        <v>0</v>
      </c>
      <c r="T917" s="880">
        <f>[5]Sheet1!$B1332</f>
        <v>0</v>
      </c>
      <c r="U917" s="10">
        <f t="shared" si="647"/>
        <v>44782</v>
      </c>
      <c r="V917" s="276">
        <f t="shared" si="648"/>
        <v>0</v>
      </c>
    </row>
    <row r="918" spans="1:22" x14ac:dyDescent="0.25">
      <c r="A918" s="335">
        <f t="shared" si="655"/>
        <v>44783</v>
      </c>
      <c r="B918" s="329">
        <f t="shared" si="649"/>
        <v>0</v>
      </c>
      <c r="C918" s="338">
        <f t="shared" si="635"/>
        <v>188781.04000000015</v>
      </c>
      <c r="D918" s="414">
        <f t="shared" si="636"/>
        <v>0</v>
      </c>
      <c r="E918" s="49">
        <f t="shared" si="650"/>
        <v>0</v>
      </c>
      <c r="F918" s="35">
        <f t="shared" si="637"/>
        <v>0</v>
      </c>
      <c r="G918" s="414">
        <f t="shared" si="638"/>
        <v>0</v>
      </c>
      <c r="H918" s="49">
        <f t="shared" si="651"/>
        <v>0</v>
      </c>
      <c r="I918" s="35">
        <f t="shared" si="639"/>
        <v>55849.709999999977</v>
      </c>
      <c r="J918" s="414">
        <f t="shared" si="640"/>
        <v>0</v>
      </c>
      <c r="K918" s="329">
        <f t="shared" si="652"/>
        <v>0</v>
      </c>
      <c r="L918" s="35">
        <f t="shared" si="641"/>
        <v>0</v>
      </c>
      <c r="M918" s="414">
        <f t="shared" si="642"/>
        <v>0</v>
      </c>
      <c r="N918" s="329">
        <f t="shared" si="653"/>
        <v>0</v>
      </c>
      <c r="O918" s="35">
        <f t="shared" si="643"/>
        <v>26.980000000010332</v>
      </c>
      <c r="P918" s="414">
        <f t="shared" si="644"/>
        <v>0</v>
      </c>
      <c r="Q918" s="329">
        <f t="shared" si="654"/>
        <v>0</v>
      </c>
      <c r="R918" s="35">
        <f t="shared" si="645"/>
        <v>0</v>
      </c>
      <c r="S918" s="414">
        <f t="shared" si="646"/>
        <v>0</v>
      </c>
      <c r="T918" s="880">
        <f>[5]Sheet1!$B1333</f>
        <v>0</v>
      </c>
      <c r="U918" s="10">
        <f t="shared" si="647"/>
        <v>44783</v>
      </c>
      <c r="V918" s="276">
        <f t="shared" si="648"/>
        <v>0</v>
      </c>
    </row>
    <row r="919" spans="1:22" x14ac:dyDescent="0.25">
      <c r="A919" s="335">
        <f t="shared" si="655"/>
        <v>44784</v>
      </c>
      <c r="B919" s="329">
        <f t="shared" si="649"/>
        <v>0</v>
      </c>
      <c r="C919" s="338">
        <f t="shared" si="635"/>
        <v>188781.04000000015</v>
      </c>
      <c r="D919" s="414">
        <f t="shared" si="636"/>
        <v>0</v>
      </c>
      <c r="E919" s="49">
        <f t="shared" si="650"/>
        <v>0</v>
      </c>
      <c r="F919" s="35">
        <f t="shared" si="637"/>
        <v>0</v>
      </c>
      <c r="G919" s="414">
        <f t="shared" si="638"/>
        <v>0</v>
      </c>
      <c r="H919" s="49">
        <f t="shared" si="651"/>
        <v>0</v>
      </c>
      <c r="I919" s="35">
        <f t="shared" si="639"/>
        <v>55849.709999999977</v>
      </c>
      <c r="J919" s="414">
        <f t="shared" si="640"/>
        <v>0</v>
      </c>
      <c r="K919" s="329">
        <f t="shared" si="652"/>
        <v>0</v>
      </c>
      <c r="L919" s="35">
        <f t="shared" si="641"/>
        <v>0</v>
      </c>
      <c r="M919" s="414">
        <f t="shared" si="642"/>
        <v>0</v>
      </c>
      <c r="N919" s="329">
        <f t="shared" si="653"/>
        <v>0</v>
      </c>
      <c r="O919" s="35">
        <f t="shared" si="643"/>
        <v>26.980000000010332</v>
      </c>
      <c r="P919" s="414">
        <f t="shared" si="644"/>
        <v>0</v>
      </c>
      <c r="Q919" s="329">
        <f t="shared" si="654"/>
        <v>0</v>
      </c>
      <c r="R919" s="35">
        <f t="shared" si="645"/>
        <v>0</v>
      </c>
      <c r="S919" s="414">
        <f t="shared" si="646"/>
        <v>0</v>
      </c>
      <c r="T919" s="880">
        <f>[5]Sheet1!$B1334</f>
        <v>0</v>
      </c>
      <c r="U919" s="10">
        <f t="shared" si="647"/>
        <v>44784</v>
      </c>
      <c r="V919" s="276">
        <f t="shared" si="648"/>
        <v>0</v>
      </c>
    </row>
    <row r="920" spans="1:22" x14ac:dyDescent="0.25">
      <c r="A920" s="335">
        <f t="shared" si="655"/>
        <v>44785</v>
      </c>
      <c r="B920" s="329">
        <f t="shared" si="649"/>
        <v>0</v>
      </c>
      <c r="C920" s="338">
        <f t="shared" si="635"/>
        <v>188781.04000000015</v>
      </c>
      <c r="D920" s="414">
        <f t="shared" si="636"/>
        <v>0</v>
      </c>
      <c r="E920" s="49">
        <f t="shared" si="650"/>
        <v>0</v>
      </c>
      <c r="F920" s="35">
        <f t="shared" si="637"/>
        <v>0</v>
      </c>
      <c r="G920" s="414">
        <f t="shared" si="638"/>
        <v>0</v>
      </c>
      <c r="H920" s="49">
        <f t="shared" si="651"/>
        <v>0</v>
      </c>
      <c r="I920" s="35">
        <f t="shared" si="639"/>
        <v>55849.709999999977</v>
      </c>
      <c r="J920" s="414">
        <f t="shared" si="640"/>
        <v>0</v>
      </c>
      <c r="K920" s="329">
        <f t="shared" si="652"/>
        <v>0</v>
      </c>
      <c r="L920" s="35">
        <f t="shared" si="641"/>
        <v>0</v>
      </c>
      <c r="M920" s="414">
        <f t="shared" si="642"/>
        <v>0</v>
      </c>
      <c r="N920" s="329">
        <f t="shared" si="653"/>
        <v>0</v>
      </c>
      <c r="O920" s="35">
        <f t="shared" si="643"/>
        <v>26.980000000010332</v>
      </c>
      <c r="P920" s="414">
        <f t="shared" si="644"/>
        <v>0</v>
      </c>
      <c r="Q920" s="329">
        <f t="shared" si="654"/>
        <v>0</v>
      </c>
      <c r="R920" s="35">
        <f t="shared" si="645"/>
        <v>0</v>
      </c>
      <c r="S920" s="414">
        <f t="shared" si="646"/>
        <v>0</v>
      </c>
      <c r="T920" s="880">
        <f>[5]Sheet1!$B1335</f>
        <v>0</v>
      </c>
      <c r="U920" s="10">
        <f t="shared" si="647"/>
        <v>44785</v>
      </c>
      <c r="V920" s="276">
        <f t="shared" si="648"/>
        <v>0</v>
      </c>
    </row>
    <row r="921" spans="1:22" x14ac:dyDescent="0.25">
      <c r="A921" s="335">
        <f t="shared" si="655"/>
        <v>44788</v>
      </c>
      <c r="B921" s="329">
        <f t="shared" si="649"/>
        <v>0</v>
      </c>
      <c r="C921" s="338">
        <f t="shared" si="635"/>
        <v>188781.04000000015</v>
      </c>
      <c r="D921" s="414">
        <f t="shared" si="636"/>
        <v>0</v>
      </c>
      <c r="E921" s="49">
        <f t="shared" si="650"/>
        <v>0</v>
      </c>
      <c r="F921" s="35">
        <f t="shared" si="637"/>
        <v>0</v>
      </c>
      <c r="G921" s="414">
        <f t="shared" si="638"/>
        <v>0</v>
      </c>
      <c r="H921" s="49">
        <f t="shared" si="651"/>
        <v>0</v>
      </c>
      <c r="I921" s="35">
        <f t="shared" si="639"/>
        <v>55849.709999999977</v>
      </c>
      <c r="J921" s="414">
        <f t="shared" si="640"/>
        <v>0</v>
      </c>
      <c r="K921" s="329">
        <f t="shared" si="652"/>
        <v>0</v>
      </c>
      <c r="L921" s="35">
        <f t="shared" si="641"/>
        <v>0</v>
      </c>
      <c r="M921" s="414">
        <f t="shared" si="642"/>
        <v>0</v>
      </c>
      <c r="N921" s="329">
        <f t="shared" si="653"/>
        <v>0</v>
      </c>
      <c r="O921" s="35">
        <f t="shared" si="643"/>
        <v>26.980000000010332</v>
      </c>
      <c r="P921" s="414">
        <f t="shared" si="644"/>
        <v>0</v>
      </c>
      <c r="Q921" s="329">
        <f t="shared" si="654"/>
        <v>0</v>
      </c>
      <c r="R921" s="35">
        <f t="shared" si="645"/>
        <v>0</v>
      </c>
      <c r="S921" s="414">
        <f t="shared" si="646"/>
        <v>0</v>
      </c>
      <c r="T921" s="880">
        <f>[5]Sheet1!$B1336</f>
        <v>0</v>
      </c>
      <c r="U921" s="10">
        <f t="shared" si="647"/>
        <v>44788</v>
      </c>
      <c r="V921" s="276">
        <f t="shared" si="648"/>
        <v>0</v>
      </c>
    </row>
    <row r="922" spans="1:22" x14ac:dyDescent="0.25">
      <c r="A922" s="335">
        <f t="shared" si="655"/>
        <v>44789</v>
      </c>
      <c r="B922" s="329">
        <f t="shared" si="649"/>
        <v>0</v>
      </c>
      <c r="C922" s="338">
        <f t="shared" si="635"/>
        <v>188781.04000000015</v>
      </c>
      <c r="D922" s="414">
        <f t="shared" si="636"/>
        <v>0</v>
      </c>
      <c r="E922" s="49">
        <f t="shared" si="650"/>
        <v>0</v>
      </c>
      <c r="F922" s="35">
        <f t="shared" si="637"/>
        <v>0</v>
      </c>
      <c r="G922" s="414">
        <f t="shared" si="638"/>
        <v>0</v>
      </c>
      <c r="H922" s="49">
        <f t="shared" si="651"/>
        <v>0</v>
      </c>
      <c r="I922" s="35">
        <f t="shared" si="639"/>
        <v>55849.709999999977</v>
      </c>
      <c r="J922" s="414">
        <f t="shared" si="640"/>
        <v>0</v>
      </c>
      <c r="K922" s="329">
        <f t="shared" si="652"/>
        <v>0</v>
      </c>
      <c r="L922" s="35">
        <f t="shared" si="641"/>
        <v>0</v>
      </c>
      <c r="M922" s="414">
        <f t="shared" si="642"/>
        <v>0</v>
      </c>
      <c r="N922" s="329">
        <f t="shared" si="653"/>
        <v>0</v>
      </c>
      <c r="O922" s="35">
        <f t="shared" si="643"/>
        <v>26.980000000010332</v>
      </c>
      <c r="P922" s="414">
        <f t="shared" si="644"/>
        <v>0</v>
      </c>
      <c r="Q922" s="329">
        <f t="shared" si="654"/>
        <v>0</v>
      </c>
      <c r="R922" s="35">
        <f t="shared" si="645"/>
        <v>0</v>
      </c>
      <c r="S922" s="414">
        <f t="shared" si="646"/>
        <v>0</v>
      </c>
      <c r="T922" s="880">
        <f>[5]Sheet1!$B1337</f>
        <v>0</v>
      </c>
      <c r="U922" s="10">
        <f t="shared" si="647"/>
        <v>44789</v>
      </c>
      <c r="V922" s="276">
        <f t="shared" si="648"/>
        <v>0</v>
      </c>
    </row>
    <row r="923" spans="1:22" x14ac:dyDescent="0.25">
      <c r="A923" s="335">
        <f t="shared" si="655"/>
        <v>44790</v>
      </c>
      <c r="B923" s="329">
        <f t="shared" si="649"/>
        <v>0</v>
      </c>
      <c r="C923" s="338">
        <f t="shared" si="635"/>
        <v>188781.04000000015</v>
      </c>
      <c r="D923" s="414">
        <f t="shared" si="636"/>
        <v>0</v>
      </c>
      <c r="E923" s="49">
        <f t="shared" si="650"/>
        <v>0</v>
      </c>
      <c r="F923" s="35">
        <f t="shared" si="637"/>
        <v>0</v>
      </c>
      <c r="G923" s="414">
        <f t="shared" si="638"/>
        <v>0</v>
      </c>
      <c r="H923" s="49">
        <f t="shared" si="651"/>
        <v>0</v>
      </c>
      <c r="I923" s="35">
        <f t="shared" si="639"/>
        <v>55849.709999999977</v>
      </c>
      <c r="J923" s="414">
        <f t="shared" si="640"/>
        <v>0</v>
      </c>
      <c r="K923" s="329">
        <f t="shared" si="652"/>
        <v>0</v>
      </c>
      <c r="L923" s="35">
        <f t="shared" si="641"/>
        <v>0</v>
      </c>
      <c r="M923" s="414">
        <f t="shared" si="642"/>
        <v>0</v>
      </c>
      <c r="N923" s="329">
        <f t="shared" si="653"/>
        <v>0</v>
      </c>
      <c r="O923" s="35">
        <f t="shared" si="643"/>
        <v>26.980000000010332</v>
      </c>
      <c r="P923" s="414">
        <f t="shared" si="644"/>
        <v>0</v>
      </c>
      <c r="Q923" s="329">
        <f t="shared" si="654"/>
        <v>0</v>
      </c>
      <c r="R923" s="35">
        <f t="shared" si="645"/>
        <v>0</v>
      </c>
      <c r="S923" s="414">
        <f t="shared" si="646"/>
        <v>0</v>
      </c>
      <c r="T923" s="880">
        <f>[5]Sheet1!$B1338</f>
        <v>0</v>
      </c>
      <c r="U923" s="10">
        <f t="shared" si="647"/>
        <v>44790</v>
      </c>
      <c r="V923" s="276">
        <f t="shared" si="648"/>
        <v>0</v>
      </c>
    </row>
    <row r="924" spans="1:22" x14ac:dyDescent="0.25">
      <c r="A924" s="335">
        <f t="shared" si="655"/>
        <v>44791</v>
      </c>
      <c r="B924" s="329">
        <f t="shared" si="649"/>
        <v>0</v>
      </c>
      <c r="C924" s="338">
        <f t="shared" si="635"/>
        <v>188781.04000000015</v>
      </c>
      <c r="D924" s="414">
        <f t="shared" si="636"/>
        <v>0</v>
      </c>
      <c r="E924" s="49">
        <f t="shared" si="650"/>
        <v>0</v>
      </c>
      <c r="F924" s="35">
        <f t="shared" si="637"/>
        <v>0</v>
      </c>
      <c r="G924" s="414">
        <f t="shared" si="638"/>
        <v>0</v>
      </c>
      <c r="H924" s="49">
        <f t="shared" si="651"/>
        <v>0</v>
      </c>
      <c r="I924" s="35">
        <f t="shared" si="639"/>
        <v>55849.709999999977</v>
      </c>
      <c r="J924" s="414">
        <f t="shared" si="640"/>
        <v>0</v>
      </c>
      <c r="K924" s="329">
        <f t="shared" si="652"/>
        <v>0</v>
      </c>
      <c r="L924" s="35">
        <f t="shared" si="641"/>
        <v>0</v>
      </c>
      <c r="M924" s="414">
        <f t="shared" si="642"/>
        <v>0</v>
      </c>
      <c r="N924" s="329">
        <f t="shared" si="653"/>
        <v>0</v>
      </c>
      <c r="O924" s="35">
        <f t="shared" si="643"/>
        <v>26.980000000010332</v>
      </c>
      <c r="P924" s="414">
        <f t="shared" si="644"/>
        <v>0</v>
      </c>
      <c r="Q924" s="329">
        <f t="shared" si="654"/>
        <v>0</v>
      </c>
      <c r="R924" s="35">
        <f t="shared" si="645"/>
        <v>0</v>
      </c>
      <c r="S924" s="414">
        <f t="shared" si="646"/>
        <v>0</v>
      </c>
      <c r="T924" s="880">
        <f>[5]Sheet1!$B1339</f>
        <v>0</v>
      </c>
      <c r="U924" s="10">
        <f t="shared" si="647"/>
        <v>44791</v>
      </c>
      <c r="V924" s="276">
        <f t="shared" si="648"/>
        <v>0</v>
      </c>
    </row>
    <row r="925" spans="1:22" x14ac:dyDescent="0.25">
      <c r="A925" s="335">
        <f t="shared" si="655"/>
        <v>44792</v>
      </c>
      <c r="B925" s="329">
        <f t="shared" si="649"/>
        <v>0</v>
      </c>
      <c r="C925" s="338">
        <f t="shared" si="635"/>
        <v>188781.04000000015</v>
      </c>
      <c r="D925" s="414">
        <f t="shared" si="636"/>
        <v>0</v>
      </c>
      <c r="E925" s="49">
        <f t="shared" si="650"/>
        <v>0</v>
      </c>
      <c r="F925" s="35">
        <f t="shared" si="637"/>
        <v>0</v>
      </c>
      <c r="G925" s="414">
        <f t="shared" si="638"/>
        <v>0</v>
      </c>
      <c r="H925" s="49">
        <f t="shared" si="651"/>
        <v>0</v>
      </c>
      <c r="I925" s="35">
        <f t="shared" si="639"/>
        <v>55849.709999999977</v>
      </c>
      <c r="J925" s="414">
        <f t="shared" si="640"/>
        <v>0</v>
      </c>
      <c r="K925" s="329">
        <f t="shared" si="652"/>
        <v>0</v>
      </c>
      <c r="L925" s="35">
        <f t="shared" si="641"/>
        <v>0</v>
      </c>
      <c r="M925" s="414">
        <f t="shared" si="642"/>
        <v>0</v>
      </c>
      <c r="N925" s="329">
        <f t="shared" si="653"/>
        <v>0</v>
      </c>
      <c r="O925" s="35">
        <f t="shared" si="643"/>
        <v>26.980000000010332</v>
      </c>
      <c r="P925" s="414">
        <f t="shared" si="644"/>
        <v>0</v>
      </c>
      <c r="Q925" s="329">
        <f t="shared" si="654"/>
        <v>0</v>
      </c>
      <c r="R925" s="35">
        <f t="shared" si="645"/>
        <v>0</v>
      </c>
      <c r="S925" s="414">
        <f t="shared" si="646"/>
        <v>0</v>
      </c>
      <c r="T925" s="880">
        <f>[5]Sheet1!$B1340</f>
        <v>0</v>
      </c>
      <c r="U925" s="10">
        <f t="shared" si="647"/>
        <v>44792</v>
      </c>
      <c r="V925" s="276">
        <f t="shared" si="648"/>
        <v>0</v>
      </c>
    </row>
    <row r="926" spans="1:22" x14ac:dyDescent="0.25">
      <c r="A926" s="335">
        <f t="shared" si="655"/>
        <v>44795</v>
      </c>
      <c r="B926" s="329">
        <f t="shared" si="649"/>
        <v>0</v>
      </c>
      <c r="C926" s="338">
        <f t="shared" si="635"/>
        <v>188781.04000000015</v>
      </c>
      <c r="D926" s="414">
        <f t="shared" si="636"/>
        <v>0</v>
      </c>
      <c r="E926" s="49">
        <f t="shared" si="650"/>
        <v>0</v>
      </c>
      <c r="F926" s="35">
        <f t="shared" si="637"/>
        <v>0</v>
      </c>
      <c r="G926" s="414">
        <f t="shared" si="638"/>
        <v>0</v>
      </c>
      <c r="H926" s="49">
        <f t="shared" si="651"/>
        <v>0</v>
      </c>
      <c r="I926" s="35">
        <f t="shared" si="639"/>
        <v>55849.709999999977</v>
      </c>
      <c r="J926" s="414">
        <f t="shared" si="640"/>
        <v>0</v>
      </c>
      <c r="K926" s="329">
        <f t="shared" si="652"/>
        <v>0</v>
      </c>
      <c r="L926" s="35">
        <f t="shared" si="641"/>
        <v>0</v>
      </c>
      <c r="M926" s="414">
        <f t="shared" si="642"/>
        <v>0</v>
      </c>
      <c r="N926" s="329">
        <f t="shared" si="653"/>
        <v>0</v>
      </c>
      <c r="O926" s="35">
        <f t="shared" si="643"/>
        <v>26.980000000010332</v>
      </c>
      <c r="P926" s="414">
        <f t="shared" si="644"/>
        <v>0</v>
      </c>
      <c r="Q926" s="329">
        <f t="shared" si="654"/>
        <v>0</v>
      </c>
      <c r="R926" s="35">
        <f t="shared" si="645"/>
        <v>0</v>
      </c>
      <c r="S926" s="414">
        <f t="shared" si="646"/>
        <v>0</v>
      </c>
      <c r="T926" s="880">
        <f>[5]Sheet1!$B1341</f>
        <v>0</v>
      </c>
      <c r="U926" s="10">
        <f t="shared" si="647"/>
        <v>44795</v>
      </c>
      <c r="V926" s="276">
        <f t="shared" si="648"/>
        <v>0</v>
      </c>
    </row>
    <row r="927" spans="1:22" x14ac:dyDescent="0.25">
      <c r="A927" s="335">
        <f t="shared" si="655"/>
        <v>44796</v>
      </c>
      <c r="B927" s="329">
        <f t="shared" si="649"/>
        <v>0</v>
      </c>
      <c r="C927" s="338">
        <f t="shared" si="635"/>
        <v>188781.04000000015</v>
      </c>
      <c r="D927" s="414">
        <f t="shared" si="636"/>
        <v>0</v>
      </c>
      <c r="E927" s="49">
        <f t="shared" si="650"/>
        <v>0</v>
      </c>
      <c r="F927" s="35">
        <f t="shared" si="637"/>
        <v>0</v>
      </c>
      <c r="G927" s="414">
        <f t="shared" si="638"/>
        <v>0</v>
      </c>
      <c r="H927" s="49">
        <f t="shared" si="651"/>
        <v>0</v>
      </c>
      <c r="I927" s="35">
        <f t="shared" si="639"/>
        <v>55849.709999999977</v>
      </c>
      <c r="J927" s="414">
        <f t="shared" si="640"/>
        <v>0</v>
      </c>
      <c r="K927" s="329">
        <f t="shared" si="652"/>
        <v>0</v>
      </c>
      <c r="L927" s="35">
        <f t="shared" si="641"/>
        <v>0</v>
      </c>
      <c r="M927" s="414">
        <f t="shared" si="642"/>
        <v>0</v>
      </c>
      <c r="N927" s="329">
        <f t="shared" si="653"/>
        <v>0</v>
      </c>
      <c r="O927" s="35">
        <f t="shared" si="643"/>
        <v>26.980000000010332</v>
      </c>
      <c r="P927" s="414">
        <f t="shared" si="644"/>
        <v>0</v>
      </c>
      <c r="Q927" s="329">
        <f t="shared" si="654"/>
        <v>0</v>
      </c>
      <c r="R927" s="35">
        <f t="shared" si="645"/>
        <v>0</v>
      </c>
      <c r="S927" s="414">
        <f t="shared" si="646"/>
        <v>0</v>
      </c>
      <c r="T927" s="880">
        <f>[5]Sheet1!$B1342</f>
        <v>0</v>
      </c>
      <c r="U927" s="10">
        <f t="shared" si="647"/>
        <v>44796</v>
      </c>
      <c r="V927" s="276">
        <f t="shared" si="648"/>
        <v>0</v>
      </c>
    </row>
    <row r="928" spans="1:22" x14ac:dyDescent="0.25">
      <c r="A928" s="335">
        <f t="shared" si="655"/>
        <v>44797</v>
      </c>
      <c r="B928" s="329">
        <f t="shared" si="649"/>
        <v>0</v>
      </c>
      <c r="C928" s="338">
        <f t="shared" si="635"/>
        <v>188781.04000000015</v>
      </c>
      <c r="D928" s="414">
        <f t="shared" si="636"/>
        <v>0</v>
      </c>
      <c r="E928" s="49">
        <f t="shared" si="650"/>
        <v>0</v>
      </c>
      <c r="F928" s="35">
        <f t="shared" si="637"/>
        <v>0</v>
      </c>
      <c r="G928" s="414">
        <f t="shared" si="638"/>
        <v>0</v>
      </c>
      <c r="H928" s="49">
        <f t="shared" si="651"/>
        <v>0</v>
      </c>
      <c r="I928" s="35">
        <f t="shared" si="639"/>
        <v>55849.709999999977</v>
      </c>
      <c r="J928" s="414">
        <f t="shared" si="640"/>
        <v>0</v>
      </c>
      <c r="K928" s="329">
        <f t="shared" si="652"/>
        <v>0</v>
      </c>
      <c r="L928" s="35">
        <f t="shared" si="641"/>
        <v>0</v>
      </c>
      <c r="M928" s="414">
        <f t="shared" si="642"/>
        <v>0</v>
      </c>
      <c r="N928" s="329">
        <f t="shared" si="653"/>
        <v>0</v>
      </c>
      <c r="O928" s="35">
        <f t="shared" si="643"/>
        <v>26.980000000010332</v>
      </c>
      <c r="P928" s="414">
        <f t="shared" si="644"/>
        <v>0</v>
      </c>
      <c r="Q928" s="329">
        <f t="shared" si="654"/>
        <v>0</v>
      </c>
      <c r="R928" s="35">
        <f t="shared" si="645"/>
        <v>0</v>
      </c>
      <c r="S928" s="414">
        <f t="shared" si="646"/>
        <v>0</v>
      </c>
      <c r="T928" s="880">
        <f>[5]Sheet1!$B1343</f>
        <v>0</v>
      </c>
      <c r="U928" s="10">
        <f t="shared" si="647"/>
        <v>44797</v>
      </c>
      <c r="V928" s="276">
        <f t="shared" si="648"/>
        <v>0</v>
      </c>
    </row>
    <row r="929" spans="1:22" x14ac:dyDescent="0.25">
      <c r="A929" s="335">
        <f t="shared" si="655"/>
        <v>44798</v>
      </c>
      <c r="B929" s="329">
        <f t="shared" si="649"/>
        <v>0</v>
      </c>
      <c r="C929" s="338">
        <f t="shared" si="635"/>
        <v>188781.04000000015</v>
      </c>
      <c r="D929" s="414">
        <f t="shared" si="636"/>
        <v>0</v>
      </c>
      <c r="E929" s="49">
        <f t="shared" si="650"/>
        <v>0</v>
      </c>
      <c r="F929" s="35">
        <f t="shared" si="637"/>
        <v>0</v>
      </c>
      <c r="G929" s="414">
        <f t="shared" si="638"/>
        <v>0</v>
      </c>
      <c r="H929" s="49">
        <f t="shared" si="651"/>
        <v>0</v>
      </c>
      <c r="I929" s="35">
        <f t="shared" si="639"/>
        <v>55849.709999999977</v>
      </c>
      <c r="J929" s="414">
        <f t="shared" si="640"/>
        <v>0</v>
      </c>
      <c r="K929" s="329">
        <f t="shared" si="652"/>
        <v>0</v>
      </c>
      <c r="L929" s="35">
        <f t="shared" si="641"/>
        <v>0</v>
      </c>
      <c r="M929" s="414">
        <f t="shared" si="642"/>
        <v>0</v>
      </c>
      <c r="N929" s="329">
        <f t="shared" si="653"/>
        <v>0</v>
      </c>
      <c r="O929" s="35">
        <f t="shared" si="643"/>
        <v>26.980000000010332</v>
      </c>
      <c r="P929" s="414">
        <f t="shared" si="644"/>
        <v>0</v>
      </c>
      <c r="Q929" s="329">
        <f t="shared" si="654"/>
        <v>0</v>
      </c>
      <c r="R929" s="35">
        <f t="shared" si="645"/>
        <v>0</v>
      </c>
      <c r="S929" s="414">
        <f t="shared" si="646"/>
        <v>0</v>
      </c>
      <c r="T929" s="880">
        <f>[5]Sheet1!$B1344</f>
        <v>0</v>
      </c>
      <c r="U929" s="10">
        <f t="shared" si="647"/>
        <v>44798</v>
      </c>
      <c r="V929" s="276">
        <f t="shared" si="648"/>
        <v>0</v>
      </c>
    </row>
    <row r="930" spans="1:22" x14ac:dyDescent="0.25">
      <c r="A930" s="335">
        <f t="shared" si="655"/>
        <v>44799</v>
      </c>
      <c r="B930" s="329">
        <f t="shared" si="649"/>
        <v>0</v>
      </c>
      <c r="C930" s="338">
        <f t="shared" si="635"/>
        <v>188781.04000000015</v>
      </c>
      <c r="D930" s="414">
        <f t="shared" si="636"/>
        <v>0</v>
      </c>
      <c r="E930" s="49">
        <f t="shared" si="650"/>
        <v>0</v>
      </c>
      <c r="F930" s="35">
        <f t="shared" si="637"/>
        <v>0</v>
      </c>
      <c r="G930" s="414">
        <f t="shared" si="638"/>
        <v>0</v>
      </c>
      <c r="H930" s="49">
        <f t="shared" si="651"/>
        <v>0</v>
      </c>
      <c r="I930" s="35">
        <f t="shared" si="639"/>
        <v>55849.709999999977</v>
      </c>
      <c r="J930" s="414">
        <f t="shared" si="640"/>
        <v>0</v>
      </c>
      <c r="K930" s="329">
        <f t="shared" si="652"/>
        <v>0</v>
      </c>
      <c r="L930" s="35">
        <f t="shared" si="641"/>
        <v>0</v>
      </c>
      <c r="M930" s="414">
        <f t="shared" si="642"/>
        <v>0</v>
      </c>
      <c r="N930" s="329">
        <f t="shared" si="653"/>
        <v>0</v>
      </c>
      <c r="O930" s="35">
        <f t="shared" si="643"/>
        <v>26.980000000010332</v>
      </c>
      <c r="P930" s="414">
        <f t="shared" si="644"/>
        <v>0</v>
      </c>
      <c r="Q930" s="329">
        <f t="shared" si="654"/>
        <v>0</v>
      </c>
      <c r="R930" s="35">
        <f t="shared" si="645"/>
        <v>0</v>
      </c>
      <c r="S930" s="414">
        <f t="shared" si="646"/>
        <v>0</v>
      </c>
      <c r="T930" s="880">
        <f>[5]Sheet1!$B1345</f>
        <v>0</v>
      </c>
      <c r="U930" s="10">
        <f t="shared" si="647"/>
        <v>44799</v>
      </c>
      <c r="V930" s="276">
        <f t="shared" si="648"/>
        <v>0</v>
      </c>
    </row>
    <row r="931" spans="1:22" x14ac:dyDescent="0.25">
      <c r="A931" s="335">
        <f t="shared" si="655"/>
        <v>44802</v>
      </c>
      <c r="B931" s="329">
        <f t="shared" si="649"/>
        <v>0</v>
      </c>
      <c r="C931" s="338">
        <f t="shared" si="635"/>
        <v>188781.04000000015</v>
      </c>
      <c r="D931" s="414">
        <f t="shared" si="636"/>
        <v>0</v>
      </c>
      <c r="E931" s="49">
        <f t="shared" si="650"/>
        <v>0</v>
      </c>
      <c r="F931" s="35">
        <f t="shared" si="637"/>
        <v>0</v>
      </c>
      <c r="G931" s="414">
        <f t="shared" si="638"/>
        <v>0</v>
      </c>
      <c r="H931" s="49">
        <f t="shared" si="651"/>
        <v>0</v>
      </c>
      <c r="I931" s="35">
        <f t="shared" si="639"/>
        <v>55849.709999999977</v>
      </c>
      <c r="J931" s="414">
        <f t="shared" si="640"/>
        <v>0</v>
      </c>
      <c r="K931" s="329">
        <f t="shared" si="652"/>
        <v>0</v>
      </c>
      <c r="L931" s="35">
        <f t="shared" si="641"/>
        <v>0</v>
      </c>
      <c r="M931" s="414">
        <f t="shared" si="642"/>
        <v>0</v>
      </c>
      <c r="N931" s="329">
        <f t="shared" si="653"/>
        <v>0</v>
      </c>
      <c r="O931" s="35">
        <f t="shared" si="643"/>
        <v>26.980000000010332</v>
      </c>
      <c r="P931" s="414">
        <f t="shared" si="644"/>
        <v>0</v>
      </c>
      <c r="Q931" s="329">
        <f t="shared" si="654"/>
        <v>0</v>
      </c>
      <c r="R931" s="35">
        <f t="shared" si="645"/>
        <v>0</v>
      </c>
      <c r="S931" s="414">
        <f t="shared" si="646"/>
        <v>0</v>
      </c>
      <c r="T931" s="880">
        <f>[5]Sheet1!$B1346</f>
        <v>0</v>
      </c>
      <c r="U931" s="10">
        <f t="shared" si="647"/>
        <v>44802</v>
      </c>
      <c r="V931" s="276">
        <f t="shared" si="648"/>
        <v>0</v>
      </c>
    </row>
    <row r="932" spans="1:22" x14ac:dyDescent="0.25">
      <c r="A932" s="335">
        <f t="shared" si="655"/>
        <v>44803</v>
      </c>
      <c r="B932" s="329">
        <f t="shared" si="649"/>
        <v>0</v>
      </c>
      <c r="C932" s="338">
        <f t="shared" si="635"/>
        <v>188781.04000000015</v>
      </c>
      <c r="D932" s="414">
        <f t="shared" si="636"/>
        <v>0</v>
      </c>
      <c r="E932" s="49">
        <f t="shared" si="650"/>
        <v>0</v>
      </c>
      <c r="F932" s="35">
        <f t="shared" si="637"/>
        <v>0</v>
      </c>
      <c r="G932" s="414">
        <f t="shared" si="638"/>
        <v>0</v>
      </c>
      <c r="H932" s="49">
        <f t="shared" si="651"/>
        <v>0</v>
      </c>
      <c r="I932" s="35">
        <f t="shared" si="639"/>
        <v>55849.709999999977</v>
      </c>
      <c r="J932" s="414">
        <f t="shared" si="640"/>
        <v>0</v>
      </c>
      <c r="K932" s="329">
        <f t="shared" si="652"/>
        <v>0</v>
      </c>
      <c r="L932" s="35">
        <f t="shared" si="641"/>
        <v>0</v>
      </c>
      <c r="M932" s="414">
        <f t="shared" si="642"/>
        <v>0</v>
      </c>
      <c r="N932" s="329">
        <f t="shared" si="653"/>
        <v>0</v>
      </c>
      <c r="O932" s="35">
        <f t="shared" si="643"/>
        <v>26.980000000010332</v>
      </c>
      <c r="P932" s="414">
        <f t="shared" si="644"/>
        <v>0</v>
      </c>
      <c r="Q932" s="329">
        <f t="shared" si="654"/>
        <v>0</v>
      </c>
      <c r="R932" s="35">
        <f t="shared" si="645"/>
        <v>0</v>
      </c>
      <c r="S932" s="414">
        <f t="shared" si="646"/>
        <v>0</v>
      </c>
      <c r="T932" s="880">
        <f>[5]Sheet1!$B1347</f>
        <v>0</v>
      </c>
      <c r="U932" s="10">
        <f t="shared" si="647"/>
        <v>44803</v>
      </c>
      <c r="V932" s="276">
        <f t="shared" si="648"/>
        <v>0</v>
      </c>
    </row>
    <row r="933" spans="1:22" x14ac:dyDescent="0.25">
      <c r="A933" s="335">
        <f t="shared" si="655"/>
        <v>44804</v>
      </c>
      <c r="B933" s="329">
        <f t="shared" si="649"/>
        <v>0</v>
      </c>
      <c r="C933" s="338">
        <f t="shared" si="635"/>
        <v>188781.04000000015</v>
      </c>
      <c r="D933" s="414">
        <f t="shared" si="636"/>
        <v>0</v>
      </c>
      <c r="E933" s="49">
        <f t="shared" si="650"/>
        <v>0</v>
      </c>
      <c r="F933" s="35">
        <f t="shared" si="637"/>
        <v>0</v>
      </c>
      <c r="G933" s="414">
        <f t="shared" si="638"/>
        <v>0</v>
      </c>
      <c r="H933" s="49">
        <f t="shared" si="651"/>
        <v>0</v>
      </c>
      <c r="I933" s="35">
        <f t="shared" si="639"/>
        <v>55849.709999999977</v>
      </c>
      <c r="J933" s="414">
        <f t="shared" si="640"/>
        <v>0</v>
      </c>
      <c r="K933" s="329">
        <f t="shared" si="652"/>
        <v>0</v>
      </c>
      <c r="L933" s="35">
        <f t="shared" si="641"/>
        <v>0</v>
      </c>
      <c r="M933" s="414">
        <f t="shared" si="642"/>
        <v>0</v>
      </c>
      <c r="N933" s="329">
        <f t="shared" si="653"/>
        <v>0</v>
      </c>
      <c r="O933" s="35">
        <f t="shared" si="643"/>
        <v>26.980000000010332</v>
      </c>
      <c r="P933" s="414">
        <f t="shared" si="644"/>
        <v>0</v>
      </c>
      <c r="Q933" s="329">
        <f t="shared" si="654"/>
        <v>0</v>
      </c>
      <c r="R933" s="35">
        <f t="shared" si="645"/>
        <v>0</v>
      </c>
      <c r="S933" s="414">
        <f t="shared" si="646"/>
        <v>0</v>
      </c>
      <c r="T933" s="880">
        <f>[5]Sheet1!$B1348</f>
        <v>0</v>
      </c>
      <c r="U933" s="10">
        <f t="shared" si="647"/>
        <v>44804</v>
      </c>
      <c r="V933" s="276">
        <f t="shared" si="648"/>
        <v>0</v>
      </c>
    </row>
    <row r="934" spans="1:22" x14ac:dyDescent="0.25">
      <c r="A934" s="335">
        <f t="shared" si="655"/>
        <v>44805</v>
      </c>
      <c r="B934" s="329">
        <f t="shared" si="649"/>
        <v>0</v>
      </c>
      <c r="C934" s="338">
        <f t="shared" si="635"/>
        <v>188781.04000000015</v>
      </c>
      <c r="D934" s="414">
        <f t="shared" si="636"/>
        <v>0</v>
      </c>
      <c r="E934" s="49">
        <f t="shared" si="650"/>
        <v>0</v>
      </c>
      <c r="F934" s="35">
        <f t="shared" si="637"/>
        <v>0</v>
      </c>
      <c r="G934" s="414">
        <f t="shared" si="638"/>
        <v>0</v>
      </c>
      <c r="H934" s="49">
        <f t="shared" si="651"/>
        <v>0</v>
      </c>
      <c r="I934" s="35">
        <f t="shared" si="639"/>
        <v>55849.709999999977</v>
      </c>
      <c r="J934" s="414">
        <f t="shared" si="640"/>
        <v>0</v>
      </c>
      <c r="K934" s="329">
        <f t="shared" si="652"/>
        <v>0</v>
      </c>
      <c r="L934" s="35">
        <f t="shared" si="641"/>
        <v>0</v>
      </c>
      <c r="M934" s="414">
        <f t="shared" si="642"/>
        <v>0</v>
      </c>
      <c r="N934" s="329">
        <f t="shared" si="653"/>
        <v>0</v>
      </c>
      <c r="O934" s="35">
        <f t="shared" si="643"/>
        <v>26.980000000010332</v>
      </c>
      <c r="P934" s="414">
        <f t="shared" si="644"/>
        <v>0</v>
      </c>
      <c r="Q934" s="329">
        <f t="shared" si="654"/>
        <v>0</v>
      </c>
      <c r="R934" s="35">
        <f t="shared" si="645"/>
        <v>0</v>
      </c>
      <c r="S934" s="414">
        <f t="shared" si="646"/>
        <v>0</v>
      </c>
      <c r="T934" s="880">
        <f>[5]Sheet1!$B1349</f>
        <v>0</v>
      </c>
      <c r="U934" s="10">
        <f t="shared" si="647"/>
        <v>44805</v>
      </c>
      <c r="V934" s="276">
        <f t="shared" si="648"/>
        <v>0</v>
      </c>
    </row>
    <row r="935" spans="1:22" x14ac:dyDescent="0.25">
      <c r="A935" s="335">
        <f t="shared" si="655"/>
        <v>44806</v>
      </c>
      <c r="B935" s="329">
        <f t="shared" si="649"/>
        <v>0</v>
      </c>
      <c r="C935" s="338">
        <f t="shared" si="635"/>
        <v>188781.04000000015</v>
      </c>
      <c r="D935" s="414">
        <f t="shared" si="636"/>
        <v>0</v>
      </c>
      <c r="E935" s="49">
        <f t="shared" si="650"/>
        <v>0</v>
      </c>
      <c r="F935" s="35">
        <f t="shared" si="637"/>
        <v>0</v>
      </c>
      <c r="G935" s="414">
        <f t="shared" si="638"/>
        <v>0</v>
      </c>
      <c r="H935" s="49">
        <f t="shared" si="651"/>
        <v>0</v>
      </c>
      <c r="I935" s="35">
        <f t="shared" si="639"/>
        <v>55849.709999999977</v>
      </c>
      <c r="J935" s="414">
        <f t="shared" si="640"/>
        <v>0</v>
      </c>
      <c r="K935" s="329">
        <f t="shared" si="652"/>
        <v>0</v>
      </c>
      <c r="L935" s="35">
        <f t="shared" si="641"/>
        <v>0</v>
      </c>
      <c r="M935" s="414">
        <f t="shared" si="642"/>
        <v>0</v>
      </c>
      <c r="N935" s="329">
        <f t="shared" si="653"/>
        <v>0</v>
      </c>
      <c r="O935" s="35">
        <f t="shared" si="643"/>
        <v>26.980000000010332</v>
      </c>
      <c r="P935" s="414">
        <f t="shared" si="644"/>
        <v>0</v>
      </c>
      <c r="Q935" s="329">
        <f t="shared" si="654"/>
        <v>0</v>
      </c>
      <c r="R935" s="35">
        <f t="shared" si="645"/>
        <v>0</v>
      </c>
      <c r="S935" s="414">
        <f t="shared" si="646"/>
        <v>0</v>
      </c>
      <c r="T935" s="880">
        <f>[5]Sheet1!$B1350</f>
        <v>0</v>
      </c>
      <c r="U935" s="10">
        <f t="shared" si="647"/>
        <v>44806</v>
      </c>
      <c r="V935" s="276">
        <f t="shared" si="648"/>
        <v>0</v>
      </c>
    </row>
    <row r="936" spans="1:22" x14ac:dyDescent="0.25">
      <c r="A936" s="335">
        <f t="shared" si="655"/>
        <v>44809</v>
      </c>
      <c r="B936" s="329">
        <f t="shared" si="649"/>
        <v>0</v>
      </c>
      <c r="C936" s="338">
        <f t="shared" si="635"/>
        <v>188781.04000000015</v>
      </c>
      <c r="D936" s="414">
        <f t="shared" si="636"/>
        <v>0</v>
      </c>
      <c r="E936" s="49">
        <f t="shared" si="650"/>
        <v>0</v>
      </c>
      <c r="F936" s="35">
        <f t="shared" si="637"/>
        <v>0</v>
      </c>
      <c r="G936" s="414">
        <f t="shared" si="638"/>
        <v>0</v>
      </c>
      <c r="H936" s="49">
        <f t="shared" si="651"/>
        <v>0</v>
      </c>
      <c r="I936" s="35">
        <f t="shared" si="639"/>
        <v>55849.709999999977</v>
      </c>
      <c r="J936" s="414">
        <f t="shared" si="640"/>
        <v>0</v>
      </c>
      <c r="K936" s="329">
        <f t="shared" si="652"/>
        <v>0</v>
      </c>
      <c r="L936" s="35">
        <f t="shared" si="641"/>
        <v>0</v>
      </c>
      <c r="M936" s="414">
        <f t="shared" si="642"/>
        <v>0</v>
      </c>
      <c r="N936" s="329">
        <f t="shared" si="653"/>
        <v>0</v>
      </c>
      <c r="O936" s="35">
        <f t="shared" si="643"/>
        <v>26.980000000010332</v>
      </c>
      <c r="P936" s="414">
        <f t="shared" si="644"/>
        <v>0</v>
      </c>
      <c r="Q936" s="329">
        <f t="shared" si="654"/>
        <v>0</v>
      </c>
      <c r="R936" s="35">
        <f t="shared" si="645"/>
        <v>0</v>
      </c>
      <c r="S936" s="414">
        <f t="shared" si="646"/>
        <v>0</v>
      </c>
      <c r="T936" s="880">
        <f>[5]Sheet1!$B1351</f>
        <v>0</v>
      </c>
      <c r="U936" s="10">
        <f t="shared" si="647"/>
        <v>44809</v>
      </c>
      <c r="V936" s="276">
        <f t="shared" si="648"/>
        <v>0</v>
      </c>
    </row>
    <row r="937" spans="1:22" x14ac:dyDescent="0.25">
      <c r="A937" s="335">
        <f t="shared" si="655"/>
        <v>44810</v>
      </c>
      <c r="B937" s="329">
        <f t="shared" si="649"/>
        <v>0</v>
      </c>
      <c r="C937" s="338">
        <f t="shared" si="635"/>
        <v>188781.04000000015</v>
      </c>
      <c r="D937" s="414">
        <f t="shared" si="636"/>
        <v>0</v>
      </c>
      <c r="E937" s="49">
        <f t="shared" si="650"/>
        <v>0</v>
      </c>
      <c r="F937" s="35">
        <f t="shared" si="637"/>
        <v>0</v>
      </c>
      <c r="G937" s="414">
        <f t="shared" si="638"/>
        <v>0</v>
      </c>
      <c r="H937" s="49">
        <f t="shared" si="651"/>
        <v>0</v>
      </c>
      <c r="I937" s="35">
        <f t="shared" si="639"/>
        <v>55849.709999999977</v>
      </c>
      <c r="J937" s="414">
        <f t="shared" si="640"/>
        <v>0</v>
      </c>
      <c r="K937" s="329">
        <f t="shared" si="652"/>
        <v>0</v>
      </c>
      <c r="L937" s="35">
        <f t="shared" si="641"/>
        <v>0</v>
      </c>
      <c r="M937" s="414">
        <f t="shared" si="642"/>
        <v>0</v>
      </c>
      <c r="N937" s="329">
        <f t="shared" si="653"/>
        <v>0</v>
      </c>
      <c r="O937" s="35">
        <f t="shared" si="643"/>
        <v>26.980000000010332</v>
      </c>
      <c r="P937" s="414">
        <f t="shared" si="644"/>
        <v>0</v>
      </c>
      <c r="Q937" s="329">
        <f t="shared" si="654"/>
        <v>0</v>
      </c>
      <c r="R937" s="35">
        <f t="shared" si="645"/>
        <v>0</v>
      </c>
      <c r="S937" s="414">
        <f t="shared" si="646"/>
        <v>0</v>
      </c>
      <c r="T937" s="880">
        <f>[5]Sheet1!$B1352</f>
        <v>0</v>
      </c>
      <c r="U937" s="10">
        <f t="shared" si="647"/>
        <v>44810</v>
      </c>
      <c r="V937" s="276">
        <f t="shared" si="648"/>
        <v>0</v>
      </c>
    </row>
    <row r="938" spans="1:22" x14ac:dyDescent="0.25">
      <c r="A938" s="335">
        <f t="shared" si="655"/>
        <v>44811</v>
      </c>
      <c r="B938" s="329">
        <f t="shared" si="649"/>
        <v>0</v>
      </c>
      <c r="C938" s="338">
        <f t="shared" si="635"/>
        <v>188781.04000000015</v>
      </c>
      <c r="D938" s="414">
        <f t="shared" si="636"/>
        <v>0</v>
      </c>
      <c r="E938" s="49">
        <f t="shared" si="650"/>
        <v>0</v>
      </c>
      <c r="F938" s="35">
        <f t="shared" si="637"/>
        <v>0</v>
      </c>
      <c r="G938" s="414">
        <f t="shared" si="638"/>
        <v>0</v>
      </c>
      <c r="H938" s="49">
        <f t="shared" si="651"/>
        <v>0</v>
      </c>
      <c r="I938" s="35">
        <f t="shared" si="639"/>
        <v>55849.709999999977</v>
      </c>
      <c r="J938" s="414">
        <f t="shared" si="640"/>
        <v>0</v>
      </c>
      <c r="K938" s="329">
        <f t="shared" si="652"/>
        <v>0</v>
      </c>
      <c r="L938" s="35">
        <f t="shared" si="641"/>
        <v>0</v>
      </c>
      <c r="M938" s="414">
        <f t="shared" si="642"/>
        <v>0</v>
      </c>
      <c r="N938" s="329">
        <f t="shared" si="653"/>
        <v>0</v>
      </c>
      <c r="O938" s="35">
        <f t="shared" si="643"/>
        <v>26.980000000010332</v>
      </c>
      <c r="P938" s="414">
        <f t="shared" si="644"/>
        <v>0</v>
      </c>
      <c r="Q938" s="329">
        <f t="shared" si="654"/>
        <v>0</v>
      </c>
      <c r="R938" s="35">
        <f t="shared" si="645"/>
        <v>0</v>
      </c>
      <c r="S938" s="414">
        <f t="shared" si="646"/>
        <v>0</v>
      </c>
      <c r="T938" s="880">
        <f>[5]Sheet1!$B1353</f>
        <v>0</v>
      </c>
      <c r="U938" s="10">
        <f t="shared" si="647"/>
        <v>44811</v>
      </c>
      <c r="V938" s="276">
        <f t="shared" si="648"/>
        <v>0</v>
      </c>
    </row>
    <row r="939" spans="1:22" x14ac:dyDescent="0.25">
      <c r="A939" s="335">
        <f t="shared" si="655"/>
        <v>44812</v>
      </c>
      <c r="B939" s="329">
        <f t="shared" si="649"/>
        <v>0</v>
      </c>
      <c r="C939" s="338">
        <f t="shared" si="635"/>
        <v>188781.04000000015</v>
      </c>
      <c r="D939" s="414">
        <f t="shared" si="636"/>
        <v>0</v>
      </c>
      <c r="E939" s="49">
        <f t="shared" si="650"/>
        <v>0</v>
      </c>
      <c r="F939" s="35">
        <f t="shared" si="637"/>
        <v>0</v>
      </c>
      <c r="G939" s="414">
        <f t="shared" si="638"/>
        <v>0</v>
      </c>
      <c r="H939" s="49">
        <f t="shared" si="651"/>
        <v>0</v>
      </c>
      <c r="I939" s="35">
        <f t="shared" si="639"/>
        <v>55849.709999999977</v>
      </c>
      <c r="J939" s="414">
        <f t="shared" si="640"/>
        <v>0</v>
      </c>
      <c r="K939" s="329">
        <f t="shared" si="652"/>
        <v>0</v>
      </c>
      <c r="L939" s="35">
        <f t="shared" si="641"/>
        <v>0</v>
      </c>
      <c r="M939" s="414">
        <f t="shared" si="642"/>
        <v>0</v>
      </c>
      <c r="N939" s="329">
        <f t="shared" si="653"/>
        <v>0</v>
      </c>
      <c r="O939" s="35">
        <f t="shared" si="643"/>
        <v>26.980000000010332</v>
      </c>
      <c r="P939" s="414">
        <f t="shared" si="644"/>
        <v>0</v>
      </c>
      <c r="Q939" s="329">
        <f t="shared" si="654"/>
        <v>0</v>
      </c>
      <c r="R939" s="35">
        <f t="shared" si="645"/>
        <v>0</v>
      </c>
      <c r="S939" s="414">
        <f t="shared" si="646"/>
        <v>0</v>
      </c>
      <c r="T939" s="880">
        <f>[5]Sheet1!$B1354</f>
        <v>0</v>
      </c>
      <c r="U939" s="10">
        <f t="shared" si="647"/>
        <v>44812</v>
      </c>
      <c r="V939" s="276">
        <f t="shared" si="648"/>
        <v>0</v>
      </c>
    </row>
    <row r="940" spans="1:22" x14ac:dyDescent="0.25">
      <c r="A940" s="335">
        <f t="shared" si="655"/>
        <v>44813</v>
      </c>
      <c r="B940" s="329">
        <f t="shared" si="649"/>
        <v>0</v>
      </c>
      <c r="C940" s="338">
        <f t="shared" si="635"/>
        <v>188781.04000000015</v>
      </c>
      <c r="D940" s="414">
        <f t="shared" si="636"/>
        <v>0</v>
      </c>
      <c r="E940" s="49">
        <f t="shared" si="650"/>
        <v>0</v>
      </c>
      <c r="F940" s="35">
        <f t="shared" si="637"/>
        <v>0</v>
      </c>
      <c r="G940" s="414">
        <f t="shared" si="638"/>
        <v>0</v>
      </c>
      <c r="H940" s="49">
        <f t="shared" si="651"/>
        <v>0</v>
      </c>
      <c r="I940" s="35">
        <f t="shared" si="639"/>
        <v>55849.709999999977</v>
      </c>
      <c r="J940" s="414">
        <f t="shared" si="640"/>
        <v>0</v>
      </c>
      <c r="K940" s="329">
        <f t="shared" si="652"/>
        <v>0</v>
      </c>
      <c r="L940" s="35">
        <f t="shared" si="641"/>
        <v>0</v>
      </c>
      <c r="M940" s="414">
        <f t="shared" si="642"/>
        <v>0</v>
      </c>
      <c r="N940" s="329">
        <f t="shared" si="653"/>
        <v>0</v>
      </c>
      <c r="O940" s="35">
        <f t="shared" si="643"/>
        <v>26.980000000010332</v>
      </c>
      <c r="P940" s="414">
        <f t="shared" si="644"/>
        <v>0</v>
      </c>
      <c r="Q940" s="329">
        <f t="shared" si="654"/>
        <v>0</v>
      </c>
      <c r="R940" s="35">
        <f t="shared" si="645"/>
        <v>0</v>
      </c>
      <c r="S940" s="414">
        <f t="shared" si="646"/>
        <v>0</v>
      </c>
      <c r="T940" s="880">
        <f>[5]Sheet1!$B1355</f>
        <v>0</v>
      </c>
      <c r="U940" s="10">
        <f t="shared" si="647"/>
        <v>44813</v>
      </c>
      <c r="V940" s="276">
        <f t="shared" si="648"/>
        <v>0</v>
      </c>
    </row>
    <row r="941" spans="1:22" x14ac:dyDescent="0.25">
      <c r="A941" s="335">
        <f t="shared" si="655"/>
        <v>44816</v>
      </c>
      <c r="B941" s="329">
        <f t="shared" si="649"/>
        <v>0</v>
      </c>
      <c r="C941" s="338">
        <f t="shared" si="635"/>
        <v>188781.04000000015</v>
      </c>
      <c r="D941" s="414">
        <f t="shared" si="636"/>
        <v>0</v>
      </c>
      <c r="E941" s="49">
        <f t="shared" si="650"/>
        <v>0</v>
      </c>
      <c r="F941" s="35">
        <f t="shared" si="637"/>
        <v>0</v>
      </c>
      <c r="G941" s="414">
        <f t="shared" si="638"/>
        <v>0</v>
      </c>
      <c r="H941" s="49">
        <f t="shared" si="651"/>
        <v>0</v>
      </c>
      <c r="I941" s="35">
        <f t="shared" si="639"/>
        <v>55849.709999999977</v>
      </c>
      <c r="J941" s="414">
        <f t="shared" si="640"/>
        <v>0</v>
      </c>
      <c r="K941" s="329">
        <f t="shared" si="652"/>
        <v>0</v>
      </c>
      <c r="L941" s="35">
        <f t="shared" si="641"/>
        <v>0</v>
      </c>
      <c r="M941" s="414">
        <f t="shared" si="642"/>
        <v>0</v>
      </c>
      <c r="N941" s="329">
        <f t="shared" si="653"/>
        <v>0</v>
      </c>
      <c r="O941" s="35">
        <f t="shared" si="643"/>
        <v>26.980000000010332</v>
      </c>
      <c r="P941" s="414">
        <f t="shared" si="644"/>
        <v>0</v>
      </c>
      <c r="Q941" s="329">
        <f t="shared" si="654"/>
        <v>0</v>
      </c>
      <c r="R941" s="35">
        <f t="shared" si="645"/>
        <v>0</v>
      </c>
      <c r="S941" s="414">
        <f t="shared" si="646"/>
        <v>0</v>
      </c>
      <c r="T941" s="880">
        <f>[5]Sheet1!$B1356</f>
        <v>0</v>
      </c>
      <c r="U941" s="10">
        <f t="shared" si="647"/>
        <v>44816</v>
      </c>
      <c r="V941" s="276">
        <f t="shared" si="648"/>
        <v>0</v>
      </c>
    </row>
    <row r="942" spans="1:22" x14ac:dyDescent="0.25">
      <c r="A942" s="335">
        <f t="shared" si="655"/>
        <v>44817</v>
      </c>
      <c r="B942" s="329">
        <f t="shared" si="649"/>
        <v>0</v>
      </c>
      <c r="C942" s="338">
        <f t="shared" si="635"/>
        <v>188781.04000000015</v>
      </c>
      <c r="D942" s="414">
        <f t="shared" si="636"/>
        <v>0</v>
      </c>
      <c r="E942" s="49">
        <f t="shared" si="650"/>
        <v>0</v>
      </c>
      <c r="F942" s="35">
        <f t="shared" si="637"/>
        <v>0</v>
      </c>
      <c r="G942" s="414">
        <f t="shared" si="638"/>
        <v>0</v>
      </c>
      <c r="H942" s="49">
        <f t="shared" si="651"/>
        <v>0</v>
      </c>
      <c r="I942" s="35">
        <f t="shared" si="639"/>
        <v>55849.709999999977</v>
      </c>
      <c r="J942" s="414">
        <f t="shared" si="640"/>
        <v>0</v>
      </c>
      <c r="K942" s="329">
        <f t="shared" si="652"/>
        <v>0</v>
      </c>
      <c r="L942" s="35">
        <f t="shared" si="641"/>
        <v>0</v>
      </c>
      <c r="M942" s="414">
        <f t="shared" si="642"/>
        <v>0</v>
      </c>
      <c r="N942" s="329">
        <f t="shared" si="653"/>
        <v>0</v>
      </c>
      <c r="O942" s="35">
        <f t="shared" si="643"/>
        <v>26.980000000010332</v>
      </c>
      <c r="P942" s="414">
        <f t="shared" si="644"/>
        <v>0</v>
      </c>
      <c r="Q942" s="329">
        <f t="shared" si="654"/>
        <v>0</v>
      </c>
      <c r="R942" s="35">
        <f t="shared" si="645"/>
        <v>0</v>
      </c>
      <c r="S942" s="414">
        <f t="shared" si="646"/>
        <v>0</v>
      </c>
      <c r="T942" s="880">
        <f>[5]Sheet1!$B1357</f>
        <v>0</v>
      </c>
      <c r="U942" s="10">
        <f t="shared" si="647"/>
        <v>44817</v>
      </c>
      <c r="V942" s="276">
        <f t="shared" si="648"/>
        <v>0</v>
      </c>
    </row>
    <row r="943" spans="1:22" x14ac:dyDescent="0.25">
      <c r="A943" s="335">
        <f t="shared" si="655"/>
        <v>44818</v>
      </c>
      <c r="B943" s="329">
        <f t="shared" si="649"/>
        <v>0</v>
      </c>
      <c r="C943" s="338">
        <f t="shared" si="635"/>
        <v>188781.04000000015</v>
      </c>
      <c r="D943" s="414">
        <f t="shared" si="636"/>
        <v>0</v>
      </c>
      <c r="E943" s="49">
        <f t="shared" si="650"/>
        <v>0</v>
      </c>
      <c r="F943" s="35">
        <f t="shared" si="637"/>
        <v>0</v>
      </c>
      <c r="G943" s="414">
        <f t="shared" si="638"/>
        <v>0</v>
      </c>
      <c r="H943" s="49">
        <f t="shared" si="651"/>
        <v>0</v>
      </c>
      <c r="I943" s="35">
        <f t="shared" si="639"/>
        <v>55849.709999999977</v>
      </c>
      <c r="J943" s="414">
        <f t="shared" si="640"/>
        <v>0</v>
      </c>
      <c r="K943" s="329">
        <f t="shared" si="652"/>
        <v>0</v>
      </c>
      <c r="L943" s="35">
        <f t="shared" si="641"/>
        <v>0</v>
      </c>
      <c r="M943" s="414">
        <f t="shared" si="642"/>
        <v>0</v>
      </c>
      <c r="N943" s="329">
        <f t="shared" si="653"/>
        <v>0</v>
      </c>
      <c r="O943" s="35">
        <f t="shared" si="643"/>
        <v>26.980000000010332</v>
      </c>
      <c r="P943" s="414">
        <f t="shared" si="644"/>
        <v>0</v>
      </c>
      <c r="Q943" s="329">
        <f t="shared" si="654"/>
        <v>0</v>
      </c>
      <c r="R943" s="35">
        <f t="shared" si="645"/>
        <v>0</v>
      </c>
      <c r="S943" s="414">
        <f t="shared" si="646"/>
        <v>0</v>
      </c>
      <c r="T943" s="880">
        <f>[5]Sheet1!$B1358</f>
        <v>0</v>
      </c>
      <c r="U943" s="10">
        <f t="shared" si="647"/>
        <v>44818</v>
      </c>
      <c r="V943" s="276">
        <f t="shared" si="648"/>
        <v>0</v>
      </c>
    </row>
    <row r="944" spans="1:22" x14ac:dyDescent="0.25">
      <c r="A944" s="335">
        <f t="shared" si="655"/>
        <v>44819</v>
      </c>
      <c r="B944" s="329">
        <f t="shared" si="649"/>
        <v>0</v>
      </c>
      <c r="C944" s="338">
        <f t="shared" si="635"/>
        <v>188781.04000000015</v>
      </c>
      <c r="D944" s="414">
        <f t="shared" si="636"/>
        <v>0</v>
      </c>
      <c r="E944" s="49">
        <f t="shared" si="650"/>
        <v>0</v>
      </c>
      <c r="F944" s="35">
        <f t="shared" si="637"/>
        <v>0</v>
      </c>
      <c r="G944" s="414">
        <f t="shared" si="638"/>
        <v>0</v>
      </c>
      <c r="H944" s="49">
        <f t="shared" si="651"/>
        <v>0</v>
      </c>
      <c r="I944" s="35">
        <f t="shared" si="639"/>
        <v>55849.709999999977</v>
      </c>
      <c r="J944" s="414">
        <f t="shared" si="640"/>
        <v>0</v>
      </c>
      <c r="K944" s="329">
        <f t="shared" si="652"/>
        <v>0</v>
      </c>
      <c r="L944" s="35">
        <f t="shared" si="641"/>
        <v>0</v>
      </c>
      <c r="M944" s="414">
        <f t="shared" si="642"/>
        <v>0</v>
      </c>
      <c r="N944" s="329">
        <f t="shared" si="653"/>
        <v>0</v>
      </c>
      <c r="O944" s="35">
        <f t="shared" si="643"/>
        <v>26.980000000010332</v>
      </c>
      <c r="P944" s="414">
        <f t="shared" si="644"/>
        <v>0</v>
      </c>
      <c r="Q944" s="329">
        <f t="shared" si="654"/>
        <v>0</v>
      </c>
      <c r="R944" s="35">
        <f t="shared" si="645"/>
        <v>0</v>
      </c>
      <c r="S944" s="414">
        <f t="shared" si="646"/>
        <v>0</v>
      </c>
      <c r="T944" s="880">
        <f>[5]Sheet1!$B1359</f>
        <v>0</v>
      </c>
      <c r="U944" s="10">
        <f t="shared" si="647"/>
        <v>44819</v>
      </c>
      <c r="V944" s="276">
        <f t="shared" si="648"/>
        <v>0</v>
      </c>
    </row>
    <row r="945" spans="1:22" x14ac:dyDescent="0.25">
      <c r="A945" s="335">
        <f t="shared" si="655"/>
        <v>44820</v>
      </c>
      <c r="B945" s="329">
        <f t="shared" si="649"/>
        <v>0</v>
      </c>
      <c r="C945" s="338">
        <f t="shared" si="635"/>
        <v>188781.04000000015</v>
      </c>
      <c r="D945" s="414">
        <f t="shared" si="636"/>
        <v>0</v>
      </c>
      <c r="E945" s="49">
        <f t="shared" si="650"/>
        <v>0</v>
      </c>
      <c r="F945" s="35">
        <f t="shared" si="637"/>
        <v>0</v>
      </c>
      <c r="G945" s="414">
        <f t="shared" si="638"/>
        <v>0</v>
      </c>
      <c r="H945" s="49">
        <f t="shared" si="651"/>
        <v>0</v>
      </c>
      <c r="I945" s="35">
        <f t="shared" si="639"/>
        <v>55849.709999999977</v>
      </c>
      <c r="J945" s="414">
        <f t="shared" si="640"/>
        <v>0</v>
      </c>
      <c r="K945" s="329">
        <f t="shared" si="652"/>
        <v>0</v>
      </c>
      <c r="L945" s="35">
        <f t="shared" si="641"/>
        <v>0</v>
      </c>
      <c r="M945" s="414">
        <f t="shared" si="642"/>
        <v>0</v>
      </c>
      <c r="N945" s="329">
        <f t="shared" si="653"/>
        <v>0</v>
      </c>
      <c r="O945" s="35">
        <f t="shared" si="643"/>
        <v>26.980000000010332</v>
      </c>
      <c r="P945" s="414">
        <f t="shared" si="644"/>
        <v>0</v>
      </c>
      <c r="Q945" s="329">
        <f t="shared" si="654"/>
        <v>0</v>
      </c>
      <c r="R945" s="35">
        <f t="shared" si="645"/>
        <v>0</v>
      </c>
      <c r="S945" s="414">
        <f t="shared" si="646"/>
        <v>0</v>
      </c>
      <c r="T945" s="880">
        <f>[5]Sheet1!$B1360</f>
        <v>0</v>
      </c>
      <c r="U945" s="10">
        <f t="shared" si="647"/>
        <v>44820</v>
      </c>
      <c r="V945" s="276">
        <f t="shared" si="648"/>
        <v>0</v>
      </c>
    </row>
    <row r="946" spans="1:22" x14ac:dyDescent="0.25">
      <c r="A946" s="335">
        <f t="shared" si="655"/>
        <v>44823</v>
      </c>
      <c r="B946" s="329">
        <f t="shared" si="649"/>
        <v>0</v>
      </c>
      <c r="C946" s="338">
        <f t="shared" si="635"/>
        <v>188781.04000000015</v>
      </c>
      <c r="D946" s="414">
        <f t="shared" si="636"/>
        <v>0</v>
      </c>
      <c r="E946" s="49">
        <f t="shared" si="650"/>
        <v>0</v>
      </c>
      <c r="F946" s="35">
        <f t="shared" si="637"/>
        <v>0</v>
      </c>
      <c r="G946" s="414">
        <f t="shared" si="638"/>
        <v>0</v>
      </c>
      <c r="H946" s="49">
        <f t="shared" si="651"/>
        <v>0</v>
      </c>
      <c r="I946" s="35">
        <f t="shared" si="639"/>
        <v>55849.709999999977</v>
      </c>
      <c r="J946" s="414">
        <f t="shared" si="640"/>
        <v>0</v>
      </c>
      <c r="K946" s="329">
        <f t="shared" si="652"/>
        <v>0</v>
      </c>
      <c r="L946" s="35">
        <f t="shared" si="641"/>
        <v>0</v>
      </c>
      <c r="M946" s="414">
        <f t="shared" si="642"/>
        <v>0</v>
      </c>
      <c r="N946" s="329">
        <f t="shared" si="653"/>
        <v>0</v>
      </c>
      <c r="O946" s="35">
        <f t="shared" si="643"/>
        <v>26.980000000010332</v>
      </c>
      <c r="P946" s="414">
        <f t="shared" si="644"/>
        <v>0</v>
      </c>
      <c r="Q946" s="329">
        <f t="shared" si="654"/>
        <v>0</v>
      </c>
      <c r="R946" s="35">
        <f t="shared" si="645"/>
        <v>0</v>
      </c>
      <c r="S946" s="414">
        <f t="shared" si="646"/>
        <v>0</v>
      </c>
      <c r="T946" s="880">
        <f>[5]Sheet1!$B1361</f>
        <v>0</v>
      </c>
      <c r="U946" s="10">
        <f t="shared" si="647"/>
        <v>44823</v>
      </c>
      <c r="V946" s="276">
        <f t="shared" si="648"/>
        <v>0</v>
      </c>
    </row>
    <row r="947" spans="1:22" x14ac:dyDescent="0.25">
      <c r="A947" s="335">
        <f t="shared" si="655"/>
        <v>44824</v>
      </c>
      <c r="B947" s="329">
        <f t="shared" si="649"/>
        <v>0</v>
      </c>
      <c r="C947" s="338">
        <f t="shared" si="635"/>
        <v>188781.04000000015</v>
      </c>
      <c r="D947" s="414">
        <f t="shared" si="636"/>
        <v>0</v>
      </c>
      <c r="E947" s="49">
        <f t="shared" si="650"/>
        <v>0</v>
      </c>
      <c r="F947" s="35">
        <f t="shared" si="637"/>
        <v>0</v>
      </c>
      <c r="G947" s="414">
        <f t="shared" si="638"/>
        <v>0</v>
      </c>
      <c r="H947" s="49">
        <f t="shared" si="651"/>
        <v>0</v>
      </c>
      <c r="I947" s="35">
        <f t="shared" si="639"/>
        <v>55849.709999999977</v>
      </c>
      <c r="J947" s="414">
        <f t="shared" si="640"/>
        <v>0</v>
      </c>
      <c r="K947" s="329">
        <f t="shared" si="652"/>
        <v>0</v>
      </c>
      <c r="L947" s="35">
        <f t="shared" si="641"/>
        <v>0</v>
      </c>
      <c r="M947" s="414">
        <f t="shared" si="642"/>
        <v>0</v>
      </c>
      <c r="N947" s="329">
        <f t="shared" si="653"/>
        <v>0</v>
      </c>
      <c r="O947" s="35">
        <f t="shared" si="643"/>
        <v>26.980000000010332</v>
      </c>
      <c r="P947" s="414">
        <f t="shared" si="644"/>
        <v>0</v>
      </c>
      <c r="Q947" s="329">
        <f t="shared" si="654"/>
        <v>0</v>
      </c>
      <c r="R947" s="35">
        <f t="shared" si="645"/>
        <v>0</v>
      </c>
      <c r="S947" s="414">
        <f t="shared" si="646"/>
        <v>0</v>
      </c>
      <c r="T947" s="880">
        <f>[5]Sheet1!$B1362</f>
        <v>0</v>
      </c>
      <c r="U947" s="10">
        <f t="shared" si="647"/>
        <v>44824</v>
      </c>
      <c r="V947" s="276">
        <f t="shared" si="648"/>
        <v>0</v>
      </c>
    </row>
    <row r="948" spans="1:22" x14ac:dyDescent="0.25">
      <c r="A948" s="335">
        <f t="shared" si="655"/>
        <v>44825</v>
      </c>
      <c r="B948" s="329">
        <f t="shared" si="649"/>
        <v>0</v>
      </c>
      <c r="C948" s="338">
        <f t="shared" si="635"/>
        <v>188781.04000000015</v>
      </c>
      <c r="D948" s="414">
        <f t="shared" si="636"/>
        <v>0</v>
      </c>
      <c r="E948" s="49">
        <f t="shared" si="650"/>
        <v>0</v>
      </c>
      <c r="F948" s="35">
        <f t="shared" si="637"/>
        <v>0</v>
      </c>
      <c r="G948" s="414">
        <f t="shared" si="638"/>
        <v>0</v>
      </c>
      <c r="H948" s="49">
        <f t="shared" si="651"/>
        <v>0</v>
      </c>
      <c r="I948" s="35">
        <f t="shared" si="639"/>
        <v>55849.709999999977</v>
      </c>
      <c r="J948" s="414">
        <f t="shared" si="640"/>
        <v>0</v>
      </c>
      <c r="K948" s="329">
        <f t="shared" si="652"/>
        <v>0</v>
      </c>
      <c r="L948" s="35">
        <f t="shared" si="641"/>
        <v>0</v>
      </c>
      <c r="M948" s="414">
        <f t="shared" si="642"/>
        <v>0</v>
      </c>
      <c r="N948" s="329">
        <f t="shared" si="653"/>
        <v>0</v>
      </c>
      <c r="O948" s="35">
        <f t="shared" si="643"/>
        <v>26.980000000010332</v>
      </c>
      <c r="P948" s="414">
        <f t="shared" si="644"/>
        <v>0</v>
      </c>
      <c r="Q948" s="329">
        <f t="shared" si="654"/>
        <v>0</v>
      </c>
      <c r="R948" s="35">
        <f t="shared" si="645"/>
        <v>0</v>
      </c>
      <c r="S948" s="414">
        <f t="shared" si="646"/>
        <v>0</v>
      </c>
      <c r="T948" s="880">
        <f>[5]Sheet1!$B1363</f>
        <v>0</v>
      </c>
      <c r="U948" s="10">
        <f t="shared" si="647"/>
        <v>44825</v>
      </c>
      <c r="V948" s="276">
        <f t="shared" si="648"/>
        <v>0</v>
      </c>
    </row>
    <row r="949" spans="1:22" x14ac:dyDescent="0.25">
      <c r="A949" s="335">
        <f t="shared" si="655"/>
        <v>44826</v>
      </c>
      <c r="B949" s="329">
        <f t="shared" si="649"/>
        <v>0</v>
      </c>
      <c r="C949" s="338">
        <f t="shared" si="635"/>
        <v>188781.04000000015</v>
      </c>
      <c r="D949" s="414">
        <f t="shared" si="636"/>
        <v>0</v>
      </c>
      <c r="E949" s="49">
        <f t="shared" si="650"/>
        <v>0</v>
      </c>
      <c r="F949" s="35">
        <f t="shared" si="637"/>
        <v>0</v>
      </c>
      <c r="G949" s="414">
        <f t="shared" si="638"/>
        <v>0</v>
      </c>
      <c r="H949" s="49">
        <f t="shared" si="651"/>
        <v>0</v>
      </c>
      <c r="I949" s="35">
        <f t="shared" si="639"/>
        <v>55849.709999999977</v>
      </c>
      <c r="J949" s="414">
        <f t="shared" si="640"/>
        <v>0</v>
      </c>
      <c r="K949" s="329">
        <f t="shared" si="652"/>
        <v>0</v>
      </c>
      <c r="L949" s="35">
        <f t="shared" si="641"/>
        <v>0</v>
      </c>
      <c r="M949" s="414">
        <f t="shared" si="642"/>
        <v>0</v>
      </c>
      <c r="N949" s="329">
        <f t="shared" si="653"/>
        <v>0</v>
      </c>
      <c r="O949" s="35">
        <f t="shared" si="643"/>
        <v>26.980000000010332</v>
      </c>
      <c r="P949" s="414">
        <f t="shared" si="644"/>
        <v>0</v>
      </c>
      <c r="Q949" s="329">
        <f t="shared" si="654"/>
        <v>0</v>
      </c>
      <c r="R949" s="35">
        <f t="shared" si="645"/>
        <v>0</v>
      </c>
      <c r="S949" s="414">
        <f t="shared" si="646"/>
        <v>0</v>
      </c>
      <c r="T949" s="880">
        <f>[5]Sheet1!$B1364</f>
        <v>0</v>
      </c>
      <c r="U949" s="10">
        <f t="shared" si="647"/>
        <v>44826</v>
      </c>
      <c r="V949" s="276">
        <f t="shared" si="648"/>
        <v>0</v>
      </c>
    </row>
    <row r="950" spans="1:22" x14ac:dyDescent="0.25">
      <c r="A950" s="335">
        <f t="shared" si="655"/>
        <v>44827</v>
      </c>
      <c r="B950" s="329">
        <f t="shared" si="649"/>
        <v>0</v>
      </c>
      <c r="C950" s="338">
        <f t="shared" si="635"/>
        <v>188781.04000000015</v>
      </c>
      <c r="D950" s="414">
        <f t="shared" si="636"/>
        <v>0</v>
      </c>
      <c r="E950" s="49">
        <f t="shared" si="650"/>
        <v>0</v>
      </c>
      <c r="F950" s="35">
        <f t="shared" si="637"/>
        <v>0</v>
      </c>
      <c r="G950" s="414">
        <f t="shared" si="638"/>
        <v>0</v>
      </c>
      <c r="H950" s="49">
        <f t="shared" si="651"/>
        <v>0</v>
      </c>
      <c r="I950" s="35">
        <f t="shared" si="639"/>
        <v>55849.709999999977</v>
      </c>
      <c r="J950" s="414">
        <f t="shared" si="640"/>
        <v>0</v>
      </c>
      <c r="K950" s="329">
        <f t="shared" si="652"/>
        <v>0</v>
      </c>
      <c r="L950" s="35">
        <f t="shared" si="641"/>
        <v>0</v>
      </c>
      <c r="M950" s="414">
        <f t="shared" si="642"/>
        <v>0</v>
      </c>
      <c r="N950" s="329">
        <f t="shared" si="653"/>
        <v>0</v>
      </c>
      <c r="O950" s="35">
        <f t="shared" si="643"/>
        <v>26.980000000010332</v>
      </c>
      <c r="P950" s="414">
        <f t="shared" si="644"/>
        <v>0</v>
      </c>
      <c r="Q950" s="329">
        <f t="shared" si="654"/>
        <v>0</v>
      </c>
      <c r="R950" s="35">
        <f t="shared" si="645"/>
        <v>0</v>
      </c>
      <c r="S950" s="414">
        <f t="shared" si="646"/>
        <v>0</v>
      </c>
      <c r="T950" s="880">
        <f>[5]Sheet1!$B1365</f>
        <v>0</v>
      </c>
      <c r="U950" s="10">
        <f t="shared" si="647"/>
        <v>44827</v>
      </c>
      <c r="V950" s="276">
        <f t="shared" si="648"/>
        <v>0</v>
      </c>
    </row>
    <row r="951" spans="1:22" x14ac:dyDescent="0.25">
      <c r="A951" s="335">
        <f t="shared" si="655"/>
        <v>44830</v>
      </c>
      <c r="B951" s="329">
        <f t="shared" si="649"/>
        <v>0</v>
      </c>
      <c r="C951" s="338">
        <f t="shared" si="635"/>
        <v>188781.04000000015</v>
      </c>
      <c r="D951" s="414">
        <f t="shared" si="636"/>
        <v>0</v>
      </c>
      <c r="E951" s="49">
        <f t="shared" si="650"/>
        <v>0</v>
      </c>
      <c r="F951" s="35">
        <f t="shared" si="637"/>
        <v>0</v>
      </c>
      <c r="G951" s="414">
        <f t="shared" si="638"/>
        <v>0</v>
      </c>
      <c r="H951" s="49">
        <f t="shared" si="651"/>
        <v>0</v>
      </c>
      <c r="I951" s="35">
        <f t="shared" si="639"/>
        <v>55849.709999999977</v>
      </c>
      <c r="J951" s="414">
        <f t="shared" si="640"/>
        <v>0</v>
      </c>
      <c r="K951" s="329">
        <f t="shared" si="652"/>
        <v>0</v>
      </c>
      <c r="L951" s="35">
        <f t="shared" si="641"/>
        <v>0</v>
      </c>
      <c r="M951" s="414">
        <f t="shared" si="642"/>
        <v>0</v>
      </c>
      <c r="N951" s="329">
        <f t="shared" si="653"/>
        <v>0</v>
      </c>
      <c r="O951" s="35">
        <f t="shared" si="643"/>
        <v>26.980000000010332</v>
      </c>
      <c r="P951" s="414">
        <f t="shared" si="644"/>
        <v>0</v>
      </c>
      <c r="Q951" s="329">
        <f t="shared" si="654"/>
        <v>0</v>
      </c>
      <c r="R951" s="35">
        <f t="shared" si="645"/>
        <v>0</v>
      </c>
      <c r="S951" s="414">
        <f t="shared" si="646"/>
        <v>0</v>
      </c>
      <c r="T951" s="880">
        <f>[5]Sheet1!$B1366</f>
        <v>0</v>
      </c>
      <c r="U951" s="10">
        <f t="shared" si="647"/>
        <v>44830</v>
      </c>
      <c r="V951" s="276">
        <f t="shared" si="648"/>
        <v>0</v>
      </c>
    </row>
    <row r="952" spans="1:22" x14ac:dyDescent="0.25">
      <c r="A952" s="335">
        <f t="shared" si="655"/>
        <v>44831</v>
      </c>
      <c r="B952" s="329">
        <f t="shared" si="649"/>
        <v>0</v>
      </c>
      <c r="C952" s="338">
        <f t="shared" si="635"/>
        <v>188781.04000000015</v>
      </c>
      <c r="D952" s="414">
        <f t="shared" si="636"/>
        <v>0</v>
      </c>
      <c r="E952" s="49">
        <f t="shared" si="650"/>
        <v>0</v>
      </c>
      <c r="F952" s="35">
        <f t="shared" si="637"/>
        <v>0</v>
      </c>
      <c r="G952" s="414">
        <f t="shared" si="638"/>
        <v>0</v>
      </c>
      <c r="H952" s="49">
        <f t="shared" si="651"/>
        <v>0</v>
      </c>
      <c r="I952" s="35">
        <f t="shared" si="639"/>
        <v>55849.709999999977</v>
      </c>
      <c r="J952" s="414">
        <f t="shared" si="640"/>
        <v>0</v>
      </c>
      <c r="K952" s="329">
        <f t="shared" si="652"/>
        <v>0</v>
      </c>
      <c r="L952" s="35">
        <f t="shared" si="641"/>
        <v>0</v>
      </c>
      <c r="M952" s="414">
        <f t="shared" si="642"/>
        <v>0</v>
      </c>
      <c r="N952" s="329">
        <f t="shared" si="653"/>
        <v>0</v>
      </c>
      <c r="O952" s="35">
        <f t="shared" si="643"/>
        <v>26.980000000010332</v>
      </c>
      <c r="P952" s="414">
        <f t="shared" si="644"/>
        <v>0</v>
      </c>
      <c r="Q952" s="329">
        <f t="shared" si="654"/>
        <v>0</v>
      </c>
      <c r="R952" s="35">
        <f t="shared" si="645"/>
        <v>0</v>
      </c>
      <c r="S952" s="414">
        <f t="shared" si="646"/>
        <v>0</v>
      </c>
      <c r="T952" s="880">
        <f>[5]Sheet1!$B1367</f>
        <v>0</v>
      </c>
      <c r="U952" s="10">
        <f t="shared" si="647"/>
        <v>44831</v>
      </c>
      <c r="V952" s="276">
        <f t="shared" si="648"/>
        <v>0</v>
      </c>
    </row>
    <row r="953" spans="1:22" x14ac:dyDescent="0.25">
      <c r="A953" s="335">
        <f t="shared" si="655"/>
        <v>44832</v>
      </c>
      <c r="B953" s="329">
        <f t="shared" si="649"/>
        <v>0</v>
      </c>
      <c r="C953" s="338">
        <f t="shared" si="635"/>
        <v>188781.04000000015</v>
      </c>
      <c r="D953" s="414">
        <f t="shared" si="636"/>
        <v>0</v>
      </c>
      <c r="E953" s="49">
        <f t="shared" si="650"/>
        <v>0</v>
      </c>
      <c r="F953" s="35">
        <f t="shared" si="637"/>
        <v>0</v>
      </c>
      <c r="G953" s="414">
        <f t="shared" si="638"/>
        <v>0</v>
      </c>
      <c r="H953" s="49">
        <f t="shared" si="651"/>
        <v>0</v>
      </c>
      <c r="I953" s="35">
        <f t="shared" si="639"/>
        <v>55849.709999999977</v>
      </c>
      <c r="J953" s="414">
        <f t="shared" si="640"/>
        <v>0</v>
      </c>
      <c r="K953" s="329">
        <f t="shared" si="652"/>
        <v>0</v>
      </c>
      <c r="L953" s="35">
        <f t="shared" si="641"/>
        <v>0</v>
      </c>
      <c r="M953" s="414">
        <f t="shared" si="642"/>
        <v>0</v>
      </c>
      <c r="N953" s="329">
        <f t="shared" si="653"/>
        <v>0</v>
      </c>
      <c r="O953" s="35">
        <f t="shared" si="643"/>
        <v>26.980000000010332</v>
      </c>
      <c r="P953" s="414">
        <f t="shared" si="644"/>
        <v>0</v>
      </c>
      <c r="Q953" s="329">
        <f t="shared" si="654"/>
        <v>0</v>
      </c>
      <c r="R953" s="35">
        <f t="shared" si="645"/>
        <v>0</v>
      </c>
      <c r="S953" s="414">
        <f t="shared" si="646"/>
        <v>0</v>
      </c>
      <c r="T953" s="880">
        <f>[5]Sheet1!$B1368</f>
        <v>0</v>
      </c>
      <c r="U953" s="10">
        <f t="shared" si="647"/>
        <v>44832</v>
      </c>
      <c r="V953" s="276">
        <f t="shared" si="648"/>
        <v>0</v>
      </c>
    </row>
    <row r="954" spans="1:22" x14ac:dyDescent="0.25">
      <c r="A954" s="335">
        <f t="shared" si="655"/>
        <v>44833</v>
      </c>
      <c r="B954" s="329">
        <f t="shared" si="649"/>
        <v>0</v>
      </c>
      <c r="C954" s="338">
        <f t="shared" si="635"/>
        <v>188781.04000000015</v>
      </c>
      <c r="D954" s="414">
        <f t="shared" si="636"/>
        <v>0</v>
      </c>
      <c r="E954" s="49">
        <f t="shared" si="650"/>
        <v>0</v>
      </c>
      <c r="F954" s="35">
        <f t="shared" si="637"/>
        <v>0</v>
      </c>
      <c r="G954" s="414">
        <f t="shared" si="638"/>
        <v>0</v>
      </c>
      <c r="H954" s="49">
        <f t="shared" si="651"/>
        <v>0</v>
      </c>
      <c r="I954" s="35">
        <f t="shared" si="639"/>
        <v>55849.709999999977</v>
      </c>
      <c r="J954" s="414">
        <f t="shared" si="640"/>
        <v>0</v>
      </c>
      <c r="K954" s="329">
        <f t="shared" si="652"/>
        <v>0</v>
      </c>
      <c r="L954" s="35">
        <f t="shared" si="641"/>
        <v>0</v>
      </c>
      <c r="M954" s="414">
        <f t="shared" si="642"/>
        <v>0</v>
      </c>
      <c r="N954" s="329">
        <f t="shared" si="653"/>
        <v>0</v>
      </c>
      <c r="O954" s="35">
        <f t="shared" si="643"/>
        <v>26.980000000010332</v>
      </c>
      <c r="P954" s="414">
        <f t="shared" si="644"/>
        <v>0</v>
      </c>
      <c r="Q954" s="329">
        <f t="shared" si="654"/>
        <v>0</v>
      </c>
      <c r="R954" s="35">
        <f t="shared" si="645"/>
        <v>0</v>
      </c>
      <c r="S954" s="414">
        <f t="shared" si="646"/>
        <v>0</v>
      </c>
      <c r="T954" s="880">
        <f>[5]Sheet1!$B1369</f>
        <v>0</v>
      </c>
      <c r="U954" s="10">
        <f t="shared" si="647"/>
        <v>44833</v>
      </c>
      <c r="V954" s="276">
        <f t="shared" si="648"/>
        <v>0</v>
      </c>
    </row>
    <row r="955" spans="1:22" x14ac:dyDescent="0.25">
      <c r="A955" s="335">
        <f t="shared" si="655"/>
        <v>44834</v>
      </c>
      <c r="B955" s="329">
        <f t="shared" si="649"/>
        <v>0</v>
      </c>
      <c r="C955" s="338">
        <f t="shared" si="635"/>
        <v>188781.04000000015</v>
      </c>
      <c r="D955" s="414">
        <f t="shared" si="636"/>
        <v>0</v>
      </c>
      <c r="E955" s="49">
        <f t="shared" si="650"/>
        <v>0</v>
      </c>
      <c r="F955" s="35">
        <f t="shared" si="637"/>
        <v>0</v>
      </c>
      <c r="G955" s="414">
        <f t="shared" si="638"/>
        <v>0</v>
      </c>
      <c r="H955" s="49">
        <f t="shared" si="651"/>
        <v>0</v>
      </c>
      <c r="I955" s="35">
        <f t="shared" si="639"/>
        <v>55849.709999999977</v>
      </c>
      <c r="J955" s="414">
        <f t="shared" si="640"/>
        <v>0</v>
      </c>
      <c r="K955" s="329">
        <f t="shared" si="652"/>
        <v>0</v>
      </c>
      <c r="L955" s="35">
        <f t="shared" si="641"/>
        <v>0</v>
      </c>
      <c r="M955" s="414">
        <f t="shared" si="642"/>
        <v>0</v>
      </c>
      <c r="N955" s="329">
        <f t="shared" si="653"/>
        <v>0</v>
      </c>
      <c r="O955" s="35">
        <f t="shared" si="643"/>
        <v>26.980000000010332</v>
      </c>
      <c r="P955" s="414">
        <f t="shared" si="644"/>
        <v>0</v>
      </c>
      <c r="Q955" s="329">
        <f t="shared" si="654"/>
        <v>0</v>
      </c>
      <c r="R955" s="35">
        <f t="shared" si="645"/>
        <v>0</v>
      </c>
      <c r="S955" s="414">
        <f t="shared" si="646"/>
        <v>0</v>
      </c>
      <c r="T955" s="880">
        <f>[5]Sheet1!$B1370</f>
        <v>0</v>
      </c>
      <c r="U955" s="10">
        <f t="shared" si="647"/>
        <v>44834</v>
      </c>
      <c r="V955" s="276">
        <f t="shared" si="648"/>
        <v>0</v>
      </c>
    </row>
    <row r="956" spans="1:22" x14ac:dyDescent="0.25">
      <c r="A956" s="335">
        <f t="shared" si="655"/>
        <v>44837</v>
      </c>
      <c r="B956" s="329">
        <f t="shared" si="649"/>
        <v>0</v>
      </c>
      <c r="C956" s="338">
        <f t="shared" si="635"/>
        <v>188781.04000000015</v>
      </c>
      <c r="D956" s="414">
        <f t="shared" si="636"/>
        <v>0</v>
      </c>
      <c r="E956" s="49">
        <f t="shared" si="650"/>
        <v>0</v>
      </c>
      <c r="F956" s="35">
        <f t="shared" si="637"/>
        <v>0</v>
      </c>
      <c r="G956" s="414">
        <f t="shared" si="638"/>
        <v>0</v>
      </c>
      <c r="H956" s="49">
        <f t="shared" si="651"/>
        <v>0</v>
      </c>
      <c r="I956" s="35">
        <f t="shared" si="639"/>
        <v>55849.709999999977</v>
      </c>
      <c r="J956" s="414">
        <f t="shared" si="640"/>
        <v>0</v>
      </c>
      <c r="K956" s="329">
        <f t="shared" si="652"/>
        <v>0</v>
      </c>
      <c r="L956" s="35">
        <f t="shared" si="641"/>
        <v>0</v>
      </c>
      <c r="M956" s="414">
        <f t="shared" si="642"/>
        <v>0</v>
      </c>
      <c r="N956" s="329">
        <f t="shared" si="653"/>
        <v>0</v>
      </c>
      <c r="O956" s="35">
        <f t="shared" si="643"/>
        <v>26.980000000010332</v>
      </c>
      <c r="P956" s="414">
        <f t="shared" si="644"/>
        <v>0</v>
      </c>
      <c r="Q956" s="329">
        <f t="shared" si="654"/>
        <v>0</v>
      </c>
      <c r="R956" s="35">
        <f t="shared" si="645"/>
        <v>0</v>
      </c>
      <c r="S956" s="414">
        <f t="shared" si="646"/>
        <v>0</v>
      </c>
      <c r="T956" s="880">
        <f>[5]Sheet1!$B1371</f>
        <v>0</v>
      </c>
      <c r="U956" s="10">
        <f t="shared" si="647"/>
        <v>44837</v>
      </c>
      <c r="V956" s="276">
        <f t="shared" si="648"/>
        <v>0</v>
      </c>
    </row>
    <row r="957" spans="1:22" x14ac:dyDescent="0.25">
      <c r="A957" s="335">
        <f t="shared" si="655"/>
        <v>44838</v>
      </c>
      <c r="B957" s="329">
        <f t="shared" si="649"/>
        <v>0</v>
      </c>
      <c r="C957" s="338">
        <f t="shared" si="635"/>
        <v>188781.04000000015</v>
      </c>
      <c r="D957" s="414">
        <f t="shared" si="636"/>
        <v>0</v>
      </c>
      <c r="E957" s="49">
        <f t="shared" si="650"/>
        <v>0</v>
      </c>
      <c r="F957" s="35">
        <f t="shared" si="637"/>
        <v>0</v>
      </c>
      <c r="G957" s="414">
        <f t="shared" si="638"/>
        <v>0</v>
      </c>
      <c r="H957" s="49">
        <f t="shared" si="651"/>
        <v>0</v>
      </c>
      <c r="I957" s="35">
        <f t="shared" si="639"/>
        <v>55849.709999999977</v>
      </c>
      <c r="J957" s="414">
        <f t="shared" si="640"/>
        <v>0</v>
      </c>
      <c r="K957" s="329">
        <f t="shared" si="652"/>
        <v>0</v>
      </c>
      <c r="L957" s="35">
        <f t="shared" si="641"/>
        <v>0</v>
      </c>
      <c r="M957" s="414">
        <f t="shared" si="642"/>
        <v>0</v>
      </c>
      <c r="N957" s="329">
        <f t="shared" si="653"/>
        <v>0</v>
      </c>
      <c r="O957" s="35">
        <f t="shared" si="643"/>
        <v>26.980000000010332</v>
      </c>
      <c r="P957" s="414">
        <f t="shared" si="644"/>
        <v>0</v>
      </c>
      <c r="Q957" s="329">
        <f t="shared" si="654"/>
        <v>0</v>
      </c>
      <c r="R957" s="35">
        <f t="shared" si="645"/>
        <v>0</v>
      </c>
      <c r="S957" s="414">
        <f t="shared" si="646"/>
        <v>0</v>
      </c>
      <c r="T957" s="880">
        <f>[5]Sheet1!$B1372</f>
        <v>0</v>
      </c>
      <c r="U957" s="10">
        <f t="shared" si="647"/>
        <v>44838</v>
      </c>
      <c r="V957" s="276">
        <f t="shared" si="648"/>
        <v>0</v>
      </c>
    </row>
    <row r="958" spans="1:22" x14ac:dyDescent="0.25">
      <c r="A958" s="335">
        <f t="shared" si="655"/>
        <v>44839</v>
      </c>
      <c r="B958" s="329">
        <f t="shared" si="649"/>
        <v>0</v>
      </c>
      <c r="C958" s="338">
        <f t="shared" si="635"/>
        <v>188781.04000000015</v>
      </c>
      <c r="D958" s="414">
        <f t="shared" si="636"/>
        <v>0</v>
      </c>
      <c r="E958" s="49">
        <f t="shared" si="650"/>
        <v>0</v>
      </c>
      <c r="F958" s="35">
        <f t="shared" si="637"/>
        <v>0</v>
      </c>
      <c r="G958" s="414">
        <f t="shared" si="638"/>
        <v>0</v>
      </c>
      <c r="H958" s="49">
        <f t="shared" si="651"/>
        <v>0</v>
      </c>
      <c r="I958" s="35">
        <f t="shared" si="639"/>
        <v>55849.709999999977</v>
      </c>
      <c r="J958" s="414">
        <f t="shared" si="640"/>
        <v>0</v>
      </c>
      <c r="K958" s="329">
        <f t="shared" si="652"/>
        <v>0</v>
      </c>
      <c r="L958" s="35">
        <f t="shared" si="641"/>
        <v>0</v>
      </c>
      <c r="M958" s="414">
        <f t="shared" si="642"/>
        <v>0</v>
      </c>
      <c r="N958" s="329">
        <f t="shared" si="653"/>
        <v>0</v>
      </c>
      <c r="O958" s="35">
        <f t="shared" si="643"/>
        <v>26.980000000010332</v>
      </c>
      <c r="P958" s="414">
        <f t="shared" si="644"/>
        <v>0</v>
      </c>
      <c r="Q958" s="329">
        <f t="shared" si="654"/>
        <v>0</v>
      </c>
      <c r="R958" s="35">
        <f t="shared" si="645"/>
        <v>0</v>
      </c>
      <c r="S958" s="414">
        <f t="shared" si="646"/>
        <v>0</v>
      </c>
      <c r="T958" s="880">
        <f>[5]Sheet1!$B1373</f>
        <v>0</v>
      </c>
      <c r="U958" s="10">
        <f t="shared" si="647"/>
        <v>44839</v>
      </c>
      <c r="V958" s="276">
        <f t="shared" si="648"/>
        <v>0</v>
      </c>
    </row>
    <row r="959" spans="1:22" x14ac:dyDescent="0.25">
      <c r="A959" s="335">
        <f t="shared" si="655"/>
        <v>44840</v>
      </c>
      <c r="B959" s="329">
        <f t="shared" si="649"/>
        <v>0</v>
      </c>
      <c r="C959" s="338">
        <f t="shared" ref="C959:C990" si="656">B959+C958</f>
        <v>188781.04000000015</v>
      </c>
      <c r="D959" s="414">
        <f t="shared" ref="D959:D990" si="657">ROUND(C958*$T958,2)</f>
        <v>0</v>
      </c>
      <c r="E959" s="49">
        <f t="shared" si="650"/>
        <v>0</v>
      </c>
      <c r="F959" s="35">
        <f t="shared" ref="F959:F990" si="658">E959+F958</f>
        <v>0</v>
      </c>
      <c r="G959" s="414">
        <f t="shared" ref="G959:G990" si="659">ROUND(F958*$T958,2)</f>
        <v>0</v>
      </c>
      <c r="H959" s="49">
        <f t="shared" si="651"/>
        <v>0</v>
      </c>
      <c r="I959" s="35">
        <f t="shared" ref="I959:I990" si="660">H959+I958</f>
        <v>55849.709999999977</v>
      </c>
      <c r="J959" s="414">
        <f t="shared" ref="J959:J990" si="661">ROUND(I958*$T958,2)</f>
        <v>0</v>
      </c>
      <c r="K959" s="329">
        <f t="shared" si="652"/>
        <v>0</v>
      </c>
      <c r="L959" s="35">
        <f t="shared" ref="L959:L990" si="662">K959+L958</f>
        <v>0</v>
      </c>
      <c r="M959" s="414">
        <f t="shared" ref="M959:M990" si="663">ROUND(L958*$T958,2)</f>
        <v>0</v>
      </c>
      <c r="N959" s="329">
        <f t="shared" si="653"/>
        <v>0</v>
      </c>
      <c r="O959" s="35">
        <f t="shared" ref="O959:O990" si="664">N959+O958</f>
        <v>26.980000000010332</v>
      </c>
      <c r="P959" s="414">
        <f t="shared" ref="P959:P990" si="665">ROUND(O958*$T958,2)</f>
        <v>0</v>
      </c>
      <c r="Q959" s="329">
        <f t="shared" si="654"/>
        <v>0</v>
      </c>
      <c r="R959" s="35">
        <f t="shared" ref="R959:R990" si="666">Q959+R958</f>
        <v>0</v>
      </c>
      <c r="S959" s="414">
        <f t="shared" ref="S959:S990" si="667">ROUND(R958*$T958,2)</f>
        <v>0</v>
      </c>
      <c r="T959" s="880">
        <f>[5]Sheet1!$B1374</f>
        <v>0</v>
      </c>
      <c r="U959" s="10">
        <f t="shared" ref="U959:U990" si="668">A959</f>
        <v>44840</v>
      </c>
      <c r="V959" s="276">
        <f t="shared" ref="V959:V990" si="669">T959*365/(A960-A959)</f>
        <v>0</v>
      </c>
    </row>
    <row r="960" spans="1:22" x14ac:dyDescent="0.25">
      <c r="A960" s="335">
        <f t="shared" si="655"/>
        <v>44841</v>
      </c>
      <c r="B960" s="329">
        <f t="shared" si="649"/>
        <v>0</v>
      </c>
      <c r="C960" s="338">
        <f t="shared" si="656"/>
        <v>188781.04000000015</v>
      </c>
      <c r="D960" s="414">
        <f t="shared" si="657"/>
        <v>0</v>
      </c>
      <c r="E960" s="49">
        <f t="shared" si="650"/>
        <v>0</v>
      </c>
      <c r="F960" s="35">
        <f t="shared" si="658"/>
        <v>0</v>
      </c>
      <c r="G960" s="414">
        <f t="shared" si="659"/>
        <v>0</v>
      </c>
      <c r="H960" s="49">
        <f t="shared" si="651"/>
        <v>0</v>
      </c>
      <c r="I960" s="35">
        <f t="shared" si="660"/>
        <v>55849.709999999977</v>
      </c>
      <c r="J960" s="414">
        <f t="shared" si="661"/>
        <v>0</v>
      </c>
      <c r="K960" s="329">
        <f t="shared" si="652"/>
        <v>0</v>
      </c>
      <c r="L960" s="35">
        <f t="shared" si="662"/>
        <v>0</v>
      </c>
      <c r="M960" s="414">
        <f t="shared" si="663"/>
        <v>0</v>
      </c>
      <c r="N960" s="329">
        <f t="shared" si="653"/>
        <v>0</v>
      </c>
      <c r="O960" s="35">
        <f t="shared" si="664"/>
        <v>26.980000000010332</v>
      </c>
      <c r="P960" s="414">
        <f t="shared" si="665"/>
        <v>0</v>
      </c>
      <c r="Q960" s="329">
        <f t="shared" si="654"/>
        <v>0</v>
      </c>
      <c r="R960" s="35">
        <f t="shared" si="666"/>
        <v>0</v>
      </c>
      <c r="S960" s="414">
        <f t="shared" si="667"/>
        <v>0</v>
      </c>
      <c r="T960" s="880">
        <f>[5]Sheet1!$B1375</f>
        <v>0</v>
      </c>
      <c r="U960" s="10">
        <f t="shared" si="668"/>
        <v>44841</v>
      </c>
      <c r="V960" s="276">
        <f t="shared" si="669"/>
        <v>0</v>
      </c>
    </row>
    <row r="961" spans="1:22" x14ac:dyDescent="0.25">
      <c r="A961" s="335">
        <f t="shared" si="655"/>
        <v>44844</v>
      </c>
      <c r="B961" s="329">
        <f t="shared" si="649"/>
        <v>0</v>
      </c>
      <c r="C961" s="338">
        <f t="shared" si="656"/>
        <v>188781.04000000015</v>
      </c>
      <c r="D961" s="414">
        <f t="shared" si="657"/>
        <v>0</v>
      </c>
      <c r="E961" s="49">
        <f t="shared" si="650"/>
        <v>0</v>
      </c>
      <c r="F961" s="35">
        <f t="shared" si="658"/>
        <v>0</v>
      </c>
      <c r="G961" s="414">
        <f t="shared" si="659"/>
        <v>0</v>
      </c>
      <c r="H961" s="49">
        <f t="shared" si="651"/>
        <v>0</v>
      </c>
      <c r="I961" s="35">
        <f t="shared" si="660"/>
        <v>55849.709999999977</v>
      </c>
      <c r="J961" s="414">
        <f t="shared" si="661"/>
        <v>0</v>
      </c>
      <c r="K961" s="329">
        <f t="shared" si="652"/>
        <v>0</v>
      </c>
      <c r="L961" s="35">
        <f t="shared" si="662"/>
        <v>0</v>
      </c>
      <c r="M961" s="414">
        <f t="shared" si="663"/>
        <v>0</v>
      </c>
      <c r="N961" s="329">
        <f t="shared" si="653"/>
        <v>0</v>
      </c>
      <c r="O961" s="35">
        <f t="shared" si="664"/>
        <v>26.980000000010332</v>
      </c>
      <c r="P961" s="414">
        <f t="shared" si="665"/>
        <v>0</v>
      </c>
      <c r="Q961" s="329">
        <f t="shared" si="654"/>
        <v>0</v>
      </c>
      <c r="R961" s="35">
        <f t="shared" si="666"/>
        <v>0</v>
      </c>
      <c r="S961" s="414">
        <f t="shared" si="667"/>
        <v>0</v>
      </c>
      <c r="T961" s="880">
        <f>[5]Sheet1!$B1376</f>
        <v>0</v>
      </c>
      <c r="U961" s="10">
        <f t="shared" si="668"/>
        <v>44844</v>
      </c>
      <c r="V961" s="276">
        <f t="shared" si="669"/>
        <v>0</v>
      </c>
    </row>
    <row r="962" spans="1:22" x14ac:dyDescent="0.25">
      <c r="A962" s="335">
        <f t="shared" si="655"/>
        <v>44845</v>
      </c>
      <c r="B962" s="329">
        <f t="shared" si="649"/>
        <v>0</v>
      </c>
      <c r="C962" s="338">
        <f t="shared" si="656"/>
        <v>188781.04000000015</v>
      </c>
      <c r="D962" s="414">
        <f t="shared" si="657"/>
        <v>0</v>
      </c>
      <c r="E962" s="49">
        <f t="shared" si="650"/>
        <v>0</v>
      </c>
      <c r="F962" s="35">
        <f t="shared" si="658"/>
        <v>0</v>
      </c>
      <c r="G962" s="414">
        <f t="shared" si="659"/>
        <v>0</v>
      </c>
      <c r="H962" s="49">
        <f t="shared" si="651"/>
        <v>0</v>
      </c>
      <c r="I962" s="35">
        <f t="shared" si="660"/>
        <v>55849.709999999977</v>
      </c>
      <c r="J962" s="414">
        <f t="shared" si="661"/>
        <v>0</v>
      </c>
      <c r="K962" s="329">
        <f t="shared" si="652"/>
        <v>0</v>
      </c>
      <c r="L962" s="35">
        <f t="shared" si="662"/>
        <v>0</v>
      </c>
      <c r="M962" s="414">
        <f t="shared" si="663"/>
        <v>0</v>
      </c>
      <c r="N962" s="329">
        <f t="shared" si="653"/>
        <v>0</v>
      </c>
      <c r="O962" s="35">
        <f t="shared" si="664"/>
        <v>26.980000000010332</v>
      </c>
      <c r="P962" s="414">
        <f t="shared" si="665"/>
        <v>0</v>
      </c>
      <c r="Q962" s="329">
        <f t="shared" si="654"/>
        <v>0</v>
      </c>
      <c r="R962" s="35">
        <f t="shared" si="666"/>
        <v>0</v>
      </c>
      <c r="S962" s="414">
        <f t="shared" si="667"/>
        <v>0</v>
      </c>
      <c r="T962" s="880">
        <f>[5]Sheet1!$B1377</f>
        <v>0</v>
      </c>
      <c r="U962" s="10">
        <f t="shared" si="668"/>
        <v>44845</v>
      </c>
      <c r="V962" s="276">
        <f t="shared" si="669"/>
        <v>0</v>
      </c>
    </row>
    <row r="963" spans="1:22" x14ac:dyDescent="0.25">
      <c r="A963" s="335">
        <f t="shared" si="655"/>
        <v>44846</v>
      </c>
      <c r="B963" s="329">
        <f t="shared" si="649"/>
        <v>0</v>
      </c>
      <c r="C963" s="338">
        <f t="shared" si="656"/>
        <v>188781.04000000015</v>
      </c>
      <c r="D963" s="414">
        <f t="shared" si="657"/>
        <v>0</v>
      </c>
      <c r="E963" s="49">
        <f t="shared" si="650"/>
        <v>0</v>
      </c>
      <c r="F963" s="35">
        <f t="shared" si="658"/>
        <v>0</v>
      </c>
      <c r="G963" s="414">
        <f t="shared" si="659"/>
        <v>0</v>
      </c>
      <c r="H963" s="49">
        <f t="shared" si="651"/>
        <v>0</v>
      </c>
      <c r="I963" s="35">
        <f t="shared" si="660"/>
        <v>55849.709999999977</v>
      </c>
      <c r="J963" s="414">
        <f t="shared" si="661"/>
        <v>0</v>
      </c>
      <c r="K963" s="329">
        <f t="shared" si="652"/>
        <v>0</v>
      </c>
      <c r="L963" s="35">
        <f t="shared" si="662"/>
        <v>0</v>
      </c>
      <c r="M963" s="414">
        <f t="shared" si="663"/>
        <v>0</v>
      </c>
      <c r="N963" s="329">
        <f t="shared" si="653"/>
        <v>0</v>
      </c>
      <c r="O963" s="35">
        <f t="shared" si="664"/>
        <v>26.980000000010332</v>
      </c>
      <c r="P963" s="414">
        <f t="shared" si="665"/>
        <v>0</v>
      </c>
      <c r="Q963" s="329">
        <f t="shared" si="654"/>
        <v>0</v>
      </c>
      <c r="R963" s="35">
        <f t="shared" si="666"/>
        <v>0</v>
      </c>
      <c r="S963" s="414">
        <f t="shared" si="667"/>
        <v>0</v>
      </c>
      <c r="T963" s="880">
        <f>[5]Sheet1!$B1378</f>
        <v>0</v>
      </c>
      <c r="U963" s="10">
        <f t="shared" si="668"/>
        <v>44846</v>
      </c>
      <c r="V963" s="276">
        <f t="shared" si="669"/>
        <v>0</v>
      </c>
    </row>
    <row r="964" spans="1:22" x14ac:dyDescent="0.25">
      <c r="A964" s="335">
        <f t="shared" si="655"/>
        <v>44847</v>
      </c>
      <c r="B964" s="329">
        <f t="shared" si="649"/>
        <v>0</v>
      </c>
      <c r="C964" s="338">
        <f t="shared" si="656"/>
        <v>188781.04000000015</v>
      </c>
      <c r="D964" s="414">
        <f t="shared" si="657"/>
        <v>0</v>
      </c>
      <c r="E964" s="49">
        <f t="shared" si="650"/>
        <v>0</v>
      </c>
      <c r="F964" s="35">
        <f t="shared" si="658"/>
        <v>0</v>
      </c>
      <c r="G964" s="414">
        <f t="shared" si="659"/>
        <v>0</v>
      </c>
      <c r="H964" s="49">
        <f t="shared" si="651"/>
        <v>0</v>
      </c>
      <c r="I964" s="35">
        <f t="shared" si="660"/>
        <v>55849.709999999977</v>
      </c>
      <c r="J964" s="414">
        <f t="shared" si="661"/>
        <v>0</v>
      </c>
      <c r="K964" s="329">
        <f t="shared" si="652"/>
        <v>0</v>
      </c>
      <c r="L964" s="35">
        <f t="shared" si="662"/>
        <v>0</v>
      </c>
      <c r="M964" s="414">
        <f t="shared" si="663"/>
        <v>0</v>
      </c>
      <c r="N964" s="329">
        <f t="shared" si="653"/>
        <v>0</v>
      </c>
      <c r="O964" s="35">
        <f t="shared" si="664"/>
        <v>26.980000000010332</v>
      </c>
      <c r="P964" s="414">
        <f t="shared" si="665"/>
        <v>0</v>
      </c>
      <c r="Q964" s="329">
        <f t="shared" si="654"/>
        <v>0</v>
      </c>
      <c r="R964" s="35">
        <f t="shared" si="666"/>
        <v>0</v>
      </c>
      <c r="S964" s="414">
        <f t="shared" si="667"/>
        <v>0</v>
      </c>
      <c r="T964" s="880">
        <f>[5]Sheet1!$B1379</f>
        <v>0</v>
      </c>
      <c r="U964" s="10">
        <f t="shared" si="668"/>
        <v>44847</v>
      </c>
      <c r="V964" s="276">
        <f t="shared" si="669"/>
        <v>0</v>
      </c>
    </row>
    <row r="965" spans="1:22" x14ac:dyDescent="0.25">
      <c r="A965" s="335">
        <f t="shared" si="655"/>
        <v>44848</v>
      </c>
      <c r="B965" s="329">
        <f t="shared" si="649"/>
        <v>0</v>
      </c>
      <c r="C965" s="338">
        <f t="shared" si="656"/>
        <v>188781.04000000015</v>
      </c>
      <c r="D965" s="414">
        <f t="shared" si="657"/>
        <v>0</v>
      </c>
      <c r="E965" s="49">
        <f t="shared" si="650"/>
        <v>0</v>
      </c>
      <c r="F965" s="35">
        <f t="shared" si="658"/>
        <v>0</v>
      </c>
      <c r="G965" s="414">
        <f t="shared" si="659"/>
        <v>0</v>
      </c>
      <c r="H965" s="49">
        <f t="shared" si="651"/>
        <v>0</v>
      </c>
      <c r="I965" s="35">
        <f t="shared" si="660"/>
        <v>55849.709999999977</v>
      </c>
      <c r="J965" s="414">
        <f t="shared" si="661"/>
        <v>0</v>
      </c>
      <c r="K965" s="329">
        <f t="shared" si="652"/>
        <v>0</v>
      </c>
      <c r="L965" s="35">
        <f t="shared" si="662"/>
        <v>0</v>
      </c>
      <c r="M965" s="414">
        <f t="shared" si="663"/>
        <v>0</v>
      </c>
      <c r="N965" s="329">
        <f t="shared" si="653"/>
        <v>0</v>
      </c>
      <c r="O965" s="35">
        <f t="shared" si="664"/>
        <v>26.980000000010332</v>
      </c>
      <c r="P965" s="414">
        <f t="shared" si="665"/>
        <v>0</v>
      </c>
      <c r="Q965" s="329">
        <f t="shared" si="654"/>
        <v>0</v>
      </c>
      <c r="R965" s="35">
        <f t="shared" si="666"/>
        <v>0</v>
      </c>
      <c r="S965" s="414">
        <f t="shared" si="667"/>
        <v>0</v>
      </c>
      <c r="T965" s="880">
        <f>[5]Sheet1!$B1380</f>
        <v>0</v>
      </c>
      <c r="U965" s="10">
        <f t="shared" si="668"/>
        <v>44848</v>
      </c>
      <c r="V965" s="276">
        <f t="shared" si="669"/>
        <v>0</v>
      </c>
    </row>
    <row r="966" spans="1:22" x14ac:dyDescent="0.25">
      <c r="A966" s="335">
        <f t="shared" si="655"/>
        <v>44851</v>
      </c>
      <c r="B966" s="329">
        <f t="shared" si="649"/>
        <v>0</v>
      </c>
      <c r="C966" s="338">
        <f t="shared" si="656"/>
        <v>188781.04000000015</v>
      </c>
      <c r="D966" s="414">
        <f t="shared" si="657"/>
        <v>0</v>
      </c>
      <c r="E966" s="49">
        <f t="shared" si="650"/>
        <v>0</v>
      </c>
      <c r="F966" s="35">
        <f t="shared" si="658"/>
        <v>0</v>
      </c>
      <c r="G966" s="414">
        <f t="shared" si="659"/>
        <v>0</v>
      </c>
      <c r="H966" s="49">
        <f t="shared" si="651"/>
        <v>0</v>
      </c>
      <c r="I966" s="35">
        <f t="shared" si="660"/>
        <v>55849.709999999977</v>
      </c>
      <c r="J966" s="414">
        <f t="shared" si="661"/>
        <v>0</v>
      </c>
      <c r="K966" s="329">
        <f t="shared" si="652"/>
        <v>0</v>
      </c>
      <c r="L966" s="35">
        <f t="shared" si="662"/>
        <v>0</v>
      </c>
      <c r="M966" s="414">
        <f t="shared" si="663"/>
        <v>0</v>
      </c>
      <c r="N966" s="329">
        <f t="shared" si="653"/>
        <v>0</v>
      </c>
      <c r="O966" s="35">
        <f t="shared" si="664"/>
        <v>26.980000000010332</v>
      </c>
      <c r="P966" s="414">
        <f t="shared" si="665"/>
        <v>0</v>
      </c>
      <c r="Q966" s="329">
        <f t="shared" si="654"/>
        <v>0</v>
      </c>
      <c r="R966" s="35">
        <f t="shared" si="666"/>
        <v>0</v>
      </c>
      <c r="S966" s="414">
        <f t="shared" si="667"/>
        <v>0</v>
      </c>
      <c r="T966" s="880">
        <f>[5]Sheet1!$B1381</f>
        <v>0</v>
      </c>
      <c r="U966" s="10">
        <f t="shared" si="668"/>
        <v>44851</v>
      </c>
      <c r="V966" s="276">
        <f t="shared" si="669"/>
        <v>0</v>
      </c>
    </row>
    <row r="967" spans="1:22" x14ac:dyDescent="0.25">
      <c r="A967" s="335">
        <f t="shared" si="655"/>
        <v>44852</v>
      </c>
      <c r="B967" s="329">
        <f t="shared" ref="B967:B990" si="670">-SUMIFS(CF_Main,CF_Dates,$A967,CF_Descriptions,"MM Sweep")</f>
        <v>0</v>
      </c>
      <c r="C967" s="338">
        <f t="shared" si="656"/>
        <v>188781.04000000015</v>
      </c>
      <c r="D967" s="414">
        <f t="shared" si="657"/>
        <v>0</v>
      </c>
      <c r="E967" s="49">
        <f t="shared" ref="E967:E990" si="671">-SUMIFS(CF_Main_EUR,CF_Dates,$A967,CF_Descriptions,"MM Sweep")</f>
        <v>0</v>
      </c>
      <c r="F967" s="35">
        <f t="shared" si="658"/>
        <v>0</v>
      </c>
      <c r="G967" s="414">
        <f t="shared" si="659"/>
        <v>0</v>
      </c>
      <c r="H967" s="49">
        <f t="shared" ref="H967:H990" si="672">-SUMIFS(CF_Expenses,CF_Dates,$A967,CF_Descriptions,"MM Sweep")</f>
        <v>0</v>
      </c>
      <c r="I967" s="35">
        <f t="shared" si="660"/>
        <v>55849.709999999977</v>
      </c>
      <c r="J967" s="414">
        <f t="shared" si="661"/>
        <v>0</v>
      </c>
      <c r="K967" s="329">
        <f t="shared" ref="K967:K990" si="673">-SUMIFS(CF_Margin,CF_Dates,$A967,CF_Descriptions,"MM Sweep")</f>
        <v>0</v>
      </c>
      <c r="L967" s="35">
        <f t="shared" si="662"/>
        <v>0</v>
      </c>
      <c r="M967" s="414">
        <f t="shared" si="663"/>
        <v>0</v>
      </c>
      <c r="N967" s="329">
        <f t="shared" ref="N967:N990" si="674">-SUMIFS(CF_Mgmt,CF_Dates,$A967,CF_Descriptions,"MM Sweep")</f>
        <v>0</v>
      </c>
      <c r="O967" s="35">
        <f t="shared" si="664"/>
        <v>26.980000000010332</v>
      </c>
      <c r="P967" s="414">
        <f t="shared" si="665"/>
        <v>0</v>
      </c>
      <c r="Q967" s="329">
        <f t="shared" ref="Q967:Q990" si="675">-SUMIFS(CF_SubRedemp,CF_Dates,$A967,CF_Descriptions,"MM Sweep")</f>
        <v>0</v>
      </c>
      <c r="R967" s="35">
        <f t="shared" si="666"/>
        <v>0</v>
      </c>
      <c r="S967" s="414">
        <f t="shared" si="667"/>
        <v>0</v>
      </c>
      <c r="T967" s="880">
        <f>[5]Sheet1!$B1382</f>
        <v>0</v>
      </c>
      <c r="U967" s="10">
        <f t="shared" si="668"/>
        <v>44852</v>
      </c>
      <c r="V967" s="276">
        <f t="shared" si="669"/>
        <v>0</v>
      </c>
    </row>
    <row r="968" spans="1:22" x14ac:dyDescent="0.25">
      <c r="A968" s="335">
        <f t="shared" si="655"/>
        <v>44853</v>
      </c>
      <c r="B968" s="329">
        <f t="shared" si="670"/>
        <v>0</v>
      </c>
      <c r="C968" s="338">
        <f t="shared" si="656"/>
        <v>188781.04000000015</v>
      </c>
      <c r="D968" s="414">
        <f t="shared" si="657"/>
        <v>0</v>
      </c>
      <c r="E968" s="49">
        <f t="shared" si="671"/>
        <v>0</v>
      </c>
      <c r="F968" s="35">
        <f t="shared" si="658"/>
        <v>0</v>
      </c>
      <c r="G968" s="414">
        <f t="shared" si="659"/>
        <v>0</v>
      </c>
      <c r="H968" s="49">
        <f t="shared" si="672"/>
        <v>0</v>
      </c>
      <c r="I968" s="35">
        <f t="shared" si="660"/>
        <v>55849.709999999977</v>
      </c>
      <c r="J968" s="414">
        <f t="shared" si="661"/>
        <v>0</v>
      </c>
      <c r="K968" s="329">
        <f t="shared" si="673"/>
        <v>0</v>
      </c>
      <c r="L968" s="35">
        <f t="shared" si="662"/>
        <v>0</v>
      </c>
      <c r="M968" s="414">
        <f t="shared" si="663"/>
        <v>0</v>
      </c>
      <c r="N968" s="329">
        <f t="shared" si="674"/>
        <v>0</v>
      </c>
      <c r="O968" s="35">
        <f t="shared" si="664"/>
        <v>26.980000000010332</v>
      </c>
      <c r="P968" s="414">
        <f t="shared" si="665"/>
        <v>0</v>
      </c>
      <c r="Q968" s="329">
        <f t="shared" si="675"/>
        <v>0</v>
      </c>
      <c r="R968" s="35">
        <f t="shared" si="666"/>
        <v>0</v>
      </c>
      <c r="S968" s="414">
        <f t="shared" si="667"/>
        <v>0</v>
      </c>
      <c r="T968" s="880">
        <f>[5]Sheet1!$B1383</f>
        <v>0</v>
      </c>
      <c r="U968" s="10">
        <f t="shared" si="668"/>
        <v>44853</v>
      </c>
      <c r="V968" s="276">
        <f t="shared" si="669"/>
        <v>0</v>
      </c>
    </row>
    <row r="969" spans="1:22" x14ac:dyDescent="0.25">
      <c r="A969" s="335">
        <f t="shared" si="655"/>
        <v>44854</v>
      </c>
      <c r="B969" s="329">
        <f t="shared" si="670"/>
        <v>0</v>
      </c>
      <c r="C969" s="338">
        <f t="shared" si="656"/>
        <v>188781.04000000015</v>
      </c>
      <c r="D969" s="414">
        <f t="shared" si="657"/>
        <v>0</v>
      </c>
      <c r="E969" s="49">
        <f t="shared" si="671"/>
        <v>0</v>
      </c>
      <c r="F969" s="35">
        <f t="shared" si="658"/>
        <v>0</v>
      </c>
      <c r="G969" s="414">
        <f t="shared" si="659"/>
        <v>0</v>
      </c>
      <c r="H969" s="49">
        <f t="shared" si="672"/>
        <v>0</v>
      </c>
      <c r="I969" s="35">
        <f t="shared" si="660"/>
        <v>55849.709999999977</v>
      </c>
      <c r="J969" s="414">
        <f t="shared" si="661"/>
        <v>0</v>
      </c>
      <c r="K969" s="329">
        <f t="shared" si="673"/>
        <v>0</v>
      </c>
      <c r="L969" s="35">
        <f t="shared" si="662"/>
        <v>0</v>
      </c>
      <c r="M969" s="414">
        <f t="shared" si="663"/>
        <v>0</v>
      </c>
      <c r="N969" s="329">
        <f t="shared" si="674"/>
        <v>0</v>
      </c>
      <c r="O969" s="35">
        <f t="shared" si="664"/>
        <v>26.980000000010332</v>
      </c>
      <c r="P969" s="414">
        <f t="shared" si="665"/>
        <v>0</v>
      </c>
      <c r="Q969" s="329">
        <f t="shared" si="675"/>
        <v>0</v>
      </c>
      <c r="R969" s="35">
        <f t="shared" si="666"/>
        <v>0</v>
      </c>
      <c r="S969" s="414">
        <f t="shared" si="667"/>
        <v>0</v>
      </c>
      <c r="T969" s="880">
        <f>[5]Sheet1!$B1384</f>
        <v>0</v>
      </c>
      <c r="U969" s="10">
        <f t="shared" si="668"/>
        <v>44854</v>
      </c>
      <c r="V969" s="276">
        <f t="shared" si="669"/>
        <v>0</v>
      </c>
    </row>
    <row r="970" spans="1:22" x14ac:dyDescent="0.25">
      <c r="A970" s="335">
        <f t="shared" si="655"/>
        <v>44855</v>
      </c>
      <c r="B970" s="329">
        <f t="shared" si="670"/>
        <v>0</v>
      </c>
      <c r="C970" s="338">
        <f t="shared" si="656"/>
        <v>188781.04000000015</v>
      </c>
      <c r="D970" s="414">
        <f t="shared" si="657"/>
        <v>0</v>
      </c>
      <c r="E970" s="49">
        <f t="shared" si="671"/>
        <v>0</v>
      </c>
      <c r="F970" s="35">
        <f t="shared" si="658"/>
        <v>0</v>
      </c>
      <c r="G970" s="414">
        <f t="shared" si="659"/>
        <v>0</v>
      </c>
      <c r="H970" s="49">
        <f t="shared" si="672"/>
        <v>0</v>
      </c>
      <c r="I970" s="35">
        <f t="shared" si="660"/>
        <v>55849.709999999977</v>
      </c>
      <c r="J970" s="414">
        <f t="shared" si="661"/>
        <v>0</v>
      </c>
      <c r="K970" s="329">
        <f t="shared" si="673"/>
        <v>0</v>
      </c>
      <c r="L970" s="35">
        <f t="shared" si="662"/>
        <v>0</v>
      </c>
      <c r="M970" s="414">
        <f t="shared" si="663"/>
        <v>0</v>
      </c>
      <c r="N970" s="329">
        <f t="shared" si="674"/>
        <v>0</v>
      </c>
      <c r="O970" s="35">
        <f t="shared" si="664"/>
        <v>26.980000000010332</v>
      </c>
      <c r="P970" s="414">
        <f t="shared" si="665"/>
        <v>0</v>
      </c>
      <c r="Q970" s="329">
        <f t="shared" si="675"/>
        <v>0</v>
      </c>
      <c r="R970" s="35">
        <f t="shared" si="666"/>
        <v>0</v>
      </c>
      <c r="S970" s="414">
        <f t="shared" si="667"/>
        <v>0</v>
      </c>
      <c r="T970" s="880">
        <f>[5]Sheet1!$B1385</f>
        <v>0</v>
      </c>
      <c r="U970" s="10">
        <f t="shared" si="668"/>
        <v>44855</v>
      </c>
      <c r="V970" s="276">
        <f t="shared" si="669"/>
        <v>0</v>
      </c>
    </row>
    <row r="971" spans="1:22" x14ac:dyDescent="0.25">
      <c r="A971" s="335">
        <f t="shared" si="655"/>
        <v>44858</v>
      </c>
      <c r="B971" s="329">
        <f t="shared" si="670"/>
        <v>0</v>
      </c>
      <c r="C971" s="338">
        <f t="shared" si="656"/>
        <v>188781.04000000015</v>
      </c>
      <c r="D971" s="414">
        <f t="shared" si="657"/>
        <v>0</v>
      </c>
      <c r="E971" s="49">
        <f t="shared" si="671"/>
        <v>0</v>
      </c>
      <c r="F971" s="35">
        <f t="shared" si="658"/>
        <v>0</v>
      </c>
      <c r="G971" s="414">
        <f t="shared" si="659"/>
        <v>0</v>
      </c>
      <c r="H971" s="49">
        <f t="shared" si="672"/>
        <v>0</v>
      </c>
      <c r="I971" s="35">
        <f t="shared" si="660"/>
        <v>55849.709999999977</v>
      </c>
      <c r="J971" s="414">
        <f t="shared" si="661"/>
        <v>0</v>
      </c>
      <c r="K971" s="329">
        <f t="shared" si="673"/>
        <v>0</v>
      </c>
      <c r="L971" s="35">
        <f t="shared" si="662"/>
        <v>0</v>
      </c>
      <c r="M971" s="414">
        <f t="shared" si="663"/>
        <v>0</v>
      </c>
      <c r="N971" s="329">
        <f t="shared" si="674"/>
        <v>0</v>
      </c>
      <c r="O971" s="35">
        <f t="shared" si="664"/>
        <v>26.980000000010332</v>
      </c>
      <c r="P971" s="414">
        <f t="shared" si="665"/>
        <v>0</v>
      </c>
      <c r="Q971" s="329">
        <f t="shared" si="675"/>
        <v>0</v>
      </c>
      <c r="R971" s="35">
        <f t="shared" si="666"/>
        <v>0</v>
      </c>
      <c r="S971" s="414">
        <f t="shared" si="667"/>
        <v>0</v>
      </c>
      <c r="T971" s="880">
        <f>[5]Sheet1!$B1386</f>
        <v>0</v>
      </c>
      <c r="U971" s="10">
        <f t="shared" si="668"/>
        <v>44858</v>
      </c>
      <c r="V971" s="276">
        <f t="shared" si="669"/>
        <v>0</v>
      </c>
    </row>
    <row r="972" spans="1:22" x14ac:dyDescent="0.25">
      <c r="A972" s="335">
        <f t="shared" si="655"/>
        <v>44859</v>
      </c>
      <c r="B972" s="329">
        <f t="shared" si="670"/>
        <v>0</v>
      </c>
      <c r="C972" s="338">
        <f t="shared" si="656"/>
        <v>188781.04000000015</v>
      </c>
      <c r="D972" s="414">
        <f t="shared" si="657"/>
        <v>0</v>
      </c>
      <c r="E972" s="49">
        <f t="shared" si="671"/>
        <v>0</v>
      </c>
      <c r="F972" s="35">
        <f t="shared" si="658"/>
        <v>0</v>
      </c>
      <c r="G972" s="414">
        <f t="shared" si="659"/>
        <v>0</v>
      </c>
      <c r="H972" s="49">
        <f t="shared" si="672"/>
        <v>0</v>
      </c>
      <c r="I972" s="35">
        <f t="shared" si="660"/>
        <v>55849.709999999977</v>
      </c>
      <c r="J972" s="414">
        <f t="shared" si="661"/>
        <v>0</v>
      </c>
      <c r="K972" s="329">
        <f t="shared" si="673"/>
        <v>0</v>
      </c>
      <c r="L972" s="35">
        <f t="shared" si="662"/>
        <v>0</v>
      </c>
      <c r="M972" s="414">
        <f t="shared" si="663"/>
        <v>0</v>
      </c>
      <c r="N972" s="329">
        <f t="shared" si="674"/>
        <v>0</v>
      </c>
      <c r="O972" s="35">
        <f t="shared" si="664"/>
        <v>26.980000000010332</v>
      </c>
      <c r="P972" s="414">
        <f t="shared" si="665"/>
        <v>0</v>
      </c>
      <c r="Q972" s="329">
        <f t="shared" si="675"/>
        <v>0</v>
      </c>
      <c r="R972" s="35">
        <f t="shared" si="666"/>
        <v>0</v>
      </c>
      <c r="S972" s="414">
        <f t="shared" si="667"/>
        <v>0</v>
      </c>
      <c r="T972" s="880">
        <f>[5]Sheet1!$B1387</f>
        <v>0</v>
      </c>
      <c r="U972" s="10">
        <f t="shared" si="668"/>
        <v>44859</v>
      </c>
      <c r="V972" s="276">
        <f t="shared" si="669"/>
        <v>0</v>
      </c>
    </row>
    <row r="973" spans="1:22" x14ac:dyDescent="0.25">
      <c r="A973" s="335">
        <f t="shared" si="655"/>
        <v>44860</v>
      </c>
      <c r="B973" s="329">
        <f t="shared" si="670"/>
        <v>0</v>
      </c>
      <c r="C973" s="338">
        <f t="shared" si="656"/>
        <v>188781.04000000015</v>
      </c>
      <c r="D973" s="414">
        <f t="shared" si="657"/>
        <v>0</v>
      </c>
      <c r="E973" s="49">
        <f t="shared" si="671"/>
        <v>0</v>
      </c>
      <c r="F973" s="35">
        <f t="shared" si="658"/>
        <v>0</v>
      </c>
      <c r="G973" s="414">
        <f t="shared" si="659"/>
        <v>0</v>
      </c>
      <c r="H973" s="49">
        <f t="shared" si="672"/>
        <v>0</v>
      </c>
      <c r="I973" s="35">
        <f t="shared" si="660"/>
        <v>55849.709999999977</v>
      </c>
      <c r="J973" s="414">
        <f t="shared" si="661"/>
        <v>0</v>
      </c>
      <c r="K973" s="329">
        <f t="shared" si="673"/>
        <v>0</v>
      </c>
      <c r="L973" s="35">
        <f t="shared" si="662"/>
        <v>0</v>
      </c>
      <c r="M973" s="414">
        <f t="shared" si="663"/>
        <v>0</v>
      </c>
      <c r="N973" s="329">
        <f t="shared" si="674"/>
        <v>0</v>
      </c>
      <c r="O973" s="35">
        <f t="shared" si="664"/>
        <v>26.980000000010332</v>
      </c>
      <c r="P973" s="414">
        <f t="shared" si="665"/>
        <v>0</v>
      </c>
      <c r="Q973" s="329">
        <f t="shared" si="675"/>
        <v>0</v>
      </c>
      <c r="R973" s="35">
        <f t="shared" si="666"/>
        <v>0</v>
      </c>
      <c r="S973" s="414">
        <f t="shared" si="667"/>
        <v>0</v>
      </c>
      <c r="T973" s="880">
        <f>[5]Sheet1!$B1388</f>
        <v>0</v>
      </c>
      <c r="U973" s="10">
        <f t="shared" si="668"/>
        <v>44860</v>
      </c>
      <c r="V973" s="276">
        <f t="shared" si="669"/>
        <v>0</v>
      </c>
    </row>
    <row r="974" spans="1:22" x14ac:dyDescent="0.25">
      <c r="A974" s="335">
        <f t="shared" si="655"/>
        <v>44861</v>
      </c>
      <c r="B974" s="329">
        <f t="shared" si="670"/>
        <v>0</v>
      </c>
      <c r="C974" s="338">
        <f t="shared" si="656"/>
        <v>188781.04000000015</v>
      </c>
      <c r="D974" s="414">
        <f t="shared" si="657"/>
        <v>0</v>
      </c>
      <c r="E974" s="49">
        <f t="shared" si="671"/>
        <v>0</v>
      </c>
      <c r="F974" s="35">
        <f t="shared" si="658"/>
        <v>0</v>
      </c>
      <c r="G974" s="414">
        <f t="shared" si="659"/>
        <v>0</v>
      </c>
      <c r="H974" s="49">
        <f t="shared" si="672"/>
        <v>0</v>
      </c>
      <c r="I974" s="35">
        <f t="shared" si="660"/>
        <v>55849.709999999977</v>
      </c>
      <c r="J974" s="414">
        <f t="shared" si="661"/>
        <v>0</v>
      </c>
      <c r="K974" s="329">
        <f t="shared" si="673"/>
        <v>0</v>
      </c>
      <c r="L974" s="35">
        <f t="shared" si="662"/>
        <v>0</v>
      </c>
      <c r="M974" s="414">
        <f t="shared" si="663"/>
        <v>0</v>
      </c>
      <c r="N974" s="329">
        <f t="shared" si="674"/>
        <v>0</v>
      </c>
      <c r="O974" s="35">
        <f t="shared" si="664"/>
        <v>26.980000000010332</v>
      </c>
      <c r="P974" s="414">
        <f t="shared" si="665"/>
        <v>0</v>
      </c>
      <c r="Q974" s="329">
        <f t="shared" si="675"/>
        <v>0</v>
      </c>
      <c r="R974" s="35">
        <f t="shared" si="666"/>
        <v>0</v>
      </c>
      <c r="S974" s="414">
        <f t="shared" si="667"/>
        <v>0</v>
      </c>
      <c r="T974" s="880">
        <f>[5]Sheet1!$B1389</f>
        <v>0</v>
      </c>
      <c r="U974" s="10">
        <f t="shared" si="668"/>
        <v>44861</v>
      </c>
      <c r="V974" s="276">
        <f t="shared" si="669"/>
        <v>0</v>
      </c>
    </row>
    <row r="975" spans="1:22" x14ac:dyDescent="0.25">
      <c r="A975" s="335">
        <f t="shared" ref="A975:A990" si="676">WORKDAY(A974,1,Holidays)</f>
        <v>44862</v>
      </c>
      <c r="B975" s="329">
        <f t="shared" si="670"/>
        <v>0</v>
      </c>
      <c r="C975" s="338">
        <f t="shared" si="656"/>
        <v>188781.04000000015</v>
      </c>
      <c r="D975" s="414">
        <f t="shared" si="657"/>
        <v>0</v>
      </c>
      <c r="E975" s="49">
        <f t="shared" si="671"/>
        <v>0</v>
      </c>
      <c r="F975" s="35">
        <f t="shared" si="658"/>
        <v>0</v>
      </c>
      <c r="G975" s="414">
        <f t="shared" si="659"/>
        <v>0</v>
      </c>
      <c r="H975" s="49">
        <f t="shared" si="672"/>
        <v>0</v>
      </c>
      <c r="I975" s="35">
        <f t="shared" si="660"/>
        <v>55849.709999999977</v>
      </c>
      <c r="J975" s="414">
        <f t="shared" si="661"/>
        <v>0</v>
      </c>
      <c r="K975" s="329">
        <f t="shared" si="673"/>
        <v>0</v>
      </c>
      <c r="L975" s="35">
        <f t="shared" si="662"/>
        <v>0</v>
      </c>
      <c r="M975" s="414">
        <f t="shared" si="663"/>
        <v>0</v>
      </c>
      <c r="N975" s="329">
        <f t="shared" si="674"/>
        <v>0</v>
      </c>
      <c r="O975" s="35">
        <f t="shared" si="664"/>
        <v>26.980000000010332</v>
      </c>
      <c r="P975" s="414">
        <f t="shared" si="665"/>
        <v>0</v>
      </c>
      <c r="Q975" s="329">
        <f t="shared" si="675"/>
        <v>0</v>
      </c>
      <c r="R975" s="35">
        <f t="shared" si="666"/>
        <v>0</v>
      </c>
      <c r="S975" s="414">
        <f t="shared" si="667"/>
        <v>0</v>
      </c>
      <c r="T975" s="880">
        <f>[5]Sheet1!$B1390</f>
        <v>0</v>
      </c>
      <c r="U975" s="10">
        <f t="shared" si="668"/>
        <v>44862</v>
      </c>
      <c r="V975" s="276">
        <f t="shared" si="669"/>
        <v>0</v>
      </c>
    </row>
    <row r="976" spans="1:22" x14ac:dyDescent="0.25">
      <c r="A976" s="335">
        <f t="shared" si="676"/>
        <v>44865</v>
      </c>
      <c r="B976" s="329">
        <f t="shared" si="670"/>
        <v>0</v>
      </c>
      <c r="C976" s="338">
        <f t="shared" si="656"/>
        <v>188781.04000000015</v>
      </c>
      <c r="D976" s="414">
        <f t="shared" si="657"/>
        <v>0</v>
      </c>
      <c r="E976" s="49">
        <f t="shared" si="671"/>
        <v>0</v>
      </c>
      <c r="F976" s="35">
        <f t="shared" si="658"/>
        <v>0</v>
      </c>
      <c r="G976" s="414">
        <f t="shared" si="659"/>
        <v>0</v>
      </c>
      <c r="H976" s="49">
        <f t="shared" si="672"/>
        <v>0</v>
      </c>
      <c r="I976" s="35">
        <f t="shared" si="660"/>
        <v>55849.709999999977</v>
      </c>
      <c r="J976" s="414">
        <f t="shared" si="661"/>
        <v>0</v>
      </c>
      <c r="K976" s="329">
        <f t="shared" si="673"/>
        <v>0</v>
      </c>
      <c r="L976" s="35">
        <f t="shared" si="662"/>
        <v>0</v>
      </c>
      <c r="M976" s="414">
        <f t="shared" si="663"/>
        <v>0</v>
      </c>
      <c r="N976" s="329">
        <f t="shared" si="674"/>
        <v>0</v>
      </c>
      <c r="O976" s="35">
        <f t="shared" si="664"/>
        <v>26.980000000010332</v>
      </c>
      <c r="P976" s="414">
        <f t="shared" si="665"/>
        <v>0</v>
      </c>
      <c r="Q976" s="329">
        <f t="shared" si="675"/>
        <v>0</v>
      </c>
      <c r="R976" s="35">
        <f t="shared" si="666"/>
        <v>0</v>
      </c>
      <c r="S976" s="414">
        <f t="shared" si="667"/>
        <v>0</v>
      </c>
      <c r="T976" s="880">
        <f>[5]Sheet1!$B1391</f>
        <v>0</v>
      </c>
      <c r="U976" s="10">
        <f t="shared" si="668"/>
        <v>44865</v>
      </c>
      <c r="V976" s="276">
        <f t="shared" si="669"/>
        <v>0</v>
      </c>
    </row>
    <row r="977" spans="1:22" x14ac:dyDescent="0.25">
      <c r="A977" s="335">
        <f t="shared" si="676"/>
        <v>44866</v>
      </c>
      <c r="B977" s="329">
        <f t="shared" si="670"/>
        <v>0</v>
      </c>
      <c r="C977" s="338">
        <f t="shared" si="656"/>
        <v>188781.04000000015</v>
      </c>
      <c r="D977" s="414">
        <f t="shared" si="657"/>
        <v>0</v>
      </c>
      <c r="E977" s="49">
        <f t="shared" si="671"/>
        <v>0</v>
      </c>
      <c r="F977" s="35">
        <f t="shared" si="658"/>
        <v>0</v>
      </c>
      <c r="G977" s="414">
        <f t="shared" si="659"/>
        <v>0</v>
      </c>
      <c r="H977" s="49">
        <f t="shared" si="672"/>
        <v>0</v>
      </c>
      <c r="I977" s="35">
        <f t="shared" si="660"/>
        <v>55849.709999999977</v>
      </c>
      <c r="J977" s="414">
        <f t="shared" si="661"/>
        <v>0</v>
      </c>
      <c r="K977" s="329">
        <f t="shared" si="673"/>
        <v>0</v>
      </c>
      <c r="L977" s="35">
        <f t="shared" si="662"/>
        <v>0</v>
      </c>
      <c r="M977" s="414">
        <f t="shared" si="663"/>
        <v>0</v>
      </c>
      <c r="N977" s="329">
        <f t="shared" si="674"/>
        <v>0</v>
      </c>
      <c r="O977" s="35">
        <f t="shared" si="664"/>
        <v>26.980000000010332</v>
      </c>
      <c r="P977" s="414">
        <f t="shared" si="665"/>
        <v>0</v>
      </c>
      <c r="Q977" s="329">
        <f t="shared" si="675"/>
        <v>0</v>
      </c>
      <c r="R977" s="35">
        <f t="shared" si="666"/>
        <v>0</v>
      </c>
      <c r="S977" s="414">
        <f t="shared" si="667"/>
        <v>0</v>
      </c>
      <c r="T977" s="880">
        <f>[5]Sheet1!$B1392</f>
        <v>0</v>
      </c>
      <c r="U977" s="10">
        <f t="shared" si="668"/>
        <v>44866</v>
      </c>
      <c r="V977" s="276">
        <f t="shared" si="669"/>
        <v>0</v>
      </c>
    </row>
    <row r="978" spans="1:22" x14ac:dyDescent="0.25">
      <c r="A978" s="335">
        <f t="shared" si="676"/>
        <v>44867</v>
      </c>
      <c r="B978" s="329">
        <f t="shared" si="670"/>
        <v>0</v>
      </c>
      <c r="C978" s="338">
        <f t="shared" si="656"/>
        <v>188781.04000000015</v>
      </c>
      <c r="D978" s="414">
        <f t="shared" si="657"/>
        <v>0</v>
      </c>
      <c r="E978" s="49">
        <f t="shared" si="671"/>
        <v>0</v>
      </c>
      <c r="F978" s="35">
        <f t="shared" si="658"/>
        <v>0</v>
      </c>
      <c r="G978" s="414">
        <f t="shared" si="659"/>
        <v>0</v>
      </c>
      <c r="H978" s="49">
        <f t="shared" si="672"/>
        <v>0</v>
      </c>
      <c r="I978" s="35">
        <f t="shared" si="660"/>
        <v>55849.709999999977</v>
      </c>
      <c r="J978" s="414">
        <f t="shared" si="661"/>
        <v>0</v>
      </c>
      <c r="K978" s="329">
        <f t="shared" si="673"/>
        <v>0</v>
      </c>
      <c r="L978" s="35">
        <f t="shared" si="662"/>
        <v>0</v>
      </c>
      <c r="M978" s="414">
        <f t="shared" si="663"/>
        <v>0</v>
      </c>
      <c r="N978" s="329">
        <f t="shared" si="674"/>
        <v>0</v>
      </c>
      <c r="O978" s="35">
        <f t="shared" si="664"/>
        <v>26.980000000010332</v>
      </c>
      <c r="P978" s="414">
        <f t="shared" si="665"/>
        <v>0</v>
      </c>
      <c r="Q978" s="329">
        <f t="shared" si="675"/>
        <v>0</v>
      </c>
      <c r="R978" s="35">
        <f t="shared" si="666"/>
        <v>0</v>
      </c>
      <c r="S978" s="414">
        <f t="shared" si="667"/>
        <v>0</v>
      </c>
      <c r="T978" s="880">
        <f>[5]Sheet1!$B1393</f>
        <v>0</v>
      </c>
      <c r="U978" s="10">
        <f t="shared" si="668"/>
        <v>44867</v>
      </c>
      <c r="V978" s="276">
        <f t="shared" si="669"/>
        <v>0</v>
      </c>
    </row>
    <row r="979" spans="1:22" x14ac:dyDescent="0.25">
      <c r="A979" s="335">
        <f t="shared" si="676"/>
        <v>44868</v>
      </c>
      <c r="B979" s="329">
        <f t="shared" si="670"/>
        <v>0</v>
      </c>
      <c r="C979" s="338">
        <f t="shared" si="656"/>
        <v>188781.04000000015</v>
      </c>
      <c r="D979" s="414">
        <f t="shared" si="657"/>
        <v>0</v>
      </c>
      <c r="E979" s="49">
        <f t="shared" si="671"/>
        <v>0</v>
      </c>
      <c r="F979" s="35">
        <f t="shared" si="658"/>
        <v>0</v>
      </c>
      <c r="G979" s="414">
        <f t="shared" si="659"/>
        <v>0</v>
      </c>
      <c r="H979" s="49">
        <f t="shared" si="672"/>
        <v>0</v>
      </c>
      <c r="I979" s="35">
        <f t="shared" si="660"/>
        <v>55849.709999999977</v>
      </c>
      <c r="J979" s="414">
        <f t="shared" si="661"/>
        <v>0</v>
      </c>
      <c r="K979" s="329">
        <f t="shared" si="673"/>
        <v>0</v>
      </c>
      <c r="L979" s="35">
        <f t="shared" si="662"/>
        <v>0</v>
      </c>
      <c r="M979" s="414">
        <f t="shared" si="663"/>
        <v>0</v>
      </c>
      <c r="N979" s="329">
        <f t="shared" si="674"/>
        <v>0</v>
      </c>
      <c r="O979" s="35">
        <f t="shared" si="664"/>
        <v>26.980000000010332</v>
      </c>
      <c r="P979" s="414">
        <f t="shared" si="665"/>
        <v>0</v>
      </c>
      <c r="Q979" s="329">
        <f t="shared" si="675"/>
        <v>0</v>
      </c>
      <c r="R979" s="35">
        <f t="shared" si="666"/>
        <v>0</v>
      </c>
      <c r="S979" s="414">
        <f t="shared" si="667"/>
        <v>0</v>
      </c>
      <c r="T979" s="880">
        <f>[5]Sheet1!$B1394</f>
        <v>0</v>
      </c>
      <c r="U979" s="10">
        <f t="shared" si="668"/>
        <v>44868</v>
      </c>
      <c r="V979" s="276">
        <f t="shared" si="669"/>
        <v>0</v>
      </c>
    </row>
    <row r="980" spans="1:22" x14ac:dyDescent="0.25">
      <c r="A980" s="335">
        <f t="shared" si="676"/>
        <v>44869</v>
      </c>
      <c r="B980" s="329">
        <f t="shared" si="670"/>
        <v>0</v>
      </c>
      <c r="C980" s="338">
        <f t="shared" si="656"/>
        <v>188781.04000000015</v>
      </c>
      <c r="D980" s="414">
        <f t="shared" si="657"/>
        <v>0</v>
      </c>
      <c r="E980" s="49">
        <f t="shared" si="671"/>
        <v>0</v>
      </c>
      <c r="F980" s="35">
        <f t="shared" si="658"/>
        <v>0</v>
      </c>
      <c r="G980" s="414">
        <f t="shared" si="659"/>
        <v>0</v>
      </c>
      <c r="H980" s="49">
        <f t="shared" si="672"/>
        <v>0</v>
      </c>
      <c r="I980" s="35">
        <f t="shared" si="660"/>
        <v>55849.709999999977</v>
      </c>
      <c r="J980" s="414">
        <f t="shared" si="661"/>
        <v>0</v>
      </c>
      <c r="K980" s="329">
        <f t="shared" si="673"/>
        <v>0</v>
      </c>
      <c r="L980" s="35">
        <f t="shared" si="662"/>
        <v>0</v>
      </c>
      <c r="M980" s="414">
        <f t="shared" si="663"/>
        <v>0</v>
      </c>
      <c r="N980" s="329">
        <f t="shared" si="674"/>
        <v>0</v>
      </c>
      <c r="O980" s="35">
        <f t="shared" si="664"/>
        <v>26.980000000010332</v>
      </c>
      <c r="P980" s="414">
        <f t="shared" si="665"/>
        <v>0</v>
      </c>
      <c r="Q980" s="329">
        <f t="shared" si="675"/>
        <v>0</v>
      </c>
      <c r="R980" s="35">
        <f t="shared" si="666"/>
        <v>0</v>
      </c>
      <c r="S980" s="414">
        <f t="shared" si="667"/>
        <v>0</v>
      </c>
      <c r="T980" s="880">
        <f>[5]Sheet1!$B1395</f>
        <v>0</v>
      </c>
      <c r="U980" s="10">
        <f t="shared" si="668"/>
        <v>44869</v>
      </c>
      <c r="V980" s="276">
        <f t="shared" si="669"/>
        <v>0</v>
      </c>
    </row>
    <row r="981" spans="1:22" x14ac:dyDescent="0.25">
      <c r="A981" s="335">
        <f t="shared" si="676"/>
        <v>44872</v>
      </c>
      <c r="B981" s="329">
        <f t="shared" si="670"/>
        <v>0</v>
      </c>
      <c r="C981" s="338">
        <f t="shared" si="656"/>
        <v>188781.04000000015</v>
      </c>
      <c r="D981" s="414">
        <f t="shared" si="657"/>
        <v>0</v>
      </c>
      <c r="E981" s="49">
        <f t="shared" si="671"/>
        <v>0</v>
      </c>
      <c r="F981" s="35">
        <f t="shared" si="658"/>
        <v>0</v>
      </c>
      <c r="G981" s="414">
        <f t="shared" si="659"/>
        <v>0</v>
      </c>
      <c r="H981" s="49">
        <f t="shared" si="672"/>
        <v>0</v>
      </c>
      <c r="I981" s="35">
        <f t="shared" si="660"/>
        <v>55849.709999999977</v>
      </c>
      <c r="J981" s="414">
        <f t="shared" si="661"/>
        <v>0</v>
      </c>
      <c r="K981" s="329">
        <f t="shared" si="673"/>
        <v>0</v>
      </c>
      <c r="L981" s="35">
        <f t="shared" si="662"/>
        <v>0</v>
      </c>
      <c r="M981" s="414">
        <f t="shared" si="663"/>
        <v>0</v>
      </c>
      <c r="N981" s="329">
        <f t="shared" si="674"/>
        <v>0</v>
      </c>
      <c r="O981" s="35">
        <f t="shared" si="664"/>
        <v>26.980000000010332</v>
      </c>
      <c r="P981" s="414">
        <f t="shared" si="665"/>
        <v>0</v>
      </c>
      <c r="Q981" s="329">
        <f t="shared" si="675"/>
        <v>0</v>
      </c>
      <c r="R981" s="35">
        <f t="shared" si="666"/>
        <v>0</v>
      </c>
      <c r="S981" s="414">
        <f t="shared" si="667"/>
        <v>0</v>
      </c>
      <c r="T981" s="880">
        <f>[5]Sheet1!$B1396</f>
        <v>0</v>
      </c>
      <c r="U981" s="10">
        <f t="shared" si="668"/>
        <v>44872</v>
      </c>
      <c r="V981" s="276">
        <f t="shared" si="669"/>
        <v>0</v>
      </c>
    </row>
    <row r="982" spans="1:22" x14ac:dyDescent="0.25">
      <c r="A982" s="335">
        <f t="shared" si="676"/>
        <v>44873</v>
      </c>
      <c r="B982" s="329">
        <f t="shared" si="670"/>
        <v>0</v>
      </c>
      <c r="C982" s="338">
        <f t="shared" si="656"/>
        <v>188781.04000000015</v>
      </c>
      <c r="D982" s="414">
        <f t="shared" si="657"/>
        <v>0</v>
      </c>
      <c r="E982" s="49">
        <f t="shared" si="671"/>
        <v>0</v>
      </c>
      <c r="F982" s="35">
        <f t="shared" si="658"/>
        <v>0</v>
      </c>
      <c r="G982" s="414">
        <f t="shared" si="659"/>
        <v>0</v>
      </c>
      <c r="H982" s="49">
        <f t="shared" si="672"/>
        <v>0</v>
      </c>
      <c r="I982" s="35">
        <f t="shared" si="660"/>
        <v>55849.709999999977</v>
      </c>
      <c r="J982" s="414">
        <f t="shared" si="661"/>
        <v>0</v>
      </c>
      <c r="K982" s="329">
        <f t="shared" si="673"/>
        <v>0</v>
      </c>
      <c r="L982" s="35">
        <f t="shared" si="662"/>
        <v>0</v>
      </c>
      <c r="M982" s="414">
        <f t="shared" si="663"/>
        <v>0</v>
      </c>
      <c r="N982" s="329">
        <f t="shared" si="674"/>
        <v>0</v>
      </c>
      <c r="O982" s="35">
        <f t="shared" si="664"/>
        <v>26.980000000010332</v>
      </c>
      <c r="P982" s="414">
        <f t="shared" si="665"/>
        <v>0</v>
      </c>
      <c r="Q982" s="329">
        <f t="shared" si="675"/>
        <v>0</v>
      </c>
      <c r="R982" s="35">
        <f t="shared" si="666"/>
        <v>0</v>
      </c>
      <c r="S982" s="414">
        <f t="shared" si="667"/>
        <v>0</v>
      </c>
      <c r="T982" s="880">
        <f>[5]Sheet1!$B1397</f>
        <v>0</v>
      </c>
      <c r="U982" s="10">
        <f t="shared" si="668"/>
        <v>44873</v>
      </c>
      <c r="V982" s="276">
        <f t="shared" si="669"/>
        <v>0</v>
      </c>
    </row>
    <row r="983" spans="1:22" x14ac:dyDescent="0.25">
      <c r="A983" s="335">
        <f t="shared" si="676"/>
        <v>44874</v>
      </c>
      <c r="B983" s="329">
        <f t="shared" si="670"/>
        <v>0</v>
      </c>
      <c r="C983" s="338">
        <f t="shared" si="656"/>
        <v>188781.04000000015</v>
      </c>
      <c r="D983" s="414">
        <f t="shared" si="657"/>
        <v>0</v>
      </c>
      <c r="E983" s="49">
        <f t="shared" si="671"/>
        <v>0</v>
      </c>
      <c r="F983" s="35">
        <f t="shared" si="658"/>
        <v>0</v>
      </c>
      <c r="G983" s="414">
        <f t="shared" si="659"/>
        <v>0</v>
      </c>
      <c r="H983" s="49">
        <f t="shared" si="672"/>
        <v>0</v>
      </c>
      <c r="I983" s="35">
        <f t="shared" si="660"/>
        <v>55849.709999999977</v>
      </c>
      <c r="J983" s="414">
        <f t="shared" si="661"/>
        <v>0</v>
      </c>
      <c r="K983" s="329">
        <f t="shared" si="673"/>
        <v>0</v>
      </c>
      <c r="L983" s="35">
        <f t="shared" si="662"/>
        <v>0</v>
      </c>
      <c r="M983" s="414">
        <f t="shared" si="663"/>
        <v>0</v>
      </c>
      <c r="N983" s="329">
        <f t="shared" si="674"/>
        <v>0</v>
      </c>
      <c r="O983" s="35">
        <f t="shared" si="664"/>
        <v>26.980000000010332</v>
      </c>
      <c r="P983" s="414">
        <f t="shared" si="665"/>
        <v>0</v>
      </c>
      <c r="Q983" s="329">
        <f t="shared" si="675"/>
        <v>0</v>
      </c>
      <c r="R983" s="35">
        <f t="shared" si="666"/>
        <v>0</v>
      </c>
      <c r="S983" s="414">
        <f t="shared" si="667"/>
        <v>0</v>
      </c>
      <c r="T983" s="880">
        <f>[5]Sheet1!$B1398</f>
        <v>0</v>
      </c>
      <c r="U983" s="10">
        <f t="shared" si="668"/>
        <v>44874</v>
      </c>
      <c r="V983" s="276">
        <f t="shared" si="669"/>
        <v>0</v>
      </c>
    </row>
    <row r="984" spans="1:22" x14ac:dyDescent="0.25">
      <c r="A984" s="335">
        <f t="shared" si="676"/>
        <v>44875</v>
      </c>
      <c r="B984" s="329">
        <f t="shared" si="670"/>
        <v>0</v>
      </c>
      <c r="C984" s="338">
        <f t="shared" si="656"/>
        <v>188781.04000000015</v>
      </c>
      <c r="D984" s="414">
        <f t="shared" si="657"/>
        <v>0</v>
      </c>
      <c r="E984" s="49">
        <f t="shared" si="671"/>
        <v>0</v>
      </c>
      <c r="F984" s="35">
        <f t="shared" si="658"/>
        <v>0</v>
      </c>
      <c r="G984" s="414">
        <f t="shared" si="659"/>
        <v>0</v>
      </c>
      <c r="H984" s="49">
        <f t="shared" si="672"/>
        <v>0</v>
      </c>
      <c r="I984" s="35">
        <f t="shared" si="660"/>
        <v>55849.709999999977</v>
      </c>
      <c r="J984" s="414">
        <f t="shared" si="661"/>
        <v>0</v>
      </c>
      <c r="K984" s="329">
        <f t="shared" si="673"/>
        <v>0</v>
      </c>
      <c r="L984" s="35">
        <f t="shared" si="662"/>
        <v>0</v>
      </c>
      <c r="M984" s="414">
        <f t="shared" si="663"/>
        <v>0</v>
      </c>
      <c r="N984" s="329">
        <f t="shared" si="674"/>
        <v>0</v>
      </c>
      <c r="O984" s="35">
        <f t="shared" si="664"/>
        <v>26.980000000010332</v>
      </c>
      <c r="P984" s="414">
        <f t="shared" si="665"/>
        <v>0</v>
      </c>
      <c r="Q984" s="329">
        <f t="shared" si="675"/>
        <v>0</v>
      </c>
      <c r="R984" s="35">
        <f t="shared" si="666"/>
        <v>0</v>
      </c>
      <c r="S984" s="414">
        <f t="shared" si="667"/>
        <v>0</v>
      </c>
      <c r="T984" s="880">
        <f>[5]Sheet1!$B1399</f>
        <v>0</v>
      </c>
      <c r="U984" s="10">
        <f t="shared" si="668"/>
        <v>44875</v>
      </c>
      <c r="V984" s="276">
        <f t="shared" si="669"/>
        <v>0</v>
      </c>
    </row>
    <row r="985" spans="1:22" x14ac:dyDescent="0.25">
      <c r="A985" s="335">
        <f t="shared" si="676"/>
        <v>44876</v>
      </c>
      <c r="B985" s="329">
        <f t="shared" si="670"/>
        <v>0</v>
      </c>
      <c r="C985" s="338">
        <f t="shared" si="656"/>
        <v>188781.04000000015</v>
      </c>
      <c r="D985" s="414">
        <f t="shared" si="657"/>
        <v>0</v>
      </c>
      <c r="E985" s="49">
        <f t="shared" si="671"/>
        <v>0</v>
      </c>
      <c r="F985" s="35">
        <f t="shared" si="658"/>
        <v>0</v>
      </c>
      <c r="G985" s="414">
        <f t="shared" si="659"/>
        <v>0</v>
      </c>
      <c r="H985" s="49">
        <f t="shared" si="672"/>
        <v>0</v>
      </c>
      <c r="I985" s="35">
        <f t="shared" si="660"/>
        <v>55849.709999999977</v>
      </c>
      <c r="J985" s="414">
        <f t="shared" si="661"/>
        <v>0</v>
      </c>
      <c r="K985" s="329">
        <f t="shared" si="673"/>
        <v>0</v>
      </c>
      <c r="L985" s="35">
        <f t="shared" si="662"/>
        <v>0</v>
      </c>
      <c r="M985" s="414">
        <f t="shared" si="663"/>
        <v>0</v>
      </c>
      <c r="N985" s="329">
        <f t="shared" si="674"/>
        <v>0</v>
      </c>
      <c r="O985" s="35">
        <f t="shared" si="664"/>
        <v>26.980000000010332</v>
      </c>
      <c r="P985" s="414">
        <f t="shared" si="665"/>
        <v>0</v>
      </c>
      <c r="Q985" s="329">
        <f t="shared" si="675"/>
        <v>0</v>
      </c>
      <c r="R985" s="35">
        <f t="shared" si="666"/>
        <v>0</v>
      </c>
      <c r="S985" s="414">
        <f t="shared" si="667"/>
        <v>0</v>
      </c>
      <c r="T985" s="880">
        <f>[5]Sheet1!$B1400</f>
        <v>0</v>
      </c>
      <c r="U985" s="10">
        <f t="shared" si="668"/>
        <v>44876</v>
      </c>
      <c r="V985" s="276">
        <f t="shared" si="669"/>
        <v>0</v>
      </c>
    </row>
    <row r="986" spans="1:22" x14ac:dyDescent="0.25">
      <c r="A986" s="335">
        <f t="shared" si="676"/>
        <v>44879</v>
      </c>
      <c r="B986" s="329">
        <f t="shared" si="670"/>
        <v>0</v>
      </c>
      <c r="C986" s="338">
        <f t="shared" si="656"/>
        <v>188781.04000000015</v>
      </c>
      <c r="D986" s="414">
        <f t="shared" si="657"/>
        <v>0</v>
      </c>
      <c r="E986" s="49">
        <f t="shared" si="671"/>
        <v>0</v>
      </c>
      <c r="F986" s="35">
        <f t="shared" si="658"/>
        <v>0</v>
      </c>
      <c r="G986" s="414">
        <f t="shared" si="659"/>
        <v>0</v>
      </c>
      <c r="H986" s="49">
        <f t="shared" si="672"/>
        <v>0</v>
      </c>
      <c r="I986" s="35">
        <f t="shared" si="660"/>
        <v>55849.709999999977</v>
      </c>
      <c r="J986" s="414">
        <f t="shared" si="661"/>
        <v>0</v>
      </c>
      <c r="K986" s="329">
        <f t="shared" si="673"/>
        <v>0</v>
      </c>
      <c r="L986" s="35">
        <f t="shared" si="662"/>
        <v>0</v>
      </c>
      <c r="M986" s="414">
        <f t="shared" si="663"/>
        <v>0</v>
      </c>
      <c r="N986" s="329">
        <f t="shared" si="674"/>
        <v>0</v>
      </c>
      <c r="O986" s="35">
        <f t="shared" si="664"/>
        <v>26.980000000010332</v>
      </c>
      <c r="P986" s="414">
        <f t="shared" si="665"/>
        <v>0</v>
      </c>
      <c r="Q986" s="329">
        <f t="shared" si="675"/>
        <v>0</v>
      </c>
      <c r="R986" s="35">
        <f t="shared" si="666"/>
        <v>0</v>
      </c>
      <c r="S986" s="414">
        <f t="shared" si="667"/>
        <v>0</v>
      </c>
      <c r="T986" s="880">
        <f>[5]Sheet1!$B1401</f>
        <v>0</v>
      </c>
      <c r="U986" s="10">
        <f t="shared" si="668"/>
        <v>44879</v>
      </c>
      <c r="V986" s="276">
        <f t="shared" si="669"/>
        <v>0</v>
      </c>
    </row>
    <row r="987" spans="1:22" x14ac:dyDescent="0.25">
      <c r="A987" s="335">
        <f t="shared" si="676"/>
        <v>44880</v>
      </c>
      <c r="B987" s="329">
        <f t="shared" si="670"/>
        <v>0</v>
      </c>
      <c r="C987" s="338">
        <f t="shared" si="656"/>
        <v>188781.04000000015</v>
      </c>
      <c r="D987" s="414">
        <f t="shared" si="657"/>
        <v>0</v>
      </c>
      <c r="E987" s="49">
        <f t="shared" si="671"/>
        <v>0</v>
      </c>
      <c r="F987" s="35">
        <f t="shared" si="658"/>
        <v>0</v>
      </c>
      <c r="G987" s="414">
        <f t="shared" si="659"/>
        <v>0</v>
      </c>
      <c r="H987" s="49">
        <f t="shared" si="672"/>
        <v>0</v>
      </c>
      <c r="I987" s="35">
        <f t="shared" si="660"/>
        <v>55849.709999999977</v>
      </c>
      <c r="J987" s="414">
        <f t="shared" si="661"/>
        <v>0</v>
      </c>
      <c r="K987" s="329">
        <f t="shared" si="673"/>
        <v>0</v>
      </c>
      <c r="L987" s="35">
        <f t="shared" si="662"/>
        <v>0</v>
      </c>
      <c r="M987" s="414">
        <f t="shared" si="663"/>
        <v>0</v>
      </c>
      <c r="N987" s="329">
        <f t="shared" si="674"/>
        <v>0</v>
      </c>
      <c r="O987" s="35">
        <f t="shared" si="664"/>
        <v>26.980000000010332</v>
      </c>
      <c r="P987" s="414">
        <f t="shared" si="665"/>
        <v>0</v>
      </c>
      <c r="Q987" s="329">
        <f t="shared" si="675"/>
        <v>0</v>
      </c>
      <c r="R987" s="35">
        <f t="shared" si="666"/>
        <v>0</v>
      </c>
      <c r="S987" s="414">
        <f t="shared" si="667"/>
        <v>0</v>
      </c>
      <c r="T987" s="880">
        <f>[5]Sheet1!$B1402</f>
        <v>0</v>
      </c>
      <c r="U987" s="10">
        <f t="shared" si="668"/>
        <v>44880</v>
      </c>
      <c r="V987" s="276">
        <f t="shared" si="669"/>
        <v>0</v>
      </c>
    </row>
    <row r="988" spans="1:22" x14ac:dyDescent="0.25">
      <c r="A988" s="335">
        <f t="shared" si="676"/>
        <v>44881</v>
      </c>
      <c r="B988" s="329">
        <f t="shared" si="670"/>
        <v>0</v>
      </c>
      <c r="C988" s="338">
        <f t="shared" si="656"/>
        <v>188781.04000000015</v>
      </c>
      <c r="D988" s="414">
        <f t="shared" si="657"/>
        <v>0</v>
      </c>
      <c r="E988" s="49">
        <f t="shared" si="671"/>
        <v>0</v>
      </c>
      <c r="F988" s="35">
        <f t="shared" si="658"/>
        <v>0</v>
      </c>
      <c r="G988" s="414">
        <f t="shared" si="659"/>
        <v>0</v>
      </c>
      <c r="H988" s="49">
        <f t="shared" si="672"/>
        <v>0</v>
      </c>
      <c r="I988" s="35">
        <f t="shared" si="660"/>
        <v>55849.709999999977</v>
      </c>
      <c r="J988" s="414">
        <f t="shared" si="661"/>
        <v>0</v>
      </c>
      <c r="K988" s="329">
        <f t="shared" si="673"/>
        <v>0</v>
      </c>
      <c r="L988" s="35">
        <f t="shared" si="662"/>
        <v>0</v>
      </c>
      <c r="M988" s="414">
        <f t="shared" si="663"/>
        <v>0</v>
      </c>
      <c r="N988" s="329">
        <f t="shared" si="674"/>
        <v>0</v>
      </c>
      <c r="O988" s="35">
        <f t="shared" si="664"/>
        <v>26.980000000010332</v>
      </c>
      <c r="P988" s="414">
        <f t="shared" si="665"/>
        <v>0</v>
      </c>
      <c r="Q988" s="329">
        <f t="shared" si="675"/>
        <v>0</v>
      </c>
      <c r="R988" s="35">
        <f t="shared" si="666"/>
        <v>0</v>
      </c>
      <c r="S988" s="414">
        <f t="shared" si="667"/>
        <v>0</v>
      </c>
      <c r="T988" s="880">
        <f>[5]Sheet1!$B1403</f>
        <v>0</v>
      </c>
      <c r="U988" s="10">
        <f t="shared" si="668"/>
        <v>44881</v>
      </c>
      <c r="V988" s="276">
        <f t="shared" si="669"/>
        <v>0</v>
      </c>
    </row>
    <row r="989" spans="1:22" x14ac:dyDescent="0.25">
      <c r="A989" s="335">
        <f t="shared" si="676"/>
        <v>44882</v>
      </c>
      <c r="B989" s="329">
        <f t="shared" si="670"/>
        <v>0</v>
      </c>
      <c r="C989" s="338">
        <f t="shared" si="656"/>
        <v>188781.04000000015</v>
      </c>
      <c r="D989" s="414">
        <f t="shared" si="657"/>
        <v>0</v>
      </c>
      <c r="E989" s="49">
        <f t="shared" si="671"/>
        <v>0</v>
      </c>
      <c r="F989" s="35">
        <f t="shared" si="658"/>
        <v>0</v>
      </c>
      <c r="G989" s="414">
        <f t="shared" si="659"/>
        <v>0</v>
      </c>
      <c r="H989" s="49">
        <f t="shared" si="672"/>
        <v>0</v>
      </c>
      <c r="I989" s="35">
        <f t="shared" si="660"/>
        <v>55849.709999999977</v>
      </c>
      <c r="J989" s="414">
        <f t="shared" si="661"/>
        <v>0</v>
      </c>
      <c r="K989" s="329">
        <f t="shared" si="673"/>
        <v>0</v>
      </c>
      <c r="L989" s="35">
        <f t="shared" si="662"/>
        <v>0</v>
      </c>
      <c r="M989" s="414">
        <f t="shared" si="663"/>
        <v>0</v>
      </c>
      <c r="N989" s="329">
        <f t="shared" si="674"/>
        <v>0</v>
      </c>
      <c r="O989" s="35">
        <f t="shared" si="664"/>
        <v>26.980000000010332</v>
      </c>
      <c r="P989" s="414">
        <f t="shared" si="665"/>
        <v>0</v>
      </c>
      <c r="Q989" s="329">
        <f t="shared" si="675"/>
        <v>0</v>
      </c>
      <c r="R989" s="35">
        <f t="shared" si="666"/>
        <v>0</v>
      </c>
      <c r="S989" s="414">
        <f t="shared" si="667"/>
        <v>0</v>
      </c>
      <c r="T989" s="880">
        <f>[5]Sheet1!$B1404</f>
        <v>0</v>
      </c>
      <c r="U989" s="10">
        <f t="shared" si="668"/>
        <v>44882</v>
      </c>
      <c r="V989" s="276">
        <f t="shared" si="669"/>
        <v>0</v>
      </c>
    </row>
    <row r="990" spans="1:22" x14ac:dyDescent="0.25">
      <c r="A990" s="335">
        <f t="shared" si="676"/>
        <v>44883</v>
      </c>
      <c r="B990" s="329">
        <f t="shared" si="670"/>
        <v>0</v>
      </c>
      <c r="C990" s="338">
        <f t="shared" si="656"/>
        <v>188781.04000000015</v>
      </c>
      <c r="D990" s="414">
        <f t="shared" si="657"/>
        <v>0</v>
      </c>
      <c r="E990" s="49">
        <f t="shared" si="671"/>
        <v>0</v>
      </c>
      <c r="F990" s="35">
        <f t="shared" si="658"/>
        <v>0</v>
      </c>
      <c r="G990" s="414">
        <f t="shared" si="659"/>
        <v>0</v>
      </c>
      <c r="H990" s="49">
        <f t="shared" si="672"/>
        <v>0</v>
      </c>
      <c r="I990" s="35">
        <f t="shared" si="660"/>
        <v>55849.709999999977</v>
      </c>
      <c r="J990" s="414">
        <f t="shared" si="661"/>
        <v>0</v>
      </c>
      <c r="K990" s="329">
        <f t="shared" si="673"/>
        <v>0</v>
      </c>
      <c r="L990" s="35">
        <f t="shared" si="662"/>
        <v>0</v>
      </c>
      <c r="M990" s="414">
        <f t="shared" si="663"/>
        <v>0</v>
      </c>
      <c r="N990" s="329">
        <f t="shared" si="674"/>
        <v>0</v>
      </c>
      <c r="O990" s="35">
        <f t="shared" si="664"/>
        <v>26.980000000010332</v>
      </c>
      <c r="P990" s="414">
        <f t="shared" si="665"/>
        <v>0</v>
      </c>
      <c r="Q990" s="329">
        <f t="shared" si="675"/>
        <v>0</v>
      </c>
      <c r="R990" s="35">
        <f t="shared" si="666"/>
        <v>0</v>
      </c>
      <c r="S990" s="414">
        <f t="shared" si="667"/>
        <v>0</v>
      </c>
      <c r="T990" s="880">
        <f>[5]Sheet1!$B1405</f>
        <v>0</v>
      </c>
      <c r="U990" s="10">
        <f t="shared" si="668"/>
        <v>44883</v>
      </c>
      <c r="V990" s="276">
        <f t="shared" si="669"/>
        <v>0</v>
      </c>
    </row>
  </sheetData>
  <mergeCells count="7">
    <mergeCell ref="Q5:S5"/>
    <mergeCell ref="E5:G5"/>
    <mergeCell ref="A5:A6"/>
    <mergeCell ref="B5:D5"/>
    <mergeCell ref="H5:J5"/>
    <mergeCell ref="K5:M5"/>
    <mergeCell ref="N5:P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1048576"/>
  <sheetViews>
    <sheetView workbookViewId="0">
      <pane ySplit="3" topLeftCell="A1356" activePane="bottomLeft" state="frozen"/>
      <selection activeCell="F215" sqref="F215"/>
      <selection pane="bottomLeft" activeCell="N1405" sqref="N1405"/>
    </sheetView>
  </sheetViews>
  <sheetFormatPr defaultColWidth="9.140625" defaultRowHeight="15" x14ac:dyDescent="0.25"/>
  <cols>
    <col min="1" max="1" width="10.140625" style="2" bestFit="1" customWidth="1"/>
    <col min="2" max="2" width="15.85546875" style="765" customWidth="1"/>
    <col min="3" max="3" width="17" style="765" bestFit="1" customWidth="1"/>
    <col min="4" max="5" width="17" style="2" bestFit="1" customWidth="1"/>
    <col min="6" max="6" width="16.5703125" style="765" customWidth="1"/>
    <col min="7" max="7" width="17" style="765" customWidth="1"/>
    <col min="8" max="15" width="15.85546875" style="2" customWidth="1"/>
    <col min="16" max="16" width="68.5703125" style="2" customWidth="1"/>
    <col min="17" max="17" width="16.140625" style="2" customWidth="1"/>
    <col min="18" max="18" width="14.42578125" style="2" bestFit="1" customWidth="1"/>
    <col min="19" max="19" width="13.42578125" style="2" bestFit="1" customWidth="1"/>
    <col min="20" max="20" width="14.140625" style="2" bestFit="1" customWidth="1"/>
    <col min="21" max="21" width="14" style="2" bestFit="1" customWidth="1"/>
    <col min="22" max="22" width="9.140625" style="2"/>
    <col min="23" max="23" width="10.140625" style="2" bestFit="1" customWidth="1"/>
    <col min="24" max="16384" width="9.140625" style="2"/>
  </cols>
  <sheetData>
    <row r="1" spans="1:24" x14ac:dyDescent="0.25">
      <c r="D1" s="765"/>
      <c r="E1" s="765"/>
      <c r="H1" s="765"/>
      <c r="J1" s="29"/>
    </row>
    <row r="2" spans="1:24" x14ac:dyDescent="0.25">
      <c r="A2" s="1273" t="s">
        <v>76</v>
      </c>
      <c r="B2" s="1281" t="s">
        <v>937</v>
      </c>
      <c r="C2" s="1282"/>
      <c r="D2" s="1267" t="s">
        <v>957</v>
      </c>
      <c r="E2" s="1268"/>
      <c r="F2" s="1283" t="s">
        <v>2689</v>
      </c>
      <c r="G2" s="1284"/>
      <c r="H2" s="1269" t="s">
        <v>74</v>
      </c>
      <c r="I2" s="1270"/>
      <c r="J2" s="1275" t="s">
        <v>978</v>
      </c>
      <c r="K2" s="1276"/>
      <c r="L2" s="1279" t="s">
        <v>75</v>
      </c>
      <c r="M2" s="1280"/>
      <c r="N2" s="1277" t="s">
        <v>123</v>
      </c>
      <c r="O2" s="1278"/>
      <c r="P2" s="1271" t="s">
        <v>79</v>
      </c>
    </row>
    <row r="3" spans="1:24" x14ac:dyDescent="0.25">
      <c r="A3" s="1274"/>
      <c r="B3" s="871" t="s">
        <v>942</v>
      </c>
      <c r="C3" s="872" t="s">
        <v>78</v>
      </c>
      <c r="D3" s="45" t="s">
        <v>77</v>
      </c>
      <c r="E3" s="46" t="s">
        <v>78</v>
      </c>
      <c r="F3" s="894" t="s">
        <v>77</v>
      </c>
      <c r="G3" s="895" t="s">
        <v>78</v>
      </c>
      <c r="H3" s="47" t="s">
        <v>77</v>
      </c>
      <c r="I3" s="48" t="s">
        <v>78</v>
      </c>
      <c r="J3" s="246" t="s">
        <v>77</v>
      </c>
      <c r="K3" s="247" t="s">
        <v>78</v>
      </c>
      <c r="L3" s="248" t="s">
        <v>77</v>
      </c>
      <c r="M3" s="249" t="s">
        <v>78</v>
      </c>
      <c r="N3" s="99" t="s">
        <v>77</v>
      </c>
      <c r="O3" s="100" t="s">
        <v>78</v>
      </c>
      <c r="P3" s="1272"/>
    </row>
    <row r="4" spans="1:24" x14ac:dyDescent="0.25">
      <c r="A4" s="10">
        <v>43503</v>
      </c>
      <c r="B4" s="49">
        <v>0</v>
      </c>
      <c r="C4" s="31">
        <v>0</v>
      </c>
      <c r="D4" s="49">
        <v>0</v>
      </c>
      <c r="E4" s="31">
        <v>0</v>
      </c>
      <c r="F4" s="898">
        <v>0</v>
      </c>
      <c r="G4" s="899">
        <v>0</v>
      </c>
      <c r="H4" s="49">
        <v>0</v>
      </c>
      <c r="I4" s="31">
        <v>0</v>
      </c>
      <c r="J4" s="49">
        <v>0</v>
      </c>
      <c r="K4" s="31">
        <v>0</v>
      </c>
      <c r="L4" s="49">
        <v>0</v>
      </c>
      <c r="M4" s="31">
        <v>0</v>
      </c>
      <c r="N4" s="49">
        <v>0</v>
      </c>
      <c r="O4" s="31">
        <v>0</v>
      </c>
      <c r="P4" s="51" t="s">
        <v>822</v>
      </c>
      <c r="Q4" s="50"/>
    </row>
    <row r="5" spans="1:24" x14ac:dyDescent="0.25">
      <c r="A5" s="10">
        <v>43508</v>
      </c>
      <c r="B5" s="594">
        <v>8880000</v>
      </c>
      <c r="C5" s="31">
        <f t="shared" ref="C5:C55" si="0">ROUND(B5+C4,2)</f>
        <v>8880000</v>
      </c>
      <c r="D5" s="50">
        <v>-8880000</v>
      </c>
      <c r="E5" s="31">
        <f>ROUND(D5+E4,2)</f>
        <v>-8880000</v>
      </c>
      <c r="F5" s="900">
        <v>0</v>
      </c>
      <c r="G5" s="899">
        <f t="shared" ref="G5:G20" si="1">ROUND(F5+G4,2)</f>
        <v>0</v>
      </c>
      <c r="H5" s="50">
        <v>0</v>
      </c>
      <c r="I5" s="31">
        <f>ROUND(H5+I4,2)</f>
        <v>0</v>
      </c>
      <c r="J5" s="50">
        <v>0</v>
      </c>
      <c r="K5" s="31">
        <f>ROUND(J5+K4,2)</f>
        <v>0</v>
      </c>
      <c r="L5" s="50">
        <v>0</v>
      </c>
      <c r="M5" s="31">
        <f>ROUND(L5+M4,2)</f>
        <v>0</v>
      </c>
      <c r="N5" s="50">
        <v>0</v>
      </c>
      <c r="O5" s="31">
        <f>ROUND(N5+O4,2)</f>
        <v>0</v>
      </c>
      <c r="P5" s="51" t="s">
        <v>831</v>
      </c>
      <c r="Q5" s="51"/>
      <c r="R5" s="765"/>
      <c r="S5" s="765"/>
      <c r="T5" s="765"/>
      <c r="U5" s="765"/>
      <c r="V5" s="765"/>
      <c r="W5" s="765"/>
      <c r="X5" s="765"/>
    </row>
    <row r="6" spans="1:24" x14ac:dyDescent="0.25">
      <c r="A6" s="10">
        <v>43508</v>
      </c>
      <c r="B6" s="594">
        <f>-B5</f>
        <v>-8880000</v>
      </c>
      <c r="C6" s="31">
        <f t="shared" si="0"/>
        <v>0</v>
      </c>
      <c r="D6" s="594">
        <f>-D5</f>
        <v>8880000</v>
      </c>
      <c r="E6" s="31">
        <f>ROUND(D6+E5,2)</f>
        <v>0</v>
      </c>
      <c r="F6" s="900">
        <v>0</v>
      </c>
      <c r="G6" s="899">
        <f t="shared" si="1"/>
        <v>0</v>
      </c>
      <c r="H6" s="50">
        <v>0</v>
      </c>
      <c r="I6" s="31">
        <f>ROUND(H6+I5,2)</f>
        <v>0</v>
      </c>
      <c r="J6" s="50">
        <v>0</v>
      </c>
      <c r="K6" s="31">
        <f>ROUND(J6+K5,2)</f>
        <v>0</v>
      </c>
      <c r="L6" s="50">
        <v>0</v>
      </c>
      <c r="M6" s="31">
        <f>ROUND(L6+M5,2)</f>
        <v>0</v>
      </c>
      <c r="N6" s="50">
        <v>0</v>
      </c>
      <c r="O6" s="31">
        <f>ROUND(N6+O5,2)</f>
        <v>0</v>
      </c>
      <c r="P6" s="51" t="s">
        <v>832</v>
      </c>
      <c r="Q6" s="51"/>
      <c r="R6" s="765"/>
      <c r="S6" s="765"/>
      <c r="T6" s="765"/>
      <c r="U6" s="765"/>
      <c r="V6" s="765"/>
      <c r="W6" s="765"/>
      <c r="X6" s="765"/>
    </row>
    <row r="7" spans="1:24" x14ac:dyDescent="0.25">
      <c r="A7" s="10">
        <v>43511</v>
      </c>
      <c r="B7" s="594">
        <v>0</v>
      </c>
      <c r="C7" s="31">
        <f t="shared" si="0"/>
        <v>0</v>
      </c>
      <c r="D7" s="50">
        <v>150000</v>
      </c>
      <c r="E7" s="31">
        <f>ROUND(D7+E6,2)</f>
        <v>150000</v>
      </c>
      <c r="F7" s="900">
        <v>0</v>
      </c>
      <c r="G7" s="899">
        <f t="shared" si="1"/>
        <v>0</v>
      </c>
      <c r="H7" s="50">
        <v>0</v>
      </c>
      <c r="I7" s="31">
        <f>ROUND(H7+I6,2)</f>
        <v>0</v>
      </c>
      <c r="J7" s="50">
        <v>0</v>
      </c>
      <c r="K7" s="31">
        <f>ROUND(J7+K6,2)</f>
        <v>0</v>
      </c>
      <c r="L7" s="50">
        <v>0</v>
      </c>
      <c r="M7" s="31">
        <f>ROUND(L7+M6,2)</f>
        <v>0</v>
      </c>
      <c r="N7" s="50">
        <v>0</v>
      </c>
      <c r="O7" s="31">
        <f>ROUND(N7+O6,2)</f>
        <v>0</v>
      </c>
      <c r="P7" s="51" t="s">
        <v>842</v>
      </c>
      <c r="Q7" s="51"/>
      <c r="R7" s="765"/>
      <c r="S7" s="765"/>
      <c r="T7" s="765"/>
      <c r="U7" s="765"/>
      <c r="V7" s="765"/>
      <c r="W7" s="765"/>
      <c r="X7" s="765"/>
    </row>
    <row r="8" spans="1:24" x14ac:dyDescent="0.25">
      <c r="A8" s="10">
        <v>43516</v>
      </c>
      <c r="B8" s="594">
        <v>0</v>
      </c>
      <c r="C8" s="31">
        <f t="shared" si="0"/>
        <v>0</v>
      </c>
      <c r="D8" s="50">
        <v>0</v>
      </c>
      <c r="E8" s="31">
        <f>ROUND(D8+E7,2)</f>
        <v>150000</v>
      </c>
      <c r="F8" s="900">
        <v>0</v>
      </c>
      <c r="G8" s="899">
        <f t="shared" si="1"/>
        <v>0</v>
      </c>
      <c r="H8" s="50">
        <v>0</v>
      </c>
      <c r="I8" s="31">
        <f>ROUND(H8+I7,2)</f>
        <v>0</v>
      </c>
      <c r="J8" s="50">
        <v>0</v>
      </c>
      <c r="K8" s="31">
        <f>ROUND(J8+K7,2)</f>
        <v>0</v>
      </c>
      <c r="L8" s="50">
        <v>0</v>
      </c>
      <c r="M8" s="31">
        <f>ROUND(L8+M7,2)</f>
        <v>0</v>
      </c>
      <c r="N8" s="50">
        <v>100000</v>
      </c>
      <c r="O8" s="31">
        <f>ROUND(N8+O7,2)</f>
        <v>100000</v>
      </c>
      <c r="P8" s="51" t="s">
        <v>843</v>
      </c>
      <c r="Q8" s="51"/>
      <c r="R8" s="765"/>
      <c r="S8" s="765"/>
      <c r="T8" s="765"/>
      <c r="U8" s="765"/>
      <c r="V8" s="765"/>
      <c r="W8" s="765"/>
      <c r="X8" s="765"/>
    </row>
    <row r="9" spans="1:24" x14ac:dyDescent="0.25">
      <c r="A9" s="10">
        <v>43516</v>
      </c>
      <c r="B9" s="594">
        <v>0</v>
      </c>
      <c r="C9" s="31">
        <f t="shared" si="0"/>
        <v>0</v>
      </c>
      <c r="D9" s="50">
        <v>100000</v>
      </c>
      <c r="E9" s="31">
        <f t="shared" ref="E9:E55" si="2">ROUND(D9+E8,2)</f>
        <v>250000</v>
      </c>
      <c r="F9" s="900">
        <v>0</v>
      </c>
      <c r="G9" s="899">
        <f t="shared" si="1"/>
        <v>0</v>
      </c>
      <c r="H9" s="50">
        <v>0</v>
      </c>
      <c r="I9" s="31">
        <f t="shared" ref="I9:I55" si="3">ROUND(H9+I8,2)</f>
        <v>0</v>
      </c>
      <c r="J9" s="50">
        <v>0</v>
      </c>
      <c r="K9" s="31">
        <f t="shared" ref="K9:K55" si="4">ROUND(J9+K8,2)</f>
        <v>0</v>
      </c>
      <c r="L9" s="50">
        <v>0</v>
      </c>
      <c r="M9" s="31">
        <f t="shared" ref="M9:M55" si="5">ROUND(L9+M8,2)</f>
        <v>0</v>
      </c>
      <c r="N9" s="50">
        <v>-100000</v>
      </c>
      <c r="O9" s="31">
        <f t="shared" ref="O9:O55" si="6">ROUND(N9+O8,2)</f>
        <v>0</v>
      </c>
      <c r="P9" s="51" t="s">
        <v>846</v>
      </c>
      <c r="Q9" s="51"/>
      <c r="R9" s="765"/>
      <c r="S9" s="765"/>
      <c r="T9" s="765"/>
      <c r="U9" s="765"/>
      <c r="V9" s="765"/>
      <c r="W9" s="765"/>
      <c r="X9" s="765"/>
    </row>
    <row r="10" spans="1:24" x14ac:dyDescent="0.25">
      <c r="A10" s="10">
        <v>43516</v>
      </c>
      <c r="B10" s="594">
        <v>0</v>
      </c>
      <c r="C10" s="31">
        <f t="shared" si="0"/>
        <v>0</v>
      </c>
      <c r="D10" s="50">
        <f>-E9</f>
        <v>-250000</v>
      </c>
      <c r="E10" s="31">
        <f>ROUND(D10+E9,2)</f>
        <v>0</v>
      </c>
      <c r="F10" s="900">
        <v>0</v>
      </c>
      <c r="G10" s="899">
        <f t="shared" si="1"/>
        <v>0</v>
      </c>
      <c r="H10" s="50">
        <v>0</v>
      </c>
      <c r="I10" s="31">
        <f>ROUND(H10+I9,2)</f>
        <v>0</v>
      </c>
      <c r="J10" s="50">
        <v>0</v>
      </c>
      <c r="K10" s="31">
        <f>ROUND(J10+K9,2)</f>
        <v>0</v>
      </c>
      <c r="L10" s="50">
        <v>0</v>
      </c>
      <c r="M10" s="31">
        <f>ROUND(L10+M9,2)</f>
        <v>0</v>
      </c>
      <c r="N10" s="50">
        <v>0</v>
      </c>
      <c r="O10" s="31">
        <f>ROUND(N10+O9,2)</f>
        <v>0</v>
      </c>
      <c r="P10" s="51" t="s">
        <v>845</v>
      </c>
      <c r="Q10" s="51"/>
      <c r="R10" s="765"/>
      <c r="S10" s="765"/>
      <c r="T10" s="765"/>
      <c r="U10" s="765"/>
      <c r="V10" s="765"/>
      <c r="W10" s="765"/>
      <c r="X10" s="765"/>
    </row>
    <row r="11" spans="1:24" x14ac:dyDescent="0.25">
      <c r="A11" s="10">
        <v>43528</v>
      </c>
      <c r="B11" s="594">
        <v>0</v>
      </c>
      <c r="C11" s="31">
        <f t="shared" si="0"/>
        <v>0</v>
      </c>
      <c r="D11" s="50">
        <v>141.68</v>
      </c>
      <c r="E11" s="31">
        <f>ROUND(D11+E10,2)</f>
        <v>141.68</v>
      </c>
      <c r="F11" s="900">
        <v>0</v>
      </c>
      <c r="G11" s="899">
        <f t="shared" si="1"/>
        <v>0</v>
      </c>
      <c r="H11" s="50">
        <v>0</v>
      </c>
      <c r="I11" s="31">
        <f>ROUND(H11+I10,2)</f>
        <v>0</v>
      </c>
      <c r="J11" s="50">
        <v>0</v>
      </c>
      <c r="K11" s="31">
        <f>ROUND(J11+K10,2)</f>
        <v>0</v>
      </c>
      <c r="L11" s="50">
        <v>0</v>
      </c>
      <c r="M11" s="31">
        <f>ROUND(L11+M10,2)</f>
        <v>0</v>
      </c>
      <c r="N11" s="50">
        <v>0</v>
      </c>
      <c r="O11" s="31">
        <f>ROUND(N11+O10,2)</f>
        <v>0</v>
      </c>
      <c r="P11" s="51" t="s">
        <v>847</v>
      </c>
      <c r="Q11" s="51"/>
      <c r="R11" s="765"/>
      <c r="S11" s="765"/>
      <c r="T11" s="765"/>
      <c r="U11" s="765"/>
      <c r="V11" s="765"/>
      <c r="W11" s="765"/>
      <c r="X11" s="765"/>
    </row>
    <row r="12" spans="1:24" x14ac:dyDescent="0.25">
      <c r="A12" s="10">
        <v>43528</v>
      </c>
      <c r="B12" s="594">
        <v>0</v>
      </c>
      <c r="C12" s="31">
        <f t="shared" si="0"/>
        <v>0</v>
      </c>
      <c r="D12" s="50">
        <v>-141.68</v>
      </c>
      <c r="E12" s="31">
        <f>ROUND(D12+E11,2)</f>
        <v>0</v>
      </c>
      <c r="F12" s="900">
        <v>0</v>
      </c>
      <c r="G12" s="899">
        <f t="shared" si="1"/>
        <v>0</v>
      </c>
      <c r="H12" s="50">
        <v>0</v>
      </c>
      <c r="I12" s="31">
        <f>ROUND(H12+I11,2)</f>
        <v>0</v>
      </c>
      <c r="J12" s="50">
        <v>0</v>
      </c>
      <c r="K12" s="31">
        <f>ROUND(J12+K11,2)</f>
        <v>0</v>
      </c>
      <c r="L12" s="50">
        <v>0</v>
      </c>
      <c r="M12" s="31">
        <f>ROUND(L12+M11,2)</f>
        <v>0</v>
      </c>
      <c r="N12" s="50">
        <v>0</v>
      </c>
      <c r="O12" s="31">
        <f>ROUND(N12+O11,2)</f>
        <v>0</v>
      </c>
      <c r="P12" s="51" t="s">
        <v>845</v>
      </c>
      <c r="Q12" s="51"/>
      <c r="R12" s="765"/>
      <c r="S12" s="765"/>
      <c r="T12" s="765"/>
      <c r="U12" s="765"/>
      <c r="V12" s="765"/>
      <c r="W12" s="765"/>
      <c r="X12" s="765"/>
    </row>
    <row r="13" spans="1:24" x14ac:dyDescent="0.25">
      <c r="A13" s="10">
        <v>43536</v>
      </c>
      <c r="B13" s="594">
        <v>500000</v>
      </c>
      <c r="C13" s="31">
        <f t="shared" si="0"/>
        <v>500000</v>
      </c>
      <c r="D13" s="50">
        <v>-501858.01</v>
      </c>
      <c r="E13" s="31">
        <f t="shared" si="2"/>
        <v>-501858.01</v>
      </c>
      <c r="F13" s="900">
        <v>0</v>
      </c>
      <c r="G13" s="899">
        <f t="shared" si="1"/>
        <v>0</v>
      </c>
      <c r="H13" s="50">
        <v>0</v>
      </c>
      <c r="I13" s="31">
        <f t="shared" si="3"/>
        <v>0</v>
      </c>
      <c r="J13" s="50">
        <v>0</v>
      </c>
      <c r="K13" s="31">
        <f t="shared" si="4"/>
        <v>0</v>
      </c>
      <c r="L13" s="50">
        <v>0</v>
      </c>
      <c r="M13" s="31">
        <f t="shared" si="5"/>
        <v>0</v>
      </c>
      <c r="N13" s="50">
        <v>0</v>
      </c>
      <c r="O13" s="31">
        <f t="shared" si="6"/>
        <v>0</v>
      </c>
      <c r="P13" s="51" t="s">
        <v>831</v>
      </c>
      <c r="Q13" s="51"/>
      <c r="R13" s="765"/>
      <c r="S13" s="765"/>
      <c r="T13" s="765"/>
      <c r="U13" s="765"/>
      <c r="V13" s="765"/>
      <c r="W13" s="765"/>
      <c r="X13" s="765"/>
    </row>
    <row r="14" spans="1:24" x14ac:dyDescent="0.25">
      <c r="A14" s="10">
        <v>43536</v>
      </c>
      <c r="B14" s="594">
        <f>-B13</f>
        <v>-500000</v>
      </c>
      <c r="C14" s="31">
        <f t="shared" si="0"/>
        <v>0</v>
      </c>
      <c r="D14" s="50">
        <v>501858.01</v>
      </c>
      <c r="E14" s="31">
        <f t="shared" si="2"/>
        <v>0</v>
      </c>
      <c r="F14" s="900">
        <v>0</v>
      </c>
      <c r="G14" s="899">
        <f t="shared" si="1"/>
        <v>0</v>
      </c>
      <c r="H14" s="50">
        <v>0</v>
      </c>
      <c r="I14" s="31">
        <f t="shared" si="3"/>
        <v>0</v>
      </c>
      <c r="J14" s="50">
        <v>0</v>
      </c>
      <c r="K14" s="31">
        <f t="shared" si="4"/>
        <v>0</v>
      </c>
      <c r="L14" s="50">
        <v>0</v>
      </c>
      <c r="M14" s="31">
        <f t="shared" si="5"/>
        <v>0</v>
      </c>
      <c r="N14" s="50">
        <v>0</v>
      </c>
      <c r="O14" s="31">
        <f t="shared" si="6"/>
        <v>0</v>
      </c>
      <c r="P14" s="51" t="s">
        <v>832</v>
      </c>
      <c r="Q14" s="51"/>
      <c r="R14" s="765"/>
      <c r="S14" s="765"/>
      <c r="T14" s="765"/>
      <c r="U14" s="765"/>
      <c r="V14" s="765"/>
      <c r="W14" s="765"/>
      <c r="X14" s="765"/>
    </row>
    <row r="15" spans="1:24" x14ac:dyDescent="0.25">
      <c r="A15" s="10">
        <v>43539</v>
      </c>
      <c r="B15" s="594">
        <v>0</v>
      </c>
      <c r="C15" s="31">
        <f t="shared" si="0"/>
        <v>0</v>
      </c>
      <c r="D15" s="50">
        <v>38590.54</v>
      </c>
      <c r="E15" s="31">
        <f t="shared" si="2"/>
        <v>38590.54</v>
      </c>
      <c r="F15" s="900">
        <v>0</v>
      </c>
      <c r="G15" s="899">
        <f t="shared" si="1"/>
        <v>0</v>
      </c>
      <c r="H15" s="50">
        <v>0</v>
      </c>
      <c r="I15" s="31">
        <f t="shared" si="3"/>
        <v>0</v>
      </c>
      <c r="J15" s="50">
        <v>0</v>
      </c>
      <c r="K15" s="31">
        <f t="shared" si="4"/>
        <v>0</v>
      </c>
      <c r="L15" s="50">
        <v>0</v>
      </c>
      <c r="M15" s="31">
        <f t="shared" si="5"/>
        <v>0</v>
      </c>
      <c r="N15" s="50">
        <v>0</v>
      </c>
      <c r="O15" s="31">
        <f t="shared" si="6"/>
        <v>0</v>
      </c>
      <c r="P15" s="51" t="s">
        <v>849</v>
      </c>
      <c r="Q15" s="51"/>
      <c r="R15" s="765"/>
      <c r="S15" s="765"/>
      <c r="T15" s="765"/>
      <c r="U15" s="765"/>
      <c r="V15" s="765"/>
      <c r="W15" s="765"/>
      <c r="X15" s="765"/>
    </row>
    <row r="16" spans="1:24" x14ac:dyDescent="0.25">
      <c r="A16" s="10">
        <v>43539</v>
      </c>
      <c r="B16" s="594">
        <v>0</v>
      </c>
      <c r="C16" s="31">
        <f t="shared" si="0"/>
        <v>0</v>
      </c>
      <c r="D16" s="50">
        <v>-8916533.4793333337</v>
      </c>
      <c r="E16" s="31">
        <f t="shared" si="2"/>
        <v>-8877942.9399999995</v>
      </c>
      <c r="F16" s="900">
        <v>0</v>
      </c>
      <c r="G16" s="899">
        <f t="shared" si="1"/>
        <v>0</v>
      </c>
      <c r="H16" s="50">
        <v>0</v>
      </c>
      <c r="I16" s="31">
        <f t="shared" si="3"/>
        <v>0</v>
      </c>
      <c r="J16" s="50">
        <v>0</v>
      </c>
      <c r="K16" s="31">
        <f t="shared" si="4"/>
        <v>0</v>
      </c>
      <c r="L16" s="50">
        <v>0</v>
      </c>
      <c r="M16" s="31">
        <f t="shared" si="5"/>
        <v>0</v>
      </c>
      <c r="N16" s="50">
        <v>0</v>
      </c>
      <c r="O16" s="31">
        <f t="shared" si="6"/>
        <v>0</v>
      </c>
      <c r="P16" s="51" t="s">
        <v>850</v>
      </c>
      <c r="Q16" s="51"/>
      <c r="R16" s="765"/>
      <c r="S16" s="765"/>
      <c r="T16" s="765"/>
      <c r="U16" s="765"/>
      <c r="V16" s="765"/>
      <c r="W16" s="765"/>
      <c r="X16" s="765"/>
    </row>
    <row r="17" spans="1:27" x14ac:dyDescent="0.25">
      <c r="A17" s="10">
        <v>43539</v>
      </c>
      <c r="B17" s="594">
        <v>0</v>
      </c>
      <c r="C17" s="31">
        <f t="shared" si="0"/>
        <v>0</v>
      </c>
      <c r="D17" s="50">
        <v>-8900857.8126666658</v>
      </c>
      <c r="E17" s="31">
        <f t="shared" si="2"/>
        <v>-17778800.75</v>
      </c>
      <c r="F17" s="900">
        <v>0</v>
      </c>
      <c r="G17" s="899">
        <f t="shared" si="1"/>
        <v>0</v>
      </c>
      <c r="H17" s="50">
        <v>0</v>
      </c>
      <c r="I17" s="31">
        <f t="shared" si="3"/>
        <v>0</v>
      </c>
      <c r="J17" s="50">
        <v>0</v>
      </c>
      <c r="K17" s="31">
        <f t="shared" si="4"/>
        <v>0</v>
      </c>
      <c r="L17" s="50">
        <v>0</v>
      </c>
      <c r="M17" s="31">
        <f t="shared" si="5"/>
        <v>0</v>
      </c>
      <c r="N17" s="50">
        <v>0</v>
      </c>
      <c r="O17" s="31">
        <f t="shared" si="6"/>
        <v>0</v>
      </c>
      <c r="P17" s="51" t="s">
        <v>851</v>
      </c>
      <c r="Q17" s="51"/>
      <c r="R17" s="765"/>
      <c r="S17" s="765"/>
      <c r="T17" s="765"/>
      <c r="U17" s="765"/>
      <c r="V17" s="765"/>
      <c r="W17" s="765"/>
      <c r="X17" s="765"/>
    </row>
    <row r="18" spans="1:27" x14ac:dyDescent="0.25">
      <c r="A18" s="10">
        <v>43539</v>
      </c>
      <c r="B18" s="594">
        <v>0</v>
      </c>
      <c r="C18" s="31">
        <f t="shared" si="0"/>
        <v>0</v>
      </c>
      <c r="D18" s="50">
        <v>8900857.8126666658</v>
      </c>
      <c r="E18" s="31">
        <f t="shared" si="2"/>
        <v>-8877942.9399999995</v>
      </c>
      <c r="F18" s="900">
        <v>0</v>
      </c>
      <c r="G18" s="899">
        <f t="shared" si="1"/>
        <v>0</v>
      </c>
      <c r="H18" s="50">
        <v>0</v>
      </c>
      <c r="I18" s="31">
        <f t="shared" si="3"/>
        <v>0</v>
      </c>
      <c r="J18" s="50">
        <v>0</v>
      </c>
      <c r="K18" s="31">
        <f t="shared" si="4"/>
        <v>0</v>
      </c>
      <c r="L18" s="50">
        <v>0</v>
      </c>
      <c r="M18" s="31">
        <f t="shared" si="5"/>
        <v>0</v>
      </c>
      <c r="N18" s="50">
        <v>0</v>
      </c>
      <c r="O18" s="31">
        <f t="shared" si="6"/>
        <v>0</v>
      </c>
      <c r="P18" s="51" t="s">
        <v>852</v>
      </c>
      <c r="Q18" s="51"/>
      <c r="R18" s="765"/>
      <c r="S18" s="765"/>
      <c r="T18" s="765"/>
      <c r="U18" s="765"/>
      <c r="V18" s="765"/>
      <c r="W18" s="765"/>
      <c r="X18" s="765"/>
    </row>
    <row r="19" spans="1:27" x14ac:dyDescent="0.25">
      <c r="A19" s="10">
        <v>43539</v>
      </c>
      <c r="B19" s="594">
        <v>0</v>
      </c>
      <c r="C19" s="31">
        <f t="shared" si="0"/>
        <v>0</v>
      </c>
      <c r="D19" s="50">
        <v>-502057.08083333337</v>
      </c>
      <c r="E19" s="31">
        <f t="shared" si="2"/>
        <v>-9380000.0199999996</v>
      </c>
      <c r="F19" s="900">
        <v>0</v>
      </c>
      <c r="G19" s="899">
        <f t="shared" si="1"/>
        <v>0</v>
      </c>
      <c r="H19" s="50">
        <v>0</v>
      </c>
      <c r="I19" s="31">
        <f t="shared" si="3"/>
        <v>0</v>
      </c>
      <c r="J19" s="50">
        <v>0</v>
      </c>
      <c r="K19" s="31">
        <f t="shared" si="4"/>
        <v>0</v>
      </c>
      <c r="L19" s="50">
        <v>0</v>
      </c>
      <c r="M19" s="31">
        <f t="shared" si="5"/>
        <v>0</v>
      </c>
      <c r="N19" s="50">
        <v>0</v>
      </c>
      <c r="O19" s="31">
        <f t="shared" si="6"/>
        <v>0</v>
      </c>
      <c r="P19" s="51" t="s">
        <v>853</v>
      </c>
      <c r="Q19" s="51"/>
      <c r="R19" s="765"/>
      <c r="S19" s="765"/>
      <c r="T19" s="765"/>
      <c r="U19" s="765"/>
      <c r="V19" s="765"/>
      <c r="W19" s="765"/>
      <c r="X19" s="765"/>
    </row>
    <row r="20" spans="1:27" x14ac:dyDescent="0.25">
      <c r="A20" s="10">
        <v>43539</v>
      </c>
      <c r="B20" s="594">
        <v>0</v>
      </c>
      <c r="C20" s="31">
        <f t="shared" si="0"/>
        <v>0</v>
      </c>
      <c r="D20" s="50">
        <v>-500113.65</v>
      </c>
      <c r="E20" s="31">
        <f t="shared" si="2"/>
        <v>-9880113.6699999999</v>
      </c>
      <c r="F20" s="900">
        <v>0</v>
      </c>
      <c r="G20" s="899">
        <f t="shared" si="1"/>
        <v>0</v>
      </c>
      <c r="H20" s="50">
        <v>0</v>
      </c>
      <c r="I20" s="31">
        <f t="shared" si="3"/>
        <v>0</v>
      </c>
      <c r="J20" s="50">
        <v>0</v>
      </c>
      <c r="K20" s="31">
        <f t="shared" si="4"/>
        <v>0</v>
      </c>
      <c r="L20" s="50">
        <v>0</v>
      </c>
      <c r="M20" s="31">
        <f t="shared" si="5"/>
        <v>0</v>
      </c>
      <c r="N20" s="50">
        <v>0</v>
      </c>
      <c r="O20" s="31">
        <f t="shared" si="6"/>
        <v>0</v>
      </c>
      <c r="P20" s="51" t="s">
        <v>854</v>
      </c>
      <c r="Q20" s="51"/>
      <c r="R20" s="765"/>
      <c r="S20" s="765"/>
      <c r="T20" s="765"/>
      <c r="U20" s="765"/>
      <c r="V20" s="765"/>
      <c r="W20" s="765"/>
      <c r="X20" s="765"/>
    </row>
    <row r="21" spans="1:27" x14ac:dyDescent="0.25">
      <c r="A21" s="10">
        <v>43539</v>
      </c>
      <c r="B21" s="594">
        <v>0</v>
      </c>
      <c r="C21" s="31">
        <f t="shared" si="0"/>
        <v>0</v>
      </c>
      <c r="D21" s="50">
        <v>500113.65</v>
      </c>
      <c r="E21" s="31">
        <f t="shared" si="2"/>
        <v>-9380000.0199999996</v>
      </c>
      <c r="F21" s="900">
        <v>0</v>
      </c>
      <c r="G21" s="899">
        <f t="shared" ref="G21:G84" si="7">ROUND(F21+G20,2)</f>
        <v>0</v>
      </c>
      <c r="H21" s="50">
        <v>0</v>
      </c>
      <c r="I21" s="31">
        <f t="shared" si="3"/>
        <v>0</v>
      </c>
      <c r="J21" s="50">
        <v>0</v>
      </c>
      <c r="K21" s="31">
        <f t="shared" si="4"/>
        <v>0</v>
      </c>
      <c r="L21" s="50">
        <v>0</v>
      </c>
      <c r="M21" s="31">
        <f t="shared" si="5"/>
        <v>0</v>
      </c>
      <c r="N21" s="50">
        <v>0</v>
      </c>
      <c r="O21" s="31">
        <f t="shared" si="6"/>
        <v>0</v>
      </c>
      <c r="P21" s="51" t="s">
        <v>855</v>
      </c>
      <c r="Q21" s="51"/>
      <c r="R21" s="765"/>
      <c r="S21" s="765"/>
      <c r="T21" s="765"/>
      <c r="U21" s="765"/>
      <c r="V21" s="765"/>
      <c r="W21" s="765"/>
      <c r="X21" s="765"/>
      <c r="Y21" s="765"/>
      <c r="Z21" s="765"/>
      <c r="AA21" s="765"/>
    </row>
    <row r="22" spans="1:27" x14ac:dyDescent="0.25">
      <c r="A22" s="10">
        <v>43539</v>
      </c>
      <c r="B22" s="594">
        <v>0</v>
      </c>
      <c r="C22" s="31">
        <f t="shared" si="0"/>
        <v>0</v>
      </c>
      <c r="D22" s="50">
        <v>9380000</v>
      </c>
      <c r="E22" s="31">
        <f t="shared" si="2"/>
        <v>-0.02</v>
      </c>
      <c r="F22" s="900">
        <v>0</v>
      </c>
      <c r="G22" s="899">
        <f t="shared" si="7"/>
        <v>0</v>
      </c>
      <c r="H22" s="50">
        <v>0</v>
      </c>
      <c r="I22" s="31">
        <f t="shared" si="3"/>
        <v>0</v>
      </c>
      <c r="J22" s="50">
        <v>0</v>
      </c>
      <c r="K22" s="31">
        <f t="shared" si="4"/>
        <v>0</v>
      </c>
      <c r="L22" s="50">
        <v>0</v>
      </c>
      <c r="M22" s="31">
        <f t="shared" si="5"/>
        <v>0</v>
      </c>
      <c r="N22" s="50">
        <v>0</v>
      </c>
      <c r="O22" s="31">
        <f t="shared" si="6"/>
        <v>0</v>
      </c>
      <c r="P22" s="51" t="s">
        <v>856</v>
      </c>
      <c r="Q22" s="51"/>
      <c r="R22" s="765"/>
      <c r="S22" s="765"/>
      <c r="T22" s="765"/>
      <c r="U22" s="765"/>
      <c r="V22" s="765"/>
      <c r="W22" s="765"/>
      <c r="X22" s="765"/>
      <c r="Y22" s="765"/>
      <c r="Z22" s="765"/>
      <c r="AA22" s="765"/>
    </row>
    <row r="23" spans="1:27" x14ac:dyDescent="0.25">
      <c r="A23" s="10">
        <v>43539</v>
      </c>
      <c r="B23" s="594">
        <v>0</v>
      </c>
      <c r="C23" s="31">
        <f t="shared" si="0"/>
        <v>0</v>
      </c>
      <c r="D23" s="50">
        <v>9380000</v>
      </c>
      <c r="E23" s="31">
        <f t="shared" si="2"/>
        <v>9379999.9800000004</v>
      </c>
      <c r="F23" s="900">
        <v>0</v>
      </c>
      <c r="G23" s="899">
        <f t="shared" si="7"/>
        <v>0</v>
      </c>
      <c r="H23" s="50">
        <v>0</v>
      </c>
      <c r="I23" s="31">
        <f t="shared" si="3"/>
        <v>0</v>
      </c>
      <c r="J23" s="50">
        <v>0</v>
      </c>
      <c r="K23" s="31">
        <f t="shared" si="4"/>
        <v>0</v>
      </c>
      <c r="L23" s="50">
        <v>0</v>
      </c>
      <c r="M23" s="31">
        <f t="shared" si="5"/>
        <v>0</v>
      </c>
      <c r="N23" s="50">
        <v>0</v>
      </c>
      <c r="O23" s="31">
        <f t="shared" si="6"/>
        <v>0</v>
      </c>
      <c r="P23" s="51" t="s">
        <v>857</v>
      </c>
      <c r="Q23" s="51"/>
      <c r="R23" s="765"/>
      <c r="S23" s="765"/>
      <c r="T23" s="765"/>
      <c r="U23" s="765"/>
      <c r="V23" s="765"/>
      <c r="W23" s="765"/>
      <c r="X23" s="765"/>
      <c r="Y23" s="765"/>
      <c r="Z23" s="765"/>
      <c r="AA23" s="765"/>
    </row>
    <row r="24" spans="1:27" x14ac:dyDescent="0.25">
      <c r="A24" s="10">
        <v>43539</v>
      </c>
      <c r="B24" s="594">
        <v>0</v>
      </c>
      <c r="C24" s="31">
        <f t="shared" si="0"/>
        <v>0</v>
      </c>
      <c r="D24" s="50">
        <v>-9380000</v>
      </c>
      <c r="E24" s="31">
        <f t="shared" si="2"/>
        <v>-0.02</v>
      </c>
      <c r="F24" s="900">
        <v>0</v>
      </c>
      <c r="G24" s="899">
        <f t="shared" si="7"/>
        <v>0</v>
      </c>
      <c r="H24" s="50">
        <v>0</v>
      </c>
      <c r="I24" s="31">
        <f t="shared" si="3"/>
        <v>0</v>
      </c>
      <c r="J24" s="50">
        <v>0</v>
      </c>
      <c r="K24" s="31">
        <f t="shared" si="4"/>
        <v>0</v>
      </c>
      <c r="L24" s="50">
        <v>0</v>
      </c>
      <c r="M24" s="31">
        <f t="shared" si="5"/>
        <v>0</v>
      </c>
      <c r="N24" s="50">
        <v>0</v>
      </c>
      <c r="O24" s="31">
        <f t="shared" si="6"/>
        <v>0</v>
      </c>
      <c r="P24" s="51" t="s">
        <v>858</v>
      </c>
      <c r="Q24" s="51"/>
      <c r="R24" s="765"/>
      <c r="S24" s="765"/>
      <c r="T24" s="765"/>
      <c r="U24" s="765"/>
      <c r="V24" s="765"/>
      <c r="W24" s="765"/>
      <c r="X24" s="765"/>
      <c r="Y24" s="765"/>
      <c r="Z24" s="765"/>
      <c r="AA24" s="765"/>
    </row>
    <row r="25" spans="1:27" x14ac:dyDescent="0.25">
      <c r="A25" s="10">
        <v>43539</v>
      </c>
      <c r="B25" s="594">
        <v>0</v>
      </c>
      <c r="C25" s="31">
        <f t="shared" si="0"/>
        <v>0</v>
      </c>
      <c r="D25" s="50">
        <v>0.02</v>
      </c>
      <c r="E25" s="31">
        <f t="shared" si="2"/>
        <v>0</v>
      </c>
      <c r="F25" s="900">
        <v>0</v>
      </c>
      <c r="G25" s="899">
        <f t="shared" si="7"/>
        <v>0</v>
      </c>
      <c r="H25" s="50">
        <v>0</v>
      </c>
      <c r="I25" s="31">
        <f t="shared" si="3"/>
        <v>0</v>
      </c>
      <c r="J25" s="50">
        <v>0</v>
      </c>
      <c r="K25" s="31">
        <f t="shared" si="4"/>
        <v>0</v>
      </c>
      <c r="L25" s="50">
        <v>0</v>
      </c>
      <c r="M25" s="31">
        <f t="shared" si="5"/>
        <v>0</v>
      </c>
      <c r="N25" s="50">
        <v>0</v>
      </c>
      <c r="O25" s="31">
        <f t="shared" si="6"/>
        <v>0</v>
      </c>
      <c r="P25" s="51" t="s">
        <v>859</v>
      </c>
      <c r="Q25" s="51"/>
      <c r="R25" s="765"/>
      <c r="S25" s="765"/>
      <c r="T25" s="765"/>
      <c r="U25" s="765"/>
      <c r="V25" s="765"/>
      <c r="W25" s="765"/>
      <c r="X25" s="765"/>
      <c r="Y25" s="765"/>
      <c r="Z25" s="765"/>
      <c r="AA25" s="765"/>
    </row>
    <row r="26" spans="1:27" x14ac:dyDescent="0.25">
      <c r="A26" s="10">
        <v>43543</v>
      </c>
      <c r="B26" s="594">
        <v>0</v>
      </c>
      <c r="C26" s="31">
        <f>ROUND(B26+C25,2)</f>
        <v>0</v>
      </c>
      <c r="D26" s="50">
        <v>23437.5</v>
      </c>
      <c r="E26" s="31">
        <f>ROUND(D26+E25,2)</f>
        <v>23437.5</v>
      </c>
      <c r="F26" s="900">
        <v>0</v>
      </c>
      <c r="G26" s="899">
        <f t="shared" si="7"/>
        <v>0</v>
      </c>
      <c r="H26" s="50">
        <v>0</v>
      </c>
      <c r="I26" s="31">
        <f>ROUND(H26+I25,2)</f>
        <v>0</v>
      </c>
      <c r="J26" s="50">
        <v>0</v>
      </c>
      <c r="K26" s="31">
        <f>ROUND(J26+K25,2)</f>
        <v>0</v>
      </c>
      <c r="L26" s="50">
        <v>0</v>
      </c>
      <c r="M26" s="31">
        <f>ROUND(L26+M25,2)</f>
        <v>0</v>
      </c>
      <c r="N26" s="50">
        <v>0</v>
      </c>
      <c r="O26" s="31">
        <f>ROUND(N26+O25,2)</f>
        <v>0</v>
      </c>
      <c r="P26" s="51" t="s">
        <v>861</v>
      </c>
      <c r="Q26" s="51"/>
      <c r="R26" s="765"/>
      <c r="S26" s="765"/>
      <c r="T26" s="765"/>
      <c r="U26" s="765"/>
      <c r="V26" s="765"/>
      <c r="W26" s="765"/>
      <c r="X26" s="765"/>
      <c r="Y26" s="765"/>
      <c r="Z26" s="765"/>
      <c r="AA26" s="765"/>
    </row>
    <row r="27" spans="1:27" x14ac:dyDescent="0.25">
      <c r="A27" s="10">
        <v>43543</v>
      </c>
      <c r="B27" s="594">
        <v>0</v>
      </c>
      <c r="C27" s="31">
        <f>ROUND(B27+C26,2)</f>
        <v>0</v>
      </c>
      <c r="D27" s="50">
        <v>-23437.5</v>
      </c>
      <c r="E27" s="31">
        <f>ROUND(D27+E26,2)</f>
        <v>0</v>
      </c>
      <c r="F27" s="900">
        <v>0</v>
      </c>
      <c r="G27" s="899">
        <f t="shared" si="7"/>
        <v>0</v>
      </c>
      <c r="H27" s="50">
        <v>0</v>
      </c>
      <c r="I27" s="31">
        <f>ROUND(H27+I26,2)</f>
        <v>0</v>
      </c>
      <c r="J27" s="50">
        <v>0</v>
      </c>
      <c r="K27" s="31">
        <f>ROUND(J27+K26,2)</f>
        <v>0</v>
      </c>
      <c r="L27" s="50">
        <v>0</v>
      </c>
      <c r="M27" s="31">
        <f>ROUND(L27+M26,2)</f>
        <v>0</v>
      </c>
      <c r="N27" s="50">
        <v>0</v>
      </c>
      <c r="O27" s="31">
        <f>ROUND(N27+O26,2)</f>
        <v>0</v>
      </c>
      <c r="P27" s="51" t="s">
        <v>845</v>
      </c>
      <c r="Q27" s="51"/>
      <c r="R27" s="765"/>
      <c r="S27" s="765"/>
      <c r="T27" s="765"/>
      <c r="U27" s="765"/>
      <c r="V27" s="765"/>
      <c r="W27" s="765"/>
      <c r="X27" s="765"/>
      <c r="Y27" s="765"/>
      <c r="Z27" s="765"/>
      <c r="AA27" s="765"/>
    </row>
    <row r="28" spans="1:27" x14ac:dyDescent="0.25">
      <c r="A28" s="10">
        <v>43544</v>
      </c>
      <c r="B28" s="594">
        <v>0</v>
      </c>
      <c r="C28" s="31">
        <f>ROUND(B28+C27,2)</f>
        <v>0</v>
      </c>
      <c r="D28" s="50">
        <v>-20297.669999999998</v>
      </c>
      <c r="E28" s="31">
        <f>ROUND(D28+E27,2)</f>
        <v>-20297.669999999998</v>
      </c>
      <c r="F28" s="900">
        <v>0</v>
      </c>
      <c r="G28" s="899">
        <f t="shared" si="7"/>
        <v>0</v>
      </c>
      <c r="H28" s="50">
        <v>8277.1200000000008</v>
      </c>
      <c r="I28" s="31">
        <f>ROUND(H28+I27,2)</f>
        <v>8277.1200000000008</v>
      </c>
      <c r="J28" s="50">
        <v>0</v>
      </c>
      <c r="K28" s="31">
        <f>ROUND(J28+K27,2)</f>
        <v>0</v>
      </c>
      <c r="L28" s="50">
        <v>12020.55</v>
      </c>
      <c r="M28" s="31">
        <f>ROUND(L28+M27,2)</f>
        <v>12020.55</v>
      </c>
      <c r="N28" s="50">
        <v>0</v>
      </c>
      <c r="O28" s="31">
        <f>ROUND(N28+O27,2)</f>
        <v>0</v>
      </c>
      <c r="P28" s="51" t="s">
        <v>860</v>
      </c>
      <c r="Q28" s="51"/>
      <c r="R28" s="765"/>
      <c r="S28" s="765"/>
      <c r="T28" s="765"/>
      <c r="U28" s="765"/>
      <c r="V28" s="765"/>
      <c r="W28" s="765"/>
      <c r="X28" s="765"/>
      <c r="Y28" s="765"/>
      <c r="Z28" s="765"/>
      <c r="AA28" s="765"/>
    </row>
    <row r="29" spans="1:27" x14ac:dyDescent="0.25">
      <c r="A29" s="10">
        <v>43544</v>
      </c>
      <c r="B29" s="594">
        <v>0</v>
      </c>
      <c r="C29" s="31">
        <f t="shared" si="0"/>
        <v>0</v>
      </c>
      <c r="D29" s="50">
        <v>0</v>
      </c>
      <c r="E29" s="31">
        <f t="shared" si="2"/>
        <v>-20297.669999999998</v>
      </c>
      <c r="F29" s="900">
        <v>0</v>
      </c>
      <c r="G29" s="899">
        <f t="shared" si="7"/>
        <v>0</v>
      </c>
      <c r="H29" s="50">
        <v>-114.34</v>
      </c>
      <c r="I29" s="31">
        <f t="shared" si="3"/>
        <v>8162.78</v>
      </c>
      <c r="J29" s="50">
        <v>0</v>
      </c>
      <c r="K29" s="31">
        <f t="shared" si="4"/>
        <v>0</v>
      </c>
      <c r="L29" s="50">
        <v>0</v>
      </c>
      <c r="M29" s="31">
        <f t="shared" si="5"/>
        <v>12020.55</v>
      </c>
      <c r="N29" s="50">
        <v>0</v>
      </c>
      <c r="O29" s="31">
        <f t="shared" si="6"/>
        <v>0</v>
      </c>
      <c r="P29" s="51" t="s">
        <v>863</v>
      </c>
      <c r="Q29" s="51"/>
      <c r="R29" s="765"/>
      <c r="S29" s="765"/>
      <c r="T29" s="765"/>
      <c r="U29" s="765"/>
      <c r="V29" s="765"/>
      <c r="W29" s="765"/>
      <c r="X29" s="765"/>
      <c r="Y29" s="765"/>
      <c r="Z29" s="765"/>
      <c r="AA29" s="765"/>
    </row>
    <row r="30" spans="1:27" x14ac:dyDescent="0.25">
      <c r="A30" s="10">
        <v>43544</v>
      </c>
      <c r="B30" s="594">
        <v>0</v>
      </c>
      <c r="C30" s="31">
        <f t="shared" si="0"/>
        <v>0</v>
      </c>
      <c r="D30" s="50">
        <v>20297.669999999998</v>
      </c>
      <c r="E30" s="31">
        <f t="shared" si="2"/>
        <v>0</v>
      </c>
      <c r="F30" s="900">
        <v>0</v>
      </c>
      <c r="G30" s="899">
        <f t="shared" si="7"/>
        <v>0</v>
      </c>
      <c r="H30" s="50">
        <v>-8162.78</v>
      </c>
      <c r="I30" s="31">
        <f t="shared" si="3"/>
        <v>0</v>
      </c>
      <c r="J30" s="50">
        <v>0</v>
      </c>
      <c r="K30" s="31">
        <f t="shared" si="4"/>
        <v>0</v>
      </c>
      <c r="L30" s="50">
        <v>-12020.55</v>
      </c>
      <c r="M30" s="31">
        <f t="shared" si="5"/>
        <v>0</v>
      </c>
      <c r="N30" s="50">
        <v>0</v>
      </c>
      <c r="O30" s="31">
        <f t="shared" si="6"/>
        <v>0</v>
      </c>
      <c r="P30" s="51" t="s">
        <v>845</v>
      </c>
      <c r="Q30" s="51"/>
      <c r="R30" s="765"/>
      <c r="S30" s="765"/>
      <c r="T30" s="765"/>
      <c r="U30" s="765"/>
      <c r="V30" s="765"/>
      <c r="W30" s="765"/>
      <c r="X30" s="765"/>
      <c r="Y30" s="765"/>
      <c r="Z30" s="765"/>
      <c r="AA30" s="765"/>
    </row>
    <row r="31" spans="1:27" x14ac:dyDescent="0.25">
      <c r="A31" s="10">
        <v>43549</v>
      </c>
      <c r="B31" s="594">
        <v>5620000</v>
      </c>
      <c r="C31" s="31">
        <f t="shared" si="0"/>
        <v>5620000</v>
      </c>
      <c r="D31" s="50">
        <v>-5627588.3700000001</v>
      </c>
      <c r="E31" s="31">
        <f t="shared" si="2"/>
        <v>-5627588.3700000001</v>
      </c>
      <c r="F31" s="900">
        <v>0</v>
      </c>
      <c r="G31" s="899">
        <f t="shared" si="7"/>
        <v>0</v>
      </c>
      <c r="H31" s="50">
        <v>0</v>
      </c>
      <c r="I31" s="31">
        <f t="shared" si="3"/>
        <v>0</v>
      </c>
      <c r="J31" s="50">
        <v>0</v>
      </c>
      <c r="K31" s="31">
        <f t="shared" si="4"/>
        <v>0</v>
      </c>
      <c r="L31" s="50">
        <v>0</v>
      </c>
      <c r="M31" s="31">
        <f t="shared" si="5"/>
        <v>0</v>
      </c>
      <c r="N31" s="50">
        <v>0</v>
      </c>
      <c r="O31" s="31">
        <f t="shared" si="6"/>
        <v>0</v>
      </c>
      <c r="P31" s="51" t="s">
        <v>831</v>
      </c>
      <c r="Q31" s="51"/>
      <c r="R31" s="765"/>
      <c r="S31" s="765"/>
      <c r="T31" s="765"/>
      <c r="U31" s="765"/>
      <c r="V31" s="765"/>
      <c r="W31" s="765"/>
      <c r="X31" s="765"/>
      <c r="Y31" s="765"/>
      <c r="Z31" s="765"/>
      <c r="AA31" s="765"/>
    </row>
    <row r="32" spans="1:27" x14ac:dyDescent="0.25">
      <c r="A32" s="10">
        <v>43549</v>
      </c>
      <c r="B32" s="594">
        <f>-B31</f>
        <v>-5620000</v>
      </c>
      <c r="C32" s="31">
        <f t="shared" si="0"/>
        <v>0</v>
      </c>
      <c r="D32" s="50">
        <v>5627588.3700000001</v>
      </c>
      <c r="E32" s="31">
        <f t="shared" si="2"/>
        <v>0</v>
      </c>
      <c r="F32" s="900">
        <v>0</v>
      </c>
      <c r="G32" s="899">
        <f t="shared" si="7"/>
        <v>0</v>
      </c>
      <c r="H32" s="50">
        <v>0</v>
      </c>
      <c r="I32" s="31">
        <f t="shared" si="3"/>
        <v>0</v>
      </c>
      <c r="J32" s="50">
        <v>0</v>
      </c>
      <c r="K32" s="31">
        <f t="shared" si="4"/>
        <v>0</v>
      </c>
      <c r="L32" s="50">
        <v>0</v>
      </c>
      <c r="M32" s="31">
        <f t="shared" si="5"/>
        <v>0</v>
      </c>
      <c r="N32" s="50">
        <v>0</v>
      </c>
      <c r="O32" s="31">
        <f t="shared" si="6"/>
        <v>0</v>
      </c>
      <c r="P32" s="51" t="s">
        <v>832</v>
      </c>
      <c r="Q32" s="51"/>
      <c r="R32" s="765"/>
      <c r="S32" s="765"/>
      <c r="T32" s="765"/>
      <c r="U32" s="765"/>
      <c r="V32" s="765"/>
      <c r="W32" s="765"/>
      <c r="X32" s="765"/>
      <c r="Y32" s="765"/>
      <c r="Z32" s="765"/>
      <c r="AA32" s="765"/>
    </row>
    <row r="33" spans="1:27" x14ac:dyDescent="0.25">
      <c r="A33" s="10">
        <v>43549</v>
      </c>
      <c r="B33" s="594">
        <v>0</v>
      </c>
      <c r="C33" s="31">
        <f t="shared" si="0"/>
        <v>0</v>
      </c>
      <c r="D33" s="50">
        <v>0</v>
      </c>
      <c r="E33" s="31">
        <f t="shared" si="2"/>
        <v>0</v>
      </c>
      <c r="F33" s="900">
        <v>0</v>
      </c>
      <c r="G33" s="899">
        <f t="shared" si="7"/>
        <v>0</v>
      </c>
      <c r="H33" s="50">
        <v>-2279356.7200000002</v>
      </c>
      <c r="I33" s="31">
        <f t="shared" si="3"/>
        <v>-2279356.7200000002</v>
      </c>
      <c r="J33" s="50">
        <v>0</v>
      </c>
      <c r="K33" s="31">
        <f t="shared" si="4"/>
        <v>0</v>
      </c>
      <c r="L33" s="50">
        <v>0</v>
      </c>
      <c r="M33" s="31">
        <f t="shared" si="5"/>
        <v>0</v>
      </c>
      <c r="N33" s="50">
        <v>0</v>
      </c>
      <c r="O33" s="31">
        <f t="shared" si="6"/>
        <v>0</v>
      </c>
      <c r="P33" s="51" t="s">
        <v>845</v>
      </c>
      <c r="Q33" s="51"/>
      <c r="R33" s="765"/>
      <c r="S33" s="765"/>
      <c r="T33" s="765"/>
      <c r="U33" s="765"/>
      <c r="V33" s="765"/>
      <c r="W33" s="765"/>
      <c r="X33" s="765"/>
      <c r="Y33" s="765"/>
      <c r="Z33" s="765"/>
      <c r="AA33" s="765"/>
    </row>
    <row r="34" spans="1:27" x14ac:dyDescent="0.25">
      <c r="A34" s="10">
        <v>43550</v>
      </c>
      <c r="B34" s="594">
        <v>0</v>
      </c>
      <c r="C34" s="31">
        <f>ROUND(B34+C33,2)</f>
        <v>0</v>
      </c>
      <c r="D34" s="50">
        <v>-10000</v>
      </c>
      <c r="E34" s="31">
        <f>ROUND(D34+E33,2)</f>
        <v>-10000</v>
      </c>
      <c r="F34" s="900">
        <v>0</v>
      </c>
      <c r="G34" s="899">
        <f t="shared" si="7"/>
        <v>0</v>
      </c>
      <c r="H34" s="50">
        <v>10000</v>
      </c>
      <c r="I34" s="31">
        <f>ROUND(H34+I33,2)</f>
        <v>-2269356.7200000002</v>
      </c>
      <c r="J34" s="50">
        <v>0</v>
      </c>
      <c r="K34" s="31">
        <f>ROUND(J34+K33,2)</f>
        <v>0</v>
      </c>
      <c r="L34" s="50">
        <v>0</v>
      </c>
      <c r="M34" s="31">
        <f>ROUND(L34+M33,2)</f>
        <v>0</v>
      </c>
      <c r="N34" s="50">
        <v>0</v>
      </c>
      <c r="O34" s="31">
        <f>ROUND(N34+O33,2)</f>
        <v>0</v>
      </c>
      <c r="P34" s="51" t="s">
        <v>864</v>
      </c>
      <c r="Q34" s="51"/>
      <c r="R34" s="765"/>
      <c r="S34" s="765"/>
      <c r="T34" s="765"/>
      <c r="U34" s="765"/>
      <c r="V34" s="765"/>
      <c r="W34" s="765"/>
      <c r="X34" s="765"/>
      <c r="Y34" s="765"/>
      <c r="Z34" s="765"/>
      <c r="AA34" s="765"/>
    </row>
    <row r="35" spans="1:27" x14ac:dyDescent="0.25">
      <c r="A35" s="10">
        <v>43550</v>
      </c>
      <c r="B35" s="594">
        <v>0</v>
      </c>
      <c r="C35" s="31">
        <f>ROUND(B35+C34,2)</f>
        <v>0</v>
      </c>
      <c r="D35" s="50">
        <v>0</v>
      </c>
      <c r="E35" s="31">
        <f>ROUND(D35+E34,2)</f>
        <v>-10000</v>
      </c>
      <c r="F35" s="900">
        <v>0</v>
      </c>
      <c r="G35" s="899">
        <f t="shared" si="7"/>
        <v>0</v>
      </c>
      <c r="H35" s="50">
        <v>-9687.3700000000008</v>
      </c>
      <c r="I35" s="31">
        <f>ROUND(H35+I34,2)</f>
        <v>-2279044.09</v>
      </c>
      <c r="J35" s="50">
        <v>0</v>
      </c>
      <c r="K35" s="31">
        <f>ROUND(J35+K34,2)</f>
        <v>0</v>
      </c>
      <c r="L35" s="50">
        <v>0</v>
      </c>
      <c r="M35" s="31">
        <f>ROUND(L35+M34,2)</f>
        <v>0</v>
      </c>
      <c r="N35" s="50">
        <v>0</v>
      </c>
      <c r="O35" s="31">
        <f>ROUND(N35+O34,2)</f>
        <v>0</v>
      </c>
      <c r="P35" s="51" t="s">
        <v>865</v>
      </c>
      <c r="Q35" s="51"/>
      <c r="R35" s="765"/>
      <c r="S35" s="765"/>
      <c r="T35" s="765"/>
      <c r="U35" s="765"/>
      <c r="V35" s="765"/>
      <c r="W35" s="765"/>
      <c r="X35" s="765"/>
      <c r="Y35" s="765"/>
      <c r="Z35" s="765"/>
      <c r="AA35" s="765"/>
    </row>
    <row r="36" spans="1:27" x14ac:dyDescent="0.25">
      <c r="A36" s="10">
        <v>43550</v>
      </c>
      <c r="B36" s="594">
        <v>0</v>
      </c>
      <c r="C36" s="31">
        <f>ROUND(B36+C35,2)</f>
        <v>0</v>
      </c>
      <c r="D36" s="50">
        <v>0</v>
      </c>
      <c r="E36" s="31">
        <f>ROUND(D36+E35,2)</f>
        <v>-10000</v>
      </c>
      <c r="F36" s="900">
        <v>0</v>
      </c>
      <c r="G36" s="899">
        <f t="shared" si="7"/>
        <v>0</v>
      </c>
      <c r="H36" s="50">
        <v>-2500</v>
      </c>
      <c r="I36" s="31">
        <f>ROUND(H36+I35,2)</f>
        <v>-2281544.09</v>
      </c>
      <c r="J36" s="50">
        <v>0</v>
      </c>
      <c r="K36" s="31">
        <f>ROUND(J36+K35,2)</f>
        <v>0</v>
      </c>
      <c r="L36" s="50">
        <v>0</v>
      </c>
      <c r="M36" s="31">
        <f>ROUND(L36+M35,2)</f>
        <v>0</v>
      </c>
      <c r="N36" s="50">
        <v>0</v>
      </c>
      <c r="O36" s="31">
        <f>ROUND(N36+O35,2)</f>
        <v>0</v>
      </c>
      <c r="P36" s="51" t="s">
        <v>866</v>
      </c>
      <c r="Q36" s="51"/>
      <c r="R36" s="765"/>
      <c r="S36" s="765"/>
      <c r="T36" s="765"/>
      <c r="U36" s="765"/>
      <c r="V36" s="765"/>
      <c r="W36" s="765"/>
      <c r="X36" s="765"/>
      <c r="Y36" s="765"/>
      <c r="Z36" s="765"/>
      <c r="AA36" s="765"/>
    </row>
    <row r="37" spans="1:27" x14ac:dyDescent="0.25">
      <c r="A37" s="10">
        <v>43550</v>
      </c>
      <c r="B37" s="594">
        <v>0</v>
      </c>
      <c r="C37" s="31">
        <f>ROUND(B37+C36,2)</f>
        <v>0</v>
      </c>
      <c r="D37" s="50">
        <v>0</v>
      </c>
      <c r="E37" s="31">
        <f>ROUND(D37+E36,2)</f>
        <v>-10000</v>
      </c>
      <c r="F37" s="900">
        <v>0</v>
      </c>
      <c r="G37" s="899">
        <f t="shared" si="7"/>
        <v>0</v>
      </c>
      <c r="H37" s="50">
        <v>-1000</v>
      </c>
      <c r="I37" s="31">
        <f>ROUND(H37+I36,2)</f>
        <v>-2282544.09</v>
      </c>
      <c r="J37" s="50">
        <v>0</v>
      </c>
      <c r="K37" s="31">
        <f>ROUND(J37+K36,2)</f>
        <v>0</v>
      </c>
      <c r="L37" s="50">
        <v>0</v>
      </c>
      <c r="M37" s="31">
        <f>ROUND(L37+M36,2)</f>
        <v>0</v>
      </c>
      <c r="N37" s="50">
        <v>0</v>
      </c>
      <c r="O37" s="31">
        <f>ROUND(N37+O36,2)</f>
        <v>0</v>
      </c>
      <c r="P37" s="51" t="s">
        <v>867</v>
      </c>
      <c r="Q37" s="51"/>
      <c r="R37" s="765"/>
      <c r="S37" s="765"/>
      <c r="T37" s="765"/>
      <c r="U37" s="765"/>
      <c r="V37" s="765"/>
      <c r="W37" s="765"/>
      <c r="X37" s="765"/>
      <c r="Y37" s="765"/>
      <c r="Z37" s="765"/>
      <c r="AA37" s="765"/>
    </row>
    <row r="38" spans="1:27" x14ac:dyDescent="0.25">
      <c r="A38" s="10">
        <v>43550</v>
      </c>
      <c r="B38" s="594">
        <v>0</v>
      </c>
      <c r="C38" s="31">
        <f>ROUND(B38+C37,2)</f>
        <v>0</v>
      </c>
      <c r="D38" s="50">
        <f>-5914.68</f>
        <v>-5914.68</v>
      </c>
      <c r="E38" s="31">
        <f>ROUND(D38+E37,2)</f>
        <v>-15914.68</v>
      </c>
      <c r="F38" s="900">
        <v>0</v>
      </c>
      <c r="G38" s="899">
        <f t="shared" si="7"/>
        <v>0</v>
      </c>
      <c r="H38" s="50">
        <v>0</v>
      </c>
      <c r="I38" s="31">
        <f>ROUND(H38+I37,2)</f>
        <v>-2282544.09</v>
      </c>
      <c r="J38" s="50">
        <v>0</v>
      </c>
      <c r="K38" s="31">
        <f>ROUND(J38+K37,2)</f>
        <v>0</v>
      </c>
      <c r="L38" s="50">
        <v>0</v>
      </c>
      <c r="M38" s="31">
        <f>ROUND(L38+M37,2)</f>
        <v>0</v>
      </c>
      <c r="N38" s="50">
        <v>0</v>
      </c>
      <c r="O38" s="31">
        <f>ROUND(N38+O37,2)</f>
        <v>0</v>
      </c>
      <c r="P38" s="51" t="s">
        <v>868</v>
      </c>
      <c r="Q38" s="51"/>
      <c r="R38" s="765"/>
      <c r="S38" s="765"/>
      <c r="T38" s="765"/>
      <c r="U38" s="765"/>
      <c r="V38" s="765"/>
      <c r="W38" s="765"/>
      <c r="X38" s="765"/>
      <c r="Y38" s="765"/>
      <c r="Z38" s="765"/>
      <c r="AA38" s="765"/>
    </row>
    <row r="39" spans="1:27" x14ac:dyDescent="0.25">
      <c r="A39" s="10">
        <v>43550</v>
      </c>
      <c r="B39" s="594">
        <v>0</v>
      </c>
      <c r="C39" s="31">
        <f t="shared" si="0"/>
        <v>0</v>
      </c>
      <c r="D39" s="50">
        <v>15914.68</v>
      </c>
      <c r="E39" s="31">
        <f t="shared" si="2"/>
        <v>0</v>
      </c>
      <c r="F39" s="900">
        <v>0</v>
      </c>
      <c r="G39" s="899">
        <f t="shared" si="7"/>
        <v>0</v>
      </c>
      <c r="H39" s="50">
        <v>2282544.09</v>
      </c>
      <c r="I39" s="31">
        <f t="shared" si="3"/>
        <v>0</v>
      </c>
      <c r="J39" s="50">
        <v>0</v>
      </c>
      <c r="K39" s="31">
        <f t="shared" si="4"/>
        <v>0</v>
      </c>
      <c r="L39" s="50">
        <v>0</v>
      </c>
      <c r="M39" s="31">
        <f t="shared" si="5"/>
        <v>0</v>
      </c>
      <c r="N39" s="50">
        <v>0</v>
      </c>
      <c r="O39" s="31">
        <f t="shared" si="6"/>
        <v>0</v>
      </c>
      <c r="P39" s="51" t="s">
        <v>845</v>
      </c>
      <c r="Q39" s="51"/>
      <c r="R39" s="765"/>
      <c r="S39" s="765"/>
      <c r="T39" s="765"/>
      <c r="U39" s="765"/>
      <c r="V39" s="765"/>
      <c r="W39" s="765"/>
      <c r="X39" s="765"/>
      <c r="Y39" s="765"/>
      <c r="Z39" s="765"/>
      <c r="AA39" s="765"/>
    </row>
    <row r="40" spans="1:27" x14ac:dyDescent="0.25">
      <c r="A40" s="10">
        <v>43552</v>
      </c>
      <c r="B40" s="594">
        <v>0</v>
      </c>
      <c r="C40" s="31">
        <f t="shared" si="0"/>
        <v>0</v>
      </c>
      <c r="D40" s="50">
        <f>-70000</f>
        <v>-70000</v>
      </c>
      <c r="E40" s="31">
        <f t="shared" si="2"/>
        <v>-70000</v>
      </c>
      <c r="F40" s="900">
        <v>0</v>
      </c>
      <c r="G40" s="899">
        <f t="shared" si="7"/>
        <v>0</v>
      </c>
      <c r="H40" s="50">
        <v>0</v>
      </c>
      <c r="I40" s="31">
        <f t="shared" si="3"/>
        <v>0</v>
      </c>
      <c r="J40" s="50">
        <v>0</v>
      </c>
      <c r="K40" s="31">
        <f t="shared" si="4"/>
        <v>0</v>
      </c>
      <c r="L40" s="50">
        <v>0</v>
      </c>
      <c r="M40" s="31">
        <f t="shared" si="5"/>
        <v>0</v>
      </c>
      <c r="N40" s="50">
        <v>0</v>
      </c>
      <c r="O40" s="31">
        <f t="shared" si="6"/>
        <v>0</v>
      </c>
      <c r="P40" s="51" t="s">
        <v>872</v>
      </c>
      <c r="Q40" s="51"/>
      <c r="R40" s="765"/>
      <c r="S40" s="765"/>
      <c r="T40" s="765"/>
      <c r="U40" s="765"/>
      <c r="V40" s="765"/>
      <c r="W40" s="765"/>
      <c r="X40" s="765"/>
      <c r="Y40" s="765"/>
      <c r="Z40" s="765"/>
      <c r="AA40" s="765"/>
    </row>
    <row r="41" spans="1:27" x14ac:dyDescent="0.25">
      <c r="A41" s="10">
        <v>43552</v>
      </c>
      <c r="B41" s="594">
        <v>0</v>
      </c>
      <c r="C41" s="31">
        <f t="shared" si="0"/>
        <v>0</v>
      </c>
      <c r="D41" s="50">
        <f>-5000</f>
        <v>-5000</v>
      </c>
      <c r="E41" s="31">
        <f t="shared" si="2"/>
        <v>-75000</v>
      </c>
      <c r="F41" s="900">
        <v>0</v>
      </c>
      <c r="G41" s="899">
        <f t="shared" si="7"/>
        <v>0</v>
      </c>
      <c r="H41" s="50">
        <v>0</v>
      </c>
      <c r="I41" s="31">
        <f t="shared" si="3"/>
        <v>0</v>
      </c>
      <c r="J41" s="50">
        <v>0</v>
      </c>
      <c r="K41" s="31">
        <f t="shared" si="4"/>
        <v>0</v>
      </c>
      <c r="L41" s="50">
        <v>0</v>
      </c>
      <c r="M41" s="31">
        <f t="shared" si="5"/>
        <v>0</v>
      </c>
      <c r="N41" s="50">
        <v>0</v>
      </c>
      <c r="O41" s="31">
        <f t="shared" si="6"/>
        <v>0</v>
      </c>
      <c r="P41" s="51" t="s">
        <v>873</v>
      </c>
      <c r="Q41" s="51"/>
      <c r="R41" s="765"/>
      <c r="S41" s="765"/>
      <c r="T41" s="765"/>
      <c r="U41" s="765"/>
      <c r="V41" s="765"/>
      <c r="W41" s="765"/>
      <c r="X41" s="765"/>
      <c r="Y41" s="765"/>
      <c r="Z41" s="765"/>
      <c r="AA41" s="765"/>
    </row>
    <row r="42" spans="1:27" x14ac:dyDescent="0.25">
      <c r="A42" s="10">
        <v>43552</v>
      </c>
      <c r="B42" s="594">
        <v>0</v>
      </c>
      <c r="C42" s="31">
        <f t="shared" si="0"/>
        <v>0</v>
      </c>
      <c r="D42" s="50">
        <v>0</v>
      </c>
      <c r="E42" s="31">
        <f t="shared" si="2"/>
        <v>-75000</v>
      </c>
      <c r="F42" s="900">
        <v>0</v>
      </c>
      <c r="G42" s="899">
        <f t="shared" si="7"/>
        <v>0</v>
      </c>
      <c r="H42" s="50">
        <v>0</v>
      </c>
      <c r="I42" s="31">
        <f t="shared" si="3"/>
        <v>0</v>
      </c>
      <c r="J42" s="50">
        <v>0</v>
      </c>
      <c r="K42" s="31">
        <f t="shared" si="4"/>
        <v>0</v>
      </c>
      <c r="L42" s="50">
        <f>-12020.55</f>
        <v>-12020.55</v>
      </c>
      <c r="M42" s="31">
        <f t="shared" si="5"/>
        <v>-12020.55</v>
      </c>
      <c r="N42" s="50">
        <v>0</v>
      </c>
      <c r="O42" s="31">
        <f t="shared" si="6"/>
        <v>0</v>
      </c>
      <c r="P42" s="51" t="s">
        <v>874</v>
      </c>
      <c r="Q42" s="51"/>
      <c r="R42" s="765"/>
      <c r="S42" s="765"/>
      <c r="T42" s="765"/>
      <c r="U42" s="765"/>
      <c r="V42" s="765"/>
      <c r="W42" s="765"/>
      <c r="X42" s="765"/>
      <c r="Y42" s="765"/>
      <c r="Z42" s="765"/>
      <c r="AA42" s="765"/>
    </row>
    <row r="43" spans="1:27" x14ac:dyDescent="0.25">
      <c r="A43" s="10">
        <v>43552</v>
      </c>
      <c r="B43" s="594">
        <v>0</v>
      </c>
      <c r="C43" s="31">
        <f t="shared" si="0"/>
        <v>0</v>
      </c>
      <c r="D43" s="50">
        <v>75000</v>
      </c>
      <c r="E43" s="31">
        <f t="shared" si="2"/>
        <v>0</v>
      </c>
      <c r="F43" s="900">
        <v>0</v>
      </c>
      <c r="G43" s="899">
        <f t="shared" si="7"/>
        <v>0</v>
      </c>
      <c r="H43" s="50">
        <v>0</v>
      </c>
      <c r="I43" s="31">
        <f t="shared" si="3"/>
        <v>0</v>
      </c>
      <c r="J43" s="50">
        <v>0</v>
      </c>
      <c r="K43" s="31">
        <f t="shared" si="4"/>
        <v>0</v>
      </c>
      <c r="L43" s="50">
        <v>12020.55</v>
      </c>
      <c r="M43" s="31">
        <f t="shared" si="5"/>
        <v>0</v>
      </c>
      <c r="N43" s="50">
        <v>0</v>
      </c>
      <c r="O43" s="31">
        <f t="shared" si="6"/>
        <v>0</v>
      </c>
      <c r="P43" s="51" t="s">
        <v>845</v>
      </c>
      <c r="Q43" s="51"/>
      <c r="R43" s="765"/>
      <c r="S43" s="765"/>
      <c r="T43" s="765"/>
      <c r="U43" s="765"/>
      <c r="V43" s="765"/>
      <c r="W43" s="765"/>
      <c r="X43" s="765"/>
      <c r="Y43" s="765"/>
      <c r="Z43" s="765"/>
      <c r="AA43" s="765"/>
    </row>
    <row r="44" spans="1:27" x14ac:dyDescent="0.25">
      <c r="A44" s="10">
        <v>43557</v>
      </c>
      <c r="B44" s="594">
        <v>0</v>
      </c>
      <c r="C44" s="31">
        <f t="shared" si="0"/>
        <v>0</v>
      </c>
      <c r="D44" s="50">
        <v>467.88</v>
      </c>
      <c r="E44" s="31">
        <f t="shared" si="2"/>
        <v>467.88</v>
      </c>
      <c r="F44" s="900">
        <v>0</v>
      </c>
      <c r="G44" s="899">
        <f t="shared" si="7"/>
        <v>0</v>
      </c>
      <c r="H44" s="50">
        <v>148.04</v>
      </c>
      <c r="I44" s="31">
        <f t="shared" si="3"/>
        <v>148.04</v>
      </c>
      <c r="J44" s="50">
        <v>0</v>
      </c>
      <c r="K44" s="31">
        <f t="shared" si="4"/>
        <v>0</v>
      </c>
      <c r="L44" s="50">
        <v>6.06</v>
      </c>
      <c r="M44" s="31">
        <f t="shared" si="5"/>
        <v>6.06</v>
      </c>
      <c r="N44" s="50">
        <v>0</v>
      </c>
      <c r="O44" s="31">
        <f t="shared" si="6"/>
        <v>0</v>
      </c>
      <c r="P44" s="51" t="s">
        <v>847</v>
      </c>
      <c r="Q44" s="51"/>
      <c r="R44" s="765"/>
      <c r="S44" s="765"/>
      <c r="T44" s="765"/>
      <c r="U44" s="765"/>
      <c r="V44" s="765"/>
      <c r="W44" s="765"/>
      <c r="X44" s="765"/>
      <c r="Y44" s="765"/>
      <c r="Z44" s="765"/>
      <c r="AA44" s="765"/>
    </row>
    <row r="45" spans="1:27" x14ac:dyDescent="0.25">
      <c r="A45" s="10">
        <v>43557</v>
      </c>
      <c r="B45" s="594">
        <v>0</v>
      </c>
      <c r="C45" s="31">
        <f t="shared" si="0"/>
        <v>0</v>
      </c>
      <c r="D45" s="50">
        <v>-467.88</v>
      </c>
      <c r="E45" s="31">
        <f t="shared" si="2"/>
        <v>0</v>
      </c>
      <c r="F45" s="900">
        <v>0</v>
      </c>
      <c r="G45" s="899">
        <f t="shared" si="7"/>
        <v>0</v>
      </c>
      <c r="H45" s="50">
        <v>-148.04</v>
      </c>
      <c r="I45" s="31">
        <f t="shared" si="3"/>
        <v>0</v>
      </c>
      <c r="J45" s="50">
        <v>0</v>
      </c>
      <c r="K45" s="31">
        <f t="shared" si="4"/>
        <v>0</v>
      </c>
      <c r="L45" s="50">
        <v>-6.06</v>
      </c>
      <c r="M45" s="31">
        <f t="shared" si="5"/>
        <v>0</v>
      </c>
      <c r="N45" s="50">
        <v>0</v>
      </c>
      <c r="O45" s="31">
        <f t="shared" si="6"/>
        <v>0</v>
      </c>
      <c r="P45" s="51" t="s">
        <v>845</v>
      </c>
      <c r="Q45" s="51"/>
      <c r="R45" s="765"/>
      <c r="S45" s="765"/>
      <c r="T45" s="765"/>
      <c r="U45" s="765"/>
      <c r="V45" s="765"/>
      <c r="W45" s="765"/>
      <c r="X45" s="765"/>
      <c r="Y45" s="765"/>
      <c r="Z45" s="765"/>
      <c r="AA45" s="765"/>
    </row>
    <row r="46" spans="1:27" x14ac:dyDescent="0.25">
      <c r="A46" s="10">
        <v>43570</v>
      </c>
      <c r="B46" s="594">
        <v>0</v>
      </c>
      <c r="C46" s="31">
        <f t="shared" si="0"/>
        <v>0</v>
      </c>
      <c r="D46" s="50">
        <v>0</v>
      </c>
      <c r="E46" s="31">
        <f t="shared" si="2"/>
        <v>0</v>
      </c>
      <c r="F46" s="900">
        <v>0</v>
      </c>
      <c r="G46" s="899">
        <f t="shared" si="7"/>
        <v>0</v>
      </c>
      <c r="H46" s="50">
        <v>-114.41</v>
      </c>
      <c r="I46" s="31">
        <f t="shared" si="3"/>
        <v>-114.41</v>
      </c>
      <c r="J46" s="50">
        <v>0</v>
      </c>
      <c r="K46" s="31">
        <f t="shared" si="4"/>
        <v>0</v>
      </c>
      <c r="L46" s="50">
        <v>0</v>
      </c>
      <c r="M46" s="31">
        <f t="shared" si="5"/>
        <v>0</v>
      </c>
      <c r="N46" s="50">
        <v>0</v>
      </c>
      <c r="O46" s="31">
        <f t="shared" si="6"/>
        <v>0</v>
      </c>
      <c r="P46" s="51" t="s">
        <v>876</v>
      </c>
      <c r="Q46" s="51"/>
      <c r="R46" s="765"/>
      <c r="S46" s="765"/>
      <c r="T46" s="765"/>
      <c r="U46" s="765"/>
      <c r="V46" s="765"/>
      <c r="W46" s="765"/>
      <c r="X46" s="765"/>
      <c r="Y46" s="765"/>
      <c r="Z46" s="765"/>
      <c r="AA46" s="765"/>
    </row>
    <row r="47" spans="1:27" x14ac:dyDescent="0.25">
      <c r="A47" s="10">
        <v>43570</v>
      </c>
      <c r="B47" s="594">
        <v>0</v>
      </c>
      <c r="C47" s="31">
        <f t="shared" si="0"/>
        <v>0</v>
      </c>
      <c r="D47" s="50">
        <v>0</v>
      </c>
      <c r="E47" s="31">
        <f t="shared" si="2"/>
        <v>0</v>
      </c>
      <c r="F47" s="900">
        <v>0</v>
      </c>
      <c r="G47" s="899">
        <f t="shared" si="7"/>
        <v>0</v>
      </c>
      <c r="H47" s="50">
        <v>114.41</v>
      </c>
      <c r="I47" s="31">
        <f t="shared" si="3"/>
        <v>0</v>
      </c>
      <c r="J47" s="50">
        <v>0</v>
      </c>
      <c r="K47" s="31">
        <f t="shared" si="4"/>
        <v>0</v>
      </c>
      <c r="L47" s="50">
        <v>0</v>
      </c>
      <c r="M47" s="31">
        <f t="shared" si="5"/>
        <v>0</v>
      </c>
      <c r="N47" s="50">
        <v>0</v>
      </c>
      <c r="O47" s="31">
        <f t="shared" si="6"/>
        <v>0</v>
      </c>
      <c r="P47" s="51" t="s">
        <v>845</v>
      </c>
      <c r="Q47" s="51"/>
      <c r="R47" s="765"/>
      <c r="S47" s="765"/>
      <c r="T47" s="765"/>
      <c r="U47" s="765"/>
      <c r="V47" s="765"/>
      <c r="W47" s="765"/>
      <c r="X47" s="765"/>
      <c r="Y47" s="765"/>
      <c r="Z47" s="765"/>
      <c r="AA47" s="765"/>
    </row>
    <row r="48" spans="1:27" x14ac:dyDescent="0.25">
      <c r="A48" s="10">
        <v>43571</v>
      </c>
      <c r="B48" s="594">
        <v>0</v>
      </c>
      <c r="C48" s="31">
        <f t="shared" si="0"/>
        <v>0</v>
      </c>
      <c r="D48" s="50">
        <v>5889.68</v>
      </c>
      <c r="E48" s="31">
        <f t="shared" si="2"/>
        <v>5889.68</v>
      </c>
      <c r="F48" s="900">
        <v>0</v>
      </c>
      <c r="G48" s="899">
        <f t="shared" si="7"/>
        <v>0</v>
      </c>
      <c r="H48" s="50">
        <v>9662.3700000000008</v>
      </c>
      <c r="I48" s="31">
        <f t="shared" si="3"/>
        <v>9662.3700000000008</v>
      </c>
      <c r="J48" s="50">
        <v>0</v>
      </c>
      <c r="K48" s="31">
        <f t="shared" si="4"/>
        <v>0</v>
      </c>
      <c r="L48" s="50">
        <v>0</v>
      </c>
      <c r="M48" s="31">
        <f t="shared" si="5"/>
        <v>0</v>
      </c>
      <c r="N48" s="50">
        <v>0</v>
      </c>
      <c r="O48" s="31">
        <f t="shared" si="6"/>
        <v>0</v>
      </c>
      <c r="P48" s="51" t="s">
        <v>878</v>
      </c>
      <c r="Q48" s="51"/>
      <c r="R48" s="765"/>
      <c r="S48" s="765"/>
      <c r="T48" s="765"/>
      <c r="U48" s="765"/>
      <c r="V48" s="765"/>
      <c r="W48" s="765"/>
      <c r="X48" s="765"/>
      <c r="Y48" s="765"/>
      <c r="Z48" s="765"/>
      <c r="AA48" s="765"/>
    </row>
    <row r="49" spans="1:27" x14ac:dyDescent="0.25">
      <c r="A49" s="10">
        <v>43571</v>
      </c>
      <c r="B49" s="594">
        <v>0</v>
      </c>
      <c r="C49" s="31">
        <f t="shared" si="0"/>
        <v>0</v>
      </c>
      <c r="D49" s="50">
        <v>-5889.68</v>
      </c>
      <c r="E49" s="31">
        <f t="shared" si="2"/>
        <v>0</v>
      </c>
      <c r="F49" s="900">
        <v>0</v>
      </c>
      <c r="G49" s="899">
        <f t="shared" si="7"/>
        <v>0</v>
      </c>
      <c r="H49" s="50">
        <v>-9662.3700000000008</v>
      </c>
      <c r="I49" s="31">
        <f t="shared" si="3"/>
        <v>0</v>
      </c>
      <c r="J49" s="50">
        <v>0</v>
      </c>
      <c r="K49" s="31">
        <f t="shared" si="4"/>
        <v>0</v>
      </c>
      <c r="L49" s="50">
        <v>0</v>
      </c>
      <c r="M49" s="31">
        <f t="shared" si="5"/>
        <v>0</v>
      </c>
      <c r="N49" s="50">
        <v>0</v>
      </c>
      <c r="O49" s="31">
        <f t="shared" si="6"/>
        <v>0</v>
      </c>
      <c r="P49" s="51" t="s">
        <v>845</v>
      </c>
      <c r="Q49" s="51"/>
      <c r="R49" s="765"/>
      <c r="S49" s="765"/>
      <c r="T49" s="765"/>
      <c r="U49" s="765"/>
      <c r="V49" s="765"/>
      <c r="W49" s="765"/>
      <c r="X49" s="765"/>
      <c r="Y49" s="765"/>
      <c r="Z49" s="765"/>
      <c r="AA49" s="765"/>
    </row>
    <row r="50" spans="1:27" x14ac:dyDescent="0.25">
      <c r="A50" s="10">
        <v>43585</v>
      </c>
      <c r="B50" s="594">
        <v>8800000</v>
      </c>
      <c r="C50" s="31">
        <f t="shared" si="0"/>
        <v>8800000</v>
      </c>
      <c r="D50" s="50">
        <v>-8800000</v>
      </c>
      <c r="E50" s="31">
        <f t="shared" si="2"/>
        <v>-8800000</v>
      </c>
      <c r="F50" s="900">
        <v>0</v>
      </c>
      <c r="G50" s="899">
        <f t="shared" si="7"/>
        <v>0</v>
      </c>
      <c r="H50" s="50">
        <v>0</v>
      </c>
      <c r="I50" s="31">
        <f t="shared" si="3"/>
        <v>0</v>
      </c>
      <c r="J50" s="50">
        <v>0</v>
      </c>
      <c r="K50" s="31">
        <f t="shared" si="4"/>
        <v>0</v>
      </c>
      <c r="L50" s="50">
        <v>0</v>
      </c>
      <c r="M50" s="31">
        <f t="shared" si="5"/>
        <v>0</v>
      </c>
      <c r="N50" s="50">
        <v>0</v>
      </c>
      <c r="O50" s="31">
        <f t="shared" si="6"/>
        <v>0</v>
      </c>
      <c r="P50" s="51" t="s">
        <v>880</v>
      </c>
      <c r="Q50" s="51"/>
      <c r="R50" s="765"/>
      <c r="S50" s="765"/>
      <c r="T50" s="765"/>
      <c r="U50" s="765"/>
      <c r="V50" s="765"/>
      <c r="W50" s="765"/>
      <c r="X50" s="765"/>
      <c r="Y50" s="765"/>
      <c r="Z50" s="765"/>
      <c r="AA50" s="765"/>
    </row>
    <row r="51" spans="1:27" x14ac:dyDescent="0.25">
      <c r="A51" s="10">
        <v>43585</v>
      </c>
      <c r="B51" s="594">
        <v>-8800000</v>
      </c>
      <c r="C51" s="31">
        <f t="shared" si="0"/>
        <v>0</v>
      </c>
      <c r="D51" s="50">
        <v>8800000</v>
      </c>
      <c r="E51" s="31">
        <f t="shared" si="2"/>
        <v>0</v>
      </c>
      <c r="F51" s="900">
        <v>0</v>
      </c>
      <c r="G51" s="899">
        <f t="shared" si="7"/>
        <v>0</v>
      </c>
      <c r="H51" s="50">
        <v>0</v>
      </c>
      <c r="I51" s="31">
        <f t="shared" si="3"/>
        <v>0</v>
      </c>
      <c r="J51" s="50">
        <v>0</v>
      </c>
      <c r="K51" s="31">
        <f t="shared" si="4"/>
        <v>0</v>
      </c>
      <c r="L51" s="50">
        <v>0</v>
      </c>
      <c r="M51" s="31">
        <f t="shared" si="5"/>
        <v>0</v>
      </c>
      <c r="N51" s="50">
        <v>0</v>
      </c>
      <c r="O51" s="31">
        <f t="shared" si="6"/>
        <v>0</v>
      </c>
      <c r="P51" s="51" t="s">
        <v>881</v>
      </c>
      <c r="Q51" s="51"/>
      <c r="R51" s="859">
        <f>'Balance Sheet'!B81</f>
        <v>24512.96296296296</v>
      </c>
      <c r="S51" s="765"/>
      <c r="T51" s="765"/>
      <c r="U51" s="765"/>
      <c r="V51" s="765"/>
      <c r="W51" s="765"/>
      <c r="X51" s="765"/>
      <c r="Y51" s="765"/>
      <c r="Z51" s="765"/>
      <c r="AA51" s="765"/>
    </row>
    <row r="52" spans="1:27" x14ac:dyDescent="0.25">
      <c r="A52" s="10">
        <v>43586</v>
      </c>
      <c r="B52" s="594">
        <v>0</v>
      </c>
      <c r="C52" s="31">
        <f t="shared" si="0"/>
        <v>0</v>
      </c>
      <c r="D52" s="50">
        <v>-15572.916666666701</v>
      </c>
      <c r="E52" s="31">
        <f t="shared" si="2"/>
        <v>-15572.92</v>
      </c>
      <c r="F52" s="900">
        <v>0</v>
      </c>
      <c r="G52" s="899">
        <f t="shared" si="7"/>
        <v>0</v>
      </c>
      <c r="H52" s="50">
        <v>0</v>
      </c>
      <c r="I52" s="31">
        <f t="shared" si="3"/>
        <v>0</v>
      </c>
      <c r="J52" s="50">
        <v>0</v>
      </c>
      <c r="K52" s="31">
        <f t="shared" si="4"/>
        <v>0</v>
      </c>
      <c r="L52" s="50">
        <v>15572.916666666668</v>
      </c>
      <c r="M52" s="31">
        <f t="shared" si="5"/>
        <v>15572.92</v>
      </c>
      <c r="N52" s="50">
        <v>0</v>
      </c>
      <c r="O52" s="31">
        <f t="shared" si="6"/>
        <v>0</v>
      </c>
      <c r="P52" s="51" t="s">
        <v>886</v>
      </c>
      <c r="Q52" s="51"/>
      <c r="R52" s="859">
        <f>SUM('Balance Sheet'!D81:H81)</f>
        <v>3626.0900033411294</v>
      </c>
      <c r="S52" s="765"/>
      <c r="T52" s="765"/>
      <c r="U52" s="765"/>
      <c r="V52" s="765"/>
      <c r="W52" s="765"/>
      <c r="X52" s="765"/>
      <c r="Y52" s="765"/>
      <c r="Z52" s="765"/>
      <c r="AA52" s="765"/>
    </row>
    <row r="53" spans="1:27" x14ac:dyDescent="0.25">
      <c r="A53" s="10">
        <v>43586</v>
      </c>
      <c r="B53" s="594">
        <v>0</v>
      </c>
      <c r="C53" s="31">
        <f t="shared" si="0"/>
        <v>0</v>
      </c>
      <c r="D53" s="50">
        <f>-H53</f>
        <v>-10369.779999999999</v>
      </c>
      <c r="E53" s="31">
        <f t="shared" si="2"/>
        <v>-25942.7</v>
      </c>
      <c r="F53" s="900">
        <v>0</v>
      </c>
      <c r="G53" s="899">
        <f t="shared" si="7"/>
        <v>0</v>
      </c>
      <c r="H53" s="50">
        <v>10369.779999999999</v>
      </c>
      <c r="I53" s="31">
        <f t="shared" si="3"/>
        <v>10369.780000000001</v>
      </c>
      <c r="J53" s="50">
        <v>0</v>
      </c>
      <c r="K53" s="31">
        <f t="shared" si="4"/>
        <v>0</v>
      </c>
      <c r="L53" s="50">
        <v>0</v>
      </c>
      <c r="M53" s="31">
        <f t="shared" si="5"/>
        <v>15572.92</v>
      </c>
      <c r="N53" s="50">
        <v>0</v>
      </c>
      <c r="O53" s="31">
        <f t="shared" si="6"/>
        <v>0</v>
      </c>
      <c r="P53" s="51" t="s">
        <v>887</v>
      </c>
      <c r="Q53" s="51"/>
      <c r="R53" s="765"/>
      <c r="S53" s="765"/>
      <c r="T53" s="765"/>
      <c r="U53" s="765"/>
      <c r="V53" s="765"/>
      <c r="W53" s="765"/>
      <c r="X53" s="765"/>
      <c r="Y53" s="765"/>
      <c r="Z53" s="765"/>
      <c r="AA53" s="765"/>
    </row>
    <row r="54" spans="1:27" x14ac:dyDescent="0.25">
      <c r="A54" s="10">
        <v>43586</v>
      </c>
      <c r="B54" s="594">
        <v>0</v>
      </c>
      <c r="C54" s="31">
        <f t="shared" si="0"/>
        <v>0</v>
      </c>
      <c r="D54" s="50">
        <v>-5914.68</v>
      </c>
      <c r="E54" s="31">
        <f t="shared" si="2"/>
        <v>-31857.38</v>
      </c>
      <c r="F54" s="900">
        <v>0</v>
      </c>
      <c r="G54" s="899">
        <f t="shared" si="7"/>
        <v>0</v>
      </c>
      <c r="H54" s="50">
        <v>0</v>
      </c>
      <c r="I54" s="31">
        <f t="shared" si="3"/>
        <v>10369.780000000001</v>
      </c>
      <c r="J54" s="50">
        <v>0</v>
      </c>
      <c r="K54" s="31">
        <f t="shared" si="4"/>
        <v>0</v>
      </c>
      <c r="L54" s="50">
        <v>0</v>
      </c>
      <c r="M54" s="31">
        <f t="shared" si="5"/>
        <v>15572.92</v>
      </c>
      <c r="N54" s="50">
        <v>0</v>
      </c>
      <c r="O54" s="31">
        <f t="shared" si="6"/>
        <v>0</v>
      </c>
      <c r="P54" s="51" t="s">
        <v>888</v>
      </c>
      <c r="Q54" s="51"/>
      <c r="R54" s="765"/>
      <c r="S54" s="765"/>
      <c r="T54" s="765"/>
      <c r="U54" s="765"/>
      <c r="V54" s="765"/>
      <c r="W54" s="765"/>
      <c r="X54" s="765"/>
      <c r="Y54" s="765"/>
      <c r="Z54" s="765"/>
      <c r="AA54" s="765"/>
    </row>
    <row r="55" spans="1:27" x14ac:dyDescent="0.25">
      <c r="A55" s="10">
        <v>43586</v>
      </c>
      <c r="B55" s="594">
        <v>0</v>
      </c>
      <c r="C55" s="31">
        <f t="shared" si="0"/>
        <v>0</v>
      </c>
      <c r="D55" s="50">
        <v>0</v>
      </c>
      <c r="E55" s="31">
        <f t="shared" si="2"/>
        <v>-31857.38</v>
      </c>
      <c r="F55" s="900">
        <v>0</v>
      </c>
      <c r="G55" s="899">
        <f t="shared" si="7"/>
        <v>0</v>
      </c>
      <c r="H55" s="50">
        <f>-9687.37*2</f>
        <v>-19374.740000000002</v>
      </c>
      <c r="I55" s="31">
        <f t="shared" si="3"/>
        <v>-9004.9599999999991</v>
      </c>
      <c r="J55" s="50">
        <v>0</v>
      </c>
      <c r="K55" s="31">
        <f t="shared" si="4"/>
        <v>0</v>
      </c>
      <c r="L55" s="50">
        <v>0</v>
      </c>
      <c r="M55" s="31">
        <f t="shared" si="5"/>
        <v>15572.92</v>
      </c>
      <c r="N55" s="50">
        <v>0</v>
      </c>
      <c r="O55" s="31">
        <f t="shared" si="6"/>
        <v>0</v>
      </c>
      <c r="P55" s="51" t="s">
        <v>889</v>
      </c>
      <c r="Q55" s="51"/>
      <c r="R55" s="765"/>
      <c r="S55" s="765"/>
      <c r="T55" s="765"/>
      <c r="U55" s="765"/>
      <c r="V55" s="765"/>
      <c r="W55" s="765"/>
      <c r="X55" s="765"/>
      <c r="Y55" s="765"/>
      <c r="Z55" s="765"/>
      <c r="AA55" s="765"/>
    </row>
    <row r="56" spans="1:27" x14ac:dyDescent="0.25">
      <c r="A56" s="10">
        <v>43586</v>
      </c>
      <c r="B56" s="594">
        <v>0</v>
      </c>
      <c r="C56" s="31">
        <f t="shared" ref="C56:C95" si="8">ROUND(B56+C55,2)</f>
        <v>0</v>
      </c>
      <c r="D56" s="50">
        <v>31857.38</v>
      </c>
      <c r="E56" s="31">
        <f t="shared" ref="E56:E95" si="9">ROUND(D56+E55,2)</f>
        <v>0</v>
      </c>
      <c r="F56" s="900">
        <v>0</v>
      </c>
      <c r="G56" s="899">
        <f t="shared" si="7"/>
        <v>0</v>
      </c>
      <c r="H56" s="50">
        <v>9004.9599999999991</v>
      </c>
      <c r="I56" s="31">
        <f t="shared" ref="I56:I95" si="10">ROUND(H56+I55,2)</f>
        <v>0</v>
      </c>
      <c r="J56" s="50">
        <v>0</v>
      </c>
      <c r="K56" s="31">
        <f t="shared" ref="K56:K95" si="11">ROUND(J56+K55,2)</f>
        <v>0</v>
      </c>
      <c r="L56" s="50">
        <v>-15572.92</v>
      </c>
      <c r="M56" s="31">
        <f t="shared" ref="M56:M95" si="12">ROUND(L56+M55,2)</f>
        <v>0</v>
      </c>
      <c r="N56" s="50">
        <v>0</v>
      </c>
      <c r="O56" s="31">
        <f t="shared" ref="O56:O95" si="13">ROUND(N56+O55,2)</f>
        <v>0</v>
      </c>
      <c r="P56" s="51" t="s">
        <v>845</v>
      </c>
      <c r="Q56" s="51"/>
      <c r="R56" s="765"/>
      <c r="S56" s="765"/>
      <c r="T56" s="765"/>
      <c r="U56" s="765"/>
      <c r="V56" s="765"/>
      <c r="W56" s="765"/>
      <c r="X56" s="765"/>
    </row>
    <row r="57" spans="1:27" x14ac:dyDescent="0.25">
      <c r="A57" s="10">
        <v>43587</v>
      </c>
      <c r="B57" s="594">
        <v>0</v>
      </c>
      <c r="C57" s="31">
        <f t="shared" si="8"/>
        <v>0</v>
      </c>
      <c r="D57" s="594">
        <v>315.72000000000003</v>
      </c>
      <c r="E57" s="31">
        <f t="shared" si="9"/>
        <v>315.72000000000003</v>
      </c>
      <c r="F57" s="900">
        <v>0</v>
      </c>
      <c r="G57" s="899">
        <f t="shared" si="7"/>
        <v>0</v>
      </c>
      <c r="H57" s="50">
        <v>18.86</v>
      </c>
      <c r="I57" s="31">
        <f t="shared" si="10"/>
        <v>18.86</v>
      </c>
      <c r="J57" s="50">
        <v>0</v>
      </c>
      <c r="K57" s="31">
        <f t="shared" si="11"/>
        <v>0</v>
      </c>
      <c r="L57" s="50">
        <v>0</v>
      </c>
      <c r="M57" s="31">
        <f t="shared" si="12"/>
        <v>0</v>
      </c>
      <c r="N57" s="50">
        <v>0</v>
      </c>
      <c r="O57" s="31">
        <f t="shared" si="13"/>
        <v>0</v>
      </c>
      <c r="P57" s="51" t="s">
        <v>890</v>
      </c>
      <c r="Q57" s="51"/>
      <c r="R57" s="765"/>
      <c r="S57" s="765"/>
      <c r="T57" s="765"/>
      <c r="U57" s="765"/>
      <c r="V57" s="765"/>
      <c r="W57" s="765"/>
      <c r="X57" s="765"/>
    </row>
    <row r="58" spans="1:27" x14ac:dyDescent="0.25">
      <c r="A58" s="10">
        <v>43587</v>
      </c>
      <c r="B58" s="594">
        <v>0</v>
      </c>
      <c r="C58" s="31">
        <f t="shared" si="8"/>
        <v>0</v>
      </c>
      <c r="D58" s="50">
        <v>-315.72000000000003</v>
      </c>
      <c r="E58" s="31">
        <f t="shared" si="9"/>
        <v>0</v>
      </c>
      <c r="F58" s="900">
        <v>0</v>
      </c>
      <c r="G58" s="899">
        <f t="shared" si="7"/>
        <v>0</v>
      </c>
      <c r="H58" s="50">
        <v>-18.86</v>
      </c>
      <c r="I58" s="31">
        <f t="shared" si="10"/>
        <v>0</v>
      </c>
      <c r="J58" s="50">
        <v>0</v>
      </c>
      <c r="K58" s="31">
        <f t="shared" si="11"/>
        <v>0</v>
      </c>
      <c r="L58" s="50">
        <v>0</v>
      </c>
      <c r="M58" s="31">
        <f t="shared" si="12"/>
        <v>0</v>
      </c>
      <c r="N58" s="50">
        <v>0</v>
      </c>
      <c r="O58" s="31">
        <f t="shared" si="13"/>
        <v>0</v>
      </c>
      <c r="P58" s="51" t="s">
        <v>845</v>
      </c>
      <c r="Q58" s="51"/>
      <c r="R58" s="765"/>
      <c r="S58" s="765"/>
      <c r="T58" s="765"/>
      <c r="U58" s="765"/>
      <c r="V58" s="765"/>
      <c r="W58" s="765"/>
      <c r="X58" s="765"/>
    </row>
    <row r="59" spans="1:27" x14ac:dyDescent="0.25">
      <c r="A59" s="10">
        <v>43588</v>
      </c>
      <c r="B59" s="594">
        <v>0</v>
      </c>
      <c r="C59" s="31">
        <f t="shared" si="8"/>
        <v>0</v>
      </c>
      <c r="D59" s="50">
        <v>50000</v>
      </c>
      <c r="E59" s="31">
        <f t="shared" si="9"/>
        <v>50000</v>
      </c>
      <c r="F59" s="900">
        <v>0</v>
      </c>
      <c r="G59" s="899">
        <f t="shared" si="7"/>
        <v>0</v>
      </c>
      <c r="H59" s="50">
        <v>0</v>
      </c>
      <c r="I59" s="31">
        <f t="shared" si="10"/>
        <v>0</v>
      </c>
      <c r="J59" s="50">
        <v>0</v>
      </c>
      <c r="K59" s="31">
        <f t="shared" si="11"/>
        <v>0</v>
      </c>
      <c r="L59" s="50">
        <v>0</v>
      </c>
      <c r="M59" s="31">
        <f t="shared" si="12"/>
        <v>0</v>
      </c>
      <c r="N59" s="50">
        <v>0</v>
      </c>
      <c r="O59" s="31">
        <f t="shared" si="13"/>
        <v>0</v>
      </c>
      <c r="P59" s="51" t="s">
        <v>891</v>
      </c>
      <c r="Q59" s="51"/>
      <c r="R59" s="765"/>
      <c r="S59" s="765"/>
      <c r="T59" s="765"/>
      <c r="U59" s="765"/>
      <c r="V59" s="765"/>
      <c r="W59" s="765"/>
      <c r="X59" s="765"/>
    </row>
    <row r="60" spans="1:27" x14ac:dyDescent="0.25">
      <c r="A60" s="10">
        <v>43588</v>
      </c>
      <c r="B60" s="594">
        <v>0</v>
      </c>
      <c r="C60" s="31">
        <f t="shared" si="8"/>
        <v>0</v>
      </c>
      <c r="D60" s="50">
        <v>-50000</v>
      </c>
      <c r="E60" s="31">
        <f t="shared" si="9"/>
        <v>0</v>
      </c>
      <c r="F60" s="900">
        <v>0</v>
      </c>
      <c r="G60" s="899">
        <f t="shared" si="7"/>
        <v>0</v>
      </c>
      <c r="H60" s="50">
        <v>0</v>
      </c>
      <c r="I60" s="31">
        <f t="shared" si="10"/>
        <v>0</v>
      </c>
      <c r="J60" s="50">
        <v>0</v>
      </c>
      <c r="K60" s="31">
        <f t="shared" si="11"/>
        <v>0</v>
      </c>
      <c r="L60" s="50">
        <v>0</v>
      </c>
      <c r="M60" s="31">
        <f t="shared" si="12"/>
        <v>0</v>
      </c>
      <c r="N60" s="50">
        <v>0</v>
      </c>
      <c r="O60" s="31">
        <f t="shared" si="13"/>
        <v>0</v>
      </c>
      <c r="P60" s="51" t="s">
        <v>845</v>
      </c>
      <c r="Q60" s="51"/>
      <c r="R60" s="765"/>
      <c r="S60" s="765"/>
      <c r="T60" s="765"/>
      <c r="U60" s="765"/>
      <c r="V60" s="765"/>
      <c r="W60" s="765"/>
      <c r="X60" s="765"/>
    </row>
    <row r="61" spans="1:27" x14ac:dyDescent="0.25">
      <c r="A61" s="10">
        <v>43592</v>
      </c>
      <c r="B61" s="594">
        <v>0</v>
      </c>
      <c r="C61" s="31">
        <f t="shared" si="8"/>
        <v>0</v>
      </c>
      <c r="D61" s="50">
        <v>0</v>
      </c>
      <c r="E61" s="31">
        <f t="shared" si="9"/>
        <v>0</v>
      </c>
      <c r="F61" s="900">
        <v>0</v>
      </c>
      <c r="G61" s="899">
        <f t="shared" si="7"/>
        <v>0</v>
      </c>
      <c r="H61" s="50">
        <v>9597.3700000000008</v>
      </c>
      <c r="I61" s="31">
        <f t="shared" si="10"/>
        <v>9597.3700000000008</v>
      </c>
      <c r="J61" s="50">
        <v>0</v>
      </c>
      <c r="K61" s="31">
        <f t="shared" si="11"/>
        <v>0</v>
      </c>
      <c r="L61" s="50">
        <v>0</v>
      </c>
      <c r="M61" s="31">
        <f t="shared" si="12"/>
        <v>0</v>
      </c>
      <c r="N61" s="50">
        <v>0</v>
      </c>
      <c r="O61" s="31">
        <f t="shared" si="13"/>
        <v>0</v>
      </c>
      <c r="P61" s="51" t="s">
        <v>878</v>
      </c>
      <c r="Q61" s="51"/>
      <c r="R61" s="765"/>
      <c r="S61" s="765"/>
      <c r="T61" s="765"/>
      <c r="U61" s="765"/>
      <c r="V61" s="765"/>
      <c r="W61" s="765"/>
      <c r="X61" s="765"/>
    </row>
    <row r="62" spans="1:27" x14ac:dyDescent="0.25">
      <c r="A62" s="10">
        <v>43592</v>
      </c>
      <c r="B62" s="594">
        <v>0</v>
      </c>
      <c r="C62" s="31">
        <f t="shared" si="8"/>
        <v>0</v>
      </c>
      <c r="D62" s="50">
        <v>0</v>
      </c>
      <c r="E62" s="31">
        <f t="shared" si="9"/>
        <v>0</v>
      </c>
      <c r="F62" s="900">
        <v>0</v>
      </c>
      <c r="G62" s="899">
        <f t="shared" si="7"/>
        <v>0</v>
      </c>
      <c r="H62" s="50">
        <v>-9597.3700000000008</v>
      </c>
      <c r="I62" s="31">
        <f t="shared" si="10"/>
        <v>0</v>
      </c>
      <c r="J62" s="50">
        <v>0</v>
      </c>
      <c r="K62" s="31">
        <f t="shared" si="11"/>
        <v>0</v>
      </c>
      <c r="L62" s="50">
        <v>0</v>
      </c>
      <c r="M62" s="31">
        <f t="shared" si="12"/>
        <v>0</v>
      </c>
      <c r="N62" s="50">
        <v>0</v>
      </c>
      <c r="O62" s="31">
        <f t="shared" si="13"/>
        <v>0</v>
      </c>
      <c r="P62" s="51" t="s">
        <v>845</v>
      </c>
      <c r="Q62" s="51"/>
      <c r="R62" s="765"/>
      <c r="S62" s="765"/>
      <c r="T62" s="765"/>
      <c r="U62" s="765"/>
      <c r="V62" s="765"/>
      <c r="W62" s="765"/>
      <c r="X62" s="765"/>
    </row>
    <row r="63" spans="1:27" x14ac:dyDescent="0.25">
      <c r="A63" s="10">
        <v>43594</v>
      </c>
      <c r="B63" s="594">
        <v>0</v>
      </c>
      <c r="C63" s="31">
        <f t="shared" si="8"/>
        <v>0</v>
      </c>
      <c r="D63" s="50">
        <v>-9660</v>
      </c>
      <c r="E63" s="31">
        <f t="shared" si="9"/>
        <v>-9660</v>
      </c>
      <c r="F63" s="900">
        <v>0</v>
      </c>
      <c r="G63" s="899">
        <f t="shared" si="7"/>
        <v>0</v>
      </c>
      <c r="H63" s="50">
        <v>0</v>
      </c>
      <c r="I63" s="31">
        <f t="shared" si="10"/>
        <v>0</v>
      </c>
      <c r="J63" s="50">
        <v>0</v>
      </c>
      <c r="K63" s="31">
        <f t="shared" si="11"/>
        <v>0</v>
      </c>
      <c r="L63" s="50">
        <v>0</v>
      </c>
      <c r="M63" s="31">
        <f t="shared" si="12"/>
        <v>0</v>
      </c>
      <c r="N63" s="50">
        <v>0</v>
      </c>
      <c r="O63" s="31">
        <f t="shared" si="13"/>
        <v>0</v>
      </c>
      <c r="P63" s="51" t="s">
        <v>990</v>
      </c>
      <c r="Q63" s="51"/>
      <c r="R63" s="765"/>
      <c r="S63" s="765"/>
      <c r="T63" s="765"/>
      <c r="U63" s="765"/>
      <c r="V63" s="765"/>
      <c r="W63" s="765"/>
      <c r="X63" s="765"/>
    </row>
    <row r="64" spans="1:27" x14ac:dyDescent="0.25">
      <c r="A64" s="10">
        <v>43594</v>
      </c>
      <c r="B64" s="594">
        <v>0</v>
      </c>
      <c r="C64" s="31">
        <f t="shared" si="8"/>
        <v>0</v>
      </c>
      <c r="D64" s="50">
        <v>9660</v>
      </c>
      <c r="E64" s="31">
        <f t="shared" si="9"/>
        <v>0</v>
      </c>
      <c r="F64" s="900">
        <v>0</v>
      </c>
      <c r="G64" s="899">
        <f t="shared" si="7"/>
        <v>0</v>
      </c>
      <c r="H64" s="50">
        <v>0</v>
      </c>
      <c r="I64" s="31">
        <f t="shared" si="10"/>
        <v>0</v>
      </c>
      <c r="J64" s="50">
        <v>0</v>
      </c>
      <c r="K64" s="31">
        <f t="shared" si="11"/>
        <v>0</v>
      </c>
      <c r="L64" s="50">
        <v>0</v>
      </c>
      <c r="M64" s="31">
        <f t="shared" si="12"/>
        <v>0</v>
      </c>
      <c r="N64" s="50">
        <v>0</v>
      </c>
      <c r="O64" s="31">
        <f t="shared" si="13"/>
        <v>0</v>
      </c>
      <c r="P64" s="51" t="s">
        <v>845</v>
      </c>
      <c r="Q64" s="51"/>
      <c r="R64" s="765"/>
      <c r="S64" s="765"/>
      <c r="T64" s="765"/>
      <c r="U64" s="765"/>
      <c r="V64" s="765"/>
      <c r="W64" s="765"/>
      <c r="X64" s="765"/>
    </row>
    <row r="65" spans="1:24" x14ac:dyDescent="0.25">
      <c r="A65" s="10">
        <v>43598</v>
      </c>
      <c r="B65" s="594">
        <v>0</v>
      </c>
      <c r="C65" s="31">
        <f t="shared" si="8"/>
        <v>0</v>
      </c>
      <c r="D65" s="50">
        <v>0</v>
      </c>
      <c r="E65" s="31">
        <f t="shared" si="9"/>
        <v>0</v>
      </c>
      <c r="F65" s="900">
        <v>0</v>
      </c>
      <c r="G65" s="899">
        <f t="shared" si="7"/>
        <v>0</v>
      </c>
      <c r="H65" s="50">
        <v>0</v>
      </c>
      <c r="I65" s="31">
        <f t="shared" si="10"/>
        <v>0</v>
      </c>
      <c r="J65" s="50">
        <v>0</v>
      </c>
      <c r="K65" s="31">
        <f t="shared" si="11"/>
        <v>0</v>
      </c>
      <c r="L65" s="50">
        <v>-15572.92</v>
      </c>
      <c r="M65" s="31">
        <f t="shared" si="12"/>
        <v>-15572.92</v>
      </c>
      <c r="N65" s="50">
        <v>0</v>
      </c>
      <c r="O65" s="31">
        <f t="shared" si="13"/>
        <v>0</v>
      </c>
      <c r="P65" s="51" t="s">
        <v>897</v>
      </c>
      <c r="Q65" s="51"/>
      <c r="R65" s="765"/>
      <c r="S65" s="765"/>
      <c r="T65" s="765"/>
      <c r="U65" s="765"/>
      <c r="V65" s="765"/>
      <c r="W65" s="765"/>
      <c r="X65" s="765"/>
    </row>
    <row r="66" spans="1:24" x14ac:dyDescent="0.25">
      <c r="A66" s="10">
        <v>43598</v>
      </c>
      <c r="B66" s="594">
        <v>0</v>
      </c>
      <c r="C66" s="31">
        <f t="shared" si="8"/>
        <v>0</v>
      </c>
      <c r="D66" s="50">
        <v>0</v>
      </c>
      <c r="E66" s="31">
        <f t="shared" si="9"/>
        <v>0</v>
      </c>
      <c r="F66" s="900">
        <v>0</v>
      </c>
      <c r="G66" s="899">
        <f t="shared" si="7"/>
        <v>0</v>
      </c>
      <c r="H66" s="50">
        <v>0</v>
      </c>
      <c r="I66" s="31">
        <f t="shared" si="10"/>
        <v>0</v>
      </c>
      <c r="J66" s="50">
        <v>0</v>
      </c>
      <c r="K66" s="31">
        <f t="shared" si="11"/>
        <v>0</v>
      </c>
      <c r="L66" s="50">
        <v>15572.92</v>
      </c>
      <c r="M66" s="31">
        <f t="shared" si="12"/>
        <v>0</v>
      </c>
      <c r="N66" s="50">
        <v>0</v>
      </c>
      <c r="O66" s="31">
        <f t="shared" si="13"/>
        <v>0</v>
      </c>
      <c r="P66" s="51" t="s">
        <v>845</v>
      </c>
      <c r="Q66" s="51"/>
      <c r="R66" s="117">
        <v>12566.666666666666</v>
      </c>
      <c r="S66" s="117">
        <v>6537.4699999999993</v>
      </c>
      <c r="T66" s="765"/>
      <c r="U66" s="765"/>
      <c r="V66" s="765"/>
      <c r="W66" s="765"/>
      <c r="X66" s="765"/>
    </row>
    <row r="67" spans="1:24" x14ac:dyDescent="0.25">
      <c r="A67" s="10">
        <v>43600</v>
      </c>
      <c r="B67" s="594">
        <v>0</v>
      </c>
      <c r="C67" s="31">
        <f t="shared" si="8"/>
        <v>0</v>
      </c>
      <c r="D67" s="50">
        <v>0</v>
      </c>
      <c r="E67" s="31">
        <f t="shared" si="9"/>
        <v>0</v>
      </c>
      <c r="F67" s="900">
        <v>0</v>
      </c>
      <c r="G67" s="899">
        <f t="shared" si="7"/>
        <v>0</v>
      </c>
      <c r="H67" s="50">
        <v>-114.43</v>
      </c>
      <c r="I67" s="31">
        <f t="shared" si="10"/>
        <v>-114.43</v>
      </c>
      <c r="J67" s="50">
        <v>0</v>
      </c>
      <c r="K67" s="31">
        <f t="shared" si="11"/>
        <v>0</v>
      </c>
      <c r="L67" s="50">
        <v>0</v>
      </c>
      <c r="M67" s="31">
        <f t="shared" si="12"/>
        <v>0</v>
      </c>
      <c r="N67" s="50">
        <v>0</v>
      </c>
      <c r="O67" s="31">
        <f t="shared" si="13"/>
        <v>0</v>
      </c>
      <c r="P67" s="51" t="s">
        <v>899</v>
      </c>
      <c r="Q67" s="51"/>
      <c r="R67" s="117">
        <f>R66+S66</f>
        <v>19104.136666666665</v>
      </c>
      <c r="S67" s="117"/>
      <c r="T67" s="765"/>
      <c r="U67" s="765"/>
      <c r="V67" s="765"/>
      <c r="W67" s="765"/>
      <c r="X67" s="765"/>
    </row>
    <row r="68" spans="1:24" x14ac:dyDescent="0.25">
      <c r="A68" s="10">
        <v>43600</v>
      </c>
      <c r="B68" s="594">
        <v>0</v>
      </c>
      <c r="C68" s="31">
        <f t="shared" si="8"/>
        <v>0</v>
      </c>
      <c r="D68" s="50">
        <v>0</v>
      </c>
      <c r="E68" s="31">
        <f t="shared" si="9"/>
        <v>0</v>
      </c>
      <c r="F68" s="900">
        <v>0</v>
      </c>
      <c r="G68" s="899">
        <f t="shared" si="7"/>
        <v>0</v>
      </c>
      <c r="H68" s="50">
        <v>114.43</v>
      </c>
      <c r="I68" s="31">
        <f t="shared" si="10"/>
        <v>0</v>
      </c>
      <c r="J68" s="50">
        <v>0</v>
      </c>
      <c r="K68" s="31">
        <f t="shared" si="11"/>
        <v>0</v>
      </c>
      <c r="L68" s="50">
        <v>0</v>
      </c>
      <c r="M68" s="31">
        <f t="shared" si="12"/>
        <v>0</v>
      </c>
      <c r="N68" s="50">
        <v>0</v>
      </c>
      <c r="O68" s="31">
        <f t="shared" si="13"/>
        <v>0</v>
      </c>
      <c r="P68" s="51" t="s">
        <v>845</v>
      </c>
      <c r="Q68" s="51"/>
      <c r="R68" s="765"/>
      <c r="S68" s="765"/>
      <c r="T68" s="765"/>
      <c r="U68" s="765"/>
      <c r="V68" s="765"/>
      <c r="W68" s="765"/>
      <c r="X68" s="765"/>
    </row>
    <row r="69" spans="1:24" x14ac:dyDescent="0.25">
      <c r="A69" s="10">
        <v>43614</v>
      </c>
      <c r="B69" s="594">
        <v>0</v>
      </c>
      <c r="C69" s="31">
        <f t="shared" si="8"/>
        <v>0</v>
      </c>
      <c r="D69" s="50">
        <v>-19104.14</v>
      </c>
      <c r="E69" s="31">
        <f t="shared" si="9"/>
        <v>-19104.14</v>
      </c>
      <c r="F69" s="900">
        <v>0</v>
      </c>
      <c r="G69" s="899">
        <f t="shared" si="7"/>
        <v>0</v>
      </c>
      <c r="H69" s="50">
        <v>6537.4699999999993</v>
      </c>
      <c r="I69" s="31">
        <f t="shared" si="10"/>
        <v>6537.47</v>
      </c>
      <c r="J69" s="50">
        <v>0</v>
      </c>
      <c r="K69" s="31">
        <f t="shared" si="11"/>
        <v>0</v>
      </c>
      <c r="L69" s="50">
        <v>12566.67</v>
      </c>
      <c r="M69" s="31">
        <f t="shared" si="12"/>
        <v>12566.67</v>
      </c>
      <c r="N69" s="50">
        <v>0</v>
      </c>
      <c r="O69" s="31">
        <f t="shared" si="13"/>
        <v>0</v>
      </c>
      <c r="P69" s="51" t="s">
        <v>979</v>
      </c>
      <c r="Q69" s="51"/>
      <c r="R69" s="765"/>
      <c r="S69" s="765"/>
      <c r="T69" s="765"/>
      <c r="U69" s="765"/>
      <c r="V69" s="765"/>
      <c r="W69" s="765"/>
      <c r="X69" s="765"/>
    </row>
    <row r="70" spans="1:24" x14ac:dyDescent="0.25">
      <c r="A70" s="10">
        <v>43614</v>
      </c>
      <c r="B70" s="594">
        <v>0</v>
      </c>
      <c r="C70" s="31">
        <f t="shared" si="8"/>
        <v>0</v>
      </c>
      <c r="D70" s="50">
        <v>19104.14</v>
      </c>
      <c r="E70" s="31">
        <f t="shared" si="9"/>
        <v>0</v>
      </c>
      <c r="F70" s="900">
        <v>0</v>
      </c>
      <c r="G70" s="899">
        <f t="shared" si="7"/>
        <v>0</v>
      </c>
      <c r="H70" s="50">
        <v>-6537.47</v>
      </c>
      <c r="I70" s="31">
        <f t="shared" si="10"/>
        <v>0</v>
      </c>
      <c r="J70" s="50">
        <v>0</v>
      </c>
      <c r="K70" s="31">
        <f t="shared" si="11"/>
        <v>0</v>
      </c>
      <c r="L70" s="50">
        <v>-12566.67</v>
      </c>
      <c r="M70" s="31">
        <f t="shared" si="12"/>
        <v>0</v>
      </c>
      <c r="N70" s="50">
        <v>0</v>
      </c>
      <c r="O70" s="31">
        <f t="shared" si="13"/>
        <v>0</v>
      </c>
      <c r="P70" s="51" t="s">
        <v>845</v>
      </c>
      <c r="Q70" s="51"/>
      <c r="R70" s="765"/>
      <c r="S70" s="765"/>
      <c r="T70" s="765"/>
      <c r="U70" s="765"/>
      <c r="V70" s="765"/>
      <c r="W70" s="765"/>
      <c r="X70" s="765"/>
    </row>
    <row r="71" spans="1:24" x14ac:dyDescent="0.25">
      <c r="A71" s="10">
        <v>43620</v>
      </c>
      <c r="B71" s="594">
        <v>0</v>
      </c>
      <c r="C71" s="31">
        <f t="shared" si="8"/>
        <v>0</v>
      </c>
      <c r="D71" s="50">
        <v>339.28</v>
      </c>
      <c r="E71" s="31">
        <f t="shared" si="9"/>
        <v>339.28</v>
      </c>
      <c r="F71" s="900">
        <v>0</v>
      </c>
      <c r="G71" s="899">
        <f t="shared" si="7"/>
        <v>0</v>
      </c>
      <c r="H71" s="50">
        <v>27.12</v>
      </c>
      <c r="I71" s="31">
        <f t="shared" si="10"/>
        <v>27.12</v>
      </c>
      <c r="J71" s="50">
        <v>0</v>
      </c>
      <c r="K71" s="31">
        <f t="shared" si="11"/>
        <v>0</v>
      </c>
      <c r="L71" s="50">
        <v>14.14</v>
      </c>
      <c r="M71" s="31">
        <f t="shared" si="12"/>
        <v>14.14</v>
      </c>
      <c r="N71" s="50">
        <v>0</v>
      </c>
      <c r="O71" s="31">
        <f t="shared" si="13"/>
        <v>0</v>
      </c>
      <c r="P71" s="51" t="s">
        <v>890</v>
      </c>
      <c r="Q71" s="51"/>
      <c r="R71" s="765"/>
      <c r="S71" s="765"/>
      <c r="T71" s="765"/>
      <c r="U71" s="765"/>
      <c r="V71" s="765"/>
      <c r="W71" s="765"/>
      <c r="X71" s="765"/>
    </row>
    <row r="72" spans="1:24" x14ac:dyDescent="0.25">
      <c r="A72" s="10">
        <v>43620</v>
      </c>
      <c r="B72" s="594">
        <v>7450000</v>
      </c>
      <c r="C72" s="31">
        <f t="shared" si="8"/>
        <v>7450000</v>
      </c>
      <c r="D72" s="50">
        <v>0</v>
      </c>
      <c r="E72" s="31">
        <f t="shared" si="9"/>
        <v>339.28</v>
      </c>
      <c r="F72" s="900">
        <v>-7450000</v>
      </c>
      <c r="G72" s="899">
        <f t="shared" si="7"/>
        <v>-7450000</v>
      </c>
      <c r="H72" s="50">
        <v>0</v>
      </c>
      <c r="I72" s="31">
        <f t="shared" si="10"/>
        <v>27.12</v>
      </c>
      <c r="J72" s="50">
        <v>0</v>
      </c>
      <c r="K72" s="31">
        <f t="shared" si="11"/>
        <v>0</v>
      </c>
      <c r="L72" s="50">
        <v>0</v>
      </c>
      <c r="M72" s="31">
        <f t="shared" si="12"/>
        <v>14.14</v>
      </c>
      <c r="N72" s="50">
        <v>0</v>
      </c>
      <c r="O72" s="31">
        <f t="shared" si="13"/>
        <v>0</v>
      </c>
      <c r="P72" s="51" t="s">
        <v>1012</v>
      </c>
      <c r="Q72" s="51"/>
      <c r="R72" s="765"/>
      <c r="S72" s="765"/>
      <c r="T72" s="765"/>
      <c r="U72" s="765"/>
      <c r="V72" s="765"/>
      <c r="W72" s="765"/>
      <c r="X72" s="765"/>
    </row>
    <row r="73" spans="1:24" x14ac:dyDescent="0.25">
      <c r="A73" s="10">
        <v>43620</v>
      </c>
      <c r="B73" s="594">
        <f>-B72</f>
        <v>-7450000</v>
      </c>
      <c r="C73" s="31">
        <f t="shared" si="8"/>
        <v>0</v>
      </c>
      <c r="D73" s="50">
        <v>0</v>
      </c>
      <c r="E73" s="31">
        <f t="shared" si="9"/>
        <v>339.28</v>
      </c>
      <c r="F73" s="900">
        <v>7450000</v>
      </c>
      <c r="G73" s="899">
        <f t="shared" si="7"/>
        <v>0</v>
      </c>
      <c r="H73" s="50">
        <v>0</v>
      </c>
      <c r="I73" s="31">
        <f t="shared" si="10"/>
        <v>27.12</v>
      </c>
      <c r="J73" s="50">
        <v>0</v>
      </c>
      <c r="K73" s="31">
        <f t="shared" si="11"/>
        <v>0</v>
      </c>
      <c r="L73" s="50">
        <v>0</v>
      </c>
      <c r="M73" s="31">
        <f t="shared" si="12"/>
        <v>14.14</v>
      </c>
      <c r="N73" s="50">
        <v>0</v>
      </c>
      <c r="O73" s="31">
        <f t="shared" si="13"/>
        <v>0</v>
      </c>
      <c r="P73" s="51" t="s">
        <v>1013</v>
      </c>
      <c r="Q73" s="51"/>
      <c r="R73" s="765"/>
      <c r="S73" s="765"/>
      <c r="T73" s="765"/>
      <c r="U73" s="765"/>
      <c r="V73" s="765"/>
      <c r="W73" s="765"/>
      <c r="X73" s="765"/>
    </row>
    <row r="74" spans="1:24" x14ac:dyDescent="0.25">
      <c r="A74" s="10">
        <v>43620</v>
      </c>
      <c r="B74" s="594">
        <v>0</v>
      </c>
      <c r="C74" s="31">
        <f t="shared" si="8"/>
        <v>0</v>
      </c>
      <c r="D74" s="50">
        <v>50000</v>
      </c>
      <c r="E74" s="31">
        <f t="shared" si="9"/>
        <v>50339.28</v>
      </c>
      <c r="F74" s="900">
        <v>0</v>
      </c>
      <c r="G74" s="899">
        <f t="shared" si="7"/>
        <v>0</v>
      </c>
      <c r="H74" s="50">
        <v>0</v>
      </c>
      <c r="I74" s="31">
        <f t="shared" si="10"/>
        <v>27.12</v>
      </c>
      <c r="J74" s="50">
        <v>0</v>
      </c>
      <c r="K74" s="31">
        <f t="shared" si="11"/>
        <v>0</v>
      </c>
      <c r="L74" s="50">
        <v>0</v>
      </c>
      <c r="M74" s="31">
        <f t="shared" si="12"/>
        <v>14.14</v>
      </c>
      <c r="N74" s="50">
        <v>0</v>
      </c>
      <c r="O74" s="31">
        <f t="shared" si="13"/>
        <v>0</v>
      </c>
      <c r="P74" s="51" t="s">
        <v>984</v>
      </c>
      <c r="Q74" s="51"/>
      <c r="R74" s="765"/>
      <c r="S74" s="765"/>
      <c r="T74" s="765"/>
      <c r="U74" s="765"/>
      <c r="V74" s="765"/>
      <c r="W74" s="765"/>
      <c r="X74" s="765"/>
    </row>
    <row r="75" spans="1:24" x14ac:dyDescent="0.25">
      <c r="A75" s="10">
        <v>43620</v>
      </c>
      <c r="B75" s="594">
        <v>0</v>
      </c>
      <c r="C75" s="31">
        <f t="shared" si="8"/>
        <v>0</v>
      </c>
      <c r="D75" s="50">
        <v>0</v>
      </c>
      <c r="E75" s="31">
        <f t="shared" si="9"/>
        <v>50339.28</v>
      </c>
      <c r="F75" s="900">
        <v>-7450000</v>
      </c>
      <c r="G75" s="899">
        <f t="shared" si="7"/>
        <v>-7450000</v>
      </c>
      <c r="H75" s="50">
        <v>0</v>
      </c>
      <c r="I75" s="31">
        <f t="shared" si="10"/>
        <v>27.12</v>
      </c>
      <c r="J75" s="50">
        <v>0</v>
      </c>
      <c r="K75" s="31">
        <f t="shared" si="11"/>
        <v>0</v>
      </c>
      <c r="L75" s="50">
        <v>0</v>
      </c>
      <c r="M75" s="31">
        <f t="shared" si="12"/>
        <v>14.14</v>
      </c>
      <c r="N75" s="50">
        <v>0</v>
      </c>
      <c r="O75" s="31">
        <f t="shared" si="13"/>
        <v>0</v>
      </c>
      <c r="P75" s="51" t="s">
        <v>985</v>
      </c>
      <c r="Q75" s="51"/>
      <c r="R75" s="765"/>
      <c r="S75" s="765"/>
      <c r="T75" s="765"/>
      <c r="U75" s="765"/>
      <c r="V75" s="765"/>
      <c r="W75" s="765"/>
      <c r="X75" s="765"/>
    </row>
    <row r="76" spans="1:24" x14ac:dyDescent="0.25">
      <c r="A76" s="10">
        <v>43620</v>
      </c>
      <c r="B76" s="594">
        <v>0</v>
      </c>
      <c r="C76" s="31">
        <f t="shared" si="8"/>
        <v>0</v>
      </c>
      <c r="D76" s="50">
        <v>0</v>
      </c>
      <c r="E76" s="31">
        <f t="shared" si="9"/>
        <v>50339.28</v>
      </c>
      <c r="F76" s="900">
        <v>7450000</v>
      </c>
      <c r="G76" s="899">
        <f t="shared" si="7"/>
        <v>0</v>
      </c>
      <c r="H76" s="50">
        <v>0</v>
      </c>
      <c r="I76" s="31">
        <f t="shared" si="10"/>
        <v>27.12</v>
      </c>
      <c r="J76" s="50">
        <v>0</v>
      </c>
      <c r="K76" s="31">
        <f t="shared" si="11"/>
        <v>0</v>
      </c>
      <c r="L76" s="50">
        <v>0</v>
      </c>
      <c r="M76" s="31">
        <f t="shared" si="12"/>
        <v>14.14</v>
      </c>
      <c r="N76" s="50">
        <v>0</v>
      </c>
      <c r="O76" s="31">
        <f t="shared" si="13"/>
        <v>0</v>
      </c>
      <c r="P76" s="51" t="s">
        <v>986</v>
      </c>
      <c r="Q76" s="51"/>
      <c r="R76" s="765"/>
      <c r="S76" s="765"/>
      <c r="T76" s="765"/>
      <c r="U76" s="765"/>
      <c r="V76" s="765"/>
      <c r="W76" s="765"/>
      <c r="X76" s="765"/>
    </row>
    <row r="77" spans="1:24" x14ac:dyDescent="0.25">
      <c r="A77" s="10">
        <v>43620</v>
      </c>
      <c r="B77" s="594">
        <v>0</v>
      </c>
      <c r="C77" s="31">
        <f t="shared" si="8"/>
        <v>0</v>
      </c>
      <c r="D77" s="50">
        <v>-50339.28</v>
      </c>
      <c r="E77" s="31">
        <f t="shared" si="9"/>
        <v>0</v>
      </c>
      <c r="F77" s="900">
        <v>0</v>
      </c>
      <c r="G77" s="899">
        <f t="shared" si="7"/>
        <v>0</v>
      </c>
      <c r="H77" s="50">
        <v>-27.12</v>
      </c>
      <c r="I77" s="31">
        <f t="shared" si="10"/>
        <v>0</v>
      </c>
      <c r="J77" s="50">
        <v>0</v>
      </c>
      <c r="K77" s="31">
        <f t="shared" si="11"/>
        <v>0</v>
      </c>
      <c r="L77" s="50">
        <v>-14.14</v>
      </c>
      <c r="M77" s="31">
        <f t="shared" si="12"/>
        <v>0</v>
      </c>
      <c r="N77" s="50">
        <v>0</v>
      </c>
      <c r="O77" s="31">
        <f t="shared" si="13"/>
        <v>0</v>
      </c>
      <c r="P77" s="51" t="s">
        <v>845</v>
      </c>
      <c r="Q77" s="51"/>
      <c r="R77" s="765"/>
      <c r="S77" s="765"/>
      <c r="T77" s="765"/>
      <c r="U77" s="765"/>
      <c r="V77" s="765"/>
      <c r="W77" s="765"/>
      <c r="X77" s="765"/>
    </row>
    <row r="78" spans="1:24" x14ac:dyDescent="0.25">
      <c r="A78" s="10">
        <v>43621</v>
      </c>
      <c r="B78" s="594">
        <v>0</v>
      </c>
      <c r="C78" s="31">
        <f t="shared" si="8"/>
        <v>0</v>
      </c>
      <c r="D78" s="50">
        <v>-50000</v>
      </c>
      <c r="E78" s="31">
        <f t="shared" si="9"/>
        <v>-50000</v>
      </c>
      <c r="F78" s="900">
        <v>0</v>
      </c>
      <c r="G78" s="899">
        <f t="shared" si="7"/>
        <v>0</v>
      </c>
      <c r="H78" s="50">
        <v>0</v>
      </c>
      <c r="I78" s="31">
        <f t="shared" si="10"/>
        <v>0</v>
      </c>
      <c r="J78" s="50">
        <v>0</v>
      </c>
      <c r="K78" s="31">
        <f t="shared" si="11"/>
        <v>0</v>
      </c>
      <c r="L78" s="50">
        <v>0</v>
      </c>
      <c r="M78" s="31">
        <f t="shared" si="12"/>
        <v>0</v>
      </c>
      <c r="N78" s="50">
        <v>0</v>
      </c>
      <c r="O78" s="31">
        <f t="shared" si="13"/>
        <v>0</v>
      </c>
      <c r="P78" s="51" t="s">
        <v>987</v>
      </c>
      <c r="Q78" s="51"/>
      <c r="R78" s="765"/>
      <c r="S78" s="765"/>
      <c r="T78" s="765"/>
      <c r="U78" s="765"/>
      <c r="V78" s="765"/>
      <c r="W78" s="765"/>
      <c r="X78" s="765"/>
    </row>
    <row r="79" spans="1:24" x14ac:dyDescent="0.25">
      <c r="A79" s="10">
        <v>43621</v>
      </c>
      <c r="B79" s="594">
        <v>0</v>
      </c>
      <c r="C79" s="31">
        <f t="shared" si="8"/>
        <v>0</v>
      </c>
      <c r="D79" s="50">
        <v>50000</v>
      </c>
      <c r="E79" s="31">
        <f t="shared" si="9"/>
        <v>0</v>
      </c>
      <c r="F79" s="900">
        <v>0</v>
      </c>
      <c r="G79" s="899">
        <f t="shared" si="7"/>
        <v>0</v>
      </c>
      <c r="H79" s="50">
        <v>0</v>
      </c>
      <c r="I79" s="31">
        <f t="shared" si="10"/>
        <v>0</v>
      </c>
      <c r="J79" s="50">
        <v>0</v>
      </c>
      <c r="K79" s="31">
        <f t="shared" si="11"/>
        <v>0</v>
      </c>
      <c r="L79" s="50">
        <v>0</v>
      </c>
      <c r="M79" s="31">
        <f t="shared" si="12"/>
        <v>0</v>
      </c>
      <c r="N79" s="50">
        <v>0</v>
      </c>
      <c r="O79" s="31">
        <f t="shared" si="13"/>
        <v>0</v>
      </c>
      <c r="P79" s="51" t="s">
        <v>845</v>
      </c>
      <c r="Q79" s="51"/>
      <c r="R79" s="765"/>
      <c r="S79" s="765"/>
      <c r="T79" s="765"/>
      <c r="U79" s="765"/>
      <c r="V79" s="765"/>
      <c r="W79" s="765"/>
      <c r="X79" s="765"/>
    </row>
    <row r="80" spans="1:24" x14ac:dyDescent="0.25">
      <c r="A80" s="10">
        <v>43627</v>
      </c>
      <c r="B80" s="594">
        <v>0</v>
      </c>
      <c r="C80" s="31">
        <f t="shared" si="8"/>
        <v>0</v>
      </c>
      <c r="D80" s="50">
        <v>-4570.9799999999996</v>
      </c>
      <c r="E80" s="31">
        <f t="shared" si="9"/>
        <v>-4570.9799999999996</v>
      </c>
      <c r="F80" s="900">
        <v>0</v>
      </c>
      <c r="G80" s="899">
        <f t="shared" si="7"/>
        <v>0</v>
      </c>
      <c r="H80" s="50">
        <v>4570.9799999999996</v>
      </c>
      <c r="I80" s="31">
        <f t="shared" si="10"/>
        <v>4570.9799999999996</v>
      </c>
      <c r="J80" s="50">
        <v>0</v>
      </c>
      <c r="K80" s="31">
        <f t="shared" si="11"/>
        <v>0</v>
      </c>
      <c r="L80" s="50">
        <v>0</v>
      </c>
      <c r="M80" s="31">
        <f t="shared" si="12"/>
        <v>0</v>
      </c>
      <c r="N80" s="50">
        <v>0</v>
      </c>
      <c r="O80" s="31">
        <f t="shared" si="13"/>
        <v>0</v>
      </c>
      <c r="P80" s="51" t="s">
        <v>991</v>
      </c>
      <c r="Q80" s="51"/>
      <c r="R80" s="765"/>
      <c r="S80" s="765"/>
      <c r="T80" s="765"/>
      <c r="U80" s="765"/>
      <c r="V80" s="765"/>
      <c r="W80" s="765"/>
      <c r="X80" s="765"/>
    </row>
    <row r="81" spans="1:25" x14ac:dyDescent="0.25">
      <c r="A81" s="10">
        <v>43627</v>
      </c>
      <c r="B81" s="594">
        <v>0</v>
      </c>
      <c r="C81" s="31">
        <f t="shared" si="8"/>
        <v>0</v>
      </c>
      <c r="D81" s="50">
        <v>-12525.08</v>
      </c>
      <c r="E81" s="31">
        <f t="shared" si="9"/>
        <v>-17096.060000000001</v>
      </c>
      <c r="F81" s="900">
        <v>0</v>
      </c>
      <c r="G81" s="899">
        <f t="shared" si="7"/>
        <v>0</v>
      </c>
      <c r="H81" s="50">
        <v>0</v>
      </c>
      <c r="I81" s="31">
        <f t="shared" si="10"/>
        <v>4570.9799999999996</v>
      </c>
      <c r="J81" s="50">
        <v>0</v>
      </c>
      <c r="K81" s="31">
        <f t="shared" si="11"/>
        <v>0</v>
      </c>
      <c r="L81" s="50">
        <v>0</v>
      </c>
      <c r="M81" s="31">
        <f t="shared" si="12"/>
        <v>0</v>
      </c>
      <c r="N81" s="50">
        <v>0</v>
      </c>
      <c r="O81" s="31">
        <f t="shared" si="13"/>
        <v>0</v>
      </c>
      <c r="P81" s="51" t="s">
        <v>995</v>
      </c>
      <c r="Q81" s="51"/>
      <c r="R81" s="765"/>
      <c r="S81" s="765"/>
      <c r="T81" s="765"/>
      <c r="U81" s="765"/>
      <c r="V81" s="765"/>
      <c r="W81" s="765"/>
      <c r="X81" s="765"/>
    </row>
    <row r="82" spans="1:25" x14ac:dyDescent="0.25">
      <c r="A82" s="10">
        <v>43627</v>
      </c>
      <c r="B82" s="594">
        <v>0</v>
      </c>
      <c r="C82" s="31">
        <f t="shared" si="8"/>
        <v>0</v>
      </c>
      <c r="D82" s="50">
        <v>17096.060000000001</v>
      </c>
      <c r="E82" s="31">
        <f t="shared" si="9"/>
        <v>0</v>
      </c>
      <c r="F82" s="900">
        <v>0</v>
      </c>
      <c r="G82" s="899">
        <f t="shared" si="7"/>
        <v>0</v>
      </c>
      <c r="H82" s="50">
        <v>-4570.9799999999996</v>
      </c>
      <c r="I82" s="31">
        <f t="shared" si="10"/>
        <v>0</v>
      </c>
      <c r="J82" s="50">
        <v>0</v>
      </c>
      <c r="K82" s="31">
        <f t="shared" si="11"/>
        <v>0</v>
      </c>
      <c r="L82" s="50">
        <v>0</v>
      </c>
      <c r="M82" s="31">
        <f t="shared" si="12"/>
        <v>0</v>
      </c>
      <c r="N82" s="50">
        <v>0</v>
      </c>
      <c r="O82" s="31">
        <f t="shared" si="13"/>
        <v>0</v>
      </c>
      <c r="P82" s="51" t="s">
        <v>845</v>
      </c>
      <c r="Q82" s="51"/>
      <c r="R82" s="765"/>
      <c r="S82" s="765"/>
      <c r="T82" s="765"/>
      <c r="U82" s="765"/>
      <c r="V82" s="765"/>
      <c r="W82" s="765"/>
      <c r="X82" s="765"/>
    </row>
    <row r="83" spans="1:25" x14ac:dyDescent="0.25">
      <c r="A83" s="10">
        <v>43634</v>
      </c>
      <c r="B83" s="594">
        <v>0</v>
      </c>
      <c r="C83" s="31">
        <f t="shared" si="8"/>
        <v>0</v>
      </c>
      <c r="D83" s="50">
        <v>120320.28244444355</v>
      </c>
      <c r="E83" s="31">
        <f t="shared" si="9"/>
        <v>120320.28</v>
      </c>
      <c r="F83" s="900">
        <v>0</v>
      </c>
      <c r="G83" s="899">
        <f t="shared" si="7"/>
        <v>0</v>
      </c>
      <c r="H83" s="50">
        <v>0</v>
      </c>
      <c r="I83" s="31">
        <f t="shared" si="10"/>
        <v>0</v>
      </c>
      <c r="J83" s="50">
        <v>0</v>
      </c>
      <c r="K83" s="31">
        <f t="shared" si="11"/>
        <v>0</v>
      </c>
      <c r="L83" s="50">
        <v>0</v>
      </c>
      <c r="M83" s="31">
        <f t="shared" si="12"/>
        <v>0</v>
      </c>
      <c r="N83" s="50">
        <v>0</v>
      </c>
      <c r="O83" s="31">
        <f t="shared" si="13"/>
        <v>0</v>
      </c>
      <c r="P83" s="51" t="s">
        <v>997</v>
      </c>
      <c r="Q83" s="51"/>
      <c r="R83" s="765"/>
      <c r="S83" s="765"/>
      <c r="T83" s="765"/>
      <c r="U83" s="765"/>
      <c r="V83" s="765"/>
      <c r="W83" s="765"/>
      <c r="X83" s="765"/>
    </row>
    <row r="84" spans="1:25" x14ac:dyDescent="0.25">
      <c r="A84" s="10">
        <v>43634</v>
      </c>
      <c r="B84" s="594">
        <v>0</v>
      </c>
      <c r="C84" s="31">
        <f t="shared" si="8"/>
        <v>0</v>
      </c>
      <c r="D84" s="50">
        <v>72089.550888888538</v>
      </c>
      <c r="E84" s="31">
        <f t="shared" si="9"/>
        <v>192409.83</v>
      </c>
      <c r="F84" s="900">
        <v>0</v>
      </c>
      <c r="G84" s="899">
        <f t="shared" si="7"/>
        <v>0</v>
      </c>
      <c r="H84" s="50">
        <v>0</v>
      </c>
      <c r="I84" s="31">
        <f t="shared" si="10"/>
        <v>0</v>
      </c>
      <c r="J84" s="50">
        <v>0</v>
      </c>
      <c r="K84" s="31">
        <f t="shared" si="11"/>
        <v>0</v>
      </c>
      <c r="L84" s="50">
        <v>0</v>
      </c>
      <c r="M84" s="31">
        <f t="shared" si="12"/>
        <v>0</v>
      </c>
      <c r="N84" s="50">
        <v>0</v>
      </c>
      <c r="O84" s="31">
        <f t="shared" si="13"/>
        <v>0</v>
      </c>
      <c r="P84" s="51" t="s">
        <v>998</v>
      </c>
      <c r="Q84" s="51"/>
      <c r="R84" s="765"/>
      <c r="S84" s="765"/>
      <c r="T84" s="765"/>
      <c r="U84" s="765"/>
      <c r="V84" s="765"/>
      <c r="W84" s="765"/>
      <c r="X84" s="765"/>
    </row>
    <row r="85" spans="1:25" x14ac:dyDescent="0.25">
      <c r="A85" s="10">
        <v>43634</v>
      </c>
      <c r="B85" s="594">
        <v>0</v>
      </c>
      <c r="C85" s="31">
        <f t="shared" si="8"/>
        <v>0</v>
      </c>
      <c r="D85" s="50">
        <v>62215.991444444284</v>
      </c>
      <c r="E85" s="31">
        <f t="shared" si="9"/>
        <v>254625.82</v>
      </c>
      <c r="F85" s="900">
        <v>0</v>
      </c>
      <c r="G85" s="899">
        <f t="shared" ref="G85:G95" si="14">ROUND(F85+G84,2)</f>
        <v>0</v>
      </c>
      <c r="H85" s="50">
        <v>0</v>
      </c>
      <c r="I85" s="31">
        <f t="shared" si="10"/>
        <v>0</v>
      </c>
      <c r="J85" s="50">
        <v>0</v>
      </c>
      <c r="K85" s="31">
        <f t="shared" si="11"/>
        <v>0</v>
      </c>
      <c r="L85" s="50">
        <v>0</v>
      </c>
      <c r="M85" s="31">
        <f t="shared" si="12"/>
        <v>0</v>
      </c>
      <c r="N85" s="50">
        <v>0</v>
      </c>
      <c r="O85" s="31">
        <f t="shared" si="13"/>
        <v>0</v>
      </c>
      <c r="P85" s="51" t="s">
        <v>999</v>
      </c>
      <c r="Q85" s="51"/>
      <c r="R85" s="765"/>
      <c r="S85" s="765"/>
      <c r="T85" s="765"/>
      <c r="U85" s="765"/>
      <c r="V85" s="765"/>
      <c r="W85" s="765"/>
      <c r="X85" s="765"/>
    </row>
    <row r="86" spans="1:25" x14ac:dyDescent="0.25">
      <c r="A86" s="10">
        <v>43634</v>
      </c>
      <c r="B86" s="594">
        <v>0</v>
      </c>
      <c r="C86" s="31">
        <f t="shared" si="8"/>
        <v>0</v>
      </c>
      <c r="D86" s="50">
        <v>-24054626.76111111</v>
      </c>
      <c r="E86" s="31">
        <f t="shared" si="9"/>
        <v>-23800000.940000001</v>
      </c>
      <c r="F86" s="900">
        <v>0</v>
      </c>
      <c r="G86" s="899">
        <f t="shared" si="14"/>
        <v>0</v>
      </c>
      <c r="H86" s="50">
        <v>0</v>
      </c>
      <c r="I86" s="31">
        <f t="shared" si="10"/>
        <v>0</v>
      </c>
      <c r="J86" s="50">
        <v>0</v>
      </c>
      <c r="K86" s="31">
        <f t="shared" si="11"/>
        <v>0</v>
      </c>
      <c r="L86" s="50">
        <v>0</v>
      </c>
      <c r="M86" s="31">
        <f t="shared" si="12"/>
        <v>0</v>
      </c>
      <c r="N86" s="50">
        <v>0</v>
      </c>
      <c r="O86" s="31">
        <f t="shared" si="13"/>
        <v>0</v>
      </c>
      <c r="P86" s="51" t="s">
        <v>1000</v>
      </c>
      <c r="Q86" s="51"/>
      <c r="R86" s="765"/>
      <c r="S86" s="765"/>
      <c r="T86" s="765"/>
      <c r="U86" s="765"/>
      <c r="V86" s="765"/>
      <c r="W86" s="765"/>
      <c r="X86" s="765"/>
    </row>
    <row r="87" spans="1:25" x14ac:dyDescent="0.25">
      <c r="A87" s="10">
        <v>43634</v>
      </c>
      <c r="B87" s="594">
        <v>0</v>
      </c>
      <c r="C87" s="31">
        <f t="shared" si="8"/>
        <v>0</v>
      </c>
      <c r="D87" s="50">
        <v>0</v>
      </c>
      <c r="E87" s="31">
        <f t="shared" si="9"/>
        <v>-23800000.940000001</v>
      </c>
      <c r="F87" s="900">
        <v>5012.1944444440305</v>
      </c>
      <c r="G87" s="899">
        <f t="shared" si="14"/>
        <v>5012.1899999999996</v>
      </c>
      <c r="H87" s="50">
        <v>0</v>
      </c>
      <c r="I87" s="31">
        <f t="shared" si="10"/>
        <v>0</v>
      </c>
      <c r="J87" s="50">
        <v>0</v>
      </c>
      <c r="K87" s="31">
        <f t="shared" si="11"/>
        <v>0</v>
      </c>
      <c r="L87" s="50">
        <v>0</v>
      </c>
      <c r="M87" s="31">
        <f t="shared" si="12"/>
        <v>0</v>
      </c>
      <c r="N87" s="50">
        <v>0</v>
      </c>
      <c r="O87" s="31">
        <f t="shared" si="13"/>
        <v>0</v>
      </c>
      <c r="P87" s="51" t="s">
        <v>1001</v>
      </c>
      <c r="Q87" s="51"/>
      <c r="R87" s="765"/>
      <c r="S87" s="765"/>
      <c r="T87" s="765"/>
      <c r="U87" s="765"/>
      <c r="V87" s="765"/>
      <c r="W87" s="765"/>
      <c r="X87" s="765"/>
    </row>
    <row r="88" spans="1:25" x14ac:dyDescent="0.25">
      <c r="A88" s="10">
        <v>43634</v>
      </c>
      <c r="B88" s="594">
        <v>0</v>
      </c>
      <c r="C88" s="31">
        <f t="shared" si="8"/>
        <v>0</v>
      </c>
      <c r="D88" s="50">
        <v>0</v>
      </c>
      <c r="E88" s="31">
        <f t="shared" si="9"/>
        <v>-23800000.940000001</v>
      </c>
      <c r="F88" s="900">
        <v>-7455012.1900000004</v>
      </c>
      <c r="G88" s="899">
        <f t="shared" si="14"/>
        <v>-7450000</v>
      </c>
      <c r="H88" s="50">
        <v>0</v>
      </c>
      <c r="I88" s="31">
        <f t="shared" si="10"/>
        <v>0</v>
      </c>
      <c r="J88" s="50">
        <v>0</v>
      </c>
      <c r="K88" s="31">
        <f t="shared" si="11"/>
        <v>0</v>
      </c>
      <c r="L88" s="50">
        <v>0</v>
      </c>
      <c r="M88" s="31">
        <f t="shared" si="12"/>
        <v>0</v>
      </c>
      <c r="N88" s="50">
        <v>0</v>
      </c>
      <c r="O88" s="31">
        <f t="shared" si="13"/>
        <v>0</v>
      </c>
      <c r="P88" s="51" t="s">
        <v>1002</v>
      </c>
      <c r="Q88" s="51"/>
      <c r="R88" s="765"/>
      <c r="S88" s="765"/>
      <c r="T88" s="765"/>
      <c r="U88" s="765"/>
      <c r="V88" s="765"/>
      <c r="W88" s="765"/>
      <c r="X88" s="765"/>
    </row>
    <row r="89" spans="1:25" x14ac:dyDescent="0.25">
      <c r="A89" s="10">
        <v>43634</v>
      </c>
      <c r="B89" s="594">
        <v>0</v>
      </c>
      <c r="C89" s="31">
        <f t="shared" si="8"/>
        <v>0</v>
      </c>
      <c r="D89" s="50">
        <v>55660.763888888891</v>
      </c>
      <c r="E89" s="31">
        <f t="shared" si="9"/>
        <v>-23744340.18</v>
      </c>
      <c r="F89" s="900">
        <v>0</v>
      </c>
      <c r="G89" s="899">
        <f t="shared" si="14"/>
        <v>-7450000</v>
      </c>
      <c r="H89" s="50">
        <v>0</v>
      </c>
      <c r="I89" s="31">
        <f t="shared" si="10"/>
        <v>0</v>
      </c>
      <c r="J89" s="50">
        <v>0</v>
      </c>
      <c r="K89" s="31">
        <f t="shared" si="11"/>
        <v>0</v>
      </c>
      <c r="L89" s="50">
        <v>0</v>
      </c>
      <c r="M89" s="31">
        <f t="shared" si="12"/>
        <v>0</v>
      </c>
      <c r="N89" s="50">
        <v>0</v>
      </c>
      <c r="O89" s="31">
        <f t="shared" si="13"/>
        <v>0</v>
      </c>
      <c r="P89" s="51" t="s">
        <v>1003</v>
      </c>
      <c r="Q89" s="51"/>
      <c r="R89" s="765"/>
      <c r="S89" s="765"/>
      <c r="T89" s="765"/>
      <c r="U89" s="765"/>
      <c r="V89" s="765"/>
      <c r="W89" s="765"/>
      <c r="X89" s="765"/>
    </row>
    <row r="90" spans="1:25" x14ac:dyDescent="0.25">
      <c r="A90" s="10">
        <v>43634</v>
      </c>
      <c r="B90" s="594">
        <v>0</v>
      </c>
      <c r="C90" s="31">
        <f t="shared" si="8"/>
        <v>0</v>
      </c>
      <c r="D90" s="50">
        <v>3562.708333333333</v>
      </c>
      <c r="E90" s="31">
        <f t="shared" si="9"/>
        <v>-23740777.469999999</v>
      </c>
      <c r="F90" s="900">
        <v>0</v>
      </c>
      <c r="G90" s="899">
        <f t="shared" si="14"/>
        <v>-7450000</v>
      </c>
      <c r="H90" s="50">
        <v>0</v>
      </c>
      <c r="I90" s="31">
        <f t="shared" si="10"/>
        <v>0</v>
      </c>
      <c r="J90" s="50">
        <v>0</v>
      </c>
      <c r="K90" s="31">
        <f t="shared" si="11"/>
        <v>0</v>
      </c>
      <c r="L90" s="50">
        <v>0</v>
      </c>
      <c r="M90" s="31">
        <f t="shared" si="12"/>
        <v>0</v>
      </c>
      <c r="N90" s="50">
        <v>0</v>
      </c>
      <c r="O90" s="31">
        <f t="shared" si="13"/>
        <v>0</v>
      </c>
      <c r="P90" s="51" t="s">
        <v>1004</v>
      </c>
      <c r="Q90" s="51"/>
      <c r="R90" s="765"/>
      <c r="S90" s="765"/>
      <c r="T90" s="765"/>
      <c r="U90" s="765"/>
      <c r="V90" s="765"/>
      <c r="W90" s="765"/>
      <c r="X90" s="765"/>
    </row>
    <row r="91" spans="1:25" x14ac:dyDescent="0.25">
      <c r="A91" s="10">
        <v>43634</v>
      </c>
      <c r="B91" s="594">
        <v>0</v>
      </c>
      <c r="C91" s="31">
        <f t="shared" si="8"/>
        <v>0</v>
      </c>
      <c r="D91" s="50">
        <v>0</v>
      </c>
      <c r="E91" s="31">
        <f t="shared" si="9"/>
        <v>-23740777.469999999</v>
      </c>
      <c r="F91" s="900">
        <v>4666.666666666667</v>
      </c>
      <c r="G91" s="899">
        <f t="shared" si="14"/>
        <v>-7445333.3300000001</v>
      </c>
      <c r="H91" s="50">
        <v>0</v>
      </c>
      <c r="I91" s="31">
        <f t="shared" si="10"/>
        <v>0</v>
      </c>
      <c r="J91" s="50">
        <v>0</v>
      </c>
      <c r="K91" s="31">
        <f t="shared" si="11"/>
        <v>0</v>
      </c>
      <c r="L91" s="50">
        <v>0</v>
      </c>
      <c r="M91" s="31">
        <f t="shared" si="12"/>
        <v>0</v>
      </c>
      <c r="N91" s="50">
        <v>0</v>
      </c>
      <c r="O91" s="31">
        <f t="shared" si="13"/>
        <v>0</v>
      </c>
      <c r="P91" s="51" t="s">
        <v>1005</v>
      </c>
      <c r="Q91" s="51"/>
      <c r="R91" s="765"/>
      <c r="S91" s="765"/>
      <c r="T91" s="765"/>
      <c r="U91" s="765"/>
      <c r="V91" s="765"/>
      <c r="W91" s="765"/>
      <c r="X91" s="765"/>
    </row>
    <row r="92" spans="1:25" x14ac:dyDescent="0.25">
      <c r="A92" s="10">
        <v>43634</v>
      </c>
      <c r="B92" s="594">
        <v>0</v>
      </c>
      <c r="C92" s="31">
        <f t="shared" si="8"/>
        <v>0</v>
      </c>
      <c r="D92" s="50">
        <v>0</v>
      </c>
      <c r="E92" s="31">
        <f t="shared" si="9"/>
        <v>-23740777.469999999</v>
      </c>
      <c r="F92" s="900">
        <v>7450000</v>
      </c>
      <c r="G92" s="899">
        <f t="shared" si="14"/>
        <v>4666.67</v>
      </c>
      <c r="H92" s="50">
        <v>0</v>
      </c>
      <c r="I92" s="31">
        <f t="shared" si="10"/>
        <v>0</v>
      </c>
      <c r="J92" s="50">
        <v>0</v>
      </c>
      <c r="K92" s="31">
        <f t="shared" si="11"/>
        <v>0</v>
      </c>
      <c r="L92" s="50">
        <v>0</v>
      </c>
      <c r="M92" s="31">
        <f t="shared" si="12"/>
        <v>0</v>
      </c>
      <c r="N92" s="50">
        <v>0</v>
      </c>
      <c r="O92" s="31">
        <f t="shared" si="13"/>
        <v>0</v>
      </c>
      <c r="P92" s="51" t="s">
        <v>1007</v>
      </c>
      <c r="Q92" s="51"/>
      <c r="R92" s="765"/>
      <c r="S92" s="765"/>
      <c r="T92" s="765"/>
      <c r="U92" s="765"/>
      <c r="V92" s="765"/>
      <c r="W92" s="765"/>
      <c r="X92" s="765"/>
    </row>
    <row r="93" spans="1:25" x14ac:dyDescent="0.25">
      <c r="A93" s="10">
        <v>43634</v>
      </c>
      <c r="B93" s="594">
        <v>0</v>
      </c>
      <c r="C93" s="31">
        <f t="shared" si="8"/>
        <v>0</v>
      </c>
      <c r="D93" s="50">
        <v>23800000</v>
      </c>
      <c r="E93" s="31">
        <f t="shared" si="9"/>
        <v>59222.53</v>
      </c>
      <c r="F93" s="900">
        <v>0</v>
      </c>
      <c r="G93" s="899">
        <f t="shared" si="14"/>
        <v>4666.67</v>
      </c>
      <c r="H93" s="50">
        <v>0</v>
      </c>
      <c r="I93" s="31">
        <f t="shared" si="10"/>
        <v>0</v>
      </c>
      <c r="J93" s="50">
        <v>0</v>
      </c>
      <c r="K93" s="31">
        <f t="shared" si="11"/>
        <v>0</v>
      </c>
      <c r="L93" s="50">
        <v>0</v>
      </c>
      <c r="M93" s="31">
        <f t="shared" si="12"/>
        <v>0</v>
      </c>
      <c r="N93" s="50">
        <v>0</v>
      </c>
      <c r="O93" s="31">
        <f t="shared" si="13"/>
        <v>0</v>
      </c>
      <c r="P93" s="51" t="s">
        <v>1008</v>
      </c>
      <c r="Q93" s="51"/>
      <c r="R93" s="765"/>
      <c r="S93" s="765"/>
      <c r="T93" s="765"/>
      <c r="U93" s="765"/>
      <c r="V93" s="765"/>
      <c r="W93" s="765"/>
      <c r="X93" s="765"/>
    </row>
    <row r="94" spans="1:25" x14ac:dyDescent="0.25">
      <c r="A94" s="10">
        <v>43634</v>
      </c>
      <c r="B94" s="594">
        <v>5000000</v>
      </c>
      <c r="C94" s="31">
        <f t="shared" si="8"/>
        <v>5000000</v>
      </c>
      <c r="D94" s="50">
        <v>-5000000</v>
      </c>
      <c r="E94" s="31">
        <f t="shared" si="9"/>
        <v>-4940777.47</v>
      </c>
      <c r="F94" s="900">
        <v>0</v>
      </c>
      <c r="G94" s="899">
        <f t="shared" si="14"/>
        <v>4666.67</v>
      </c>
      <c r="H94" s="50">
        <v>0</v>
      </c>
      <c r="I94" s="31">
        <f t="shared" si="10"/>
        <v>0</v>
      </c>
      <c r="J94" s="50">
        <v>0</v>
      </c>
      <c r="K94" s="31">
        <f t="shared" si="11"/>
        <v>0</v>
      </c>
      <c r="L94" s="50">
        <v>0</v>
      </c>
      <c r="M94" s="31">
        <f t="shared" si="12"/>
        <v>0</v>
      </c>
      <c r="N94" s="50">
        <v>0</v>
      </c>
      <c r="O94" s="31">
        <f t="shared" si="13"/>
        <v>0</v>
      </c>
      <c r="P94" s="51" t="s">
        <v>831</v>
      </c>
      <c r="Q94" s="51"/>
      <c r="R94" s="765"/>
      <c r="S94" s="765"/>
      <c r="T94" s="765"/>
      <c r="U94" s="765"/>
      <c r="V94" s="765"/>
      <c r="W94" s="765"/>
      <c r="X94" s="765"/>
    </row>
    <row r="95" spans="1:25" x14ac:dyDescent="0.25">
      <c r="A95" s="10">
        <v>43634</v>
      </c>
      <c r="B95" s="594">
        <v>-5000000</v>
      </c>
      <c r="C95" s="31">
        <f t="shared" si="8"/>
        <v>0</v>
      </c>
      <c r="D95" s="50">
        <v>5000000</v>
      </c>
      <c r="E95" s="31">
        <f t="shared" si="9"/>
        <v>59222.53</v>
      </c>
      <c r="F95" s="900">
        <v>0</v>
      </c>
      <c r="G95" s="899">
        <f t="shared" si="14"/>
        <v>4666.67</v>
      </c>
      <c r="H95" s="50">
        <v>0</v>
      </c>
      <c r="I95" s="31">
        <f t="shared" si="10"/>
        <v>0</v>
      </c>
      <c r="J95" s="50">
        <v>0</v>
      </c>
      <c r="K95" s="31">
        <f t="shared" si="11"/>
        <v>0</v>
      </c>
      <c r="L95" s="50">
        <v>0</v>
      </c>
      <c r="M95" s="31">
        <f t="shared" si="12"/>
        <v>0</v>
      </c>
      <c r="N95" s="50">
        <v>0</v>
      </c>
      <c r="O95" s="31">
        <f t="shared" si="13"/>
        <v>0</v>
      </c>
      <c r="P95" s="51" t="s">
        <v>1009</v>
      </c>
      <c r="Q95" s="51"/>
      <c r="R95" s="765"/>
      <c r="S95" s="765"/>
      <c r="T95" s="765"/>
      <c r="U95" s="765"/>
      <c r="V95" s="765"/>
      <c r="W95" s="765"/>
      <c r="X95" s="765"/>
    </row>
    <row r="96" spans="1:25" x14ac:dyDescent="0.25">
      <c r="A96" s="10">
        <v>43634</v>
      </c>
      <c r="B96" s="594">
        <v>0</v>
      </c>
      <c r="C96" s="31">
        <f t="shared" ref="C96:C127" si="15">ROUND(B96+C95,2)</f>
        <v>0</v>
      </c>
      <c r="D96" s="50">
        <v>-51953.13</v>
      </c>
      <c r="E96" s="31">
        <f t="shared" ref="E96:E127" si="16">ROUND(D96+E95,2)</f>
        <v>7269.4</v>
      </c>
      <c r="F96" s="900">
        <v>0</v>
      </c>
      <c r="G96" s="899">
        <f t="shared" ref="G96:G127" si="17">ROUND(F96+G95,2)</f>
        <v>4666.67</v>
      </c>
      <c r="H96" s="50">
        <v>0</v>
      </c>
      <c r="I96" s="31">
        <f t="shared" ref="I96:I127" si="18">ROUND(H96+I95,2)</f>
        <v>0</v>
      </c>
      <c r="J96" s="50">
        <v>0</v>
      </c>
      <c r="K96" s="31">
        <f t="shared" ref="K96:K127" si="19">ROUND(J96+K95,2)</f>
        <v>0</v>
      </c>
      <c r="L96" s="50">
        <v>0</v>
      </c>
      <c r="M96" s="31">
        <f t="shared" ref="M96:M127" si="20">ROUND(L96+M95,2)</f>
        <v>0</v>
      </c>
      <c r="N96" s="50">
        <v>0</v>
      </c>
      <c r="O96" s="31">
        <f t="shared" ref="O96:O127" si="21">ROUND(N96+O95,2)</f>
        <v>0</v>
      </c>
      <c r="P96" s="51" t="s">
        <v>845</v>
      </c>
      <c r="Q96" s="51"/>
      <c r="R96" s="765"/>
      <c r="S96" s="765"/>
      <c r="T96" s="765"/>
      <c r="U96" s="765"/>
      <c r="V96" s="765"/>
      <c r="W96" s="765"/>
      <c r="X96" s="765"/>
      <c r="Y96" s="765"/>
    </row>
    <row r="97" spans="1:25" x14ac:dyDescent="0.25">
      <c r="A97" s="10">
        <v>43637</v>
      </c>
      <c r="B97" s="594">
        <v>0</v>
      </c>
      <c r="C97" s="31">
        <f t="shared" si="15"/>
        <v>0</v>
      </c>
      <c r="D97" s="50">
        <f>-H97-L97</f>
        <v>-17702.620000000003</v>
      </c>
      <c r="E97" s="31">
        <f t="shared" si="16"/>
        <v>-10433.219999999999</v>
      </c>
      <c r="F97" s="900">
        <v>0</v>
      </c>
      <c r="G97" s="899">
        <f t="shared" si="17"/>
        <v>4666.67</v>
      </c>
      <c r="H97" s="50">
        <v>4508.6000000000004</v>
      </c>
      <c r="I97" s="31">
        <f t="shared" si="18"/>
        <v>4508.6000000000004</v>
      </c>
      <c r="J97" s="50">
        <v>0</v>
      </c>
      <c r="K97" s="31">
        <f t="shared" si="19"/>
        <v>0</v>
      </c>
      <c r="L97" s="50">
        <v>13194.02</v>
      </c>
      <c r="M97" s="31">
        <f t="shared" si="20"/>
        <v>13194.02</v>
      </c>
      <c r="N97" s="50">
        <v>0</v>
      </c>
      <c r="O97" s="31">
        <f t="shared" si="21"/>
        <v>0</v>
      </c>
      <c r="P97" s="51" t="s">
        <v>860</v>
      </c>
      <c r="Q97" s="51"/>
      <c r="R97" s="765"/>
      <c r="S97" s="765"/>
      <c r="T97" s="765"/>
      <c r="U97" s="765"/>
      <c r="V97" s="765"/>
      <c r="W97" s="765"/>
      <c r="X97" s="765"/>
      <c r="Y97" s="765"/>
    </row>
    <row r="98" spans="1:25" x14ac:dyDescent="0.25">
      <c r="A98" s="10">
        <v>43637</v>
      </c>
      <c r="B98" s="594">
        <v>0</v>
      </c>
      <c r="C98" s="31">
        <f t="shared" si="15"/>
        <v>0</v>
      </c>
      <c r="D98" s="50">
        <v>0</v>
      </c>
      <c r="E98" s="31">
        <f t="shared" si="16"/>
        <v>-10433.219999999999</v>
      </c>
      <c r="F98" s="900">
        <v>0</v>
      </c>
      <c r="G98" s="899">
        <f t="shared" si="17"/>
        <v>4666.67</v>
      </c>
      <c r="H98" s="50">
        <v>-103.28</v>
      </c>
      <c r="I98" s="31">
        <f t="shared" si="18"/>
        <v>4405.32</v>
      </c>
      <c r="J98" s="50">
        <v>0</v>
      </c>
      <c r="K98" s="31">
        <f t="shared" si="19"/>
        <v>0</v>
      </c>
      <c r="L98" s="50">
        <v>0</v>
      </c>
      <c r="M98" s="31">
        <f t="shared" si="20"/>
        <v>13194.02</v>
      </c>
      <c r="N98" s="50">
        <v>0</v>
      </c>
      <c r="O98" s="31">
        <f t="shared" si="21"/>
        <v>0</v>
      </c>
      <c r="P98" s="51" t="s">
        <v>1014</v>
      </c>
      <c r="Q98" s="51"/>
      <c r="R98" s="765"/>
      <c r="S98" s="765"/>
      <c r="T98" s="765"/>
      <c r="U98" s="765"/>
      <c r="V98" s="765"/>
      <c r="W98" s="765"/>
      <c r="X98" s="765"/>
      <c r="Y98" s="765"/>
    </row>
    <row r="99" spans="1:25" x14ac:dyDescent="0.25">
      <c r="A99" s="10">
        <v>43637</v>
      </c>
      <c r="B99" s="594">
        <v>0</v>
      </c>
      <c r="C99" s="31">
        <f t="shared" si="15"/>
        <v>0</v>
      </c>
      <c r="D99" s="50">
        <v>0</v>
      </c>
      <c r="E99" s="31">
        <f t="shared" si="16"/>
        <v>-10433.219999999999</v>
      </c>
      <c r="F99" s="900">
        <v>0</v>
      </c>
      <c r="G99" s="899">
        <f t="shared" si="17"/>
        <v>4666.67</v>
      </c>
      <c r="H99" s="50">
        <v>-3716.67</v>
      </c>
      <c r="I99" s="31">
        <f t="shared" si="18"/>
        <v>688.65</v>
      </c>
      <c r="J99" s="50">
        <v>0</v>
      </c>
      <c r="K99" s="31">
        <f t="shared" si="19"/>
        <v>0</v>
      </c>
      <c r="L99" s="50">
        <v>0</v>
      </c>
      <c r="M99" s="31">
        <f t="shared" si="20"/>
        <v>13194.02</v>
      </c>
      <c r="N99" s="50">
        <v>0</v>
      </c>
      <c r="O99" s="31">
        <f t="shared" si="21"/>
        <v>0</v>
      </c>
      <c r="P99" s="51" t="s">
        <v>1016</v>
      </c>
      <c r="Q99" s="51"/>
      <c r="R99" s="765"/>
      <c r="S99" s="765"/>
      <c r="T99" s="765"/>
      <c r="U99" s="765"/>
      <c r="V99" s="765"/>
      <c r="W99" s="765"/>
      <c r="X99" s="765"/>
      <c r="Y99" s="765"/>
    </row>
    <row r="100" spans="1:25" x14ac:dyDescent="0.25">
      <c r="A100" s="10">
        <v>43637</v>
      </c>
      <c r="B100" s="594">
        <v>0</v>
      </c>
      <c r="C100" s="31">
        <f t="shared" si="15"/>
        <v>0</v>
      </c>
      <c r="D100" s="50">
        <v>0</v>
      </c>
      <c r="E100" s="31">
        <f t="shared" si="16"/>
        <v>-10433.219999999999</v>
      </c>
      <c r="F100" s="900">
        <v>0</v>
      </c>
      <c r="G100" s="899">
        <f t="shared" si="17"/>
        <v>4666.67</v>
      </c>
      <c r="H100" s="50">
        <v>-455.56</v>
      </c>
      <c r="I100" s="31">
        <f t="shared" si="18"/>
        <v>233.09</v>
      </c>
      <c r="J100" s="50">
        <v>0</v>
      </c>
      <c r="K100" s="31">
        <f t="shared" si="19"/>
        <v>0</v>
      </c>
      <c r="L100" s="50">
        <v>0</v>
      </c>
      <c r="M100" s="31">
        <f t="shared" si="20"/>
        <v>13194.02</v>
      </c>
      <c r="N100" s="50">
        <v>0</v>
      </c>
      <c r="O100" s="31">
        <f t="shared" si="21"/>
        <v>0</v>
      </c>
      <c r="P100" s="51" t="s">
        <v>1015</v>
      </c>
      <c r="Q100" s="51"/>
      <c r="R100" s="765"/>
      <c r="S100" s="765"/>
      <c r="T100" s="765"/>
      <c r="U100" s="765"/>
      <c r="V100" s="765"/>
      <c r="W100" s="765"/>
      <c r="X100" s="765"/>
      <c r="Y100" s="765"/>
    </row>
    <row r="101" spans="1:25" x14ac:dyDescent="0.25">
      <c r="A101" s="10">
        <v>43637</v>
      </c>
      <c r="B101" s="594">
        <v>0</v>
      </c>
      <c r="C101" s="31">
        <f t="shared" si="15"/>
        <v>0</v>
      </c>
      <c r="D101" s="50">
        <v>0</v>
      </c>
      <c r="E101" s="31">
        <f t="shared" si="16"/>
        <v>-10433.219999999999</v>
      </c>
      <c r="F101" s="900">
        <v>0</v>
      </c>
      <c r="G101" s="899">
        <f t="shared" si="17"/>
        <v>4666.67</v>
      </c>
      <c r="H101" s="50">
        <v>0</v>
      </c>
      <c r="I101" s="31">
        <f t="shared" si="18"/>
        <v>233.09</v>
      </c>
      <c r="J101" s="50">
        <v>0</v>
      </c>
      <c r="K101" s="31">
        <f t="shared" si="19"/>
        <v>0</v>
      </c>
      <c r="L101" s="50">
        <v>-25760.68</v>
      </c>
      <c r="M101" s="31">
        <f t="shared" si="20"/>
        <v>-12566.66</v>
      </c>
      <c r="N101" s="50">
        <v>0</v>
      </c>
      <c r="O101" s="31">
        <f t="shared" si="21"/>
        <v>0</v>
      </c>
      <c r="P101" s="51" t="s">
        <v>1017</v>
      </c>
      <c r="Q101" s="51"/>
      <c r="R101" s="765"/>
      <c r="S101" s="765"/>
      <c r="T101" s="765"/>
      <c r="U101" s="765"/>
      <c r="V101" s="765"/>
      <c r="W101" s="765"/>
      <c r="X101" s="765"/>
      <c r="Y101" s="765"/>
    </row>
    <row r="102" spans="1:25" x14ac:dyDescent="0.25">
      <c r="A102" s="10">
        <v>43637</v>
      </c>
      <c r="B102" s="594">
        <v>0</v>
      </c>
      <c r="C102" s="31">
        <f t="shared" si="15"/>
        <v>0</v>
      </c>
      <c r="D102" s="50">
        <v>17702.62</v>
      </c>
      <c r="E102" s="31">
        <f t="shared" si="16"/>
        <v>7269.4</v>
      </c>
      <c r="F102" s="900">
        <v>0</v>
      </c>
      <c r="G102" s="899">
        <f t="shared" si="17"/>
        <v>4666.67</v>
      </c>
      <c r="H102" s="50">
        <v>-233.09</v>
      </c>
      <c r="I102" s="31">
        <f t="shared" si="18"/>
        <v>0</v>
      </c>
      <c r="J102" s="50">
        <v>0</v>
      </c>
      <c r="K102" s="31">
        <f t="shared" si="19"/>
        <v>0</v>
      </c>
      <c r="L102" s="50">
        <v>12566.66</v>
      </c>
      <c r="M102" s="31">
        <f t="shared" si="20"/>
        <v>0</v>
      </c>
      <c r="N102" s="50">
        <v>0</v>
      </c>
      <c r="O102" s="31">
        <f t="shared" si="21"/>
        <v>0</v>
      </c>
      <c r="P102" s="51" t="s">
        <v>845</v>
      </c>
      <c r="Q102" s="51"/>
      <c r="R102" s="765"/>
      <c r="S102" s="765"/>
      <c r="T102" s="765"/>
      <c r="U102" s="765"/>
      <c r="V102" s="765"/>
      <c r="W102" s="765"/>
      <c r="X102" s="765"/>
      <c r="Y102" s="765"/>
    </row>
    <row r="103" spans="1:25" x14ac:dyDescent="0.25">
      <c r="A103" s="10">
        <v>43648</v>
      </c>
      <c r="B103" s="594">
        <v>0</v>
      </c>
      <c r="C103" s="31">
        <f t="shared" si="15"/>
        <v>0</v>
      </c>
      <c r="D103" s="50">
        <v>306.63</v>
      </c>
      <c r="E103" s="31">
        <f t="shared" si="16"/>
        <v>7576.03</v>
      </c>
      <c r="F103" s="900">
        <v>0</v>
      </c>
      <c r="G103" s="899">
        <f t="shared" si="17"/>
        <v>4666.67</v>
      </c>
      <c r="H103" s="50">
        <v>46.010000000000005</v>
      </c>
      <c r="I103" s="31">
        <f t="shared" si="18"/>
        <v>46.01</v>
      </c>
      <c r="J103" s="50">
        <v>0</v>
      </c>
      <c r="K103" s="31">
        <f t="shared" si="19"/>
        <v>0</v>
      </c>
      <c r="L103" s="50">
        <v>15.559999999999999</v>
      </c>
      <c r="M103" s="31">
        <f t="shared" si="20"/>
        <v>15.56</v>
      </c>
      <c r="N103" s="50">
        <v>0</v>
      </c>
      <c r="O103" s="31">
        <f t="shared" si="21"/>
        <v>0</v>
      </c>
      <c r="P103" s="51" t="s">
        <v>890</v>
      </c>
      <c r="Q103" s="51"/>
      <c r="R103" s="765"/>
      <c r="S103" s="765"/>
      <c r="T103" s="765"/>
      <c r="U103" s="765"/>
      <c r="V103" s="765"/>
      <c r="W103" s="765"/>
      <c r="X103" s="765"/>
      <c r="Y103" s="765"/>
    </row>
    <row r="104" spans="1:25" x14ac:dyDescent="0.25">
      <c r="A104" s="10">
        <v>43648</v>
      </c>
      <c r="B104" s="594">
        <v>0</v>
      </c>
      <c r="C104" s="31">
        <f t="shared" si="15"/>
        <v>0</v>
      </c>
      <c r="D104" s="50">
        <v>-306.63</v>
      </c>
      <c r="E104" s="31">
        <f t="shared" si="16"/>
        <v>7269.4</v>
      </c>
      <c r="F104" s="900">
        <v>0</v>
      </c>
      <c r="G104" s="899">
        <f t="shared" si="17"/>
        <v>4666.67</v>
      </c>
      <c r="H104" s="50">
        <v>-46.01</v>
      </c>
      <c r="I104" s="31">
        <f t="shared" si="18"/>
        <v>0</v>
      </c>
      <c r="J104" s="50">
        <v>0</v>
      </c>
      <c r="K104" s="31">
        <f t="shared" si="19"/>
        <v>0</v>
      </c>
      <c r="L104" s="50">
        <v>-15.56</v>
      </c>
      <c r="M104" s="31">
        <f t="shared" si="20"/>
        <v>0</v>
      </c>
      <c r="N104" s="50">
        <v>0</v>
      </c>
      <c r="O104" s="31">
        <f t="shared" si="21"/>
        <v>0</v>
      </c>
      <c r="P104" s="51" t="s">
        <v>845</v>
      </c>
      <c r="Q104" s="51"/>
      <c r="R104" s="765"/>
      <c r="S104" s="765"/>
      <c r="T104" s="765"/>
      <c r="U104" s="765"/>
      <c r="V104" s="765"/>
      <c r="W104" s="765"/>
      <c r="X104" s="765"/>
      <c r="Y104" s="765"/>
    </row>
    <row r="105" spans="1:25" x14ac:dyDescent="0.25">
      <c r="A105" s="10">
        <v>43649</v>
      </c>
      <c r="B105" s="594">
        <v>0</v>
      </c>
      <c r="C105" s="31">
        <f t="shared" si="15"/>
        <v>0</v>
      </c>
      <c r="D105" s="50">
        <v>-3562.71</v>
      </c>
      <c r="E105" s="31">
        <f t="shared" si="16"/>
        <v>3706.69</v>
      </c>
      <c r="F105" s="900">
        <v>0</v>
      </c>
      <c r="G105" s="899">
        <f t="shared" si="17"/>
        <v>4666.67</v>
      </c>
      <c r="H105" s="50">
        <v>0</v>
      </c>
      <c r="I105" s="31">
        <f t="shared" si="18"/>
        <v>0</v>
      </c>
      <c r="J105" s="50">
        <v>0</v>
      </c>
      <c r="K105" s="31">
        <f t="shared" si="19"/>
        <v>0</v>
      </c>
      <c r="L105" s="50">
        <v>0</v>
      </c>
      <c r="M105" s="31">
        <f t="shared" si="20"/>
        <v>0</v>
      </c>
      <c r="N105" s="50">
        <v>0</v>
      </c>
      <c r="O105" s="31">
        <f t="shared" si="21"/>
        <v>0</v>
      </c>
      <c r="P105" s="51" t="s">
        <v>845</v>
      </c>
      <c r="Q105" s="51"/>
      <c r="R105" s="765"/>
      <c r="S105" s="765"/>
      <c r="T105" s="765"/>
      <c r="U105" s="765"/>
      <c r="V105" s="765"/>
      <c r="W105" s="765"/>
      <c r="X105" s="765"/>
      <c r="Y105" s="765"/>
    </row>
    <row r="106" spans="1:25" x14ac:dyDescent="0.25">
      <c r="A106" s="10">
        <v>43651</v>
      </c>
      <c r="B106" s="594">
        <v>0</v>
      </c>
      <c r="C106" s="31">
        <f t="shared" si="15"/>
        <v>0</v>
      </c>
      <c r="D106" s="50">
        <v>0.94</v>
      </c>
      <c r="E106" s="31">
        <f t="shared" si="16"/>
        <v>3707.63</v>
      </c>
      <c r="F106" s="900">
        <v>0</v>
      </c>
      <c r="G106" s="899">
        <f t="shared" si="17"/>
        <v>4666.67</v>
      </c>
      <c r="H106" s="50">
        <v>0</v>
      </c>
      <c r="I106" s="31">
        <f t="shared" si="18"/>
        <v>0</v>
      </c>
      <c r="J106" s="50">
        <v>0</v>
      </c>
      <c r="K106" s="31">
        <f t="shared" si="19"/>
        <v>0</v>
      </c>
      <c r="L106" s="50">
        <v>0</v>
      </c>
      <c r="M106" s="31">
        <f t="shared" si="20"/>
        <v>0</v>
      </c>
      <c r="N106" s="50">
        <v>0</v>
      </c>
      <c r="O106" s="31">
        <f t="shared" si="21"/>
        <v>0</v>
      </c>
      <c r="P106" s="51" t="s">
        <v>1020</v>
      </c>
      <c r="Q106" s="51"/>
      <c r="R106" s="765"/>
      <c r="S106" s="765"/>
      <c r="T106" s="765"/>
      <c r="U106" s="765"/>
      <c r="V106" s="765"/>
      <c r="W106" s="765"/>
      <c r="X106" s="765"/>
      <c r="Y106" s="765"/>
    </row>
    <row r="107" spans="1:25" x14ac:dyDescent="0.25">
      <c r="A107" s="10">
        <v>43651</v>
      </c>
      <c r="B107" s="594">
        <v>0</v>
      </c>
      <c r="C107" s="31">
        <f t="shared" si="15"/>
        <v>0</v>
      </c>
      <c r="D107" s="50">
        <f>-E106</f>
        <v>-3707.63</v>
      </c>
      <c r="E107" s="31">
        <f t="shared" si="16"/>
        <v>0</v>
      </c>
      <c r="F107" s="900">
        <v>0</v>
      </c>
      <c r="G107" s="899">
        <f t="shared" si="17"/>
        <v>4666.67</v>
      </c>
      <c r="H107" s="50">
        <v>0</v>
      </c>
      <c r="I107" s="31">
        <f t="shared" si="18"/>
        <v>0</v>
      </c>
      <c r="J107" s="50">
        <v>0</v>
      </c>
      <c r="K107" s="31">
        <f t="shared" si="19"/>
        <v>0</v>
      </c>
      <c r="L107" s="50">
        <v>0</v>
      </c>
      <c r="M107" s="31">
        <f t="shared" si="20"/>
        <v>0</v>
      </c>
      <c r="N107" s="50">
        <v>0</v>
      </c>
      <c r="O107" s="31">
        <f t="shared" si="21"/>
        <v>0</v>
      </c>
      <c r="P107" s="51" t="s">
        <v>845</v>
      </c>
      <c r="Q107" s="51"/>
      <c r="R107" s="765"/>
      <c r="S107" s="765"/>
      <c r="T107" s="765"/>
      <c r="U107" s="765"/>
      <c r="V107" s="765"/>
      <c r="W107" s="765"/>
      <c r="X107" s="765"/>
      <c r="Y107" s="765"/>
    </row>
    <row r="108" spans="1:25" x14ac:dyDescent="0.25">
      <c r="A108" s="10">
        <v>43655</v>
      </c>
      <c r="B108" s="594">
        <v>0</v>
      </c>
      <c r="C108" s="31">
        <f t="shared" si="15"/>
        <v>0</v>
      </c>
      <c r="D108" s="50">
        <v>-23800000</v>
      </c>
      <c r="E108" s="31">
        <f t="shared" si="16"/>
        <v>-23800000</v>
      </c>
      <c r="F108" s="900">
        <v>0</v>
      </c>
      <c r="G108" s="899">
        <f t="shared" si="17"/>
        <v>4666.67</v>
      </c>
      <c r="H108" s="50">
        <v>0</v>
      </c>
      <c r="I108" s="31">
        <f t="shared" si="18"/>
        <v>0</v>
      </c>
      <c r="J108" s="50">
        <v>0</v>
      </c>
      <c r="K108" s="31">
        <f t="shared" si="19"/>
        <v>0</v>
      </c>
      <c r="L108" s="50">
        <v>0</v>
      </c>
      <c r="M108" s="31">
        <f t="shared" si="20"/>
        <v>0</v>
      </c>
      <c r="N108" s="50">
        <v>0</v>
      </c>
      <c r="O108" s="31">
        <f t="shared" si="21"/>
        <v>0</v>
      </c>
      <c r="P108" s="51" t="s">
        <v>845</v>
      </c>
      <c r="Q108" s="51"/>
      <c r="R108" s="765"/>
      <c r="S108" s="765"/>
      <c r="T108" s="765"/>
      <c r="U108" s="765"/>
      <c r="V108" s="765"/>
      <c r="W108" s="765"/>
      <c r="X108" s="765"/>
      <c r="Y108" s="765"/>
    </row>
    <row r="109" spans="1:25" x14ac:dyDescent="0.25">
      <c r="A109" s="10">
        <v>43656</v>
      </c>
      <c r="B109" s="594">
        <v>1500000</v>
      </c>
      <c r="C109" s="31">
        <f t="shared" si="15"/>
        <v>1500000</v>
      </c>
      <c r="D109" s="50">
        <v>-1500000</v>
      </c>
      <c r="E109" s="31">
        <f t="shared" si="16"/>
        <v>-25300000</v>
      </c>
      <c r="F109" s="900">
        <v>0</v>
      </c>
      <c r="G109" s="899">
        <f t="shared" si="17"/>
        <v>4666.67</v>
      </c>
      <c r="H109" s="50">
        <v>0</v>
      </c>
      <c r="I109" s="31">
        <f t="shared" si="18"/>
        <v>0</v>
      </c>
      <c r="J109" s="50">
        <v>0</v>
      </c>
      <c r="K109" s="31">
        <f t="shared" si="19"/>
        <v>0</v>
      </c>
      <c r="L109" s="50">
        <v>0</v>
      </c>
      <c r="M109" s="31">
        <f t="shared" si="20"/>
        <v>0</v>
      </c>
      <c r="N109" s="50">
        <v>0</v>
      </c>
      <c r="O109" s="31">
        <f t="shared" si="21"/>
        <v>0</v>
      </c>
      <c r="P109" s="51" t="s">
        <v>880</v>
      </c>
      <c r="Q109" s="51"/>
      <c r="R109" s="765"/>
      <c r="S109" s="765"/>
      <c r="T109" s="765"/>
      <c r="U109" s="765"/>
      <c r="V109" s="765"/>
      <c r="W109" s="765"/>
      <c r="X109" s="765"/>
      <c r="Y109" s="765"/>
    </row>
    <row r="110" spans="1:25" x14ac:dyDescent="0.25">
      <c r="A110" s="10">
        <v>43656</v>
      </c>
      <c r="B110" s="594">
        <v>0</v>
      </c>
      <c r="C110" s="31">
        <f t="shared" si="15"/>
        <v>1500000</v>
      </c>
      <c r="D110" s="50">
        <f>-D109</f>
        <v>1500000</v>
      </c>
      <c r="E110" s="31">
        <f t="shared" si="16"/>
        <v>-23800000</v>
      </c>
      <c r="F110" s="900">
        <v>0</v>
      </c>
      <c r="G110" s="899">
        <f t="shared" si="17"/>
        <v>4666.67</v>
      </c>
      <c r="H110" s="50">
        <v>0</v>
      </c>
      <c r="I110" s="31">
        <f t="shared" si="18"/>
        <v>0</v>
      </c>
      <c r="J110" s="50">
        <v>0</v>
      </c>
      <c r="K110" s="31">
        <f t="shared" si="19"/>
        <v>0</v>
      </c>
      <c r="L110" s="50">
        <v>0</v>
      </c>
      <c r="M110" s="31">
        <f t="shared" si="20"/>
        <v>0</v>
      </c>
      <c r="N110" s="50">
        <v>0</v>
      </c>
      <c r="O110" s="31">
        <f t="shared" si="21"/>
        <v>0</v>
      </c>
      <c r="P110" s="51" t="s">
        <v>845</v>
      </c>
      <c r="Q110" s="51"/>
      <c r="R110" s="765"/>
      <c r="S110" s="765"/>
      <c r="T110" s="765"/>
      <c r="U110" s="765"/>
      <c r="V110" s="765"/>
      <c r="W110" s="765"/>
      <c r="X110" s="765"/>
      <c r="Y110" s="765"/>
    </row>
    <row r="111" spans="1:25" x14ac:dyDescent="0.25">
      <c r="A111" s="10">
        <v>43657</v>
      </c>
      <c r="B111" s="594">
        <f>-B109</f>
        <v>-1500000</v>
      </c>
      <c r="C111" s="31">
        <f t="shared" si="15"/>
        <v>0</v>
      </c>
      <c r="D111" s="50">
        <v>1500000</v>
      </c>
      <c r="E111" s="31">
        <f t="shared" si="16"/>
        <v>-22300000</v>
      </c>
      <c r="F111" s="900">
        <v>0</v>
      </c>
      <c r="G111" s="899">
        <f t="shared" si="17"/>
        <v>4666.67</v>
      </c>
      <c r="H111" s="50">
        <v>0</v>
      </c>
      <c r="I111" s="31">
        <f t="shared" si="18"/>
        <v>0</v>
      </c>
      <c r="J111" s="50">
        <v>0</v>
      </c>
      <c r="K111" s="31">
        <f t="shared" si="19"/>
        <v>0</v>
      </c>
      <c r="L111" s="50">
        <v>0</v>
      </c>
      <c r="M111" s="31">
        <f t="shared" si="20"/>
        <v>0</v>
      </c>
      <c r="N111" s="50">
        <v>0</v>
      </c>
      <c r="O111" s="31">
        <f t="shared" si="21"/>
        <v>0</v>
      </c>
      <c r="P111" s="51" t="s">
        <v>1021</v>
      </c>
      <c r="Q111" s="51"/>
      <c r="R111" s="765"/>
      <c r="S111" s="765"/>
      <c r="T111" s="765"/>
      <c r="U111" s="765"/>
      <c r="V111" s="765"/>
      <c r="W111" s="765"/>
      <c r="X111" s="765"/>
      <c r="Y111" s="765"/>
    </row>
    <row r="112" spans="1:25" x14ac:dyDescent="0.25">
      <c r="A112" s="10">
        <v>43657</v>
      </c>
      <c r="B112" s="594">
        <v>0</v>
      </c>
      <c r="C112" s="31">
        <f t="shared" si="15"/>
        <v>0</v>
      </c>
      <c r="D112" s="50">
        <v>-1500000</v>
      </c>
      <c r="E112" s="31">
        <f t="shared" si="16"/>
        <v>-23800000</v>
      </c>
      <c r="F112" s="900">
        <v>0</v>
      </c>
      <c r="G112" s="899">
        <f t="shared" si="17"/>
        <v>4666.67</v>
      </c>
      <c r="H112" s="50">
        <v>0</v>
      </c>
      <c r="I112" s="31">
        <f t="shared" si="18"/>
        <v>0</v>
      </c>
      <c r="J112" s="50">
        <v>0</v>
      </c>
      <c r="K112" s="31">
        <f t="shared" si="19"/>
        <v>0</v>
      </c>
      <c r="L112" s="50">
        <v>0</v>
      </c>
      <c r="M112" s="31">
        <f t="shared" si="20"/>
        <v>0</v>
      </c>
      <c r="N112" s="50">
        <v>0</v>
      </c>
      <c r="O112" s="31">
        <f t="shared" si="21"/>
        <v>0</v>
      </c>
      <c r="P112" s="51" t="s">
        <v>1022</v>
      </c>
      <c r="Q112" s="51"/>
      <c r="R112" s="765"/>
      <c r="S112" s="765"/>
      <c r="T112" s="765"/>
      <c r="U112" s="765"/>
      <c r="V112" s="765"/>
      <c r="W112" s="765"/>
      <c r="X112" s="765"/>
      <c r="Y112" s="765"/>
    </row>
    <row r="113" spans="1:25" x14ac:dyDescent="0.25">
      <c r="A113" s="10">
        <v>43657</v>
      </c>
      <c r="B113" s="594">
        <v>0</v>
      </c>
      <c r="C113" s="31">
        <f t="shared" si="15"/>
        <v>0</v>
      </c>
      <c r="D113" s="50">
        <v>1500000</v>
      </c>
      <c r="E113" s="31">
        <f t="shared" si="16"/>
        <v>-22300000</v>
      </c>
      <c r="F113" s="900">
        <v>0</v>
      </c>
      <c r="G113" s="899">
        <f t="shared" si="17"/>
        <v>4666.67</v>
      </c>
      <c r="H113" s="50">
        <v>0</v>
      </c>
      <c r="I113" s="31">
        <f t="shared" si="18"/>
        <v>0</v>
      </c>
      <c r="J113" s="50">
        <v>0</v>
      </c>
      <c r="K113" s="31">
        <f t="shared" si="19"/>
        <v>0</v>
      </c>
      <c r="L113" s="50">
        <v>0</v>
      </c>
      <c r="M113" s="31">
        <f t="shared" si="20"/>
        <v>0</v>
      </c>
      <c r="N113" s="50">
        <v>0</v>
      </c>
      <c r="O113" s="31">
        <f t="shared" si="21"/>
        <v>0</v>
      </c>
      <c r="P113" s="51" t="s">
        <v>1023</v>
      </c>
      <c r="Q113" s="51"/>
      <c r="R113" s="765"/>
      <c r="S113" s="765"/>
      <c r="T113" s="765"/>
      <c r="U113" s="765"/>
      <c r="V113" s="765"/>
      <c r="W113" s="765"/>
      <c r="X113" s="765"/>
      <c r="Y113" s="765"/>
    </row>
    <row r="114" spans="1:25" x14ac:dyDescent="0.25">
      <c r="A114" s="10">
        <v>43657</v>
      </c>
      <c r="B114" s="594">
        <v>0</v>
      </c>
      <c r="C114" s="31">
        <f t="shared" si="15"/>
        <v>0</v>
      </c>
      <c r="D114" s="50">
        <v>-1500000</v>
      </c>
      <c r="E114" s="31">
        <f t="shared" si="16"/>
        <v>-23800000</v>
      </c>
      <c r="F114" s="900">
        <v>0</v>
      </c>
      <c r="G114" s="899">
        <f t="shared" si="17"/>
        <v>4666.67</v>
      </c>
      <c r="H114" s="50">
        <v>0</v>
      </c>
      <c r="I114" s="31">
        <f t="shared" si="18"/>
        <v>0</v>
      </c>
      <c r="J114" s="50">
        <v>0</v>
      </c>
      <c r="K114" s="31">
        <f t="shared" si="19"/>
        <v>0</v>
      </c>
      <c r="L114" s="50">
        <v>0</v>
      </c>
      <c r="M114" s="31">
        <f t="shared" si="20"/>
        <v>0</v>
      </c>
      <c r="N114" s="50">
        <v>0</v>
      </c>
      <c r="O114" s="31">
        <f t="shared" si="21"/>
        <v>0</v>
      </c>
      <c r="P114" s="51" t="s">
        <v>845</v>
      </c>
      <c r="Q114" s="51"/>
      <c r="R114" s="765"/>
      <c r="S114" s="765"/>
      <c r="T114" s="765"/>
      <c r="U114" s="765"/>
      <c r="V114" s="765"/>
      <c r="W114" s="765"/>
      <c r="X114" s="765"/>
      <c r="Y114" s="765"/>
    </row>
    <row r="115" spans="1:25" x14ac:dyDescent="0.25">
      <c r="A115" s="10">
        <v>43661</v>
      </c>
      <c r="B115" s="594">
        <v>0</v>
      </c>
      <c r="C115" s="31">
        <f t="shared" si="15"/>
        <v>0</v>
      </c>
      <c r="D115" s="50">
        <v>0</v>
      </c>
      <c r="E115" s="31">
        <f t="shared" si="16"/>
        <v>-23800000</v>
      </c>
      <c r="F115" s="900">
        <v>0</v>
      </c>
      <c r="G115" s="899">
        <f t="shared" si="17"/>
        <v>4666.67</v>
      </c>
      <c r="H115" s="50">
        <v>-103.47</v>
      </c>
      <c r="I115" s="31">
        <f t="shared" si="18"/>
        <v>-103.47</v>
      </c>
      <c r="J115" s="50">
        <v>0</v>
      </c>
      <c r="K115" s="31">
        <f t="shared" si="19"/>
        <v>0</v>
      </c>
      <c r="L115" s="50">
        <v>0</v>
      </c>
      <c r="M115" s="31">
        <f t="shared" si="20"/>
        <v>0</v>
      </c>
      <c r="N115" s="50">
        <v>0</v>
      </c>
      <c r="O115" s="31">
        <f t="shared" si="21"/>
        <v>0</v>
      </c>
      <c r="P115" s="51" t="s">
        <v>1024</v>
      </c>
      <c r="Q115" s="51"/>
      <c r="R115" s="765"/>
      <c r="S115" s="765"/>
      <c r="T115" s="765"/>
      <c r="U115" s="765"/>
      <c r="V115" s="765"/>
      <c r="W115" s="765"/>
      <c r="X115" s="765"/>
      <c r="Y115" s="765"/>
    </row>
    <row r="116" spans="1:25" x14ac:dyDescent="0.25">
      <c r="A116" s="10">
        <v>43661</v>
      </c>
      <c r="B116" s="594">
        <v>0</v>
      </c>
      <c r="C116" s="31">
        <f t="shared" si="15"/>
        <v>0</v>
      </c>
      <c r="D116" s="50">
        <v>0</v>
      </c>
      <c r="E116" s="31">
        <f t="shared" si="16"/>
        <v>-23800000</v>
      </c>
      <c r="F116" s="900">
        <v>0</v>
      </c>
      <c r="G116" s="899">
        <f t="shared" si="17"/>
        <v>4666.67</v>
      </c>
      <c r="H116" s="50">
        <v>103.47</v>
      </c>
      <c r="I116" s="31">
        <f t="shared" si="18"/>
        <v>0</v>
      </c>
      <c r="J116" s="50">
        <v>0</v>
      </c>
      <c r="K116" s="31">
        <f t="shared" si="19"/>
        <v>0</v>
      </c>
      <c r="L116" s="50">
        <v>0</v>
      </c>
      <c r="M116" s="31">
        <f t="shared" si="20"/>
        <v>0</v>
      </c>
      <c r="N116" s="50">
        <v>0</v>
      </c>
      <c r="O116" s="31">
        <f t="shared" si="21"/>
        <v>0</v>
      </c>
      <c r="P116" s="51" t="s">
        <v>845</v>
      </c>
      <c r="Q116" s="51"/>
      <c r="R116" s="765"/>
      <c r="S116" s="765"/>
      <c r="T116" s="765"/>
      <c r="U116" s="765"/>
      <c r="V116" s="765"/>
      <c r="W116" s="765"/>
      <c r="X116" s="765"/>
      <c r="Y116" s="765"/>
    </row>
    <row r="117" spans="1:25" x14ac:dyDescent="0.25">
      <c r="A117" s="10">
        <v>43664</v>
      </c>
      <c r="B117" s="594">
        <v>0</v>
      </c>
      <c r="C117" s="31">
        <f t="shared" si="15"/>
        <v>0</v>
      </c>
      <c r="D117" s="50">
        <v>23800000</v>
      </c>
      <c r="E117" s="31">
        <f t="shared" si="16"/>
        <v>0</v>
      </c>
      <c r="F117" s="900">
        <v>0</v>
      </c>
      <c r="G117" s="899">
        <f t="shared" si="17"/>
        <v>4666.67</v>
      </c>
      <c r="H117" s="50">
        <v>0</v>
      </c>
      <c r="I117" s="31">
        <f t="shared" si="18"/>
        <v>0</v>
      </c>
      <c r="J117" s="50">
        <v>0</v>
      </c>
      <c r="K117" s="31">
        <f t="shared" si="19"/>
        <v>0</v>
      </c>
      <c r="L117" s="50">
        <v>0</v>
      </c>
      <c r="M117" s="31">
        <f t="shared" si="20"/>
        <v>0</v>
      </c>
      <c r="N117" s="50">
        <v>0</v>
      </c>
      <c r="O117" s="31">
        <f t="shared" si="21"/>
        <v>0</v>
      </c>
      <c r="P117" s="51" t="s">
        <v>845</v>
      </c>
      <c r="Q117" s="51"/>
      <c r="R117" s="765"/>
      <c r="S117" s="765"/>
      <c r="T117" s="765"/>
      <c r="U117" s="765"/>
      <c r="V117" s="765"/>
      <c r="W117" s="765"/>
      <c r="X117" s="765"/>
      <c r="Y117" s="765"/>
    </row>
    <row r="118" spans="1:25" x14ac:dyDescent="0.25">
      <c r="A118" s="10">
        <v>43665</v>
      </c>
      <c r="B118" s="594">
        <v>0</v>
      </c>
      <c r="C118" s="31">
        <f t="shared" si="15"/>
        <v>0</v>
      </c>
      <c r="D118" s="50">
        <v>-6762.9</v>
      </c>
      <c r="E118" s="31">
        <f t="shared" si="16"/>
        <v>-6762.9</v>
      </c>
      <c r="F118" s="900">
        <v>0</v>
      </c>
      <c r="G118" s="899">
        <f t="shared" si="17"/>
        <v>4666.67</v>
      </c>
      <c r="H118" s="50">
        <v>6762.9</v>
      </c>
      <c r="I118" s="31">
        <f t="shared" si="18"/>
        <v>6762.9</v>
      </c>
      <c r="J118" s="50">
        <v>0</v>
      </c>
      <c r="K118" s="31">
        <f t="shared" si="19"/>
        <v>0</v>
      </c>
      <c r="L118" s="50">
        <v>0</v>
      </c>
      <c r="M118" s="31">
        <f t="shared" si="20"/>
        <v>0</v>
      </c>
      <c r="N118" s="50">
        <v>0</v>
      </c>
      <c r="O118" s="31">
        <f t="shared" si="21"/>
        <v>0</v>
      </c>
      <c r="P118" s="51" t="s">
        <v>1025</v>
      </c>
      <c r="Q118" s="51"/>
      <c r="R118" s="765"/>
      <c r="S118" s="765"/>
      <c r="T118" s="765"/>
      <c r="U118" s="765"/>
      <c r="V118" s="765"/>
      <c r="W118" s="765"/>
      <c r="X118" s="765"/>
      <c r="Y118" s="765"/>
    </row>
    <row r="119" spans="1:25" x14ac:dyDescent="0.25">
      <c r="A119" s="10">
        <v>43665</v>
      </c>
      <c r="B119" s="594">
        <v>0</v>
      </c>
      <c r="C119" s="31">
        <f t="shared" si="15"/>
        <v>0</v>
      </c>
      <c r="D119" s="50">
        <v>-19078.25</v>
      </c>
      <c r="E119" s="31">
        <f t="shared" si="16"/>
        <v>-25841.15</v>
      </c>
      <c r="F119" s="900">
        <v>0</v>
      </c>
      <c r="G119" s="899">
        <f t="shared" si="17"/>
        <v>4666.67</v>
      </c>
      <c r="H119" s="50">
        <v>0</v>
      </c>
      <c r="I119" s="31">
        <f t="shared" si="18"/>
        <v>6762.9</v>
      </c>
      <c r="J119" s="50">
        <v>0</v>
      </c>
      <c r="K119" s="31">
        <f t="shared" si="19"/>
        <v>0</v>
      </c>
      <c r="L119" s="50">
        <v>19078.25</v>
      </c>
      <c r="M119" s="31">
        <f t="shared" si="20"/>
        <v>19078.25</v>
      </c>
      <c r="N119" s="50">
        <v>0</v>
      </c>
      <c r="O119" s="31">
        <f t="shared" si="21"/>
        <v>0</v>
      </c>
      <c r="P119" s="51" t="s">
        <v>1026</v>
      </c>
      <c r="Q119" s="51"/>
      <c r="R119" s="765"/>
      <c r="S119" s="765"/>
      <c r="T119" s="765"/>
      <c r="U119" s="765"/>
      <c r="V119" s="765"/>
      <c r="W119" s="765"/>
      <c r="X119" s="765"/>
      <c r="Y119" s="765"/>
    </row>
    <row r="120" spans="1:25" x14ac:dyDescent="0.25">
      <c r="A120" s="10">
        <v>43665</v>
      </c>
      <c r="B120" s="594">
        <v>0</v>
      </c>
      <c r="C120" s="31">
        <f t="shared" si="15"/>
        <v>0</v>
      </c>
      <c r="D120" s="50">
        <v>0</v>
      </c>
      <c r="E120" s="31">
        <f t="shared" si="16"/>
        <v>-25841.15</v>
      </c>
      <c r="F120" s="900">
        <v>0</v>
      </c>
      <c r="G120" s="899">
        <f t="shared" si="17"/>
        <v>4666.67</v>
      </c>
      <c r="H120" s="50">
        <v>0</v>
      </c>
      <c r="I120" s="31">
        <f t="shared" si="18"/>
        <v>6762.9</v>
      </c>
      <c r="J120" s="50">
        <v>0</v>
      </c>
      <c r="K120" s="31">
        <f t="shared" si="19"/>
        <v>0</v>
      </c>
      <c r="L120" s="50">
        <v>-19078.25</v>
      </c>
      <c r="M120" s="31">
        <f t="shared" si="20"/>
        <v>0</v>
      </c>
      <c r="N120" s="50">
        <v>0</v>
      </c>
      <c r="O120" s="31">
        <f t="shared" si="21"/>
        <v>0</v>
      </c>
      <c r="P120" s="51" t="s">
        <v>1027</v>
      </c>
      <c r="Q120" s="51"/>
      <c r="R120" s="765"/>
      <c r="S120" s="765"/>
      <c r="T120" s="765"/>
      <c r="U120" s="765"/>
      <c r="V120" s="765"/>
      <c r="W120" s="765"/>
      <c r="X120" s="765"/>
      <c r="Y120" s="765"/>
    </row>
    <row r="121" spans="1:25" x14ac:dyDescent="0.25">
      <c r="A121" s="10">
        <v>43665</v>
      </c>
      <c r="B121" s="594">
        <v>0</v>
      </c>
      <c r="C121" s="31">
        <f t="shared" si="15"/>
        <v>0</v>
      </c>
      <c r="D121" s="50">
        <v>-30000</v>
      </c>
      <c r="E121" s="31">
        <f t="shared" si="16"/>
        <v>-55841.15</v>
      </c>
      <c r="F121" s="900">
        <v>0</v>
      </c>
      <c r="G121" s="899">
        <f t="shared" si="17"/>
        <v>4666.67</v>
      </c>
      <c r="H121" s="50">
        <v>0</v>
      </c>
      <c r="I121" s="31">
        <f t="shared" si="18"/>
        <v>6762.9</v>
      </c>
      <c r="J121" s="50">
        <v>0</v>
      </c>
      <c r="K121" s="31">
        <f t="shared" si="19"/>
        <v>0</v>
      </c>
      <c r="L121" s="50">
        <v>0</v>
      </c>
      <c r="M121" s="31">
        <f t="shared" si="20"/>
        <v>0</v>
      </c>
      <c r="N121" s="50">
        <v>0</v>
      </c>
      <c r="O121" s="31">
        <f t="shared" si="21"/>
        <v>0</v>
      </c>
      <c r="P121" s="51" t="s">
        <v>1028</v>
      </c>
      <c r="Q121" s="51"/>
      <c r="R121" s="765"/>
      <c r="S121" s="765"/>
      <c r="T121" s="765"/>
      <c r="U121" s="765"/>
      <c r="V121" s="765"/>
      <c r="W121" s="765"/>
      <c r="X121" s="765"/>
      <c r="Y121" s="765"/>
    </row>
    <row r="122" spans="1:25" x14ac:dyDescent="0.25">
      <c r="A122" s="10">
        <v>43665</v>
      </c>
      <c r="B122" s="594">
        <v>0</v>
      </c>
      <c r="C122" s="31">
        <f t="shared" si="15"/>
        <v>0</v>
      </c>
      <c r="D122" s="50">
        <f>-E121</f>
        <v>55841.15</v>
      </c>
      <c r="E122" s="31">
        <f t="shared" si="16"/>
        <v>0</v>
      </c>
      <c r="F122" s="900">
        <v>0</v>
      </c>
      <c r="G122" s="899">
        <f t="shared" si="17"/>
        <v>4666.67</v>
      </c>
      <c r="H122" s="50">
        <f>-I121</f>
        <v>-6762.9</v>
      </c>
      <c r="I122" s="31">
        <f t="shared" si="18"/>
        <v>0</v>
      </c>
      <c r="J122" s="50">
        <v>0</v>
      </c>
      <c r="K122" s="31">
        <f t="shared" si="19"/>
        <v>0</v>
      </c>
      <c r="L122" s="50">
        <v>0</v>
      </c>
      <c r="M122" s="31">
        <f t="shared" si="20"/>
        <v>0</v>
      </c>
      <c r="N122" s="50">
        <v>0</v>
      </c>
      <c r="O122" s="31">
        <f t="shared" si="21"/>
        <v>0</v>
      </c>
      <c r="P122" s="51" t="s">
        <v>845</v>
      </c>
      <c r="Q122" s="51"/>
      <c r="R122" s="765"/>
      <c r="S122" s="765"/>
      <c r="T122" s="765"/>
      <c r="U122" s="765"/>
      <c r="V122" s="765"/>
      <c r="W122" s="765"/>
      <c r="X122" s="765"/>
      <c r="Y122" s="765"/>
    </row>
    <row r="123" spans="1:25" x14ac:dyDescent="0.25">
      <c r="A123" s="10">
        <v>43669</v>
      </c>
      <c r="B123" s="594">
        <v>0</v>
      </c>
      <c r="C123" s="31">
        <f t="shared" si="15"/>
        <v>0</v>
      </c>
      <c r="D123" s="50">
        <v>-1326</v>
      </c>
      <c r="E123" s="31">
        <f t="shared" si="16"/>
        <v>-1326</v>
      </c>
      <c r="F123" s="900">
        <v>0</v>
      </c>
      <c r="G123" s="899">
        <f t="shared" si="17"/>
        <v>4666.67</v>
      </c>
      <c r="H123" s="50">
        <v>0</v>
      </c>
      <c r="I123" s="31">
        <f t="shared" si="18"/>
        <v>0</v>
      </c>
      <c r="J123" s="50">
        <v>0</v>
      </c>
      <c r="K123" s="31">
        <f t="shared" si="19"/>
        <v>0</v>
      </c>
      <c r="L123" s="50">
        <v>0</v>
      </c>
      <c r="M123" s="31">
        <f t="shared" si="20"/>
        <v>0</v>
      </c>
      <c r="N123" s="50">
        <v>0</v>
      </c>
      <c r="O123" s="31">
        <f t="shared" si="21"/>
        <v>0</v>
      </c>
      <c r="P123" s="51" t="s">
        <v>1029</v>
      </c>
      <c r="Q123" s="51"/>
      <c r="R123" s="765"/>
      <c r="S123" s="765"/>
      <c r="T123" s="765"/>
      <c r="U123" s="765"/>
      <c r="V123" s="765"/>
      <c r="W123" s="765"/>
      <c r="X123" s="765"/>
      <c r="Y123" s="765"/>
    </row>
    <row r="124" spans="1:25" x14ac:dyDescent="0.25">
      <c r="A124" s="10">
        <v>43669</v>
      </c>
      <c r="B124" s="594">
        <v>0</v>
      </c>
      <c r="C124" s="31">
        <f t="shared" si="15"/>
        <v>0</v>
      </c>
      <c r="D124" s="50">
        <v>-15795.75</v>
      </c>
      <c r="E124" s="31">
        <f t="shared" si="16"/>
        <v>-17121.75</v>
      </c>
      <c r="F124" s="900">
        <v>0</v>
      </c>
      <c r="G124" s="899">
        <f t="shared" si="17"/>
        <v>4666.67</v>
      </c>
      <c r="H124" s="50">
        <v>0</v>
      </c>
      <c r="I124" s="31">
        <f t="shared" si="18"/>
        <v>0</v>
      </c>
      <c r="J124" s="50">
        <v>0</v>
      </c>
      <c r="K124" s="31">
        <f t="shared" si="19"/>
        <v>0</v>
      </c>
      <c r="L124" s="50">
        <v>0</v>
      </c>
      <c r="M124" s="31">
        <f t="shared" si="20"/>
        <v>0</v>
      </c>
      <c r="N124" s="50">
        <v>0</v>
      </c>
      <c r="O124" s="31">
        <f t="shared" si="21"/>
        <v>0</v>
      </c>
      <c r="P124" s="51" t="s">
        <v>1030</v>
      </c>
      <c r="Q124" s="51"/>
      <c r="R124" s="765"/>
      <c r="S124" s="765"/>
      <c r="T124" s="765"/>
      <c r="U124" s="765"/>
      <c r="V124" s="765"/>
      <c r="W124" s="765"/>
      <c r="X124" s="765"/>
      <c r="Y124" s="765"/>
    </row>
    <row r="125" spans="1:25" x14ac:dyDescent="0.25">
      <c r="A125" s="10">
        <v>43669</v>
      </c>
      <c r="B125" s="594">
        <v>0</v>
      </c>
      <c r="C125" s="31">
        <f t="shared" si="15"/>
        <v>0</v>
      </c>
      <c r="D125" s="50">
        <v>-18196.05</v>
      </c>
      <c r="E125" s="31">
        <f t="shared" si="16"/>
        <v>-35317.800000000003</v>
      </c>
      <c r="F125" s="900">
        <v>0</v>
      </c>
      <c r="G125" s="899">
        <f t="shared" si="17"/>
        <v>4666.67</v>
      </c>
      <c r="H125" s="50">
        <v>0</v>
      </c>
      <c r="I125" s="31">
        <f t="shared" si="18"/>
        <v>0</v>
      </c>
      <c r="J125" s="50">
        <v>0</v>
      </c>
      <c r="K125" s="31">
        <f t="shared" si="19"/>
        <v>0</v>
      </c>
      <c r="L125" s="50">
        <v>0</v>
      </c>
      <c r="M125" s="31">
        <f t="shared" si="20"/>
        <v>0</v>
      </c>
      <c r="N125" s="50">
        <v>0</v>
      </c>
      <c r="O125" s="31">
        <f t="shared" si="21"/>
        <v>0</v>
      </c>
      <c r="P125" s="51" t="s">
        <v>1031</v>
      </c>
      <c r="Q125" s="51"/>
      <c r="R125" s="765"/>
      <c r="S125" s="765"/>
      <c r="T125" s="765"/>
      <c r="U125" s="765"/>
      <c r="V125" s="765"/>
      <c r="W125" s="765"/>
      <c r="X125" s="765"/>
      <c r="Y125" s="765"/>
    </row>
    <row r="126" spans="1:25" x14ac:dyDescent="0.25">
      <c r="A126" s="10">
        <v>43669</v>
      </c>
      <c r="B126" s="594">
        <v>0</v>
      </c>
      <c r="C126" s="31">
        <f t="shared" si="15"/>
        <v>0</v>
      </c>
      <c r="D126" s="50">
        <v>-1339</v>
      </c>
      <c r="E126" s="31">
        <f t="shared" si="16"/>
        <v>-36656.800000000003</v>
      </c>
      <c r="F126" s="900">
        <v>0</v>
      </c>
      <c r="G126" s="899">
        <f t="shared" si="17"/>
        <v>4666.67</v>
      </c>
      <c r="H126" s="50">
        <v>0</v>
      </c>
      <c r="I126" s="31">
        <f t="shared" si="18"/>
        <v>0</v>
      </c>
      <c r="J126" s="50">
        <v>0</v>
      </c>
      <c r="K126" s="31">
        <f t="shared" si="19"/>
        <v>0</v>
      </c>
      <c r="L126" s="50">
        <v>0</v>
      </c>
      <c r="M126" s="31">
        <f t="shared" si="20"/>
        <v>0</v>
      </c>
      <c r="N126" s="50">
        <v>0</v>
      </c>
      <c r="O126" s="31">
        <f t="shared" si="21"/>
        <v>0</v>
      </c>
      <c r="P126" s="51" t="s">
        <v>1032</v>
      </c>
      <c r="Q126" s="51"/>
      <c r="R126" s="765"/>
      <c r="S126" s="765"/>
      <c r="T126" s="765"/>
      <c r="U126" s="765"/>
      <c r="V126" s="765"/>
      <c r="W126" s="765"/>
      <c r="X126" s="765"/>
      <c r="Y126" s="765"/>
    </row>
    <row r="127" spans="1:25" x14ac:dyDescent="0.25">
      <c r="A127" s="10">
        <v>43669</v>
      </c>
      <c r="B127" s="594">
        <v>0</v>
      </c>
      <c r="C127" s="31">
        <f t="shared" si="15"/>
        <v>0</v>
      </c>
      <c r="D127" s="50">
        <v>36656.800000000003</v>
      </c>
      <c r="E127" s="31">
        <f t="shared" si="16"/>
        <v>0</v>
      </c>
      <c r="F127" s="900">
        <v>0</v>
      </c>
      <c r="G127" s="899">
        <f t="shared" si="17"/>
        <v>4666.67</v>
      </c>
      <c r="H127" s="50">
        <v>0</v>
      </c>
      <c r="I127" s="31">
        <f t="shared" si="18"/>
        <v>0</v>
      </c>
      <c r="J127" s="50">
        <v>0</v>
      </c>
      <c r="K127" s="31">
        <f t="shared" si="19"/>
        <v>0</v>
      </c>
      <c r="L127" s="50">
        <v>0</v>
      </c>
      <c r="M127" s="31">
        <f t="shared" si="20"/>
        <v>0</v>
      </c>
      <c r="N127" s="50">
        <v>0</v>
      </c>
      <c r="O127" s="31">
        <f t="shared" si="21"/>
        <v>0</v>
      </c>
      <c r="P127" s="51" t="s">
        <v>845</v>
      </c>
      <c r="Q127" s="51"/>
      <c r="R127" s="765"/>
      <c r="S127" s="765"/>
      <c r="T127" s="765"/>
      <c r="U127" s="765"/>
      <c r="V127" s="765"/>
      <c r="W127" s="765"/>
      <c r="X127" s="765"/>
      <c r="Y127" s="765"/>
    </row>
    <row r="128" spans="1:25" s="765" customFormat="1" x14ac:dyDescent="0.25">
      <c r="A128" s="10">
        <v>43677</v>
      </c>
      <c r="B128" s="594">
        <v>0</v>
      </c>
      <c r="C128" s="31">
        <f t="shared" ref="C128:C189" si="22">ROUND(B128+C127,2)</f>
        <v>0</v>
      </c>
      <c r="D128" s="50">
        <v>-30391590</v>
      </c>
      <c r="E128" s="31">
        <f t="shared" ref="E128:E189" si="23">ROUND(D128+E127,2)</f>
        <v>-30391590</v>
      </c>
      <c r="F128" s="900">
        <v>0</v>
      </c>
      <c r="G128" s="899">
        <f t="shared" ref="G128:G189" si="24">ROUND(F128+G127,2)</f>
        <v>4666.67</v>
      </c>
      <c r="H128" s="50">
        <v>0</v>
      </c>
      <c r="I128" s="31">
        <f t="shared" ref="I128:I189" si="25">ROUND(H128+I127,2)</f>
        <v>0</v>
      </c>
      <c r="J128" s="50">
        <v>0</v>
      </c>
      <c r="K128" s="31">
        <f t="shared" ref="K128:K189" si="26">ROUND(J128+K127,2)</f>
        <v>0</v>
      </c>
      <c r="L128" s="50">
        <v>0</v>
      </c>
      <c r="M128" s="31">
        <f t="shared" ref="M128:M189" si="27">ROUND(L128+M127,2)</f>
        <v>0</v>
      </c>
      <c r="N128" s="50">
        <v>0</v>
      </c>
      <c r="O128" s="31">
        <f t="shared" ref="O128:O189" si="28">ROUND(N128+O127,2)</f>
        <v>0</v>
      </c>
      <c r="P128" s="51" t="s">
        <v>1050</v>
      </c>
      <c r="Q128" s="51"/>
    </row>
    <row r="129" spans="1:17" s="765" customFormat="1" x14ac:dyDescent="0.25">
      <c r="A129" s="10">
        <v>43677</v>
      </c>
      <c r="B129" s="594">
        <v>0</v>
      </c>
      <c r="C129" s="31">
        <f t="shared" si="22"/>
        <v>0</v>
      </c>
      <c r="D129" s="50">
        <v>30336488</v>
      </c>
      <c r="E129" s="31">
        <f t="shared" si="23"/>
        <v>-55102</v>
      </c>
      <c r="F129" s="900">
        <v>0</v>
      </c>
      <c r="G129" s="899">
        <f t="shared" si="24"/>
        <v>4666.67</v>
      </c>
      <c r="H129" s="50">
        <v>0</v>
      </c>
      <c r="I129" s="31">
        <f t="shared" si="25"/>
        <v>0</v>
      </c>
      <c r="J129" s="50">
        <v>0</v>
      </c>
      <c r="K129" s="31">
        <f t="shared" si="26"/>
        <v>0</v>
      </c>
      <c r="L129" s="50">
        <v>0</v>
      </c>
      <c r="M129" s="31">
        <f t="shared" si="27"/>
        <v>0</v>
      </c>
      <c r="N129" s="50">
        <v>0</v>
      </c>
      <c r="O129" s="31">
        <f t="shared" si="28"/>
        <v>0</v>
      </c>
      <c r="P129" s="51" t="s">
        <v>1051</v>
      </c>
      <c r="Q129" s="51"/>
    </row>
    <row r="130" spans="1:17" s="765" customFormat="1" x14ac:dyDescent="0.25">
      <c r="A130" s="10">
        <v>43677</v>
      </c>
      <c r="B130" s="594">
        <v>0</v>
      </c>
      <c r="C130" s="31">
        <f t="shared" si="22"/>
        <v>0</v>
      </c>
      <c r="D130" s="50">
        <v>55102</v>
      </c>
      <c r="E130" s="31">
        <f t="shared" si="23"/>
        <v>0</v>
      </c>
      <c r="F130" s="900">
        <v>0</v>
      </c>
      <c r="G130" s="899">
        <f t="shared" si="24"/>
        <v>4666.67</v>
      </c>
      <c r="H130" s="50">
        <v>0</v>
      </c>
      <c r="I130" s="31">
        <f t="shared" si="25"/>
        <v>0</v>
      </c>
      <c r="J130" s="50">
        <v>0</v>
      </c>
      <c r="K130" s="31">
        <f t="shared" si="26"/>
        <v>0</v>
      </c>
      <c r="L130" s="50">
        <v>0</v>
      </c>
      <c r="M130" s="31">
        <f t="shared" si="27"/>
        <v>0</v>
      </c>
      <c r="N130" s="50">
        <v>0</v>
      </c>
      <c r="O130" s="31">
        <f t="shared" si="28"/>
        <v>0</v>
      </c>
      <c r="P130" s="51" t="s">
        <v>845</v>
      </c>
      <c r="Q130" s="51"/>
    </row>
    <row r="131" spans="1:17" s="765" customFormat="1" x14ac:dyDescent="0.25">
      <c r="A131" s="10">
        <v>43679</v>
      </c>
      <c r="B131" s="594">
        <v>0</v>
      </c>
      <c r="C131" s="31">
        <f t="shared" si="22"/>
        <v>0</v>
      </c>
      <c r="D131" s="50">
        <f>13357.79</f>
        <v>13357.79</v>
      </c>
      <c r="E131" s="31">
        <f t="shared" si="23"/>
        <v>13357.79</v>
      </c>
      <c r="F131" s="900">
        <v>0</v>
      </c>
      <c r="G131" s="899">
        <f t="shared" si="24"/>
        <v>4666.67</v>
      </c>
      <c r="H131" s="50">
        <f>55.96</f>
        <v>55.96</v>
      </c>
      <c r="I131" s="31">
        <f t="shared" si="25"/>
        <v>55.96</v>
      </c>
      <c r="J131" s="50">
        <v>0</v>
      </c>
      <c r="K131" s="31">
        <f t="shared" si="26"/>
        <v>0</v>
      </c>
      <c r="L131" s="50">
        <f>0.04</f>
        <v>0.04</v>
      </c>
      <c r="M131" s="31">
        <f t="shared" si="27"/>
        <v>0.04</v>
      </c>
      <c r="N131" s="50">
        <v>0</v>
      </c>
      <c r="O131" s="31">
        <f t="shared" si="28"/>
        <v>0</v>
      </c>
      <c r="P131" s="51" t="s">
        <v>890</v>
      </c>
      <c r="Q131" s="51"/>
    </row>
    <row r="132" spans="1:17" s="765" customFormat="1" x14ac:dyDescent="0.25">
      <c r="A132" s="10">
        <v>43679</v>
      </c>
      <c r="B132" s="594">
        <v>0</v>
      </c>
      <c r="C132" s="31">
        <f t="shared" si="22"/>
        <v>0</v>
      </c>
      <c r="D132" s="50">
        <v>-13357.79</v>
      </c>
      <c r="E132" s="31">
        <f t="shared" si="23"/>
        <v>0</v>
      </c>
      <c r="F132" s="900">
        <v>0</v>
      </c>
      <c r="G132" s="899">
        <f t="shared" si="24"/>
        <v>4666.67</v>
      </c>
      <c r="H132" s="50">
        <v>-55.96</v>
      </c>
      <c r="I132" s="31">
        <f t="shared" si="25"/>
        <v>0</v>
      </c>
      <c r="J132" s="50">
        <v>0</v>
      </c>
      <c r="K132" s="31">
        <f t="shared" si="26"/>
        <v>0</v>
      </c>
      <c r="L132" s="50">
        <v>-0.04</v>
      </c>
      <c r="M132" s="31">
        <f t="shared" si="27"/>
        <v>0</v>
      </c>
      <c r="N132" s="50">
        <v>0</v>
      </c>
      <c r="O132" s="31">
        <f t="shared" si="28"/>
        <v>0</v>
      </c>
      <c r="P132" s="51" t="s">
        <v>845</v>
      </c>
      <c r="Q132" s="51"/>
    </row>
    <row r="133" spans="1:17" s="765" customFormat="1" x14ac:dyDescent="0.25">
      <c r="A133" s="10">
        <v>43685</v>
      </c>
      <c r="B133" s="594">
        <v>0</v>
      </c>
      <c r="C133" s="31">
        <f t="shared" si="22"/>
        <v>0</v>
      </c>
      <c r="D133" s="50">
        <v>-578.24</v>
      </c>
      <c r="E133" s="31">
        <f t="shared" si="23"/>
        <v>-578.24</v>
      </c>
      <c r="F133" s="900">
        <v>0</v>
      </c>
      <c r="G133" s="899">
        <f t="shared" si="24"/>
        <v>4666.67</v>
      </c>
      <c r="H133" s="50">
        <v>0</v>
      </c>
      <c r="I133" s="31">
        <f t="shared" si="25"/>
        <v>0</v>
      </c>
      <c r="J133" s="50">
        <v>0</v>
      </c>
      <c r="K133" s="31">
        <f t="shared" si="26"/>
        <v>0</v>
      </c>
      <c r="L133" s="50">
        <v>0</v>
      </c>
      <c r="M133" s="31">
        <f t="shared" si="27"/>
        <v>0</v>
      </c>
      <c r="N133" s="50">
        <v>0</v>
      </c>
      <c r="O133" s="31">
        <f t="shared" si="28"/>
        <v>0</v>
      </c>
      <c r="P133" s="51" t="s">
        <v>1052</v>
      </c>
      <c r="Q133" s="51"/>
    </row>
    <row r="134" spans="1:17" s="765" customFormat="1" x14ac:dyDescent="0.25">
      <c r="A134" s="10">
        <v>43685</v>
      </c>
      <c r="B134" s="594">
        <v>0</v>
      </c>
      <c r="C134" s="31">
        <f t="shared" si="22"/>
        <v>0</v>
      </c>
      <c r="D134" s="50">
        <v>578.24</v>
      </c>
      <c r="E134" s="31">
        <f t="shared" si="23"/>
        <v>0</v>
      </c>
      <c r="F134" s="900">
        <v>0</v>
      </c>
      <c r="G134" s="899">
        <f t="shared" si="24"/>
        <v>4666.67</v>
      </c>
      <c r="H134" s="50">
        <v>0</v>
      </c>
      <c r="I134" s="31">
        <f t="shared" si="25"/>
        <v>0</v>
      </c>
      <c r="J134" s="50">
        <v>0</v>
      </c>
      <c r="K134" s="31">
        <f t="shared" si="26"/>
        <v>0</v>
      </c>
      <c r="L134" s="50">
        <v>0</v>
      </c>
      <c r="M134" s="31">
        <f t="shared" si="27"/>
        <v>0</v>
      </c>
      <c r="N134" s="50">
        <v>0</v>
      </c>
      <c r="O134" s="31">
        <f t="shared" si="28"/>
        <v>0</v>
      </c>
      <c r="P134" s="51" t="s">
        <v>845</v>
      </c>
      <c r="Q134" s="51"/>
    </row>
    <row r="135" spans="1:17" s="765" customFormat="1" x14ac:dyDescent="0.25">
      <c r="A135" s="10">
        <v>43689</v>
      </c>
      <c r="B135" s="594">
        <v>11000000</v>
      </c>
      <c r="C135" s="31">
        <f t="shared" si="22"/>
        <v>11000000</v>
      </c>
      <c r="D135" s="50">
        <v>-11000000</v>
      </c>
      <c r="E135" s="31">
        <f t="shared" si="23"/>
        <v>-11000000</v>
      </c>
      <c r="F135" s="900">
        <v>0</v>
      </c>
      <c r="G135" s="899">
        <f t="shared" si="24"/>
        <v>4666.67</v>
      </c>
      <c r="H135" s="50">
        <v>0</v>
      </c>
      <c r="I135" s="31">
        <f t="shared" si="25"/>
        <v>0</v>
      </c>
      <c r="J135" s="50">
        <v>0</v>
      </c>
      <c r="K135" s="31">
        <f t="shared" si="26"/>
        <v>0</v>
      </c>
      <c r="L135" s="50">
        <v>0</v>
      </c>
      <c r="M135" s="31">
        <f t="shared" si="27"/>
        <v>0</v>
      </c>
      <c r="N135" s="50">
        <v>0</v>
      </c>
      <c r="O135" s="31">
        <f t="shared" si="28"/>
        <v>0</v>
      </c>
      <c r="P135" s="51" t="s">
        <v>880</v>
      </c>
      <c r="Q135" s="51"/>
    </row>
    <row r="136" spans="1:17" s="765" customFormat="1" x14ac:dyDescent="0.25">
      <c r="A136" s="10">
        <v>43689</v>
      </c>
      <c r="B136" s="594">
        <v>-11000000</v>
      </c>
      <c r="C136" s="31">
        <f t="shared" si="22"/>
        <v>0</v>
      </c>
      <c r="D136" s="50">
        <v>11000000</v>
      </c>
      <c r="E136" s="31">
        <f t="shared" si="23"/>
        <v>0</v>
      </c>
      <c r="F136" s="900">
        <v>0</v>
      </c>
      <c r="G136" s="899">
        <f t="shared" si="24"/>
        <v>4666.67</v>
      </c>
      <c r="H136" s="50">
        <v>0</v>
      </c>
      <c r="I136" s="31">
        <f t="shared" si="25"/>
        <v>0</v>
      </c>
      <c r="J136" s="50">
        <v>0</v>
      </c>
      <c r="K136" s="31">
        <f t="shared" si="26"/>
        <v>0</v>
      </c>
      <c r="L136" s="50">
        <v>0</v>
      </c>
      <c r="M136" s="31">
        <f t="shared" si="27"/>
        <v>0</v>
      </c>
      <c r="N136" s="50">
        <v>0</v>
      </c>
      <c r="O136" s="31">
        <f t="shared" si="28"/>
        <v>0</v>
      </c>
      <c r="P136" s="51" t="s">
        <v>1053</v>
      </c>
      <c r="Q136" s="51"/>
    </row>
    <row r="137" spans="1:17" s="765" customFormat="1" x14ac:dyDescent="0.25">
      <c r="A137" s="10">
        <v>43692</v>
      </c>
      <c r="B137" s="594">
        <v>0</v>
      </c>
      <c r="C137" s="31">
        <f t="shared" si="22"/>
        <v>0</v>
      </c>
      <c r="D137" s="50">
        <v>-41369185.630000003</v>
      </c>
      <c r="E137" s="31">
        <f t="shared" si="23"/>
        <v>-41369185.630000003</v>
      </c>
      <c r="F137" s="900">
        <v>0</v>
      </c>
      <c r="G137" s="899">
        <f t="shared" si="24"/>
        <v>4666.67</v>
      </c>
      <c r="H137" s="50">
        <v>0</v>
      </c>
      <c r="I137" s="31">
        <f t="shared" si="25"/>
        <v>0</v>
      </c>
      <c r="J137" s="50">
        <v>0</v>
      </c>
      <c r="K137" s="31">
        <f t="shared" si="26"/>
        <v>0</v>
      </c>
      <c r="L137" s="50">
        <v>0</v>
      </c>
      <c r="M137" s="31">
        <f t="shared" si="27"/>
        <v>0</v>
      </c>
      <c r="N137" s="50">
        <v>0</v>
      </c>
      <c r="O137" s="31">
        <f t="shared" si="28"/>
        <v>0</v>
      </c>
      <c r="P137" s="51" t="s">
        <v>1057</v>
      </c>
      <c r="Q137" s="51"/>
    </row>
    <row r="138" spans="1:17" s="765" customFormat="1" x14ac:dyDescent="0.25">
      <c r="A138" s="10">
        <v>43692</v>
      </c>
      <c r="B138" s="594">
        <v>0</v>
      </c>
      <c r="C138" s="31">
        <f t="shared" si="22"/>
        <v>0</v>
      </c>
      <c r="D138" s="50">
        <v>41614818</v>
      </c>
      <c r="E138" s="31">
        <f t="shared" si="23"/>
        <v>245632.37</v>
      </c>
      <c r="F138" s="900">
        <v>0</v>
      </c>
      <c r="G138" s="899">
        <f t="shared" si="24"/>
        <v>4666.67</v>
      </c>
      <c r="H138" s="50">
        <v>0</v>
      </c>
      <c r="I138" s="31">
        <f t="shared" si="25"/>
        <v>0</v>
      </c>
      <c r="J138" s="50">
        <v>0</v>
      </c>
      <c r="K138" s="31">
        <f t="shared" si="26"/>
        <v>0</v>
      </c>
      <c r="L138" s="50">
        <v>0</v>
      </c>
      <c r="M138" s="31">
        <f t="shared" si="27"/>
        <v>0</v>
      </c>
      <c r="N138" s="50">
        <v>0</v>
      </c>
      <c r="O138" s="31">
        <f t="shared" si="28"/>
        <v>0</v>
      </c>
      <c r="P138" s="51" t="s">
        <v>1051</v>
      </c>
      <c r="Q138" s="51"/>
    </row>
    <row r="139" spans="1:17" s="765" customFormat="1" x14ac:dyDescent="0.25">
      <c r="A139" s="10">
        <v>43692</v>
      </c>
      <c r="B139" s="594">
        <v>0</v>
      </c>
      <c r="C139" s="31">
        <f t="shared" si="22"/>
        <v>0</v>
      </c>
      <c r="D139" s="50">
        <f>-E138</f>
        <v>-245632.37</v>
      </c>
      <c r="E139" s="31">
        <f t="shared" si="23"/>
        <v>0</v>
      </c>
      <c r="F139" s="900">
        <v>0</v>
      </c>
      <c r="G139" s="899">
        <f t="shared" si="24"/>
        <v>4666.67</v>
      </c>
      <c r="H139" s="50">
        <v>-103.28</v>
      </c>
      <c r="I139" s="31">
        <f t="shared" si="25"/>
        <v>-103.28</v>
      </c>
      <c r="J139" s="50">
        <v>0</v>
      </c>
      <c r="K139" s="31">
        <f t="shared" si="26"/>
        <v>0</v>
      </c>
      <c r="L139" s="50">
        <v>0</v>
      </c>
      <c r="M139" s="31">
        <f t="shared" si="27"/>
        <v>0</v>
      </c>
      <c r="N139" s="50">
        <v>0</v>
      </c>
      <c r="O139" s="31">
        <f t="shared" si="28"/>
        <v>0</v>
      </c>
      <c r="P139" s="51" t="s">
        <v>845</v>
      </c>
      <c r="Q139" s="51"/>
    </row>
    <row r="140" spans="1:17" s="765" customFormat="1" x14ac:dyDescent="0.25">
      <c r="A140" s="10">
        <v>43697</v>
      </c>
      <c r="B140" s="594">
        <v>3500000</v>
      </c>
      <c r="C140" s="31">
        <f t="shared" si="22"/>
        <v>3500000</v>
      </c>
      <c r="D140" s="50">
        <v>-3500000</v>
      </c>
      <c r="E140" s="31">
        <f t="shared" si="23"/>
        <v>-3500000</v>
      </c>
      <c r="F140" s="900">
        <v>0</v>
      </c>
      <c r="G140" s="899">
        <f t="shared" si="24"/>
        <v>4666.67</v>
      </c>
      <c r="H140" s="50">
        <v>0</v>
      </c>
      <c r="I140" s="31">
        <f t="shared" si="25"/>
        <v>-103.28</v>
      </c>
      <c r="J140" s="50">
        <v>0</v>
      </c>
      <c r="K140" s="31">
        <f t="shared" si="26"/>
        <v>0</v>
      </c>
      <c r="L140" s="50">
        <v>0</v>
      </c>
      <c r="M140" s="31">
        <f t="shared" si="27"/>
        <v>0</v>
      </c>
      <c r="N140" s="50">
        <v>0</v>
      </c>
      <c r="O140" s="31">
        <f t="shared" si="28"/>
        <v>0</v>
      </c>
      <c r="P140" s="51" t="s">
        <v>880</v>
      </c>
      <c r="Q140" s="51"/>
    </row>
    <row r="141" spans="1:17" s="765" customFormat="1" x14ac:dyDescent="0.25">
      <c r="A141" s="10">
        <v>43697</v>
      </c>
      <c r="B141" s="594">
        <v>-3500000</v>
      </c>
      <c r="C141" s="31">
        <f t="shared" si="22"/>
        <v>0</v>
      </c>
      <c r="D141" s="50">
        <f>-D140</f>
        <v>3500000</v>
      </c>
      <c r="E141" s="31">
        <f t="shared" si="23"/>
        <v>0</v>
      </c>
      <c r="F141" s="900">
        <v>0</v>
      </c>
      <c r="G141" s="899">
        <f t="shared" si="24"/>
        <v>4666.67</v>
      </c>
      <c r="H141" s="50">
        <v>0</v>
      </c>
      <c r="I141" s="31">
        <f t="shared" si="25"/>
        <v>-103.28</v>
      </c>
      <c r="J141" s="50">
        <v>0</v>
      </c>
      <c r="K141" s="31">
        <f t="shared" si="26"/>
        <v>0</v>
      </c>
      <c r="L141" s="50">
        <v>0</v>
      </c>
      <c r="M141" s="31">
        <f t="shared" si="27"/>
        <v>0</v>
      </c>
      <c r="N141" s="50">
        <v>0</v>
      </c>
      <c r="O141" s="31">
        <f t="shared" si="28"/>
        <v>0</v>
      </c>
      <c r="P141" s="51" t="s">
        <v>1067</v>
      </c>
      <c r="Q141" s="51"/>
    </row>
    <row r="142" spans="1:17" s="765" customFormat="1" x14ac:dyDescent="0.25">
      <c r="A142" s="10">
        <v>43697</v>
      </c>
      <c r="B142" s="594">
        <v>0</v>
      </c>
      <c r="C142" s="31">
        <f t="shared" si="22"/>
        <v>0</v>
      </c>
      <c r="D142" s="50">
        <v>-3500000</v>
      </c>
      <c r="E142" s="31">
        <f t="shared" si="23"/>
        <v>-3500000</v>
      </c>
      <c r="F142" s="900">
        <v>0</v>
      </c>
      <c r="G142" s="899">
        <f t="shared" si="24"/>
        <v>4666.67</v>
      </c>
      <c r="H142" s="50">
        <v>0</v>
      </c>
      <c r="I142" s="31">
        <f t="shared" si="25"/>
        <v>-103.28</v>
      </c>
      <c r="J142" s="50">
        <v>0</v>
      </c>
      <c r="K142" s="31">
        <f t="shared" si="26"/>
        <v>0</v>
      </c>
      <c r="L142" s="50">
        <v>0</v>
      </c>
      <c r="M142" s="31">
        <f t="shared" si="27"/>
        <v>0</v>
      </c>
      <c r="N142" s="50">
        <v>0</v>
      </c>
      <c r="O142" s="31">
        <f t="shared" si="28"/>
        <v>0</v>
      </c>
      <c r="P142" s="51" t="s">
        <v>1022</v>
      </c>
      <c r="Q142" s="51"/>
    </row>
    <row r="143" spans="1:17" s="765" customFormat="1" x14ac:dyDescent="0.25">
      <c r="A143" s="10">
        <v>43697</v>
      </c>
      <c r="B143" s="594">
        <v>0</v>
      </c>
      <c r="C143" s="31">
        <f t="shared" si="22"/>
        <v>0</v>
      </c>
      <c r="D143" s="50">
        <v>3300000</v>
      </c>
      <c r="E143" s="31">
        <f t="shared" si="23"/>
        <v>-200000</v>
      </c>
      <c r="F143" s="900">
        <v>0</v>
      </c>
      <c r="G143" s="899">
        <f t="shared" si="24"/>
        <v>4666.67</v>
      </c>
      <c r="H143" s="50">
        <v>0</v>
      </c>
      <c r="I143" s="31">
        <f t="shared" si="25"/>
        <v>-103.28</v>
      </c>
      <c r="J143" s="50">
        <v>0</v>
      </c>
      <c r="K143" s="31">
        <f t="shared" si="26"/>
        <v>0</v>
      </c>
      <c r="L143" s="50">
        <v>0</v>
      </c>
      <c r="M143" s="31">
        <f t="shared" si="27"/>
        <v>0</v>
      </c>
      <c r="N143" s="50">
        <v>0</v>
      </c>
      <c r="O143" s="31">
        <f t="shared" si="28"/>
        <v>0</v>
      </c>
      <c r="P143" s="51" t="s">
        <v>1023</v>
      </c>
      <c r="Q143" s="51"/>
    </row>
    <row r="144" spans="1:17" s="765" customFormat="1" x14ac:dyDescent="0.25">
      <c r="A144" s="10">
        <v>43697</v>
      </c>
      <c r="B144" s="594">
        <v>0</v>
      </c>
      <c r="C144" s="31">
        <f t="shared" si="22"/>
        <v>0</v>
      </c>
      <c r="D144" s="50">
        <v>200000</v>
      </c>
      <c r="E144" s="31">
        <f t="shared" si="23"/>
        <v>0</v>
      </c>
      <c r="F144" s="900">
        <v>0</v>
      </c>
      <c r="G144" s="899">
        <f t="shared" si="24"/>
        <v>4666.67</v>
      </c>
      <c r="H144" s="50">
        <v>0</v>
      </c>
      <c r="I144" s="31">
        <f t="shared" si="25"/>
        <v>-103.28</v>
      </c>
      <c r="J144" s="50">
        <v>0</v>
      </c>
      <c r="K144" s="31">
        <f t="shared" si="26"/>
        <v>0</v>
      </c>
      <c r="L144" s="50">
        <v>0</v>
      </c>
      <c r="M144" s="31">
        <f t="shared" si="27"/>
        <v>0</v>
      </c>
      <c r="N144" s="50">
        <v>0</v>
      </c>
      <c r="O144" s="31">
        <f t="shared" si="28"/>
        <v>0</v>
      </c>
      <c r="P144" s="51" t="s">
        <v>845</v>
      </c>
      <c r="Q144" s="51"/>
    </row>
    <row r="145" spans="1:17" s="765" customFormat="1" x14ac:dyDescent="0.25">
      <c r="A145" s="10">
        <v>43699</v>
      </c>
      <c r="B145" s="594">
        <v>0</v>
      </c>
      <c r="C145" s="31">
        <f t="shared" si="22"/>
        <v>0</v>
      </c>
      <c r="D145" s="50">
        <v>0</v>
      </c>
      <c r="E145" s="31">
        <f t="shared" si="23"/>
        <v>0</v>
      </c>
      <c r="F145" s="900">
        <v>0</v>
      </c>
      <c r="G145" s="899">
        <f t="shared" si="24"/>
        <v>4666.67</v>
      </c>
      <c r="H145" s="50">
        <v>0</v>
      </c>
      <c r="I145" s="31">
        <f t="shared" si="25"/>
        <v>-103.28</v>
      </c>
      <c r="J145" s="50">
        <v>0</v>
      </c>
      <c r="K145" s="31">
        <f t="shared" si="26"/>
        <v>0</v>
      </c>
      <c r="L145" s="50">
        <v>-17713.810000000001</v>
      </c>
      <c r="M145" s="31">
        <f t="shared" si="27"/>
        <v>-17713.810000000001</v>
      </c>
      <c r="N145" s="50">
        <v>0</v>
      </c>
      <c r="O145" s="31">
        <f t="shared" si="28"/>
        <v>0</v>
      </c>
      <c r="P145" s="51" t="s">
        <v>1068</v>
      </c>
      <c r="Q145" s="51"/>
    </row>
    <row r="146" spans="1:17" s="765" customFormat="1" x14ac:dyDescent="0.25">
      <c r="A146" s="10">
        <v>43699</v>
      </c>
      <c r="B146" s="594">
        <v>0</v>
      </c>
      <c r="C146" s="31">
        <f t="shared" si="22"/>
        <v>0</v>
      </c>
      <c r="D146" s="50">
        <v>0</v>
      </c>
      <c r="E146" s="31">
        <f t="shared" si="23"/>
        <v>0</v>
      </c>
      <c r="F146" s="900">
        <v>0</v>
      </c>
      <c r="G146" s="899">
        <f t="shared" si="24"/>
        <v>4666.67</v>
      </c>
      <c r="H146" s="50">
        <v>-103.57</v>
      </c>
      <c r="I146" s="31">
        <f t="shared" si="25"/>
        <v>-206.85</v>
      </c>
      <c r="J146" s="50">
        <v>0</v>
      </c>
      <c r="K146" s="31">
        <f t="shared" si="26"/>
        <v>0</v>
      </c>
      <c r="L146" s="50">
        <v>0</v>
      </c>
      <c r="M146" s="31">
        <f t="shared" si="27"/>
        <v>-17713.810000000001</v>
      </c>
      <c r="N146" s="50">
        <v>0</v>
      </c>
      <c r="O146" s="31">
        <f t="shared" si="28"/>
        <v>0</v>
      </c>
      <c r="P146" s="51" t="s">
        <v>1069</v>
      </c>
      <c r="Q146" s="51"/>
    </row>
    <row r="147" spans="1:17" s="765" customFormat="1" x14ac:dyDescent="0.25">
      <c r="A147" s="10">
        <v>43699</v>
      </c>
      <c r="B147" s="594">
        <v>0</v>
      </c>
      <c r="C147" s="31">
        <f t="shared" si="22"/>
        <v>0</v>
      </c>
      <c r="D147" s="50">
        <v>0</v>
      </c>
      <c r="E147" s="31">
        <f t="shared" si="23"/>
        <v>0</v>
      </c>
      <c r="F147" s="900">
        <v>0</v>
      </c>
      <c r="G147" s="899">
        <f t="shared" si="24"/>
        <v>4666.67</v>
      </c>
      <c r="H147" s="50">
        <v>-4230</v>
      </c>
      <c r="I147" s="31">
        <f t="shared" si="25"/>
        <v>-4436.8500000000004</v>
      </c>
      <c r="J147" s="50">
        <v>0</v>
      </c>
      <c r="K147" s="31">
        <f t="shared" si="26"/>
        <v>0</v>
      </c>
      <c r="L147" s="50">
        <v>0</v>
      </c>
      <c r="M147" s="31">
        <f t="shared" si="27"/>
        <v>-17713.810000000001</v>
      </c>
      <c r="N147" s="50">
        <v>0</v>
      </c>
      <c r="O147" s="31">
        <f t="shared" si="28"/>
        <v>0</v>
      </c>
      <c r="P147" s="51" t="s">
        <v>1070</v>
      </c>
      <c r="Q147" s="51"/>
    </row>
    <row r="148" spans="1:17" s="765" customFormat="1" x14ac:dyDescent="0.25">
      <c r="A148" s="10">
        <v>43699</v>
      </c>
      <c r="B148" s="594">
        <v>0</v>
      </c>
      <c r="C148" s="31">
        <f t="shared" si="22"/>
        <v>0</v>
      </c>
      <c r="D148" s="50">
        <v>0</v>
      </c>
      <c r="E148" s="31">
        <f t="shared" si="23"/>
        <v>0</v>
      </c>
      <c r="F148" s="900">
        <v>0</v>
      </c>
      <c r="G148" s="899">
        <f t="shared" si="24"/>
        <v>4666.67</v>
      </c>
      <c r="H148" s="50">
        <v>-500</v>
      </c>
      <c r="I148" s="31">
        <f t="shared" si="25"/>
        <v>-4936.8500000000004</v>
      </c>
      <c r="J148" s="50">
        <v>0</v>
      </c>
      <c r="K148" s="31">
        <f t="shared" si="26"/>
        <v>0</v>
      </c>
      <c r="L148" s="50">
        <v>0</v>
      </c>
      <c r="M148" s="31">
        <f t="shared" si="27"/>
        <v>-17713.810000000001</v>
      </c>
      <c r="N148" s="50">
        <v>0</v>
      </c>
      <c r="O148" s="31">
        <f t="shared" si="28"/>
        <v>0</v>
      </c>
      <c r="P148" s="51" t="s">
        <v>1071</v>
      </c>
      <c r="Q148" s="51"/>
    </row>
    <row r="149" spans="1:17" s="765" customFormat="1" x14ac:dyDescent="0.25">
      <c r="A149" s="10">
        <v>43699</v>
      </c>
      <c r="B149" s="594">
        <v>0</v>
      </c>
      <c r="C149" s="31">
        <f t="shared" si="22"/>
        <v>0</v>
      </c>
      <c r="D149" s="50">
        <v>-24025.85</v>
      </c>
      <c r="E149" s="31">
        <f t="shared" si="23"/>
        <v>-24025.85</v>
      </c>
      <c r="F149" s="900">
        <v>0</v>
      </c>
      <c r="G149" s="899">
        <f t="shared" si="24"/>
        <v>4666.67</v>
      </c>
      <c r="H149" s="50">
        <v>6312.04</v>
      </c>
      <c r="I149" s="31">
        <f t="shared" si="25"/>
        <v>1375.19</v>
      </c>
      <c r="J149" s="50">
        <v>0</v>
      </c>
      <c r="K149" s="31">
        <f t="shared" si="26"/>
        <v>0</v>
      </c>
      <c r="L149" s="50">
        <v>17713.810000000001</v>
      </c>
      <c r="M149" s="31">
        <f t="shared" si="27"/>
        <v>0</v>
      </c>
      <c r="N149" s="50">
        <v>0</v>
      </c>
      <c r="O149" s="31">
        <f t="shared" si="28"/>
        <v>0</v>
      </c>
      <c r="P149" s="51" t="s">
        <v>1073</v>
      </c>
      <c r="Q149" s="51"/>
    </row>
    <row r="150" spans="1:17" s="765" customFormat="1" x14ac:dyDescent="0.25">
      <c r="A150" s="10">
        <v>43699</v>
      </c>
      <c r="B150" s="594">
        <v>0</v>
      </c>
      <c r="C150" s="31">
        <f t="shared" si="22"/>
        <v>0</v>
      </c>
      <c r="D150" s="50">
        <v>24025.85</v>
      </c>
      <c r="E150" s="31">
        <f t="shared" si="23"/>
        <v>0</v>
      </c>
      <c r="F150" s="900">
        <v>0</v>
      </c>
      <c r="G150" s="899">
        <f t="shared" si="24"/>
        <v>4666.67</v>
      </c>
      <c r="H150" s="50">
        <v>-1375.19</v>
      </c>
      <c r="I150" s="31">
        <f t="shared" si="25"/>
        <v>0</v>
      </c>
      <c r="J150" s="50">
        <v>0</v>
      </c>
      <c r="K150" s="31">
        <f t="shared" si="26"/>
        <v>0</v>
      </c>
      <c r="L150" s="50">
        <v>0</v>
      </c>
      <c r="M150" s="31">
        <f t="shared" si="27"/>
        <v>0</v>
      </c>
      <c r="N150" s="50">
        <v>0</v>
      </c>
      <c r="O150" s="31">
        <f t="shared" si="28"/>
        <v>0</v>
      </c>
      <c r="P150" s="51" t="s">
        <v>845</v>
      </c>
      <c r="Q150" s="51"/>
    </row>
    <row r="151" spans="1:17" s="765" customFormat="1" x14ac:dyDescent="0.25">
      <c r="A151" s="10">
        <v>43712</v>
      </c>
      <c r="B151" s="594">
        <v>0</v>
      </c>
      <c r="C151" s="31">
        <f t="shared" si="22"/>
        <v>0</v>
      </c>
      <c r="D151" s="50">
        <v>167.37</v>
      </c>
      <c r="E151" s="31">
        <f t="shared" si="23"/>
        <v>167.37</v>
      </c>
      <c r="F151" s="900">
        <v>0</v>
      </c>
      <c r="G151" s="899">
        <f t="shared" si="24"/>
        <v>4666.67</v>
      </c>
      <c r="H151" s="50">
        <v>57.85</v>
      </c>
      <c r="I151" s="31">
        <f t="shared" si="25"/>
        <v>57.85</v>
      </c>
      <c r="J151" s="50">
        <v>0</v>
      </c>
      <c r="K151" s="31">
        <f t="shared" si="26"/>
        <v>0</v>
      </c>
      <c r="L151" s="50">
        <v>0.04</v>
      </c>
      <c r="M151" s="31">
        <f t="shared" si="27"/>
        <v>0.04</v>
      </c>
      <c r="N151" s="50">
        <v>0</v>
      </c>
      <c r="O151" s="31">
        <f t="shared" si="28"/>
        <v>0</v>
      </c>
      <c r="P151" s="51" t="s">
        <v>1078</v>
      </c>
      <c r="Q151" s="51"/>
    </row>
    <row r="152" spans="1:17" s="765" customFormat="1" x14ac:dyDescent="0.25">
      <c r="A152" s="10">
        <v>43712</v>
      </c>
      <c r="B152" s="594">
        <v>0</v>
      </c>
      <c r="C152" s="31">
        <f t="shared" si="22"/>
        <v>0</v>
      </c>
      <c r="D152" s="50">
        <v>-167.37</v>
      </c>
      <c r="E152" s="31">
        <f t="shared" si="23"/>
        <v>0</v>
      </c>
      <c r="F152" s="900">
        <v>0</v>
      </c>
      <c r="G152" s="899">
        <f t="shared" si="24"/>
        <v>4666.67</v>
      </c>
      <c r="H152" s="50">
        <v>-57.85</v>
      </c>
      <c r="I152" s="31">
        <f t="shared" si="25"/>
        <v>0</v>
      </c>
      <c r="J152" s="50">
        <v>0</v>
      </c>
      <c r="K152" s="31">
        <f t="shared" si="26"/>
        <v>0</v>
      </c>
      <c r="L152" s="50">
        <v>-0.04</v>
      </c>
      <c r="M152" s="31">
        <f t="shared" si="27"/>
        <v>0</v>
      </c>
      <c r="N152" s="50">
        <v>0</v>
      </c>
      <c r="O152" s="31">
        <f t="shared" si="28"/>
        <v>0</v>
      </c>
      <c r="P152" s="51" t="s">
        <v>845</v>
      </c>
      <c r="Q152" s="51"/>
    </row>
    <row r="153" spans="1:17" s="765" customFormat="1" x14ac:dyDescent="0.25">
      <c r="A153" s="10">
        <v>43718</v>
      </c>
      <c r="B153" s="594">
        <v>5400000</v>
      </c>
      <c r="C153" s="31">
        <f>ROUND(B153+C152,2)</f>
        <v>5400000</v>
      </c>
      <c r="D153" s="50">
        <v>-5400000</v>
      </c>
      <c r="E153" s="31">
        <f>ROUND(D153+E152,2)</f>
        <v>-5400000</v>
      </c>
      <c r="F153" s="900">
        <v>0</v>
      </c>
      <c r="G153" s="899">
        <f>ROUND(F153+G152,2)</f>
        <v>4666.67</v>
      </c>
      <c r="H153" s="50">
        <v>0</v>
      </c>
      <c r="I153" s="31">
        <f>ROUND(H153+I152,2)</f>
        <v>0</v>
      </c>
      <c r="J153" s="50">
        <v>0</v>
      </c>
      <c r="K153" s="31">
        <f>ROUND(J153+K152,2)</f>
        <v>0</v>
      </c>
      <c r="L153" s="50">
        <v>0</v>
      </c>
      <c r="M153" s="31">
        <f>ROUND(L153+M152,2)</f>
        <v>0</v>
      </c>
      <c r="N153" s="50">
        <v>0</v>
      </c>
      <c r="O153" s="31">
        <f>ROUND(N153+O152,2)</f>
        <v>0</v>
      </c>
      <c r="P153" s="51" t="s">
        <v>880</v>
      </c>
      <c r="Q153" s="51"/>
    </row>
    <row r="154" spans="1:17" s="765" customFormat="1" x14ac:dyDescent="0.25">
      <c r="A154" s="10">
        <v>43718</v>
      </c>
      <c r="B154" s="594">
        <f>-B153</f>
        <v>-5400000</v>
      </c>
      <c r="C154" s="31">
        <f>ROUND(B154+C153,2)</f>
        <v>0</v>
      </c>
      <c r="D154" s="50">
        <v>5400000</v>
      </c>
      <c r="E154" s="31">
        <f>ROUND(D154+E153,2)</f>
        <v>0</v>
      </c>
      <c r="F154" s="900">
        <v>0</v>
      </c>
      <c r="G154" s="899">
        <f>ROUND(F154+G153,2)</f>
        <v>4666.67</v>
      </c>
      <c r="H154" s="50">
        <v>0</v>
      </c>
      <c r="I154" s="31">
        <f>ROUND(H154+I153,2)</f>
        <v>0</v>
      </c>
      <c r="J154" s="50">
        <v>0</v>
      </c>
      <c r="K154" s="31">
        <f>ROUND(J154+K153,2)</f>
        <v>0</v>
      </c>
      <c r="L154" s="50">
        <v>0</v>
      </c>
      <c r="M154" s="31">
        <f>ROUND(L154+M153,2)</f>
        <v>0</v>
      </c>
      <c r="N154" s="50">
        <v>0</v>
      </c>
      <c r="O154" s="31">
        <f>ROUND(N154+O153,2)</f>
        <v>0</v>
      </c>
      <c r="P154" s="51" t="s">
        <v>1083</v>
      </c>
      <c r="Q154" s="51"/>
    </row>
    <row r="155" spans="1:17" s="765" customFormat="1" x14ac:dyDescent="0.25">
      <c r="A155" s="10">
        <v>43718</v>
      </c>
      <c r="B155" s="594">
        <v>0</v>
      </c>
      <c r="C155" s="31">
        <f t="shared" si="22"/>
        <v>0</v>
      </c>
      <c r="D155" s="50">
        <v>-5400000</v>
      </c>
      <c r="E155" s="31">
        <f t="shared" si="23"/>
        <v>-5400000</v>
      </c>
      <c r="F155" s="900">
        <v>0</v>
      </c>
      <c r="G155" s="899">
        <f t="shared" si="24"/>
        <v>4666.67</v>
      </c>
      <c r="H155" s="50">
        <v>0</v>
      </c>
      <c r="I155" s="31">
        <f t="shared" si="25"/>
        <v>0</v>
      </c>
      <c r="J155" s="50">
        <v>0</v>
      </c>
      <c r="K155" s="31">
        <f t="shared" si="26"/>
        <v>0</v>
      </c>
      <c r="L155" s="50">
        <v>0</v>
      </c>
      <c r="M155" s="31">
        <f t="shared" si="27"/>
        <v>0</v>
      </c>
      <c r="N155" s="50">
        <v>0</v>
      </c>
      <c r="O155" s="31">
        <f t="shared" si="28"/>
        <v>0</v>
      </c>
      <c r="P155" s="51" t="s">
        <v>1022</v>
      </c>
      <c r="Q155" s="51"/>
    </row>
    <row r="156" spans="1:17" s="765" customFormat="1" x14ac:dyDescent="0.25">
      <c r="A156" s="10">
        <v>43718</v>
      </c>
      <c r="B156" s="594">
        <v>0</v>
      </c>
      <c r="C156" s="31">
        <f t="shared" si="22"/>
        <v>0</v>
      </c>
      <c r="D156" s="50">
        <v>5000000</v>
      </c>
      <c r="E156" s="31">
        <f t="shared" si="23"/>
        <v>-400000</v>
      </c>
      <c r="F156" s="900">
        <v>0</v>
      </c>
      <c r="G156" s="899">
        <f t="shared" si="24"/>
        <v>4666.67</v>
      </c>
      <c r="H156" s="50">
        <v>0</v>
      </c>
      <c r="I156" s="31">
        <f t="shared" si="25"/>
        <v>0</v>
      </c>
      <c r="J156" s="50">
        <v>0</v>
      </c>
      <c r="K156" s="31">
        <f t="shared" si="26"/>
        <v>0</v>
      </c>
      <c r="L156" s="50">
        <v>0</v>
      </c>
      <c r="M156" s="31">
        <f t="shared" si="27"/>
        <v>0</v>
      </c>
      <c r="N156" s="50">
        <v>0</v>
      </c>
      <c r="O156" s="31">
        <f t="shared" si="28"/>
        <v>0</v>
      </c>
      <c r="P156" s="51" t="s">
        <v>1084</v>
      </c>
      <c r="Q156" s="51"/>
    </row>
    <row r="157" spans="1:17" s="765" customFormat="1" x14ac:dyDescent="0.25">
      <c r="A157" s="10">
        <v>43719</v>
      </c>
      <c r="B157" s="594">
        <v>0</v>
      </c>
      <c r="C157" s="31">
        <f t="shared" si="22"/>
        <v>0</v>
      </c>
      <c r="D157" s="50">
        <v>400000</v>
      </c>
      <c r="E157" s="31">
        <f t="shared" si="23"/>
        <v>0</v>
      </c>
      <c r="F157" s="900">
        <v>0</v>
      </c>
      <c r="G157" s="899">
        <f t="shared" si="24"/>
        <v>4666.67</v>
      </c>
      <c r="H157" s="50">
        <v>0</v>
      </c>
      <c r="I157" s="31">
        <f t="shared" si="25"/>
        <v>0</v>
      </c>
      <c r="J157" s="50">
        <v>0</v>
      </c>
      <c r="K157" s="31">
        <f t="shared" si="26"/>
        <v>0</v>
      </c>
      <c r="L157" s="50">
        <v>0</v>
      </c>
      <c r="M157" s="31">
        <f t="shared" si="27"/>
        <v>0</v>
      </c>
      <c r="N157" s="50">
        <v>0</v>
      </c>
      <c r="O157" s="31">
        <f t="shared" si="28"/>
        <v>0</v>
      </c>
      <c r="P157" s="51" t="s">
        <v>1022</v>
      </c>
      <c r="Q157" s="51"/>
    </row>
    <row r="158" spans="1:17" s="765" customFormat="1" x14ac:dyDescent="0.25">
      <c r="A158" s="10">
        <v>43724</v>
      </c>
      <c r="B158" s="594">
        <v>30200000</v>
      </c>
      <c r="C158" s="31">
        <f t="shared" si="22"/>
        <v>30200000</v>
      </c>
      <c r="D158" s="50">
        <v>-30398694.036111113</v>
      </c>
      <c r="E158" s="31">
        <f t="shared" si="23"/>
        <v>-30398694.039999999</v>
      </c>
      <c r="F158" s="900">
        <v>0</v>
      </c>
      <c r="G158" s="899">
        <f t="shared" si="24"/>
        <v>4666.67</v>
      </c>
      <c r="H158" s="50">
        <v>0</v>
      </c>
      <c r="I158" s="31">
        <f t="shared" si="25"/>
        <v>0</v>
      </c>
      <c r="J158" s="50">
        <v>0</v>
      </c>
      <c r="K158" s="31">
        <f t="shared" si="26"/>
        <v>0</v>
      </c>
      <c r="L158" s="50">
        <v>0</v>
      </c>
      <c r="M158" s="31">
        <f t="shared" si="27"/>
        <v>0</v>
      </c>
      <c r="N158" s="50">
        <v>0</v>
      </c>
      <c r="O158" s="31">
        <f t="shared" si="28"/>
        <v>0</v>
      </c>
      <c r="P158" s="51" t="s">
        <v>1088</v>
      </c>
      <c r="Q158" s="51"/>
    </row>
    <row r="159" spans="1:17" s="765" customFormat="1" x14ac:dyDescent="0.25">
      <c r="A159" s="10">
        <v>43724</v>
      </c>
      <c r="B159" s="594">
        <v>20000000</v>
      </c>
      <c r="C159" s="31">
        <f t="shared" si="22"/>
        <v>50200000</v>
      </c>
      <c r="D159" s="50">
        <v>-20232600</v>
      </c>
      <c r="E159" s="31">
        <f t="shared" si="23"/>
        <v>-50631294.039999999</v>
      </c>
      <c r="F159" s="900">
        <v>0</v>
      </c>
      <c r="G159" s="899">
        <f t="shared" si="24"/>
        <v>4666.67</v>
      </c>
      <c r="H159" s="50">
        <v>0</v>
      </c>
      <c r="I159" s="31">
        <f t="shared" si="25"/>
        <v>0</v>
      </c>
      <c r="J159" s="50">
        <v>0</v>
      </c>
      <c r="K159" s="31">
        <f t="shared" si="26"/>
        <v>0</v>
      </c>
      <c r="L159" s="50">
        <v>0</v>
      </c>
      <c r="M159" s="31">
        <f t="shared" si="27"/>
        <v>0</v>
      </c>
      <c r="N159" s="50">
        <v>0</v>
      </c>
      <c r="O159" s="31">
        <f t="shared" si="28"/>
        <v>0</v>
      </c>
      <c r="P159" s="51" t="s">
        <v>1089</v>
      </c>
      <c r="Q159" s="51"/>
    </row>
    <row r="160" spans="1:17" s="765" customFormat="1" x14ac:dyDescent="0.25">
      <c r="A160" s="10">
        <v>43724</v>
      </c>
      <c r="B160" s="594">
        <v>0</v>
      </c>
      <c r="C160" s="31">
        <f t="shared" si="22"/>
        <v>50200000</v>
      </c>
      <c r="D160" s="50">
        <v>50031787.605555557</v>
      </c>
      <c r="E160" s="31">
        <f t="shared" si="23"/>
        <v>-599506.43000000005</v>
      </c>
      <c r="F160" s="900">
        <v>0</v>
      </c>
      <c r="G160" s="899">
        <f t="shared" si="24"/>
        <v>4666.67</v>
      </c>
      <c r="H160" s="50">
        <v>0</v>
      </c>
      <c r="I160" s="31">
        <f t="shared" si="25"/>
        <v>0</v>
      </c>
      <c r="J160" s="50">
        <v>0</v>
      </c>
      <c r="K160" s="31">
        <f t="shared" si="26"/>
        <v>0</v>
      </c>
      <c r="L160" s="50">
        <v>0</v>
      </c>
      <c r="M160" s="31">
        <f t="shared" si="27"/>
        <v>0</v>
      </c>
      <c r="N160" s="50">
        <v>0</v>
      </c>
      <c r="O160" s="31">
        <f t="shared" si="28"/>
        <v>0</v>
      </c>
      <c r="P160" s="51" t="s">
        <v>1090</v>
      </c>
      <c r="Q160" s="51"/>
    </row>
    <row r="161" spans="1:17" s="765" customFormat="1" x14ac:dyDescent="0.25">
      <c r="A161" s="10">
        <v>43724</v>
      </c>
      <c r="B161" s="594">
        <v>7450000</v>
      </c>
      <c r="C161" s="31">
        <f t="shared" si="22"/>
        <v>57650000</v>
      </c>
      <c r="D161" s="50">
        <v>0</v>
      </c>
      <c r="E161" s="31">
        <f t="shared" si="23"/>
        <v>-599506.43000000005</v>
      </c>
      <c r="F161" s="900">
        <v>-7483189.75</v>
      </c>
      <c r="G161" s="899">
        <f t="shared" si="24"/>
        <v>-7478523.0800000001</v>
      </c>
      <c r="H161" s="50">
        <v>0</v>
      </c>
      <c r="I161" s="31">
        <f t="shared" si="25"/>
        <v>0</v>
      </c>
      <c r="J161" s="50">
        <v>0</v>
      </c>
      <c r="K161" s="31">
        <f t="shared" si="26"/>
        <v>0</v>
      </c>
      <c r="L161" s="50">
        <v>0</v>
      </c>
      <c r="M161" s="31">
        <f t="shared" si="27"/>
        <v>0</v>
      </c>
      <c r="N161" s="50">
        <v>0</v>
      </c>
      <c r="O161" s="31">
        <f t="shared" si="28"/>
        <v>0</v>
      </c>
      <c r="P161" s="51" t="s">
        <v>1091</v>
      </c>
      <c r="Q161" s="51"/>
    </row>
    <row r="162" spans="1:17" s="765" customFormat="1" x14ac:dyDescent="0.25">
      <c r="A162" s="10">
        <v>43724</v>
      </c>
      <c r="B162" s="594">
        <v>0</v>
      </c>
      <c r="C162" s="31">
        <f t="shared" si="22"/>
        <v>57650000</v>
      </c>
      <c r="D162" s="50">
        <v>-50009225.654773332</v>
      </c>
      <c r="E162" s="31">
        <f t="shared" si="23"/>
        <v>-50608732.079999998</v>
      </c>
      <c r="F162" s="900">
        <v>0</v>
      </c>
      <c r="G162" s="899">
        <f t="shared" si="24"/>
        <v>-7478523.0800000001</v>
      </c>
      <c r="H162" s="50">
        <v>0</v>
      </c>
      <c r="I162" s="31">
        <f t="shared" si="25"/>
        <v>0</v>
      </c>
      <c r="J162" s="50">
        <v>0</v>
      </c>
      <c r="K162" s="31">
        <f t="shared" si="26"/>
        <v>0</v>
      </c>
      <c r="L162" s="50">
        <v>0</v>
      </c>
      <c r="M162" s="31">
        <f t="shared" si="27"/>
        <v>0</v>
      </c>
      <c r="N162" s="50">
        <v>0</v>
      </c>
      <c r="O162" s="31">
        <f t="shared" si="28"/>
        <v>0</v>
      </c>
      <c r="P162" s="51" t="s">
        <v>1092</v>
      </c>
      <c r="Q162" s="51"/>
    </row>
    <row r="163" spans="1:17" s="765" customFormat="1" x14ac:dyDescent="0.25">
      <c r="A163" s="10">
        <v>43724</v>
      </c>
      <c r="B163" s="594">
        <v>0</v>
      </c>
      <c r="C163" s="31">
        <f t="shared" si="22"/>
        <v>57650000</v>
      </c>
      <c r="D163" s="50">
        <v>0</v>
      </c>
      <c r="E163" s="31">
        <f t="shared" si="23"/>
        <v>-50608732.079999998</v>
      </c>
      <c r="F163" s="900">
        <v>18206.25</v>
      </c>
      <c r="G163" s="899">
        <f t="shared" si="24"/>
        <v>-7460316.8300000001</v>
      </c>
      <c r="H163" s="50">
        <v>0</v>
      </c>
      <c r="I163" s="31">
        <f t="shared" si="25"/>
        <v>0</v>
      </c>
      <c r="J163" s="50">
        <v>0</v>
      </c>
      <c r="K163" s="31">
        <f t="shared" si="26"/>
        <v>0</v>
      </c>
      <c r="L163" s="50">
        <v>0</v>
      </c>
      <c r="M163" s="31">
        <f t="shared" si="27"/>
        <v>0</v>
      </c>
      <c r="N163" s="50">
        <v>0</v>
      </c>
      <c r="O163" s="31">
        <f t="shared" si="28"/>
        <v>0</v>
      </c>
      <c r="P163" s="51" t="s">
        <v>1093</v>
      </c>
      <c r="Q163" s="51"/>
    </row>
    <row r="164" spans="1:17" s="765" customFormat="1" x14ac:dyDescent="0.25">
      <c r="A164" s="10">
        <v>43724</v>
      </c>
      <c r="B164" s="594">
        <v>0</v>
      </c>
      <c r="C164" s="31">
        <f t="shared" si="22"/>
        <v>57650000</v>
      </c>
      <c r="D164" s="594">
        <v>46093.750000000007</v>
      </c>
      <c r="E164" s="31">
        <f t="shared" si="23"/>
        <v>-50562638.329999998</v>
      </c>
      <c r="F164" s="900">
        <v>0</v>
      </c>
      <c r="G164" s="899">
        <f t="shared" si="24"/>
        <v>-7460316.8300000001</v>
      </c>
      <c r="H164" s="50">
        <v>0</v>
      </c>
      <c r="I164" s="31">
        <f t="shared" si="25"/>
        <v>0</v>
      </c>
      <c r="J164" s="50">
        <v>0</v>
      </c>
      <c r="K164" s="31">
        <f t="shared" si="26"/>
        <v>0</v>
      </c>
      <c r="L164" s="50">
        <v>0</v>
      </c>
      <c r="M164" s="31">
        <f t="shared" si="27"/>
        <v>0</v>
      </c>
      <c r="N164" s="50">
        <v>0</v>
      </c>
      <c r="O164" s="31">
        <f t="shared" si="28"/>
        <v>0</v>
      </c>
      <c r="P164" s="51" t="s">
        <v>1094</v>
      </c>
      <c r="Q164" s="51"/>
    </row>
    <row r="165" spans="1:17" s="765" customFormat="1" x14ac:dyDescent="0.25">
      <c r="A165" s="10">
        <v>43724</v>
      </c>
      <c r="B165" s="594">
        <v>0</v>
      </c>
      <c r="C165" s="31">
        <f t="shared" si="22"/>
        <v>57650000</v>
      </c>
      <c r="D165" s="50">
        <v>6543.75</v>
      </c>
      <c r="E165" s="31">
        <f t="shared" si="23"/>
        <v>-50556094.579999998</v>
      </c>
      <c r="F165" s="900">
        <v>0</v>
      </c>
      <c r="G165" s="899">
        <f t="shared" si="24"/>
        <v>-7460316.8300000001</v>
      </c>
      <c r="H165" s="50">
        <v>0</v>
      </c>
      <c r="I165" s="31">
        <f t="shared" si="25"/>
        <v>0</v>
      </c>
      <c r="J165" s="50">
        <v>0</v>
      </c>
      <c r="K165" s="31">
        <f t="shared" si="26"/>
        <v>0</v>
      </c>
      <c r="L165" s="50">
        <v>0</v>
      </c>
      <c r="M165" s="31">
        <f t="shared" si="27"/>
        <v>0</v>
      </c>
      <c r="N165" s="50">
        <v>0</v>
      </c>
      <c r="O165" s="31">
        <f t="shared" si="28"/>
        <v>0</v>
      </c>
      <c r="P165" s="51" t="s">
        <v>1095</v>
      </c>
      <c r="Q165" s="51"/>
    </row>
    <row r="166" spans="1:17" s="765" customFormat="1" x14ac:dyDescent="0.25">
      <c r="A166" s="10">
        <v>43724</v>
      </c>
      <c r="B166" s="594">
        <v>0</v>
      </c>
      <c r="C166" s="31">
        <f t="shared" si="22"/>
        <v>57650000</v>
      </c>
      <c r="D166" s="50">
        <v>0</v>
      </c>
      <c r="E166" s="31">
        <f t="shared" si="23"/>
        <v>-50556094.579999998</v>
      </c>
      <c r="F166" s="900">
        <v>33189.75</v>
      </c>
      <c r="G166" s="899">
        <f t="shared" si="24"/>
        <v>-7427127.0800000001</v>
      </c>
      <c r="H166" s="50">
        <v>0</v>
      </c>
      <c r="I166" s="31">
        <f t="shared" si="25"/>
        <v>0</v>
      </c>
      <c r="J166" s="50">
        <v>0</v>
      </c>
      <c r="K166" s="31">
        <f t="shared" si="26"/>
        <v>0</v>
      </c>
      <c r="L166" s="50">
        <v>0</v>
      </c>
      <c r="M166" s="31">
        <f t="shared" si="27"/>
        <v>0</v>
      </c>
      <c r="N166" s="50">
        <v>0</v>
      </c>
      <c r="O166" s="31">
        <f t="shared" si="28"/>
        <v>0</v>
      </c>
      <c r="P166" s="51" t="s">
        <v>1096</v>
      </c>
      <c r="Q166" s="51"/>
    </row>
    <row r="167" spans="1:17" s="765" customFormat="1" x14ac:dyDescent="0.25">
      <c r="A167" s="10">
        <v>43724</v>
      </c>
      <c r="B167" s="594">
        <v>0</v>
      </c>
      <c r="C167" s="31">
        <f t="shared" si="22"/>
        <v>57650000</v>
      </c>
      <c r="D167" s="50">
        <v>111694</v>
      </c>
      <c r="E167" s="31">
        <f t="shared" si="23"/>
        <v>-50444400.579999998</v>
      </c>
      <c r="F167" s="900">
        <v>0</v>
      </c>
      <c r="G167" s="899">
        <f t="shared" si="24"/>
        <v>-7427127.0800000001</v>
      </c>
      <c r="H167" s="50">
        <v>0</v>
      </c>
      <c r="I167" s="31">
        <f t="shared" si="25"/>
        <v>0</v>
      </c>
      <c r="J167" s="50">
        <v>0</v>
      </c>
      <c r="K167" s="31">
        <f t="shared" si="26"/>
        <v>0</v>
      </c>
      <c r="L167" s="50">
        <v>0</v>
      </c>
      <c r="M167" s="31">
        <f t="shared" si="27"/>
        <v>0</v>
      </c>
      <c r="N167" s="50">
        <v>0</v>
      </c>
      <c r="O167" s="31">
        <f t="shared" si="28"/>
        <v>0</v>
      </c>
      <c r="P167" s="51" t="s">
        <v>1097</v>
      </c>
      <c r="Q167" s="51"/>
    </row>
    <row r="168" spans="1:17" s="765" customFormat="1" x14ac:dyDescent="0.25">
      <c r="A168" s="10">
        <v>43724</v>
      </c>
      <c r="B168" s="594">
        <v>0</v>
      </c>
      <c r="C168" s="31">
        <f t="shared" si="22"/>
        <v>57650000</v>
      </c>
      <c r="D168" s="50">
        <v>14807.916666666744</v>
      </c>
      <c r="E168" s="31">
        <f t="shared" si="23"/>
        <v>-50429592.659999996</v>
      </c>
      <c r="F168" s="900">
        <v>0</v>
      </c>
      <c r="G168" s="899">
        <f t="shared" si="24"/>
        <v>-7427127.0800000001</v>
      </c>
      <c r="H168" s="50">
        <v>0</v>
      </c>
      <c r="I168" s="31">
        <f t="shared" si="25"/>
        <v>0</v>
      </c>
      <c r="J168" s="50">
        <v>0</v>
      </c>
      <c r="K168" s="31">
        <f t="shared" si="26"/>
        <v>0</v>
      </c>
      <c r="L168" s="50">
        <v>0</v>
      </c>
      <c r="M168" s="31">
        <f t="shared" si="27"/>
        <v>0</v>
      </c>
      <c r="N168" s="50">
        <v>0</v>
      </c>
      <c r="O168" s="31">
        <f t="shared" si="28"/>
        <v>0</v>
      </c>
      <c r="P168" s="51" t="s">
        <v>1098</v>
      </c>
      <c r="Q168" s="51"/>
    </row>
    <row r="169" spans="1:17" s="765" customFormat="1" x14ac:dyDescent="0.25">
      <c r="A169" s="10">
        <v>43724</v>
      </c>
      <c r="B169" s="594">
        <v>0</v>
      </c>
      <c r="C169" s="31">
        <f t="shared" si="22"/>
        <v>57650000</v>
      </c>
      <c r="D169" s="50">
        <v>54295.694444444031</v>
      </c>
      <c r="E169" s="31">
        <f t="shared" si="23"/>
        <v>-50375296.969999999</v>
      </c>
      <c r="F169" s="900">
        <v>0</v>
      </c>
      <c r="G169" s="899">
        <f t="shared" si="24"/>
        <v>-7427127.0800000001</v>
      </c>
      <c r="H169" s="50">
        <v>0</v>
      </c>
      <c r="I169" s="31">
        <f t="shared" si="25"/>
        <v>0</v>
      </c>
      <c r="J169" s="50">
        <v>0</v>
      </c>
      <c r="K169" s="31">
        <f t="shared" si="26"/>
        <v>0</v>
      </c>
      <c r="L169" s="50">
        <v>0</v>
      </c>
      <c r="M169" s="31">
        <f t="shared" si="27"/>
        <v>0</v>
      </c>
      <c r="N169" s="50">
        <v>0</v>
      </c>
      <c r="O169" s="31">
        <f t="shared" si="28"/>
        <v>0</v>
      </c>
      <c r="P169" s="51" t="s">
        <v>1099</v>
      </c>
      <c r="Q169" s="51"/>
    </row>
    <row r="170" spans="1:17" s="765" customFormat="1" x14ac:dyDescent="0.25">
      <c r="A170" s="10">
        <v>43724</v>
      </c>
      <c r="B170" s="594">
        <v>0</v>
      </c>
      <c r="C170" s="31">
        <f t="shared" si="22"/>
        <v>57650000</v>
      </c>
      <c r="D170" s="50">
        <v>13327.12</v>
      </c>
      <c r="E170" s="31">
        <f t="shared" si="23"/>
        <v>-50361969.850000001</v>
      </c>
      <c r="F170" s="900">
        <v>0</v>
      </c>
      <c r="G170" s="899">
        <f t="shared" si="24"/>
        <v>-7427127.0800000001</v>
      </c>
      <c r="H170" s="50">
        <v>0</v>
      </c>
      <c r="I170" s="31">
        <f t="shared" si="25"/>
        <v>0</v>
      </c>
      <c r="J170" s="50">
        <v>0</v>
      </c>
      <c r="K170" s="31">
        <f t="shared" si="26"/>
        <v>0</v>
      </c>
      <c r="L170" s="50">
        <v>0</v>
      </c>
      <c r="M170" s="31">
        <f t="shared" si="27"/>
        <v>0</v>
      </c>
      <c r="N170" s="50">
        <v>0</v>
      </c>
      <c r="O170" s="31">
        <f t="shared" si="28"/>
        <v>0</v>
      </c>
      <c r="P170" s="51" t="s">
        <v>1100</v>
      </c>
      <c r="Q170" s="51"/>
    </row>
    <row r="171" spans="1:17" s="765" customFormat="1" x14ac:dyDescent="0.25">
      <c r="A171" s="10">
        <v>43724</v>
      </c>
      <c r="B171" s="594">
        <v>0</v>
      </c>
      <c r="C171" s="31">
        <f t="shared" si="22"/>
        <v>57650000</v>
      </c>
      <c r="D171" s="50">
        <v>4569.3</v>
      </c>
      <c r="E171" s="31">
        <f t="shared" si="23"/>
        <v>-50357400.549999997</v>
      </c>
      <c r="F171" s="900">
        <v>0</v>
      </c>
      <c r="G171" s="899">
        <f t="shared" si="24"/>
        <v>-7427127.0800000001</v>
      </c>
      <c r="H171" s="50">
        <v>0</v>
      </c>
      <c r="I171" s="31">
        <f t="shared" si="25"/>
        <v>0</v>
      </c>
      <c r="J171" s="50">
        <v>0</v>
      </c>
      <c r="K171" s="31">
        <f t="shared" si="26"/>
        <v>0</v>
      </c>
      <c r="L171" s="50">
        <v>0</v>
      </c>
      <c r="M171" s="31">
        <f t="shared" si="27"/>
        <v>0</v>
      </c>
      <c r="N171" s="50">
        <v>0</v>
      </c>
      <c r="O171" s="31">
        <f t="shared" si="28"/>
        <v>0</v>
      </c>
      <c r="P171" s="51" t="s">
        <v>1101</v>
      </c>
      <c r="Q171" s="51"/>
    </row>
    <row r="172" spans="1:17" s="765" customFormat="1" x14ac:dyDescent="0.25">
      <c r="A172" s="10">
        <v>43724</v>
      </c>
      <c r="B172" s="594">
        <v>0</v>
      </c>
      <c r="C172" s="31">
        <f t="shared" si="22"/>
        <v>57650000</v>
      </c>
      <c r="D172" s="50">
        <v>232600</v>
      </c>
      <c r="E172" s="31">
        <f t="shared" si="23"/>
        <v>-50124800.549999997</v>
      </c>
      <c r="F172" s="900">
        <v>0</v>
      </c>
      <c r="G172" s="899">
        <f t="shared" si="24"/>
        <v>-7427127.0800000001</v>
      </c>
      <c r="H172" s="50">
        <v>0</v>
      </c>
      <c r="I172" s="31">
        <f t="shared" si="25"/>
        <v>0</v>
      </c>
      <c r="J172" s="50">
        <v>0</v>
      </c>
      <c r="K172" s="31">
        <f t="shared" si="26"/>
        <v>0</v>
      </c>
      <c r="L172" s="50">
        <v>0</v>
      </c>
      <c r="M172" s="31">
        <f t="shared" si="27"/>
        <v>0</v>
      </c>
      <c r="N172" s="50">
        <v>0</v>
      </c>
      <c r="O172" s="31">
        <f t="shared" si="28"/>
        <v>0</v>
      </c>
      <c r="P172" s="51" t="s">
        <v>1102</v>
      </c>
      <c r="Q172" s="51"/>
    </row>
    <row r="173" spans="1:17" s="765" customFormat="1" x14ac:dyDescent="0.25">
      <c r="A173" s="10">
        <v>43724</v>
      </c>
      <c r="B173" s="594">
        <v>3600000</v>
      </c>
      <c r="C173" s="31">
        <f>ROUND(B173+C172,2)</f>
        <v>61250000</v>
      </c>
      <c r="D173" s="50">
        <v>0</v>
      </c>
      <c r="E173" s="31">
        <f>ROUND(D173+E172,2)</f>
        <v>-50124800.549999997</v>
      </c>
      <c r="F173" s="900">
        <v>-3600000</v>
      </c>
      <c r="G173" s="899">
        <f>ROUND(F173+G172,2)</f>
        <v>-11027127.08</v>
      </c>
      <c r="H173" s="50">
        <v>0</v>
      </c>
      <c r="I173" s="31">
        <f>ROUND(H173+I172,2)</f>
        <v>0</v>
      </c>
      <c r="J173" s="50">
        <v>0</v>
      </c>
      <c r="K173" s="31">
        <f>ROUND(J173+K172,2)</f>
        <v>0</v>
      </c>
      <c r="L173" s="50">
        <v>0</v>
      </c>
      <c r="M173" s="31">
        <f>ROUND(L173+M172,2)</f>
        <v>0</v>
      </c>
      <c r="N173" s="50">
        <v>0</v>
      </c>
      <c r="O173" s="31">
        <f>ROUND(N173+O172,2)</f>
        <v>0</v>
      </c>
      <c r="P173" s="51" t="s">
        <v>1012</v>
      </c>
      <c r="Q173" s="51"/>
    </row>
    <row r="174" spans="1:17" s="765" customFormat="1" x14ac:dyDescent="0.25">
      <c r="A174" s="10">
        <v>43724</v>
      </c>
      <c r="B174" s="594">
        <v>2000000</v>
      </c>
      <c r="C174" s="31">
        <f>ROUND(B174+C173,2)</f>
        <v>63250000</v>
      </c>
      <c r="D174" s="50">
        <v>-2000000</v>
      </c>
      <c r="E174" s="31">
        <f>ROUND(D174+E173,2)</f>
        <v>-52124800.549999997</v>
      </c>
      <c r="F174" s="900">
        <v>0</v>
      </c>
      <c r="G174" s="899">
        <f>ROUND(F174+G173,2)</f>
        <v>-11027127.08</v>
      </c>
      <c r="H174" s="50">
        <v>0</v>
      </c>
      <c r="I174" s="31">
        <f>ROUND(H174+I173,2)</f>
        <v>0</v>
      </c>
      <c r="J174" s="50">
        <v>0</v>
      </c>
      <c r="K174" s="31">
        <f>ROUND(J174+K173,2)</f>
        <v>0</v>
      </c>
      <c r="L174" s="50">
        <v>0</v>
      </c>
      <c r="M174" s="31">
        <f>ROUND(L174+M173,2)</f>
        <v>0</v>
      </c>
      <c r="N174" s="50">
        <v>0</v>
      </c>
      <c r="O174" s="31">
        <f>ROUND(N174+O173,2)</f>
        <v>0</v>
      </c>
      <c r="P174" s="51" t="s">
        <v>831</v>
      </c>
      <c r="Q174" s="51"/>
    </row>
    <row r="175" spans="1:17" s="765" customFormat="1" x14ac:dyDescent="0.25">
      <c r="A175" s="10">
        <v>43724</v>
      </c>
      <c r="B175" s="594">
        <v>0</v>
      </c>
      <c r="C175" s="31">
        <f t="shared" si="22"/>
        <v>63250000</v>
      </c>
      <c r="D175" s="50">
        <v>325000</v>
      </c>
      <c r="E175" s="31">
        <f t="shared" si="23"/>
        <v>-51799800.549999997</v>
      </c>
      <c r="F175" s="900">
        <v>0</v>
      </c>
      <c r="G175" s="899">
        <f t="shared" si="24"/>
        <v>-11027127.08</v>
      </c>
      <c r="H175" s="50">
        <v>0</v>
      </c>
      <c r="I175" s="31">
        <f t="shared" si="25"/>
        <v>0</v>
      </c>
      <c r="J175" s="50">
        <v>0</v>
      </c>
      <c r="K175" s="31">
        <f t="shared" si="26"/>
        <v>0</v>
      </c>
      <c r="L175" s="50">
        <v>0</v>
      </c>
      <c r="M175" s="31">
        <f t="shared" si="27"/>
        <v>0</v>
      </c>
      <c r="N175" s="50">
        <v>0</v>
      </c>
      <c r="O175" s="31">
        <f t="shared" si="28"/>
        <v>0</v>
      </c>
      <c r="P175" s="51" t="s">
        <v>1084</v>
      </c>
      <c r="Q175" s="51"/>
    </row>
    <row r="176" spans="1:17" s="765" customFormat="1" x14ac:dyDescent="0.25">
      <c r="A176" s="10">
        <v>43724</v>
      </c>
      <c r="B176" s="594">
        <v>0</v>
      </c>
      <c r="C176" s="31">
        <f t="shared" si="22"/>
        <v>63250000</v>
      </c>
      <c r="D176" s="50">
        <v>49655536.700000003</v>
      </c>
      <c r="E176" s="31">
        <f t="shared" si="23"/>
        <v>-2144263.85</v>
      </c>
      <c r="F176" s="900">
        <v>0</v>
      </c>
      <c r="G176" s="899">
        <f t="shared" si="24"/>
        <v>-11027127.08</v>
      </c>
      <c r="H176" s="50">
        <v>0</v>
      </c>
      <c r="I176" s="31">
        <f t="shared" si="25"/>
        <v>0</v>
      </c>
      <c r="J176" s="50">
        <v>0</v>
      </c>
      <c r="K176" s="31">
        <f t="shared" si="26"/>
        <v>0</v>
      </c>
      <c r="L176" s="50">
        <v>0</v>
      </c>
      <c r="M176" s="31">
        <f t="shared" si="27"/>
        <v>0</v>
      </c>
      <c r="N176" s="50">
        <v>0</v>
      </c>
      <c r="O176" s="31">
        <f t="shared" si="28"/>
        <v>0</v>
      </c>
      <c r="P176" s="51" t="s">
        <v>1084</v>
      </c>
      <c r="Q176" s="51"/>
    </row>
    <row r="177" spans="1:17" s="765" customFormat="1" x14ac:dyDescent="0.25">
      <c r="A177" s="10">
        <v>43724</v>
      </c>
      <c r="B177" s="594">
        <v>0</v>
      </c>
      <c r="C177" s="31">
        <f t="shared" si="22"/>
        <v>63250000</v>
      </c>
      <c r="D177" s="50">
        <v>-49800000</v>
      </c>
      <c r="E177" s="31">
        <f t="shared" si="23"/>
        <v>-51944263.850000001</v>
      </c>
      <c r="F177" s="900">
        <v>0</v>
      </c>
      <c r="G177" s="899">
        <f t="shared" si="24"/>
        <v>-11027127.08</v>
      </c>
      <c r="H177" s="50">
        <v>0</v>
      </c>
      <c r="I177" s="31">
        <f t="shared" si="25"/>
        <v>0</v>
      </c>
      <c r="J177" s="50">
        <v>0</v>
      </c>
      <c r="K177" s="31">
        <f t="shared" si="26"/>
        <v>0</v>
      </c>
      <c r="L177" s="50">
        <v>0</v>
      </c>
      <c r="M177" s="31">
        <f t="shared" si="27"/>
        <v>0</v>
      </c>
      <c r="N177" s="50">
        <v>0</v>
      </c>
      <c r="O177" s="31">
        <f t="shared" si="28"/>
        <v>0</v>
      </c>
      <c r="P177" s="51" t="s">
        <v>1103</v>
      </c>
      <c r="Q177" s="51"/>
    </row>
    <row r="178" spans="1:17" s="765" customFormat="1" x14ac:dyDescent="0.25">
      <c r="A178" s="10">
        <v>43724</v>
      </c>
      <c r="B178" s="594">
        <v>-30200000</v>
      </c>
      <c r="C178" s="31">
        <f t="shared" si="22"/>
        <v>33050000</v>
      </c>
      <c r="D178" s="50">
        <v>30200000</v>
      </c>
      <c r="E178" s="31">
        <f t="shared" si="23"/>
        <v>-21744263.850000001</v>
      </c>
      <c r="F178" s="900">
        <v>0</v>
      </c>
      <c r="G178" s="899">
        <f t="shared" si="24"/>
        <v>-11027127.08</v>
      </c>
      <c r="H178" s="50">
        <v>0</v>
      </c>
      <c r="I178" s="31">
        <f t="shared" si="25"/>
        <v>0</v>
      </c>
      <c r="J178" s="50">
        <v>0</v>
      </c>
      <c r="K178" s="31">
        <f t="shared" si="26"/>
        <v>0</v>
      </c>
      <c r="L178" s="50">
        <v>0</v>
      </c>
      <c r="M178" s="31">
        <f t="shared" si="27"/>
        <v>0</v>
      </c>
      <c r="N178" s="50">
        <v>0</v>
      </c>
      <c r="O178" s="31">
        <f t="shared" si="28"/>
        <v>0</v>
      </c>
      <c r="P178" s="51" t="s">
        <v>881</v>
      </c>
      <c r="Q178" s="51"/>
    </row>
    <row r="179" spans="1:17" s="765" customFormat="1" x14ac:dyDescent="0.25">
      <c r="A179" s="10">
        <v>43724</v>
      </c>
      <c r="B179" s="594">
        <v>-22000000</v>
      </c>
      <c r="C179" s="31">
        <f t="shared" si="22"/>
        <v>11050000</v>
      </c>
      <c r="D179" s="50">
        <v>22000000</v>
      </c>
      <c r="E179" s="31">
        <f t="shared" si="23"/>
        <v>255736.15</v>
      </c>
      <c r="F179" s="900">
        <v>0</v>
      </c>
      <c r="G179" s="899">
        <f t="shared" si="24"/>
        <v>-11027127.08</v>
      </c>
      <c r="H179" s="50">
        <v>0</v>
      </c>
      <c r="I179" s="31">
        <f t="shared" si="25"/>
        <v>0</v>
      </c>
      <c r="J179" s="50">
        <v>0</v>
      </c>
      <c r="K179" s="31">
        <f t="shared" si="26"/>
        <v>0</v>
      </c>
      <c r="L179" s="50">
        <v>0</v>
      </c>
      <c r="M179" s="31">
        <f t="shared" si="27"/>
        <v>0</v>
      </c>
      <c r="N179" s="50">
        <v>0</v>
      </c>
      <c r="O179" s="31">
        <f t="shared" si="28"/>
        <v>0</v>
      </c>
      <c r="P179" s="51" t="s">
        <v>1104</v>
      </c>
      <c r="Q179" s="51"/>
    </row>
    <row r="180" spans="1:17" s="765" customFormat="1" x14ac:dyDescent="0.25">
      <c r="A180" s="10">
        <v>43724</v>
      </c>
      <c r="B180" s="594">
        <f>-7450000-3600000</f>
        <v>-11050000</v>
      </c>
      <c r="C180" s="31">
        <f>ROUND(B180+C179,2)</f>
        <v>0</v>
      </c>
      <c r="D180" s="50">
        <v>0</v>
      </c>
      <c r="E180" s="31">
        <f>ROUND(D180+E179,2)</f>
        <v>255736.15</v>
      </c>
      <c r="F180" s="900">
        <v>11050000</v>
      </c>
      <c r="G180" s="899">
        <f>ROUND(F180+G179,2)</f>
        <v>22872.92</v>
      </c>
      <c r="H180" s="50">
        <v>0</v>
      </c>
      <c r="I180" s="31">
        <f>ROUND(H180+I179,2)</f>
        <v>0</v>
      </c>
      <c r="J180" s="50">
        <v>0</v>
      </c>
      <c r="K180" s="31">
        <f>ROUND(J180+K179,2)</f>
        <v>0</v>
      </c>
      <c r="L180" s="50">
        <v>0</v>
      </c>
      <c r="M180" s="31">
        <f>ROUND(L180+M179,2)</f>
        <v>0</v>
      </c>
      <c r="N180" s="50">
        <v>0</v>
      </c>
      <c r="O180" s="31">
        <f>ROUND(N180+O179,2)</f>
        <v>0</v>
      </c>
      <c r="P180" s="51" t="s">
        <v>1105</v>
      </c>
      <c r="Q180" s="51"/>
    </row>
    <row r="181" spans="1:17" s="765" customFormat="1" x14ac:dyDescent="0.25">
      <c r="A181" s="10">
        <v>43724</v>
      </c>
      <c r="B181" s="594">
        <v>0</v>
      </c>
      <c r="C181" s="31">
        <f t="shared" si="22"/>
        <v>0</v>
      </c>
      <c r="D181" s="50">
        <v>55346.44</v>
      </c>
      <c r="E181" s="31">
        <f t="shared" si="23"/>
        <v>311082.59000000003</v>
      </c>
      <c r="F181" s="900">
        <v>0</v>
      </c>
      <c r="G181" s="899">
        <f t="shared" si="24"/>
        <v>22872.92</v>
      </c>
      <c r="H181" s="50">
        <v>0</v>
      </c>
      <c r="I181" s="31">
        <f t="shared" si="25"/>
        <v>0</v>
      </c>
      <c r="J181" s="50">
        <v>0</v>
      </c>
      <c r="K181" s="31">
        <f t="shared" si="26"/>
        <v>0</v>
      </c>
      <c r="L181" s="50">
        <v>0</v>
      </c>
      <c r="M181" s="31">
        <f t="shared" si="27"/>
        <v>0</v>
      </c>
      <c r="N181" s="50">
        <v>0</v>
      </c>
      <c r="O181" s="31">
        <f t="shared" si="28"/>
        <v>0</v>
      </c>
      <c r="P181" s="51" t="s">
        <v>845</v>
      </c>
      <c r="Q181" s="51"/>
    </row>
    <row r="182" spans="1:17" s="765" customFormat="1" x14ac:dyDescent="0.25">
      <c r="A182" s="10">
        <v>43726</v>
      </c>
      <c r="B182" s="594">
        <v>0</v>
      </c>
      <c r="C182" s="31">
        <f t="shared" si="22"/>
        <v>0</v>
      </c>
      <c r="D182" s="50">
        <v>0</v>
      </c>
      <c r="E182" s="31">
        <f t="shared" si="23"/>
        <v>311082.59000000003</v>
      </c>
      <c r="F182" s="900">
        <v>0</v>
      </c>
      <c r="G182" s="899">
        <f t="shared" si="24"/>
        <v>22872.92</v>
      </c>
      <c r="H182" s="50">
        <v>-103.53</v>
      </c>
      <c r="I182" s="31">
        <f t="shared" si="25"/>
        <v>-103.53</v>
      </c>
      <c r="J182" s="50">
        <v>0</v>
      </c>
      <c r="K182" s="31">
        <f t="shared" si="26"/>
        <v>0</v>
      </c>
      <c r="L182" s="50">
        <v>0</v>
      </c>
      <c r="M182" s="31">
        <f t="shared" si="27"/>
        <v>0</v>
      </c>
      <c r="N182" s="50">
        <v>0</v>
      </c>
      <c r="O182" s="31">
        <f t="shared" si="28"/>
        <v>0</v>
      </c>
      <c r="P182" s="51" t="s">
        <v>1153</v>
      </c>
      <c r="Q182" s="51"/>
    </row>
    <row r="183" spans="1:17" s="765" customFormat="1" x14ac:dyDescent="0.25">
      <c r="A183" s="10">
        <v>43726</v>
      </c>
      <c r="B183" s="594">
        <v>0</v>
      </c>
      <c r="C183" s="31">
        <f t="shared" si="22"/>
        <v>0</v>
      </c>
      <c r="D183" s="50">
        <v>0</v>
      </c>
      <c r="E183" s="31">
        <f t="shared" si="23"/>
        <v>311082.59000000003</v>
      </c>
      <c r="F183" s="900">
        <v>0</v>
      </c>
      <c r="G183" s="899">
        <f t="shared" si="24"/>
        <v>22872.92</v>
      </c>
      <c r="H183" s="50">
        <v>103.53</v>
      </c>
      <c r="I183" s="31">
        <f t="shared" si="25"/>
        <v>0</v>
      </c>
      <c r="J183" s="50">
        <v>0</v>
      </c>
      <c r="K183" s="31">
        <f t="shared" si="26"/>
        <v>0</v>
      </c>
      <c r="L183" s="50">
        <v>0</v>
      </c>
      <c r="M183" s="31">
        <f t="shared" si="27"/>
        <v>0</v>
      </c>
      <c r="N183" s="50">
        <v>0</v>
      </c>
      <c r="O183" s="31">
        <f t="shared" si="28"/>
        <v>0</v>
      </c>
      <c r="P183" s="51" t="s">
        <v>845</v>
      </c>
      <c r="Q183" s="51"/>
    </row>
    <row r="184" spans="1:17" s="765" customFormat="1" x14ac:dyDescent="0.25">
      <c r="A184" s="10">
        <v>43727</v>
      </c>
      <c r="B184" s="594">
        <v>0</v>
      </c>
      <c r="C184" s="31">
        <f t="shared" si="22"/>
        <v>0</v>
      </c>
      <c r="D184" s="50">
        <v>-79150.429999999993</v>
      </c>
      <c r="E184" s="31">
        <f t="shared" si="23"/>
        <v>231932.16</v>
      </c>
      <c r="F184" s="900">
        <v>0</v>
      </c>
      <c r="G184" s="899">
        <f t="shared" si="24"/>
        <v>22872.92</v>
      </c>
      <c r="H184" s="50">
        <v>0</v>
      </c>
      <c r="I184" s="31">
        <f t="shared" si="25"/>
        <v>0</v>
      </c>
      <c r="J184" s="50">
        <v>0</v>
      </c>
      <c r="K184" s="31">
        <f t="shared" si="26"/>
        <v>0</v>
      </c>
      <c r="L184" s="50">
        <v>0</v>
      </c>
      <c r="M184" s="31">
        <f t="shared" si="27"/>
        <v>0</v>
      </c>
      <c r="N184" s="50">
        <v>0</v>
      </c>
      <c r="O184" s="31">
        <f t="shared" si="28"/>
        <v>0</v>
      </c>
      <c r="P184" s="51" t="s">
        <v>845</v>
      </c>
      <c r="Q184" s="51"/>
    </row>
    <row r="185" spans="1:17" s="765" customFormat="1" x14ac:dyDescent="0.25">
      <c r="A185" s="10">
        <v>43728</v>
      </c>
      <c r="B185" s="594">
        <v>0</v>
      </c>
      <c r="C185" s="31">
        <f>ROUND(B185+C184,2)</f>
        <v>0</v>
      </c>
      <c r="D185" s="50">
        <v>-6312.04</v>
      </c>
      <c r="E185" s="31">
        <f>ROUND(D185+E184,2)</f>
        <v>225620.12</v>
      </c>
      <c r="F185" s="900">
        <v>0</v>
      </c>
      <c r="G185" s="899">
        <f>ROUND(F185+G184,2)</f>
        <v>22872.92</v>
      </c>
      <c r="H185" s="50">
        <v>6312.04</v>
      </c>
      <c r="I185" s="31">
        <f>ROUND(H185+I184,2)</f>
        <v>6312.04</v>
      </c>
      <c r="J185" s="50">
        <v>0</v>
      </c>
      <c r="K185" s="31">
        <f>ROUND(J185+K184,2)</f>
        <v>0</v>
      </c>
      <c r="L185" s="50">
        <v>0</v>
      </c>
      <c r="M185" s="31">
        <f>ROUND(L185+M184,2)</f>
        <v>0</v>
      </c>
      <c r="N185" s="50">
        <v>0</v>
      </c>
      <c r="O185" s="31">
        <f>ROUND(N185+O184,2)</f>
        <v>0</v>
      </c>
      <c r="P185" s="51" t="s">
        <v>1155</v>
      </c>
      <c r="Q185" s="51"/>
    </row>
    <row r="186" spans="1:17" s="765" customFormat="1" x14ac:dyDescent="0.25">
      <c r="A186" s="10">
        <v>43728</v>
      </c>
      <c r="B186" s="594">
        <v>0</v>
      </c>
      <c r="C186" s="31">
        <f>ROUND(B186+C185,2)</f>
        <v>0</v>
      </c>
      <c r="D186" s="50">
        <v>-20178.400000000001</v>
      </c>
      <c r="E186" s="31">
        <f>ROUND(D186+E185,2)</f>
        <v>205441.72</v>
      </c>
      <c r="F186" s="900">
        <v>0</v>
      </c>
      <c r="G186" s="899">
        <f>ROUND(F186+G185,2)</f>
        <v>22872.92</v>
      </c>
      <c r="H186" s="50">
        <v>0</v>
      </c>
      <c r="I186" s="31">
        <f>ROUND(H186+I185,2)</f>
        <v>6312.04</v>
      </c>
      <c r="J186" s="50">
        <v>0</v>
      </c>
      <c r="K186" s="31">
        <f>ROUND(J186+K185,2)</f>
        <v>0</v>
      </c>
      <c r="L186" s="50">
        <v>20178.400000000001</v>
      </c>
      <c r="M186" s="31">
        <f>ROUND(L186+M185,2)</f>
        <v>20178.400000000001</v>
      </c>
      <c r="N186" s="50">
        <v>0</v>
      </c>
      <c r="O186" s="31">
        <f>ROUND(N186+O185,2)</f>
        <v>0</v>
      </c>
      <c r="P186" s="51" t="s">
        <v>1156</v>
      </c>
      <c r="Q186" s="51"/>
    </row>
    <row r="187" spans="1:17" s="765" customFormat="1" x14ac:dyDescent="0.25">
      <c r="A187" s="10">
        <v>43728</v>
      </c>
      <c r="B187" s="594">
        <v>0</v>
      </c>
      <c r="C187" s="31">
        <f t="shared" si="22"/>
        <v>0</v>
      </c>
      <c r="D187" s="50">
        <v>0</v>
      </c>
      <c r="E187" s="31">
        <f t="shared" si="23"/>
        <v>205441.72</v>
      </c>
      <c r="F187" s="900">
        <v>0</v>
      </c>
      <c r="G187" s="899">
        <f t="shared" si="24"/>
        <v>22872.92</v>
      </c>
      <c r="H187" s="50">
        <v>0</v>
      </c>
      <c r="I187" s="31">
        <f t="shared" si="25"/>
        <v>6312.04</v>
      </c>
      <c r="J187" s="50">
        <v>0</v>
      </c>
      <c r="K187" s="31">
        <f t="shared" si="26"/>
        <v>0</v>
      </c>
      <c r="L187" s="50">
        <v>-20178.400000000001</v>
      </c>
      <c r="M187" s="31">
        <f t="shared" si="27"/>
        <v>0</v>
      </c>
      <c r="N187" s="50">
        <v>0</v>
      </c>
      <c r="O187" s="31">
        <f t="shared" si="28"/>
        <v>0</v>
      </c>
      <c r="P187" s="51" t="s">
        <v>1554</v>
      </c>
      <c r="Q187" s="51"/>
    </row>
    <row r="188" spans="1:17" s="765" customFormat="1" x14ac:dyDescent="0.25">
      <c r="A188" s="10">
        <v>43728</v>
      </c>
      <c r="B188" s="594">
        <v>0</v>
      </c>
      <c r="C188" s="31">
        <f t="shared" si="22"/>
        <v>0</v>
      </c>
      <c r="D188" s="50">
        <f>26490.44-144.56</f>
        <v>26345.879999999997</v>
      </c>
      <c r="E188" s="31">
        <f t="shared" si="23"/>
        <v>231787.6</v>
      </c>
      <c r="F188" s="900">
        <v>0</v>
      </c>
      <c r="G188" s="899">
        <f t="shared" si="24"/>
        <v>22872.92</v>
      </c>
      <c r="H188" s="50">
        <v>-6312.04</v>
      </c>
      <c r="I188" s="31">
        <f t="shared" si="25"/>
        <v>0</v>
      </c>
      <c r="J188" s="50">
        <v>0</v>
      </c>
      <c r="K188" s="31">
        <f t="shared" si="26"/>
        <v>0</v>
      </c>
      <c r="L188" s="50">
        <v>0</v>
      </c>
      <c r="M188" s="31">
        <f t="shared" si="27"/>
        <v>0</v>
      </c>
      <c r="N188" s="50">
        <v>0</v>
      </c>
      <c r="O188" s="31">
        <f t="shared" si="28"/>
        <v>0</v>
      </c>
      <c r="P188" s="51" t="s">
        <v>845</v>
      </c>
      <c r="Q188" s="51"/>
    </row>
    <row r="189" spans="1:17" s="765" customFormat="1" x14ac:dyDescent="0.25">
      <c r="A189" s="10">
        <v>43731</v>
      </c>
      <c r="B189" s="594">
        <v>0</v>
      </c>
      <c r="C189" s="31">
        <f t="shared" si="22"/>
        <v>0</v>
      </c>
      <c r="D189" s="50">
        <v>-231787.6</v>
      </c>
      <c r="E189" s="31">
        <f t="shared" si="23"/>
        <v>0</v>
      </c>
      <c r="F189" s="900">
        <v>0</v>
      </c>
      <c r="G189" s="899">
        <f t="shared" si="24"/>
        <v>22872.92</v>
      </c>
      <c r="H189" s="50">
        <v>0</v>
      </c>
      <c r="I189" s="31">
        <f t="shared" si="25"/>
        <v>0</v>
      </c>
      <c r="J189" s="50">
        <v>0</v>
      </c>
      <c r="K189" s="31">
        <f t="shared" si="26"/>
        <v>0</v>
      </c>
      <c r="L189" s="50">
        <v>0</v>
      </c>
      <c r="M189" s="31">
        <f t="shared" si="27"/>
        <v>0</v>
      </c>
      <c r="N189" s="50">
        <v>0</v>
      </c>
      <c r="O189" s="31">
        <f t="shared" si="28"/>
        <v>0</v>
      </c>
      <c r="P189" s="51" t="s">
        <v>845</v>
      </c>
      <c r="Q189" s="51"/>
    </row>
    <row r="190" spans="1:17" s="765" customFormat="1" x14ac:dyDescent="0.25">
      <c r="A190" s="10">
        <v>43732</v>
      </c>
      <c r="B190" s="594">
        <v>2900000</v>
      </c>
      <c r="C190" s="31">
        <f>ROUND(B190+C189,2)</f>
        <v>2900000</v>
      </c>
      <c r="D190" s="50">
        <v>0</v>
      </c>
      <c r="E190" s="31">
        <f>ROUND(D190+E189,2)</f>
        <v>0</v>
      </c>
      <c r="F190" s="900">
        <v>-2901074.29</v>
      </c>
      <c r="G190" s="899">
        <f>ROUND(F190+G189,2)</f>
        <v>-2878201.37</v>
      </c>
      <c r="H190" s="50">
        <v>0</v>
      </c>
      <c r="I190" s="31">
        <f>ROUND(H190+I189,2)</f>
        <v>0</v>
      </c>
      <c r="J190" s="50">
        <v>0</v>
      </c>
      <c r="K190" s="31">
        <f>ROUND(J190+K189,2)</f>
        <v>0</v>
      </c>
      <c r="L190" s="50">
        <v>0</v>
      </c>
      <c r="M190" s="31">
        <f>ROUND(L190+M189,2)</f>
        <v>0</v>
      </c>
      <c r="N190" s="50">
        <v>0</v>
      </c>
      <c r="O190" s="31">
        <f>ROUND(N190+O189,2)</f>
        <v>0</v>
      </c>
      <c r="P190" s="51" t="s">
        <v>1012</v>
      </c>
      <c r="Q190" s="51"/>
    </row>
    <row r="191" spans="1:17" s="765" customFormat="1" x14ac:dyDescent="0.25">
      <c r="A191" s="10">
        <v>43732</v>
      </c>
      <c r="B191" s="594">
        <v>-2900000</v>
      </c>
      <c r="C191" s="31">
        <f>ROUND(B191+C190,2)</f>
        <v>0</v>
      </c>
      <c r="D191" s="50">
        <v>0</v>
      </c>
      <c r="E191" s="31">
        <f>ROUND(D191+E190,2)</f>
        <v>0</v>
      </c>
      <c r="F191" s="594">
        <v>2901074.29</v>
      </c>
      <c r="G191" s="899">
        <f>ROUND(F191+G190,2)</f>
        <v>22872.92</v>
      </c>
      <c r="H191" s="50">
        <v>0</v>
      </c>
      <c r="I191" s="31">
        <f>ROUND(H191+I190,2)</f>
        <v>0</v>
      </c>
      <c r="J191" s="50">
        <v>0</v>
      </c>
      <c r="K191" s="31">
        <f>ROUND(J191+K190,2)</f>
        <v>0</v>
      </c>
      <c r="L191" s="50">
        <v>0</v>
      </c>
      <c r="M191" s="31">
        <f>ROUND(L191+M190,2)</f>
        <v>0</v>
      </c>
      <c r="N191" s="50">
        <v>0</v>
      </c>
      <c r="O191" s="31">
        <f>ROUND(N191+O190,2)</f>
        <v>0</v>
      </c>
      <c r="P191" s="51" t="s">
        <v>1105</v>
      </c>
      <c r="Q191" s="51"/>
    </row>
    <row r="192" spans="1:17" s="765" customFormat="1" x14ac:dyDescent="0.25">
      <c r="A192" s="10">
        <v>43733</v>
      </c>
      <c r="B192" s="594">
        <v>200000</v>
      </c>
      <c r="C192" s="31">
        <f>ROUND(B192+C191,2)</f>
        <v>200000</v>
      </c>
      <c r="D192" s="50">
        <v>-200000</v>
      </c>
      <c r="E192" s="31">
        <f>ROUND(D192+E191,2)</f>
        <v>-200000</v>
      </c>
      <c r="F192" s="900">
        <v>0</v>
      </c>
      <c r="G192" s="899">
        <f>ROUND(F192+G191,2)</f>
        <v>22872.92</v>
      </c>
      <c r="H192" s="50">
        <v>0</v>
      </c>
      <c r="I192" s="31">
        <f>ROUND(H192+I191,2)</f>
        <v>0</v>
      </c>
      <c r="J192" s="50">
        <v>0</v>
      </c>
      <c r="K192" s="31">
        <f>ROUND(J192+K191,2)</f>
        <v>0</v>
      </c>
      <c r="L192" s="50">
        <v>0</v>
      </c>
      <c r="M192" s="31">
        <f>ROUND(L192+M191,2)</f>
        <v>0</v>
      </c>
      <c r="N192" s="50">
        <v>0</v>
      </c>
      <c r="O192" s="31">
        <f>ROUND(N192+O191,2)</f>
        <v>0</v>
      </c>
      <c r="P192" s="51" t="s">
        <v>880</v>
      </c>
      <c r="Q192" s="51"/>
    </row>
    <row r="193" spans="1:17" s="765" customFormat="1" x14ac:dyDescent="0.25">
      <c r="A193" s="10">
        <v>43733</v>
      </c>
      <c r="B193" s="594">
        <v>-200000</v>
      </c>
      <c r="C193" s="31">
        <f>ROUND(B193+C192,2)</f>
        <v>0</v>
      </c>
      <c r="D193" s="50">
        <v>200000</v>
      </c>
      <c r="E193" s="31">
        <f>ROUND(D193+E192,2)</f>
        <v>0</v>
      </c>
      <c r="F193" s="900">
        <v>0</v>
      </c>
      <c r="G193" s="899">
        <f>ROUND(F193+G192,2)</f>
        <v>22872.92</v>
      </c>
      <c r="H193" s="50">
        <v>0</v>
      </c>
      <c r="I193" s="31">
        <f>ROUND(H193+I192,2)</f>
        <v>0</v>
      </c>
      <c r="J193" s="50">
        <v>0</v>
      </c>
      <c r="K193" s="31">
        <f>ROUND(J193+K192,2)</f>
        <v>0</v>
      </c>
      <c r="L193" s="50">
        <v>0</v>
      </c>
      <c r="M193" s="31">
        <f>ROUND(L193+M192,2)</f>
        <v>0</v>
      </c>
      <c r="N193" s="50">
        <v>0</v>
      </c>
      <c r="O193" s="31">
        <f>ROUND(N193+O192,2)</f>
        <v>0</v>
      </c>
      <c r="P193" s="51" t="s">
        <v>1067</v>
      </c>
      <c r="Q193" s="51"/>
    </row>
    <row r="194" spans="1:17" s="765" customFormat="1" x14ac:dyDescent="0.25">
      <c r="A194" s="10">
        <v>43733</v>
      </c>
      <c r="B194" s="594">
        <v>0</v>
      </c>
      <c r="C194" s="31">
        <f>ROUND(B194+C193,2)</f>
        <v>0</v>
      </c>
      <c r="D194" s="50">
        <v>-200000</v>
      </c>
      <c r="E194" s="31">
        <f>ROUND(D194+E193,2)</f>
        <v>-200000</v>
      </c>
      <c r="F194" s="900">
        <v>0</v>
      </c>
      <c r="G194" s="899">
        <f>ROUND(F194+G193,2)</f>
        <v>22872.92</v>
      </c>
      <c r="H194" s="50">
        <v>0</v>
      </c>
      <c r="I194" s="31">
        <f>ROUND(H194+I193,2)</f>
        <v>0</v>
      </c>
      <c r="J194" s="50">
        <v>0</v>
      </c>
      <c r="K194" s="31">
        <f>ROUND(J194+K193,2)</f>
        <v>0</v>
      </c>
      <c r="L194" s="50">
        <v>0</v>
      </c>
      <c r="M194" s="31">
        <f>ROUND(L194+M193,2)</f>
        <v>0</v>
      </c>
      <c r="N194" s="50">
        <v>0</v>
      </c>
      <c r="O194" s="31">
        <f>ROUND(N194+O193,2)</f>
        <v>0</v>
      </c>
      <c r="P194" s="51" t="s">
        <v>1555</v>
      </c>
      <c r="Q194" s="51"/>
    </row>
    <row r="195" spans="1:17" s="765" customFormat="1" x14ac:dyDescent="0.25">
      <c r="A195" s="10">
        <v>43733</v>
      </c>
      <c r="B195" s="594">
        <v>0</v>
      </c>
      <c r="C195" s="31">
        <f t="shared" ref="C195:C198" si="29">ROUND(B195+C194,2)</f>
        <v>0</v>
      </c>
      <c r="D195" s="50">
        <v>200000</v>
      </c>
      <c r="E195" s="31">
        <f t="shared" ref="E195:E258" si="30">ROUND(D195+E194,2)</f>
        <v>0</v>
      </c>
      <c r="F195" s="900">
        <v>0</v>
      </c>
      <c r="G195" s="899">
        <f t="shared" ref="G195:G258" si="31">ROUND(F195+G194,2)</f>
        <v>22872.92</v>
      </c>
      <c r="H195" s="50">
        <v>0</v>
      </c>
      <c r="I195" s="31">
        <f t="shared" ref="I195:I258" si="32">ROUND(H195+I194,2)</f>
        <v>0</v>
      </c>
      <c r="J195" s="50">
        <v>0</v>
      </c>
      <c r="K195" s="31">
        <f t="shared" ref="K195:K258" si="33">ROUND(J195+K194,2)</f>
        <v>0</v>
      </c>
      <c r="L195" s="50">
        <v>0</v>
      </c>
      <c r="M195" s="31">
        <f t="shared" ref="M195:M258" si="34">ROUND(L195+M194,2)</f>
        <v>0</v>
      </c>
      <c r="N195" s="50">
        <v>0</v>
      </c>
      <c r="O195" s="31">
        <f t="shared" ref="O195:O258" si="35">ROUND(N195+O194,2)</f>
        <v>0</v>
      </c>
      <c r="P195" s="51" t="s">
        <v>845</v>
      </c>
      <c r="Q195" s="51"/>
    </row>
    <row r="196" spans="1:17" s="765" customFormat="1" x14ac:dyDescent="0.25">
      <c r="A196" s="10">
        <v>43734</v>
      </c>
      <c r="B196" s="594">
        <v>0</v>
      </c>
      <c r="C196" s="31">
        <f t="shared" si="29"/>
        <v>0</v>
      </c>
      <c r="D196" s="50">
        <v>0</v>
      </c>
      <c r="E196" s="31">
        <f t="shared" si="30"/>
        <v>0</v>
      </c>
      <c r="F196" s="900">
        <v>376.64</v>
      </c>
      <c r="G196" s="899">
        <f t="shared" si="31"/>
        <v>23249.56</v>
      </c>
      <c r="H196" s="50">
        <v>0</v>
      </c>
      <c r="I196" s="31">
        <f t="shared" si="32"/>
        <v>0</v>
      </c>
      <c r="J196" s="50">
        <v>0</v>
      </c>
      <c r="K196" s="31">
        <f t="shared" si="33"/>
        <v>0</v>
      </c>
      <c r="L196" s="50">
        <v>0</v>
      </c>
      <c r="M196" s="31">
        <f t="shared" si="34"/>
        <v>0</v>
      </c>
      <c r="N196" s="50">
        <v>0</v>
      </c>
      <c r="O196" s="31">
        <f t="shared" si="35"/>
        <v>0</v>
      </c>
      <c r="P196" s="51" t="s">
        <v>1562</v>
      </c>
      <c r="Q196" s="51"/>
    </row>
    <row r="197" spans="1:17" s="765" customFormat="1" x14ac:dyDescent="0.25">
      <c r="A197" s="10">
        <v>43740</v>
      </c>
      <c r="B197" s="594">
        <v>0</v>
      </c>
      <c r="C197" s="31">
        <f t="shared" si="29"/>
        <v>0</v>
      </c>
      <c r="D197" s="50">
        <v>137.54999999999998</v>
      </c>
      <c r="E197" s="31">
        <f t="shared" si="30"/>
        <v>137.55000000000001</v>
      </c>
      <c r="F197" s="900">
        <v>0</v>
      </c>
      <c r="G197" s="899">
        <f t="shared" si="31"/>
        <v>23249.56</v>
      </c>
      <c r="H197" s="50">
        <v>61.29</v>
      </c>
      <c r="I197" s="31">
        <f t="shared" si="32"/>
        <v>61.29</v>
      </c>
      <c r="J197" s="50">
        <v>0</v>
      </c>
      <c r="K197" s="31">
        <f t="shared" si="33"/>
        <v>0</v>
      </c>
      <c r="L197" s="50">
        <v>0.04</v>
      </c>
      <c r="M197" s="31">
        <f t="shared" si="34"/>
        <v>0.04</v>
      </c>
      <c r="N197" s="50">
        <v>0</v>
      </c>
      <c r="O197" s="31">
        <f t="shared" si="35"/>
        <v>0</v>
      </c>
      <c r="P197" s="51" t="s">
        <v>1563</v>
      </c>
      <c r="Q197" s="51"/>
    </row>
    <row r="198" spans="1:17" s="765" customFormat="1" x14ac:dyDescent="0.25">
      <c r="A198" s="10">
        <v>43740</v>
      </c>
      <c r="B198" s="594">
        <v>0</v>
      </c>
      <c r="C198" s="31">
        <f t="shared" si="29"/>
        <v>0</v>
      </c>
      <c r="D198" s="50">
        <v>35.89</v>
      </c>
      <c r="E198" s="31">
        <f t="shared" si="30"/>
        <v>173.44</v>
      </c>
      <c r="F198" s="900">
        <v>0</v>
      </c>
      <c r="G198" s="899">
        <f t="shared" si="31"/>
        <v>23249.56</v>
      </c>
      <c r="H198" s="50">
        <v>0</v>
      </c>
      <c r="I198" s="31">
        <f t="shared" si="32"/>
        <v>61.29</v>
      </c>
      <c r="J198" s="50">
        <v>0</v>
      </c>
      <c r="K198" s="31">
        <f t="shared" si="33"/>
        <v>0</v>
      </c>
      <c r="L198" s="50">
        <v>-35.89</v>
      </c>
      <c r="M198" s="31">
        <f t="shared" si="34"/>
        <v>-35.85</v>
      </c>
      <c r="N198" s="50">
        <v>0</v>
      </c>
      <c r="O198" s="31">
        <f t="shared" si="35"/>
        <v>0</v>
      </c>
      <c r="P198" s="51" t="s">
        <v>1578</v>
      </c>
      <c r="Q198" s="51"/>
    </row>
    <row r="199" spans="1:17" s="765" customFormat="1" x14ac:dyDescent="0.25">
      <c r="A199" s="10">
        <v>43740</v>
      </c>
      <c r="B199" s="594">
        <v>0</v>
      </c>
      <c r="C199" s="31">
        <f t="shared" ref="C199:C260" si="36">ROUND(B199+C198,2)</f>
        <v>0</v>
      </c>
      <c r="D199" s="50">
        <v>-173.44</v>
      </c>
      <c r="E199" s="31">
        <f t="shared" si="30"/>
        <v>0</v>
      </c>
      <c r="F199" s="900">
        <v>0</v>
      </c>
      <c r="G199" s="899">
        <f t="shared" si="31"/>
        <v>23249.56</v>
      </c>
      <c r="H199" s="50">
        <v>-61.29</v>
      </c>
      <c r="I199" s="31">
        <f t="shared" si="32"/>
        <v>0</v>
      </c>
      <c r="J199" s="50">
        <v>0</v>
      </c>
      <c r="K199" s="31">
        <f t="shared" si="33"/>
        <v>0</v>
      </c>
      <c r="L199" s="50">
        <v>35.85</v>
      </c>
      <c r="M199" s="31">
        <f t="shared" si="34"/>
        <v>0</v>
      </c>
      <c r="N199" s="50">
        <v>0</v>
      </c>
      <c r="O199" s="31">
        <f t="shared" si="35"/>
        <v>0</v>
      </c>
      <c r="P199" s="51" t="s">
        <v>845</v>
      </c>
      <c r="Q199" s="51"/>
    </row>
    <row r="200" spans="1:17" s="765" customFormat="1" x14ac:dyDescent="0.25">
      <c r="A200" s="10">
        <v>43745</v>
      </c>
      <c r="B200" s="594">
        <v>2000000</v>
      </c>
      <c r="C200" s="31">
        <f t="shared" si="36"/>
        <v>2000000</v>
      </c>
      <c r="D200" s="50">
        <v>-2005096.58</v>
      </c>
      <c r="E200" s="31">
        <f t="shared" si="30"/>
        <v>-2005096.58</v>
      </c>
      <c r="F200" s="900">
        <v>0</v>
      </c>
      <c r="G200" s="899">
        <f t="shared" si="31"/>
        <v>23249.56</v>
      </c>
      <c r="H200" s="50">
        <v>0</v>
      </c>
      <c r="I200" s="31">
        <f t="shared" si="32"/>
        <v>0</v>
      </c>
      <c r="J200" s="50">
        <v>0</v>
      </c>
      <c r="K200" s="31">
        <f t="shared" si="33"/>
        <v>0</v>
      </c>
      <c r="L200" s="50">
        <v>0</v>
      </c>
      <c r="M200" s="31">
        <f t="shared" si="34"/>
        <v>0</v>
      </c>
      <c r="N200" s="50">
        <v>0</v>
      </c>
      <c r="O200" s="31">
        <f t="shared" si="35"/>
        <v>0</v>
      </c>
      <c r="P200" s="51" t="s">
        <v>831</v>
      </c>
      <c r="Q200" s="51"/>
    </row>
    <row r="201" spans="1:17" s="765" customFormat="1" x14ac:dyDescent="0.25">
      <c r="A201" s="10">
        <v>43745</v>
      </c>
      <c r="B201" s="594">
        <v>-2000000</v>
      </c>
      <c r="C201" s="31">
        <f t="shared" si="36"/>
        <v>0</v>
      </c>
      <c r="D201" s="50">
        <v>2000000</v>
      </c>
      <c r="E201" s="31">
        <f t="shared" si="30"/>
        <v>-5096.58</v>
      </c>
      <c r="F201" s="900">
        <v>0</v>
      </c>
      <c r="G201" s="899">
        <f t="shared" si="31"/>
        <v>23249.56</v>
      </c>
      <c r="H201" s="50">
        <v>0</v>
      </c>
      <c r="I201" s="31">
        <f t="shared" si="32"/>
        <v>0</v>
      </c>
      <c r="J201" s="50">
        <v>0</v>
      </c>
      <c r="K201" s="31">
        <f t="shared" si="33"/>
        <v>0</v>
      </c>
      <c r="L201" s="50">
        <v>0</v>
      </c>
      <c r="M201" s="31">
        <f t="shared" si="34"/>
        <v>0</v>
      </c>
      <c r="N201" s="50">
        <v>0</v>
      </c>
      <c r="O201" s="31">
        <f t="shared" si="35"/>
        <v>0</v>
      </c>
      <c r="P201" s="51" t="s">
        <v>1567</v>
      </c>
      <c r="Q201" s="51"/>
    </row>
    <row r="202" spans="1:17" s="765" customFormat="1" x14ac:dyDescent="0.25">
      <c r="A202" s="10">
        <v>43745</v>
      </c>
      <c r="B202" s="594">
        <v>0</v>
      </c>
      <c r="C202" s="31">
        <f t="shared" si="36"/>
        <v>0</v>
      </c>
      <c r="D202" s="50">
        <v>5096.58</v>
      </c>
      <c r="E202" s="31">
        <f t="shared" si="30"/>
        <v>0</v>
      </c>
      <c r="F202" s="900">
        <v>0</v>
      </c>
      <c r="G202" s="899">
        <f t="shared" si="31"/>
        <v>23249.56</v>
      </c>
      <c r="H202" s="50">
        <v>0</v>
      </c>
      <c r="I202" s="31">
        <f t="shared" si="32"/>
        <v>0</v>
      </c>
      <c r="J202" s="50">
        <v>0</v>
      </c>
      <c r="K202" s="31">
        <f t="shared" si="33"/>
        <v>0</v>
      </c>
      <c r="L202" s="50">
        <v>0</v>
      </c>
      <c r="M202" s="31">
        <f t="shared" si="34"/>
        <v>0</v>
      </c>
      <c r="N202" s="50">
        <v>0</v>
      </c>
      <c r="O202" s="31">
        <f t="shared" si="35"/>
        <v>0</v>
      </c>
      <c r="P202" s="51" t="s">
        <v>845</v>
      </c>
      <c r="Q202" s="51"/>
    </row>
    <row r="203" spans="1:17" s="765" customFormat="1" x14ac:dyDescent="0.25">
      <c r="A203" s="10">
        <v>43746</v>
      </c>
      <c r="B203" s="594">
        <v>0</v>
      </c>
      <c r="C203" s="31">
        <f t="shared" si="36"/>
        <v>0</v>
      </c>
      <c r="D203" s="50">
        <v>-2002704.12</v>
      </c>
      <c r="E203" s="31">
        <f t="shared" si="30"/>
        <v>-2002704.12</v>
      </c>
      <c r="F203" s="900">
        <v>0</v>
      </c>
      <c r="G203" s="899">
        <f t="shared" si="31"/>
        <v>23249.56</v>
      </c>
      <c r="H203" s="50">
        <v>0</v>
      </c>
      <c r="I203" s="31">
        <f t="shared" si="32"/>
        <v>0</v>
      </c>
      <c r="J203" s="50">
        <v>0</v>
      </c>
      <c r="K203" s="31">
        <f t="shared" si="33"/>
        <v>0</v>
      </c>
      <c r="L203" s="50">
        <v>0</v>
      </c>
      <c r="M203" s="31">
        <f t="shared" si="34"/>
        <v>0</v>
      </c>
      <c r="N203" s="50">
        <v>0</v>
      </c>
      <c r="O203" s="31">
        <f t="shared" si="35"/>
        <v>0</v>
      </c>
      <c r="P203" s="51" t="s">
        <v>1568</v>
      </c>
      <c r="Q203" s="51"/>
    </row>
    <row r="204" spans="1:17" s="765" customFormat="1" x14ac:dyDescent="0.25">
      <c r="A204" s="10">
        <v>43746</v>
      </c>
      <c r="B204" s="594">
        <v>0</v>
      </c>
      <c r="C204" s="31">
        <f t="shared" si="36"/>
        <v>0</v>
      </c>
      <c r="D204" s="50">
        <v>2000000</v>
      </c>
      <c r="E204" s="31">
        <f t="shared" si="30"/>
        <v>-2704.12</v>
      </c>
      <c r="F204" s="900">
        <v>0</v>
      </c>
      <c r="G204" s="899">
        <f t="shared" si="31"/>
        <v>23249.56</v>
      </c>
      <c r="H204" s="50">
        <v>0</v>
      </c>
      <c r="I204" s="31">
        <f t="shared" si="32"/>
        <v>0</v>
      </c>
      <c r="J204" s="50">
        <v>0</v>
      </c>
      <c r="K204" s="31">
        <f t="shared" si="33"/>
        <v>0</v>
      </c>
      <c r="L204" s="50">
        <v>0</v>
      </c>
      <c r="M204" s="31">
        <f t="shared" si="34"/>
        <v>0</v>
      </c>
      <c r="N204" s="50">
        <v>0</v>
      </c>
      <c r="O204" s="31">
        <f t="shared" si="35"/>
        <v>0</v>
      </c>
      <c r="P204" s="51" t="s">
        <v>1567</v>
      </c>
      <c r="Q204" s="51"/>
    </row>
    <row r="205" spans="1:17" s="765" customFormat="1" x14ac:dyDescent="0.25">
      <c r="A205" s="10">
        <v>43746</v>
      </c>
      <c r="B205" s="594">
        <v>0</v>
      </c>
      <c r="C205" s="31">
        <f t="shared" si="36"/>
        <v>0</v>
      </c>
      <c r="D205" s="50">
        <v>2704.12</v>
      </c>
      <c r="E205" s="31">
        <f t="shared" si="30"/>
        <v>0</v>
      </c>
      <c r="F205" s="900">
        <v>0</v>
      </c>
      <c r="G205" s="899">
        <f t="shared" si="31"/>
        <v>23249.56</v>
      </c>
      <c r="H205" s="50">
        <v>0</v>
      </c>
      <c r="I205" s="31">
        <f t="shared" si="32"/>
        <v>0</v>
      </c>
      <c r="J205" s="50">
        <v>0</v>
      </c>
      <c r="K205" s="31">
        <f t="shared" si="33"/>
        <v>0</v>
      </c>
      <c r="L205" s="50">
        <v>0</v>
      </c>
      <c r="M205" s="31">
        <f t="shared" si="34"/>
        <v>0</v>
      </c>
      <c r="N205" s="50">
        <v>0</v>
      </c>
      <c r="O205" s="31">
        <f t="shared" si="35"/>
        <v>0</v>
      </c>
      <c r="P205" s="51" t="s">
        <v>845</v>
      </c>
      <c r="Q205" s="51"/>
    </row>
    <row r="206" spans="1:17" s="765" customFormat="1" x14ac:dyDescent="0.25">
      <c r="A206" s="10">
        <v>43754</v>
      </c>
      <c r="B206" s="594">
        <v>0</v>
      </c>
      <c r="C206" s="31">
        <f t="shared" si="36"/>
        <v>0</v>
      </c>
      <c r="D206" s="594">
        <v>-50076332.729999997</v>
      </c>
      <c r="E206" s="31">
        <f t="shared" si="30"/>
        <v>-50076332.729999997</v>
      </c>
      <c r="F206" s="900">
        <v>0</v>
      </c>
      <c r="G206" s="899">
        <f t="shared" si="31"/>
        <v>23249.56</v>
      </c>
      <c r="H206" s="50">
        <v>0</v>
      </c>
      <c r="I206" s="31">
        <f t="shared" si="32"/>
        <v>0</v>
      </c>
      <c r="J206" s="50">
        <v>0</v>
      </c>
      <c r="K206" s="31">
        <f t="shared" si="33"/>
        <v>0</v>
      </c>
      <c r="L206" s="50">
        <v>0</v>
      </c>
      <c r="M206" s="31">
        <f t="shared" si="34"/>
        <v>0</v>
      </c>
      <c r="N206" s="50">
        <v>0</v>
      </c>
      <c r="O206" s="31">
        <f t="shared" si="35"/>
        <v>0</v>
      </c>
      <c r="P206" s="51" t="s">
        <v>1584</v>
      </c>
      <c r="Q206" s="51"/>
    </row>
    <row r="207" spans="1:17" s="765" customFormat="1" x14ac:dyDescent="0.25">
      <c r="A207" s="10">
        <v>43754</v>
      </c>
      <c r="B207" s="594">
        <v>0</v>
      </c>
      <c r="C207" s="31">
        <f t="shared" si="36"/>
        <v>0</v>
      </c>
      <c r="D207" s="50">
        <v>50339000</v>
      </c>
      <c r="E207" s="31">
        <f t="shared" si="30"/>
        <v>262667.27</v>
      </c>
      <c r="F207" s="900">
        <v>0</v>
      </c>
      <c r="G207" s="899">
        <f t="shared" si="31"/>
        <v>23249.56</v>
      </c>
      <c r="H207" s="50">
        <v>0</v>
      </c>
      <c r="I207" s="31">
        <f t="shared" si="32"/>
        <v>0</v>
      </c>
      <c r="J207" s="50">
        <v>0</v>
      </c>
      <c r="K207" s="31">
        <f t="shared" si="33"/>
        <v>0</v>
      </c>
      <c r="L207" s="50">
        <v>0</v>
      </c>
      <c r="M207" s="31">
        <f t="shared" si="34"/>
        <v>0</v>
      </c>
      <c r="N207" s="50">
        <v>0</v>
      </c>
      <c r="O207" s="31">
        <f t="shared" si="35"/>
        <v>0</v>
      </c>
      <c r="P207" s="51" t="s">
        <v>1585</v>
      </c>
      <c r="Q207" s="51"/>
    </row>
    <row r="208" spans="1:17" s="765" customFormat="1" x14ac:dyDescent="0.25">
      <c r="A208" s="10">
        <v>43754</v>
      </c>
      <c r="B208" s="594">
        <v>0</v>
      </c>
      <c r="C208" s="31">
        <f t="shared" si="36"/>
        <v>0</v>
      </c>
      <c r="D208" s="50">
        <v>0</v>
      </c>
      <c r="E208" s="31">
        <f t="shared" si="30"/>
        <v>262667.27</v>
      </c>
      <c r="F208" s="900">
        <v>0</v>
      </c>
      <c r="G208" s="899">
        <f t="shared" si="31"/>
        <v>23249.56</v>
      </c>
      <c r="H208" s="50">
        <v>-103.61</v>
      </c>
      <c r="I208" s="31">
        <f t="shared" si="32"/>
        <v>-103.61</v>
      </c>
      <c r="J208" s="50">
        <v>0</v>
      </c>
      <c r="K208" s="31">
        <f t="shared" si="33"/>
        <v>0</v>
      </c>
      <c r="L208" s="50">
        <v>0</v>
      </c>
      <c r="M208" s="31">
        <f t="shared" si="34"/>
        <v>0</v>
      </c>
      <c r="N208" s="50">
        <v>0</v>
      </c>
      <c r="O208" s="31">
        <f t="shared" si="35"/>
        <v>0</v>
      </c>
      <c r="P208" s="51" t="s">
        <v>1586</v>
      </c>
      <c r="Q208" s="51"/>
    </row>
    <row r="209" spans="1:17" s="765" customFormat="1" x14ac:dyDescent="0.25">
      <c r="A209" s="10">
        <v>43754</v>
      </c>
      <c r="B209" s="594">
        <v>0</v>
      </c>
      <c r="C209" s="31">
        <f t="shared" si="36"/>
        <v>0</v>
      </c>
      <c r="D209" s="50">
        <v>-262667.27</v>
      </c>
      <c r="E209" s="31">
        <f t="shared" si="30"/>
        <v>0</v>
      </c>
      <c r="F209" s="900">
        <v>0</v>
      </c>
      <c r="G209" s="899">
        <f t="shared" si="31"/>
        <v>23249.56</v>
      </c>
      <c r="H209" s="50">
        <v>103.61</v>
      </c>
      <c r="I209" s="31">
        <f t="shared" si="32"/>
        <v>0</v>
      </c>
      <c r="J209" s="50">
        <v>0</v>
      </c>
      <c r="K209" s="31">
        <f t="shared" si="33"/>
        <v>0</v>
      </c>
      <c r="L209" s="50">
        <v>0</v>
      </c>
      <c r="M209" s="31">
        <f t="shared" si="34"/>
        <v>0</v>
      </c>
      <c r="N209" s="50">
        <v>0</v>
      </c>
      <c r="O209" s="31">
        <f t="shared" si="35"/>
        <v>0</v>
      </c>
      <c r="P209" s="51" t="s">
        <v>845</v>
      </c>
      <c r="Q209" s="51"/>
    </row>
    <row r="210" spans="1:17" s="765" customFormat="1" x14ac:dyDescent="0.25">
      <c r="A210" s="10">
        <v>43755</v>
      </c>
      <c r="B210" s="594">
        <v>0</v>
      </c>
      <c r="C210" s="31">
        <f t="shared" si="36"/>
        <v>0</v>
      </c>
      <c r="D210" s="50">
        <v>-6988.33</v>
      </c>
      <c r="E210" s="31">
        <f t="shared" si="30"/>
        <v>-6988.33</v>
      </c>
      <c r="F210" s="900">
        <v>0</v>
      </c>
      <c r="G210" s="899">
        <f t="shared" si="31"/>
        <v>23249.56</v>
      </c>
      <c r="H210" s="50">
        <v>6988.33</v>
      </c>
      <c r="I210" s="31">
        <f t="shared" si="32"/>
        <v>6988.33</v>
      </c>
      <c r="J210" s="50">
        <v>0</v>
      </c>
      <c r="K210" s="31">
        <f t="shared" si="33"/>
        <v>0</v>
      </c>
      <c r="L210" s="50">
        <v>0</v>
      </c>
      <c r="M210" s="31">
        <f t="shared" si="34"/>
        <v>0</v>
      </c>
      <c r="N210" s="50">
        <v>0</v>
      </c>
      <c r="O210" s="31">
        <f t="shared" si="35"/>
        <v>0</v>
      </c>
      <c r="P210" s="51" t="s">
        <v>1155</v>
      </c>
      <c r="Q210" s="51"/>
    </row>
    <row r="211" spans="1:17" s="765" customFormat="1" x14ac:dyDescent="0.25">
      <c r="A211" s="10">
        <v>43755</v>
      </c>
      <c r="B211" s="594">
        <v>0</v>
      </c>
      <c r="C211" s="31">
        <f t="shared" si="36"/>
        <v>0</v>
      </c>
      <c r="D211" s="50">
        <v>-20000</v>
      </c>
      <c r="E211" s="31">
        <f t="shared" si="30"/>
        <v>-26988.33</v>
      </c>
      <c r="F211" s="900">
        <v>0</v>
      </c>
      <c r="G211" s="899">
        <f t="shared" si="31"/>
        <v>23249.56</v>
      </c>
      <c r="H211" s="50">
        <v>0</v>
      </c>
      <c r="I211" s="31">
        <f t="shared" si="32"/>
        <v>6988.33</v>
      </c>
      <c r="J211" s="50">
        <v>0</v>
      </c>
      <c r="K211" s="31">
        <f t="shared" si="33"/>
        <v>0</v>
      </c>
      <c r="L211" s="50">
        <v>0</v>
      </c>
      <c r="M211" s="31">
        <f t="shared" si="34"/>
        <v>0</v>
      </c>
      <c r="N211" s="50">
        <v>20000</v>
      </c>
      <c r="O211" s="31">
        <f t="shared" si="35"/>
        <v>20000</v>
      </c>
      <c r="P211" s="51" t="s">
        <v>1590</v>
      </c>
      <c r="Q211" s="51"/>
    </row>
    <row r="212" spans="1:17" s="765" customFormat="1" x14ac:dyDescent="0.25">
      <c r="A212" s="10">
        <v>43755</v>
      </c>
      <c r="B212" s="594">
        <v>0</v>
      </c>
      <c r="C212" s="31">
        <f t="shared" si="36"/>
        <v>0</v>
      </c>
      <c r="D212" s="50">
        <v>-20533.669999999998</v>
      </c>
      <c r="E212" s="31">
        <f t="shared" si="30"/>
        <v>-47522</v>
      </c>
      <c r="F212" s="900">
        <v>0</v>
      </c>
      <c r="G212" s="899">
        <f t="shared" si="31"/>
        <v>23249.56</v>
      </c>
      <c r="H212" s="50">
        <v>0</v>
      </c>
      <c r="I212" s="31">
        <f t="shared" si="32"/>
        <v>6988.33</v>
      </c>
      <c r="J212" s="50">
        <v>0</v>
      </c>
      <c r="K212" s="31">
        <f t="shared" si="33"/>
        <v>0</v>
      </c>
      <c r="L212" s="50">
        <v>20533.669999999998</v>
      </c>
      <c r="M212" s="31">
        <f t="shared" si="34"/>
        <v>20533.669999999998</v>
      </c>
      <c r="N212" s="50">
        <v>0</v>
      </c>
      <c r="O212" s="31">
        <f t="shared" si="35"/>
        <v>20000</v>
      </c>
      <c r="P212" s="51" t="s">
        <v>1156</v>
      </c>
      <c r="Q212" s="51"/>
    </row>
    <row r="213" spans="1:17" s="765" customFormat="1" x14ac:dyDescent="0.25">
      <c r="A213" s="10">
        <v>43755</v>
      </c>
      <c r="B213" s="594">
        <v>0</v>
      </c>
      <c r="C213" s="31">
        <f t="shared" si="36"/>
        <v>0</v>
      </c>
      <c r="D213" s="50">
        <v>0</v>
      </c>
      <c r="E213" s="31">
        <f t="shared" si="30"/>
        <v>-47522</v>
      </c>
      <c r="F213" s="900">
        <v>0</v>
      </c>
      <c r="G213" s="899">
        <f t="shared" si="31"/>
        <v>23249.56</v>
      </c>
      <c r="H213" s="50">
        <v>0</v>
      </c>
      <c r="I213" s="31">
        <f t="shared" si="32"/>
        <v>6988.33</v>
      </c>
      <c r="J213" s="50">
        <v>0</v>
      </c>
      <c r="K213" s="31">
        <f t="shared" si="33"/>
        <v>0</v>
      </c>
      <c r="L213" s="50">
        <v>-20533.669999999998</v>
      </c>
      <c r="M213" s="31">
        <f t="shared" si="34"/>
        <v>0</v>
      </c>
      <c r="N213" s="50">
        <v>0</v>
      </c>
      <c r="O213" s="31">
        <f t="shared" si="35"/>
        <v>20000</v>
      </c>
      <c r="P213" s="51" t="s">
        <v>1591</v>
      </c>
      <c r="Q213" s="51"/>
    </row>
    <row r="214" spans="1:17" s="765" customFormat="1" x14ac:dyDescent="0.25">
      <c r="A214" s="10">
        <v>43755</v>
      </c>
      <c r="B214" s="594">
        <v>0</v>
      </c>
      <c r="C214" s="31">
        <f t="shared" si="36"/>
        <v>0</v>
      </c>
      <c r="D214" s="50">
        <v>0</v>
      </c>
      <c r="E214" s="31">
        <f t="shared" si="30"/>
        <v>-47522</v>
      </c>
      <c r="F214" s="900">
        <v>0</v>
      </c>
      <c r="G214" s="899">
        <f t="shared" si="31"/>
        <v>23249.56</v>
      </c>
      <c r="H214" s="50">
        <v>0</v>
      </c>
      <c r="I214" s="31">
        <f t="shared" si="32"/>
        <v>6988.33</v>
      </c>
      <c r="J214" s="50">
        <v>0</v>
      </c>
      <c r="K214" s="31">
        <f t="shared" si="33"/>
        <v>0</v>
      </c>
      <c r="L214" s="50">
        <v>0</v>
      </c>
      <c r="M214" s="31">
        <f t="shared" si="34"/>
        <v>0</v>
      </c>
      <c r="N214" s="50">
        <v>-20000</v>
      </c>
      <c r="O214" s="31">
        <f t="shared" si="35"/>
        <v>0</v>
      </c>
      <c r="P214" s="51" t="s">
        <v>1592</v>
      </c>
      <c r="Q214" s="51"/>
    </row>
    <row r="215" spans="1:17" s="765" customFormat="1" x14ac:dyDescent="0.25">
      <c r="A215" s="10">
        <v>43755</v>
      </c>
      <c r="B215" s="594">
        <v>0</v>
      </c>
      <c r="C215" s="31">
        <f t="shared" si="36"/>
        <v>0</v>
      </c>
      <c r="D215" s="50">
        <v>47522</v>
      </c>
      <c r="E215" s="31">
        <f t="shared" si="30"/>
        <v>0</v>
      </c>
      <c r="F215" s="900">
        <v>0</v>
      </c>
      <c r="G215" s="899">
        <f t="shared" si="31"/>
        <v>23249.56</v>
      </c>
      <c r="H215" s="50">
        <v>-6988.33</v>
      </c>
      <c r="I215" s="31">
        <f t="shared" si="32"/>
        <v>0</v>
      </c>
      <c r="J215" s="50">
        <v>0</v>
      </c>
      <c r="K215" s="31">
        <f t="shared" si="33"/>
        <v>0</v>
      </c>
      <c r="L215" s="50">
        <v>-20533.669999999998</v>
      </c>
      <c r="M215" s="31">
        <f t="shared" si="34"/>
        <v>-20533.669999999998</v>
      </c>
      <c r="N215" s="50">
        <v>0</v>
      </c>
      <c r="O215" s="31">
        <f t="shared" si="35"/>
        <v>0</v>
      </c>
      <c r="P215" s="51" t="s">
        <v>845</v>
      </c>
      <c r="Q215" s="51"/>
    </row>
    <row r="216" spans="1:17" s="765" customFormat="1" x14ac:dyDescent="0.25">
      <c r="A216" s="10">
        <v>43756</v>
      </c>
      <c r="B216" s="594">
        <v>0</v>
      </c>
      <c r="C216" s="31">
        <f t="shared" si="36"/>
        <v>0</v>
      </c>
      <c r="D216" s="50">
        <v>0</v>
      </c>
      <c r="E216" s="31">
        <f t="shared" si="30"/>
        <v>0</v>
      </c>
      <c r="F216" s="900">
        <v>0</v>
      </c>
      <c r="G216" s="899">
        <f t="shared" si="31"/>
        <v>23249.56</v>
      </c>
      <c r="H216" s="50">
        <v>0</v>
      </c>
      <c r="I216" s="31">
        <f t="shared" si="32"/>
        <v>0</v>
      </c>
      <c r="J216" s="50">
        <v>0</v>
      </c>
      <c r="K216" s="31">
        <f t="shared" si="33"/>
        <v>0</v>
      </c>
      <c r="L216" s="50">
        <v>20533.669999999998</v>
      </c>
      <c r="M216" s="31">
        <f t="shared" si="34"/>
        <v>0</v>
      </c>
      <c r="N216" s="50">
        <v>0</v>
      </c>
      <c r="O216" s="31">
        <f t="shared" si="35"/>
        <v>0</v>
      </c>
      <c r="P216" s="51" t="s">
        <v>845</v>
      </c>
      <c r="Q216" s="51"/>
    </row>
    <row r="217" spans="1:17" s="765" customFormat="1" x14ac:dyDescent="0.25">
      <c r="A217" s="10">
        <v>43769</v>
      </c>
      <c r="B217" s="594">
        <v>0</v>
      </c>
      <c r="C217" s="31">
        <f t="shared" si="36"/>
        <v>0</v>
      </c>
      <c r="D217" s="50">
        <v>1509569.88</v>
      </c>
      <c r="E217" s="31">
        <f t="shared" si="30"/>
        <v>1509569.88</v>
      </c>
      <c r="F217" s="900">
        <v>0</v>
      </c>
      <c r="G217" s="899">
        <f t="shared" si="31"/>
        <v>23249.56</v>
      </c>
      <c r="H217" s="50">
        <v>0</v>
      </c>
      <c r="I217" s="31">
        <f t="shared" si="32"/>
        <v>0</v>
      </c>
      <c r="J217" s="50">
        <v>0</v>
      </c>
      <c r="K217" s="31">
        <f t="shared" si="33"/>
        <v>0</v>
      </c>
      <c r="L217" s="50">
        <v>0</v>
      </c>
      <c r="M217" s="31">
        <f t="shared" si="34"/>
        <v>0</v>
      </c>
      <c r="N217" s="50">
        <v>0</v>
      </c>
      <c r="O217" s="31">
        <f t="shared" si="35"/>
        <v>0</v>
      </c>
      <c r="P217" s="51" t="s">
        <v>1599</v>
      </c>
      <c r="Q217" s="51"/>
    </row>
    <row r="218" spans="1:17" s="765" customFormat="1" x14ac:dyDescent="0.25">
      <c r="A218" s="10">
        <v>43769</v>
      </c>
      <c r="B218" s="594">
        <v>0</v>
      </c>
      <c r="C218" s="31">
        <f t="shared" si="36"/>
        <v>0</v>
      </c>
      <c r="D218" s="50">
        <f>-D217</f>
        <v>-1509569.88</v>
      </c>
      <c r="E218" s="31">
        <f t="shared" si="30"/>
        <v>0</v>
      </c>
      <c r="F218" s="900">
        <v>0</v>
      </c>
      <c r="G218" s="899">
        <f t="shared" si="31"/>
        <v>23249.56</v>
      </c>
      <c r="H218" s="50">
        <v>0</v>
      </c>
      <c r="I218" s="31">
        <f t="shared" si="32"/>
        <v>0</v>
      </c>
      <c r="J218" s="50">
        <v>0</v>
      </c>
      <c r="K218" s="31">
        <f t="shared" si="33"/>
        <v>0</v>
      </c>
      <c r="L218" s="50">
        <v>0</v>
      </c>
      <c r="M218" s="31">
        <f t="shared" si="34"/>
        <v>0</v>
      </c>
      <c r="N218" s="50">
        <v>0</v>
      </c>
      <c r="O218" s="31">
        <f t="shared" si="35"/>
        <v>0</v>
      </c>
      <c r="P218" s="51" t="s">
        <v>845</v>
      </c>
      <c r="Q218" s="51"/>
    </row>
    <row r="219" spans="1:17" s="765" customFormat="1" x14ac:dyDescent="0.25">
      <c r="A219" s="10">
        <v>43773</v>
      </c>
      <c r="B219" s="594">
        <v>0</v>
      </c>
      <c r="C219" s="31">
        <f t="shared" si="36"/>
        <v>0</v>
      </c>
      <c r="D219" s="50">
        <v>378.67</v>
      </c>
      <c r="E219" s="31">
        <f t="shared" si="30"/>
        <v>378.67</v>
      </c>
      <c r="F219" s="900">
        <v>0</v>
      </c>
      <c r="G219" s="899">
        <f t="shared" si="31"/>
        <v>23249.56</v>
      </c>
      <c r="H219" s="50">
        <v>66.66</v>
      </c>
      <c r="I219" s="31">
        <f t="shared" si="32"/>
        <v>66.66</v>
      </c>
      <c r="J219" s="50">
        <v>0</v>
      </c>
      <c r="K219" s="31">
        <f t="shared" si="33"/>
        <v>0</v>
      </c>
      <c r="L219" s="50">
        <v>1.02</v>
      </c>
      <c r="M219" s="31">
        <f t="shared" si="34"/>
        <v>1.02</v>
      </c>
      <c r="N219" s="50">
        <v>0</v>
      </c>
      <c r="O219" s="31">
        <f t="shared" si="35"/>
        <v>0</v>
      </c>
      <c r="P219" s="51" t="s">
        <v>890</v>
      </c>
      <c r="Q219" s="51"/>
    </row>
    <row r="220" spans="1:17" s="765" customFormat="1" x14ac:dyDescent="0.25">
      <c r="A220" s="10">
        <v>43773</v>
      </c>
      <c r="B220" s="594">
        <v>0</v>
      </c>
      <c r="C220" s="31">
        <f t="shared" si="36"/>
        <v>0</v>
      </c>
      <c r="D220" s="50">
        <v>-4006477.78</v>
      </c>
      <c r="E220" s="31">
        <f t="shared" si="30"/>
        <v>-4006099.11</v>
      </c>
      <c r="F220" s="900">
        <v>0</v>
      </c>
      <c r="G220" s="899">
        <f t="shared" si="31"/>
        <v>23249.56</v>
      </c>
      <c r="H220" s="50">
        <v>0</v>
      </c>
      <c r="I220" s="31">
        <f t="shared" si="32"/>
        <v>66.66</v>
      </c>
      <c r="J220" s="50">
        <v>0</v>
      </c>
      <c r="K220" s="31">
        <f t="shared" si="33"/>
        <v>0</v>
      </c>
      <c r="L220" s="50">
        <v>0</v>
      </c>
      <c r="M220" s="31">
        <f t="shared" si="34"/>
        <v>1.02</v>
      </c>
      <c r="N220" s="50">
        <v>0</v>
      </c>
      <c r="O220" s="31">
        <f t="shared" si="35"/>
        <v>0</v>
      </c>
      <c r="P220" s="51" t="s">
        <v>1600</v>
      </c>
      <c r="Q220" s="51"/>
    </row>
    <row r="221" spans="1:17" s="765" customFormat="1" x14ac:dyDescent="0.25">
      <c r="A221" s="10">
        <v>43773</v>
      </c>
      <c r="B221" s="594">
        <v>0</v>
      </c>
      <c r="C221" s="31">
        <f t="shared" si="36"/>
        <v>0</v>
      </c>
      <c r="D221" s="50">
        <v>3927000</v>
      </c>
      <c r="E221" s="31">
        <f t="shared" si="30"/>
        <v>-79099.11</v>
      </c>
      <c r="F221" s="900">
        <v>0</v>
      </c>
      <c r="G221" s="899">
        <f t="shared" si="31"/>
        <v>23249.56</v>
      </c>
      <c r="H221" s="50">
        <v>0</v>
      </c>
      <c r="I221" s="31">
        <f t="shared" si="32"/>
        <v>66.66</v>
      </c>
      <c r="J221" s="50">
        <v>0</v>
      </c>
      <c r="K221" s="31">
        <f t="shared" si="33"/>
        <v>0</v>
      </c>
      <c r="L221" s="50">
        <v>0</v>
      </c>
      <c r="M221" s="31">
        <f t="shared" si="34"/>
        <v>1.02</v>
      </c>
      <c r="N221" s="50">
        <v>0</v>
      </c>
      <c r="O221" s="31">
        <f t="shared" si="35"/>
        <v>0</v>
      </c>
      <c r="P221" s="51" t="s">
        <v>1601</v>
      </c>
      <c r="Q221" s="51"/>
    </row>
    <row r="222" spans="1:17" s="765" customFormat="1" x14ac:dyDescent="0.25">
      <c r="A222" s="10">
        <v>43773</v>
      </c>
      <c r="B222" s="594">
        <v>0</v>
      </c>
      <c r="C222" s="31">
        <f t="shared" si="36"/>
        <v>0</v>
      </c>
      <c r="D222" s="50">
        <f>-E221</f>
        <v>79099.11</v>
      </c>
      <c r="E222" s="31">
        <f t="shared" si="30"/>
        <v>0</v>
      </c>
      <c r="F222" s="50">
        <v>0</v>
      </c>
      <c r="G222" s="899">
        <f t="shared" si="31"/>
        <v>23249.56</v>
      </c>
      <c r="H222" s="50">
        <f>-I221</f>
        <v>-66.66</v>
      </c>
      <c r="I222" s="31">
        <f t="shared" si="32"/>
        <v>0</v>
      </c>
      <c r="J222" s="50">
        <v>0</v>
      </c>
      <c r="K222" s="31">
        <f t="shared" si="33"/>
        <v>0</v>
      </c>
      <c r="L222" s="50">
        <v>-1.02</v>
      </c>
      <c r="M222" s="31">
        <f t="shared" si="34"/>
        <v>0</v>
      </c>
      <c r="N222" s="50">
        <v>0</v>
      </c>
      <c r="O222" s="31">
        <f t="shared" si="35"/>
        <v>0</v>
      </c>
      <c r="P222" s="51" t="s">
        <v>845</v>
      </c>
      <c r="Q222" s="51"/>
    </row>
    <row r="223" spans="1:17" s="765" customFormat="1" x14ac:dyDescent="0.25">
      <c r="A223" s="10">
        <v>43775</v>
      </c>
      <c r="B223" s="594">
        <v>0</v>
      </c>
      <c r="C223" s="31">
        <f t="shared" si="36"/>
        <v>0</v>
      </c>
      <c r="D223" s="50">
        <f>-734936.13</f>
        <v>-734936.13</v>
      </c>
      <c r="E223" s="31">
        <f t="shared" si="30"/>
        <v>-734936.13</v>
      </c>
      <c r="F223" s="900">
        <v>0</v>
      </c>
      <c r="G223" s="899">
        <f t="shared" si="31"/>
        <v>23249.56</v>
      </c>
      <c r="H223" s="50">
        <v>0</v>
      </c>
      <c r="I223" s="31">
        <f t="shared" si="32"/>
        <v>0</v>
      </c>
      <c r="J223" s="50">
        <v>0</v>
      </c>
      <c r="K223" s="31">
        <f t="shared" si="33"/>
        <v>0</v>
      </c>
      <c r="L223" s="50">
        <v>0</v>
      </c>
      <c r="M223" s="31">
        <f t="shared" si="34"/>
        <v>0</v>
      </c>
      <c r="N223" s="50">
        <v>0</v>
      </c>
      <c r="O223" s="31">
        <f t="shared" si="35"/>
        <v>0</v>
      </c>
      <c r="P223" s="51" t="s">
        <v>1602</v>
      </c>
      <c r="Q223" s="51"/>
    </row>
    <row r="224" spans="1:17" s="765" customFormat="1" x14ac:dyDescent="0.25">
      <c r="A224" s="10">
        <v>43775</v>
      </c>
      <c r="B224" s="594">
        <v>0</v>
      </c>
      <c r="C224" s="31">
        <f t="shared" si="36"/>
        <v>0</v>
      </c>
      <c r="D224" s="50">
        <f>-D223</f>
        <v>734936.13</v>
      </c>
      <c r="E224" s="31">
        <f t="shared" si="30"/>
        <v>0</v>
      </c>
      <c r="F224" s="900">
        <v>0</v>
      </c>
      <c r="G224" s="899">
        <f t="shared" si="31"/>
        <v>23249.56</v>
      </c>
      <c r="H224" s="50">
        <v>0</v>
      </c>
      <c r="I224" s="31">
        <f t="shared" si="32"/>
        <v>0</v>
      </c>
      <c r="J224" s="50">
        <v>0</v>
      </c>
      <c r="K224" s="31">
        <f t="shared" si="33"/>
        <v>0</v>
      </c>
      <c r="L224" s="50">
        <v>0</v>
      </c>
      <c r="M224" s="31">
        <f t="shared" si="34"/>
        <v>0</v>
      </c>
      <c r="N224" s="50">
        <v>0</v>
      </c>
      <c r="O224" s="31">
        <f t="shared" si="35"/>
        <v>0</v>
      </c>
      <c r="P224" s="51" t="s">
        <v>845</v>
      </c>
      <c r="Q224" s="51"/>
    </row>
    <row r="225" spans="1:17" s="765" customFormat="1" x14ac:dyDescent="0.25">
      <c r="A225" s="10">
        <v>43784</v>
      </c>
      <c r="B225" s="594">
        <v>0</v>
      </c>
      <c r="C225" s="31">
        <f t="shared" si="36"/>
        <v>0</v>
      </c>
      <c r="D225" s="50">
        <v>-54354982.630000003</v>
      </c>
      <c r="E225" s="31">
        <f t="shared" si="30"/>
        <v>-54354982.630000003</v>
      </c>
      <c r="F225" s="900">
        <v>0</v>
      </c>
      <c r="G225" s="899">
        <f t="shared" si="31"/>
        <v>23249.56</v>
      </c>
      <c r="H225" s="50">
        <v>0</v>
      </c>
      <c r="I225" s="31">
        <f t="shared" si="32"/>
        <v>0</v>
      </c>
      <c r="J225" s="50">
        <v>0</v>
      </c>
      <c r="K225" s="31">
        <f t="shared" si="33"/>
        <v>0</v>
      </c>
      <c r="L225" s="50">
        <v>0</v>
      </c>
      <c r="M225" s="31">
        <f t="shared" si="34"/>
        <v>0</v>
      </c>
      <c r="N225" s="50">
        <v>0</v>
      </c>
      <c r="O225" s="31">
        <f t="shared" si="35"/>
        <v>0</v>
      </c>
      <c r="P225" s="51" t="s">
        <v>1654</v>
      </c>
      <c r="Q225" s="51"/>
    </row>
    <row r="226" spans="1:17" s="765" customFormat="1" x14ac:dyDescent="0.25">
      <c r="A226" s="10">
        <v>43784</v>
      </c>
      <c r="B226" s="594">
        <v>0</v>
      </c>
      <c r="C226" s="31">
        <f t="shared" si="36"/>
        <v>0</v>
      </c>
      <c r="D226" s="50">
        <v>54265193.329999998</v>
      </c>
      <c r="E226" s="31">
        <f t="shared" si="30"/>
        <v>-89789.3</v>
      </c>
      <c r="F226" s="900">
        <v>0</v>
      </c>
      <c r="G226" s="899">
        <f t="shared" si="31"/>
        <v>23249.56</v>
      </c>
      <c r="H226" s="50">
        <v>0</v>
      </c>
      <c r="I226" s="31">
        <f t="shared" si="32"/>
        <v>0</v>
      </c>
      <c r="J226" s="50">
        <v>0</v>
      </c>
      <c r="K226" s="31">
        <f t="shared" si="33"/>
        <v>0</v>
      </c>
      <c r="L226" s="50">
        <v>0</v>
      </c>
      <c r="M226" s="31">
        <f t="shared" si="34"/>
        <v>0</v>
      </c>
      <c r="N226" s="50">
        <v>0</v>
      </c>
      <c r="O226" s="31">
        <f t="shared" si="35"/>
        <v>0</v>
      </c>
      <c r="P226" s="51" t="s">
        <v>1655</v>
      </c>
      <c r="Q226" s="51"/>
    </row>
    <row r="227" spans="1:17" s="765" customFormat="1" x14ac:dyDescent="0.25">
      <c r="A227" s="10">
        <v>43784</v>
      </c>
      <c r="B227" s="594">
        <v>0</v>
      </c>
      <c r="C227" s="31">
        <f t="shared" si="36"/>
        <v>0</v>
      </c>
      <c r="D227" s="50">
        <v>-19179.59</v>
      </c>
      <c r="E227" s="31">
        <f t="shared" si="30"/>
        <v>-108968.89</v>
      </c>
      <c r="F227" s="900">
        <v>0</v>
      </c>
      <c r="G227" s="899">
        <f t="shared" si="31"/>
        <v>23249.56</v>
      </c>
      <c r="H227" s="50">
        <v>0</v>
      </c>
      <c r="I227" s="31">
        <f t="shared" si="32"/>
        <v>0</v>
      </c>
      <c r="J227" s="50">
        <v>0</v>
      </c>
      <c r="K227" s="31">
        <f t="shared" si="33"/>
        <v>0</v>
      </c>
      <c r="L227" s="50">
        <v>19179.59</v>
      </c>
      <c r="M227" s="31">
        <f t="shared" si="34"/>
        <v>19179.59</v>
      </c>
      <c r="N227" s="50">
        <v>0</v>
      </c>
      <c r="O227" s="31">
        <f t="shared" si="35"/>
        <v>0</v>
      </c>
      <c r="P227" s="51" t="s">
        <v>1156</v>
      </c>
      <c r="Q227" s="51"/>
    </row>
    <row r="228" spans="1:17" s="765" customFormat="1" x14ac:dyDescent="0.25">
      <c r="A228" s="10">
        <v>43784</v>
      </c>
      <c r="B228" s="594">
        <v>0</v>
      </c>
      <c r="C228" s="31">
        <f t="shared" si="36"/>
        <v>0</v>
      </c>
      <c r="D228" s="50">
        <v>-6537.47</v>
      </c>
      <c r="E228" s="31">
        <f t="shared" si="30"/>
        <v>-115506.36</v>
      </c>
      <c r="F228" s="900">
        <v>0</v>
      </c>
      <c r="G228" s="899">
        <f t="shared" si="31"/>
        <v>23249.56</v>
      </c>
      <c r="H228" s="50">
        <v>6537.47</v>
      </c>
      <c r="I228" s="31">
        <f t="shared" si="32"/>
        <v>6537.47</v>
      </c>
      <c r="J228" s="50">
        <v>0</v>
      </c>
      <c r="K228" s="31">
        <f t="shared" si="33"/>
        <v>0</v>
      </c>
      <c r="L228" s="50">
        <v>0</v>
      </c>
      <c r="M228" s="31">
        <f t="shared" si="34"/>
        <v>19179.59</v>
      </c>
      <c r="N228" s="50">
        <v>0</v>
      </c>
      <c r="O228" s="31">
        <f t="shared" si="35"/>
        <v>0</v>
      </c>
      <c r="P228" s="51" t="s">
        <v>1155</v>
      </c>
      <c r="Q228" s="51"/>
    </row>
    <row r="229" spans="1:17" s="765" customFormat="1" x14ac:dyDescent="0.25">
      <c r="A229" s="10">
        <v>43784</v>
      </c>
      <c r="B229" s="594">
        <v>0</v>
      </c>
      <c r="C229" s="31">
        <f t="shared" si="36"/>
        <v>0</v>
      </c>
      <c r="D229" s="50">
        <v>0</v>
      </c>
      <c r="E229" s="31">
        <f t="shared" si="30"/>
        <v>-115506.36</v>
      </c>
      <c r="F229" s="900">
        <v>0</v>
      </c>
      <c r="G229" s="899">
        <f t="shared" si="31"/>
        <v>23249.56</v>
      </c>
      <c r="H229" s="50">
        <v>0</v>
      </c>
      <c r="I229" s="31">
        <f t="shared" si="32"/>
        <v>6537.47</v>
      </c>
      <c r="J229" s="50">
        <v>0</v>
      </c>
      <c r="K229" s="31">
        <f t="shared" si="33"/>
        <v>0</v>
      </c>
      <c r="L229" s="50">
        <f>-L227</f>
        <v>-19179.59</v>
      </c>
      <c r="M229" s="31">
        <f t="shared" si="34"/>
        <v>0</v>
      </c>
      <c r="N229" s="50">
        <v>0</v>
      </c>
      <c r="O229" s="31">
        <f t="shared" si="35"/>
        <v>0</v>
      </c>
      <c r="P229" s="51" t="s">
        <v>1591</v>
      </c>
      <c r="Q229" s="51"/>
    </row>
    <row r="230" spans="1:17" s="765" customFormat="1" x14ac:dyDescent="0.25">
      <c r="A230" s="10">
        <v>43784</v>
      </c>
      <c r="B230" s="594">
        <v>0</v>
      </c>
      <c r="C230" s="31">
        <f t="shared" si="36"/>
        <v>0</v>
      </c>
      <c r="D230" s="50">
        <v>115506.36</v>
      </c>
      <c r="E230" s="31">
        <f t="shared" si="30"/>
        <v>0</v>
      </c>
      <c r="F230" s="900">
        <v>0</v>
      </c>
      <c r="G230" s="899">
        <f t="shared" si="31"/>
        <v>23249.56</v>
      </c>
      <c r="H230" s="50">
        <v>-6537.47</v>
      </c>
      <c r="I230" s="31">
        <f t="shared" si="32"/>
        <v>0</v>
      </c>
      <c r="J230" s="50">
        <v>0</v>
      </c>
      <c r="K230" s="31">
        <f t="shared" si="33"/>
        <v>0</v>
      </c>
      <c r="L230" s="50">
        <v>-19179.59</v>
      </c>
      <c r="M230" s="31">
        <f t="shared" si="34"/>
        <v>-19179.59</v>
      </c>
      <c r="N230" s="50">
        <v>0</v>
      </c>
      <c r="O230" s="31">
        <f t="shared" si="35"/>
        <v>0</v>
      </c>
      <c r="P230" s="51" t="s">
        <v>845</v>
      </c>
      <c r="Q230" s="51"/>
    </row>
    <row r="231" spans="1:17" s="765" customFormat="1" x14ac:dyDescent="0.25">
      <c r="A231" s="10">
        <v>43788</v>
      </c>
      <c r="B231" s="594">
        <v>0</v>
      </c>
      <c r="C231" s="31">
        <f t="shared" si="36"/>
        <v>0</v>
      </c>
      <c r="D231" s="50">
        <v>257357.68888888881</v>
      </c>
      <c r="E231" s="31">
        <f t="shared" si="30"/>
        <v>257357.69</v>
      </c>
      <c r="F231" s="900">
        <v>0</v>
      </c>
      <c r="G231" s="899">
        <f t="shared" si="31"/>
        <v>23249.56</v>
      </c>
      <c r="H231" s="50">
        <v>0</v>
      </c>
      <c r="I231" s="31">
        <f t="shared" si="32"/>
        <v>0</v>
      </c>
      <c r="J231" s="50">
        <v>0</v>
      </c>
      <c r="K231" s="31">
        <f t="shared" si="33"/>
        <v>0</v>
      </c>
      <c r="L231" s="50">
        <v>0</v>
      </c>
      <c r="M231" s="31">
        <f t="shared" si="34"/>
        <v>-19179.59</v>
      </c>
      <c r="N231" s="50">
        <v>0</v>
      </c>
      <c r="O231" s="31">
        <f t="shared" si="35"/>
        <v>0</v>
      </c>
      <c r="P231" s="51" t="s">
        <v>1657</v>
      </c>
      <c r="Q231" s="51"/>
    </row>
    <row r="232" spans="1:17" s="765" customFormat="1" x14ac:dyDescent="0.25">
      <c r="A232" s="10">
        <v>43788</v>
      </c>
      <c r="B232" s="594">
        <v>0</v>
      </c>
      <c r="C232" s="31">
        <f t="shared" si="36"/>
        <v>0</v>
      </c>
      <c r="D232" s="50">
        <v>1464.68</v>
      </c>
      <c r="E232" s="31">
        <f t="shared" si="30"/>
        <v>258822.37</v>
      </c>
      <c r="F232" s="900">
        <v>0</v>
      </c>
      <c r="G232" s="899">
        <f t="shared" si="31"/>
        <v>23249.56</v>
      </c>
      <c r="H232" s="50">
        <v>0</v>
      </c>
      <c r="I232" s="31">
        <f t="shared" si="32"/>
        <v>0</v>
      </c>
      <c r="J232" s="50">
        <v>0</v>
      </c>
      <c r="K232" s="31">
        <f t="shared" si="33"/>
        <v>0</v>
      </c>
      <c r="L232" s="50">
        <v>0</v>
      </c>
      <c r="M232" s="31">
        <f t="shared" si="34"/>
        <v>-19179.59</v>
      </c>
      <c r="N232" s="50">
        <v>0</v>
      </c>
      <c r="O232" s="31">
        <f t="shared" si="35"/>
        <v>0</v>
      </c>
      <c r="P232" s="51" t="s">
        <v>1657</v>
      </c>
      <c r="Q232" s="51"/>
    </row>
    <row r="233" spans="1:17" s="765" customFormat="1" x14ac:dyDescent="0.25">
      <c r="A233" s="10">
        <v>43788</v>
      </c>
      <c r="B233" s="594">
        <v>-200000</v>
      </c>
      <c r="C233" s="31">
        <f t="shared" si="36"/>
        <v>-200000</v>
      </c>
      <c r="D233" s="50">
        <v>200000</v>
      </c>
      <c r="E233" s="31">
        <f t="shared" si="30"/>
        <v>458822.37</v>
      </c>
      <c r="F233" s="900">
        <v>0</v>
      </c>
      <c r="G233" s="899">
        <f t="shared" si="31"/>
        <v>23249.56</v>
      </c>
      <c r="H233" s="50">
        <v>0</v>
      </c>
      <c r="I233" s="31">
        <f t="shared" si="32"/>
        <v>0</v>
      </c>
      <c r="J233" s="50">
        <v>0</v>
      </c>
      <c r="K233" s="31">
        <f t="shared" si="33"/>
        <v>0</v>
      </c>
      <c r="L233" s="50">
        <v>0</v>
      </c>
      <c r="M233" s="31">
        <f t="shared" si="34"/>
        <v>-19179.59</v>
      </c>
      <c r="N233" s="50">
        <v>0</v>
      </c>
      <c r="O233" s="31">
        <f t="shared" si="35"/>
        <v>0</v>
      </c>
      <c r="P233" s="51" t="s">
        <v>880</v>
      </c>
      <c r="Q233" s="51"/>
    </row>
    <row r="234" spans="1:17" s="765" customFormat="1" x14ac:dyDescent="0.25">
      <c r="A234" s="10">
        <v>43788</v>
      </c>
      <c r="B234" s="594">
        <v>-69041.34</v>
      </c>
      <c r="C234" s="31">
        <f t="shared" si="36"/>
        <v>-269041.34000000003</v>
      </c>
      <c r="D234" s="50">
        <f>-B234</f>
        <v>69041.34</v>
      </c>
      <c r="E234" s="31">
        <f t="shared" si="30"/>
        <v>527863.71</v>
      </c>
      <c r="F234" s="900">
        <v>0</v>
      </c>
      <c r="G234" s="899">
        <f t="shared" si="31"/>
        <v>23249.56</v>
      </c>
      <c r="H234" s="50">
        <v>0</v>
      </c>
      <c r="I234" s="31">
        <f t="shared" si="32"/>
        <v>0</v>
      </c>
      <c r="J234" s="50">
        <v>0</v>
      </c>
      <c r="K234" s="31">
        <f t="shared" si="33"/>
        <v>0</v>
      </c>
      <c r="L234" s="50">
        <v>0</v>
      </c>
      <c r="M234" s="31">
        <f t="shared" si="34"/>
        <v>-19179.59</v>
      </c>
      <c r="N234" s="50">
        <v>0</v>
      </c>
      <c r="O234" s="31">
        <f t="shared" si="35"/>
        <v>0</v>
      </c>
      <c r="P234" s="51" t="s">
        <v>880</v>
      </c>
      <c r="Q234" s="51"/>
    </row>
    <row r="235" spans="1:17" s="765" customFormat="1" x14ac:dyDescent="0.25">
      <c r="A235" s="10">
        <v>43788</v>
      </c>
      <c r="B235" s="594">
        <v>0</v>
      </c>
      <c r="C235" s="31">
        <f t="shared" si="36"/>
        <v>-269041.34000000003</v>
      </c>
      <c r="D235" s="50">
        <v>30324477.690000001</v>
      </c>
      <c r="E235" s="31">
        <f t="shared" si="30"/>
        <v>30852341.399999999</v>
      </c>
      <c r="F235" s="900">
        <v>0</v>
      </c>
      <c r="G235" s="899">
        <f t="shared" si="31"/>
        <v>23249.56</v>
      </c>
      <c r="H235" s="50">
        <v>0</v>
      </c>
      <c r="I235" s="31">
        <f t="shared" si="32"/>
        <v>0</v>
      </c>
      <c r="J235" s="50">
        <v>0</v>
      </c>
      <c r="K235" s="31">
        <f t="shared" si="33"/>
        <v>0</v>
      </c>
      <c r="L235" s="50">
        <v>0</v>
      </c>
      <c r="M235" s="31">
        <f t="shared" si="34"/>
        <v>-19179.59</v>
      </c>
      <c r="N235" s="50">
        <v>0</v>
      </c>
      <c r="O235" s="31">
        <f t="shared" si="35"/>
        <v>0</v>
      </c>
      <c r="P235" s="51" t="s">
        <v>1658</v>
      </c>
      <c r="Q235" s="51"/>
    </row>
    <row r="236" spans="1:17" s="765" customFormat="1" x14ac:dyDescent="0.25">
      <c r="A236" s="10">
        <v>43788</v>
      </c>
      <c r="B236" s="594">
        <v>0</v>
      </c>
      <c r="C236" s="31">
        <f t="shared" si="36"/>
        <v>-269041.34000000003</v>
      </c>
      <c r="D236" s="50">
        <v>200708.43</v>
      </c>
      <c r="E236" s="31">
        <f t="shared" si="30"/>
        <v>31053049.829999998</v>
      </c>
      <c r="F236" s="900">
        <v>0</v>
      </c>
      <c r="G236" s="899">
        <f t="shared" si="31"/>
        <v>23249.56</v>
      </c>
      <c r="H236" s="50">
        <v>0</v>
      </c>
      <c r="I236" s="31">
        <f t="shared" si="32"/>
        <v>0</v>
      </c>
      <c r="J236" s="50">
        <v>0</v>
      </c>
      <c r="K236" s="31">
        <f t="shared" si="33"/>
        <v>0</v>
      </c>
      <c r="L236" s="50">
        <v>0</v>
      </c>
      <c r="M236" s="31">
        <f t="shared" si="34"/>
        <v>-19179.59</v>
      </c>
      <c r="N236" s="50">
        <v>0</v>
      </c>
      <c r="O236" s="31">
        <f t="shared" si="35"/>
        <v>0</v>
      </c>
      <c r="P236" s="51" t="s">
        <v>1658</v>
      </c>
      <c r="Q236" s="51"/>
    </row>
    <row r="237" spans="1:17" s="765" customFormat="1" x14ac:dyDescent="0.25">
      <c r="A237" s="10">
        <v>43788</v>
      </c>
      <c r="B237" s="594">
        <v>0</v>
      </c>
      <c r="C237" s="31">
        <f t="shared" si="36"/>
        <v>-269041.34000000003</v>
      </c>
      <c r="D237" s="50">
        <v>-30457357.690000001</v>
      </c>
      <c r="E237" s="31">
        <f t="shared" si="30"/>
        <v>595692.14</v>
      </c>
      <c r="F237" s="900">
        <v>0</v>
      </c>
      <c r="G237" s="899">
        <f t="shared" si="31"/>
        <v>23249.56</v>
      </c>
      <c r="H237" s="50">
        <v>0</v>
      </c>
      <c r="I237" s="31">
        <f t="shared" si="32"/>
        <v>0</v>
      </c>
      <c r="J237" s="50">
        <v>0</v>
      </c>
      <c r="K237" s="31">
        <f t="shared" si="33"/>
        <v>0</v>
      </c>
      <c r="L237" s="50">
        <v>0</v>
      </c>
      <c r="M237" s="31">
        <f t="shared" si="34"/>
        <v>-19179.59</v>
      </c>
      <c r="N237" s="50">
        <v>0</v>
      </c>
      <c r="O237" s="31">
        <f t="shared" si="35"/>
        <v>0</v>
      </c>
      <c r="P237" s="51" t="s">
        <v>1659</v>
      </c>
      <c r="Q237" s="51"/>
    </row>
    <row r="238" spans="1:17" s="765" customFormat="1" x14ac:dyDescent="0.25">
      <c r="A238" s="10">
        <v>43788</v>
      </c>
      <c r="B238" s="594">
        <v>0</v>
      </c>
      <c r="C238" s="31">
        <f t="shared" si="36"/>
        <v>-269041.34000000003</v>
      </c>
      <c r="D238" s="50">
        <v>-201464.68</v>
      </c>
      <c r="E238" s="31">
        <f t="shared" si="30"/>
        <v>394227.46</v>
      </c>
      <c r="F238" s="900">
        <v>0</v>
      </c>
      <c r="G238" s="899">
        <f t="shared" si="31"/>
        <v>23249.56</v>
      </c>
      <c r="H238" s="50">
        <v>0</v>
      </c>
      <c r="I238" s="31">
        <f t="shared" si="32"/>
        <v>0</v>
      </c>
      <c r="J238" s="50">
        <v>0</v>
      </c>
      <c r="K238" s="31">
        <f t="shared" si="33"/>
        <v>0</v>
      </c>
      <c r="L238" s="50">
        <v>0</v>
      </c>
      <c r="M238" s="31">
        <f t="shared" si="34"/>
        <v>-19179.59</v>
      </c>
      <c r="N238" s="50">
        <v>0</v>
      </c>
      <c r="O238" s="31">
        <f t="shared" si="35"/>
        <v>0</v>
      </c>
      <c r="P238" s="51" t="s">
        <v>1659</v>
      </c>
      <c r="Q238" s="51"/>
    </row>
    <row r="239" spans="1:17" s="765" customFormat="1" x14ac:dyDescent="0.25">
      <c r="A239" s="10">
        <v>43788</v>
      </c>
      <c r="B239" s="594">
        <v>0</v>
      </c>
      <c r="C239" s="31">
        <f t="shared" si="36"/>
        <v>-269041.34000000003</v>
      </c>
      <c r="D239" s="50">
        <v>0</v>
      </c>
      <c r="E239" s="31">
        <f t="shared" si="30"/>
        <v>394227.46</v>
      </c>
      <c r="F239" s="900">
        <v>0</v>
      </c>
      <c r="G239" s="899">
        <f t="shared" si="31"/>
        <v>23249.56</v>
      </c>
      <c r="H239" s="50">
        <v>-103</v>
      </c>
      <c r="I239" s="31">
        <f t="shared" si="32"/>
        <v>-103</v>
      </c>
      <c r="J239" s="50">
        <v>0</v>
      </c>
      <c r="K239" s="31">
        <f t="shared" si="33"/>
        <v>0</v>
      </c>
      <c r="L239" s="50">
        <v>0</v>
      </c>
      <c r="M239" s="31">
        <f t="shared" si="34"/>
        <v>-19179.59</v>
      </c>
      <c r="N239" s="50">
        <v>0</v>
      </c>
      <c r="O239" s="31">
        <f t="shared" si="35"/>
        <v>0</v>
      </c>
      <c r="P239" s="51" t="s">
        <v>1660</v>
      </c>
      <c r="Q239" s="51"/>
    </row>
    <row r="240" spans="1:17" s="765" customFormat="1" x14ac:dyDescent="0.25">
      <c r="A240" s="10">
        <v>43788</v>
      </c>
      <c r="B240" s="594">
        <v>269041.34000000003</v>
      </c>
      <c r="C240" s="31">
        <f t="shared" si="36"/>
        <v>0</v>
      </c>
      <c r="D240" s="50">
        <v>-30130958.66</v>
      </c>
      <c r="E240" s="31">
        <f t="shared" si="30"/>
        <v>-29736731.199999999</v>
      </c>
      <c r="F240" s="900">
        <v>0</v>
      </c>
      <c r="G240" s="899">
        <f t="shared" si="31"/>
        <v>23249.56</v>
      </c>
      <c r="H240" s="50">
        <v>0</v>
      </c>
      <c r="I240" s="31">
        <f t="shared" si="32"/>
        <v>-103</v>
      </c>
      <c r="J240" s="50">
        <v>0</v>
      </c>
      <c r="K240" s="31">
        <f t="shared" si="33"/>
        <v>0</v>
      </c>
      <c r="L240" s="50">
        <v>0</v>
      </c>
      <c r="M240" s="31">
        <f t="shared" si="34"/>
        <v>-19179.59</v>
      </c>
      <c r="N240" s="50">
        <v>0</v>
      </c>
      <c r="O240" s="31">
        <f t="shared" si="35"/>
        <v>0</v>
      </c>
      <c r="P240" s="51" t="s">
        <v>1661</v>
      </c>
      <c r="Q240" s="51"/>
    </row>
    <row r="241" spans="1:17" s="765" customFormat="1" x14ac:dyDescent="0.25">
      <c r="A241" s="10">
        <v>43788</v>
      </c>
      <c r="B241" s="594">
        <v>0</v>
      </c>
      <c r="C241" s="31">
        <f t="shared" si="36"/>
        <v>0</v>
      </c>
      <c r="D241" s="50">
        <v>30130958.66</v>
      </c>
      <c r="E241" s="31">
        <f t="shared" si="30"/>
        <v>394227.46</v>
      </c>
      <c r="F241" s="900">
        <v>0</v>
      </c>
      <c r="G241" s="899">
        <f t="shared" si="31"/>
        <v>23249.56</v>
      </c>
      <c r="H241" s="50">
        <v>0</v>
      </c>
      <c r="I241" s="31">
        <f t="shared" si="32"/>
        <v>-103</v>
      </c>
      <c r="J241" s="50">
        <v>0</v>
      </c>
      <c r="K241" s="31">
        <f t="shared" si="33"/>
        <v>0</v>
      </c>
      <c r="L241" s="50">
        <v>0</v>
      </c>
      <c r="M241" s="31">
        <f t="shared" si="34"/>
        <v>-19179.59</v>
      </c>
      <c r="N241" s="50">
        <v>0</v>
      </c>
      <c r="O241" s="31">
        <f t="shared" si="35"/>
        <v>0</v>
      </c>
      <c r="P241" s="51" t="s">
        <v>1662</v>
      </c>
      <c r="Q241" s="51"/>
    </row>
    <row r="242" spans="1:17" s="765" customFormat="1" x14ac:dyDescent="0.25">
      <c r="A242" s="10">
        <v>43788</v>
      </c>
      <c r="B242" s="594">
        <v>0</v>
      </c>
      <c r="C242" s="31">
        <f t="shared" si="36"/>
        <v>0</v>
      </c>
      <c r="D242" s="50">
        <v>0</v>
      </c>
      <c r="E242" s="31">
        <f t="shared" si="30"/>
        <v>394227.46</v>
      </c>
      <c r="F242" s="900">
        <v>0</v>
      </c>
      <c r="G242" s="899">
        <f t="shared" si="31"/>
        <v>23249.56</v>
      </c>
      <c r="H242" s="50">
        <v>103</v>
      </c>
      <c r="I242" s="31">
        <f t="shared" si="32"/>
        <v>0</v>
      </c>
      <c r="J242" s="50">
        <v>0</v>
      </c>
      <c r="K242" s="31">
        <f t="shared" si="33"/>
        <v>0</v>
      </c>
      <c r="L242" s="50">
        <v>19179.59</v>
      </c>
      <c r="M242" s="31">
        <f t="shared" si="34"/>
        <v>0</v>
      </c>
      <c r="N242" s="50">
        <v>0</v>
      </c>
      <c r="O242" s="31">
        <f t="shared" si="35"/>
        <v>0</v>
      </c>
      <c r="P242" s="51" t="s">
        <v>845</v>
      </c>
      <c r="Q242" s="51"/>
    </row>
    <row r="243" spans="1:17" s="765" customFormat="1" x14ac:dyDescent="0.25">
      <c r="A243" s="10">
        <v>43791</v>
      </c>
      <c r="B243" s="594">
        <v>0</v>
      </c>
      <c r="C243" s="31">
        <f t="shared" si="36"/>
        <v>0</v>
      </c>
      <c r="D243" s="50">
        <v>101319.98</v>
      </c>
      <c r="E243" s="31">
        <f t="shared" si="30"/>
        <v>495547.44</v>
      </c>
      <c r="F243" s="900">
        <v>0</v>
      </c>
      <c r="G243" s="899">
        <f t="shared" si="31"/>
        <v>23249.56</v>
      </c>
      <c r="H243" s="50">
        <v>0</v>
      </c>
      <c r="I243" s="31">
        <f t="shared" si="32"/>
        <v>0</v>
      </c>
      <c r="J243" s="50">
        <v>0</v>
      </c>
      <c r="K243" s="31">
        <f t="shared" si="33"/>
        <v>0</v>
      </c>
      <c r="L243" s="50">
        <v>0</v>
      </c>
      <c r="M243" s="31">
        <f t="shared" si="34"/>
        <v>0</v>
      </c>
      <c r="N243" s="50">
        <v>0</v>
      </c>
      <c r="O243" s="31">
        <f t="shared" si="35"/>
        <v>0</v>
      </c>
      <c r="P243" s="51" t="s">
        <v>845</v>
      </c>
      <c r="Q243" s="51"/>
    </row>
    <row r="244" spans="1:17" s="765" customFormat="1" x14ac:dyDescent="0.25">
      <c r="A244" s="10">
        <v>43794</v>
      </c>
      <c r="B244" s="594">
        <v>0</v>
      </c>
      <c r="C244" s="31">
        <f t="shared" si="36"/>
        <v>0</v>
      </c>
      <c r="D244" s="50">
        <v>-495547.44</v>
      </c>
      <c r="E244" s="31">
        <f t="shared" si="30"/>
        <v>0</v>
      </c>
      <c r="F244" s="900">
        <v>0</v>
      </c>
      <c r="G244" s="899">
        <f t="shared" si="31"/>
        <v>23249.56</v>
      </c>
      <c r="H244" s="50">
        <v>0</v>
      </c>
      <c r="I244" s="31">
        <f t="shared" si="32"/>
        <v>0</v>
      </c>
      <c r="J244" s="50">
        <v>0</v>
      </c>
      <c r="K244" s="31">
        <f t="shared" si="33"/>
        <v>0</v>
      </c>
      <c r="L244" s="50">
        <v>0</v>
      </c>
      <c r="M244" s="31">
        <f t="shared" si="34"/>
        <v>0</v>
      </c>
      <c r="N244" s="50">
        <v>0</v>
      </c>
      <c r="O244" s="31">
        <f t="shared" si="35"/>
        <v>0</v>
      </c>
      <c r="P244" s="51" t="s">
        <v>845</v>
      </c>
      <c r="Q244" s="51"/>
    </row>
    <row r="245" spans="1:17" s="765" customFormat="1" x14ac:dyDescent="0.25">
      <c r="A245" s="10">
        <v>43795</v>
      </c>
      <c r="B245" s="594">
        <v>0</v>
      </c>
      <c r="C245" s="31">
        <f t="shared" si="36"/>
        <v>0</v>
      </c>
      <c r="D245" s="50">
        <v>0</v>
      </c>
      <c r="E245" s="31">
        <f t="shared" si="30"/>
        <v>0</v>
      </c>
      <c r="F245" s="900">
        <v>0</v>
      </c>
      <c r="G245" s="899">
        <f t="shared" si="31"/>
        <v>23249.56</v>
      </c>
      <c r="H245" s="50">
        <v>-4845</v>
      </c>
      <c r="I245" s="31">
        <f t="shared" si="32"/>
        <v>-4845</v>
      </c>
      <c r="J245" s="50">
        <v>0</v>
      </c>
      <c r="K245" s="31">
        <f t="shared" si="33"/>
        <v>0</v>
      </c>
      <c r="L245" s="50">
        <v>0</v>
      </c>
      <c r="M245" s="31">
        <f t="shared" si="34"/>
        <v>0</v>
      </c>
      <c r="N245" s="50">
        <v>0</v>
      </c>
      <c r="O245" s="31">
        <f t="shared" si="35"/>
        <v>0</v>
      </c>
      <c r="P245" s="51" t="s">
        <v>1666</v>
      </c>
      <c r="Q245" s="51"/>
    </row>
    <row r="246" spans="1:17" s="765" customFormat="1" x14ac:dyDescent="0.25">
      <c r="A246" s="10">
        <v>43795</v>
      </c>
      <c r="B246" s="594">
        <v>0</v>
      </c>
      <c r="C246" s="31">
        <f t="shared" si="36"/>
        <v>0</v>
      </c>
      <c r="D246" s="50">
        <v>0</v>
      </c>
      <c r="E246" s="31">
        <f t="shared" si="30"/>
        <v>0</v>
      </c>
      <c r="F246" s="900">
        <v>0</v>
      </c>
      <c r="G246" s="899">
        <f t="shared" si="31"/>
        <v>23249.56</v>
      </c>
      <c r="H246" s="50">
        <v>-530</v>
      </c>
      <c r="I246" s="31">
        <f t="shared" si="32"/>
        <v>-5375</v>
      </c>
      <c r="J246" s="50">
        <v>0</v>
      </c>
      <c r="K246" s="31">
        <f t="shared" si="33"/>
        <v>0</v>
      </c>
      <c r="L246" s="50">
        <v>0</v>
      </c>
      <c r="M246" s="31">
        <f t="shared" si="34"/>
        <v>0</v>
      </c>
      <c r="N246" s="50">
        <v>0</v>
      </c>
      <c r="O246" s="31">
        <f t="shared" si="35"/>
        <v>0</v>
      </c>
      <c r="P246" s="51" t="s">
        <v>1667</v>
      </c>
      <c r="Q246" s="51"/>
    </row>
    <row r="247" spans="1:17" s="765" customFormat="1" x14ac:dyDescent="0.25">
      <c r="A247" s="10">
        <v>43795</v>
      </c>
      <c r="B247" s="594">
        <v>0</v>
      </c>
      <c r="C247" s="31">
        <f t="shared" si="36"/>
        <v>0</v>
      </c>
      <c r="D247" s="50">
        <v>495547.44</v>
      </c>
      <c r="E247" s="31">
        <f t="shared" si="30"/>
        <v>495547.44</v>
      </c>
      <c r="F247" s="900">
        <v>0</v>
      </c>
      <c r="G247" s="899">
        <f t="shared" si="31"/>
        <v>23249.56</v>
      </c>
      <c r="H247" s="50">
        <f>-I246</f>
        <v>5375</v>
      </c>
      <c r="I247" s="31">
        <f t="shared" si="32"/>
        <v>0</v>
      </c>
      <c r="J247" s="50">
        <v>0</v>
      </c>
      <c r="K247" s="31">
        <f t="shared" si="33"/>
        <v>0</v>
      </c>
      <c r="L247" s="50">
        <v>0</v>
      </c>
      <c r="M247" s="31">
        <f t="shared" si="34"/>
        <v>0</v>
      </c>
      <c r="N247" s="50">
        <v>0</v>
      </c>
      <c r="O247" s="31">
        <f t="shared" si="35"/>
        <v>0</v>
      </c>
      <c r="P247" s="51" t="s">
        <v>845</v>
      </c>
      <c r="Q247" s="51"/>
    </row>
    <row r="248" spans="1:17" s="765" customFormat="1" x14ac:dyDescent="0.25">
      <c r="A248" s="10">
        <v>43796</v>
      </c>
      <c r="B248" s="594">
        <v>0</v>
      </c>
      <c r="C248" s="31">
        <f t="shared" si="36"/>
        <v>0</v>
      </c>
      <c r="D248" s="50">
        <v>-401854.8</v>
      </c>
      <c r="E248" s="31">
        <f t="shared" si="30"/>
        <v>93692.64</v>
      </c>
      <c r="F248" s="900">
        <v>0</v>
      </c>
      <c r="G248" s="899">
        <f t="shared" si="31"/>
        <v>23249.56</v>
      </c>
      <c r="H248" s="50">
        <v>0</v>
      </c>
      <c r="I248" s="31">
        <f t="shared" si="32"/>
        <v>0</v>
      </c>
      <c r="J248" s="50">
        <v>0</v>
      </c>
      <c r="K248" s="31">
        <f t="shared" si="33"/>
        <v>0</v>
      </c>
      <c r="L248" s="50">
        <v>0</v>
      </c>
      <c r="M248" s="31">
        <f t="shared" si="34"/>
        <v>0</v>
      </c>
      <c r="N248" s="50">
        <v>0</v>
      </c>
      <c r="O248" s="31">
        <f t="shared" si="35"/>
        <v>0</v>
      </c>
      <c r="P248" s="51" t="s">
        <v>1669</v>
      </c>
      <c r="Q248" s="51"/>
    </row>
    <row r="249" spans="1:17" s="765" customFormat="1" x14ac:dyDescent="0.25">
      <c r="A249" s="10">
        <v>43796</v>
      </c>
      <c r="B249" s="594">
        <v>0</v>
      </c>
      <c r="C249" s="31">
        <f t="shared" si="36"/>
        <v>0</v>
      </c>
      <c r="D249" s="50">
        <v>-774633.75</v>
      </c>
      <c r="E249" s="31">
        <f t="shared" si="30"/>
        <v>-680941.11</v>
      </c>
      <c r="F249" s="900">
        <v>0</v>
      </c>
      <c r="G249" s="899">
        <f t="shared" si="31"/>
        <v>23249.56</v>
      </c>
      <c r="H249" s="50">
        <v>0</v>
      </c>
      <c r="I249" s="31">
        <f t="shared" si="32"/>
        <v>0</v>
      </c>
      <c r="J249" s="50">
        <v>0</v>
      </c>
      <c r="K249" s="31">
        <f t="shared" si="33"/>
        <v>0</v>
      </c>
      <c r="L249" s="50">
        <v>0</v>
      </c>
      <c r="M249" s="31">
        <f t="shared" si="34"/>
        <v>0</v>
      </c>
      <c r="N249" s="50">
        <v>0</v>
      </c>
      <c r="O249" s="31">
        <f t="shared" si="35"/>
        <v>0</v>
      </c>
      <c r="P249" s="51" t="s">
        <v>1670</v>
      </c>
      <c r="Q249" s="51"/>
    </row>
    <row r="250" spans="1:17" s="765" customFormat="1" x14ac:dyDescent="0.25">
      <c r="A250" s="10">
        <v>43796</v>
      </c>
      <c r="B250" s="594">
        <v>0</v>
      </c>
      <c r="C250" s="31">
        <f t="shared" si="36"/>
        <v>0</v>
      </c>
      <c r="D250" s="50">
        <f>680941.11+93692.64</f>
        <v>774633.75</v>
      </c>
      <c r="E250" s="31">
        <f t="shared" si="30"/>
        <v>93692.64</v>
      </c>
      <c r="F250" s="900">
        <v>0</v>
      </c>
      <c r="G250" s="899">
        <f t="shared" si="31"/>
        <v>23249.56</v>
      </c>
      <c r="H250" s="50">
        <v>0</v>
      </c>
      <c r="I250" s="31">
        <f t="shared" si="32"/>
        <v>0</v>
      </c>
      <c r="J250" s="50">
        <v>0</v>
      </c>
      <c r="K250" s="31">
        <f t="shared" si="33"/>
        <v>0</v>
      </c>
      <c r="L250" s="50">
        <v>0</v>
      </c>
      <c r="M250" s="31">
        <f t="shared" si="34"/>
        <v>0</v>
      </c>
      <c r="N250" s="50">
        <v>0</v>
      </c>
      <c r="O250" s="31">
        <f t="shared" si="35"/>
        <v>0</v>
      </c>
      <c r="P250" s="51" t="s">
        <v>845</v>
      </c>
      <c r="Q250" s="51"/>
    </row>
    <row r="251" spans="1:17" s="765" customFormat="1" x14ac:dyDescent="0.25">
      <c r="A251" s="10">
        <v>43796</v>
      </c>
      <c r="B251" s="594">
        <v>0</v>
      </c>
      <c r="C251" s="31">
        <f t="shared" si="36"/>
        <v>0</v>
      </c>
      <c r="D251" s="50">
        <v>-54302756.899999999</v>
      </c>
      <c r="E251" s="31">
        <f t="shared" si="30"/>
        <v>-54209064.259999998</v>
      </c>
      <c r="F251" s="900">
        <v>0</v>
      </c>
      <c r="G251" s="899">
        <f t="shared" si="31"/>
        <v>23249.56</v>
      </c>
      <c r="H251" s="50">
        <v>0</v>
      </c>
      <c r="I251" s="31">
        <f t="shared" si="32"/>
        <v>0</v>
      </c>
      <c r="J251" s="50">
        <v>0</v>
      </c>
      <c r="K251" s="31">
        <f t="shared" si="33"/>
        <v>0</v>
      </c>
      <c r="L251" s="50">
        <v>0</v>
      </c>
      <c r="M251" s="31">
        <f t="shared" si="34"/>
        <v>0</v>
      </c>
      <c r="N251" s="50">
        <v>0</v>
      </c>
      <c r="O251" s="31">
        <f t="shared" si="35"/>
        <v>0</v>
      </c>
      <c r="P251" s="51" t="s">
        <v>1671</v>
      </c>
      <c r="Q251" s="51"/>
    </row>
    <row r="252" spans="1:17" s="765" customFormat="1" x14ac:dyDescent="0.25">
      <c r="A252" s="10">
        <v>43796</v>
      </c>
      <c r="B252" s="594">
        <v>0</v>
      </c>
      <c r="C252" s="31">
        <f t="shared" si="36"/>
        <v>0</v>
      </c>
      <c r="D252" s="50">
        <v>51021250</v>
      </c>
      <c r="E252" s="31">
        <f t="shared" si="30"/>
        <v>-3187814.26</v>
      </c>
      <c r="F252" s="900">
        <v>0</v>
      </c>
      <c r="G252" s="899">
        <f t="shared" si="31"/>
        <v>23249.56</v>
      </c>
      <c r="H252" s="50">
        <v>0</v>
      </c>
      <c r="I252" s="31">
        <f t="shared" si="32"/>
        <v>0</v>
      </c>
      <c r="J252" s="50">
        <v>0</v>
      </c>
      <c r="K252" s="31">
        <f t="shared" si="33"/>
        <v>0</v>
      </c>
      <c r="L252" s="50">
        <v>0</v>
      </c>
      <c r="M252" s="31">
        <f t="shared" si="34"/>
        <v>0</v>
      </c>
      <c r="N252" s="50">
        <v>0</v>
      </c>
      <c r="O252" s="31">
        <f t="shared" si="35"/>
        <v>0</v>
      </c>
      <c r="P252" s="51" t="s">
        <v>1672</v>
      </c>
      <c r="Q252" s="51"/>
    </row>
    <row r="253" spans="1:17" s="765" customFormat="1" x14ac:dyDescent="0.25">
      <c r="A253" s="10">
        <v>43796</v>
      </c>
      <c r="B253" s="594">
        <v>0</v>
      </c>
      <c r="C253" s="31">
        <f t="shared" si="36"/>
        <v>0</v>
      </c>
      <c r="D253" s="50">
        <v>3374545.48</v>
      </c>
      <c r="E253" s="31">
        <f t="shared" si="30"/>
        <v>186731.22</v>
      </c>
      <c r="F253" s="900">
        <v>0</v>
      </c>
      <c r="G253" s="899">
        <f t="shared" si="31"/>
        <v>23249.56</v>
      </c>
      <c r="H253" s="50">
        <v>0</v>
      </c>
      <c r="I253" s="31">
        <f t="shared" si="32"/>
        <v>0</v>
      </c>
      <c r="J253" s="50">
        <v>0</v>
      </c>
      <c r="K253" s="31">
        <f t="shared" si="33"/>
        <v>0</v>
      </c>
      <c r="L253" s="50">
        <v>0</v>
      </c>
      <c r="M253" s="31">
        <f t="shared" si="34"/>
        <v>0</v>
      </c>
      <c r="N253" s="50">
        <v>0</v>
      </c>
      <c r="O253" s="31">
        <f t="shared" si="35"/>
        <v>0</v>
      </c>
      <c r="P253" s="51" t="s">
        <v>1672</v>
      </c>
      <c r="Q253" s="51"/>
    </row>
    <row r="254" spans="1:17" s="765" customFormat="1" x14ac:dyDescent="0.25">
      <c r="A254" s="10">
        <v>43802</v>
      </c>
      <c r="B254" s="594">
        <v>0</v>
      </c>
      <c r="C254" s="31">
        <f t="shared" si="36"/>
        <v>0</v>
      </c>
      <c r="D254" s="50">
        <v>1215.6099999999999</v>
      </c>
      <c r="E254" s="31">
        <f t="shared" si="30"/>
        <v>187946.83</v>
      </c>
      <c r="F254" s="900">
        <v>0</v>
      </c>
      <c r="G254" s="899">
        <f t="shared" si="31"/>
        <v>23249.56</v>
      </c>
      <c r="H254" s="50">
        <v>64.27</v>
      </c>
      <c r="I254" s="31">
        <f t="shared" si="32"/>
        <v>64.27</v>
      </c>
      <c r="J254" s="50">
        <v>0</v>
      </c>
      <c r="K254" s="31">
        <f t="shared" si="33"/>
        <v>0</v>
      </c>
      <c r="L254" s="50">
        <v>2.4300000000000002</v>
      </c>
      <c r="M254" s="31">
        <f t="shared" si="34"/>
        <v>2.4300000000000002</v>
      </c>
      <c r="N254" s="50">
        <v>0</v>
      </c>
      <c r="O254" s="31">
        <f t="shared" si="35"/>
        <v>0</v>
      </c>
      <c r="P254" s="51" t="s">
        <v>890</v>
      </c>
      <c r="Q254" s="51"/>
    </row>
    <row r="255" spans="1:17" s="765" customFormat="1" x14ac:dyDescent="0.25">
      <c r="A255" s="10">
        <v>43802</v>
      </c>
      <c r="B255" s="594">
        <v>0</v>
      </c>
      <c r="C255" s="31">
        <f t="shared" si="36"/>
        <v>0</v>
      </c>
      <c r="D255" s="50">
        <v>-1215.6099999999999</v>
      </c>
      <c r="E255" s="31">
        <f t="shared" si="30"/>
        <v>186731.22</v>
      </c>
      <c r="F255" s="900">
        <v>0</v>
      </c>
      <c r="G255" s="899">
        <f t="shared" si="31"/>
        <v>23249.56</v>
      </c>
      <c r="H255" s="50">
        <v>-64.27</v>
      </c>
      <c r="I255" s="31">
        <f t="shared" si="32"/>
        <v>0</v>
      </c>
      <c r="J255" s="50">
        <v>0</v>
      </c>
      <c r="K255" s="31">
        <f t="shared" si="33"/>
        <v>0</v>
      </c>
      <c r="L255" s="50">
        <v>-2.4300000000000002</v>
      </c>
      <c r="M255" s="31">
        <f t="shared" si="34"/>
        <v>0</v>
      </c>
      <c r="N255" s="50">
        <v>0</v>
      </c>
      <c r="O255" s="31">
        <f t="shared" si="35"/>
        <v>0</v>
      </c>
      <c r="P255" s="51" t="s">
        <v>845</v>
      </c>
      <c r="Q255" s="51"/>
    </row>
    <row r="256" spans="1:17" s="765" customFormat="1" x14ac:dyDescent="0.25">
      <c r="A256" s="10">
        <v>43804</v>
      </c>
      <c r="B256" s="594">
        <v>0</v>
      </c>
      <c r="C256" s="31">
        <f t="shared" si="36"/>
        <v>0</v>
      </c>
      <c r="D256" s="50">
        <v>-4508.6000000000004</v>
      </c>
      <c r="E256" s="31">
        <f t="shared" si="30"/>
        <v>182222.62</v>
      </c>
      <c r="F256" s="900">
        <v>0</v>
      </c>
      <c r="G256" s="899">
        <f t="shared" si="31"/>
        <v>23249.56</v>
      </c>
      <c r="H256" s="50">
        <v>4508.6000000000004</v>
      </c>
      <c r="I256" s="31">
        <f t="shared" si="32"/>
        <v>4508.6000000000004</v>
      </c>
      <c r="J256" s="50">
        <v>0</v>
      </c>
      <c r="K256" s="31">
        <f t="shared" si="33"/>
        <v>0</v>
      </c>
      <c r="L256" s="50">
        <v>0</v>
      </c>
      <c r="M256" s="31">
        <f t="shared" si="34"/>
        <v>0</v>
      </c>
      <c r="N256" s="50">
        <v>0</v>
      </c>
      <c r="O256" s="31">
        <f t="shared" si="35"/>
        <v>0</v>
      </c>
      <c r="P256" s="51" t="s">
        <v>1155</v>
      </c>
      <c r="Q256" s="51"/>
    </row>
    <row r="257" spans="1:17" s="765" customFormat="1" x14ac:dyDescent="0.25">
      <c r="A257" s="10">
        <v>43804</v>
      </c>
      <c r="B257" s="594">
        <v>0</v>
      </c>
      <c r="C257" s="31">
        <f t="shared" si="36"/>
        <v>0</v>
      </c>
      <c r="D257" s="50">
        <v>50000</v>
      </c>
      <c r="E257" s="31">
        <f t="shared" si="30"/>
        <v>232222.62</v>
      </c>
      <c r="F257" s="900">
        <v>0</v>
      </c>
      <c r="G257" s="899">
        <f t="shared" si="31"/>
        <v>23249.56</v>
      </c>
      <c r="H257" s="50">
        <v>0</v>
      </c>
      <c r="I257" s="31">
        <f t="shared" si="32"/>
        <v>4508.6000000000004</v>
      </c>
      <c r="J257" s="50">
        <v>0</v>
      </c>
      <c r="K257" s="31">
        <f t="shared" si="33"/>
        <v>0</v>
      </c>
      <c r="L257" s="50">
        <v>0</v>
      </c>
      <c r="M257" s="31">
        <f t="shared" si="34"/>
        <v>0</v>
      </c>
      <c r="N257" s="50">
        <v>0</v>
      </c>
      <c r="O257" s="31">
        <f t="shared" si="35"/>
        <v>0</v>
      </c>
      <c r="P257" s="51" t="s">
        <v>1690</v>
      </c>
      <c r="Q257" s="51"/>
    </row>
    <row r="258" spans="1:17" s="765" customFormat="1" x14ac:dyDescent="0.25">
      <c r="A258" s="10">
        <v>43804</v>
      </c>
      <c r="B258" s="594">
        <v>0</v>
      </c>
      <c r="C258" s="31">
        <f t="shared" si="36"/>
        <v>0</v>
      </c>
      <c r="D258" s="50">
        <v>-41000</v>
      </c>
      <c r="E258" s="31">
        <f t="shared" si="30"/>
        <v>191222.62</v>
      </c>
      <c r="F258" s="900">
        <v>0</v>
      </c>
      <c r="G258" s="899">
        <f t="shared" si="31"/>
        <v>23249.56</v>
      </c>
      <c r="H258" s="50">
        <v>0</v>
      </c>
      <c r="I258" s="31">
        <f t="shared" si="32"/>
        <v>4508.6000000000004</v>
      </c>
      <c r="J258" s="50">
        <v>0</v>
      </c>
      <c r="K258" s="31">
        <f t="shared" si="33"/>
        <v>0</v>
      </c>
      <c r="L258" s="50">
        <v>41000</v>
      </c>
      <c r="M258" s="31">
        <f t="shared" si="34"/>
        <v>41000</v>
      </c>
      <c r="N258" s="50">
        <v>0</v>
      </c>
      <c r="O258" s="31">
        <f t="shared" si="35"/>
        <v>0</v>
      </c>
      <c r="P258" s="51" t="s">
        <v>1691</v>
      </c>
      <c r="Q258" s="51"/>
    </row>
    <row r="259" spans="1:17" s="765" customFormat="1" x14ac:dyDescent="0.25">
      <c r="A259" s="10">
        <v>43804</v>
      </c>
      <c r="B259" s="594">
        <v>0</v>
      </c>
      <c r="C259" s="31">
        <f t="shared" si="36"/>
        <v>0</v>
      </c>
      <c r="D259" s="50">
        <v>0</v>
      </c>
      <c r="E259" s="31">
        <f t="shared" ref="E259:E260" si="37">ROUND(D259+E258,2)</f>
        <v>191222.62</v>
      </c>
      <c r="F259" s="900">
        <v>0</v>
      </c>
      <c r="G259" s="899">
        <f t="shared" ref="G259:G260" si="38">ROUND(F259+G258,2)</f>
        <v>23249.56</v>
      </c>
      <c r="H259" s="50">
        <f>-I258</f>
        <v>-4508.6000000000004</v>
      </c>
      <c r="I259" s="31">
        <f t="shared" ref="I259:I260" si="39">ROUND(H259+I258,2)</f>
        <v>0</v>
      </c>
      <c r="J259" s="50">
        <v>0</v>
      </c>
      <c r="K259" s="31">
        <f t="shared" ref="K259:K260" si="40">ROUND(J259+K258,2)</f>
        <v>0</v>
      </c>
      <c r="L259" s="50">
        <f>-M258</f>
        <v>-41000</v>
      </c>
      <c r="M259" s="31">
        <f t="shared" ref="M259:M260" si="41">ROUND(L259+M258,2)</f>
        <v>0</v>
      </c>
      <c r="N259" s="50">
        <v>0</v>
      </c>
      <c r="O259" s="31">
        <f t="shared" ref="O259:O260" si="42">ROUND(N259+O258,2)</f>
        <v>0</v>
      </c>
      <c r="P259" s="51" t="s">
        <v>845</v>
      </c>
      <c r="Q259" s="51"/>
    </row>
    <row r="260" spans="1:17" s="765" customFormat="1" x14ac:dyDescent="0.25">
      <c r="A260" s="10">
        <v>43808</v>
      </c>
      <c r="B260" s="594">
        <v>0</v>
      </c>
      <c r="C260" s="31">
        <f t="shared" si="36"/>
        <v>0</v>
      </c>
      <c r="D260" s="50">
        <v>0</v>
      </c>
      <c r="E260" s="31">
        <f t="shared" si="37"/>
        <v>191222.62</v>
      </c>
      <c r="F260" s="900">
        <v>0</v>
      </c>
      <c r="G260" s="899">
        <f t="shared" si="38"/>
        <v>23249.56</v>
      </c>
      <c r="H260" s="50">
        <v>-1679.6</v>
      </c>
      <c r="I260" s="31">
        <f t="shared" si="39"/>
        <v>-1679.6</v>
      </c>
      <c r="J260" s="50">
        <v>0</v>
      </c>
      <c r="K260" s="31">
        <f t="shared" si="40"/>
        <v>0</v>
      </c>
      <c r="L260" s="50">
        <v>0</v>
      </c>
      <c r="M260" s="31">
        <f t="shared" si="41"/>
        <v>0</v>
      </c>
      <c r="N260" s="50">
        <v>0</v>
      </c>
      <c r="O260" s="31">
        <f t="shared" si="42"/>
        <v>0</v>
      </c>
      <c r="P260" s="51" t="s">
        <v>1693</v>
      </c>
      <c r="Q260" s="51"/>
    </row>
    <row r="261" spans="1:17" x14ac:dyDescent="0.25">
      <c r="A261" s="10">
        <v>43808</v>
      </c>
      <c r="B261" s="594">
        <v>0</v>
      </c>
      <c r="C261" s="31">
        <f t="shared" ref="C261:C324" si="43">ROUND(B261+C260,2)</f>
        <v>0</v>
      </c>
      <c r="D261" s="50">
        <v>0</v>
      </c>
      <c r="E261" s="31">
        <f t="shared" ref="E261:E324" si="44">ROUND(D261+E260,2)</f>
        <v>191222.62</v>
      </c>
      <c r="F261" s="900">
        <v>0</v>
      </c>
      <c r="G261" s="899">
        <f t="shared" ref="G261:G324" si="45">ROUND(F261+G260,2)</f>
        <v>23249.56</v>
      </c>
      <c r="H261" s="50">
        <v>-5134.75</v>
      </c>
      <c r="I261" s="31">
        <f t="shared" ref="I261:I324" si="46">ROUND(H261+I260,2)</f>
        <v>-6814.35</v>
      </c>
      <c r="J261" s="50">
        <v>0</v>
      </c>
      <c r="K261" s="31">
        <f t="shared" ref="K261:K324" si="47">ROUND(J261+K260,2)</f>
        <v>0</v>
      </c>
      <c r="L261" s="50">
        <v>0</v>
      </c>
      <c r="M261" s="31">
        <f t="shared" ref="M261:M324" si="48">ROUND(L261+M260,2)</f>
        <v>0</v>
      </c>
      <c r="N261" s="50">
        <v>0</v>
      </c>
      <c r="O261" s="31">
        <f t="shared" ref="O261:O324" si="49">ROUND(N261+O260,2)</f>
        <v>0</v>
      </c>
      <c r="P261" s="51" t="s">
        <v>1694</v>
      </c>
      <c r="Q261" s="51"/>
    </row>
    <row r="262" spans="1:17" x14ac:dyDescent="0.25">
      <c r="A262" s="10">
        <v>43808</v>
      </c>
      <c r="B262" s="594">
        <v>0</v>
      </c>
      <c r="C262" s="31">
        <f t="shared" si="43"/>
        <v>0</v>
      </c>
      <c r="D262" s="50">
        <v>0</v>
      </c>
      <c r="E262" s="31">
        <f t="shared" si="44"/>
        <v>191222.62</v>
      </c>
      <c r="F262" s="900">
        <v>0</v>
      </c>
      <c r="G262" s="899">
        <f t="shared" si="45"/>
        <v>23249.56</v>
      </c>
      <c r="H262" s="50">
        <v>5134.75</v>
      </c>
      <c r="I262" s="31">
        <f t="shared" si="46"/>
        <v>-1679.6</v>
      </c>
      <c r="J262" s="50">
        <v>0</v>
      </c>
      <c r="K262" s="31">
        <f t="shared" si="47"/>
        <v>0</v>
      </c>
      <c r="L262" s="50">
        <v>0</v>
      </c>
      <c r="M262" s="31">
        <f t="shared" si="48"/>
        <v>0</v>
      </c>
      <c r="N262" s="50">
        <v>0</v>
      </c>
      <c r="O262" s="31">
        <f t="shared" si="49"/>
        <v>0</v>
      </c>
      <c r="P262" s="51" t="s">
        <v>845</v>
      </c>
      <c r="Q262" s="51"/>
    </row>
    <row r="263" spans="1:17" x14ac:dyDescent="0.25">
      <c r="A263" s="10">
        <v>43809</v>
      </c>
      <c r="B263" s="594">
        <v>8500000</v>
      </c>
      <c r="C263" s="31">
        <f t="shared" si="43"/>
        <v>8500000</v>
      </c>
      <c r="D263" s="50">
        <v>-8500000</v>
      </c>
      <c r="E263" s="31">
        <f t="shared" si="44"/>
        <v>-8308777.3799999999</v>
      </c>
      <c r="F263" s="900">
        <v>0</v>
      </c>
      <c r="G263" s="899">
        <f t="shared" si="45"/>
        <v>23249.56</v>
      </c>
      <c r="H263" s="50">
        <v>0</v>
      </c>
      <c r="I263" s="31">
        <f t="shared" si="46"/>
        <v>-1679.6</v>
      </c>
      <c r="J263" s="50">
        <v>0</v>
      </c>
      <c r="K263" s="31">
        <f t="shared" si="47"/>
        <v>0</v>
      </c>
      <c r="L263" s="50">
        <v>0</v>
      </c>
      <c r="M263" s="31">
        <f t="shared" si="48"/>
        <v>0</v>
      </c>
      <c r="N263" s="50">
        <v>0</v>
      </c>
      <c r="O263" s="31">
        <f t="shared" si="49"/>
        <v>0</v>
      </c>
      <c r="P263" s="51" t="s">
        <v>1697</v>
      </c>
      <c r="Q263" s="51"/>
    </row>
    <row r="264" spans="1:17" x14ac:dyDescent="0.25">
      <c r="A264" s="10">
        <v>43809</v>
      </c>
      <c r="B264" s="594">
        <v>-8500000</v>
      </c>
      <c r="C264" s="31">
        <f t="shared" si="43"/>
        <v>0</v>
      </c>
      <c r="D264" s="594">
        <v>8500000</v>
      </c>
      <c r="E264" s="31">
        <f t="shared" si="44"/>
        <v>191222.62</v>
      </c>
      <c r="F264" s="900">
        <v>0</v>
      </c>
      <c r="G264" s="899">
        <f t="shared" si="45"/>
        <v>23249.56</v>
      </c>
      <c r="H264" s="50">
        <v>0</v>
      </c>
      <c r="I264" s="31">
        <f t="shared" si="46"/>
        <v>-1679.6</v>
      </c>
      <c r="J264" s="50">
        <v>0</v>
      </c>
      <c r="K264" s="31">
        <f t="shared" si="47"/>
        <v>0</v>
      </c>
      <c r="L264" s="50">
        <v>0</v>
      </c>
      <c r="M264" s="31">
        <f t="shared" si="48"/>
        <v>0</v>
      </c>
      <c r="N264" s="50">
        <v>0</v>
      </c>
      <c r="O264" s="31">
        <f t="shared" si="49"/>
        <v>0</v>
      </c>
      <c r="P264" s="51" t="s">
        <v>1698</v>
      </c>
      <c r="Q264" s="51"/>
    </row>
    <row r="265" spans="1:17" x14ac:dyDescent="0.25">
      <c r="A265" s="10">
        <v>43809</v>
      </c>
      <c r="B265" s="594">
        <v>0</v>
      </c>
      <c r="C265" s="31">
        <f t="shared" si="43"/>
        <v>0</v>
      </c>
      <c r="D265" s="50">
        <v>-8500000</v>
      </c>
      <c r="E265" s="31">
        <f t="shared" si="44"/>
        <v>-8308777.3799999999</v>
      </c>
      <c r="F265" s="900">
        <v>0</v>
      </c>
      <c r="G265" s="899">
        <f t="shared" si="45"/>
        <v>23249.56</v>
      </c>
      <c r="H265" s="50">
        <v>0</v>
      </c>
      <c r="I265" s="31">
        <f t="shared" si="46"/>
        <v>-1679.6</v>
      </c>
      <c r="J265" s="50">
        <v>0</v>
      </c>
      <c r="K265" s="31">
        <f t="shared" si="47"/>
        <v>0</v>
      </c>
      <c r="L265" s="50">
        <v>0</v>
      </c>
      <c r="M265" s="31">
        <f t="shared" si="48"/>
        <v>0</v>
      </c>
      <c r="N265" s="50">
        <v>0</v>
      </c>
      <c r="O265" s="31">
        <f t="shared" si="49"/>
        <v>0</v>
      </c>
      <c r="P265" s="51" t="s">
        <v>1699</v>
      </c>
      <c r="Q265" s="51"/>
    </row>
    <row r="266" spans="1:17" x14ac:dyDescent="0.25">
      <c r="A266" s="10">
        <v>43809</v>
      </c>
      <c r="B266" s="594">
        <v>0</v>
      </c>
      <c r="C266" s="31">
        <f t="shared" si="43"/>
        <v>0</v>
      </c>
      <c r="D266" s="50">
        <v>8500000</v>
      </c>
      <c r="E266" s="31">
        <f t="shared" si="44"/>
        <v>191222.62</v>
      </c>
      <c r="F266" s="900">
        <v>0</v>
      </c>
      <c r="G266" s="899">
        <f t="shared" si="45"/>
        <v>23249.56</v>
      </c>
      <c r="H266" s="50">
        <v>0</v>
      </c>
      <c r="I266" s="31">
        <f t="shared" si="46"/>
        <v>-1679.6</v>
      </c>
      <c r="J266" s="50">
        <v>0</v>
      </c>
      <c r="K266" s="31">
        <f t="shared" si="47"/>
        <v>0</v>
      </c>
      <c r="L266" s="50">
        <v>0</v>
      </c>
      <c r="M266" s="31">
        <f t="shared" si="48"/>
        <v>0</v>
      </c>
      <c r="N266" s="50">
        <v>0</v>
      </c>
      <c r="O266" s="31">
        <f t="shared" si="49"/>
        <v>0</v>
      </c>
      <c r="P266" s="51" t="s">
        <v>1700</v>
      </c>
      <c r="Q266" s="51"/>
    </row>
    <row r="267" spans="1:17" x14ac:dyDescent="0.25">
      <c r="A267" s="10">
        <v>43815</v>
      </c>
      <c r="B267" s="594">
        <v>0</v>
      </c>
      <c r="C267" s="31">
        <f t="shared" si="43"/>
        <v>0</v>
      </c>
      <c r="D267" s="50">
        <v>-62943726.299999997</v>
      </c>
      <c r="E267" s="31">
        <f t="shared" si="44"/>
        <v>-62752503.68</v>
      </c>
      <c r="F267" s="900">
        <v>0</v>
      </c>
      <c r="G267" s="899">
        <f t="shared" si="45"/>
        <v>23249.56</v>
      </c>
      <c r="H267" s="50">
        <v>0</v>
      </c>
      <c r="I267" s="31">
        <f t="shared" si="46"/>
        <v>-1679.6</v>
      </c>
      <c r="J267" s="50">
        <v>0</v>
      </c>
      <c r="K267" s="31">
        <f t="shared" si="47"/>
        <v>0</v>
      </c>
      <c r="L267" s="50">
        <v>0</v>
      </c>
      <c r="M267" s="31">
        <f t="shared" si="48"/>
        <v>0</v>
      </c>
      <c r="N267" s="50">
        <v>0</v>
      </c>
      <c r="O267" s="31">
        <f t="shared" si="49"/>
        <v>0</v>
      </c>
      <c r="P267" s="51" t="s">
        <v>1705</v>
      </c>
      <c r="Q267" s="51"/>
    </row>
    <row r="268" spans="1:17" x14ac:dyDescent="0.25">
      <c r="A268" s="10">
        <v>43815</v>
      </c>
      <c r="B268" s="594">
        <v>0</v>
      </c>
      <c r="C268" s="31">
        <f t="shared" si="43"/>
        <v>0</v>
      </c>
      <c r="D268" s="50">
        <v>-177925.91</v>
      </c>
      <c r="E268" s="31">
        <f t="shared" si="44"/>
        <v>-62930429.590000004</v>
      </c>
      <c r="F268" s="900">
        <v>0</v>
      </c>
      <c r="G268" s="899">
        <f t="shared" si="45"/>
        <v>23249.56</v>
      </c>
      <c r="H268" s="50">
        <v>0</v>
      </c>
      <c r="I268" s="31">
        <f t="shared" si="46"/>
        <v>-1679.6</v>
      </c>
      <c r="J268" s="50">
        <v>0</v>
      </c>
      <c r="K268" s="31">
        <f t="shared" si="47"/>
        <v>0</v>
      </c>
      <c r="L268" s="50">
        <v>0</v>
      </c>
      <c r="M268" s="31">
        <f t="shared" si="48"/>
        <v>0</v>
      </c>
      <c r="N268" s="50">
        <v>0</v>
      </c>
      <c r="O268" s="31">
        <f t="shared" si="49"/>
        <v>0</v>
      </c>
      <c r="P268" s="51" t="s">
        <v>1706</v>
      </c>
      <c r="Q268" s="51"/>
    </row>
    <row r="269" spans="1:17" x14ac:dyDescent="0.25">
      <c r="A269" s="10">
        <v>43815</v>
      </c>
      <c r="B269" s="594">
        <v>0</v>
      </c>
      <c r="C269" s="31">
        <f t="shared" si="43"/>
        <v>0</v>
      </c>
      <c r="D269" s="50">
        <v>0</v>
      </c>
      <c r="E269" s="31">
        <f t="shared" si="44"/>
        <v>-62930429.590000004</v>
      </c>
      <c r="F269" s="900">
        <v>-14008786.720000001</v>
      </c>
      <c r="G269" s="899">
        <f t="shared" si="45"/>
        <v>-13985537.16</v>
      </c>
      <c r="H269" s="50">
        <v>0</v>
      </c>
      <c r="I269" s="31">
        <f t="shared" si="46"/>
        <v>-1679.6</v>
      </c>
      <c r="J269" s="50">
        <v>0</v>
      </c>
      <c r="K269" s="31">
        <f t="shared" si="47"/>
        <v>0</v>
      </c>
      <c r="L269" s="50">
        <v>0</v>
      </c>
      <c r="M269" s="31">
        <f t="shared" si="48"/>
        <v>0</v>
      </c>
      <c r="N269" s="50">
        <v>0</v>
      </c>
      <c r="O269" s="31">
        <f t="shared" si="49"/>
        <v>0</v>
      </c>
      <c r="P269" s="51" t="s">
        <v>1707</v>
      </c>
      <c r="Q269" s="51"/>
    </row>
    <row r="270" spans="1:17" x14ac:dyDescent="0.25">
      <c r="A270" s="10">
        <v>43815</v>
      </c>
      <c r="B270" s="594">
        <v>0</v>
      </c>
      <c r="C270" s="31">
        <f t="shared" si="43"/>
        <v>0</v>
      </c>
      <c r="D270" s="50">
        <v>265022.33</v>
      </c>
      <c r="E270" s="31">
        <f t="shared" si="44"/>
        <v>-62665407.259999998</v>
      </c>
      <c r="F270" s="900">
        <v>0</v>
      </c>
      <c r="G270" s="899">
        <f t="shared" si="45"/>
        <v>-13985537.16</v>
      </c>
      <c r="H270" s="50">
        <v>0</v>
      </c>
      <c r="I270" s="31">
        <f t="shared" si="46"/>
        <v>-1679.6</v>
      </c>
      <c r="J270" s="50">
        <v>0</v>
      </c>
      <c r="K270" s="31">
        <f t="shared" si="47"/>
        <v>0</v>
      </c>
      <c r="L270" s="50">
        <v>0</v>
      </c>
      <c r="M270" s="31">
        <f t="shared" si="48"/>
        <v>0</v>
      </c>
      <c r="N270" s="50">
        <v>0</v>
      </c>
      <c r="O270" s="31">
        <f t="shared" si="49"/>
        <v>0</v>
      </c>
      <c r="P270" s="51" t="s">
        <v>1708</v>
      </c>
      <c r="Q270" s="51"/>
    </row>
    <row r="271" spans="1:17" x14ac:dyDescent="0.25">
      <c r="A271" s="10">
        <v>43815</v>
      </c>
      <c r="B271" s="594">
        <v>0</v>
      </c>
      <c r="C271" s="31">
        <f t="shared" si="43"/>
        <v>0</v>
      </c>
      <c r="D271" s="50">
        <v>108324.56</v>
      </c>
      <c r="E271" s="31">
        <f t="shared" si="44"/>
        <v>-62557082.700000003</v>
      </c>
      <c r="F271" s="900">
        <v>0</v>
      </c>
      <c r="G271" s="899">
        <f t="shared" si="45"/>
        <v>-13985537.16</v>
      </c>
      <c r="H271" s="50">
        <v>0</v>
      </c>
      <c r="I271" s="31">
        <f t="shared" si="46"/>
        <v>-1679.6</v>
      </c>
      <c r="J271" s="50">
        <v>0</v>
      </c>
      <c r="K271" s="31">
        <f t="shared" si="47"/>
        <v>0</v>
      </c>
      <c r="L271" s="50">
        <v>0</v>
      </c>
      <c r="M271" s="31">
        <f t="shared" si="48"/>
        <v>0</v>
      </c>
      <c r="N271" s="50">
        <v>0</v>
      </c>
      <c r="O271" s="31">
        <f t="shared" si="49"/>
        <v>0</v>
      </c>
      <c r="P271" s="51" t="s">
        <v>1709</v>
      </c>
      <c r="Q271" s="51"/>
    </row>
    <row r="272" spans="1:17" x14ac:dyDescent="0.25">
      <c r="A272" s="10">
        <v>43815</v>
      </c>
      <c r="B272" s="594">
        <v>0</v>
      </c>
      <c r="C272" s="31">
        <f t="shared" si="43"/>
        <v>0</v>
      </c>
      <c r="D272" s="50">
        <v>0</v>
      </c>
      <c r="E272" s="31">
        <f t="shared" si="44"/>
        <v>-62557082.700000003</v>
      </c>
      <c r="F272" s="900">
        <v>58782.588611111045</v>
      </c>
      <c r="G272" s="899">
        <f t="shared" si="45"/>
        <v>-13926754.57</v>
      </c>
      <c r="H272" s="50">
        <v>0</v>
      </c>
      <c r="I272" s="31">
        <f t="shared" si="46"/>
        <v>-1679.6</v>
      </c>
      <c r="J272" s="50">
        <v>0</v>
      </c>
      <c r="K272" s="31">
        <f t="shared" si="47"/>
        <v>0</v>
      </c>
      <c r="L272" s="50">
        <v>0</v>
      </c>
      <c r="M272" s="31">
        <f t="shared" si="48"/>
        <v>0</v>
      </c>
      <c r="N272" s="50">
        <v>0</v>
      </c>
      <c r="O272" s="31">
        <f t="shared" si="49"/>
        <v>0</v>
      </c>
      <c r="P272" s="51" t="s">
        <v>1710</v>
      </c>
      <c r="Q272" s="51"/>
    </row>
    <row r="273" spans="1:17" x14ac:dyDescent="0.25">
      <c r="A273" s="10">
        <v>43815</v>
      </c>
      <c r="B273" s="594">
        <v>0</v>
      </c>
      <c r="C273" s="31">
        <f t="shared" si="43"/>
        <v>0</v>
      </c>
      <c r="D273" s="50">
        <v>45342.01</v>
      </c>
      <c r="E273" s="31">
        <f t="shared" si="44"/>
        <v>-62511740.689999998</v>
      </c>
      <c r="F273" s="900">
        <v>0</v>
      </c>
      <c r="G273" s="899">
        <f t="shared" si="45"/>
        <v>-13926754.57</v>
      </c>
      <c r="H273" s="50">
        <v>0</v>
      </c>
      <c r="I273" s="31">
        <f t="shared" si="46"/>
        <v>-1679.6</v>
      </c>
      <c r="J273" s="50">
        <v>0</v>
      </c>
      <c r="K273" s="31">
        <f t="shared" si="47"/>
        <v>0</v>
      </c>
      <c r="L273" s="50">
        <v>0</v>
      </c>
      <c r="M273" s="31">
        <f t="shared" si="48"/>
        <v>0</v>
      </c>
      <c r="N273" s="50">
        <v>0</v>
      </c>
      <c r="O273" s="31">
        <f t="shared" si="49"/>
        <v>0</v>
      </c>
      <c r="P273" s="51" t="s">
        <v>1711</v>
      </c>
      <c r="Q273" s="51"/>
    </row>
    <row r="274" spans="1:17" x14ac:dyDescent="0.25">
      <c r="A274" s="10">
        <v>43815</v>
      </c>
      <c r="B274" s="594">
        <v>0</v>
      </c>
      <c r="C274" s="31">
        <f t="shared" si="43"/>
        <v>0</v>
      </c>
      <c r="D274" s="50">
        <v>1820</v>
      </c>
      <c r="E274" s="31">
        <f t="shared" si="44"/>
        <v>-62509920.689999998</v>
      </c>
      <c r="F274" s="900">
        <v>0</v>
      </c>
      <c r="G274" s="899">
        <f t="shared" si="45"/>
        <v>-13926754.57</v>
      </c>
      <c r="H274" s="50">
        <v>0</v>
      </c>
      <c r="I274" s="31">
        <f t="shared" si="46"/>
        <v>-1679.6</v>
      </c>
      <c r="J274" s="50">
        <v>0</v>
      </c>
      <c r="K274" s="31">
        <f t="shared" si="47"/>
        <v>0</v>
      </c>
      <c r="L274" s="50">
        <v>0</v>
      </c>
      <c r="M274" s="31">
        <f t="shared" si="48"/>
        <v>0</v>
      </c>
      <c r="N274" s="50">
        <v>0</v>
      </c>
      <c r="O274" s="31">
        <f t="shared" si="49"/>
        <v>0</v>
      </c>
      <c r="P274" s="51" t="s">
        <v>1712</v>
      </c>
      <c r="Q274" s="51"/>
    </row>
    <row r="275" spans="1:17" x14ac:dyDescent="0.25">
      <c r="A275" s="10">
        <v>43815</v>
      </c>
      <c r="B275" s="594">
        <v>0</v>
      </c>
      <c r="C275" s="31">
        <f t="shared" si="43"/>
        <v>0</v>
      </c>
      <c r="D275" s="50">
        <v>0</v>
      </c>
      <c r="E275" s="31">
        <f t="shared" si="44"/>
        <v>-62509920.689999998</v>
      </c>
      <c r="F275" s="900">
        <v>17043.541666666664</v>
      </c>
      <c r="G275" s="899">
        <f t="shared" si="45"/>
        <v>-13909711.029999999</v>
      </c>
      <c r="H275" s="50">
        <v>0</v>
      </c>
      <c r="I275" s="31">
        <f t="shared" si="46"/>
        <v>-1679.6</v>
      </c>
      <c r="J275" s="50">
        <v>0</v>
      </c>
      <c r="K275" s="31">
        <f t="shared" si="47"/>
        <v>0</v>
      </c>
      <c r="L275" s="50">
        <v>0</v>
      </c>
      <c r="M275" s="31">
        <f t="shared" si="48"/>
        <v>0</v>
      </c>
      <c r="N275" s="50">
        <v>0</v>
      </c>
      <c r="O275" s="31">
        <f t="shared" si="49"/>
        <v>0</v>
      </c>
      <c r="P275" s="51" t="s">
        <v>1713</v>
      </c>
      <c r="Q275" s="51"/>
    </row>
    <row r="276" spans="1:17" x14ac:dyDescent="0.25">
      <c r="A276" s="10">
        <v>43815</v>
      </c>
      <c r="B276" s="594">
        <v>0</v>
      </c>
      <c r="C276" s="31">
        <f t="shared" si="43"/>
        <v>0</v>
      </c>
      <c r="D276" s="50">
        <v>50898750</v>
      </c>
      <c r="E276" s="31">
        <f t="shared" si="44"/>
        <v>-11611170.689999999</v>
      </c>
      <c r="F276" s="900">
        <v>0</v>
      </c>
      <c r="G276" s="899">
        <f t="shared" si="45"/>
        <v>-13909711.029999999</v>
      </c>
      <c r="H276" s="50">
        <v>0</v>
      </c>
      <c r="I276" s="31">
        <f t="shared" si="46"/>
        <v>-1679.6</v>
      </c>
      <c r="J276" s="50">
        <v>0</v>
      </c>
      <c r="K276" s="31">
        <f t="shared" si="47"/>
        <v>0</v>
      </c>
      <c r="L276" s="50">
        <v>0</v>
      </c>
      <c r="M276" s="31">
        <f t="shared" si="48"/>
        <v>0</v>
      </c>
      <c r="N276" s="50">
        <v>0</v>
      </c>
      <c r="O276" s="31">
        <f t="shared" si="49"/>
        <v>0</v>
      </c>
      <c r="P276" s="51" t="s">
        <v>1715</v>
      </c>
      <c r="Q276" s="51"/>
    </row>
    <row r="277" spans="1:17" x14ac:dyDescent="0.25">
      <c r="A277" s="10">
        <v>43815</v>
      </c>
      <c r="B277" s="594">
        <v>0</v>
      </c>
      <c r="C277" s="31">
        <f t="shared" si="43"/>
        <v>0</v>
      </c>
      <c r="D277" s="50">
        <v>11856354.82</v>
      </c>
      <c r="E277" s="31">
        <f t="shared" si="44"/>
        <v>245184.13</v>
      </c>
      <c r="F277" s="900">
        <v>0</v>
      </c>
      <c r="G277" s="899">
        <f t="shared" si="45"/>
        <v>-13909711.029999999</v>
      </c>
      <c r="H277" s="50">
        <v>0</v>
      </c>
      <c r="I277" s="31">
        <f t="shared" si="46"/>
        <v>-1679.6</v>
      </c>
      <c r="J277" s="50">
        <v>0</v>
      </c>
      <c r="K277" s="31">
        <f t="shared" si="47"/>
        <v>0</v>
      </c>
      <c r="L277" s="50">
        <v>0</v>
      </c>
      <c r="M277" s="31">
        <f t="shared" si="48"/>
        <v>0</v>
      </c>
      <c r="N277" s="50">
        <v>0</v>
      </c>
      <c r="O277" s="31">
        <f t="shared" si="49"/>
        <v>0</v>
      </c>
      <c r="P277" s="51" t="s">
        <v>1715</v>
      </c>
      <c r="Q277" s="51"/>
    </row>
    <row r="278" spans="1:17" x14ac:dyDescent="0.25">
      <c r="A278" s="10">
        <v>43815</v>
      </c>
      <c r="B278" s="594">
        <v>-5000000</v>
      </c>
      <c r="C278" s="31">
        <f t="shared" si="43"/>
        <v>-5000000</v>
      </c>
      <c r="D278" s="50">
        <v>5000000</v>
      </c>
      <c r="E278" s="31">
        <f t="shared" si="44"/>
        <v>5245184.13</v>
      </c>
      <c r="F278" s="900">
        <v>0</v>
      </c>
      <c r="G278" s="899">
        <f t="shared" si="45"/>
        <v>-13909711.029999999</v>
      </c>
      <c r="H278" s="50">
        <v>0</v>
      </c>
      <c r="I278" s="31">
        <f t="shared" si="46"/>
        <v>-1679.6</v>
      </c>
      <c r="J278" s="50">
        <v>0</v>
      </c>
      <c r="K278" s="31">
        <f t="shared" si="47"/>
        <v>0</v>
      </c>
      <c r="L278" s="50">
        <v>0</v>
      </c>
      <c r="M278" s="31">
        <f t="shared" si="48"/>
        <v>0</v>
      </c>
      <c r="N278" s="50">
        <v>0</v>
      </c>
      <c r="O278" s="31">
        <f t="shared" si="49"/>
        <v>0</v>
      </c>
      <c r="P278" s="51" t="s">
        <v>1716</v>
      </c>
      <c r="Q278" s="51"/>
    </row>
    <row r="279" spans="1:17" x14ac:dyDescent="0.25">
      <c r="A279" s="10">
        <v>43815</v>
      </c>
      <c r="B279" s="594">
        <v>0</v>
      </c>
      <c r="C279" s="31">
        <f t="shared" si="43"/>
        <v>-5000000</v>
      </c>
      <c r="D279" s="50">
        <v>0</v>
      </c>
      <c r="E279" s="31">
        <f t="shared" si="44"/>
        <v>5245184.13</v>
      </c>
      <c r="F279" s="900">
        <v>13950000</v>
      </c>
      <c r="G279" s="899">
        <f t="shared" si="45"/>
        <v>40288.97</v>
      </c>
      <c r="H279" s="50">
        <v>0</v>
      </c>
      <c r="I279" s="31">
        <f t="shared" si="46"/>
        <v>-1679.6</v>
      </c>
      <c r="J279" s="50">
        <v>0</v>
      </c>
      <c r="K279" s="31">
        <f t="shared" si="47"/>
        <v>0</v>
      </c>
      <c r="L279" s="50">
        <v>0</v>
      </c>
      <c r="M279" s="31">
        <f t="shared" si="48"/>
        <v>0</v>
      </c>
      <c r="N279" s="50">
        <v>0</v>
      </c>
      <c r="O279" s="31">
        <f t="shared" si="49"/>
        <v>0</v>
      </c>
      <c r="P279" s="51" t="s">
        <v>1717</v>
      </c>
      <c r="Q279" s="51"/>
    </row>
    <row r="280" spans="1:17" x14ac:dyDescent="0.25">
      <c r="A280" s="10">
        <v>43815</v>
      </c>
      <c r="B280" s="594">
        <v>5000000</v>
      </c>
      <c r="C280" s="31">
        <f t="shared" si="43"/>
        <v>0</v>
      </c>
      <c r="D280" s="50">
        <v>-5000000</v>
      </c>
      <c r="E280" s="31">
        <f t="shared" si="44"/>
        <v>245184.13</v>
      </c>
      <c r="F280" s="900">
        <v>0</v>
      </c>
      <c r="G280" s="899">
        <f t="shared" si="45"/>
        <v>40288.97</v>
      </c>
      <c r="H280" s="50">
        <v>0</v>
      </c>
      <c r="I280" s="31">
        <f t="shared" si="46"/>
        <v>-1679.6</v>
      </c>
      <c r="J280" s="50">
        <v>0</v>
      </c>
      <c r="K280" s="31">
        <f t="shared" si="47"/>
        <v>0</v>
      </c>
      <c r="L280" s="50">
        <v>0</v>
      </c>
      <c r="M280" s="31">
        <f t="shared" si="48"/>
        <v>0</v>
      </c>
      <c r="N280" s="50">
        <v>0</v>
      </c>
      <c r="O280" s="31">
        <f t="shared" si="49"/>
        <v>0</v>
      </c>
      <c r="P280" s="51" t="s">
        <v>831</v>
      </c>
      <c r="Q280" s="51"/>
    </row>
    <row r="281" spans="1:17" x14ac:dyDescent="0.25">
      <c r="A281" s="10">
        <v>43815</v>
      </c>
      <c r="B281" s="594">
        <v>0</v>
      </c>
      <c r="C281" s="31">
        <f t="shared" si="43"/>
        <v>0</v>
      </c>
      <c r="D281" s="50">
        <v>0</v>
      </c>
      <c r="E281" s="31">
        <f t="shared" si="44"/>
        <v>245184.13</v>
      </c>
      <c r="F281" s="900">
        <v>0</v>
      </c>
      <c r="G281" s="899">
        <f t="shared" si="45"/>
        <v>40288.97</v>
      </c>
      <c r="H281" s="50">
        <v>-103.22</v>
      </c>
      <c r="I281" s="31">
        <f t="shared" si="46"/>
        <v>-1782.82</v>
      </c>
      <c r="J281" s="50">
        <v>0</v>
      </c>
      <c r="K281" s="31">
        <f t="shared" si="47"/>
        <v>0</v>
      </c>
      <c r="L281" s="50">
        <v>0</v>
      </c>
      <c r="M281" s="31">
        <f t="shared" si="48"/>
        <v>0</v>
      </c>
      <c r="N281" s="50">
        <v>0</v>
      </c>
      <c r="O281" s="31">
        <f t="shared" si="49"/>
        <v>0</v>
      </c>
      <c r="P281" s="51" t="s">
        <v>1718</v>
      </c>
      <c r="Q281" s="51"/>
    </row>
    <row r="282" spans="1:17" x14ac:dyDescent="0.25">
      <c r="A282" s="10">
        <v>43815</v>
      </c>
      <c r="B282" s="594">
        <v>0</v>
      </c>
      <c r="C282" s="31">
        <f t="shared" si="43"/>
        <v>0</v>
      </c>
      <c r="D282" s="50">
        <v>0</v>
      </c>
      <c r="E282" s="31">
        <f t="shared" si="44"/>
        <v>245184.13</v>
      </c>
      <c r="F282" s="900">
        <v>0</v>
      </c>
      <c r="G282" s="899">
        <f t="shared" si="45"/>
        <v>40288.97</v>
      </c>
      <c r="H282" s="50">
        <v>103.22</v>
      </c>
      <c r="I282" s="31">
        <f t="shared" si="46"/>
        <v>-1679.6</v>
      </c>
      <c r="J282" s="50">
        <v>0</v>
      </c>
      <c r="K282" s="31">
        <f t="shared" si="47"/>
        <v>0</v>
      </c>
      <c r="L282" s="50">
        <v>0</v>
      </c>
      <c r="M282" s="31">
        <f t="shared" si="48"/>
        <v>0</v>
      </c>
      <c r="N282" s="50">
        <v>0</v>
      </c>
      <c r="O282" s="31">
        <f t="shared" si="49"/>
        <v>0</v>
      </c>
      <c r="P282" s="51" t="s">
        <v>845</v>
      </c>
      <c r="Q282" s="51"/>
    </row>
    <row r="283" spans="1:17" x14ac:dyDescent="0.25">
      <c r="A283" s="10">
        <v>43816</v>
      </c>
      <c r="B283" s="594">
        <v>0</v>
      </c>
      <c r="C283" s="31">
        <f t="shared" si="43"/>
        <v>0</v>
      </c>
      <c r="D283" s="50">
        <v>-21959.91</v>
      </c>
      <c r="E283" s="31">
        <f t="shared" si="44"/>
        <v>223224.22</v>
      </c>
      <c r="F283" s="900">
        <v>0</v>
      </c>
      <c r="G283" s="899">
        <f t="shared" si="45"/>
        <v>40288.97</v>
      </c>
      <c r="H283" s="50">
        <v>0</v>
      </c>
      <c r="I283" s="31">
        <f t="shared" si="46"/>
        <v>-1679.6</v>
      </c>
      <c r="J283" s="50">
        <v>0</v>
      </c>
      <c r="K283" s="31">
        <f t="shared" si="47"/>
        <v>0</v>
      </c>
      <c r="L283" s="50">
        <v>21959.91</v>
      </c>
      <c r="M283" s="31">
        <f t="shared" si="48"/>
        <v>21959.91</v>
      </c>
      <c r="N283" s="50">
        <v>0</v>
      </c>
      <c r="O283" s="31">
        <f t="shared" si="49"/>
        <v>0</v>
      </c>
      <c r="P283" s="51" t="s">
        <v>1156</v>
      </c>
      <c r="Q283" s="51"/>
    </row>
    <row r="284" spans="1:17" x14ac:dyDescent="0.25">
      <c r="A284" s="10">
        <v>43816</v>
      </c>
      <c r="B284" s="594">
        <v>0</v>
      </c>
      <c r="C284" s="31">
        <f t="shared" si="43"/>
        <v>0</v>
      </c>
      <c r="D284" s="50">
        <v>-2479.73</v>
      </c>
      <c r="E284" s="31">
        <f t="shared" si="44"/>
        <v>220744.49</v>
      </c>
      <c r="F284" s="900">
        <v>0</v>
      </c>
      <c r="G284" s="899">
        <f t="shared" si="45"/>
        <v>40288.97</v>
      </c>
      <c r="H284" s="50">
        <v>2479.73</v>
      </c>
      <c r="I284" s="31">
        <f t="shared" si="46"/>
        <v>800.13</v>
      </c>
      <c r="J284" s="50">
        <v>0</v>
      </c>
      <c r="K284" s="31">
        <f t="shared" si="47"/>
        <v>0</v>
      </c>
      <c r="L284" s="50">
        <v>0</v>
      </c>
      <c r="M284" s="31">
        <f t="shared" si="48"/>
        <v>21959.91</v>
      </c>
      <c r="N284" s="50">
        <v>0</v>
      </c>
      <c r="O284" s="31">
        <f t="shared" si="49"/>
        <v>0</v>
      </c>
      <c r="P284" s="51" t="s">
        <v>1155</v>
      </c>
      <c r="Q284" s="51"/>
    </row>
    <row r="285" spans="1:17" x14ac:dyDescent="0.25">
      <c r="A285" s="10">
        <v>43816</v>
      </c>
      <c r="B285" s="594">
        <v>0</v>
      </c>
      <c r="C285" s="31">
        <f t="shared" si="43"/>
        <v>0</v>
      </c>
      <c r="D285" s="50">
        <v>0</v>
      </c>
      <c r="E285" s="31">
        <f t="shared" si="44"/>
        <v>220744.49</v>
      </c>
      <c r="F285" s="900">
        <v>0</v>
      </c>
      <c r="G285" s="899">
        <f t="shared" si="45"/>
        <v>40288.97</v>
      </c>
      <c r="H285" s="50">
        <v>0</v>
      </c>
      <c r="I285" s="31">
        <f t="shared" si="46"/>
        <v>800.13</v>
      </c>
      <c r="J285" s="50">
        <v>0</v>
      </c>
      <c r="K285" s="31">
        <f t="shared" si="47"/>
        <v>0</v>
      </c>
      <c r="L285" s="50">
        <v>-62959.91</v>
      </c>
      <c r="M285" s="31">
        <f t="shared" si="48"/>
        <v>-41000</v>
      </c>
      <c r="N285" s="50">
        <v>0</v>
      </c>
      <c r="O285" s="31">
        <f t="shared" si="49"/>
        <v>0</v>
      </c>
      <c r="P285" s="51" t="s">
        <v>1719</v>
      </c>
      <c r="Q285" s="51"/>
    </row>
    <row r="286" spans="1:17" x14ac:dyDescent="0.25">
      <c r="A286" s="10">
        <v>43816</v>
      </c>
      <c r="B286" s="594">
        <v>0</v>
      </c>
      <c r="C286" s="31">
        <f t="shared" si="43"/>
        <v>0</v>
      </c>
      <c r="D286" s="50">
        <f>-E285+197100.58</f>
        <v>-23643.910000000003</v>
      </c>
      <c r="E286" s="31">
        <f t="shared" si="44"/>
        <v>197100.58</v>
      </c>
      <c r="F286" s="900">
        <v>0</v>
      </c>
      <c r="G286" s="899">
        <f t="shared" si="45"/>
        <v>40288.97</v>
      </c>
      <c r="H286" s="50">
        <v>-2479.73</v>
      </c>
      <c r="I286" s="31">
        <f t="shared" si="46"/>
        <v>-1679.6</v>
      </c>
      <c r="J286" s="50">
        <v>0</v>
      </c>
      <c r="K286" s="31">
        <f t="shared" si="47"/>
        <v>0</v>
      </c>
      <c r="L286" s="50">
        <v>41000</v>
      </c>
      <c r="M286" s="31">
        <f t="shared" si="48"/>
        <v>0</v>
      </c>
      <c r="N286" s="50">
        <v>0</v>
      </c>
      <c r="O286" s="31">
        <f t="shared" si="49"/>
        <v>0</v>
      </c>
      <c r="P286" s="51" t="s">
        <v>845</v>
      </c>
      <c r="Q286" s="51"/>
    </row>
    <row r="287" spans="1:17" x14ac:dyDescent="0.25">
      <c r="A287" s="10">
        <v>43823</v>
      </c>
      <c r="B287" s="594">
        <v>0</v>
      </c>
      <c r="C287" s="31">
        <f t="shared" si="43"/>
        <v>0</v>
      </c>
      <c r="D287" s="50">
        <v>-265022.32</v>
      </c>
      <c r="E287" s="31">
        <f t="shared" si="44"/>
        <v>-67921.740000000005</v>
      </c>
      <c r="F287" s="900">
        <v>0</v>
      </c>
      <c r="G287" s="899">
        <f t="shared" si="45"/>
        <v>40288.97</v>
      </c>
      <c r="H287" s="50">
        <v>0</v>
      </c>
      <c r="I287" s="31">
        <f t="shared" si="46"/>
        <v>-1679.6</v>
      </c>
      <c r="J287" s="50">
        <v>0</v>
      </c>
      <c r="K287" s="31">
        <f t="shared" si="47"/>
        <v>0</v>
      </c>
      <c r="L287" s="50">
        <v>0</v>
      </c>
      <c r="M287" s="31">
        <f t="shared" si="48"/>
        <v>0</v>
      </c>
      <c r="N287" s="50">
        <v>0</v>
      </c>
      <c r="O287" s="31">
        <f t="shared" si="49"/>
        <v>0</v>
      </c>
      <c r="P287" s="51" t="s">
        <v>845</v>
      </c>
      <c r="Q287" s="51"/>
    </row>
    <row r="288" spans="1:17" x14ac:dyDescent="0.25">
      <c r="A288" s="10">
        <v>43830</v>
      </c>
      <c r="B288" s="594">
        <v>0</v>
      </c>
      <c r="C288" s="31">
        <f t="shared" si="43"/>
        <v>0</v>
      </c>
      <c r="D288" s="50">
        <f>-3381.45</f>
        <v>-3381.45</v>
      </c>
      <c r="E288" s="31">
        <f t="shared" si="44"/>
        <v>-71303.19</v>
      </c>
      <c r="F288" s="900">
        <v>0</v>
      </c>
      <c r="G288" s="899">
        <f t="shared" si="45"/>
        <v>40288.97</v>
      </c>
      <c r="H288" s="50">
        <v>0</v>
      </c>
      <c r="I288" s="31">
        <f t="shared" si="46"/>
        <v>-1679.6</v>
      </c>
      <c r="J288" s="50">
        <v>0</v>
      </c>
      <c r="K288" s="31">
        <f t="shared" si="47"/>
        <v>0</v>
      </c>
      <c r="L288" s="50">
        <v>3381.45</v>
      </c>
      <c r="M288" s="31">
        <f t="shared" si="48"/>
        <v>3381.45</v>
      </c>
      <c r="N288" s="50">
        <v>0</v>
      </c>
      <c r="O288" s="31">
        <f t="shared" si="49"/>
        <v>0</v>
      </c>
      <c r="P288" s="51" t="s">
        <v>1155</v>
      </c>
      <c r="Q288" s="51"/>
    </row>
    <row r="289" spans="1:17" x14ac:dyDescent="0.25">
      <c r="A289" s="10">
        <v>43830</v>
      </c>
      <c r="B289" s="594">
        <v>0</v>
      </c>
      <c r="C289" s="31">
        <f t="shared" si="43"/>
        <v>0</v>
      </c>
      <c r="D289" s="50">
        <v>-11878.35</v>
      </c>
      <c r="E289" s="31">
        <f t="shared" si="44"/>
        <v>-83181.539999999994</v>
      </c>
      <c r="F289" s="900">
        <v>0</v>
      </c>
      <c r="G289" s="899">
        <f t="shared" si="45"/>
        <v>40288.97</v>
      </c>
      <c r="H289" s="50">
        <v>0</v>
      </c>
      <c r="I289" s="31">
        <f t="shared" si="46"/>
        <v>-1679.6</v>
      </c>
      <c r="J289" s="50">
        <v>0</v>
      </c>
      <c r="K289" s="31">
        <f t="shared" si="47"/>
        <v>0</v>
      </c>
      <c r="L289" s="50">
        <v>11878.35</v>
      </c>
      <c r="M289" s="31">
        <f t="shared" si="48"/>
        <v>15259.8</v>
      </c>
      <c r="N289" s="50">
        <v>0</v>
      </c>
      <c r="O289" s="31">
        <f t="shared" si="49"/>
        <v>0</v>
      </c>
      <c r="P289" s="51" t="s">
        <v>1156</v>
      </c>
      <c r="Q289" s="51"/>
    </row>
    <row r="290" spans="1:17" x14ac:dyDescent="0.25">
      <c r="A290" s="10">
        <v>43830</v>
      </c>
      <c r="B290" s="594">
        <v>0</v>
      </c>
      <c r="C290" s="31">
        <f t="shared" si="43"/>
        <v>0</v>
      </c>
      <c r="D290" s="50">
        <v>0</v>
      </c>
      <c r="E290" s="31">
        <f t="shared" si="44"/>
        <v>-83181.539999999994</v>
      </c>
      <c r="F290" s="900">
        <v>0</v>
      </c>
      <c r="G290" s="899">
        <f t="shared" si="45"/>
        <v>40288.97</v>
      </c>
      <c r="H290" s="50">
        <v>0</v>
      </c>
      <c r="I290" s="31">
        <f t="shared" si="46"/>
        <v>-1679.6</v>
      </c>
      <c r="J290" s="50">
        <v>0</v>
      </c>
      <c r="K290" s="31">
        <f t="shared" si="47"/>
        <v>0</v>
      </c>
      <c r="L290" s="50">
        <f>-L289</f>
        <v>-11878.35</v>
      </c>
      <c r="M290" s="31">
        <f t="shared" si="48"/>
        <v>3381.45</v>
      </c>
      <c r="N290" s="50">
        <v>0</v>
      </c>
      <c r="O290" s="31">
        <f t="shared" si="49"/>
        <v>0</v>
      </c>
      <c r="P290" s="51" t="s">
        <v>1721</v>
      </c>
      <c r="Q290" s="51"/>
    </row>
    <row r="291" spans="1:17" x14ac:dyDescent="0.25">
      <c r="A291" s="10">
        <v>43830</v>
      </c>
      <c r="B291" s="594">
        <v>0</v>
      </c>
      <c r="C291" s="31">
        <f t="shared" si="43"/>
        <v>0</v>
      </c>
      <c r="D291" s="50">
        <v>15259.8</v>
      </c>
      <c r="E291" s="31">
        <f t="shared" si="44"/>
        <v>-67921.740000000005</v>
      </c>
      <c r="F291" s="900">
        <v>0</v>
      </c>
      <c r="G291" s="899">
        <f t="shared" si="45"/>
        <v>40288.97</v>
      </c>
      <c r="H291" s="50">
        <v>0</v>
      </c>
      <c r="I291" s="31">
        <f t="shared" si="46"/>
        <v>-1679.6</v>
      </c>
      <c r="J291" s="50">
        <v>0</v>
      </c>
      <c r="K291" s="31">
        <f t="shared" si="47"/>
        <v>0</v>
      </c>
      <c r="L291" s="50">
        <f>-L288</f>
        <v>-3381.45</v>
      </c>
      <c r="M291" s="31">
        <f t="shared" si="48"/>
        <v>0</v>
      </c>
      <c r="N291" s="50">
        <v>0</v>
      </c>
      <c r="O291" s="31">
        <f t="shared" si="49"/>
        <v>0</v>
      </c>
      <c r="P291" s="51" t="s">
        <v>845</v>
      </c>
      <c r="Q291" s="51"/>
    </row>
    <row r="292" spans="1:17" x14ac:dyDescent="0.25">
      <c r="A292" s="10">
        <v>43832</v>
      </c>
      <c r="B292" s="594">
        <v>0</v>
      </c>
      <c r="C292" s="31">
        <f t="shared" si="43"/>
        <v>0</v>
      </c>
      <c r="D292" s="50">
        <v>0</v>
      </c>
      <c r="E292" s="31">
        <f t="shared" si="44"/>
        <v>-67921.740000000005</v>
      </c>
      <c r="F292" s="900">
        <v>0</v>
      </c>
      <c r="G292" s="899">
        <f t="shared" si="45"/>
        <v>40288.97</v>
      </c>
      <c r="H292" s="50">
        <v>3381.45</v>
      </c>
      <c r="I292" s="31">
        <f t="shared" si="46"/>
        <v>1701.85</v>
      </c>
      <c r="J292" s="50">
        <v>0</v>
      </c>
      <c r="K292" s="31">
        <f t="shared" si="47"/>
        <v>0</v>
      </c>
      <c r="L292" s="50">
        <v>-3381.45</v>
      </c>
      <c r="M292" s="31">
        <f t="shared" si="48"/>
        <v>-3381.45</v>
      </c>
      <c r="N292" s="50">
        <v>0</v>
      </c>
      <c r="O292" s="31">
        <f t="shared" si="49"/>
        <v>0</v>
      </c>
      <c r="P292" s="51" t="s">
        <v>1722</v>
      </c>
      <c r="Q292" s="51"/>
    </row>
    <row r="293" spans="1:17" x14ac:dyDescent="0.25">
      <c r="A293" s="10">
        <v>43832</v>
      </c>
      <c r="B293" s="594">
        <v>0</v>
      </c>
      <c r="C293" s="31">
        <f t="shared" si="43"/>
        <v>0</v>
      </c>
      <c r="D293" s="50">
        <v>0</v>
      </c>
      <c r="E293" s="31">
        <f t="shared" si="44"/>
        <v>-67921.740000000005</v>
      </c>
      <c r="F293" s="900">
        <v>0</v>
      </c>
      <c r="G293" s="899">
        <f t="shared" si="45"/>
        <v>40288.97</v>
      </c>
      <c r="H293" s="50">
        <v>-3381.45</v>
      </c>
      <c r="I293" s="31">
        <f t="shared" si="46"/>
        <v>-1679.6</v>
      </c>
      <c r="J293" s="50">
        <v>0</v>
      </c>
      <c r="K293" s="31">
        <f t="shared" si="47"/>
        <v>0</v>
      </c>
      <c r="L293" s="50">
        <v>3381.45</v>
      </c>
      <c r="M293" s="31">
        <f t="shared" si="48"/>
        <v>0</v>
      </c>
      <c r="N293" s="50">
        <v>0</v>
      </c>
      <c r="O293" s="31">
        <f t="shared" si="49"/>
        <v>0</v>
      </c>
      <c r="P293" s="51" t="s">
        <v>845</v>
      </c>
      <c r="Q293" s="51"/>
    </row>
    <row r="294" spans="1:17" x14ac:dyDescent="0.25">
      <c r="A294" s="10">
        <v>43833</v>
      </c>
      <c r="B294" s="594">
        <v>0</v>
      </c>
      <c r="C294" s="31">
        <f t="shared" si="43"/>
        <v>0</v>
      </c>
      <c r="D294" s="50">
        <v>117.83</v>
      </c>
      <c r="E294" s="31">
        <f t="shared" si="44"/>
        <v>-67803.91</v>
      </c>
      <c r="F294" s="900">
        <v>0</v>
      </c>
      <c r="G294" s="899">
        <f t="shared" si="45"/>
        <v>40288.97</v>
      </c>
      <c r="H294" s="50">
        <v>65.03</v>
      </c>
      <c r="I294" s="31">
        <f t="shared" si="46"/>
        <v>-1614.57</v>
      </c>
      <c r="J294" s="50">
        <v>0</v>
      </c>
      <c r="K294" s="31">
        <f t="shared" si="47"/>
        <v>0</v>
      </c>
      <c r="L294" s="50">
        <v>20.61</v>
      </c>
      <c r="M294" s="31">
        <f t="shared" si="48"/>
        <v>20.61</v>
      </c>
      <c r="N294" s="50">
        <v>0</v>
      </c>
      <c r="O294" s="31">
        <f t="shared" si="49"/>
        <v>0</v>
      </c>
      <c r="P294" s="51" t="s">
        <v>1078</v>
      </c>
      <c r="Q294" s="51"/>
    </row>
    <row r="295" spans="1:17" x14ac:dyDescent="0.25">
      <c r="A295" s="10">
        <v>43833</v>
      </c>
      <c r="B295" s="594">
        <v>1000000</v>
      </c>
      <c r="C295" s="31">
        <f t="shared" si="43"/>
        <v>1000000</v>
      </c>
      <c r="D295" s="50">
        <v>0</v>
      </c>
      <c r="E295" s="31">
        <f t="shared" si="44"/>
        <v>-67803.91</v>
      </c>
      <c r="F295" s="900">
        <v>-1000852.5</v>
      </c>
      <c r="G295" s="899">
        <f t="shared" si="45"/>
        <v>-960563.53</v>
      </c>
      <c r="H295" s="50">
        <v>0</v>
      </c>
      <c r="I295" s="31">
        <f t="shared" si="46"/>
        <v>-1614.57</v>
      </c>
      <c r="J295" s="50">
        <v>0</v>
      </c>
      <c r="K295" s="31">
        <f t="shared" si="47"/>
        <v>0</v>
      </c>
      <c r="L295" s="50">
        <v>0</v>
      </c>
      <c r="M295" s="31">
        <f t="shared" si="48"/>
        <v>20.61</v>
      </c>
      <c r="N295" s="50">
        <v>0</v>
      </c>
      <c r="O295" s="31">
        <f t="shared" si="49"/>
        <v>0</v>
      </c>
      <c r="P295" s="51" t="s">
        <v>1012</v>
      </c>
      <c r="Q295" s="51"/>
    </row>
    <row r="296" spans="1:17" x14ac:dyDescent="0.25">
      <c r="A296" s="10">
        <v>43833</v>
      </c>
      <c r="B296" s="594">
        <v>-1000000</v>
      </c>
      <c r="C296" s="31">
        <f t="shared" si="43"/>
        <v>0</v>
      </c>
      <c r="D296" s="50">
        <v>0</v>
      </c>
      <c r="E296" s="31">
        <f t="shared" si="44"/>
        <v>-67803.91</v>
      </c>
      <c r="F296" s="594">
        <v>1000852.5</v>
      </c>
      <c r="G296" s="899">
        <f t="shared" si="45"/>
        <v>40288.97</v>
      </c>
      <c r="H296" s="50">
        <v>0</v>
      </c>
      <c r="I296" s="31">
        <f t="shared" si="46"/>
        <v>-1614.57</v>
      </c>
      <c r="J296" s="50">
        <v>0</v>
      </c>
      <c r="K296" s="31">
        <f t="shared" si="47"/>
        <v>0</v>
      </c>
      <c r="L296" s="50">
        <v>0</v>
      </c>
      <c r="M296" s="31">
        <f t="shared" si="48"/>
        <v>20.61</v>
      </c>
      <c r="N296" s="50">
        <v>0</v>
      </c>
      <c r="O296" s="31">
        <f t="shared" si="49"/>
        <v>0</v>
      </c>
      <c r="P296" s="51" t="s">
        <v>1723</v>
      </c>
      <c r="Q296" s="51"/>
    </row>
    <row r="297" spans="1:17" x14ac:dyDescent="0.25">
      <c r="A297" s="10">
        <v>43833</v>
      </c>
      <c r="B297" s="594">
        <v>0</v>
      </c>
      <c r="C297" s="31">
        <f t="shared" si="43"/>
        <v>0</v>
      </c>
      <c r="D297" s="50">
        <v>-117.83</v>
      </c>
      <c r="E297" s="31">
        <f t="shared" si="44"/>
        <v>-67921.740000000005</v>
      </c>
      <c r="F297" s="900">
        <v>0</v>
      </c>
      <c r="G297" s="899">
        <f t="shared" si="45"/>
        <v>40288.97</v>
      </c>
      <c r="H297" s="50">
        <v>-65.03</v>
      </c>
      <c r="I297" s="31">
        <f t="shared" si="46"/>
        <v>-1679.6</v>
      </c>
      <c r="J297" s="50">
        <v>0</v>
      </c>
      <c r="K297" s="31">
        <f t="shared" si="47"/>
        <v>0</v>
      </c>
      <c r="L297" s="50">
        <v>-20.61</v>
      </c>
      <c r="M297" s="31">
        <f t="shared" si="48"/>
        <v>0</v>
      </c>
      <c r="N297" s="50">
        <v>0</v>
      </c>
      <c r="O297" s="31">
        <f t="shared" si="49"/>
        <v>0</v>
      </c>
      <c r="P297" s="51" t="s">
        <v>845</v>
      </c>
      <c r="Q297" s="51"/>
    </row>
    <row r="298" spans="1:17" x14ac:dyDescent="0.25">
      <c r="A298" s="10">
        <v>43837</v>
      </c>
      <c r="B298" s="594">
        <v>2900000</v>
      </c>
      <c r="C298" s="31">
        <f t="shared" si="43"/>
        <v>2900000</v>
      </c>
      <c r="D298" s="50">
        <v>-2900000</v>
      </c>
      <c r="E298" s="31">
        <f t="shared" si="44"/>
        <v>-2967921.74</v>
      </c>
      <c r="F298" s="900">
        <v>0</v>
      </c>
      <c r="G298" s="899">
        <f t="shared" si="45"/>
        <v>40288.97</v>
      </c>
      <c r="H298" s="50">
        <v>0</v>
      </c>
      <c r="I298" s="31">
        <f t="shared" si="46"/>
        <v>-1679.6</v>
      </c>
      <c r="J298" s="50">
        <v>0</v>
      </c>
      <c r="K298" s="31">
        <f t="shared" si="47"/>
        <v>0</v>
      </c>
      <c r="L298" s="50">
        <v>0</v>
      </c>
      <c r="M298" s="31">
        <f t="shared" si="48"/>
        <v>0</v>
      </c>
      <c r="N298" s="50">
        <v>0</v>
      </c>
      <c r="O298" s="31">
        <f t="shared" si="49"/>
        <v>0</v>
      </c>
      <c r="P298" s="51" t="s">
        <v>880</v>
      </c>
      <c r="Q298" s="51"/>
    </row>
    <row r="299" spans="1:17" x14ac:dyDescent="0.25">
      <c r="A299" s="10">
        <v>43837</v>
      </c>
      <c r="B299" s="594">
        <f>-B298</f>
        <v>-2900000</v>
      </c>
      <c r="C299" s="31">
        <f t="shared" si="43"/>
        <v>0</v>
      </c>
      <c r="D299" s="594">
        <f>-D298</f>
        <v>2900000</v>
      </c>
      <c r="E299" s="31">
        <f t="shared" si="44"/>
        <v>-67921.740000000005</v>
      </c>
      <c r="F299" s="900">
        <v>0</v>
      </c>
      <c r="G299" s="899">
        <f t="shared" si="45"/>
        <v>40288.97</v>
      </c>
      <c r="H299" s="50">
        <v>0</v>
      </c>
      <c r="I299" s="31">
        <f t="shared" si="46"/>
        <v>-1679.6</v>
      </c>
      <c r="J299" s="50">
        <v>0</v>
      </c>
      <c r="K299" s="31">
        <f t="shared" si="47"/>
        <v>0</v>
      </c>
      <c r="L299" s="50">
        <v>0</v>
      </c>
      <c r="M299" s="31">
        <f t="shared" si="48"/>
        <v>0</v>
      </c>
      <c r="N299" s="50">
        <v>0</v>
      </c>
      <c r="O299" s="31">
        <f t="shared" si="49"/>
        <v>0</v>
      </c>
      <c r="P299" s="51" t="s">
        <v>1725</v>
      </c>
      <c r="Q299" s="51"/>
    </row>
    <row r="300" spans="1:17" x14ac:dyDescent="0.25">
      <c r="A300" s="10">
        <v>43847</v>
      </c>
      <c r="B300" s="594">
        <v>0</v>
      </c>
      <c r="C300" s="31">
        <f t="shared" si="43"/>
        <v>0</v>
      </c>
      <c r="D300" s="50">
        <v>69601.33</v>
      </c>
      <c r="E300" s="31">
        <f t="shared" si="44"/>
        <v>1679.59</v>
      </c>
      <c r="F300" s="900">
        <v>0</v>
      </c>
      <c r="G300" s="899">
        <f t="shared" si="45"/>
        <v>40288.97</v>
      </c>
      <c r="H300" s="50">
        <v>0</v>
      </c>
      <c r="I300" s="31">
        <f t="shared" si="46"/>
        <v>-1679.6</v>
      </c>
      <c r="J300" s="50">
        <v>0</v>
      </c>
      <c r="K300" s="31">
        <f t="shared" si="47"/>
        <v>0</v>
      </c>
      <c r="L300" s="50">
        <v>0</v>
      </c>
      <c r="M300" s="31">
        <f t="shared" si="48"/>
        <v>0</v>
      </c>
      <c r="N300" s="50">
        <v>0</v>
      </c>
      <c r="O300" s="31">
        <f t="shared" si="49"/>
        <v>0</v>
      </c>
      <c r="P300" s="51" t="s">
        <v>845</v>
      </c>
      <c r="Q300" s="51"/>
    </row>
    <row r="301" spans="1:17" x14ac:dyDescent="0.25">
      <c r="A301" s="10">
        <v>43851</v>
      </c>
      <c r="B301" s="594">
        <v>0</v>
      </c>
      <c r="C301" s="31">
        <f t="shared" si="43"/>
        <v>0</v>
      </c>
      <c r="D301" s="50">
        <v>-1679.6</v>
      </c>
      <c r="E301" s="31">
        <f t="shared" si="44"/>
        <v>-0.01</v>
      </c>
      <c r="F301" s="900">
        <v>0</v>
      </c>
      <c r="G301" s="899">
        <f t="shared" si="45"/>
        <v>40288.97</v>
      </c>
      <c r="H301" s="50">
        <v>1679.6</v>
      </c>
      <c r="I301" s="31">
        <f t="shared" si="46"/>
        <v>0</v>
      </c>
      <c r="J301" s="50">
        <v>0</v>
      </c>
      <c r="K301" s="31">
        <f t="shared" si="47"/>
        <v>0</v>
      </c>
      <c r="L301" s="50">
        <v>0</v>
      </c>
      <c r="M301" s="31">
        <f t="shared" si="48"/>
        <v>0</v>
      </c>
      <c r="N301" s="50">
        <v>0</v>
      </c>
      <c r="O301" s="31">
        <f t="shared" si="49"/>
        <v>0</v>
      </c>
      <c r="P301" s="51" t="s">
        <v>1737</v>
      </c>
      <c r="Q301" s="51"/>
    </row>
    <row r="302" spans="1:17" x14ac:dyDescent="0.25">
      <c r="A302" s="10">
        <v>43851</v>
      </c>
      <c r="B302" s="594">
        <v>0</v>
      </c>
      <c r="C302" s="31">
        <f t="shared" si="43"/>
        <v>0</v>
      </c>
      <c r="D302" s="50">
        <v>0.01</v>
      </c>
      <c r="E302" s="31">
        <f t="shared" si="44"/>
        <v>0</v>
      </c>
      <c r="F302" s="900">
        <v>0</v>
      </c>
      <c r="G302" s="899">
        <f t="shared" si="45"/>
        <v>40288.97</v>
      </c>
      <c r="H302" s="50">
        <v>0</v>
      </c>
      <c r="I302" s="31">
        <f t="shared" si="46"/>
        <v>0</v>
      </c>
      <c r="J302" s="50">
        <v>0</v>
      </c>
      <c r="K302" s="31">
        <f t="shared" si="47"/>
        <v>0</v>
      </c>
      <c r="L302" s="50">
        <v>0</v>
      </c>
      <c r="M302" s="31">
        <f t="shared" si="48"/>
        <v>0</v>
      </c>
      <c r="N302" s="50">
        <v>0</v>
      </c>
      <c r="O302" s="31">
        <f t="shared" si="49"/>
        <v>0</v>
      </c>
      <c r="P302" s="51" t="s">
        <v>859</v>
      </c>
      <c r="Q302" s="51"/>
    </row>
    <row r="303" spans="1:17" x14ac:dyDescent="0.25">
      <c r="A303" s="10">
        <v>43851</v>
      </c>
      <c r="B303" s="594">
        <v>0</v>
      </c>
      <c r="C303" s="31">
        <f t="shared" si="43"/>
        <v>0</v>
      </c>
      <c r="D303" s="50">
        <v>0</v>
      </c>
      <c r="E303" s="31">
        <f t="shared" si="44"/>
        <v>0</v>
      </c>
      <c r="F303" s="900">
        <v>0</v>
      </c>
      <c r="G303" s="899">
        <f t="shared" si="45"/>
        <v>40288.97</v>
      </c>
      <c r="H303" s="50">
        <f>-103.63</f>
        <v>-103.63</v>
      </c>
      <c r="I303" s="31">
        <f t="shared" si="46"/>
        <v>-103.63</v>
      </c>
      <c r="J303" s="50">
        <v>0</v>
      </c>
      <c r="K303" s="31">
        <f t="shared" si="47"/>
        <v>0</v>
      </c>
      <c r="L303" s="50">
        <v>0</v>
      </c>
      <c r="M303" s="31">
        <f t="shared" si="48"/>
        <v>0</v>
      </c>
      <c r="N303" s="50">
        <v>0</v>
      </c>
      <c r="O303" s="31">
        <f t="shared" si="49"/>
        <v>0</v>
      </c>
      <c r="P303" s="51" t="s">
        <v>1738</v>
      </c>
      <c r="Q303" s="51"/>
    </row>
    <row r="304" spans="1:17" x14ac:dyDescent="0.25">
      <c r="A304" s="10">
        <v>43851</v>
      </c>
      <c r="B304" s="594">
        <v>0</v>
      </c>
      <c r="C304" s="31">
        <f t="shared" si="43"/>
        <v>0</v>
      </c>
      <c r="D304" s="50">
        <v>0</v>
      </c>
      <c r="E304" s="31">
        <f t="shared" si="44"/>
        <v>0</v>
      </c>
      <c r="F304" s="900">
        <v>0</v>
      </c>
      <c r="G304" s="899">
        <f t="shared" si="45"/>
        <v>40288.97</v>
      </c>
      <c r="H304" s="50">
        <v>103.63</v>
      </c>
      <c r="I304" s="31">
        <f t="shared" si="46"/>
        <v>0</v>
      </c>
      <c r="J304" s="50">
        <v>0</v>
      </c>
      <c r="K304" s="31">
        <f t="shared" si="47"/>
        <v>0</v>
      </c>
      <c r="L304" s="50">
        <v>0</v>
      </c>
      <c r="M304" s="31">
        <f t="shared" si="48"/>
        <v>0</v>
      </c>
      <c r="N304" s="50">
        <v>0</v>
      </c>
      <c r="O304" s="31">
        <f t="shared" si="49"/>
        <v>0</v>
      </c>
      <c r="P304" s="51" t="s">
        <v>845</v>
      </c>
      <c r="Q304" s="51"/>
    </row>
    <row r="305" spans="1:17" x14ac:dyDescent="0.25">
      <c r="A305" s="10">
        <v>43853</v>
      </c>
      <c r="B305" s="594">
        <v>5000000</v>
      </c>
      <c r="C305" s="31">
        <f t="shared" si="43"/>
        <v>5000000</v>
      </c>
      <c r="D305" s="50">
        <f>-5021869.16</f>
        <v>-5021869.16</v>
      </c>
      <c r="E305" s="31">
        <f t="shared" si="44"/>
        <v>-5021869.16</v>
      </c>
      <c r="F305" s="900">
        <v>0</v>
      </c>
      <c r="G305" s="899">
        <f t="shared" si="45"/>
        <v>40288.97</v>
      </c>
      <c r="H305" s="50">
        <v>0</v>
      </c>
      <c r="I305" s="31">
        <f t="shared" si="46"/>
        <v>0</v>
      </c>
      <c r="J305" s="50">
        <v>0</v>
      </c>
      <c r="K305" s="31">
        <f t="shared" si="47"/>
        <v>0</v>
      </c>
      <c r="L305" s="50">
        <v>0</v>
      </c>
      <c r="M305" s="31">
        <f t="shared" si="48"/>
        <v>0</v>
      </c>
      <c r="N305" s="50">
        <v>0</v>
      </c>
      <c r="O305" s="31">
        <f t="shared" si="49"/>
        <v>0</v>
      </c>
      <c r="P305" s="51" t="s">
        <v>831</v>
      </c>
      <c r="Q305" s="51"/>
    </row>
    <row r="306" spans="1:17" x14ac:dyDescent="0.25">
      <c r="A306" s="10">
        <v>43853</v>
      </c>
      <c r="B306" s="594">
        <f>-B305</f>
        <v>-5000000</v>
      </c>
      <c r="C306" s="31">
        <f t="shared" si="43"/>
        <v>0</v>
      </c>
      <c r="D306" s="50">
        <v>5021869.16</v>
      </c>
      <c r="E306" s="31">
        <f t="shared" si="44"/>
        <v>0</v>
      </c>
      <c r="F306" s="900">
        <v>0</v>
      </c>
      <c r="G306" s="899">
        <f t="shared" si="45"/>
        <v>40288.97</v>
      </c>
      <c r="H306" s="50">
        <v>0</v>
      </c>
      <c r="I306" s="31">
        <f t="shared" si="46"/>
        <v>0</v>
      </c>
      <c r="J306" s="50">
        <v>0</v>
      </c>
      <c r="K306" s="31">
        <f t="shared" si="47"/>
        <v>0</v>
      </c>
      <c r="L306" s="50">
        <v>0</v>
      </c>
      <c r="M306" s="31">
        <f t="shared" si="48"/>
        <v>0</v>
      </c>
      <c r="N306" s="50">
        <v>0</v>
      </c>
      <c r="O306" s="31">
        <f t="shared" si="49"/>
        <v>0</v>
      </c>
      <c r="P306" s="51" t="s">
        <v>1742</v>
      </c>
      <c r="Q306" s="51"/>
    </row>
    <row r="307" spans="1:17" x14ac:dyDescent="0.25">
      <c r="A307" s="10">
        <v>43853</v>
      </c>
      <c r="B307" s="594">
        <v>0</v>
      </c>
      <c r="C307" s="31">
        <f t="shared" si="43"/>
        <v>0</v>
      </c>
      <c r="D307" s="50">
        <v>-5021869.16</v>
      </c>
      <c r="E307" s="31">
        <f t="shared" si="44"/>
        <v>-5021869.16</v>
      </c>
      <c r="F307" s="900">
        <v>0</v>
      </c>
      <c r="G307" s="899">
        <f t="shared" si="45"/>
        <v>40288.97</v>
      </c>
      <c r="H307" s="50">
        <v>0</v>
      </c>
      <c r="I307" s="31">
        <f t="shared" si="46"/>
        <v>0</v>
      </c>
      <c r="J307" s="50">
        <v>0</v>
      </c>
      <c r="K307" s="31">
        <f t="shared" si="47"/>
        <v>0</v>
      </c>
      <c r="L307" s="50">
        <v>0</v>
      </c>
      <c r="M307" s="31">
        <f t="shared" si="48"/>
        <v>0</v>
      </c>
      <c r="N307" s="50">
        <v>0</v>
      </c>
      <c r="O307" s="31">
        <f t="shared" si="49"/>
        <v>0</v>
      </c>
      <c r="P307" s="51" t="s">
        <v>1743</v>
      </c>
      <c r="Q307" s="51"/>
    </row>
    <row r="308" spans="1:17" x14ac:dyDescent="0.25">
      <c r="A308" s="10">
        <v>43853</v>
      </c>
      <c r="B308" s="594">
        <v>0</v>
      </c>
      <c r="C308" s="31">
        <f t="shared" si="43"/>
        <v>0</v>
      </c>
      <c r="D308" s="50">
        <v>5000000</v>
      </c>
      <c r="E308" s="31">
        <f t="shared" si="44"/>
        <v>-21869.16</v>
      </c>
      <c r="F308" s="900">
        <v>0</v>
      </c>
      <c r="G308" s="899">
        <f t="shared" si="45"/>
        <v>40288.97</v>
      </c>
      <c r="H308" s="50">
        <v>0</v>
      </c>
      <c r="I308" s="31">
        <f t="shared" si="46"/>
        <v>0</v>
      </c>
      <c r="J308" s="50">
        <v>0</v>
      </c>
      <c r="K308" s="31">
        <f t="shared" si="47"/>
        <v>0</v>
      </c>
      <c r="L308" s="50">
        <v>0</v>
      </c>
      <c r="M308" s="31">
        <f t="shared" si="48"/>
        <v>0</v>
      </c>
      <c r="N308" s="50">
        <v>0</v>
      </c>
      <c r="O308" s="31">
        <f t="shared" si="49"/>
        <v>0</v>
      </c>
      <c r="P308" s="51" t="s">
        <v>1744</v>
      </c>
      <c r="Q308" s="51"/>
    </row>
    <row r="309" spans="1:17" x14ac:dyDescent="0.25">
      <c r="A309" s="10">
        <v>43853</v>
      </c>
      <c r="B309" s="594">
        <v>0</v>
      </c>
      <c r="C309" s="31">
        <f t="shared" ref="C309" si="50">ROUND(B309+C308,2)</f>
        <v>0</v>
      </c>
      <c r="D309" s="50">
        <v>21869.16</v>
      </c>
      <c r="E309" s="31">
        <f t="shared" ref="E309" si="51">ROUND(D309+E308,2)</f>
        <v>0</v>
      </c>
      <c r="F309" s="900">
        <v>0</v>
      </c>
      <c r="G309" s="899">
        <f t="shared" ref="G309" si="52">ROUND(F309+G308,2)</f>
        <v>40288.97</v>
      </c>
      <c r="H309" s="50">
        <v>0</v>
      </c>
      <c r="I309" s="31">
        <f t="shared" ref="I309" si="53">ROUND(H309+I308,2)</f>
        <v>0</v>
      </c>
      <c r="J309" s="50">
        <v>0</v>
      </c>
      <c r="K309" s="31">
        <f t="shared" ref="K309" si="54">ROUND(J309+K308,2)</f>
        <v>0</v>
      </c>
      <c r="L309" s="50">
        <v>0</v>
      </c>
      <c r="M309" s="31">
        <f t="shared" ref="M309" si="55">ROUND(L309+M308,2)</f>
        <v>0</v>
      </c>
      <c r="N309" s="50">
        <v>0</v>
      </c>
      <c r="O309" s="31">
        <f t="shared" ref="O309" si="56">ROUND(N309+O308,2)</f>
        <v>0</v>
      </c>
      <c r="P309" s="51" t="s">
        <v>845</v>
      </c>
      <c r="Q309" s="51"/>
    </row>
    <row r="310" spans="1:17" x14ac:dyDescent="0.25">
      <c r="A310" s="10">
        <v>43864</v>
      </c>
      <c r="B310" s="594">
        <v>3800000</v>
      </c>
      <c r="C310" s="31">
        <f t="shared" si="43"/>
        <v>3800000</v>
      </c>
      <c r="D310" s="50">
        <v>0</v>
      </c>
      <c r="E310" s="31">
        <f t="shared" si="44"/>
        <v>0</v>
      </c>
      <c r="F310" s="900">
        <v>-3808818.58</v>
      </c>
      <c r="G310" s="899">
        <f t="shared" si="45"/>
        <v>-3768529.61</v>
      </c>
      <c r="H310" s="50">
        <v>0</v>
      </c>
      <c r="I310" s="31">
        <f t="shared" si="46"/>
        <v>0</v>
      </c>
      <c r="J310" s="50">
        <v>0</v>
      </c>
      <c r="K310" s="31">
        <f t="shared" si="47"/>
        <v>0</v>
      </c>
      <c r="L310" s="50">
        <v>0</v>
      </c>
      <c r="M310" s="31">
        <f t="shared" si="48"/>
        <v>0</v>
      </c>
      <c r="N310" s="50">
        <v>0</v>
      </c>
      <c r="O310" s="31">
        <f t="shared" si="49"/>
        <v>0</v>
      </c>
      <c r="P310" s="51" t="s">
        <v>1012</v>
      </c>
      <c r="Q310" s="51"/>
    </row>
    <row r="311" spans="1:17" x14ac:dyDescent="0.25">
      <c r="A311" s="10">
        <v>43864</v>
      </c>
      <c r="B311" s="594">
        <v>-3800000</v>
      </c>
      <c r="C311" s="31">
        <f t="shared" si="43"/>
        <v>0</v>
      </c>
      <c r="D311" s="50">
        <v>0</v>
      </c>
      <c r="E311" s="31">
        <f t="shared" si="44"/>
        <v>0</v>
      </c>
      <c r="F311" s="594">
        <v>3808818.58</v>
      </c>
      <c r="G311" s="899">
        <f t="shared" si="45"/>
        <v>40288.97</v>
      </c>
      <c r="H311" s="50">
        <v>0</v>
      </c>
      <c r="I311" s="31">
        <f t="shared" si="46"/>
        <v>0</v>
      </c>
      <c r="J311" s="50">
        <v>0</v>
      </c>
      <c r="K311" s="31">
        <f t="shared" si="47"/>
        <v>0</v>
      </c>
      <c r="L311" s="50">
        <v>0</v>
      </c>
      <c r="M311" s="31">
        <f t="shared" si="48"/>
        <v>0</v>
      </c>
      <c r="N311" s="50">
        <v>0</v>
      </c>
      <c r="O311" s="31">
        <f t="shared" si="49"/>
        <v>0</v>
      </c>
      <c r="P311" s="51" t="s">
        <v>1723</v>
      </c>
      <c r="Q311" s="51"/>
    </row>
    <row r="312" spans="1:17" x14ac:dyDescent="0.25">
      <c r="A312" s="10">
        <v>43865</v>
      </c>
      <c r="B312" s="594">
        <v>0</v>
      </c>
      <c r="C312" s="31">
        <f t="shared" si="43"/>
        <v>0</v>
      </c>
      <c r="D312" s="50">
        <v>312.75</v>
      </c>
      <c r="E312" s="31">
        <f t="shared" si="44"/>
        <v>312.75</v>
      </c>
      <c r="F312" s="900">
        <v>0</v>
      </c>
      <c r="G312" s="899">
        <f t="shared" si="45"/>
        <v>40288.97</v>
      </c>
      <c r="H312" s="50">
        <v>68.930000000000007</v>
      </c>
      <c r="I312" s="31">
        <f t="shared" si="46"/>
        <v>68.930000000000007</v>
      </c>
      <c r="J312" s="50">
        <v>0</v>
      </c>
      <c r="K312" s="31">
        <f t="shared" si="47"/>
        <v>0</v>
      </c>
      <c r="L312" s="50">
        <v>0.14000000000000001</v>
      </c>
      <c r="M312" s="31">
        <f t="shared" si="48"/>
        <v>0.14000000000000001</v>
      </c>
      <c r="N312" s="50">
        <v>0</v>
      </c>
      <c r="O312" s="31">
        <f t="shared" si="49"/>
        <v>0</v>
      </c>
      <c r="P312" s="51" t="s">
        <v>890</v>
      </c>
      <c r="Q312" s="51"/>
    </row>
    <row r="313" spans="1:17" x14ac:dyDescent="0.25">
      <c r="A313" s="10">
        <v>43866</v>
      </c>
      <c r="B313" s="594">
        <v>0</v>
      </c>
      <c r="C313" s="31">
        <f t="shared" si="43"/>
        <v>0</v>
      </c>
      <c r="D313" s="50">
        <v>0</v>
      </c>
      <c r="E313" s="31">
        <f t="shared" si="44"/>
        <v>312.75</v>
      </c>
      <c r="F313" s="900">
        <v>0</v>
      </c>
      <c r="G313" s="899">
        <f t="shared" si="45"/>
        <v>40288.97</v>
      </c>
      <c r="H313" s="50">
        <v>-17000</v>
      </c>
      <c r="I313" s="31">
        <f t="shared" si="46"/>
        <v>-16931.07</v>
      </c>
      <c r="J313" s="50">
        <v>0</v>
      </c>
      <c r="K313" s="31">
        <f t="shared" si="47"/>
        <v>0</v>
      </c>
      <c r="L313" s="50">
        <v>0</v>
      </c>
      <c r="M313" s="31">
        <f t="shared" si="48"/>
        <v>0.14000000000000001</v>
      </c>
      <c r="N313" s="50">
        <v>0</v>
      </c>
      <c r="O313" s="31">
        <f t="shared" si="49"/>
        <v>0</v>
      </c>
      <c r="P313" s="51" t="s">
        <v>1745</v>
      </c>
      <c r="Q313" s="51"/>
    </row>
    <row r="314" spans="1:17" x14ac:dyDescent="0.25">
      <c r="A314" s="10">
        <v>43866</v>
      </c>
      <c r="B314" s="594">
        <v>0</v>
      </c>
      <c r="C314" s="31">
        <f t="shared" si="43"/>
        <v>0</v>
      </c>
      <c r="D314" s="50">
        <v>-312.75</v>
      </c>
      <c r="E314" s="31">
        <f t="shared" si="44"/>
        <v>0</v>
      </c>
      <c r="F314" s="900">
        <v>0</v>
      </c>
      <c r="G314" s="899">
        <f t="shared" si="45"/>
        <v>40288.97</v>
      </c>
      <c r="H314" s="50">
        <v>16931.07</v>
      </c>
      <c r="I314" s="31">
        <f t="shared" si="46"/>
        <v>0</v>
      </c>
      <c r="J314" s="50">
        <v>0</v>
      </c>
      <c r="K314" s="31">
        <f t="shared" si="47"/>
        <v>0</v>
      </c>
      <c r="L314" s="50">
        <v>-0.14000000000000001</v>
      </c>
      <c r="M314" s="31">
        <f t="shared" si="48"/>
        <v>0</v>
      </c>
      <c r="N314" s="50">
        <v>0</v>
      </c>
      <c r="O314" s="31">
        <f t="shared" si="49"/>
        <v>0</v>
      </c>
      <c r="P314" s="51" t="s">
        <v>845</v>
      </c>
      <c r="Q314" s="51"/>
    </row>
    <row r="315" spans="1:17" x14ac:dyDescent="0.25">
      <c r="A315" s="10">
        <v>43867</v>
      </c>
      <c r="B315" s="594">
        <v>0</v>
      </c>
      <c r="C315" s="31">
        <f t="shared" si="43"/>
        <v>0</v>
      </c>
      <c r="D315" s="50">
        <v>0</v>
      </c>
      <c r="E315" s="31">
        <f t="shared" si="44"/>
        <v>0</v>
      </c>
      <c r="F315" s="900">
        <v>4.0999999999999996</v>
      </c>
      <c r="G315" s="899">
        <f t="shared" si="45"/>
        <v>40293.07</v>
      </c>
      <c r="H315" s="50">
        <v>0</v>
      </c>
      <c r="I315" s="31">
        <f t="shared" si="46"/>
        <v>0</v>
      </c>
      <c r="J315" s="50">
        <v>0</v>
      </c>
      <c r="K315" s="31">
        <f t="shared" si="47"/>
        <v>0</v>
      </c>
      <c r="L315" s="50">
        <v>0</v>
      </c>
      <c r="M315" s="31">
        <f t="shared" si="48"/>
        <v>0</v>
      </c>
      <c r="N315" s="50">
        <v>0</v>
      </c>
      <c r="O315" s="31">
        <f t="shared" si="49"/>
        <v>0</v>
      </c>
      <c r="P315" s="51" t="s">
        <v>859</v>
      </c>
      <c r="Q315" s="51"/>
    </row>
    <row r="316" spans="1:17" x14ac:dyDescent="0.25">
      <c r="A316" s="10">
        <v>43888</v>
      </c>
      <c r="B316" s="594">
        <v>0</v>
      </c>
      <c r="C316" s="31">
        <f t="shared" si="43"/>
        <v>0</v>
      </c>
      <c r="D316" s="50">
        <v>0</v>
      </c>
      <c r="E316" s="31">
        <f t="shared" si="44"/>
        <v>0</v>
      </c>
      <c r="F316" s="900">
        <v>0</v>
      </c>
      <c r="G316" s="899">
        <f t="shared" si="45"/>
        <v>40293.07</v>
      </c>
      <c r="H316" s="50">
        <v>-5060</v>
      </c>
      <c r="I316" s="31">
        <f t="shared" si="46"/>
        <v>-5060</v>
      </c>
      <c r="J316" s="50">
        <v>0</v>
      </c>
      <c r="K316" s="31">
        <f t="shared" si="47"/>
        <v>0</v>
      </c>
      <c r="L316" s="50">
        <v>0</v>
      </c>
      <c r="M316" s="31">
        <f t="shared" si="48"/>
        <v>0</v>
      </c>
      <c r="N316" s="50">
        <v>0</v>
      </c>
      <c r="O316" s="31">
        <f t="shared" si="49"/>
        <v>0</v>
      </c>
      <c r="P316" s="51" t="s">
        <v>1753</v>
      </c>
      <c r="Q316" s="51"/>
    </row>
    <row r="317" spans="1:17" x14ac:dyDescent="0.25">
      <c r="A317" s="10">
        <v>43888</v>
      </c>
      <c r="B317" s="594">
        <v>0</v>
      </c>
      <c r="C317" s="31">
        <f t="shared" si="43"/>
        <v>0</v>
      </c>
      <c r="D317" s="50">
        <v>0</v>
      </c>
      <c r="E317" s="31">
        <f t="shared" si="44"/>
        <v>0</v>
      </c>
      <c r="F317" s="900">
        <v>0</v>
      </c>
      <c r="G317" s="899">
        <f t="shared" si="45"/>
        <v>40293.07</v>
      </c>
      <c r="H317" s="50">
        <v>-500</v>
      </c>
      <c r="I317" s="31">
        <f t="shared" si="46"/>
        <v>-5560</v>
      </c>
      <c r="J317" s="50">
        <v>0</v>
      </c>
      <c r="K317" s="31">
        <f t="shared" si="47"/>
        <v>0</v>
      </c>
      <c r="L317" s="50">
        <v>0</v>
      </c>
      <c r="M317" s="31">
        <f t="shared" si="48"/>
        <v>0</v>
      </c>
      <c r="N317" s="50">
        <v>0</v>
      </c>
      <c r="O317" s="31">
        <f t="shared" si="49"/>
        <v>0</v>
      </c>
      <c r="P317" s="51" t="s">
        <v>1754</v>
      </c>
      <c r="Q317" s="51"/>
    </row>
    <row r="318" spans="1:17" x14ac:dyDescent="0.25">
      <c r="A318" s="10">
        <v>43888</v>
      </c>
      <c r="B318" s="594">
        <v>0</v>
      </c>
      <c r="C318" s="31">
        <f t="shared" si="43"/>
        <v>0</v>
      </c>
      <c r="D318" s="50">
        <v>0</v>
      </c>
      <c r="E318" s="31">
        <f t="shared" si="44"/>
        <v>0</v>
      </c>
      <c r="F318" s="900">
        <v>0</v>
      </c>
      <c r="G318" s="899">
        <f t="shared" si="45"/>
        <v>40293.07</v>
      </c>
      <c r="H318" s="50">
        <v>-103.86</v>
      </c>
      <c r="I318" s="31">
        <f t="shared" si="46"/>
        <v>-5663.86</v>
      </c>
      <c r="J318" s="50">
        <v>0</v>
      </c>
      <c r="K318" s="31">
        <f t="shared" si="47"/>
        <v>0</v>
      </c>
      <c r="L318" s="50">
        <v>0</v>
      </c>
      <c r="M318" s="31">
        <f t="shared" si="48"/>
        <v>0</v>
      </c>
      <c r="N318" s="50">
        <v>0</v>
      </c>
      <c r="O318" s="31">
        <f t="shared" si="49"/>
        <v>0</v>
      </c>
      <c r="P318" s="51" t="s">
        <v>1755</v>
      </c>
      <c r="Q318" s="51"/>
    </row>
    <row r="319" spans="1:17" x14ac:dyDescent="0.25">
      <c r="A319" s="10">
        <v>43888</v>
      </c>
      <c r="B319" s="594">
        <v>0</v>
      </c>
      <c r="C319" s="31">
        <f t="shared" si="43"/>
        <v>0</v>
      </c>
      <c r="D319" s="50">
        <v>0</v>
      </c>
      <c r="E319" s="31">
        <f t="shared" si="44"/>
        <v>0</v>
      </c>
      <c r="F319" s="900">
        <v>0</v>
      </c>
      <c r="G319" s="899">
        <f t="shared" si="45"/>
        <v>40293.07</v>
      </c>
      <c r="H319" s="50">
        <v>5663.86</v>
      </c>
      <c r="I319" s="31">
        <f t="shared" si="46"/>
        <v>0</v>
      </c>
      <c r="J319" s="50">
        <v>0</v>
      </c>
      <c r="K319" s="31">
        <f t="shared" si="47"/>
        <v>0</v>
      </c>
      <c r="L319" s="50">
        <v>0</v>
      </c>
      <c r="M319" s="31">
        <f t="shared" si="48"/>
        <v>0</v>
      </c>
      <c r="N319" s="50">
        <v>0</v>
      </c>
      <c r="O319" s="31">
        <f t="shared" si="49"/>
        <v>0</v>
      </c>
      <c r="P319" s="51" t="s">
        <v>845</v>
      </c>
      <c r="Q319" s="51"/>
    </row>
    <row r="320" spans="1:17" x14ac:dyDescent="0.25">
      <c r="A320" s="10">
        <v>43893</v>
      </c>
      <c r="B320" s="594">
        <v>0</v>
      </c>
      <c r="C320" s="31">
        <f t="shared" si="43"/>
        <v>0</v>
      </c>
      <c r="D320" s="50">
        <v>232.97</v>
      </c>
      <c r="E320" s="31">
        <f t="shared" si="44"/>
        <v>232.97</v>
      </c>
      <c r="F320" s="900">
        <v>0</v>
      </c>
      <c r="G320" s="899">
        <f t="shared" si="45"/>
        <v>40293.07</v>
      </c>
      <c r="H320" s="50">
        <v>46.76</v>
      </c>
      <c r="I320" s="31">
        <f t="shared" si="46"/>
        <v>46.76</v>
      </c>
      <c r="J320" s="50">
        <v>0</v>
      </c>
      <c r="K320" s="31">
        <f t="shared" si="47"/>
        <v>0</v>
      </c>
      <c r="L320" s="50">
        <v>0</v>
      </c>
      <c r="M320" s="31">
        <f t="shared" si="48"/>
        <v>0</v>
      </c>
      <c r="N320" s="50">
        <v>0</v>
      </c>
      <c r="O320" s="31">
        <f t="shared" si="49"/>
        <v>0</v>
      </c>
      <c r="P320" s="51" t="s">
        <v>890</v>
      </c>
      <c r="Q320" s="51"/>
    </row>
    <row r="321" spans="1:17" x14ac:dyDescent="0.25">
      <c r="A321" s="10">
        <v>43893</v>
      </c>
      <c r="B321" s="594">
        <v>0</v>
      </c>
      <c r="C321" s="31">
        <f t="shared" si="43"/>
        <v>0</v>
      </c>
      <c r="D321" s="50">
        <v>-232.97</v>
      </c>
      <c r="E321" s="31">
        <f t="shared" si="44"/>
        <v>0</v>
      </c>
      <c r="F321" s="900">
        <v>0</v>
      </c>
      <c r="G321" s="899">
        <f t="shared" si="45"/>
        <v>40293.07</v>
      </c>
      <c r="H321" s="50">
        <v>-46.76</v>
      </c>
      <c r="I321" s="31">
        <f t="shared" si="46"/>
        <v>0</v>
      </c>
      <c r="J321" s="50">
        <v>0</v>
      </c>
      <c r="K321" s="31">
        <f t="shared" si="47"/>
        <v>0</v>
      </c>
      <c r="L321" s="50">
        <v>0</v>
      </c>
      <c r="M321" s="31">
        <f t="shared" si="48"/>
        <v>0</v>
      </c>
      <c r="N321" s="50">
        <v>0</v>
      </c>
      <c r="O321" s="31">
        <f t="shared" si="49"/>
        <v>0</v>
      </c>
      <c r="P321" s="51" t="s">
        <v>845</v>
      </c>
      <c r="Q321" s="51"/>
    </row>
    <row r="322" spans="1:17" x14ac:dyDescent="0.25">
      <c r="A322" s="10">
        <v>43899</v>
      </c>
      <c r="B322" s="594">
        <v>1500000</v>
      </c>
      <c r="C322" s="31">
        <f t="shared" si="43"/>
        <v>1500000</v>
      </c>
      <c r="D322" s="50">
        <v>-1515620.63</v>
      </c>
      <c r="E322" s="31">
        <f t="shared" si="44"/>
        <v>-1515620.63</v>
      </c>
      <c r="F322" s="900">
        <v>0</v>
      </c>
      <c r="G322" s="899">
        <f t="shared" si="45"/>
        <v>40293.07</v>
      </c>
      <c r="H322" s="50">
        <v>0</v>
      </c>
      <c r="I322" s="31">
        <f t="shared" si="46"/>
        <v>0</v>
      </c>
      <c r="J322" s="50">
        <v>0</v>
      </c>
      <c r="K322" s="31">
        <f t="shared" si="47"/>
        <v>0</v>
      </c>
      <c r="L322" s="50">
        <v>0</v>
      </c>
      <c r="M322" s="31">
        <f t="shared" si="48"/>
        <v>0</v>
      </c>
      <c r="N322" s="50">
        <v>0</v>
      </c>
      <c r="O322" s="31">
        <f t="shared" si="49"/>
        <v>0</v>
      </c>
      <c r="P322" s="51" t="s">
        <v>1697</v>
      </c>
      <c r="Q322" s="51"/>
    </row>
    <row r="323" spans="1:17" x14ac:dyDescent="0.25">
      <c r="A323" s="10">
        <v>43899</v>
      </c>
      <c r="B323" s="594">
        <v>-1500000</v>
      </c>
      <c r="C323" s="31">
        <f t="shared" si="43"/>
        <v>0</v>
      </c>
      <c r="D323" s="594">
        <v>1515620.63</v>
      </c>
      <c r="E323" s="31">
        <f t="shared" si="44"/>
        <v>0</v>
      </c>
      <c r="F323" s="900">
        <v>0</v>
      </c>
      <c r="G323" s="899">
        <f t="shared" si="45"/>
        <v>40293.07</v>
      </c>
      <c r="H323" s="50">
        <v>0</v>
      </c>
      <c r="I323" s="31">
        <f t="shared" si="46"/>
        <v>0</v>
      </c>
      <c r="J323" s="50">
        <v>0</v>
      </c>
      <c r="K323" s="31">
        <f t="shared" si="47"/>
        <v>0</v>
      </c>
      <c r="L323" s="50">
        <v>0</v>
      </c>
      <c r="M323" s="31">
        <f t="shared" si="48"/>
        <v>0</v>
      </c>
      <c r="N323" s="50">
        <v>0</v>
      </c>
      <c r="O323" s="31">
        <f t="shared" si="49"/>
        <v>0</v>
      </c>
      <c r="P323" s="51" t="s">
        <v>1698</v>
      </c>
      <c r="Q323" s="51"/>
    </row>
    <row r="324" spans="1:17" x14ac:dyDescent="0.25">
      <c r="A324" s="10">
        <v>43899</v>
      </c>
      <c r="B324" s="594">
        <v>0</v>
      </c>
      <c r="C324" s="31">
        <f t="shared" si="43"/>
        <v>0</v>
      </c>
      <c r="D324" s="50">
        <v>-1515620.63</v>
      </c>
      <c r="E324" s="31">
        <f t="shared" si="44"/>
        <v>-1515620.63</v>
      </c>
      <c r="F324" s="900">
        <v>0</v>
      </c>
      <c r="G324" s="899">
        <f t="shared" si="45"/>
        <v>40293.07</v>
      </c>
      <c r="H324" s="50">
        <v>0</v>
      </c>
      <c r="I324" s="31">
        <f t="shared" si="46"/>
        <v>0</v>
      </c>
      <c r="J324" s="50">
        <v>0</v>
      </c>
      <c r="K324" s="31">
        <f t="shared" si="47"/>
        <v>0</v>
      </c>
      <c r="L324" s="50">
        <v>0</v>
      </c>
      <c r="M324" s="31">
        <f t="shared" si="48"/>
        <v>0</v>
      </c>
      <c r="N324" s="50">
        <v>0</v>
      </c>
      <c r="O324" s="31">
        <f t="shared" si="49"/>
        <v>0</v>
      </c>
      <c r="P324" s="51" t="s">
        <v>1758</v>
      </c>
      <c r="Q324" s="51"/>
    </row>
    <row r="325" spans="1:17" x14ac:dyDescent="0.25">
      <c r="A325" s="10">
        <v>43899</v>
      </c>
      <c r="B325" s="594">
        <v>0</v>
      </c>
      <c r="C325" s="31">
        <f t="shared" ref="C325:C327" si="57">ROUND(B325+C324,2)</f>
        <v>0</v>
      </c>
      <c r="D325" s="50">
        <v>1500000</v>
      </c>
      <c r="E325" s="31">
        <f t="shared" ref="E325:E327" si="58">ROUND(D325+E324,2)</f>
        <v>-15620.63</v>
      </c>
      <c r="F325" s="900">
        <v>0</v>
      </c>
      <c r="G325" s="899">
        <f t="shared" ref="G325:G327" si="59">ROUND(F325+G324,2)</f>
        <v>40293.07</v>
      </c>
      <c r="H325" s="50">
        <v>0</v>
      </c>
      <c r="I325" s="31">
        <f t="shared" ref="I325:I327" si="60">ROUND(H325+I324,2)</f>
        <v>0</v>
      </c>
      <c r="J325" s="50">
        <v>0</v>
      </c>
      <c r="K325" s="31">
        <f t="shared" ref="K325:K327" si="61">ROUND(J325+K324,2)</f>
        <v>0</v>
      </c>
      <c r="L325" s="50">
        <v>0</v>
      </c>
      <c r="M325" s="31">
        <f t="shared" ref="M325:M327" si="62">ROUND(L325+M324,2)</f>
        <v>0</v>
      </c>
      <c r="N325" s="50">
        <v>0</v>
      </c>
      <c r="O325" s="31">
        <f t="shared" ref="O325:O327" si="63">ROUND(N325+O324,2)</f>
        <v>0</v>
      </c>
      <c r="P325" s="51" t="s">
        <v>1759</v>
      </c>
      <c r="Q325" s="51"/>
    </row>
    <row r="326" spans="1:17" x14ac:dyDescent="0.25">
      <c r="A326" s="10">
        <v>43899</v>
      </c>
      <c r="B326" s="594">
        <v>0</v>
      </c>
      <c r="C326" s="31">
        <f t="shared" si="57"/>
        <v>0</v>
      </c>
      <c r="D326" s="50">
        <v>15620.63</v>
      </c>
      <c r="E326" s="31">
        <f t="shared" si="58"/>
        <v>0</v>
      </c>
      <c r="F326" s="900">
        <v>0</v>
      </c>
      <c r="G326" s="899">
        <f t="shared" si="59"/>
        <v>40293.07</v>
      </c>
      <c r="H326" s="50">
        <v>0</v>
      </c>
      <c r="I326" s="31">
        <f t="shared" si="60"/>
        <v>0</v>
      </c>
      <c r="J326" s="50">
        <v>0</v>
      </c>
      <c r="K326" s="31">
        <f t="shared" si="61"/>
        <v>0</v>
      </c>
      <c r="L326" s="50">
        <v>0</v>
      </c>
      <c r="M326" s="31">
        <f t="shared" si="62"/>
        <v>0</v>
      </c>
      <c r="N326" s="50">
        <v>0</v>
      </c>
      <c r="O326" s="31">
        <f t="shared" si="63"/>
        <v>0</v>
      </c>
      <c r="P326" s="51" t="s">
        <v>845</v>
      </c>
      <c r="Q326" s="51"/>
    </row>
    <row r="327" spans="1:17" x14ac:dyDescent="0.25">
      <c r="A327" s="10">
        <v>43901</v>
      </c>
      <c r="B327" s="594">
        <v>0</v>
      </c>
      <c r="C327" s="31">
        <f t="shared" si="57"/>
        <v>0</v>
      </c>
      <c r="D327" s="50">
        <v>-16005.53</v>
      </c>
      <c r="E327" s="31">
        <f t="shared" si="58"/>
        <v>-16005.53</v>
      </c>
      <c r="F327" s="900">
        <v>0</v>
      </c>
      <c r="G327" s="899">
        <f t="shared" si="59"/>
        <v>40293.07</v>
      </c>
      <c r="H327" s="50">
        <v>16005.53</v>
      </c>
      <c r="I327" s="31">
        <f t="shared" si="60"/>
        <v>16005.53</v>
      </c>
      <c r="J327" s="50">
        <v>0</v>
      </c>
      <c r="K327" s="31">
        <f t="shared" si="61"/>
        <v>0</v>
      </c>
      <c r="L327" s="50">
        <v>0</v>
      </c>
      <c r="M327" s="31">
        <f t="shared" si="62"/>
        <v>0</v>
      </c>
      <c r="N327" s="50">
        <v>0</v>
      </c>
      <c r="O327" s="31">
        <f t="shared" si="63"/>
        <v>0</v>
      </c>
      <c r="P327" s="51" t="s">
        <v>1155</v>
      </c>
      <c r="Q327" s="51"/>
    </row>
    <row r="328" spans="1:17" s="765" customFormat="1" x14ac:dyDescent="0.25">
      <c r="A328" s="10">
        <v>43901</v>
      </c>
      <c r="B328" s="594">
        <v>0</v>
      </c>
      <c r="C328" s="31">
        <f t="shared" ref="C328:C360" si="64">ROUND(B328+C327,2)</f>
        <v>0</v>
      </c>
      <c r="D328" s="50">
        <v>-56337.42</v>
      </c>
      <c r="E328" s="31">
        <f t="shared" ref="E328:E360" si="65">ROUND(D328+E327,2)</f>
        <v>-72342.95</v>
      </c>
      <c r="F328" s="900">
        <v>0</v>
      </c>
      <c r="G328" s="899">
        <f t="shared" ref="G328:G360" si="66">ROUND(F328+G327,2)</f>
        <v>40293.07</v>
      </c>
      <c r="H328" s="50">
        <v>0</v>
      </c>
      <c r="I328" s="31">
        <f t="shared" ref="I328:I360" si="67">ROUND(H328+I327,2)</f>
        <v>16005.53</v>
      </c>
      <c r="J328" s="50">
        <v>0</v>
      </c>
      <c r="K328" s="31">
        <f t="shared" ref="K328:K360" si="68">ROUND(J328+K327,2)</f>
        <v>0</v>
      </c>
      <c r="L328" s="50">
        <v>56337.42</v>
      </c>
      <c r="M328" s="31">
        <f t="shared" ref="M328:M360" si="69">ROUND(L328+M327,2)</f>
        <v>56337.42</v>
      </c>
      <c r="N328" s="50">
        <v>0</v>
      </c>
      <c r="O328" s="31">
        <f t="shared" ref="O328:O360" si="70">ROUND(N328+O327,2)</f>
        <v>0</v>
      </c>
      <c r="P328" s="51" t="s">
        <v>1156</v>
      </c>
      <c r="Q328" s="51"/>
    </row>
    <row r="329" spans="1:17" s="765" customFormat="1" x14ac:dyDescent="0.25">
      <c r="A329" s="10">
        <v>43901</v>
      </c>
      <c r="B329" s="594">
        <v>0</v>
      </c>
      <c r="C329" s="31">
        <f t="shared" si="64"/>
        <v>0</v>
      </c>
      <c r="D329" s="50">
        <v>0</v>
      </c>
      <c r="E329" s="31">
        <f t="shared" si="65"/>
        <v>-72342.95</v>
      </c>
      <c r="F329" s="900">
        <v>0</v>
      </c>
      <c r="G329" s="899">
        <f t="shared" si="66"/>
        <v>40293.07</v>
      </c>
      <c r="H329" s="50">
        <v>0</v>
      </c>
      <c r="I329" s="31">
        <f t="shared" si="67"/>
        <v>16005.53</v>
      </c>
      <c r="J329" s="50">
        <v>0</v>
      </c>
      <c r="K329" s="31">
        <f t="shared" si="68"/>
        <v>0</v>
      </c>
      <c r="L329" s="50">
        <v>-56337.42</v>
      </c>
      <c r="M329" s="31">
        <f t="shared" si="69"/>
        <v>0</v>
      </c>
      <c r="N329" s="50">
        <v>0</v>
      </c>
      <c r="O329" s="31">
        <f t="shared" si="70"/>
        <v>0</v>
      </c>
      <c r="P329" s="51" t="s">
        <v>1760</v>
      </c>
      <c r="Q329" s="51"/>
    </row>
    <row r="330" spans="1:17" s="765" customFormat="1" x14ac:dyDescent="0.25">
      <c r="A330" s="10">
        <v>43901</v>
      </c>
      <c r="B330" s="594">
        <v>0</v>
      </c>
      <c r="C330" s="31">
        <f t="shared" si="64"/>
        <v>0</v>
      </c>
      <c r="D330" s="50">
        <v>72342.95</v>
      </c>
      <c r="E330" s="31">
        <f t="shared" si="65"/>
        <v>0</v>
      </c>
      <c r="F330" s="900">
        <v>0</v>
      </c>
      <c r="G330" s="899">
        <f t="shared" si="66"/>
        <v>40293.07</v>
      </c>
      <c r="H330" s="50">
        <v>-16005.53</v>
      </c>
      <c r="I330" s="31">
        <f t="shared" si="67"/>
        <v>0</v>
      </c>
      <c r="J330" s="50">
        <v>0</v>
      </c>
      <c r="K330" s="31">
        <f t="shared" si="68"/>
        <v>0</v>
      </c>
      <c r="L330" s="50">
        <v>0</v>
      </c>
      <c r="M330" s="31">
        <f t="shared" si="69"/>
        <v>0</v>
      </c>
      <c r="N330" s="50">
        <v>0</v>
      </c>
      <c r="O330" s="31">
        <f t="shared" si="70"/>
        <v>0</v>
      </c>
      <c r="P330" s="51" t="s">
        <v>845</v>
      </c>
      <c r="Q330" s="51"/>
    </row>
    <row r="331" spans="1:17" s="765" customFormat="1" x14ac:dyDescent="0.25">
      <c r="A331" s="10">
        <v>43906</v>
      </c>
      <c r="B331" s="594">
        <v>0</v>
      </c>
      <c r="C331" s="31">
        <f t="shared" si="64"/>
        <v>0</v>
      </c>
      <c r="D331" s="50">
        <v>-77495182.590000004</v>
      </c>
      <c r="E331" s="31">
        <f t="shared" si="65"/>
        <v>-77495182.590000004</v>
      </c>
      <c r="F331" s="900">
        <v>0</v>
      </c>
      <c r="G331" s="899">
        <f t="shared" si="66"/>
        <v>40293.07</v>
      </c>
      <c r="H331" s="50">
        <v>0</v>
      </c>
      <c r="I331" s="31">
        <f t="shared" si="67"/>
        <v>0</v>
      </c>
      <c r="J331" s="50">
        <v>0</v>
      </c>
      <c r="K331" s="31">
        <f t="shared" si="68"/>
        <v>0</v>
      </c>
      <c r="L331" s="50">
        <v>0</v>
      </c>
      <c r="M331" s="31">
        <f t="shared" si="69"/>
        <v>0</v>
      </c>
      <c r="N331" s="50">
        <v>0</v>
      </c>
      <c r="O331" s="31">
        <f t="shared" si="70"/>
        <v>0</v>
      </c>
      <c r="P331" s="51" t="s">
        <v>1762</v>
      </c>
      <c r="Q331" s="51"/>
    </row>
    <row r="332" spans="1:17" s="765" customFormat="1" x14ac:dyDescent="0.25">
      <c r="A332" s="10">
        <v>43906</v>
      </c>
      <c r="B332" s="594">
        <v>0</v>
      </c>
      <c r="C332" s="31">
        <f t="shared" si="64"/>
        <v>0</v>
      </c>
      <c r="D332" s="50">
        <v>-77839376.5</v>
      </c>
      <c r="E332" s="31">
        <f>ROUND(D332+E331,2)</f>
        <v>-155334559.09</v>
      </c>
      <c r="F332" s="900">
        <v>0</v>
      </c>
      <c r="G332" s="899">
        <f t="shared" si="66"/>
        <v>40293.07</v>
      </c>
      <c r="H332" s="50">
        <v>0</v>
      </c>
      <c r="I332" s="31">
        <f t="shared" si="67"/>
        <v>0</v>
      </c>
      <c r="J332" s="50">
        <v>0</v>
      </c>
      <c r="K332" s="31">
        <f t="shared" si="68"/>
        <v>0</v>
      </c>
      <c r="L332" s="50">
        <v>0</v>
      </c>
      <c r="M332" s="31">
        <f t="shared" si="69"/>
        <v>0</v>
      </c>
      <c r="N332" s="50">
        <v>0</v>
      </c>
      <c r="O332" s="31">
        <f t="shared" si="70"/>
        <v>0</v>
      </c>
      <c r="P332" s="51" t="s">
        <v>1763</v>
      </c>
      <c r="Q332" s="51"/>
    </row>
    <row r="333" spans="1:17" s="765" customFormat="1" x14ac:dyDescent="0.25">
      <c r="A333" s="10">
        <v>43906</v>
      </c>
      <c r="B333" s="594">
        <v>0</v>
      </c>
      <c r="C333" s="31">
        <f t="shared" si="64"/>
        <v>0</v>
      </c>
      <c r="D333" s="50">
        <v>77456993.439999998</v>
      </c>
      <c r="E333" s="31">
        <f t="shared" si="65"/>
        <v>-77877565.650000006</v>
      </c>
      <c r="F333" s="900">
        <v>0</v>
      </c>
      <c r="G333" s="899">
        <f t="shared" si="66"/>
        <v>40293.07</v>
      </c>
      <c r="H333" s="50">
        <v>0</v>
      </c>
      <c r="I333" s="31">
        <f t="shared" si="67"/>
        <v>0</v>
      </c>
      <c r="J333" s="50">
        <v>0</v>
      </c>
      <c r="K333" s="31">
        <f t="shared" si="68"/>
        <v>0</v>
      </c>
      <c r="L333" s="50">
        <v>0</v>
      </c>
      <c r="M333" s="31">
        <f t="shared" si="69"/>
        <v>0</v>
      </c>
      <c r="N333" s="50">
        <v>0</v>
      </c>
      <c r="O333" s="31">
        <f t="shared" si="70"/>
        <v>0</v>
      </c>
      <c r="P333" s="51" t="s">
        <v>1764</v>
      </c>
      <c r="Q333" s="51"/>
    </row>
    <row r="334" spans="1:17" s="765" customFormat="1" x14ac:dyDescent="0.25">
      <c r="A334" s="10">
        <v>43906</v>
      </c>
      <c r="B334" s="594">
        <v>0</v>
      </c>
      <c r="C334" s="31">
        <f t="shared" si="64"/>
        <v>0</v>
      </c>
      <c r="D334" s="50">
        <v>0</v>
      </c>
      <c r="E334" s="31">
        <f t="shared" si="65"/>
        <v>-77877565.650000006</v>
      </c>
      <c r="F334" s="900">
        <v>-18830809.850000001</v>
      </c>
      <c r="G334" s="899">
        <f t="shared" si="66"/>
        <v>-18790516.780000001</v>
      </c>
      <c r="H334" s="50">
        <v>0</v>
      </c>
      <c r="I334" s="31">
        <f t="shared" si="67"/>
        <v>0</v>
      </c>
      <c r="J334" s="50">
        <v>0</v>
      </c>
      <c r="K334" s="31">
        <f t="shared" si="68"/>
        <v>0</v>
      </c>
      <c r="L334" s="50">
        <v>0</v>
      </c>
      <c r="M334" s="31">
        <f t="shared" si="69"/>
        <v>0</v>
      </c>
      <c r="N334" s="50">
        <v>0</v>
      </c>
      <c r="O334" s="31">
        <f t="shared" si="70"/>
        <v>0</v>
      </c>
      <c r="P334" s="51" t="s">
        <v>1765</v>
      </c>
      <c r="Q334" s="51"/>
    </row>
    <row r="335" spans="1:17" s="765" customFormat="1" x14ac:dyDescent="0.25">
      <c r="A335" s="10">
        <v>43906</v>
      </c>
      <c r="B335" s="594">
        <v>0</v>
      </c>
      <c r="C335" s="31">
        <f t="shared" si="64"/>
        <v>0</v>
      </c>
      <c r="D335" s="50">
        <v>40918.402777777774</v>
      </c>
      <c r="E335" s="31">
        <f t="shared" si="65"/>
        <v>-77836647.25</v>
      </c>
      <c r="F335" s="900">
        <v>0</v>
      </c>
      <c r="G335" s="899">
        <f t="shared" si="66"/>
        <v>-18790516.780000001</v>
      </c>
      <c r="H335" s="50">
        <v>0</v>
      </c>
      <c r="I335" s="31">
        <f t="shared" si="67"/>
        <v>0</v>
      </c>
      <c r="J335" s="50">
        <v>0</v>
      </c>
      <c r="K335" s="31">
        <f t="shared" si="68"/>
        <v>0</v>
      </c>
      <c r="L335" s="50">
        <v>0</v>
      </c>
      <c r="M335" s="31">
        <f t="shared" si="69"/>
        <v>0</v>
      </c>
      <c r="N335" s="50">
        <v>0</v>
      </c>
      <c r="O335" s="31">
        <f t="shared" si="70"/>
        <v>0</v>
      </c>
      <c r="P335" s="51" t="s">
        <v>1711</v>
      </c>
      <c r="Q335" s="51"/>
    </row>
    <row r="336" spans="1:17" s="765" customFormat="1" x14ac:dyDescent="0.25">
      <c r="A336" s="10">
        <v>43906</v>
      </c>
      <c r="B336" s="594">
        <v>0</v>
      </c>
      <c r="C336" s="31">
        <f t="shared" si="64"/>
        <v>0</v>
      </c>
      <c r="D336" s="50">
        <v>1846.1781747499999</v>
      </c>
      <c r="E336" s="31">
        <f t="shared" si="65"/>
        <v>-77834801.069999993</v>
      </c>
      <c r="F336" s="900">
        <v>0</v>
      </c>
      <c r="G336" s="899">
        <f t="shared" si="66"/>
        <v>-18790516.780000001</v>
      </c>
      <c r="H336" s="50">
        <v>0</v>
      </c>
      <c r="I336" s="31">
        <f t="shared" si="67"/>
        <v>0</v>
      </c>
      <c r="J336" s="50">
        <v>0</v>
      </c>
      <c r="K336" s="31">
        <f t="shared" si="68"/>
        <v>0</v>
      </c>
      <c r="L336" s="50">
        <v>0</v>
      </c>
      <c r="M336" s="31">
        <f t="shared" si="69"/>
        <v>0</v>
      </c>
      <c r="N336" s="50">
        <v>0</v>
      </c>
      <c r="O336" s="31">
        <f t="shared" si="70"/>
        <v>0</v>
      </c>
      <c r="P336" s="51" t="s">
        <v>1712</v>
      </c>
      <c r="Q336" s="51"/>
    </row>
    <row r="337" spans="1:17" s="765" customFormat="1" x14ac:dyDescent="0.25">
      <c r="A337" s="10">
        <v>43906</v>
      </c>
      <c r="B337" s="594">
        <v>0</v>
      </c>
      <c r="C337" s="31">
        <f t="shared" si="64"/>
        <v>0</v>
      </c>
      <c r="D337" s="50">
        <v>15555</v>
      </c>
      <c r="E337" s="31">
        <f t="shared" si="65"/>
        <v>-77819246.069999993</v>
      </c>
      <c r="F337" s="900">
        <v>0</v>
      </c>
      <c r="G337" s="899">
        <f t="shared" si="66"/>
        <v>-18790516.780000001</v>
      </c>
      <c r="H337" s="50">
        <v>0</v>
      </c>
      <c r="I337" s="31">
        <f t="shared" si="67"/>
        <v>0</v>
      </c>
      <c r="J337" s="50">
        <v>0</v>
      </c>
      <c r="K337" s="31">
        <f t="shared" si="68"/>
        <v>0</v>
      </c>
      <c r="L337" s="50">
        <v>0</v>
      </c>
      <c r="M337" s="31">
        <f t="shared" si="69"/>
        <v>0</v>
      </c>
      <c r="N337" s="50">
        <v>0</v>
      </c>
      <c r="O337" s="31">
        <f t="shared" si="70"/>
        <v>0</v>
      </c>
      <c r="P337" s="51" t="s">
        <v>1766</v>
      </c>
      <c r="Q337" s="51"/>
    </row>
    <row r="338" spans="1:17" s="765" customFormat="1" x14ac:dyDescent="0.25">
      <c r="A338" s="10">
        <v>43906</v>
      </c>
      <c r="B338" s="594">
        <v>0</v>
      </c>
      <c r="C338" s="31">
        <f t="shared" si="64"/>
        <v>0</v>
      </c>
      <c r="D338" s="50">
        <v>0</v>
      </c>
      <c r="E338" s="31">
        <f t="shared" si="65"/>
        <v>-77819246.069999993</v>
      </c>
      <c r="F338" s="900">
        <v>15943.958333333334</v>
      </c>
      <c r="G338" s="899">
        <f t="shared" si="66"/>
        <v>-18774572.82</v>
      </c>
      <c r="H338" s="50">
        <v>0</v>
      </c>
      <c r="I338" s="31">
        <f t="shared" si="67"/>
        <v>0</v>
      </c>
      <c r="J338" s="50">
        <v>0</v>
      </c>
      <c r="K338" s="31">
        <f t="shared" si="68"/>
        <v>0</v>
      </c>
      <c r="L338" s="50">
        <v>0</v>
      </c>
      <c r="M338" s="31">
        <f t="shared" si="69"/>
        <v>0</v>
      </c>
      <c r="N338" s="50">
        <v>0</v>
      </c>
      <c r="O338" s="31">
        <f t="shared" si="70"/>
        <v>0</v>
      </c>
      <c r="P338" s="51" t="s">
        <v>1767</v>
      </c>
      <c r="Q338" s="51"/>
    </row>
    <row r="339" spans="1:17" s="765" customFormat="1" x14ac:dyDescent="0.25">
      <c r="A339" s="10">
        <v>43906</v>
      </c>
      <c r="B339" s="594">
        <v>0</v>
      </c>
      <c r="C339" s="31">
        <f t="shared" si="64"/>
        <v>0</v>
      </c>
      <c r="D339" s="50">
        <v>303751.09916666523</v>
      </c>
      <c r="E339" s="31">
        <f t="shared" si="65"/>
        <v>-77515494.969999999</v>
      </c>
      <c r="F339" s="900">
        <v>0</v>
      </c>
      <c r="G339" s="899">
        <f t="shared" si="66"/>
        <v>-18774572.82</v>
      </c>
      <c r="H339" s="50">
        <v>0</v>
      </c>
      <c r="I339" s="31">
        <f t="shared" si="67"/>
        <v>0</v>
      </c>
      <c r="J339" s="50">
        <v>0</v>
      </c>
      <c r="K339" s="31">
        <f t="shared" si="68"/>
        <v>0</v>
      </c>
      <c r="L339" s="50">
        <v>0</v>
      </c>
      <c r="M339" s="31">
        <f t="shared" si="69"/>
        <v>0</v>
      </c>
      <c r="N339" s="50">
        <v>0</v>
      </c>
      <c r="O339" s="31">
        <f t="shared" si="70"/>
        <v>0</v>
      </c>
      <c r="P339" s="51"/>
      <c r="Q339" s="51"/>
    </row>
    <row r="340" spans="1:17" s="765" customFormat="1" x14ac:dyDescent="0.25">
      <c r="A340" s="10">
        <v>43906</v>
      </c>
      <c r="B340" s="594">
        <v>0</v>
      </c>
      <c r="C340" s="31">
        <f t="shared" si="64"/>
        <v>0</v>
      </c>
      <c r="D340" s="50">
        <v>52370.879166666418</v>
      </c>
      <c r="E340" s="31">
        <f t="shared" si="65"/>
        <v>-77463124.090000004</v>
      </c>
      <c r="F340" s="900">
        <v>0</v>
      </c>
      <c r="G340" s="899">
        <f t="shared" si="66"/>
        <v>-18774572.82</v>
      </c>
      <c r="H340" s="50">
        <v>0</v>
      </c>
      <c r="I340" s="31">
        <f t="shared" si="67"/>
        <v>0</v>
      </c>
      <c r="J340" s="50">
        <v>0</v>
      </c>
      <c r="K340" s="31">
        <f t="shared" si="68"/>
        <v>0</v>
      </c>
      <c r="L340" s="50">
        <v>0</v>
      </c>
      <c r="M340" s="31">
        <f t="shared" si="69"/>
        <v>0</v>
      </c>
      <c r="N340" s="50">
        <v>0</v>
      </c>
      <c r="O340" s="31">
        <f t="shared" si="70"/>
        <v>0</v>
      </c>
      <c r="P340" s="51"/>
      <c r="Q340" s="51"/>
    </row>
    <row r="341" spans="1:17" s="765" customFormat="1" x14ac:dyDescent="0.25">
      <c r="A341" s="10">
        <v>43906</v>
      </c>
      <c r="B341" s="594">
        <v>0</v>
      </c>
      <c r="C341" s="31">
        <f t="shared" si="64"/>
        <v>0</v>
      </c>
      <c r="D341" s="50">
        <v>316929.83550516143</v>
      </c>
      <c r="E341" s="31">
        <f t="shared" si="65"/>
        <v>-77146194.25</v>
      </c>
      <c r="F341" s="900">
        <v>0</v>
      </c>
      <c r="G341" s="899">
        <f t="shared" si="66"/>
        <v>-18774572.82</v>
      </c>
      <c r="H341" s="50">
        <v>0</v>
      </c>
      <c r="I341" s="31">
        <f t="shared" si="67"/>
        <v>0</v>
      </c>
      <c r="J341" s="50">
        <v>0</v>
      </c>
      <c r="K341" s="31">
        <f t="shared" si="68"/>
        <v>0</v>
      </c>
      <c r="L341" s="50">
        <v>0</v>
      </c>
      <c r="M341" s="31">
        <f t="shared" si="69"/>
        <v>0</v>
      </c>
      <c r="N341" s="50">
        <v>0</v>
      </c>
      <c r="O341" s="31">
        <f t="shared" si="70"/>
        <v>0</v>
      </c>
      <c r="P341" s="51"/>
      <c r="Q341" s="51"/>
    </row>
    <row r="342" spans="1:17" s="765" customFormat="1" x14ac:dyDescent="0.25">
      <c r="A342" s="10">
        <v>43906</v>
      </c>
      <c r="B342" s="594">
        <v>0</v>
      </c>
      <c r="C342" s="31">
        <f t="shared" si="64"/>
        <v>0</v>
      </c>
      <c r="D342" s="50">
        <v>23128.947583333123</v>
      </c>
      <c r="E342" s="31">
        <f t="shared" si="65"/>
        <v>-77123065.299999997</v>
      </c>
      <c r="F342" s="900">
        <v>0</v>
      </c>
      <c r="G342" s="899">
        <f t="shared" si="66"/>
        <v>-18774572.82</v>
      </c>
      <c r="H342" s="50">
        <v>0</v>
      </c>
      <c r="I342" s="31">
        <f t="shared" si="67"/>
        <v>0</v>
      </c>
      <c r="J342" s="50">
        <v>0</v>
      </c>
      <c r="K342" s="31">
        <f t="shared" si="68"/>
        <v>0</v>
      </c>
      <c r="L342" s="50">
        <v>0</v>
      </c>
      <c r="M342" s="31">
        <f t="shared" si="69"/>
        <v>0</v>
      </c>
      <c r="N342" s="50">
        <v>0</v>
      </c>
      <c r="O342" s="31">
        <f t="shared" si="70"/>
        <v>0</v>
      </c>
      <c r="P342" s="51"/>
      <c r="Q342" s="51"/>
    </row>
    <row r="343" spans="1:17" s="765" customFormat="1" x14ac:dyDescent="0.25">
      <c r="A343" s="10">
        <v>43906</v>
      </c>
      <c r="B343" s="594">
        <v>0</v>
      </c>
      <c r="C343" s="31">
        <f t="shared" si="64"/>
        <v>0</v>
      </c>
      <c r="D343" s="50">
        <v>95401.520833333954</v>
      </c>
      <c r="E343" s="31">
        <f t="shared" si="65"/>
        <v>-77027663.780000001</v>
      </c>
      <c r="F343" s="900">
        <v>0</v>
      </c>
      <c r="G343" s="899">
        <f t="shared" si="66"/>
        <v>-18774572.82</v>
      </c>
      <c r="H343" s="50">
        <v>0</v>
      </c>
      <c r="I343" s="31">
        <f t="shared" si="67"/>
        <v>0</v>
      </c>
      <c r="J343" s="50">
        <v>0</v>
      </c>
      <c r="K343" s="31">
        <f t="shared" si="68"/>
        <v>0</v>
      </c>
      <c r="L343" s="50">
        <v>0</v>
      </c>
      <c r="M343" s="31">
        <f t="shared" si="69"/>
        <v>0</v>
      </c>
      <c r="N343" s="50">
        <v>0</v>
      </c>
      <c r="O343" s="31">
        <f t="shared" si="70"/>
        <v>0</v>
      </c>
      <c r="P343" s="51"/>
      <c r="Q343" s="51"/>
    </row>
    <row r="344" spans="1:17" s="765" customFormat="1" x14ac:dyDescent="0.25">
      <c r="A344" s="10">
        <v>43906</v>
      </c>
      <c r="B344" s="594">
        <v>0</v>
      </c>
      <c r="C344" s="31">
        <f t="shared" si="64"/>
        <v>0</v>
      </c>
      <c r="D344" s="50">
        <v>16835.567499999888</v>
      </c>
      <c r="E344" s="31">
        <f t="shared" si="65"/>
        <v>-77010828.209999993</v>
      </c>
      <c r="F344" s="900">
        <v>0</v>
      </c>
      <c r="G344" s="899">
        <f t="shared" si="66"/>
        <v>-18774572.82</v>
      </c>
      <c r="H344" s="50">
        <v>0</v>
      </c>
      <c r="I344" s="31">
        <f t="shared" si="67"/>
        <v>0</v>
      </c>
      <c r="J344" s="50">
        <v>0</v>
      </c>
      <c r="K344" s="31">
        <f t="shared" si="68"/>
        <v>0</v>
      </c>
      <c r="L344" s="50">
        <v>0</v>
      </c>
      <c r="M344" s="31">
        <f t="shared" si="69"/>
        <v>0</v>
      </c>
      <c r="N344" s="50">
        <v>0</v>
      </c>
      <c r="O344" s="31">
        <f t="shared" si="70"/>
        <v>0</v>
      </c>
      <c r="P344" s="51"/>
      <c r="Q344" s="51"/>
    </row>
    <row r="345" spans="1:17" s="765" customFormat="1" x14ac:dyDescent="0.25">
      <c r="A345" s="10">
        <v>43906</v>
      </c>
      <c r="B345" s="594">
        <v>0</v>
      </c>
      <c r="C345" s="31">
        <f t="shared" si="64"/>
        <v>0</v>
      </c>
      <c r="D345" s="50">
        <v>0</v>
      </c>
      <c r="E345" s="31">
        <f t="shared" si="65"/>
        <v>-77010828.209999993</v>
      </c>
      <c r="F345" s="900">
        <v>60122.5625</v>
      </c>
      <c r="G345" s="899">
        <f t="shared" si="66"/>
        <v>-18714450.260000002</v>
      </c>
      <c r="H345" s="50">
        <v>0</v>
      </c>
      <c r="I345" s="31">
        <f t="shared" si="67"/>
        <v>0</v>
      </c>
      <c r="J345" s="50">
        <v>0</v>
      </c>
      <c r="K345" s="31">
        <f t="shared" si="68"/>
        <v>0</v>
      </c>
      <c r="L345" s="50">
        <v>0</v>
      </c>
      <c r="M345" s="31">
        <f t="shared" si="69"/>
        <v>0</v>
      </c>
      <c r="N345" s="50">
        <v>0</v>
      </c>
      <c r="O345" s="31">
        <f t="shared" si="70"/>
        <v>0</v>
      </c>
      <c r="P345" s="51"/>
      <c r="Q345" s="51"/>
    </row>
    <row r="346" spans="1:17" s="765" customFormat="1" x14ac:dyDescent="0.25">
      <c r="A346" s="10">
        <v>43906</v>
      </c>
      <c r="B346" s="594">
        <v>0</v>
      </c>
      <c r="C346" s="31">
        <f t="shared" si="64"/>
        <v>0</v>
      </c>
      <c r="D346" s="50">
        <v>0</v>
      </c>
      <c r="E346" s="31">
        <f t="shared" si="65"/>
        <v>-77010828.209999993</v>
      </c>
      <c r="F346" s="900">
        <v>4309.861111111124</v>
      </c>
      <c r="G346" s="899">
        <f t="shared" si="66"/>
        <v>-18710140.399999999</v>
      </c>
      <c r="H346" s="50">
        <v>0</v>
      </c>
      <c r="I346" s="31">
        <f t="shared" si="67"/>
        <v>0</v>
      </c>
      <c r="J346" s="50">
        <v>0</v>
      </c>
      <c r="K346" s="31">
        <f t="shared" si="68"/>
        <v>0</v>
      </c>
      <c r="L346" s="50">
        <v>0</v>
      </c>
      <c r="M346" s="31">
        <f t="shared" si="69"/>
        <v>0</v>
      </c>
      <c r="N346" s="50">
        <v>0</v>
      </c>
      <c r="O346" s="31">
        <f t="shared" si="70"/>
        <v>0</v>
      </c>
      <c r="P346" s="51"/>
      <c r="Q346" s="51"/>
    </row>
    <row r="347" spans="1:17" s="765" customFormat="1" x14ac:dyDescent="0.25">
      <c r="A347" s="10">
        <v>43906</v>
      </c>
      <c r="B347" s="594">
        <v>0</v>
      </c>
      <c r="C347" s="31">
        <f t="shared" si="64"/>
        <v>0</v>
      </c>
      <c r="D347" s="50">
        <v>0</v>
      </c>
      <c r="E347" s="31">
        <f t="shared" si="65"/>
        <v>-77010828.209999993</v>
      </c>
      <c r="F347" s="900">
        <v>16377.413333333563</v>
      </c>
      <c r="G347" s="899">
        <f t="shared" si="66"/>
        <v>-18693762.989999998</v>
      </c>
      <c r="H347" s="50">
        <v>0</v>
      </c>
      <c r="I347" s="31">
        <f t="shared" si="67"/>
        <v>0</v>
      </c>
      <c r="J347" s="50">
        <v>0</v>
      </c>
      <c r="K347" s="31">
        <f t="shared" si="68"/>
        <v>0</v>
      </c>
      <c r="L347" s="50">
        <v>0</v>
      </c>
      <c r="M347" s="31">
        <f t="shared" si="69"/>
        <v>0</v>
      </c>
      <c r="N347" s="50">
        <v>0</v>
      </c>
      <c r="O347" s="31">
        <f t="shared" si="70"/>
        <v>0</v>
      </c>
      <c r="P347" s="51"/>
      <c r="Q347" s="51"/>
    </row>
    <row r="348" spans="1:17" s="765" customFormat="1" x14ac:dyDescent="0.25">
      <c r="A348" s="10">
        <v>43906</v>
      </c>
      <c r="B348" s="594">
        <v>-5607559.2263630005</v>
      </c>
      <c r="C348" s="31">
        <f t="shared" si="64"/>
        <v>-5607559.2300000004</v>
      </c>
      <c r="D348" s="50">
        <v>82638517.890000001</v>
      </c>
      <c r="E348" s="31">
        <f t="shared" si="65"/>
        <v>5627689.6799999997</v>
      </c>
      <c r="F348" s="900">
        <v>0</v>
      </c>
      <c r="G348" s="899">
        <f t="shared" si="66"/>
        <v>-18693762.989999998</v>
      </c>
      <c r="H348" s="50">
        <v>0</v>
      </c>
      <c r="I348" s="31">
        <f t="shared" si="67"/>
        <v>0</v>
      </c>
      <c r="J348" s="50">
        <v>0</v>
      </c>
      <c r="K348" s="31">
        <f t="shared" si="68"/>
        <v>0</v>
      </c>
      <c r="L348" s="50">
        <v>0</v>
      </c>
      <c r="M348" s="31">
        <f t="shared" si="69"/>
        <v>0</v>
      </c>
      <c r="N348" s="50">
        <v>0</v>
      </c>
      <c r="O348" s="31">
        <f t="shared" si="70"/>
        <v>0</v>
      </c>
      <c r="P348" s="51" t="s">
        <v>1768</v>
      </c>
      <c r="Q348" s="51"/>
    </row>
    <row r="349" spans="1:17" s="765" customFormat="1" x14ac:dyDescent="0.25">
      <c r="A349" s="10">
        <v>43906</v>
      </c>
      <c r="B349" s="594">
        <v>0</v>
      </c>
      <c r="C349" s="31">
        <f t="shared" si="64"/>
        <v>-5607559.2300000004</v>
      </c>
      <c r="D349" s="50">
        <v>0</v>
      </c>
      <c r="E349" s="31">
        <f t="shared" si="65"/>
        <v>5627689.6799999997</v>
      </c>
      <c r="F349" s="900">
        <v>18750000</v>
      </c>
      <c r="G349" s="899">
        <f t="shared" si="66"/>
        <v>56237.01</v>
      </c>
      <c r="H349" s="50">
        <v>0</v>
      </c>
      <c r="I349" s="31">
        <f t="shared" si="67"/>
        <v>0</v>
      </c>
      <c r="J349" s="50">
        <v>0</v>
      </c>
      <c r="K349" s="31">
        <f t="shared" si="68"/>
        <v>0</v>
      </c>
      <c r="L349" s="50">
        <v>0</v>
      </c>
      <c r="M349" s="31">
        <f t="shared" si="69"/>
        <v>0</v>
      </c>
      <c r="N349" s="50">
        <v>0</v>
      </c>
      <c r="O349" s="31">
        <f t="shared" si="70"/>
        <v>0</v>
      </c>
      <c r="P349" s="51" t="s">
        <v>1769</v>
      </c>
      <c r="Q349" s="51"/>
    </row>
    <row r="350" spans="1:17" s="765" customFormat="1" x14ac:dyDescent="0.25">
      <c r="A350" s="10">
        <v>43906</v>
      </c>
      <c r="B350" s="594">
        <v>5000000</v>
      </c>
      <c r="C350" s="31">
        <f t="shared" si="64"/>
        <v>-607559.23</v>
      </c>
      <c r="D350" s="50">
        <v>-5000000</v>
      </c>
      <c r="E350" s="31">
        <f t="shared" si="65"/>
        <v>627689.68000000005</v>
      </c>
      <c r="F350" s="900">
        <v>0</v>
      </c>
      <c r="G350" s="899">
        <f t="shared" si="66"/>
        <v>56237.01</v>
      </c>
      <c r="H350" s="50">
        <v>0</v>
      </c>
      <c r="I350" s="31">
        <f t="shared" si="67"/>
        <v>0</v>
      </c>
      <c r="J350" s="50">
        <v>0</v>
      </c>
      <c r="K350" s="31">
        <f t="shared" si="68"/>
        <v>0</v>
      </c>
      <c r="L350" s="50">
        <v>0</v>
      </c>
      <c r="M350" s="31">
        <f t="shared" si="69"/>
        <v>0</v>
      </c>
      <c r="N350" s="50">
        <v>0</v>
      </c>
      <c r="O350" s="31">
        <f t="shared" si="70"/>
        <v>0</v>
      </c>
      <c r="P350" s="51" t="s">
        <v>831</v>
      </c>
      <c r="Q350" s="51"/>
    </row>
    <row r="351" spans="1:17" s="765" customFormat="1" x14ac:dyDescent="0.25">
      <c r="A351" s="10">
        <v>43906</v>
      </c>
      <c r="B351" s="594">
        <v>107559.22636299999</v>
      </c>
      <c r="C351" s="31">
        <f t="shared" si="64"/>
        <v>-500000</v>
      </c>
      <c r="D351" s="50">
        <v>-107559.22636299999</v>
      </c>
      <c r="E351" s="31">
        <f t="shared" si="65"/>
        <v>520130.45</v>
      </c>
      <c r="F351" s="900">
        <v>0</v>
      </c>
      <c r="G351" s="899">
        <f t="shared" si="66"/>
        <v>56237.01</v>
      </c>
      <c r="H351" s="50">
        <v>0</v>
      </c>
      <c r="I351" s="31">
        <f t="shared" si="67"/>
        <v>0</v>
      </c>
      <c r="J351" s="50">
        <v>0</v>
      </c>
      <c r="K351" s="31">
        <f t="shared" si="68"/>
        <v>0</v>
      </c>
      <c r="L351" s="50">
        <v>0</v>
      </c>
      <c r="M351" s="31">
        <f t="shared" si="69"/>
        <v>0</v>
      </c>
      <c r="N351" s="50">
        <v>0</v>
      </c>
      <c r="O351" s="31">
        <f t="shared" si="70"/>
        <v>0</v>
      </c>
      <c r="P351" s="51" t="s">
        <v>880</v>
      </c>
      <c r="Q351" s="51"/>
    </row>
    <row r="352" spans="1:17" s="765" customFormat="1" x14ac:dyDescent="0.25">
      <c r="A352" s="10">
        <v>43906</v>
      </c>
      <c r="B352" s="594">
        <v>500000</v>
      </c>
      <c r="C352" s="31">
        <f t="shared" si="64"/>
        <v>0</v>
      </c>
      <c r="D352" s="50">
        <v>-500000</v>
      </c>
      <c r="E352" s="31">
        <f t="shared" si="65"/>
        <v>20130.45</v>
      </c>
      <c r="F352" s="900">
        <v>0</v>
      </c>
      <c r="G352" s="899">
        <f t="shared" si="66"/>
        <v>56237.01</v>
      </c>
      <c r="H352" s="50">
        <v>0</v>
      </c>
      <c r="I352" s="31">
        <f t="shared" si="67"/>
        <v>0</v>
      </c>
      <c r="J352" s="50">
        <v>0</v>
      </c>
      <c r="K352" s="31">
        <f t="shared" si="68"/>
        <v>0</v>
      </c>
      <c r="L352" s="50">
        <v>0</v>
      </c>
      <c r="M352" s="31">
        <f t="shared" si="69"/>
        <v>0</v>
      </c>
      <c r="N352" s="50">
        <v>0</v>
      </c>
      <c r="O352" s="31">
        <f t="shared" si="70"/>
        <v>0</v>
      </c>
      <c r="P352" s="51" t="s">
        <v>880</v>
      </c>
      <c r="Q352" s="51"/>
    </row>
    <row r="353" spans="1:28" s="765" customFormat="1" x14ac:dyDescent="0.25">
      <c r="A353" s="10">
        <v>43906</v>
      </c>
      <c r="B353" s="594">
        <v>0</v>
      </c>
      <c r="C353" s="31">
        <f t="shared" si="64"/>
        <v>0</v>
      </c>
      <c r="D353" s="594">
        <v>-3950.51</v>
      </c>
      <c r="E353" s="31">
        <f t="shared" si="65"/>
        <v>16179.94</v>
      </c>
      <c r="F353" s="900">
        <v>0</v>
      </c>
      <c r="G353" s="899">
        <f t="shared" si="66"/>
        <v>56237.01</v>
      </c>
      <c r="H353" s="50">
        <v>0</v>
      </c>
      <c r="I353" s="31">
        <f t="shared" si="67"/>
        <v>0</v>
      </c>
      <c r="J353" s="50">
        <v>0</v>
      </c>
      <c r="K353" s="31">
        <f t="shared" si="68"/>
        <v>0</v>
      </c>
      <c r="L353" s="50">
        <v>3950.51</v>
      </c>
      <c r="M353" s="31">
        <f t="shared" si="69"/>
        <v>3950.51</v>
      </c>
      <c r="N353" s="50">
        <v>0</v>
      </c>
      <c r="O353" s="31">
        <f t="shared" si="70"/>
        <v>0</v>
      </c>
      <c r="P353" s="51" t="s">
        <v>1156</v>
      </c>
      <c r="Q353" s="51"/>
    </row>
    <row r="354" spans="1:28" s="765" customFormat="1" x14ac:dyDescent="0.25">
      <c r="A354" s="10">
        <v>43906</v>
      </c>
      <c r="B354" s="594">
        <v>0</v>
      </c>
      <c r="C354" s="31">
        <f t="shared" si="64"/>
        <v>0</v>
      </c>
      <c r="D354" s="50">
        <v>-1127.51</v>
      </c>
      <c r="E354" s="31">
        <f t="shared" si="65"/>
        <v>15052.43</v>
      </c>
      <c r="F354" s="900">
        <v>0</v>
      </c>
      <c r="G354" s="899">
        <f t="shared" si="66"/>
        <v>56237.01</v>
      </c>
      <c r="H354" s="50">
        <v>1127.51</v>
      </c>
      <c r="I354" s="31">
        <f t="shared" si="67"/>
        <v>1127.51</v>
      </c>
      <c r="J354" s="50">
        <v>0</v>
      </c>
      <c r="K354" s="31">
        <f t="shared" si="68"/>
        <v>0</v>
      </c>
      <c r="L354" s="50">
        <v>0</v>
      </c>
      <c r="M354" s="31">
        <f t="shared" si="69"/>
        <v>3950.51</v>
      </c>
      <c r="N354" s="50">
        <v>0</v>
      </c>
      <c r="O354" s="31">
        <f t="shared" si="70"/>
        <v>0</v>
      </c>
      <c r="P354" s="51" t="s">
        <v>1155</v>
      </c>
      <c r="Q354" s="51"/>
    </row>
    <row r="355" spans="1:28" s="765" customFormat="1" x14ac:dyDescent="0.25">
      <c r="A355" s="10">
        <v>43906</v>
      </c>
      <c r="B355" s="594">
        <v>0</v>
      </c>
      <c r="C355" s="31">
        <f t="shared" si="64"/>
        <v>0</v>
      </c>
      <c r="D355" s="50">
        <v>0</v>
      </c>
      <c r="E355" s="31">
        <f t="shared" si="65"/>
        <v>15052.43</v>
      </c>
      <c r="F355" s="900">
        <v>0</v>
      </c>
      <c r="G355" s="899">
        <f t="shared" si="66"/>
        <v>56237.01</v>
      </c>
      <c r="H355" s="50">
        <v>0</v>
      </c>
      <c r="I355" s="31">
        <f t="shared" si="67"/>
        <v>1127.51</v>
      </c>
      <c r="J355" s="50">
        <v>0</v>
      </c>
      <c r="K355" s="31">
        <f t="shared" si="68"/>
        <v>0</v>
      </c>
      <c r="L355" s="50">
        <v>-3950.51</v>
      </c>
      <c r="M355" s="31">
        <f t="shared" si="69"/>
        <v>0</v>
      </c>
      <c r="N355" s="50">
        <v>0</v>
      </c>
      <c r="O355" s="31">
        <f t="shared" si="70"/>
        <v>0</v>
      </c>
      <c r="P355" s="51" t="s">
        <v>1770</v>
      </c>
      <c r="Q355" s="51"/>
    </row>
    <row r="356" spans="1:28" s="765" customFormat="1" x14ac:dyDescent="0.25">
      <c r="A356" s="10">
        <v>43906</v>
      </c>
      <c r="B356" s="594">
        <v>0</v>
      </c>
      <c r="C356" s="31">
        <f t="shared" si="64"/>
        <v>0</v>
      </c>
      <c r="D356" s="50">
        <v>63519.5999999989</v>
      </c>
      <c r="E356" s="31">
        <f t="shared" si="65"/>
        <v>78572.03</v>
      </c>
      <c r="F356" s="900">
        <v>0</v>
      </c>
      <c r="G356" s="899">
        <f t="shared" si="66"/>
        <v>56237.01</v>
      </c>
      <c r="H356" s="50">
        <v>0</v>
      </c>
      <c r="I356" s="31">
        <f t="shared" si="67"/>
        <v>1127.51</v>
      </c>
      <c r="J356" s="50">
        <v>0</v>
      </c>
      <c r="K356" s="31">
        <f t="shared" si="68"/>
        <v>0</v>
      </c>
      <c r="L356" s="50">
        <v>0</v>
      </c>
      <c r="M356" s="31">
        <f t="shared" si="69"/>
        <v>0</v>
      </c>
      <c r="N356" s="50">
        <v>0</v>
      </c>
      <c r="O356" s="31">
        <f t="shared" si="70"/>
        <v>0</v>
      </c>
      <c r="P356" s="51" t="s">
        <v>845</v>
      </c>
      <c r="Q356" s="51"/>
    </row>
    <row r="357" spans="1:28" s="765" customFormat="1" x14ac:dyDescent="0.25">
      <c r="A357" s="10">
        <v>43907</v>
      </c>
      <c r="B357" s="594">
        <v>0</v>
      </c>
      <c r="C357" s="31">
        <f t="shared" si="64"/>
        <v>0</v>
      </c>
      <c r="D357" s="50">
        <v>30452.760000000017</v>
      </c>
      <c r="E357" s="31">
        <f t="shared" si="65"/>
        <v>109024.79</v>
      </c>
      <c r="F357" s="900">
        <v>0</v>
      </c>
      <c r="G357" s="899">
        <f t="shared" si="66"/>
        <v>56237.01</v>
      </c>
      <c r="H357" s="50">
        <v>-1127.51</v>
      </c>
      <c r="I357" s="31">
        <f t="shared" si="67"/>
        <v>0</v>
      </c>
      <c r="J357" s="50">
        <v>0</v>
      </c>
      <c r="K357" s="31">
        <f t="shared" si="68"/>
        <v>0</v>
      </c>
      <c r="L357" s="50">
        <v>0</v>
      </c>
      <c r="M357" s="31">
        <f t="shared" si="69"/>
        <v>0</v>
      </c>
      <c r="N357" s="50">
        <v>0</v>
      </c>
      <c r="O357" s="31">
        <f t="shared" si="70"/>
        <v>0</v>
      </c>
      <c r="P357" s="51" t="s">
        <v>845</v>
      </c>
      <c r="Q357" s="51"/>
    </row>
    <row r="358" spans="1:28" s="765" customFormat="1" x14ac:dyDescent="0.25">
      <c r="A358" s="10">
        <v>43907</v>
      </c>
      <c r="B358" s="594">
        <v>0</v>
      </c>
      <c r="C358" s="31">
        <f t="shared" si="64"/>
        <v>0</v>
      </c>
      <c r="D358" s="50">
        <v>0</v>
      </c>
      <c r="E358" s="31">
        <f t="shared" si="65"/>
        <v>109024.79</v>
      </c>
      <c r="F358" s="900">
        <v>0</v>
      </c>
      <c r="G358" s="899">
        <f t="shared" si="66"/>
        <v>56237.01</v>
      </c>
      <c r="H358" s="50">
        <v>0.36</v>
      </c>
      <c r="I358" s="31">
        <f t="shared" si="67"/>
        <v>0.36</v>
      </c>
      <c r="J358" s="50">
        <v>0</v>
      </c>
      <c r="K358" s="31">
        <f t="shared" si="68"/>
        <v>0</v>
      </c>
      <c r="L358" s="50">
        <v>0</v>
      </c>
      <c r="M358" s="31">
        <f t="shared" si="69"/>
        <v>0</v>
      </c>
      <c r="N358" s="50">
        <v>0</v>
      </c>
      <c r="O358" s="31">
        <f t="shared" si="70"/>
        <v>0</v>
      </c>
      <c r="P358" s="51" t="s">
        <v>845</v>
      </c>
      <c r="Q358" s="51"/>
    </row>
    <row r="359" spans="1:28" s="765" customFormat="1" x14ac:dyDescent="0.25">
      <c r="A359" s="10">
        <v>43916</v>
      </c>
      <c r="B359" s="594">
        <v>7000000</v>
      </c>
      <c r="C359" s="31">
        <f t="shared" si="64"/>
        <v>7000000</v>
      </c>
      <c r="D359" s="50">
        <v>-7005863.8200000003</v>
      </c>
      <c r="E359" s="31">
        <f t="shared" si="65"/>
        <v>-6896839.0300000003</v>
      </c>
      <c r="F359" s="900">
        <v>0</v>
      </c>
      <c r="G359" s="899">
        <f t="shared" si="66"/>
        <v>56237.01</v>
      </c>
      <c r="H359" s="50">
        <v>0</v>
      </c>
      <c r="I359" s="31">
        <f t="shared" si="67"/>
        <v>0.36</v>
      </c>
      <c r="J359" s="50">
        <v>0</v>
      </c>
      <c r="K359" s="31">
        <f t="shared" si="68"/>
        <v>0</v>
      </c>
      <c r="L359" s="50">
        <v>0</v>
      </c>
      <c r="M359" s="31">
        <f t="shared" si="69"/>
        <v>0</v>
      </c>
      <c r="N359" s="50">
        <v>0</v>
      </c>
      <c r="O359" s="31">
        <f t="shared" si="70"/>
        <v>0</v>
      </c>
      <c r="P359" s="51" t="s">
        <v>1697</v>
      </c>
      <c r="Q359" s="51"/>
    </row>
    <row r="360" spans="1:28" s="765" customFormat="1" x14ac:dyDescent="0.25">
      <c r="A360" s="10">
        <v>43916</v>
      </c>
      <c r="B360" s="594">
        <v>-7000000</v>
      </c>
      <c r="C360" s="31">
        <f t="shared" si="64"/>
        <v>0</v>
      </c>
      <c r="D360" s="50">
        <v>7005863.8200000003</v>
      </c>
      <c r="E360" s="31">
        <f t="shared" si="65"/>
        <v>109024.79</v>
      </c>
      <c r="F360" s="900">
        <v>0</v>
      </c>
      <c r="G360" s="899">
        <f t="shared" si="66"/>
        <v>56237.01</v>
      </c>
      <c r="H360" s="50">
        <v>0</v>
      </c>
      <c r="I360" s="31">
        <f t="shared" si="67"/>
        <v>0.36</v>
      </c>
      <c r="J360" s="50">
        <v>0</v>
      </c>
      <c r="K360" s="31">
        <f t="shared" si="68"/>
        <v>0</v>
      </c>
      <c r="L360" s="50">
        <v>0</v>
      </c>
      <c r="M360" s="31">
        <f t="shared" si="69"/>
        <v>0</v>
      </c>
      <c r="N360" s="50">
        <v>0</v>
      </c>
      <c r="O360" s="31">
        <f t="shared" si="70"/>
        <v>0</v>
      </c>
      <c r="P360" s="51" t="s">
        <v>1771</v>
      </c>
      <c r="Q360" s="51"/>
    </row>
    <row r="361" spans="1:28" x14ac:dyDescent="0.25">
      <c r="A361" s="10">
        <v>43923</v>
      </c>
      <c r="B361" s="594">
        <v>0</v>
      </c>
      <c r="C361" s="31">
        <f t="shared" ref="C361:C384" si="71">ROUND(B361+C360,2)</f>
        <v>0</v>
      </c>
      <c r="D361" s="50">
        <v>85.37</v>
      </c>
      <c r="E361" s="31">
        <f t="shared" ref="E361:E384" si="72">ROUND(D361+E360,2)</f>
        <v>109110.16</v>
      </c>
      <c r="F361" s="900">
        <v>0</v>
      </c>
      <c r="G361" s="899">
        <f t="shared" ref="G361:G384" si="73">ROUND(F361+G360,2)</f>
        <v>56237.01</v>
      </c>
      <c r="H361" s="50">
        <v>26.14</v>
      </c>
      <c r="I361" s="31">
        <f t="shared" ref="I361:I384" si="74">ROUND(H361+I360,2)</f>
        <v>26.5</v>
      </c>
      <c r="J361" s="50">
        <v>0</v>
      </c>
      <c r="K361" s="31">
        <f t="shared" ref="K361:K384" si="75">ROUND(J361+K360,2)</f>
        <v>0</v>
      </c>
      <c r="L361" s="50">
        <v>0</v>
      </c>
      <c r="M361" s="31">
        <f t="shared" ref="M361:M384" si="76">ROUND(L361+M360,2)</f>
        <v>0</v>
      </c>
      <c r="N361" s="50">
        <v>0</v>
      </c>
      <c r="O361" s="31">
        <f t="shared" ref="O361:O384" si="77">ROUND(N361+O360,2)</f>
        <v>0</v>
      </c>
      <c r="P361" s="51" t="s">
        <v>890</v>
      </c>
      <c r="Q361" s="51"/>
      <c r="R361" s="765"/>
      <c r="S361" s="765"/>
      <c r="T361" s="765"/>
      <c r="U361" s="765"/>
      <c r="V361" s="765"/>
      <c r="W361" s="765"/>
      <c r="X361" s="765"/>
      <c r="Y361" s="765"/>
      <c r="Z361" s="765"/>
      <c r="AA361" s="765"/>
      <c r="AB361" s="765"/>
    </row>
    <row r="362" spans="1:28" x14ac:dyDescent="0.25">
      <c r="A362" s="10">
        <v>43923</v>
      </c>
      <c r="B362" s="594">
        <v>0</v>
      </c>
      <c r="C362" s="31">
        <f t="shared" si="71"/>
        <v>0</v>
      </c>
      <c r="D362" s="50">
        <v>-85.37</v>
      </c>
      <c r="E362" s="31">
        <f t="shared" si="72"/>
        <v>109024.79</v>
      </c>
      <c r="F362" s="900">
        <v>0</v>
      </c>
      <c r="G362" s="899">
        <f t="shared" si="73"/>
        <v>56237.01</v>
      </c>
      <c r="H362" s="50">
        <v>-26.14</v>
      </c>
      <c r="I362" s="31">
        <f t="shared" si="74"/>
        <v>0.36</v>
      </c>
      <c r="J362" s="50">
        <v>0</v>
      </c>
      <c r="K362" s="31">
        <f t="shared" si="75"/>
        <v>0</v>
      </c>
      <c r="L362" s="50">
        <v>0</v>
      </c>
      <c r="M362" s="31">
        <f t="shared" si="76"/>
        <v>0</v>
      </c>
      <c r="N362" s="50">
        <v>0</v>
      </c>
      <c r="O362" s="31">
        <f t="shared" si="77"/>
        <v>0</v>
      </c>
      <c r="P362" s="51" t="s">
        <v>845</v>
      </c>
      <c r="Q362" s="51"/>
      <c r="R362" s="765"/>
      <c r="S362" s="765"/>
      <c r="T362" s="765"/>
      <c r="U362" s="765"/>
      <c r="V362" s="765"/>
      <c r="W362" s="765"/>
      <c r="X362" s="765"/>
      <c r="Y362" s="765"/>
      <c r="Z362" s="765"/>
      <c r="AA362" s="765"/>
      <c r="AB362" s="765"/>
    </row>
    <row r="363" spans="1:28" x14ac:dyDescent="0.25">
      <c r="A363" s="10">
        <v>43930</v>
      </c>
      <c r="B363" s="594">
        <v>0</v>
      </c>
      <c r="C363" s="31">
        <f t="shared" si="71"/>
        <v>0</v>
      </c>
      <c r="D363" s="50">
        <v>-188831.92</v>
      </c>
      <c r="E363" s="31">
        <f t="shared" si="72"/>
        <v>-79807.13</v>
      </c>
      <c r="F363" s="900">
        <v>0</v>
      </c>
      <c r="G363" s="899">
        <f t="shared" si="73"/>
        <v>56237.01</v>
      </c>
      <c r="H363" s="50">
        <v>0</v>
      </c>
      <c r="I363" s="31">
        <f t="shared" si="74"/>
        <v>0.36</v>
      </c>
      <c r="J363" s="50">
        <v>0</v>
      </c>
      <c r="K363" s="31">
        <f t="shared" si="75"/>
        <v>0</v>
      </c>
      <c r="L363" s="50">
        <v>0</v>
      </c>
      <c r="M363" s="31">
        <f t="shared" si="76"/>
        <v>0</v>
      </c>
      <c r="N363" s="50">
        <v>0</v>
      </c>
      <c r="O363" s="31">
        <f t="shared" si="77"/>
        <v>0</v>
      </c>
      <c r="P363" s="51" t="s">
        <v>845</v>
      </c>
      <c r="Q363" s="51"/>
      <c r="R363" s="765"/>
      <c r="S363" s="765"/>
      <c r="T363" s="765"/>
      <c r="U363" s="765"/>
      <c r="V363" s="765"/>
      <c r="W363" s="765"/>
      <c r="X363" s="765"/>
      <c r="Y363" s="765"/>
      <c r="Z363" s="765"/>
      <c r="AA363" s="765"/>
      <c r="AB363" s="765"/>
    </row>
    <row r="364" spans="1:28" x14ac:dyDescent="0.25">
      <c r="A364" s="10">
        <v>43938</v>
      </c>
      <c r="B364" s="594">
        <v>3750000</v>
      </c>
      <c r="C364" s="31">
        <f t="shared" si="71"/>
        <v>3750000</v>
      </c>
      <c r="D364" s="50">
        <v>0</v>
      </c>
      <c r="E364" s="31">
        <f t="shared" si="72"/>
        <v>-79807.13</v>
      </c>
      <c r="F364" s="900">
        <v>-3755370</v>
      </c>
      <c r="G364" s="899">
        <f t="shared" si="73"/>
        <v>-3699132.99</v>
      </c>
      <c r="H364" s="50">
        <v>0</v>
      </c>
      <c r="I364" s="31">
        <f t="shared" si="74"/>
        <v>0.36</v>
      </c>
      <c r="J364" s="50">
        <v>0</v>
      </c>
      <c r="K364" s="31">
        <f t="shared" si="75"/>
        <v>0</v>
      </c>
      <c r="L364" s="50">
        <v>0</v>
      </c>
      <c r="M364" s="31">
        <f t="shared" si="76"/>
        <v>0</v>
      </c>
      <c r="N364" s="50">
        <v>0</v>
      </c>
      <c r="O364" s="31">
        <f t="shared" si="77"/>
        <v>0</v>
      </c>
      <c r="P364" s="51" t="s">
        <v>1012</v>
      </c>
      <c r="Q364" s="51"/>
      <c r="R364" s="765"/>
      <c r="S364" s="765"/>
      <c r="T364" s="765"/>
      <c r="U364" s="765"/>
      <c r="V364" s="765"/>
      <c r="W364" s="765"/>
      <c r="X364" s="765"/>
      <c r="Y364" s="765"/>
      <c r="Z364" s="765"/>
      <c r="AA364" s="765"/>
      <c r="AB364" s="765"/>
    </row>
    <row r="365" spans="1:28" x14ac:dyDescent="0.25">
      <c r="A365" s="10">
        <v>43938</v>
      </c>
      <c r="B365" s="594">
        <v>-3750000</v>
      </c>
      <c r="C365" s="31">
        <f t="shared" si="71"/>
        <v>0</v>
      </c>
      <c r="D365" s="50">
        <v>0</v>
      </c>
      <c r="E365" s="31">
        <f t="shared" si="72"/>
        <v>-79807.13</v>
      </c>
      <c r="F365" s="900">
        <v>3755370</v>
      </c>
      <c r="G365" s="899">
        <f t="shared" si="73"/>
        <v>56237.01</v>
      </c>
      <c r="H365" s="50">
        <v>0</v>
      </c>
      <c r="I365" s="31">
        <f t="shared" si="74"/>
        <v>0.36</v>
      </c>
      <c r="J365" s="50">
        <v>0</v>
      </c>
      <c r="K365" s="31">
        <f t="shared" si="75"/>
        <v>0</v>
      </c>
      <c r="L365" s="50">
        <v>0</v>
      </c>
      <c r="M365" s="31">
        <f t="shared" si="76"/>
        <v>0</v>
      </c>
      <c r="N365" s="50">
        <v>0</v>
      </c>
      <c r="O365" s="31">
        <f t="shared" si="77"/>
        <v>0</v>
      </c>
      <c r="P365" s="51" t="s">
        <v>1723</v>
      </c>
      <c r="Q365" s="51"/>
      <c r="R365" s="765"/>
      <c r="S365" s="765"/>
      <c r="T365" s="765"/>
      <c r="U365" s="765"/>
      <c r="V365" s="765"/>
      <c r="W365" s="765"/>
      <c r="X365" s="765"/>
      <c r="Y365" s="765"/>
      <c r="Z365" s="765"/>
      <c r="AA365" s="765"/>
      <c r="AB365" s="765"/>
    </row>
    <row r="366" spans="1:28" x14ac:dyDescent="0.25">
      <c r="A366" s="10">
        <v>43941</v>
      </c>
      <c r="B366" s="594">
        <v>0</v>
      </c>
      <c r="C366" s="31">
        <f t="shared" si="71"/>
        <v>0</v>
      </c>
      <c r="D366" s="50">
        <v>0</v>
      </c>
      <c r="E366" s="31">
        <f t="shared" si="72"/>
        <v>-79807.13</v>
      </c>
      <c r="F366" s="900">
        <v>0</v>
      </c>
      <c r="G366" s="899">
        <f t="shared" si="73"/>
        <v>56237.01</v>
      </c>
      <c r="H366" s="50">
        <v>-208.54</v>
      </c>
      <c r="I366" s="31">
        <f t="shared" si="74"/>
        <v>-208.18</v>
      </c>
      <c r="J366" s="50">
        <v>0</v>
      </c>
      <c r="K366" s="31">
        <f t="shared" si="75"/>
        <v>0</v>
      </c>
      <c r="L366" s="50">
        <v>0</v>
      </c>
      <c r="M366" s="31">
        <f t="shared" si="76"/>
        <v>0</v>
      </c>
      <c r="N366" s="50">
        <v>0</v>
      </c>
      <c r="O366" s="31">
        <f t="shared" si="77"/>
        <v>0</v>
      </c>
      <c r="P366" s="51" t="s">
        <v>1857</v>
      </c>
      <c r="Q366" s="51"/>
      <c r="R366" s="765"/>
      <c r="S366" s="765"/>
      <c r="T366" s="765"/>
      <c r="U366" s="765"/>
      <c r="V366" s="765"/>
      <c r="W366" s="765"/>
      <c r="X366" s="765"/>
      <c r="Y366" s="765"/>
      <c r="Z366" s="765"/>
      <c r="AA366" s="765"/>
      <c r="AB366" s="765"/>
    </row>
    <row r="367" spans="1:28" x14ac:dyDescent="0.25">
      <c r="A367" s="10">
        <v>43941</v>
      </c>
      <c r="B367" s="594">
        <v>0</v>
      </c>
      <c r="C367" s="31">
        <f t="shared" si="71"/>
        <v>0</v>
      </c>
      <c r="D367" s="50">
        <v>0</v>
      </c>
      <c r="E367" s="31">
        <f t="shared" si="72"/>
        <v>-79807.13</v>
      </c>
      <c r="F367" s="900">
        <v>0</v>
      </c>
      <c r="G367" s="899">
        <f t="shared" si="73"/>
        <v>56237.01</v>
      </c>
      <c r="H367" s="50">
        <f>-H366</f>
        <v>208.54</v>
      </c>
      <c r="I367" s="31">
        <f t="shared" si="74"/>
        <v>0.36</v>
      </c>
      <c r="J367" s="50">
        <v>0</v>
      </c>
      <c r="K367" s="31">
        <f t="shared" si="75"/>
        <v>0</v>
      </c>
      <c r="L367" s="50">
        <v>0</v>
      </c>
      <c r="M367" s="31">
        <f t="shared" si="76"/>
        <v>0</v>
      </c>
      <c r="N367" s="50">
        <v>0</v>
      </c>
      <c r="O367" s="31">
        <f t="shared" si="77"/>
        <v>0</v>
      </c>
      <c r="P367" s="51" t="s">
        <v>845</v>
      </c>
      <c r="Q367" s="51"/>
      <c r="R367" s="765"/>
      <c r="S367" s="765"/>
      <c r="T367" s="765"/>
      <c r="U367" s="765"/>
      <c r="V367" s="765"/>
      <c r="W367" s="765"/>
      <c r="X367" s="765"/>
      <c r="Y367" s="765"/>
      <c r="Z367" s="765"/>
      <c r="AA367" s="765"/>
      <c r="AB367" s="765"/>
    </row>
    <row r="368" spans="1:28" x14ac:dyDescent="0.25">
      <c r="A368" s="10">
        <v>43942</v>
      </c>
      <c r="B368" s="594">
        <v>0</v>
      </c>
      <c r="C368" s="31">
        <f t="shared" si="71"/>
        <v>0</v>
      </c>
      <c r="D368" s="50">
        <v>0.36</v>
      </c>
      <c r="E368" s="31">
        <f t="shared" si="72"/>
        <v>-79806.77</v>
      </c>
      <c r="F368" s="900">
        <v>0</v>
      </c>
      <c r="G368" s="899">
        <f t="shared" si="73"/>
        <v>56237.01</v>
      </c>
      <c r="H368" s="50">
        <v>-0.36</v>
      </c>
      <c r="I368" s="31">
        <f t="shared" si="74"/>
        <v>0</v>
      </c>
      <c r="J368" s="50">
        <v>0</v>
      </c>
      <c r="K368" s="31">
        <f t="shared" si="75"/>
        <v>0</v>
      </c>
      <c r="L368" s="50">
        <v>0</v>
      </c>
      <c r="M368" s="31">
        <f t="shared" si="76"/>
        <v>0</v>
      </c>
      <c r="N368" s="50">
        <v>0</v>
      </c>
      <c r="O368" s="31">
        <f t="shared" si="77"/>
        <v>0</v>
      </c>
      <c r="P368" s="51" t="s">
        <v>1858</v>
      </c>
      <c r="Q368" s="51"/>
      <c r="R368" s="765"/>
      <c r="S368" s="765"/>
      <c r="T368" s="765"/>
      <c r="U368" s="765"/>
      <c r="V368" s="765"/>
      <c r="W368" s="765"/>
      <c r="X368" s="765"/>
      <c r="Y368" s="765"/>
      <c r="Z368" s="765"/>
      <c r="AA368" s="765"/>
      <c r="AB368" s="765"/>
    </row>
    <row r="369" spans="1:28" x14ac:dyDescent="0.25">
      <c r="A369" s="10">
        <v>43943</v>
      </c>
      <c r="B369" s="594">
        <v>0</v>
      </c>
      <c r="C369" s="31">
        <f t="shared" si="71"/>
        <v>0</v>
      </c>
      <c r="D369" s="50">
        <v>-0.01</v>
      </c>
      <c r="E369" s="31">
        <f t="shared" si="72"/>
        <v>-79806.78</v>
      </c>
      <c r="F369" s="900">
        <v>0</v>
      </c>
      <c r="G369" s="899">
        <f t="shared" si="73"/>
        <v>56237.01</v>
      </c>
      <c r="H369" s="50">
        <v>0</v>
      </c>
      <c r="I369" s="31">
        <f t="shared" si="74"/>
        <v>0</v>
      </c>
      <c r="J369" s="50">
        <v>0</v>
      </c>
      <c r="K369" s="31">
        <f t="shared" si="75"/>
        <v>0</v>
      </c>
      <c r="L369" s="50">
        <v>0</v>
      </c>
      <c r="M369" s="31">
        <f t="shared" si="76"/>
        <v>0</v>
      </c>
      <c r="N369" s="50">
        <v>0</v>
      </c>
      <c r="O369" s="31">
        <f t="shared" si="77"/>
        <v>0</v>
      </c>
      <c r="P369" s="51" t="s">
        <v>859</v>
      </c>
      <c r="Q369" s="51"/>
      <c r="R369" s="765"/>
      <c r="S369" s="765"/>
      <c r="T369" s="765"/>
      <c r="U369" s="765"/>
      <c r="V369" s="765"/>
      <c r="W369" s="765"/>
      <c r="X369" s="765"/>
      <c r="Y369" s="765"/>
      <c r="Z369" s="765"/>
      <c r="AA369" s="765"/>
      <c r="AB369" s="765"/>
    </row>
    <row r="370" spans="1:28" x14ac:dyDescent="0.25">
      <c r="A370" s="10">
        <v>43943</v>
      </c>
      <c r="B370" s="594">
        <v>0</v>
      </c>
      <c r="C370" s="31">
        <f t="shared" si="71"/>
        <v>0</v>
      </c>
      <c r="D370" s="50">
        <f>105137.24-25330.46</f>
        <v>79806.78</v>
      </c>
      <c r="E370" s="31">
        <f t="shared" si="72"/>
        <v>0</v>
      </c>
      <c r="F370" s="900">
        <v>0</v>
      </c>
      <c r="G370" s="899">
        <f t="shared" si="73"/>
        <v>56237.01</v>
      </c>
      <c r="H370" s="50">
        <v>0</v>
      </c>
      <c r="I370" s="31">
        <f t="shared" si="74"/>
        <v>0</v>
      </c>
      <c r="J370" s="50">
        <v>0</v>
      </c>
      <c r="K370" s="31">
        <f t="shared" si="75"/>
        <v>0</v>
      </c>
      <c r="L370" s="50">
        <v>0</v>
      </c>
      <c r="M370" s="31">
        <f t="shared" si="76"/>
        <v>0</v>
      </c>
      <c r="N370" s="50">
        <v>0</v>
      </c>
      <c r="O370" s="31">
        <f t="shared" si="77"/>
        <v>0</v>
      </c>
      <c r="P370" s="51" t="s">
        <v>845</v>
      </c>
      <c r="Q370" s="51"/>
      <c r="R370" s="765"/>
      <c r="S370" s="765"/>
      <c r="T370" s="765"/>
      <c r="U370" s="765"/>
      <c r="V370" s="765"/>
      <c r="W370" s="765"/>
      <c r="X370" s="765"/>
      <c r="Y370" s="765"/>
      <c r="Z370" s="765"/>
      <c r="AA370" s="765"/>
      <c r="AB370" s="765"/>
    </row>
    <row r="371" spans="1:28" x14ac:dyDescent="0.25">
      <c r="A371" s="10">
        <v>43944</v>
      </c>
      <c r="B371" s="594">
        <v>0</v>
      </c>
      <c r="C371" s="31">
        <f t="shared" si="71"/>
        <v>0</v>
      </c>
      <c r="D371" s="50">
        <v>0</v>
      </c>
      <c r="E371" s="31">
        <f t="shared" si="72"/>
        <v>0</v>
      </c>
      <c r="F371" s="900">
        <v>0</v>
      </c>
      <c r="G371" s="899">
        <f t="shared" si="73"/>
        <v>56237.01</v>
      </c>
      <c r="H371" s="50">
        <v>-8000</v>
      </c>
      <c r="I371" s="31">
        <f t="shared" si="74"/>
        <v>-8000</v>
      </c>
      <c r="J371" s="50">
        <v>0</v>
      </c>
      <c r="K371" s="31">
        <f t="shared" si="75"/>
        <v>0</v>
      </c>
      <c r="L371" s="50">
        <v>0</v>
      </c>
      <c r="M371" s="31">
        <f t="shared" si="76"/>
        <v>0</v>
      </c>
      <c r="N371" s="50">
        <v>0</v>
      </c>
      <c r="O371" s="31">
        <f t="shared" si="77"/>
        <v>0</v>
      </c>
      <c r="P371" s="51" t="s">
        <v>1859</v>
      </c>
      <c r="Q371" s="51"/>
      <c r="R371" s="765"/>
      <c r="S371" s="765"/>
      <c r="T371" s="765"/>
      <c r="U371" s="765"/>
      <c r="V371" s="765"/>
      <c r="W371" s="765"/>
      <c r="X371" s="765"/>
      <c r="Y371" s="765"/>
      <c r="Z371" s="765"/>
      <c r="AA371" s="765"/>
      <c r="AB371" s="765"/>
    </row>
    <row r="372" spans="1:28" x14ac:dyDescent="0.25">
      <c r="A372" s="10">
        <v>43944</v>
      </c>
      <c r="B372" s="594">
        <v>0</v>
      </c>
      <c r="C372" s="31">
        <f t="shared" si="71"/>
        <v>0</v>
      </c>
      <c r="D372" s="50">
        <v>-1926.6</v>
      </c>
      <c r="E372" s="31">
        <f t="shared" si="72"/>
        <v>-1926.6</v>
      </c>
      <c r="F372" s="900">
        <v>0</v>
      </c>
      <c r="G372" s="899">
        <f t="shared" si="73"/>
        <v>56237.01</v>
      </c>
      <c r="H372" s="50">
        <v>0</v>
      </c>
      <c r="I372" s="31">
        <f t="shared" si="74"/>
        <v>-8000</v>
      </c>
      <c r="J372" s="50">
        <v>0</v>
      </c>
      <c r="K372" s="31">
        <f t="shared" si="75"/>
        <v>0</v>
      </c>
      <c r="L372" s="50">
        <v>0</v>
      </c>
      <c r="M372" s="31">
        <f t="shared" si="76"/>
        <v>0</v>
      </c>
      <c r="N372" s="50">
        <v>0</v>
      </c>
      <c r="O372" s="31">
        <f t="shared" si="77"/>
        <v>0</v>
      </c>
      <c r="P372" s="51" t="s">
        <v>1693</v>
      </c>
      <c r="Q372" s="51"/>
      <c r="R372" s="765"/>
      <c r="S372" s="765"/>
      <c r="T372" s="765"/>
      <c r="U372" s="765"/>
      <c r="V372" s="765"/>
      <c r="W372" s="765"/>
      <c r="X372" s="765"/>
      <c r="Y372" s="765"/>
      <c r="Z372" s="765"/>
      <c r="AA372" s="765"/>
      <c r="AB372" s="765"/>
    </row>
    <row r="373" spans="1:28" x14ac:dyDescent="0.25">
      <c r="A373" s="10">
        <v>43945</v>
      </c>
      <c r="B373" s="594">
        <v>0</v>
      </c>
      <c r="C373" s="31">
        <f t="shared" si="71"/>
        <v>0</v>
      </c>
      <c r="D373" s="50">
        <v>1926.6</v>
      </c>
      <c r="E373" s="31">
        <f t="shared" si="72"/>
        <v>0</v>
      </c>
      <c r="F373" s="900">
        <v>0</v>
      </c>
      <c r="G373" s="899">
        <f t="shared" si="73"/>
        <v>56237.01</v>
      </c>
      <c r="H373" s="50">
        <v>8000</v>
      </c>
      <c r="I373" s="31">
        <f t="shared" si="74"/>
        <v>0</v>
      </c>
      <c r="J373" s="50">
        <v>0</v>
      </c>
      <c r="K373" s="31">
        <f t="shared" si="75"/>
        <v>0</v>
      </c>
      <c r="L373" s="50">
        <v>0</v>
      </c>
      <c r="M373" s="31">
        <f t="shared" si="76"/>
        <v>0</v>
      </c>
      <c r="N373" s="50">
        <v>0</v>
      </c>
      <c r="O373" s="31">
        <f t="shared" si="77"/>
        <v>0</v>
      </c>
      <c r="P373" s="51" t="s">
        <v>845</v>
      </c>
      <c r="Q373" s="51"/>
      <c r="R373" s="765"/>
      <c r="S373" s="765"/>
      <c r="T373" s="765"/>
      <c r="U373" s="765"/>
      <c r="V373" s="765"/>
      <c r="W373" s="765"/>
      <c r="X373" s="765"/>
      <c r="Y373" s="765"/>
      <c r="Z373" s="765"/>
      <c r="AA373" s="765"/>
      <c r="AB373" s="765"/>
    </row>
    <row r="374" spans="1:28" x14ac:dyDescent="0.25">
      <c r="A374" s="10">
        <v>43948</v>
      </c>
      <c r="B374" s="594">
        <v>5000000</v>
      </c>
      <c r="C374" s="31">
        <f t="shared" si="71"/>
        <v>5000000</v>
      </c>
      <c r="D374" s="50">
        <v>-5017590.42</v>
      </c>
      <c r="E374" s="31">
        <f t="shared" si="72"/>
        <v>-5017590.42</v>
      </c>
      <c r="F374" s="900">
        <v>0</v>
      </c>
      <c r="G374" s="899">
        <f t="shared" si="73"/>
        <v>56237.01</v>
      </c>
      <c r="H374" s="50">
        <v>0</v>
      </c>
      <c r="I374" s="31">
        <f t="shared" si="74"/>
        <v>0</v>
      </c>
      <c r="J374" s="50">
        <v>0</v>
      </c>
      <c r="K374" s="31">
        <f t="shared" si="75"/>
        <v>0</v>
      </c>
      <c r="L374" s="50">
        <v>0</v>
      </c>
      <c r="M374" s="31">
        <f t="shared" si="76"/>
        <v>0</v>
      </c>
      <c r="N374" s="50">
        <v>0</v>
      </c>
      <c r="O374" s="31">
        <f t="shared" si="77"/>
        <v>0</v>
      </c>
      <c r="P374" s="51" t="s">
        <v>1697</v>
      </c>
      <c r="Q374" s="51"/>
      <c r="R374" s="765"/>
      <c r="S374" s="765"/>
      <c r="T374" s="765"/>
      <c r="U374" s="765"/>
      <c r="V374" s="765"/>
      <c r="W374" s="765"/>
      <c r="X374" s="765"/>
      <c r="Y374" s="765"/>
      <c r="Z374" s="765"/>
      <c r="AA374" s="765"/>
      <c r="AB374" s="765"/>
    </row>
    <row r="375" spans="1:28" x14ac:dyDescent="0.25">
      <c r="A375" s="10">
        <v>43948</v>
      </c>
      <c r="B375" s="594">
        <v>5000000</v>
      </c>
      <c r="C375" s="31">
        <f t="shared" si="71"/>
        <v>10000000</v>
      </c>
      <c r="D375" s="50">
        <v>-5017444.58</v>
      </c>
      <c r="E375" s="31">
        <f t="shared" si="72"/>
        <v>-10035035</v>
      </c>
      <c r="F375" s="900">
        <v>0</v>
      </c>
      <c r="G375" s="899">
        <f t="shared" si="73"/>
        <v>56237.01</v>
      </c>
      <c r="H375" s="50">
        <v>0</v>
      </c>
      <c r="I375" s="31">
        <f t="shared" si="74"/>
        <v>0</v>
      </c>
      <c r="J375" s="50">
        <v>0</v>
      </c>
      <c r="K375" s="31">
        <f t="shared" si="75"/>
        <v>0</v>
      </c>
      <c r="L375" s="50">
        <v>0</v>
      </c>
      <c r="M375" s="31">
        <f t="shared" si="76"/>
        <v>0</v>
      </c>
      <c r="N375" s="50">
        <v>0</v>
      </c>
      <c r="O375" s="31">
        <f t="shared" si="77"/>
        <v>0</v>
      </c>
      <c r="P375" s="51" t="s">
        <v>831</v>
      </c>
      <c r="Q375" s="51"/>
      <c r="R375" s="765"/>
      <c r="S375" s="765"/>
      <c r="T375" s="765"/>
      <c r="U375" s="765"/>
      <c r="V375" s="765"/>
      <c r="W375" s="765"/>
      <c r="X375" s="765"/>
      <c r="Y375" s="765"/>
      <c r="Z375" s="765"/>
      <c r="AA375" s="765"/>
      <c r="AB375" s="765"/>
    </row>
    <row r="376" spans="1:28" x14ac:dyDescent="0.25">
      <c r="A376" s="10">
        <v>43948</v>
      </c>
      <c r="B376" s="50">
        <f>-B374</f>
        <v>-5000000</v>
      </c>
      <c r="C376" s="31">
        <f t="shared" si="71"/>
        <v>5000000</v>
      </c>
      <c r="D376" s="50">
        <f>-D374</f>
        <v>5017590.42</v>
      </c>
      <c r="E376" s="31">
        <f t="shared" si="72"/>
        <v>-5017444.58</v>
      </c>
      <c r="F376" s="900">
        <v>0</v>
      </c>
      <c r="G376" s="899">
        <f t="shared" si="73"/>
        <v>56237.01</v>
      </c>
      <c r="H376" s="50">
        <v>0</v>
      </c>
      <c r="I376" s="31">
        <f t="shared" si="74"/>
        <v>0</v>
      </c>
      <c r="J376" s="50">
        <v>0</v>
      </c>
      <c r="K376" s="31">
        <f t="shared" si="75"/>
        <v>0</v>
      </c>
      <c r="L376" s="50">
        <v>0</v>
      </c>
      <c r="M376" s="31">
        <f t="shared" si="76"/>
        <v>0</v>
      </c>
      <c r="N376" s="50">
        <v>0</v>
      </c>
      <c r="O376" s="31">
        <f t="shared" si="77"/>
        <v>0</v>
      </c>
      <c r="P376" s="51" t="s">
        <v>1860</v>
      </c>
      <c r="Q376" s="51"/>
      <c r="R376" s="765"/>
      <c r="S376" s="765"/>
      <c r="T376" s="765"/>
      <c r="U376" s="765"/>
      <c r="V376" s="765"/>
      <c r="W376" s="765"/>
      <c r="X376" s="765"/>
      <c r="Y376" s="765"/>
      <c r="Z376" s="765"/>
      <c r="AA376" s="765"/>
      <c r="AB376" s="765"/>
    </row>
    <row r="377" spans="1:28" x14ac:dyDescent="0.25">
      <c r="A377" s="10">
        <v>43948</v>
      </c>
      <c r="B377" s="50">
        <f>-B375</f>
        <v>-5000000</v>
      </c>
      <c r="C377" s="31">
        <f t="shared" si="71"/>
        <v>0</v>
      </c>
      <c r="D377" s="50">
        <f>-D375</f>
        <v>5017444.58</v>
      </c>
      <c r="E377" s="31">
        <f t="shared" si="72"/>
        <v>0</v>
      </c>
      <c r="F377" s="900">
        <v>0</v>
      </c>
      <c r="G377" s="899">
        <f t="shared" si="73"/>
        <v>56237.01</v>
      </c>
      <c r="H377" s="50">
        <v>0</v>
      </c>
      <c r="I377" s="31">
        <f t="shared" si="74"/>
        <v>0</v>
      </c>
      <c r="J377" s="50">
        <v>0</v>
      </c>
      <c r="K377" s="31">
        <f t="shared" si="75"/>
        <v>0</v>
      </c>
      <c r="L377" s="50">
        <v>0</v>
      </c>
      <c r="M377" s="31">
        <f t="shared" si="76"/>
        <v>0</v>
      </c>
      <c r="N377" s="50">
        <v>0</v>
      </c>
      <c r="O377" s="31">
        <f t="shared" si="77"/>
        <v>0</v>
      </c>
      <c r="P377" s="51" t="s">
        <v>832</v>
      </c>
      <c r="Q377" s="51"/>
      <c r="R377" s="765"/>
      <c r="S377" s="765"/>
      <c r="T377" s="765"/>
      <c r="U377" s="765"/>
      <c r="V377" s="765"/>
      <c r="W377" s="765"/>
      <c r="X377" s="765"/>
      <c r="Y377" s="765"/>
      <c r="Z377" s="765"/>
      <c r="AA377" s="765"/>
      <c r="AB377" s="765"/>
    </row>
    <row r="378" spans="1:28" x14ac:dyDescent="0.25">
      <c r="A378" s="10">
        <v>43951</v>
      </c>
      <c r="B378" s="594">
        <v>0</v>
      </c>
      <c r="C378" s="31">
        <f t="shared" si="71"/>
        <v>0</v>
      </c>
      <c r="D378" s="50">
        <v>-945683.75</v>
      </c>
      <c r="E378" s="31">
        <f t="shared" si="72"/>
        <v>-945683.75</v>
      </c>
      <c r="F378" s="900">
        <v>0</v>
      </c>
      <c r="G378" s="899">
        <f t="shared" si="73"/>
        <v>56237.01</v>
      </c>
      <c r="H378" s="50">
        <v>0</v>
      </c>
      <c r="I378" s="31">
        <f t="shared" si="74"/>
        <v>0</v>
      </c>
      <c r="J378" s="50">
        <v>0</v>
      </c>
      <c r="K378" s="31">
        <f t="shared" si="75"/>
        <v>0</v>
      </c>
      <c r="L378" s="50">
        <v>0</v>
      </c>
      <c r="M378" s="31">
        <f t="shared" si="76"/>
        <v>0</v>
      </c>
      <c r="N378" s="50">
        <v>0</v>
      </c>
      <c r="O378" s="31">
        <f t="shared" si="77"/>
        <v>0</v>
      </c>
      <c r="P378" s="51" t="s">
        <v>845</v>
      </c>
      <c r="Q378" s="51"/>
      <c r="R378" s="765"/>
      <c r="S378" s="765"/>
      <c r="T378" s="765"/>
      <c r="U378" s="765"/>
      <c r="V378" s="765"/>
      <c r="W378" s="765"/>
      <c r="X378" s="765"/>
      <c r="Y378" s="765"/>
      <c r="Z378" s="765"/>
      <c r="AA378" s="765"/>
      <c r="AB378" s="765"/>
    </row>
    <row r="379" spans="1:28" x14ac:dyDescent="0.25">
      <c r="A379" s="10">
        <v>43955</v>
      </c>
      <c r="B379" s="594">
        <v>0</v>
      </c>
      <c r="C379" s="31">
        <f t="shared" si="71"/>
        <v>0</v>
      </c>
      <c r="D379" s="50">
        <v>26.36</v>
      </c>
      <c r="E379" s="31">
        <f t="shared" si="72"/>
        <v>-945657.39</v>
      </c>
      <c r="F379" s="900">
        <v>0</v>
      </c>
      <c r="G379" s="899">
        <f t="shared" si="73"/>
        <v>56237.01</v>
      </c>
      <c r="H379" s="50">
        <v>8.4700000000000006</v>
      </c>
      <c r="I379" s="31">
        <f t="shared" si="74"/>
        <v>8.4700000000000006</v>
      </c>
      <c r="J379" s="50">
        <v>0</v>
      </c>
      <c r="K379" s="31">
        <f t="shared" si="75"/>
        <v>0</v>
      </c>
      <c r="L379" s="50">
        <v>0</v>
      </c>
      <c r="M379" s="31">
        <f t="shared" si="76"/>
        <v>0</v>
      </c>
      <c r="N379" s="50">
        <v>0</v>
      </c>
      <c r="O379" s="31">
        <f t="shared" si="77"/>
        <v>0</v>
      </c>
      <c r="P379" s="51" t="s">
        <v>890</v>
      </c>
      <c r="Q379" s="51"/>
      <c r="R379" s="765"/>
      <c r="S379" s="765"/>
      <c r="T379" s="765"/>
      <c r="U379" s="765"/>
      <c r="V379" s="765"/>
      <c r="W379" s="765"/>
      <c r="X379" s="765"/>
      <c r="Y379" s="765"/>
      <c r="Z379" s="765"/>
      <c r="AA379" s="765"/>
      <c r="AB379" s="765"/>
    </row>
    <row r="380" spans="1:28" x14ac:dyDescent="0.25">
      <c r="A380" s="10">
        <v>43955</v>
      </c>
      <c r="B380" s="594">
        <v>0</v>
      </c>
      <c r="C380" s="31">
        <f t="shared" si="71"/>
        <v>0</v>
      </c>
      <c r="D380" s="50">
        <v>8.4700000000000006</v>
      </c>
      <c r="E380" s="31">
        <f t="shared" si="72"/>
        <v>-945648.92</v>
      </c>
      <c r="F380" s="900">
        <v>0</v>
      </c>
      <c r="G380" s="899">
        <f t="shared" si="73"/>
        <v>56237.01</v>
      </c>
      <c r="H380" s="50">
        <v>-8.4700000000000006</v>
      </c>
      <c r="I380" s="31">
        <f t="shared" si="74"/>
        <v>0</v>
      </c>
      <c r="J380" s="50">
        <v>0</v>
      </c>
      <c r="K380" s="31">
        <f t="shared" si="75"/>
        <v>0</v>
      </c>
      <c r="L380" s="50">
        <v>0</v>
      </c>
      <c r="M380" s="31">
        <f t="shared" si="76"/>
        <v>0</v>
      </c>
      <c r="N380" s="50">
        <v>0</v>
      </c>
      <c r="O380" s="31">
        <f t="shared" si="77"/>
        <v>0</v>
      </c>
      <c r="P380" s="51" t="s">
        <v>1868</v>
      </c>
      <c r="Q380" s="51"/>
      <c r="R380" s="765"/>
      <c r="S380" s="765"/>
      <c r="T380" s="765"/>
      <c r="U380" s="765"/>
      <c r="V380" s="765"/>
      <c r="W380" s="765"/>
      <c r="X380" s="765"/>
      <c r="Y380" s="765"/>
      <c r="Z380" s="765"/>
      <c r="AA380" s="765"/>
      <c r="AB380" s="765"/>
    </row>
    <row r="381" spans="1:28" x14ac:dyDescent="0.25">
      <c r="A381" s="10">
        <v>43955</v>
      </c>
      <c r="B381" s="594">
        <v>0</v>
      </c>
      <c r="C381" s="31">
        <f t="shared" si="71"/>
        <v>0</v>
      </c>
      <c r="D381" s="50">
        <v>-34.83</v>
      </c>
      <c r="E381" s="31">
        <f t="shared" si="72"/>
        <v>-945683.75</v>
      </c>
      <c r="F381" s="900">
        <v>0</v>
      </c>
      <c r="G381" s="899">
        <f t="shared" si="73"/>
        <v>56237.01</v>
      </c>
      <c r="H381" s="50">
        <v>0</v>
      </c>
      <c r="I381" s="31">
        <f t="shared" si="74"/>
        <v>0</v>
      </c>
      <c r="J381" s="50">
        <v>0</v>
      </c>
      <c r="K381" s="31">
        <f t="shared" si="75"/>
        <v>0</v>
      </c>
      <c r="L381" s="50">
        <v>0</v>
      </c>
      <c r="M381" s="31">
        <f t="shared" si="76"/>
        <v>0</v>
      </c>
      <c r="N381" s="50">
        <v>0</v>
      </c>
      <c r="O381" s="31">
        <f t="shared" si="77"/>
        <v>0</v>
      </c>
      <c r="P381" s="51" t="s">
        <v>845</v>
      </c>
      <c r="Q381" s="51"/>
      <c r="R381" s="765"/>
      <c r="S381" s="765"/>
      <c r="T381" s="765"/>
      <c r="U381" s="765"/>
      <c r="V381" s="765"/>
      <c r="W381" s="765"/>
      <c r="X381" s="765"/>
      <c r="Y381" s="765"/>
      <c r="Z381" s="765"/>
      <c r="AA381" s="765"/>
      <c r="AB381" s="765"/>
    </row>
    <row r="382" spans="1:28" x14ac:dyDescent="0.25">
      <c r="A382" s="10">
        <v>43962</v>
      </c>
      <c r="B382" s="594">
        <v>0</v>
      </c>
      <c r="C382" s="31">
        <f t="shared" si="71"/>
        <v>0</v>
      </c>
      <c r="D382" s="50">
        <v>945683.75</v>
      </c>
      <c r="E382" s="31">
        <f t="shared" si="72"/>
        <v>0</v>
      </c>
      <c r="F382" s="900">
        <v>0</v>
      </c>
      <c r="G382" s="899">
        <f t="shared" si="73"/>
        <v>56237.01</v>
      </c>
      <c r="H382" s="50">
        <v>0</v>
      </c>
      <c r="I382" s="31">
        <f t="shared" si="74"/>
        <v>0</v>
      </c>
      <c r="J382" s="50">
        <v>0</v>
      </c>
      <c r="K382" s="31">
        <f t="shared" si="75"/>
        <v>0</v>
      </c>
      <c r="L382" s="50">
        <v>0</v>
      </c>
      <c r="M382" s="31">
        <f t="shared" si="76"/>
        <v>0</v>
      </c>
      <c r="N382" s="50">
        <v>0</v>
      </c>
      <c r="O382" s="31">
        <f t="shared" si="77"/>
        <v>0</v>
      </c>
      <c r="P382" s="51" t="s">
        <v>845</v>
      </c>
      <c r="Q382" s="51"/>
      <c r="R382" s="765"/>
      <c r="S382" s="765"/>
      <c r="T382" s="765"/>
      <c r="U382" s="765"/>
      <c r="V382" s="765"/>
      <c r="W382" s="765"/>
      <c r="X382" s="765"/>
      <c r="Y382" s="765"/>
      <c r="Z382" s="765"/>
      <c r="AA382" s="765"/>
      <c r="AB382" s="765"/>
    </row>
    <row r="383" spans="1:28" x14ac:dyDescent="0.25">
      <c r="A383" s="10">
        <v>43966</v>
      </c>
      <c r="B383" s="594">
        <v>0</v>
      </c>
      <c r="C383" s="31">
        <f>ROUND(B383+C382,2)</f>
        <v>0</v>
      </c>
      <c r="D383" s="594">
        <v>-13525.8</v>
      </c>
      <c r="E383" s="31">
        <f>ROUND(D383+E382,2)</f>
        <v>-13525.8</v>
      </c>
      <c r="F383" s="900">
        <v>0</v>
      </c>
      <c r="G383" s="899">
        <f>ROUND(F383+G382,2)</f>
        <v>56237.01</v>
      </c>
      <c r="H383" s="50">
        <v>13525.8</v>
      </c>
      <c r="I383" s="31">
        <f>ROUND(H383+I382,2)</f>
        <v>13525.8</v>
      </c>
      <c r="J383" s="50">
        <v>0</v>
      </c>
      <c r="K383" s="31">
        <f>ROUND(J383+K382,2)</f>
        <v>0</v>
      </c>
      <c r="L383" s="50">
        <v>0</v>
      </c>
      <c r="M383" s="31">
        <f>ROUND(L383+M382,2)</f>
        <v>0</v>
      </c>
      <c r="N383" s="50">
        <v>0</v>
      </c>
      <c r="O383" s="31">
        <f>ROUND(N383+O382,2)</f>
        <v>0</v>
      </c>
      <c r="P383" s="51" t="s">
        <v>1909</v>
      </c>
      <c r="Q383" s="51"/>
      <c r="R383" s="765"/>
      <c r="S383" s="765"/>
      <c r="T383" s="765"/>
      <c r="U383" s="765"/>
      <c r="V383" s="765"/>
      <c r="W383" s="765"/>
      <c r="X383" s="765"/>
      <c r="Y383" s="765"/>
      <c r="Z383" s="765"/>
      <c r="AA383" s="765"/>
      <c r="AB383" s="765"/>
    </row>
    <row r="384" spans="1:28" x14ac:dyDescent="0.25">
      <c r="A384" s="10">
        <v>43966</v>
      </c>
      <c r="B384" s="594">
        <v>0</v>
      </c>
      <c r="C384" s="31">
        <f t="shared" si="71"/>
        <v>0</v>
      </c>
      <c r="D384" s="594">
        <v>-56819.38</v>
      </c>
      <c r="E384" s="31">
        <f t="shared" si="72"/>
        <v>-70345.179999999993</v>
      </c>
      <c r="F384" s="900">
        <v>0</v>
      </c>
      <c r="G384" s="899">
        <f t="shared" si="73"/>
        <v>56237.01</v>
      </c>
      <c r="H384" s="50">
        <v>0</v>
      </c>
      <c r="I384" s="31">
        <f t="shared" si="74"/>
        <v>13525.8</v>
      </c>
      <c r="J384" s="50">
        <v>0</v>
      </c>
      <c r="K384" s="31">
        <f t="shared" si="75"/>
        <v>0</v>
      </c>
      <c r="L384" s="50">
        <v>56819.38</v>
      </c>
      <c r="M384" s="31">
        <f t="shared" si="76"/>
        <v>56819.38</v>
      </c>
      <c r="N384" s="50">
        <v>0</v>
      </c>
      <c r="O384" s="31">
        <f t="shared" si="77"/>
        <v>0</v>
      </c>
      <c r="P384" s="51" t="s">
        <v>1156</v>
      </c>
      <c r="Q384" s="51"/>
      <c r="R384" s="765"/>
      <c r="S384" s="765"/>
      <c r="T384" s="765"/>
      <c r="U384" s="765"/>
      <c r="V384" s="765"/>
      <c r="W384" s="765"/>
      <c r="X384" s="765"/>
      <c r="Y384" s="765"/>
      <c r="Z384" s="765"/>
      <c r="AA384" s="765"/>
      <c r="AB384" s="765"/>
    </row>
    <row r="385" spans="1:23" x14ac:dyDescent="0.25">
      <c r="A385" s="10">
        <v>43966</v>
      </c>
      <c r="B385" s="594">
        <v>0</v>
      </c>
      <c r="C385" s="31">
        <f t="shared" ref="C385:C407" si="78">ROUND(B385+C384,2)</f>
        <v>0</v>
      </c>
      <c r="D385" s="50">
        <v>0</v>
      </c>
      <c r="E385" s="31">
        <f t="shared" ref="E385:E407" si="79">ROUND(D385+E384,2)</f>
        <v>-70345.179999999993</v>
      </c>
      <c r="F385" s="900">
        <v>0</v>
      </c>
      <c r="G385" s="899">
        <f t="shared" ref="G385:G407" si="80">ROUND(F385+G384,2)</f>
        <v>56237.01</v>
      </c>
      <c r="H385" s="50">
        <v>0</v>
      </c>
      <c r="I385" s="31">
        <f t="shared" ref="I385:I407" si="81">ROUND(H385+I384,2)</f>
        <v>13525.8</v>
      </c>
      <c r="J385" s="50">
        <v>0</v>
      </c>
      <c r="K385" s="31">
        <f t="shared" ref="K385:K407" si="82">ROUND(J385+K384,2)</f>
        <v>0</v>
      </c>
      <c r="L385" s="50">
        <v>-56819.38</v>
      </c>
      <c r="M385" s="31">
        <f t="shared" ref="M385:M407" si="83">ROUND(L385+M384,2)</f>
        <v>0</v>
      </c>
      <c r="N385" s="50">
        <v>0</v>
      </c>
      <c r="O385" s="31">
        <f t="shared" ref="O385:O407" si="84">ROUND(N385+O384,2)</f>
        <v>0</v>
      </c>
      <c r="P385" s="51" t="s">
        <v>1591</v>
      </c>
      <c r="Q385" s="51"/>
      <c r="R385" s="765"/>
      <c r="S385" s="765"/>
      <c r="T385" s="765"/>
      <c r="U385" s="765"/>
      <c r="V385" s="765"/>
      <c r="W385" s="765"/>
    </row>
    <row r="386" spans="1:23" x14ac:dyDescent="0.25">
      <c r="A386" s="10">
        <v>43966</v>
      </c>
      <c r="B386" s="594">
        <v>0</v>
      </c>
      <c r="C386" s="31">
        <f t="shared" si="78"/>
        <v>0</v>
      </c>
      <c r="D386" s="50">
        <f>70345.18-6500</f>
        <v>63845.179999999993</v>
      </c>
      <c r="E386" s="31">
        <f t="shared" si="79"/>
        <v>-6500</v>
      </c>
      <c r="F386" s="900">
        <v>0</v>
      </c>
      <c r="G386" s="899">
        <f t="shared" si="80"/>
        <v>56237.01</v>
      </c>
      <c r="H386" s="50">
        <v>-13525.8</v>
      </c>
      <c r="I386" s="31">
        <f t="shared" si="81"/>
        <v>0</v>
      </c>
      <c r="J386" s="50">
        <v>0</v>
      </c>
      <c r="K386" s="31">
        <f t="shared" si="82"/>
        <v>0</v>
      </c>
      <c r="L386" s="50">
        <v>0</v>
      </c>
      <c r="M386" s="31">
        <f t="shared" si="83"/>
        <v>0</v>
      </c>
      <c r="N386" s="50">
        <v>0</v>
      </c>
      <c r="O386" s="31">
        <f t="shared" si="84"/>
        <v>0</v>
      </c>
      <c r="P386" s="51" t="s">
        <v>845</v>
      </c>
      <c r="Q386" s="51"/>
      <c r="R386" s="765"/>
      <c r="S386" s="765"/>
      <c r="T386" s="765"/>
      <c r="U386" s="765"/>
      <c r="V386" s="765"/>
      <c r="W386" s="765"/>
    </row>
    <row r="387" spans="1:23" x14ac:dyDescent="0.25">
      <c r="A387" s="10">
        <v>43971</v>
      </c>
      <c r="B387" s="594">
        <v>-33638517.890000001</v>
      </c>
      <c r="C387" s="31">
        <f t="shared" si="78"/>
        <v>-33638517.890000001</v>
      </c>
      <c r="D387" s="50">
        <v>33845962.425012894</v>
      </c>
      <c r="E387" s="31">
        <f t="shared" si="79"/>
        <v>33839462.43</v>
      </c>
      <c r="F387" s="900">
        <v>0</v>
      </c>
      <c r="G387" s="899">
        <f t="shared" si="80"/>
        <v>56237.01</v>
      </c>
      <c r="H387" s="50">
        <v>0</v>
      </c>
      <c r="I387" s="31">
        <f t="shared" si="81"/>
        <v>0</v>
      </c>
      <c r="J387" s="50">
        <v>0</v>
      </c>
      <c r="K387" s="31">
        <f t="shared" si="82"/>
        <v>0</v>
      </c>
      <c r="L387" s="50">
        <v>0</v>
      </c>
      <c r="M387" s="31">
        <f t="shared" si="83"/>
        <v>0</v>
      </c>
      <c r="N387" s="50">
        <v>0</v>
      </c>
      <c r="O387" s="31">
        <f t="shared" si="84"/>
        <v>0</v>
      </c>
      <c r="P387" s="51" t="s">
        <v>880</v>
      </c>
      <c r="Q387" s="51"/>
      <c r="R387" s="765"/>
      <c r="S387" s="765"/>
      <c r="T387" s="765"/>
      <c r="U387" s="765"/>
      <c r="V387" s="765"/>
      <c r="W387" s="765"/>
    </row>
    <row r="388" spans="1:23" x14ac:dyDescent="0.25">
      <c r="A388" s="10">
        <v>43971</v>
      </c>
      <c r="B388" s="594">
        <v>32841822.340000011</v>
      </c>
      <c r="C388" s="31">
        <f t="shared" si="78"/>
        <v>-796695.55</v>
      </c>
      <c r="D388" s="50">
        <v>-32841822.34</v>
      </c>
      <c r="E388" s="31">
        <f t="shared" si="79"/>
        <v>997640.09</v>
      </c>
      <c r="F388" s="900">
        <v>0</v>
      </c>
      <c r="G388" s="899">
        <f t="shared" si="80"/>
        <v>56237.01</v>
      </c>
      <c r="H388" s="50">
        <v>0</v>
      </c>
      <c r="I388" s="31">
        <f t="shared" si="81"/>
        <v>0</v>
      </c>
      <c r="J388" s="50">
        <v>0</v>
      </c>
      <c r="K388" s="31">
        <f t="shared" si="82"/>
        <v>0</v>
      </c>
      <c r="L388" s="50">
        <v>0</v>
      </c>
      <c r="M388" s="31">
        <f t="shared" si="83"/>
        <v>0</v>
      </c>
      <c r="N388" s="50">
        <v>0</v>
      </c>
      <c r="O388" s="31">
        <f t="shared" si="84"/>
        <v>0</v>
      </c>
      <c r="P388" s="51" t="s">
        <v>880</v>
      </c>
      <c r="Q388" s="51"/>
      <c r="R388" s="765"/>
      <c r="S388" s="765"/>
      <c r="T388" s="765"/>
      <c r="U388" s="765"/>
      <c r="V388" s="765"/>
      <c r="W388" s="765"/>
    </row>
    <row r="389" spans="1:23" x14ac:dyDescent="0.25">
      <c r="A389" s="10">
        <v>43971</v>
      </c>
      <c r="B389" s="594">
        <v>33638517.890000001</v>
      </c>
      <c r="C389" s="31">
        <f t="shared" si="78"/>
        <v>32841822.34</v>
      </c>
      <c r="D389" s="50">
        <v>-33845962.425012894</v>
      </c>
      <c r="E389" s="31">
        <f t="shared" si="79"/>
        <v>-32848322.34</v>
      </c>
      <c r="F389" s="900">
        <v>0</v>
      </c>
      <c r="G389" s="899">
        <f t="shared" si="80"/>
        <v>56237.01</v>
      </c>
      <c r="H389" s="50">
        <v>0</v>
      </c>
      <c r="I389" s="31">
        <f t="shared" si="81"/>
        <v>0</v>
      </c>
      <c r="J389" s="50">
        <v>0</v>
      </c>
      <c r="K389" s="31">
        <f t="shared" si="82"/>
        <v>0</v>
      </c>
      <c r="L389" s="50">
        <v>0</v>
      </c>
      <c r="M389" s="31">
        <f t="shared" si="83"/>
        <v>0</v>
      </c>
      <c r="N389" s="50">
        <v>0</v>
      </c>
      <c r="O389" s="31">
        <f t="shared" si="84"/>
        <v>0</v>
      </c>
      <c r="P389" s="51" t="s">
        <v>1911</v>
      </c>
      <c r="Q389" s="51"/>
      <c r="R389" s="765"/>
      <c r="S389" s="765"/>
      <c r="T389" s="765"/>
      <c r="U389" s="765"/>
      <c r="V389" s="765"/>
      <c r="W389" s="765"/>
    </row>
    <row r="390" spans="1:23" x14ac:dyDescent="0.25">
      <c r="A390" s="10">
        <v>43971</v>
      </c>
      <c r="B390" s="594">
        <v>-32841822.340000011</v>
      </c>
      <c r="C390" s="31">
        <f t="shared" si="78"/>
        <v>0</v>
      </c>
      <c r="D390" s="594">
        <v>32841822.34</v>
      </c>
      <c r="E390" s="31">
        <f t="shared" si="79"/>
        <v>-6500</v>
      </c>
      <c r="F390" s="900">
        <v>0</v>
      </c>
      <c r="G390" s="899">
        <f t="shared" si="80"/>
        <v>56237.01</v>
      </c>
      <c r="H390" s="50">
        <v>0</v>
      </c>
      <c r="I390" s="31">
        <f t="shared" si="81"/>
        <v>0</v>
      </c>
      <c r="J390" s="50">
        <v>0</v>
      </c>
      <c r="K390" s="31">
        <f t="shared" si="82"/>
        <v>0</v>
      </c>
      <c r="L390" s="50">
        <v>0</v>
      </c>
      <c r="M390" s="31">
        <f t="shared" si="83"/>
        <v>0</v>
      </c>
      <c r="N390" s="50">
        <v>0</v>
      </c>
      <c r="O390" s="31">
        <f t="shared" si="84"/>
        <v>0</v>
      </c>
      <c r="P390" s="51" t="s">
        <v>1912</v>
      </c>
      <c r="Q390" s="51"/>
      <c r="R390" s="765"/>
      <c r="S390" s="765"/>
      <c r="T390" s="765"/>
      <c r="U390" s="765"/>
      <c r="V390" s="765"/>
      <c r="W390" s="765"/>
    </row>
    <row r="391" spans="1:23" x14ac:dyDescent="0.25">
      <c r="A391" s="10">
        <v>43972</v>
      </c>
      <c r="B391" s="594">
        <v>0</v>
      </c>
      <c r="C391" s="31">
        <f t="shared" si="78"/>
        <v>0</v>
      </c>
      <c r="D391" s="50">
        <v>6500</v>
      </c>
      <c r="E391" s="31">
        <f t="shared" si="79"/>
        <v>0</v>
      </c>
      <c r="F391" s="900">
        <v>0</v>
      </c>
      <c r="G391" s="899">
        <f t="shared" si="80"/>
        <v>56237.01</v>
      </c>
      <c r="H391" s="50">
        <v>0</v>
      </c>
      <c r="I391" s="31">
        <f t="shared" si="81"/>
        <v>0</v>
      </c>
      <c r="J391" s="50">
        <v>0</v>
      </c>
      <c r="K391" s="31">
        <f t="shared" si="82"/>
        <v>0</v>
      </c>
      <c r="L391" s="50">
        <v>0</v>
      </c>
      <c r="M391" s="31">
        <f t="shared" si="83"/>
        <v>0</v>
      </c>
      <c r="N391" s="50">
        <v>0</v>
      </c>
      <c r="O391" s="31">
        <f t="shared" si="84"/>
        <v>0</v>
      </c>
      <c r="P391" s="51" t="s">
        <v>845</v>
      </c>
      <c r="Q391" s="51"/>
      <c r="R391" s="765"/>
      <c r="S391" s="765"/>
      <c r="T391" s="765"/>
      <c r="U391" s="765"/>
      <c r="V391" s="765"/>
      <c r="W391" s="765"/>
    </row>
    <row r="392" spans="1:23" x14ac:dyDescent="0.25">
      <c r="A392" s="10">
        <v>43973</v>
      </c>
      <c r="B392" s="594">
        <v>0</v>
      </c>
      <c r="C392" s="31">
        <f t="shared" si="78"/>
        <v>0</v>
      </c>
      <c r="D392" s="50">
        <v>0</v>
      </c>
      <c r="E392" s="31">
        <f t="shared" si="79"/>
        <v>0</v>
      </c>
      <c r="F392" s="900">
        <v>0</v>
      </c>
      <c r="G392" s="899">
        <f t="shared" si="80"/>
        <v>56237.01</v>
      </c>
      <c r="H392" s="50">
        <v>-104.86</v>
      </c>
      <c r="I392" s="31">
        <f t="shared" si="81"/>
        <v>-104.86</v>
      </c>
      <c r="J392" s="50">
        <v>0</v>
      </c>
      <c r="K392" s="31">
        <f t="shared" si="82"/>
        <v>0</v>
      </c>
      <c r="L392" s="50">
        <v>0</v>
      </c>
      <c r="M392" s="31">
        <f t="shared" si="83"/>
        <v>0</v>
      </c>
      <c r="N392" s="50">
        <v>0</v>
      </c>
      <c r="O392" s="31">
        <f t="shared" si="84"/>
        <v>0</v>
      </c>
      <c r="P392" s="51" t="s">
        <v>899</v>
      </c>
      <c r="Q392" s="51"/>
      <c r="R392" s="765"/>
      <c r="S392" s="765"/>
      <c r="T392" s="765"/>
      <c r="U392" s="765"/>
      <c r="V392" s="765"/>
      <c r="W392" s="765"/>
    </row>
    <row r="393" spans="1:23" x14ac:dyDescent="0.25">
      <c r="A393" s="10">
        <v>43973</v>
      </c>
      <c r="B393" s="594">
        <v>0</v>
      </c>
      <c r="C393" s="31">
        <f t="shared" si="78"/>
        <v>0</v>
      </c>
      <c r="D393" s="50">
        <v>0</v>
      </c>
      <c r="E393" s="31">
        <f t="shared" si="79"/>
        <v>0</v>
      </c>
      <c r="F393" s="900">
        <v>0</v>
      </c>
      <c r="G393" s="899">
        <f t="shared" si="80"/>
        <v>56237.01</v>
      </c>
      <c r="H393" s="50">
        <v>104.86</v>
      </c>
      <c r="I393" s="31">
        <f t="shared" si="81"/>
        <v>0</v>
      </c>
      <c r="J393" s="50">
        <v>0</v>
      </c>
      <c r="K393" s="31">
        <f t="shared" si="82"/>
        <v>0</v>
      </c>
      <c r="L393" s="50">
        <v>0</v>
      </c>
      <c r="M393" s="31">
        <f t="shared" si="83"/>
        <v>0</v>
      </c>
      <c r="N393" s="50">
        <v>0</v>
      </c>
      <c r="O393" s="31">
        <f t="shared" si="84"/>
        <v>0</v>
      </c>
      <c r="P393" s="51" t="s">
        <v>845</v>
      </c>
      <c r="Q393" s="51"/>
      <c r="R393" s="765"/>
      <c r="S393" s="765"/>
      <c r="T393" s="765"/>
      <c r="U393" s="765"/>
      <c r="V393" s="765"/>
      <c r="W393" s="765"/>
    </row>
    <row r="394" spans="1:23" x14ac:dyDescent="0.25">
      <c r="A394" s="10">
        <v>43977</v>
      </c>
      <c r="B394" s="594">
        <v>0</v>
      </c>
      <c r="C394" s="31">
        <f t="shared" si="78"/>
        <v>0</v>
      </c>
      <c r="D394" s="50">
        <f>66100000</f>
        <v>66100000</v>
      </c>
      <c r="E394" s="31">
        <f t="shared" si="79"/>
        <v>66100000</v>
      </c>
      <c r="F394" s="900">
        <v>0</v>
      </c>
      <c r="G394" s="899">
        <f t="shared" si="80"/>
        <v>56237.01</v>
      </c>
      <c r="H394" s="50">
        <v>0</v>
      </c>
      <c r="I394" s="31">
        <f t="shared" si="81"/>
        <v>0</v>
      </c>
      <c r="J394" s="50">
        <v>0</v>
      </c>
      <c r="K394" s="31">
        <f t="shared" si="82"/>
        <v>0</v>
      </c>
      <c r="L394" s="50">
        <v>0</v>
      </c>
      <c r="M394" s="31">
        <f t="shared" si="83"/>
        <v>0</v>
      </c>
      <c r="N394" s="50">
        <v>0</v>
      </c>
      <c r="O394" s="31">
        <f t="shared" si="84"/>
        <v>0</v>
      </c>
      <c r="P394" s="51" t="s">
        <v>1944</v>
      </c>
      <c r="Q394" s="51"/>
      <c r="R394" s="765"/>
      <c r="S394" s="765"/>
      <c r="T394" s="765"/>
      <c r="U394" s="765"/>
      <c r="V394" s="765"/>
      <c r="W394" s="765"/>
    </row>
    <row r="395" spans="1:23" x14ac:dyDescent="0.25">
      <c r="A395" s="10">
        <v>43977</v>
      </c>
      <c r="B395" s="594">
        <v>0</v>
      </c>
      <c r="C395" s="31">
        <f t="shared" si="78"/>
        <v>0</v>
      </c>
      <c r="D395" s="50">
        <f>-66040898.82</f>
        <v>-66040898.82</v>
      </c>
      <c r="E395" s="31">
        <f t="shared" si="79"/>
        <v>59101.18</v>
      </c>
      <c r="F395" s="900">
        <v>0</v>
      </c>
      <c r="G395" s="899">
        <f t="shared" si="80"/>
        <v>56237.01</v>
      </c>
      <c r="H395" s="50">
        <v>0</v>
      </c>
      <c r="I395" s="31">
        <f t="shared" si="81"/>
        <v>0</v>
      </c>
      <c r="J395" s="50">
        <v>0</v>
      </c>
      <c r="K395" s="31">
        <f t="shared" si="82"/>
        <v>0</v>
      </c>
      <c r="L395" s="50">
        <v>0</v>
      </c>
      <c r="M395" s="31">
        <f t="shared" si="83"/>
        <v>0</v>
      </c>
      <c r="N395" s="50">
        <v>0</v>
      </c>
      <c r="O395" s="31">
        <f t="shared" si="84"/>
        <v>0</v>
      </c>
      <c r="P395" s="51" t="s">
        <v>1945</v>
      </c>
      <c r="Q395" s="51"/>
      <c r="R395" s="765"/>
      <c r="S395" s="765"/>
      <c r="T395" s="765"/>
      <c r="U395" s="765"/>
      <c r="V395" s="765"/>
      <c r="W395" s="765"/>
    </row>
    <row r="396" spans="1:23" x14ac:dyDescent="0.25">
      <c r="A396" s="10">
        <v>43977</v>
      </c>
      <c r="B396" s="594">
        <v>0</v>
      </c>
      <c r="C396" s="31">
        <f t="shared" si="78"/>
        <v>0</v>
      </c>
      <c r="D396" s="50">
        <v>-59101.18</v>
      </c>
      <c r="E396" s="31">
        <f t="shared" si="79"/>
        <v>0</v>
      </c>
      <c r="F396" s="900">
        <v>0</v>
      </c>
      <c r="G396" s="899">
        <f t="shared" si="80"/>
        <v>56237.01</v>
      </c>
      <c r="H396" s="50">
        <v>0</v>
      </c>
      <c r="I396" s="31">
        <f t="shared" si="81"/>
        <v>0</v>
      </c>
      <c r="J396" s="50">
        <v>0</v>
      </c>
      <c r="K396" s="31">
        <f t="shared" si="82"/>
        <v>0</v>
      </c>
      <c r="L396" s="50">
        <v>0</v>
      </c>
      <c r="M396" s="31">
        <f t="shared" si="83"/>
        <v>0</v>
      </c>
      <c r="N396" s="50">
        <v>0</v>
      </c>
      <c r="O396" s="31">
        <f t="shared" si="84"/>
        <v>0</v>
      </c>
      <c r="P396" s="51" t="s">
        <v>845</v>
      </c>
      <c r="Q396" s="51"/>
      <c r="R396" s="765"/>
      <c r="S396" s="765"/>
      <c r="T396" s="765"/>
      <c r="U396" s="765"/>
      <c r="V396" s="765"/>
      <c r="W396" s="765"/>
    </row>
    <row r="397" spans="1:23" x14ac:dyDescent="0.25">
      <c r="A397" s="10">
        <v>43984</v>
      </c>
      <c r="B397" s="594">
        <v>0</v>
      </c>
      <c r="C397" s="31">
        <f t="shared" si="78"/>
        <v>0</v>
      </c>
      <c r="D397" s="50">
        <v>45.92</v>
      </c>
      <c r="E397" s="31">
        <f t="shared" si="79"/>
        <v>45.92</v>
      </c>
      <c r="F397" s="900">
        <v>0</v>
      </c>
      <c r="G397" s="899">
        <f t="shared" si="80"/>
        <v>56237.01</v>
      </c>
      <c r="H397" s="50">
        <v>4.4800000000000004</v>
      </c>
      <c r="I397" s="31">
        <f t="shared" si="81"/>
        <v>4.4800000000000004</v>
      </c>
      <c r="J397" s="50">
        <v>0</v>
      </c>
      <c r="K397" s="31">
        <f t="shared" si="82"/>
        <v>0</v>
      </c>
      <c r="L397" s="50">
        <v>0</v>
      </c>
      <c r="M397" s="31">
        <f t="shared" si="83"/>
        <v>0</v>
      </c>
      <c r="N397" s="50">
        <v>0</v>
      </c>
      <c r="O397" s="31">
        <f t="shared" si="84"/>
        <v>0</v>
      </c>
      <c r="P397" s="51" t="s">
        <v>890</v>
      </c>
      <c r="Q397" s="51"/>
      <c r="R397" s="765"/>
      <c r="S397" s="765"/>
      <c r="T397" s="765"/>
      <c r="U397" s="765"/>
      <c r="V397" s="765"/>
      <c r="W397" s="765"/>
    </row>
    <row r="398" spans="1:23" x14ac:dyDescent="0.25">
      <c r="A398" s="10">
        <v>43984</v>
      </c>
      <c r="B398" s="594">
        <v>0</v>
      </c>
      <c r="C398" s="31">
        <f t="shared" si="78"/>
        <v>0</v>
      </c>
      <c r="D398" s="50">
        <v>-45.92</v>
      </c>
      <c r="E398" s="31">
        <f t="shared" si="79"/>
        <v>0</v>
      </c>
      <c r="F398" s="900">
        <v>0</v>
      </c>
      <c r="G398" s="899">
        <f t="shared" si="80"/>
        <v>56237.01</v>
      </c>
      <c r="H398" s="50">
        <v>-4.4800000000000004</v>
      </c>
      <c r="I398" s="31">
        <f t="shared" si="81"/>
        <v>0</v>
      </c>
      <c r="J398" s="50">
        <v>0</v>
      </c>
      <c r="K398" s="31">
        <f t="shared" si="82"/>
        <v>0</v>
      </c>
      <c r="L398" s="50">
        <v>0</v>
      </c>
      <c r="M398" s="31">
        <f t="shared" si="83"/>
        <v>0</v>
      </c>
      <c r="N398" s="50">
        <v>0</v>
      </c>
      <c r="O398" s="31">
        <f t="shared" si="84"/>
        <v>0</v>
      </c>
      <c r="P398" s="51" t="s">
        <v>845</v>
      </c>
      <c r="Q398" s="51"/>
      <c r="R398" s="765"/>
      <c r="S398" s="765"/>
      <c r="T398" s="765"/>
      <c r="U398" s="765"/>
      <c r="V398" s="765"/>
      <c r="W398" s="765"/>
    </row>
    <row r="399" spans="1:23" x14ac:dyDescent="0.25">
      <c r="A399" s="10">
        <v>43987</v>
      </c>
      <c r="B399" s="594">
        <v>0</v>
      </c>
      <c r="C399" s="31">
        <f t="shared" si="78"/>
        <v>0</v>
      </c>
      <c r="D399" s="50">
        <v>0</v>
      </c>
      <c r="E399" s="31">
        <f t="shared" si="79"/>
        <v>0</v>
      </c>
      <c r="F399" s="900">
        <v>0</v>
      </c>
      <c r="G399" s="899">
        <f t="shared" si="80"/>
        <v>56237.01</v>
      </c>
      <c r="H399" s="50">
        <v>-500</v>
      </c>
      <c r="I399" s="31">
        <f t="shared" si="81"/>
        <v>-500</v>
      </c>
      <c r="J399" s="50">
        <v>0</v>
      </c>
      <c r="K399" s="31">
        <f t="shared" si="82"/>
        <v>0</v>
      </c>
      <c r="L399" s="50">
        <v>0</v>
      </c>
      <c r="M399" s="31">
        <f t="shared" si="83"/>
        <v>0</v>
      </c>
      <c r="N399" s="50">
        <v>0</v>
      </c>
      <c r="O399" s="31">
        <f t="shared" si="84"/>
        <v>0</v>
      </c>
      <c r="P399" s="51" t="s">
        <v>1958</v>
      </c>
      <c r="Q399" s="51"/>
      <c r="R399" s="765"/>
      <c r="S399" s="765"/>
      <c r="T399" s="765"/>
      <c r="U399" s="765"/>
      <c r="V399" s="765"/>
      <c r="W399" s="765"/>
    </row>
    <row r="400" spans="1:23" x14ac:dyDescent="0.25">
      <c r="A400" s="10">
        <v>43987</v>
      </c>
      <c r="B400" s="594">
        <v>0</v>
      </c>
      <c r="C400" s="31">
        <f t="shared" si="78"/>
        <v>0</v>
      </c>
      <c r="D400" s="50">
        <v>0</v>
      </c>
      <c r="E400" s="31">
        <f t="shared" si="79"/>
        <v>0</v>
      </c>
      <c r="F400" s="900">
        <v>0</v>
      </c>
      <c r="G400" s="899">
        <f t="shared" si="80"/>
        <v>56237.01</v>
      </c>
      <c r="H400" s="50">
        <v>500</v>
      </c>
      <c r="I400" s="31">
        <f t="shared" si="81"/>
        <v>0</v>
      </c>
      <c r="J400" s="50">
        <v>0</v>
      </c>
      <c r="K400" s="31">
        <f t="shared" si="82"/>
        <v>0</v>
      </c>
      <c r="L400" s="50">
        <v>0</v>
      </c>
      <c r="M400" s="31">
        <f t="shared" si="83"/>
        <v>0</v>
      </c>
      <c r="N400" s="50">
        <v>0</v>
      </c>
      <c r="O400" s="31">
        <f t="shared" si="84"/>
        <v>0</v>
      </c>
      <c r="P400" s="51" t="s">
        <v>845</v>
      </c>
      <c r="Q400" s="51"/>
      <c r="R400" s="765"/>
      <c r="S400" s="765"/>
      <c r="T400" s="765"/>
      <c r="U400" s="765"/>
      <c r="V400" s="765"/>
      <c r="W400" s="765"/>
    </row>
    <row r="401" spans="1:23" x14ac:dyDescent="0.25">
      <c r="A401" s="10">
        <v>43993</v>
      </c>
      <c r="B401" s="594">
        <v>0</v>
      </c>
      <c r="C401" s="31">
        <f t="shared" si="78"/>
        <v>0</v>
      </c>
      <c r="D401" s="50">
        <v>0</v>
      </c>
      <c r="E401" s="31">
        <f t="shared" si="79"/>
        <v>0</v>
      </c>
      <c r="F401" s="900">
        <v>0</v>
      </c>
      <c r="G401" s="899">
        <f t="shared" si="80"/>
        <v>56237.01</v>
      </c>
      <c r="H401" s="50">
        <v>-5250</v>
      </c>
      <c r="I401" s="31">
        <f t="shared" si="81"/>
        <v>-5250</v>
      </c>
      <c r="J401" s="50">
        <v>0</v>
      </c>
      <c r="K401" s="31">
        <f t="shared" si="82"/>
        <v>0</v>
      </c>
      <c r="L401" s="50">
        <v>0</v>
      </c>
      <c r="M401" s="31">
        <f t="shared" si="83"/>
        <v>0</v>
      </c>
      <c r="N401" s="50">
        <v>0</v>
      </c>
      <c r="O401" s="31">
        <f t="shared" si="84"/>
        <v>0</v>
      </c>
      <c r="P401" s="51" t="s">
        <v>1961</v>
      </c>
      <c r="Q401" s="51"/>
      <c r="R401" s="765"/>
      <c r="S401" s="765"/>
      <c r="T401" s="765"/>
      <c r="U401" s="765"/>
      <c r="V401" s="765"/>
      <c r="W401" s="765"/>
    </row>
    <row r="402" spans="1:23" x14ac:dyDescent="0.25">
      <c r="A402" s="10">
        <v>43993</v>
      </c>
      <c r="B402" s="594">
        <v>0</v>
      </c>
      <c r="C402" s="31">
        <f t="shared" si="78"/>
        <v>0</v>
      </c>
      <c r="D402" s="50">
        <v>0</v>
      </c>
      <c r="E402" s="31">
        <f t="shared" si="79"/>
        <v>0</v>
      </c>
      <c r="F402" s="900">
        <v>0</v>
      </c>
      <c r="G402" s="899">
        <f t="shared" si="80"/>
        <v>56237.01</v>
      </c>
      <c r="H402" s="50">
        <v>5250</v>
      </c>
      <c r="I402" s="31">
        <f t="shared" si="81"/>
        <v>0</v>
      </c>
      <c r="J402" s="50">
        <v>0</v>
      </c>
      <c r="K402" s="31">
        <f t="shared" si="82"/>
        <v>0</v>
      </c>
      <c r="L402" s="50">
        <v>0</v>
      </c>
      <c r="M402" s="31">
        <f t="shared" si="83"/>
        <v>0</v>
      </c>
      <c r="N402" s="50">
        <v>0</v>
      </c>
      <c r="O402" s="31">
        <f t="shared" si="84"/>
        <v>0</v>
      </c>
      <c r="P402" s="51" t="s">
        <v>845</v>
      </c>
      <c r="Q402" s="51"/>
      <c r="R402" s="765"/>
      <c r="S402" s="765"/>
      <c r="T402" s="765"/>
      <c r="U402" s="765"/>
      <c r="V402" s="765"/>
      <c r="W402" s="765"/>
    </row>
    <row r="403" spans="1:23" x14ac:dyDescent="0.25">
      <c r="A403" s="10">
        <v>43994</v>
      </c>
      <c r="B403" s="594">
        <v>0</v>
      </c>
      <c r="C403" s="31">
        <f t="shared" si="78"/>
        <v>0</v>
      </c>
      <c r="D403" s="50">
        <v>350000</v>
      </c>
      <c r="E403" s="31">
        <f t="shared" si="79"/>
        <v>350000</v>
      </c>
      <c r="F403" s="900">
        <v>0</v>
      </c>
      <c r="G403" s="899">
        <f t="shared" si="80"/>
        <v>56237.01</v>
      </c>
      <c r="H403" s="50">
        <v>0</v>
      </c>
      <c r="I403" s="31">
        <f t="shared" si="81"/>
        <v>0</v>
      </c>
      <c r="J403" s="50">
        <v>0</v>
      </c>
      <c r="K403" s="31">
        <f t="shared" si="82"/>
        <v>0</v>
      </c>
      <c r="L403" s="50">
        <v>0</v>
      </c>
      <c r="M403" s="31">
        <f t="shared" si="83"/>
        <v>0</v>
      </c>
      <c r="N403" s="50">
        <v>0</v>
      </c>
      <c r="O403" s="31">
        <f t="shared" si="84"/>
        <v>0</v>
      </c>
      <c r="P403" s="51" t="s">
        <v>1976</v>
      </c>
      <c r="Q403" s="51"/>
      <c r="R403" s="765"/>
      <c r="S403" s="765"/>
      <c r="T403" s="765"/>
      <c r="U403" s="765"/>
      <c r="V403" s="765"/>
      <c r="W403" s="765"/>
    </row>
    <row r="404" spans="1:23" x14ac:dyDescent="0.25">
      <c r="A404" s="10">
        <v>43994</v>
      </c>
      <c r="B404" s="594">
        <v>0</v>
      </c>
      <c r="C404" s="31">
        <f t="shared" si="78"/>
        <v>0</v>
      </c>
      <c r="D404" s="50">
        <f>-D403</f>
        <v>-350000</v>
      </c>
      <c r="E404" s="31">
        <f t="shared" si="79"/>
        <v>0</v>
      </c>
      <c r="F404" s="900">
        <v>0</v>
      </c>
      <c r="G404" s="899">
        <f t="shared" si="80"/>
        <v>56237.01</v>
      </c>
      <c r="H404" s="50">
        <v>0</v>
      </c>
      <c r="I404" s="31">
        <f t="shared" si="81"/>
        <v>0</v>
      </c>
      <c r="J404" s="50">
        <v>0</v>
      </c>
      <c r="K404" s="31">
        <f t="shared" si="82"/>
        <v>0</v>
      </c>
      <c r="L404" s="50">
        <v>0</v>
      </c>
      <c r="M404" s="31">
        <f t="shared" si="83"/>
        <v>0</v>
      </c>
      <c r="N404" s="50">
        <v>0</v>
      </c>
      <c r="O404" s="31">
        <f t="shared" si="84"/>
        <v>0</v>
      </c>
      <c r="P404" s="51" t="s">
        <v>845</v>
      </c>
      <c r="Q404" s="51"/>
      <c r="R404" s="765"/>
      <c r="S404" s="765"/>
      <c r="T404" s="765"/>
      <c r="U404" s="765"/>
      <c r="V404" s="765"/>
      <c r="W404" s="765"/>
    </row>
    <row r="405" spans="1:23" x14ac:dyDescent="0.25">
      <c r="A405" s="10">
        <v>43998</v>
      </c>
      <c r="B405" s="594">
        <v>0</v>
      </c>
      <c r="C405" s="31">
        <f t="shared" si="78"/>
        <v>0</v>
      </c>
      <c r="D405" s="50">
        <v>-66109639.579999998</v>
      </c>
      <c r="E405" s="31">
        <f t="shared" si="79"/>
        <v>-66109639.579999998</v>
      </c>
      <c r="F405" s="900">
        <v>0</v>
      </c>
      <c r="G405" s="899">
        <f t="shared" si="80"/>
        <v>56237.01</v>
      </c>
      <c r="H405" s="50">
        <v>0</v>
      </c>
      <c r="I405" s="31">
        <f t="shared" si="81"/>
        <v>0</v>
      </c>
      <c r="J405" s="50">
        <v>0</v>
      </c>
      <c r="K405" s="31">
        <f t="shared" si="82"/>
        <v>0</v>
      </c>
      <c r="L405" s="50">
        <v>0</v>
      </c>
      <c r="M405" s="31">
        <f t="shared" si="83"/>
        <v>0</v>
      </c>
      <c r="N405" s="50">
        <v>0</v>
      </c>
      <c r="O405" s="31">
        <f t="shared" si="84"/>
        <v>0</v>
      </c>
      <c r="P405" s="51" t="s">
        <v>1983</v>
      </c>
      <c r="Q405" s="51"/>
      <c r="R405" s="765"/>
      <c r="S405" s="765"/>
      <c r="T405" s="765"/>
      <c r="U405" s="765"/>
      <c r="V405" s="765"/>
      <c r="W405" s="765"/>
    </row>
    <row r="406" spans="1:23" x14ac:dyDescent="0.25">
      <c r="A406" s="10">
        <v>43998</v>
      </c>
      <c r="B406" s="594">
        <v>0</v>
      </c>
      <c r="C406" s="31">
        <f t="shared" si="78"/>
        <v>0</v>
      </c>
      <c r="D406" s="50">
        <v>-33354810.239999998</v>
      </c>
      <c r="E406" s="31">
        <f t="shared" si="79"/>
        <v>-99464449.819999993</v>
      </c>
      <c r="F406" s="900">
        <v>0</v>
      </c>
      <c r="G406" s="899">
        <f t="shared" si="80"/>
        <v>56237.01</v>
      </c>
      <c r="H406" s="50">
        <v>0</v>
      </c>
      <c r="I406" s="31">
        <f t="shared" si="81"/>
        <v>0</v>
      </c>
      <c r="J406" s="50">
        <v>0</v>
      </c>
      <c r="K406" s="31">
        <f t="shared" si="82"/>
        <v>0</v>
      </c>
      <c r="L406" s="50">
        <v>0</v>
      </c>
      <c r="M406" s="31">
        <f t="shared" si="83"/>
        <v>0</v>
      </c>
      <c r="N406" s="50">
        <v>0</v>
      </c>
      <c r="O406" s="31">
        <f t="shared" si="84"/>
        <v>0</v>
      </c>
      <c r="P406" s="51" t="s">
        <v>1984</v>
      </c>
      <c r="Q406" s="51"/>
      <c r="R406" s="765"/>
      <c r="S406" s="765"/>
      <c r="T406" s="765"/>
      <c r="U406" s="765"/>
      <c r="V406" s="765"/>
      <c r="W406" s="765"/>
    </row>
    <row r="407" spans="1:23" x14ac:dyDescent="0.25">
      <c r="A407" s="10">
        <v>43998</v>
      </c>
      <c r="B407" s="594">
        <v>0</v>
      </c>
      <c r="C407" s="31">
        <f t="shared" si="78"/>
        <v>0</v>
      </c>
      <c r="D407" s="50">
        <v>0</v>
      </c>
      <c r="E407" s="31">
        <f t="shared" si="79"/>
        <v>-99464449.819999993</v>
      </c>
      <c r="F407" s="900">
        <v>-22592646.920000002</v>
      </c>
      <c r="G407" s="899">
        <f t="shared" si="80"/>
        <v>-22536409.91</v>
      </c>
      <c r="H407" s="50">
        <v>0</v>
      </c>
      <c r="I407" s="31">
        <f t="shared" si="81"/>
        <v>0</v>
      </c>
      <c r="J407" s="50">
        <v>0</v>
      </c>
      <c r="K407" s="31">
        <f t="shared" si="82"/>
        <v>0</v>
      </c>
      <c r="L407" s="50">
        <v>0</v>
      </c>
      <c r="M407" s="31">
        <f t="shared" si="83"/>
        <v>0</v>
      </c>
      <c r="N407" s="50">
        <v>0</v>
      </c>
      <c r="O407" s="31">
        <f t="shared" si="84"/>
        <v>0</v>
      </c>
      <c r="P407" s="51" t="s">
        <v>1985</v>
      </c>
      <c r="Q407" s="51"/>
      <c r="R407" s="765"/>
      <c r="S407" s="765"/>
      <c r="T407" s="765"/>
      <c r="U407" s="765"/>
      <c r="V407" s="765"/>
      <c r="W407" s="765"/>
    </row>
    <row r="408" spans="1:23" x14ac:dyDescent="0.25">
      <c r="A408" s="10">
        <v>43998</v>
      </c>
      <c r="B408" s="594">
        <v>0</v>
      </c>
      <c r="C408" s="31">
        <f t="shared" ref="C408:C471" si="85">ROUND(B408+C407,2)</f>
        <v>0</v>
      </c>
      <c r="D408" s="50">
        <v>336265.11111111194</v>
      </c>
      <c r="E408" s="31">
        <f t="shared" ref="E408:E471" si="86">ROUND(D408+E407,2)</f>
        <v>-99128184.709999993</v>
      </c>
      <c r="F408" s="900">
        <v>0</v>
      </c>
      <c r="G408" s="899">
        <f t="shared" ref="G408:G471" si="87">ROUND(F408+G407,2)</f>
        <v>-22536409.91</v>
      </c>
      <c r="H408" s="50">
        <v>0</v>
      </c>
      <c r="I408" s="31">
        <f t="shared" ref="I408:I471" si="88">ROUND(H408+I407,2)</f>
        <v>0</v>
      </c>
      <c r="J408" s="50">
        <v>0</v>
      </c>
      <c r="K408" s="31">
        <f t="shared" ref="K408:K471" si="89">ROUND(J408+K407,2)</f>
        <v>0</v>
      </c>
      <c r="L408" s="50">
        <v>0</v>
      </c>
      <c r="M408" s="31">
        <f t="shared" ref="M408:M471" si="90">ROUND(L408+M407,2)</f>
        <v>0</v>
      </c>
      <c r="N408" s="50">
        <v>0</v>
      </c>
      <c r="O408" s="31">
        <f t="shared" ref="O408:O471" si="91">ROUND(N408+O407,2)</f>
        <v>0</v>
      </c>
      <c r="P408" s="51" t="s">
        <v>1986</v>
      </c>
      <c r="Q408" s="51"/>
      <c r="R408" s="765"/>
      <c r="S408" s="765"/>
      <c r="T408" s="765"/>
      <c r="U408" s="765"/>
      <c r="V408" s="765"/>
      <c r="W408" s="765"/>
    </row>
    <row r="409" spans="1:23" x14ac:dyDescent="0.25">
      <c r="A409" s="10">
        <v>43998</v>
      </c>
      <c r="B409" s="594">
        <v>0</v>
      </c>
      <c r="C409" s="31">
        <f t="shared" si="85"/>
        <v>0</v>
      </c>
      <c r="D409" s="50">
        <v>84128.433140665293</v>
      </c>
      <c r="E409" s="31">
        <f t="shared" si="86"/>
        <v>-99044056.280000001</v>
      </c>
      <c r="F409" s="900">
        <v>0</v>
      </c>
      <c r="G409" s="899">
        <f t="shared" si="87"/>
        <v>-22536409.91</v>
      </c>
      <c r="H409" s="50">
        <v>0</v>
      </c>
      <c r="I409" s="31">
        <f t="shared" si="88"/>
        <v>0</v>
      </c>
      <c r="J409" s="50">
        <v>0</v>
      </c>
      <c r="K409" s="31">
        <f t="shared" si="89"/>
        <v>0</v>
      </c>
      <c r="L409" s="50">
        <v>0</v>
      </c>
      <c r="M409" s="31">
        <f t="shared" si="90"/>
        <v>0</v>
      </c>
      <c r="N409" s="50">
        <v>0</v>
      </c>
      <c r="O409" s="31">
        <f t="shared" si="91"/>
        <v>0</v>
      </c>
      <c r="P409" s="51" t="s">
        <v>1987</v>
      </c>
      <c r="Q409" s="51"/>
      <c r="R409" s="765"/>
      <c r="S409" s="765"/>
      <c r="T409" s="765"/>
      <c r="U409" s="765"/>
      <c r="V409" s="765"/>
      <c r="W409" s="765"/>
    </row>
    <row r="410" spans="1:23" x14ac:dyDescent="0.25">
      <c r="A410" s="10">
        <v>43998</v>
      </c>
      <c r="B410" s="594">
        <v>0</v>
      </c>
      <c r="C410" s="31">
        <f t="shared" si="85"/>
        <v>0</v>
      </c>
      <c r="D410" s="50">
        <v>169538.11111111101</v>
      </c>
      <c r="E410" s="31">
        <f t="shared" si="86"/>
        <v>-98874518.170000002</v>
      </c>
      <c r="F410" s="900">
        <v>0</v>
      </c>
      <c r="G410" s="899">
        <f t="shared" si="87"/>
        <v>-22536409.91</v>
      </c>
      <c r="H410" s="50">
        <v>0</v>
      </c>
      <c r="I410" s="31">
        <f t="shared" si="88"/>
        <v>0</v>
      </c>
      <c r="J410" s="50">
        <v>0</v>
      </c>
      <c r="K410" s="31">
        <f t="shared" si="89"/>
        <v>0</v>
      </c>
      <c r="L410" s="50">
        <v>0</v>
      </c>
      <c r="M410" s="31">
        <f t="shared" si="90"/>
        <v>0</v>
      </c>
      <c r="N410" s="50">
        <v>0</v>
      </c>
      <c r="O410" s="31">
        <f t="shared" si="91"/>
        <v>0</v>
      </c>
      <c r="P410" s="51" t="s">
        <v>1988</v>
      </c>
      <c r="Q410" s="51"/>
      <c r="R410" s="765"/>
      <c r="S410" s="765"/>
      <c r="T410" s="765"/>
      <c r="U410" s="765"/>
      <c r="V410" s="765"/>
      <c r="W410" s="765"/>
    </row>
    <row r="411" spans="1:23" x14ac:dyDescent="0.25">
      <c r="A411" s="10">
        <v>43998</v>
      </c>
      <c r="B411" s="594">
        <v>0</v>
      </c>
      <c r="C411" s="31">
        <f t="shared" si="85"/>
        <v>0</v>
      </c>
      <c r="D411" s="50">
        <v>0</v>
      </c>
      <c r="E411" s="31">
        <f t="shared" si="86"/>
        <v>-98874518.170000002</v>
      </c>
      <c r="F411" s="900">
        <v>92632.5</v>
      </c>
      <c r="G411" s="899">
        <f t="shared" si="87"/>
        <v>-22443777.41</v>
      </c>
      <c r="H411" s="50">
        <v>0</v>
      </c>
      <c r="I411" s="31">
        <f t="shared" si="88"/>
        <v>0</v>
      </c>
      <c r="J411" s="50">
        <v>0</v>
      </c>
      <c r="K411" s="31">
        <f t="shared" si="89"/>
        <v>0</v>
      </c>
      <c r="L411" s="50">
        <v>0</v>
      </c>
      <c r="M411" s="31">
        <f t="shared" si="90"/>
        <v>0</v>
      </c>
      <c r="N411" s="50">
        <v>0</v>
      </c>
      <c r="O411" s="31">
        <f t="shared" si="91"/>
        <v>0</v>
      </c>
      <c r="P411" s="51" t="s">
        <v>1989</v>
      </c>
      <c r="Q411" s="51"/>
      <c r="R411" s="765"/>
      <c r="S411" s="765"/>
      <c r="T411" s="765"/>
      <c r="U411" s="765"/>
      <c r="V411" s="765"/>
      <c r="W411" s="765"/>
    </row>
    <row r="412" spans="1:23" x14ac:dyDescent="0.25">
      <c r="A412" s="10">
        <v>43998</v>
      </c>
      <c r="B412" s="594">
        <v>0</v>
      </c>
      <c r="C412" s="31">
        <f t="shared" si="85"/>
        <v>0</v>
      </c>
      <c r="D412" s="50">
        <v>59895.833333333328</v>
      </c>
      <c r="E412" s="31">
        <f t="shared" si="86"/>
        <v>-98814622.340000004</v>
      </c>
      <c r="F412" s="900">
        <v>0</v>
      </c>
      <c r="G412" s="899">
        <f t="shared" si="87"/>
        <v>-22443777.41</v>
      </c>
      <c r="H412" s="50">
        <v>0</v>
      </c>
      <c r="I412" s="31">
        <f t="shared" si="88"/>
        <v>0</v>
      </c>
      <c r="J412" s="50">
        <v>0</v>
      </c>
      <c r="K412" s="31">
        <f t="shared" si="89"/>
        <v>0</v>
      </c>
      <c r="L412" s="50">
        <v>0</v>
      </c>
      <c r="M412" s="31">
        <f t="shared" si="90"/>
        <v>0</v>
      </c>
      <c r="N412" s="50">
        <v>0</v>
      </c>
      <c r="O412" s="31">
        <f t="shared" si="91"/>
        <v>0</v>
      </c>
      <c r="P412" s="51" t="s">
        <v>1990</v>
      </c>
      <c r="Q412" s="51"/>
      <c r="R412" s="765"/>
      <c r="S412" s="765"/>
      <c r="T412" s="765"/>
      <c r="U412" s="765"/>
      <c r="V412" s="765"/>
      <c r="W412" s="765"/>
    </row>
    <row r="413" spans="1:23" x14ac:dyDescent="0.25">
      <c r="A413" s="10">
        <v>43998</v>
      </c>
      <c r="B413" s="594">
        <v>0</v>
      </c>
      <c r="C413" s="31">
        <f t="shared" si="85"/>
        <v>0</v>
      </c>
      <c r="D413" s="50">
        <v>3018.75</v>
      </c>
      <c r="E413" s="31">
        <f t="shared" si="86"/>
        <v>-98811603.590000004</v>
      </c>
      <c r="F413" s="900">
        <v>0</v>
      </c>
      <c r="G413" s="899">
        <f t="shared" si="87"/>
        <v>-22443777.41</v>
      </c>
      <c r="H413" s="50">
        <v>0</v>
      </c>
      <c r="I413" s="31">
        <f t="shared" si="88"/>
        <v>0</v>
      </c>
      <c r="J413" s="50">
        <v>0</v>
      </c>
      <c r="K413" s="31">
        <f t="shared" si="89"/>
        <v>0</v>
      </c>
      <c r="L413" s="50">
        <v>0</v>
      </c>
      <c r="M413" s="31">
        <f t="shared" si="90"/>
        <v>0</v>
      </c>
      <c r="N413" s="50">
        <v>0</v>
      </c>
      <c r="O413" s="31">
        <f t="shared" si="91"/>
        <v>0</v>
      </c>
      <c r="P413" s="51" t="s">
        <v>1990</v>
      </c>
      <c r="Q413" s="51"/>
      <c r="R413" s="765"/>
      <c r="S413" s="765" t="s">
        <v>2000</v>
      </c>
      <c r="T413" s="765" t="s">
        <v>2001</v>
      </c>
      <c r="U413" s="765" t="s">
        <v>374</v>
      </c>
      <c r="V413" s="765"/>
      <c r="W413" s="765"/>
    </row>
    <row r="414" spans="1:23" x14ac:dyDescent="0.25">
      <c r="A414" s="10">
        <v>43998</v>
      </c>
      <c r="B414" s="594">
        <v>0</v>
      </c>
      <c r="C414" s="31">
        <f t="shared" si="85"/>
        <v>0</v>
      </c>
      <c r="D414" s="50">
        <v>521.90147689418347</v>
      </c>
      <c r="E414" s="31">
        <f t="shared" si="86"/>
        <v>-98811081.689999998</v>
      </c>
      <c r="F414" s="900">
        <v>0</v>
      </c>
      <c r="G414" s="899">
        <f t="shared" si="87"/>
        <v>-22443777.41</v>
      </c>
      <c r="H414" s="50">
        <v>0</v>
      </c>
      <c r="I414" s="31">
        <f t="shared" si="88"/>
        <v>0</v>
      </c>
      <c r="J414" s="50">
        <v>0</v>
      </c>
      <c r="K414" s="31">
        <f t="shared" si="89"/>
        <v>0</v>
      </c>
      <c r="L414" s="50">
        <v>0</v>
      </c>
      <c r="M414" s="31">
        <f t="shared" si="90"/>
        <v>0</v>
      </c>
      <c r="N414" s="50">
        <v>0</v>
      </c>
      <c r="O414" s="31">
        <f t="shared" si="91"/>
        <v>0</v>
      </c>
      <c r="P414" s="51" t="s">
        <v>1991</v>
      </c>
      <c r="Q414" s="51"/>
      <c r="R414" s="765" t="s">
        <v>1997</v>
      </c>
      <c r="S414" s="31">
        <f>D405+D419</f>
        <v>142182.42000000179</v>
      </c>
      <c r="T414" s="31">
        <f>S414</f>
        <v>142182.42000000179</v>
      </c>
      <c r="U414" s="31">
        <f>S414-T414</f>
        <v>0</v>
      </c>
      <c r="V414" s="765" t="s">
        <v>1998</v>
      </c>
      <c r="W414" s="765"/>
    </row>
    <row r="415" spans="1:23" x14ac:dyDescent="0.25">
      <c r="A415" s="10">
        <v>43998</v>
      </c>
      <c r="B415" s="594">
        <v>0</v>
      </c>
      <c r="C415" s="31">
        <f t="shared" si="85"/>
        <v>0</v>
      </c>
      <c r="D415" s="50">
        <v>10196.666666666666</v>
      </c>
      <c r="E415" s="31">
        <f t="shared" si="86"/>
        <v>-98800885.019999996</v>
      </c>
      <c r="F415" s="900">
        <v>0</v>
      </c>
      <c r="G415" s="899">
        <f t="shared" si="87"/>
        <v>-22443777.41</v>
      </c>
      <c r="H415" s="50">
        <v>0</v>
      </c>
      <c r="I415" s="31">
        <f t="shared" si="88"/>
        <v>0</v>
      </c>
      <c r="J415" s="50">
        <v>0</v>
      </c>
      <c r="K415" s="31">
        <f t="shared" si="89"/>
        <v>0</v>
      </c>
      <c r="L415" s="50">
        <v>0</v>
      </c>
      <c r="M415" s="31">
        <f t="shared" si="90"/>
        <v>0</v>
      </c>
      <c r="N415" s="50">
        <v>0</v>
      </c>
      <c r="O415" s="31">
        <f t="shared" si="91"/>
        <v>0</v>
      </c>
      <c r="P415" s="51" t="s">
        <v>1992</v>
      </c>
      <c r="Q415" s="51"/>
      <c r="R415" s="765"/>
      <c r="S415" s="31">
        <f>D406+D420+SUM(D408:D410)</f>
        <v>76943.755362889729</v>
      </c>
      <c r="T415" s="31">
        <v>77130.509999999995</v>
      </c>
      <c r="U415" s="31">
        <f>S415-T415</f>
        <v>-186.75463711026532</v>
      </c>
      <c r="V415" s="765" t="s">
        <v>1999</v>
      </c>
      <c r="W415" s="765"/>
    </row>
    <row r="416" spans="1:23" x14ac:dyDescent="0.25">
      <c r="A416" s="10">
        <v>43998</v>
      </c>
      <c r="B416" s="594">
        <v>0</v>
      </c>
      <c r="C416" s="31">
        <f t="shared" si="85"/>
        <v>0</v>
      </c>
      <c r="D416" s="50">
        <v>0</v>
      </c>
      <c r="E416" s="31">
        <f t="shared" si="86"/>
        <v>-98800885.019999996</v>
      </c>
      <c r="F416" s="900">
        <v>14279.166666666668</v>
      </c>
      <c r="G416" s="899">
        <f t="shared" si="87"/>
        <v>-22429498.239999998</v>
      </c>
      <c r="H416" s="50">
        <v>0</v>
      </c>
      <c r="I416" s="31">
        <f t="shared" si="88"/>
        <v>0</v>
      </c>
      <c r="J416" s="50">
        <v>0</v>
      </c>
      <c r="K416" s="31">
        <f t="shared" si="89"/>
        <v>0</v>
      </c>
      <c r="L416" s="50">
        <v>0</v>
      </c>
      <c r="M416" s="31">
        <f t="shared" si="90"/>
        <v>0</v>
      </c>
      <c r="N416" s="50">
        <v>0</v>
      </c>
      <c r="O416" s="31">
        <f t="shared" si="91"/>
        <v>0</v>
      </c>
      <c r="P416" s="51" t="s">
        <v>1993</v>
      </c>
      <c r="Q416" s="51"/>
      <c r="R416" s="765"/>
      <c r="S416" s="765"/>
      <c r="T416" s="765"/>
      <c r="U416" s="765"/>
      <c r="V416" s="765"/>
      <c r="W416" s="765"/>
    </row>
    <row r="417" spans="1:23" x14ac:dyDescent="0.25">
      <c r="A417" s="10">
        <v>43998</v>
      </c>
      <c r="B417" s="594">
        <v>2500000</v>
      </c>
      <c r="C417" s="31">
        <f t="shared" si="85"/>
        <v>2500000</v>
      </c>
      <c r="D417" s="50">
        <v>0</v>
      </c>
      <c r="E417" s="31">
        <f t="shared" si="86"/>
        <v>-98800885.019999996</v>
      </c>
      <c r="F417" s="900">
        <v>-2500000</v>
      </c>
      <c r="G417" s="899">
        <f t="shared" si="87"/>
        <v>-24929498.239999998</v>
      </c>
      <c r="H417" s="50">
        <v>0</v>
      </c>
      <c r="I417" s="31">
        <f t="shared" si="88"/>
        <v>0</v>
      </c>
      <c r="J417" s="50">
        <v>0</v>
      </c>
      <c r="K417" s="31">
        <f t="shared" si="89"/>
        <v>0</v>
      </c>
      <c r="L417" s="50">
        <v>0</v>
      </c>
      <c r="M417" s="31">
        <f t="shared" si="90"/>
        <v>0</v>
      </c>
      <c r="N417" s="50">
        <v>0</v>
      </c>
      <c r="O417" s="31">
        <f t="shared" si="91"/>
        <v>0</v>
      </c>
      <c r="P417" s="51" t="s">
        <v>1012</v>
      </c>
      <c r="Q417" s="51"/>
      <c r="R417" s="765"/>
      <c r="S417" s="765"/>
      <c r="T417" s="765"/>
      <c r="U417" s="765"/>
      <c r="V417" s="765"/>
      <c r="W417" s="765"/>
    </row>
    <row r="418" spans="1:23" x14ac:dyDescent="0.25">
      <c r="A418" s="10">
        <v>43998</v>
      </c>
      <c r="B418" s="594">
        <f>-B417</f>
        <v>-2500000</v>
      </c>
      <c r="C418" s="31">
        <f t="shared" si="85"/>
        <v>0</v>
      </c>
      <c r="D418" s="50">
        <v>0</v>
      </c>
      <c r="E418" s="31">
        <f t="shared" si="86"/>
        <v>-98800885.019999996</v>
      </c>
      <c r="F418" s="900">
        <f>-F417</f>
        <v>2500000</v>
      </c>
      <c r="G418" s="899">
        <f t="shared" si="87"/>
        <v>-22429498.239999998</v>
      </c>
      <c r="H418" s="50">
        <v>0</v>
      </c>
      <c r="I418" s="31">
        <f t="shared" si="88"/>
        <v>0</v>
      </c>
      <c r="J418" s="50">
        <v>0</v>
      </c>
      <c r="K418" s="31">
        <f t="shared" si="89"/>
        <v>0</v>
      </c>
      <c r="L418" s="50">
        <v>0</v>
      </c>
      <c r="M418" s="31">
        <f t="shared" si="90"/>
        <v>0</v>
      </c>
      <c r="N418" s="50">
        <v>0</v>
      </c>
      <c r="O418" s="31">
        <f t="shared" si="91"/>
        <v>0</v>
      </c>
      <c r="P418" s="51" t="s">
        <v>1723</v>
      </c>
      <c r="Q418" s="51"/>
      <c r="R418" s="765"/>
      <c r="S418" s="765"/>
      <c r="T418" s="765"/>
      <c r="U418" s="765"/>
      <c r="V418" s="765"/>
    </row>
    <row r="419" spans="1:23" x14ac:dyDescent="0.25">
      <c r="A419" s="10">
        <v>43998</v>
      </c>
      <c r="B419" s="594">
        <v>0</v>
      </c>
      <c r="C419" s="31">
        <f t="shared" si="85"/>
        <v>0</v>
      </c>
      <c r="D419" s="50">
        <v>66251822</v>
      </c>
      <c r="E419" s="31">
        <f t="shared" si="86"/>
        <v>-32549063.02</v>
      </c>
      <c r="F419" s="900">
        <v>0</v>
      </c>
      <c r="G419" s="899">
        <f t="shared" si="87"/>
        <v>-22429498.239999998</v>
      </c>
      <c r="H419" s="50">
        <v>0</v>
      </c>
      <c r="I419" s="31">
        <f t="shared" si="88"/>
        <v>0</v>
      </c>
      <c r="J419" s="50">
        <v>0</v>
      </c>
      <c r="K419" s="31">
        <f t="shared" si="89"/>
        <v>0</v>
      </c>
      <c r="L419" s="50">
        <v>0</v>
      </c>
      <c r="M419" s="31">
        <f t="shared" si="90"/>
        <v>0</v>
      </c>
      <c r="N419" s="50">
        <v>0</v>
      </c>
      <c r="O419" s="31">
        <f t="shared" si="91"/>
        <v>0</v>
      </c>
      <c r="P419" s="51" t="s">
        <v>1994</v>
      </c>
      <c r="Q419" s="51"/>
      <c r="R419" s="765"/>
      <c r="S419" s="765"/>
      <c r="T419" s="765"/>
      <c r="U419" s="765"/>
      <c r="V419" s="765"/>
    </row>
    <row r="420" spans="1:23" x14ac:dyDescent="0.25">
      <c r="A420" s="10">
        <v>43998</v>
      </c>
      <c r="B420" s="594">
        <v>0</v>
      </c>
      <c r="C420" s="31">
        <f t="shared" si="85"/>
        <v>0</v>
      </c>
      <c r="D420" s="50">
        <v>32841822.34</v>
      </c>
      <c r="E420" s="31">
        <f t="shared" si="86"/>
        <v>292759.32</v>
      </c>
      <c r="F420" s="900">
        <v>0</v>
      </c>
      <c r="G420" s="899">
        <f t="shared" si="87"/>
        <v>-22429498.239999998</v>
      </c>
      <c r="H420" s="50">
        <v>0</v>
      </c>
      <c r="I420" s="31">
        <f t="shared" si="88"/>
        <v>0</v>
      </c>
      <c r="J420" s="50">
        <v>0</v>
      </c>
      <c r="K420" s="31">
        <f t="shared" si="89"/>
        <v>0</v>
      </c>
      <c r="L420" s="50">
        <v>0</v>
      </c>
      <c r="M420" s="31">
        <f t="shared" si="90"/>
        <v>0</v>
      </c>
      <c r="N420" s="50">
        <v>0</v>
      </c>
      <c r="O420" s="31">
        <f t="shared" si="91"/>
        <v>0</v>
      </c>
      <c r="P420" s="51" t="s">
        <v>1995</v>
      </c>
      <c r="Q420" s="51"/>
      <c r="R420" s="765"/>
      <c r="S420" s="765"/>
      <c r="T420" s="765"/>
      <c r="U420" s="765"/>
      <c r="V420" s="765"/>
    </row>
    <row r="421" spans="1:23" x14ac:dyDescent="0.25">
      <c r="A421" s="10">
        <v>43998</v>
      </c>
      <c r="B421" s="594">
        <v>0</v>
      </c>
      <c r="C421" s="31">
        <f t="shared" si="85"/>
        <v>0</v>
      </c>
      <c r="D421" s="50">
        <v>0</v>
      </c>
      <c r="E421" s="31">
        <f t="shared" si="86"/>
        <v>292759.32</v>
      </c>
      <c r="F421" s="900">
        <v>22500000</v>
      </c>
      <c r="G421" s="899">
        <f t="shared" si="87"/>
        <v>70501.759999999995</v>
      </c>
      <c r="H421" s="50">
        <v>0</v>
      </c>
      <c r="I421" s="31">
        <f t="shared" si="88"/>
        <v>0</v>
      </c>
      <c r="J421" s="50">
        <v>0</v>
      </c>
      <c r="K421" s="31">
        <f t="shared" si="89"/>
        <v>0</v>
      </c>
      <c r="L421" s="50">
        <v>0</v>
      </c>
      <c r="M421" s="31">
        <f t="shared" si="90"/>
        <v>0</v>
      </c>
      <c r="N421" s="50">
        <v>0</v>
      </c>
      <c r="O421" s="31">
        <f t="shared" si="91"/>
        <v>0</v>
      </c>
      <c r="P421" s="51" t="s">
        <v>1996</v>
      </c>
      <c r="Q421" s="51"/>
      <c r="R421" s="765"/>
      <c r="S421" s="765"/>
      <c r="T421" s="765"/>
      <c r="U421" s="765"/>
      <c r="V421" s="765"/>
    </row>
    <row r="422" spans="1:23" x14ac:dyDescent="0.25">
      <c r="A422" s="10">
        <v>43998</v>
      </c>
      <c r="B422" s="594">
        <v>0</v>
      </c>
      <c r="C422" s="31">
        <f t="shared" si="85"/>
        <v>0</v>
      </c>
      <c r="D422" s="50">
        <v>186.75</v>
      </c>
      <c r="E422" s="31">
        <f t="shared" si="86"/>
        <v>292946.07</v>
      </c>
      <c r="F422" s="900">
        <v>0</v>
      </c>
      <c r="G422" s="899">
        <f t="shared" si="87"/>
        <v>70501.759999999995</v>
      </c>
      <c r="H422" s="50">
        <v>0</v>
      </c>
      <c r="I422" s="31">
        <f t="shared" si="88"/>
        <v>0</v>
      </c>
      <c r="J422" s="50">
        <v>0</v>
      </c>
      <c r="K422" s="31">
        <f t="shared" si="89"/>
        <v>0</v>
      </c>
      <c r="L422" s="50">
        <v>0</v>
      </c>
      <c r="M422" s="31">
        <f t="shared" si="90"/>
        <v>0</v>
      </c>
      <c r="N422" s="50">
        <v>0</v>
      </c>
      <c r="O422" s="31">
        <f t="shared" si="91"/>
        <v>0</v>
      </c>
      <c r="P422" s="51" t="s">
        <v>2002</v>
      </c>
      <c r="Q422" s="51"/>
      <c r="R422" s="765"/>
      <c r="S422" s="765"/>
      <c r="T422" s="765"/>
      <c r="U422" s="765"/>
      <c r="V422" s="765"/>
    </row>
    <row r="423" spans="1:23" x14ac:dyDescent="0.25">
      <c r="A423" s="10">
        <v>43998</v>
      </c>
      <c r="B423" s="594">
        <v>0</v>
      </c>
      <c r="C423" s="31">
        <f t="shared" si="85"/>
        <v>0</v>
      </c>
      <c r="D423" s="50">
        <v>0</v>
      </c>
      <c r="E423" s="31">
        <f t="shared" si="86"/>
        <v>292946.07</v>
      </c>
      <c r="F423" s="900">
        <v>0</v>
      </c>
      <c r="G423" s="899">
        <f t="shared" si="87"/>
        <v>70501.759999999995</v>
      </c>
      <c r="H423" s="50">
        <v>0</v>
      </c>
      <c r="I423" s="31">
        <f t="shared" si="88"/>
        <v>0</v>
      </c>
      <c r="J423" s="50">
        <v>0</v>
      </c>
      <c r="K423" s="31">
        <f t="shared" si="89"/>
        <v>0</v>
      </c>
      <c r="L423" s="50">
        <v>0</v>
      </c>
      <c r="M423" s="31">
        <f t="shared" si="90"/>
        <v>0</v>
      </c>
      <c r="N423" s="50">
        <v>40000</v>
      </c>
      <c r="O423" s="31">
        <f t="shared" si="91"/>
        <v>40000</v>
      </c>
      <c r="P423" s="51" t="s">
        <v>633</v>
      </c>
      <c r="Q423" s="51"/>
      <c r="R423" s="765"/>
      <c r="S423" s="765"/>
      <c r="T423" s="765"/>
      <c r="U423" s="765"/>
      <c r="V423" s="765"/>
    </row>
    <row r="424" spans="1:23" x14ac:dyDescent="0.25">
      <c r="A424" s="10">
        <v>43998</v>
      </c>
      <c r="B424" s="594">
        <v>0</v>
      </c>
      <c r="C424" s="31">
        <f t="shared" si="85"/>
        <v>0</v>
      </c>
      <c r="D424" s="594">
        <v>40000</v>
      </c>
      <c r="E424" s="31">
        <f t="shared" si="86"/>
        <v>332946.07</v>
      </c>
      <c r="F424" s="900">
        <v>0</v>
      </c>
      <c r="G424" s="899">
        <f t="shared" si="87"/>
        <v>70501.759999999995</v>
      </c>
      <c r="H424" s="50">
        <v>0</v>
      </c>
      <c r="I424" s="31">
        <f t="shared" si="88"/>
        <v>0</v>
      </c>
      <c r="J424" s="50">
        <v>0</v>
      </c>
      <c r="K424" s="31">
        <f t="shared" si="89"/>
        <v>0</v>
      </c>
      <c r="L424" s="50">
        <v>0</v>
      </c>
      <c r="M424" s="31">
        <f t="shared" si="90"/>
        <v>0</v>
      </c>
      <c r="N424" s="50">
        <f>-N423</f>
        <v>-40000</v>
      </c>
      <c r="O424" s="31">
        <f t="shared" si="91"/>
        <v>0</v>
      </c>
      <c r="P424" s="51" t="s">
        <v>2003</v>
      </c>
      <c r="Q424" s="51"/>
      <c r="R424" s="765"/>
      <c r="S424" s="765"/>
      <c r="T424" s="765"/>
      <c r="U424" s="765"/>
      <c r="V424" s="765"/>
    </row>
    <row r="425" spans="1:23" x14ac:dyDescent="0.25">
      <c r="A425" s="10">
        <v>43998</v>
      </c>
      <c r="B425" s="594">
        <v>0</v>
      </c>
      <c r="C425" s="31">
        <f t="shared" si="85"/>
        <v>0</v>
      </c>
      <c r="D425" s="50">
        <v>-98794.84</v>
      </c>
      <c r="E425" s="31">
        <f t="shared" si="86"/>
        <v>234151.23</v>
      </c>
      <c r="F425" s="900">
        <v>0</v>
      </c>
      <c r="G425" s="899">
        <f t="shared" si="87"/>
        <v>70501.759999999995</v>
      </c>
      <c r="H425" s="50">
        <v>0</v>
      </c>
      <c r="I425" s="31">
        <f t="shared" si="88"/>
        <v>0</v>
      </c>
      <c r="J425" s="50">
        <v>0</v>
      </c>
      <c r="K425" s="31">
        <f t="shared" si="89"/>
        <v>0</v>
      </c>
      <c r="L425" s="50">
        <v>0</v>
      </c>
      <c r="M425" s="31">
        <f t="shared" si="90"/>
        <v>0</v>
      </c>
      <c r="N425" s="50">
        <v>98794.84</v>
      </c>
      <c r="O425" s="31">
        <f t="shared" si="91"/>
        <v>98794.84</v>
      </c>
      <c r="P425" s="51" t="s">
        <v>1592</v>
      </c>
      <c r="Q425" s="51"/>
      <c r="R425" s="31">
        <f>N425/2</f>
        <v>49397.42</v>
      </c>
      <c r="S425" s="765"/>
      <c r="T425" s="765"/>
      <c r="U425" s="765"/>
      <c r="V425" s="765"/>
    </row>
    <row r="426" spans="1:23" x14ac:dyDescent="0.25">
      <c r="A426" s="10">
        <v>43998</v>
      </c>
      <c r="B426" s="594">
        <v>0</v>
      </c>
      <c r="C426" s="31">
        <f t="shared" si="85"/>
        <v>0</v>
      </c>
      <c r="D426" s="50">
        <v>0</v>
      </c>
      <c r="E426" s="31">
        <f t="shared" si="86"/>
        <v>234151.23</v>
      </c>
      <c r="F426" s="900">
        <v>0</v>
      </c>
      <c r="G426" s="899">
        <f t="shared" si="87"/>
        <v>70501.759999999995</v>
      </c>
      <c r="H426" s="50">
        <v>0</v>
      </c>
      <c r="I426" s="31">
        <f t="shared" si="88"/>
        <v>0</v>
      </c>
      <c r="J426" s="50">
        <v>0</v>
      </c>
      <c r="K426" s="31">
        <f t="shared" si="89"/>
        <v>0</v>
      </c>
      <c r="L426" s="50">
        <v>0</v>
      </c>
      <c r="M426" s="31">
        <f t="shared" si="90"/>
        <v>0</v>
      </c>
      <c r="N426" s="50">
        <v>-98794.84</v>
      </c>
      <c r="O426" s="31">
        <f t="shared" si="91"/>
        <v>0</v>
      </c>
      <c r="P426" s="51" t="s">
        <v>1590</v>
      </c>
      <c r="Q426" s="51"/>
      <c r="R426" s="765"/>
      <c r="S426" s="765"/>
      <c r="T426" s="765"/>
      <c r="U426" s="765"/>
      <c r="V426" s="765"/>
    </row>
    <row r="427" spans="1:23" x14ac:dyDescent="0.25">
      <c r="A427" s="10">
        <v>43998</v>
      </c>
      <c r="B427" s="594">
        <v>0</v>
      </c>
      <c r="C427" s="31">
        <f t="shared" si="85"/>
        <v>0</v>
      </c>
      <c r="D427" s="50">
        <v>-350000</v>
      </c>
      <c r="E427" s="31">
        <f t="shared" si="86"/>
        <v>-115848.77</v>
      </c>
      <c r="F427" s="900">
        <v>0</v>
      </c>
      <c r="G427" s="899">
        <f t="shared" si="87"/>
        <v>70501.759999999995</v>
      </c>
      <c r="H427" s="50">
        <v>0</v>
      </c>
      <c r="I427" s="31">
        <f t="shared" si="88"/>
        <v>0</v>
      </c>
      <c r="J427" s="50">
        <v>0</v>
      </c>
      <c r="K427" s="31">
        <f t="shared" si="89"/>
        <v>0</v>
      </c>
      <c r="L427" s="50">
        <v>0</v>
      </c>
      <c r="M427" s="31">
        <f t="shared" si="90"/>
        <v>0</v>
      </c>
      <c r="N427" s="50">
        <v>0</v>
      </c>
      <c r="O427" s="31">
        <f t="shared" si="91"/>
        <v>0</v>
      </c>
      <c r="P427" s="51" t="s">
        <v>2004</v>
      </c>
      <c r="Q427" s="51"/>
      <c r="R427" s="765"/>
      <c r="S427" s="765"/>
      <c r="T427" s="765"/>
      <c r="U427" s="765"/>
      <c r="V427" s="765"/>
    </row>
    <row r="428" spans="1:23" x14ac:dyDescent="0.25">
      <c r="A428" s="10">
        <v>43998</v>
      </c>
      <c r="B428" s="594">
        <v>0</v>
      </c>
      <c r="C428" s="31">
        <f t="shared" si="85"/>
        <v>0</v>
      </c>
      <c r="D428" s="50">
        <v>-7213.7599999998602</v>
      </c>
      <c r="E428" s="31">
        <f t="shared" si="86"/>
        <v>-123062.53</v>
      </c>
      <c r="F428" s="900">
        <v>0</v>
      </c>
      <c r="G428" s="899">
        <f t="shared" si="87"/>
        <v>70501.759999999995</v>
      </c>
      <c r="H428" s="50">
        <v>7213.7599999998565</v>
      </c>
      <c r="I428" s="31">
        <f t="shared" si="88"/>
        <v>7213.76</v>
      </c>
      <c r="J428" s="50">
        <v>0</v>
      </c>
      <c r="K428" s="31">
        <f t="shared" si="89"/>
        <v>0</v>
      </c>
      <c r="L428" s="50">
        <v>0</v>
      </c>
      <c r="M428" s="31">
        <f t="shared" si="90"/>
        <v>0</v>
      </c>
      <c r="N428" s="50">
        <v>0</v>
      </c>
      <c r="O428" s="31">
        <f t="shared" si="91"/>
        <v>0</v>
      </c>
      <c r="P428" s="51" t="s">
        <v>1155</v>
      </c>
      <c r="Q428" s="51"/>
      <c r="R428" s="765"/>
      <c r="S428" s="765"/>
      <c r="T428" s="765"/>
      <c r="U428" s="765"/>
      <c r="V428" s="765"/>
    </row>
    <row r="429" spans="1:23" x14ac:dyDescent="0.25">
      <c r="A429" s="10">
        <v>43998</v>
      </c>
      <c r="B429" s="594">
        <v>0</v>
      </c>
      <c r="C429" s="31">
        <f t="shared" si="85"/>
        <v>0</v>
      </c>
      <c r="D429" s="50">
        <v>-30620.69</v>
      </c>
      <c r="E429" s="31">
        <f t="shared" si="86"/>
        <v>-153683.22</v>
      </c>
      <c r="F429" s="900">
        <v>0</v>
      </c>
      <c r="G429" s="899">
        <f t="shared" si="87"/>
        <v>70501.759999999995</v>
      </c>
      <c r="H429" s="50">
        <v>0</v>
      </c>
      <c r="I429" s="31">
        <f t="shared" si="88"/>
        <v>7213.76</v>
      </c>
      <c r="J429" s="50">
        <v>0</v>
      </c>
      <c r="K429" s="31">
        <f t="shared" si="89"/>
        <v>0</v>
      </c>
      <c r="L429" s="50">
        <v>30620.690000000002</v>
      </c>
      <c r="M429" s="31">
        <f t="shared" si="90"/>
        <v>30620.69</v>
      </c>
      <c r="N429" s="50">
        <v>0</v>
      </c>
      <c r="O429" s="31">
        <f t="shared" si="91"/>
        <v>0</v>
      </c>
      <c r="P429" s="51" t="s">
        <v>2005</v>
      </c>
      <c r="Q429" s="51"/>
      <c r="R429" s="765"/>
      <c r="S429" s="765"/>
      <c r="T429" s="765"/>
      <c r="U429" s="765"/>
      <c r="V429" s="765"/>
    </row>
    <row r="430" spans="1:23" x14ac:dyDescent="0.25">
      <c r="A430" s="10">
        <v>43998</v>
      </c>
      <c r="B430" s="594">
        <v>0</v>
      </c>
      <c r="C430" s="31">
        <f t="shared" si="85"/>
        <v>0</v>
      </c>
      <c r="D430" s="50">
        <f>-E429+142182.42</f>
        <v>295865.64</v>
      </c>
      <c r="E430" s="31">
        <f t="shared" si="86"/>
        <v>142182.42000000001</v>
      </c>
      <c r="F430" s="900">
        <v>0</v>
      </c>
      <c r="G430" s="899">
        <f t="shared" si="87"/>
        <v>70501.759999999995</v>
      </c>
      <c r="H430" s="50">
        <f>-I429</f>
        <v>-7213.76</v>
      </c>
      <c r="I430" s="31">
        <f t="shared" si="88"/>
        <v>0</v>
      </c>
      <c r="J430" s="50">
        <v>0</v>
      </c>
      <c r="K430" s="31">
        <f t="shared" si="89"/>
        <v>0</v>
      </c>
      <c r="L430" s="50">
        <f>-M429</f>
        <v>-30620.69</v>
      </c>
      <c r="M430" s="31">
        <f t="shared" si="90"/>
        <v>0</v>
      </c>
      <c r="N430" s="50">
        <v>0</v>
      </c>
      <c r="O430" s="31">
        <f t="shared" si="91"/>
        <v>0</v>
      </c>
      <c r="P430" s="51" t="s">
        <v>845</v>
      </c>
      <c r="Q430" s="51"/>
      <c r="R430" s="765"/>
      <c r="S430" s="765"/>
      <c r="T430" s="765"/>
      <c r="U430" s="765"/>
      <c r="V430" s="765"/>
    </row>
    <row r="431" spans="1:23" x14ac:dyDescent="0.25">
      <c r="A431" s="10">
        <v>43998</v>
      </c>
      <c r="B431" s="594">
        <v>0</v>
      </c>
      <c r="C431" s="31">
        <f t="shared" si="85"/>
        <v>0</v>
      </c>
      <c r="D431" s="50">
        <f>-E430</f>
        <v>-142182.42000000001</v>
      </c>
      <c r="E431" s="31">
        <f t="shared" si="86"/>
        <v>0</v>
      </c>
      <c r="F431" s="900">
        <v>0</v>
      </c>
      <c r="G431" s="899">
        <f t="shared" si="87"/>
        <v>70501.759999999995</v>
      </c>
      <c r="H431" s="50">
        <v>0</v>
      </c>
      <c r="I431" s="31">
        <f t="shared" si="88"/>
        <v>0</v>
      </c>
      <c r="J431" s="50">
        <v>0</v>
      </c>
      <c r="K431" s="31">
        <f t="shared" si="89"/>
        <v>0</v>
      </c>
      <c r="L431" s="50">
        <v>0</v>
      </c>
      <c r="M431" s="31">
        <f t="shared" si="90"/>
        <v>0</v>
      </c>
      <c r="N431" s="50">
        <v>0</v>
      </c>
      <c r="O431" s="31">
        <f t="shared" si="91"/>
        <v>0</v>
      </c>
      <c r="P431" s="51" t="s">
        <v>845</v>
      </c>
      <c r="Q431" s="51"/>
      <c r="R431" s="765"/>
      <c r="S431" s="765"/>
      <c r="T431" s="765"/>
      <c r="U431" s="765"/>
      <c r="V431" s="765"/>
    </row>
    <row r="432" spans="1:23" x14ac:dyDescent="0.25">
      <c r="A432" s="10">
        <v>44000</v>
      </c>
      <c r="B432" s="594">
        <v>0</v>
      </c>
      <c r="C432" s="31">
        <f t="shared" si="85"/>
        <v>0</v>
      </c>
      <c r="D432" s="50">
        <v>0</v>
      </c>
      <c r="E432" s="31">
        <f t="shared" si="86"/>
        <v>0</v>
      </c>
      <c r="F432" s="900">
        <v>0</v>
      </c>
      <c r="G432" s="899">
        <f t="shared" si="87"/>
        <v>70501.759999999995</v>
      </c>
      <c r="H432" s="50">
        <v>0</v>
      </c>
      <c r="I432" s="31">
        <f t="shared" si="88"/>
        <v>0</v>
      </c>
      <c r="J432" s="50">
        <v>0</v>
      </c>
      <c r="K432" s="31">
        <f t="shared" si="89"/>
        <v>0</v>
      </c>
      <c r="L432" s="50">
        <v>-30620.69</v>
      </c>
      <c r="M432" s="31">
        <f t="shared" si="90"/>
        <v>-30620.69</v>
      </c>
      <c r="N432" s="50">
        <v>0</v>
      </c>
      <c r="O432" s="31">
        <f t="shared" si="91"/>
        <v>0</v>
      </c>
      <c r="P432" s="51" t="s">
        <v>1591</v>
      </c>
      <c r="Q432" s="51"/>
      <c r="R432" s="765"/>
      <c r="S432" s="765"/>
      <c r="T432" s="765"/>
      <c r="U432" s="765"/>
      <c r="V432" s="765"/>
    </row>
    <row r="433" spans="1:22" x14ac:dyDescent="0.25">
      <c r="A433" s="10">
        <v>44000</v>
      </c>
      <c r="B433" s="594">
        <v>0</v>
      </c>
      <c r="C433" s="31">
        <f t="shared" si="85"/>
        <v>0</v>
      </c>
      <c r="D433" s="50">
        <v>0</v>
      </c>
      <c r="E433" s="31">
        <f t="shared" si="86"/>
        <v>0</v>
      </c>
      <c r="F433" s="900">
        <v>0</v>
      </c>
      <c r="G433" s="899">
        <f t="shared" si="87"/>
        <v>70501.759999999995</v>
      </c>
      <c r="H433" s="50">
        <v>0</v>
      </c>
      <c r="I433" s="31">
        <f t="shared" si="88"/>
        <v>0</v>
      </c>
      <c r="J433" s="50">
        <v>0</v>
      </c>
      <c r="K433" s="31">
        <f t="shared" si="89"/>
        <v>0</v>
      </c>
      <c r="L433" s="50">
        <v>30620.69</v>
      </c>
      <c r="M433" s="31">
        <f t="shared" si="90"/>
        <v>0</v>
      </c>
      <c r="N433" s="50">
        <v>0</v>
      </c>
      <c r="O433" s="31">
        <f t="shared" si="91"/>
        <v>0</v>
      </c>
      <c r="P433" s="51" t="s">
        <v>845</v>
      </c>
      <c r="Q433" s="51"/>
      <c r="R433" s="765"/>
      <c r="S433" s="765"/>
      <c r="T433" s="765"/>
      <c r="U433" s="765"/>
      <c r="V433" s="765"/>
    </row>
    <row r="434" spans="1:22" x14ac:dyDescent="0.25">
      <c r="A434" s="10">
        <v>44008</v>
      </c>
      <c r="B434" s="594">
        <v>0</v>
      </c>
      <c r="C434" s="31">
        <f t="shared" si="85"/>
        <v>0</v>
      </c>
      <c r="D434" s="50">
        <v>152000</v>
      </c>
      <c r="E434" s="31">
        <f t="shared" si="86"/>
        <v>152000</v>
      </c>
      <c r="F434" s="900">
        <v>0</v>
      </c>
      <c r="G434" s="899">
        <f t="shared" si="87"/>
        <v>70501.759999999995</v>
      </c>
      <c r="H434" s="50">
        <v>0</v>
      </c>
      <c r="I434" s="31">
        <f t="shared" si="88"/>
        <v>0</v>
      </c>
      <c r="J434" s="50">
        <v>0</v>
      </c>
      <c r="K434" s="31">
        <f t="shared" si="89"/>
        <v>0</v>
      </c>
      <c r="L434" s="50">
        <v>0</v>
      </c>
      <c r="M434" s="31">
        <f t="shared" si="90"/>
        <v>0</v>
      </c>
      <c r="N434" s="50">
        <v>0</v>
      </c>
      <c r="O434" s="31">
        <f t="shared" si="91"/>
        <v>0</v>
      </c>
      <c r="P434" s="51" t="s">
        <v>1976</v>
      </c>
      <c r="Q434" s="51"/>
      <c r="R434" s="765"/>
      <c r="S434" s="765"/>
      <c r="T434" s="765"/>
      <c r="U434" s="765"/>
      <c r="V434" s="765"/>
    </row>
    <row r="435" spans="1:22" x14ac:dyDescent="0.25">
      <c r="A435" s="10">
        <v>44008</v>
      </c>
      <c r="B435" s="594">
        <v>0</v>
      </c>
      <c r="C435" s="31">
        <f t="shared" si="85"/>
        <v>0</v>
      </c>
      <c r="D435" s="50">
        <v>-152000</v>
      </c>
      <c r="E435" s="31">
        <f t="shared" si="86"/>
        <v>0</v>
      </c>
      <c r="F435" s="900">
        <v>0</v>
      </c>
      <c r="G435" s="899">
        <f t="shared" si="87"/>
        <v>70501.759999999995</v>
      </c>
      <c r="H435" s="50">
        <v>0</v>
      </c>
      <c r="I435" s="31">
        <f t="shared" si="88"/>
        <v>0</v>
      </c>
      <c r="J435" s="50">
        <v>0</v>
      </c>
      <c r="K435" s="31">
        <f t="shared" si="89"/>
        <v>0</v>
      </c>
      <c r="L435" s="50">
        <v>0</v>
      </c>
      <c r="M435" s="31">
        <f t="shared" si="90"/>
        <v>0</v>
      </c>
      <c r="N435" s="50">
        <v>0</v>
      </c>
      <c r="O435" s="31">
        <f t="shared" si="91"/>
        <v>0</v>
      </c>
      <c r="P435" s="51" t="s">
        <v>845</v>
      </c>
      <c r="Q435" s="51"/>
      <c r="R435" s="765"/>
      <c r="S435" s="765"/>
      <c r="T435" s="765"/>
      <c r="U435" s="765"/>
      <c r="V435" s="765"/>
    </row>
    <row r="436" spans="1:22" x14ac:dyDescent="0.25">
      <c r="A436" s="10">
        <v>44014</v>
      </c>
      <c r="B436" s="594">
        <v>0</v>
      </c>
      <c r="C436" s="31">
        <f t="shared" si="85"/>
        <v>0</v>
      </c>
      <c r="D436" s="50">
        <v>21.65</v>
      </c>
      <c r="E436" s="31">
        <f t="shared" si="86"/>
        <v>21.65</v>
      </c>
      <c r="F436" s="900">
        <v>0</v>
      </c>
      <c r="G436" s="899">
        <f t="shared" si="87"/>
        <v>70501.759999999995</v>
      </c>
      <c r="H436" s="50">
        <v>4.3099999999999996</v>
      </c>
      <c r="I436" s="31">
        <f t="shared" si="88"/>
        <v>4.3099999999999996</v>
      </c>
      <c r="J436" s="50">
        <v>0</v>
      </c>
      <c r="K436" s="31">
        <f t="shared" si="89"/>
        <v>0</v>
      </c>
      <c r="L436" s="50">
        <v>0.18</v>
      </c>
      <c r="M436" s="31">
        <f t="shared" si="90"/>
        <v>0.18</v>
      </c>
      <c r="N436" s="50">
        <v>0</v>
      </c>
      <c r="O436" s="31">
        <f t="shared" si="91"/>
        <v>0</v>
      </c>
      <c r="P436" s="51" t="s">
        <v>890</v>
      </c>
      <c r="Q436" s="51"/>
      <c r="R436" s="765"/>
      <c r="S436" s="765"/>
      <c r="T436" s="765"/>
      <c r="U436" s="765"/>
      <c r="V436" s="765"/>
    </row>
    <row r="437" spans="1:22" x14ac:dyDescent="0.25">
      <c r="A437" s="10">
        <v>44014</v>
      </c>
      <c r="B437" s="594">
        <v>0</v>
      </c>
      <c r="C437" s="31">
        <f t="shared" si="85"/>
        <v>0</v>
      </c>
      <c r="D437" s="50">
        <v>-21.65</v>
      </c>
      <c r="E437" s="31">
        <f t="shared" si="86"/>
        <v>0</v>
      </c>
      <c r="F437" s="900">
        <v>0</v>
      </c>
      <c r="G437" s="899">
        <f t="shared" si="87"/>
        <v>70501.759999999995</v>
      </c>
      <c r="H437" s="50">
        <v>-4.3099999999999996</v>
      </c>
      <c r="I437" s="31">
        <f t="shared" si="88"/>
        <v>0</v>
      </c>
      <c r="J437" s="50">
        <v>0</v>
      </c>
      <c r="K437" s="31">
        <f t="shared" si="89"/>
        <v>0</v>
      </c>
      <c r="L437" s="50">
        <v>-0.18</v>
      </c>
      <c r="M437" s="31">
        <f t="shared" si="90"/>
        <v>0</v>
      </c>
      <c r="N437" s="50">
        <v>0</v>
      </c>
      <c r="O437" s="31">
        <f t="shared" si="91"/>
        <v>0</v>
      </c>
      <c r="P437" s="51" t="s">
        <v>845</v>
      </c>
      <c r="Q437" s="51"/>
      <c r="R437" s="765"/>
      <c r="S437" s="765"/>
      <c r="T437" s="765"/>
      <c r="U437" s="765"/>
      <c r="V437" s="765"/>
    </row>
    <row r="438" spans="1:22" x14ac:dyDescent="0.25">
      <c r="A438" s="10">
        <v>44022</v>
      </c>
      <c r="B438" s="594">
        <v>0</v>
      </c>
      <c r="C438" s="31">
        <f t="shared" si="85"/>
        <v>0</v>
      </c>
      <c r="D438" s="50">
        <v>357000</v>
      </c>
      <c r="E438" s="31">
        <f t="shared" si="86"/>
        <v>357000</v>
      </c>
      <c r="F438" s="900">
        <v>0</v>
      </c>
      <c r="G438" s="899">
        <f t="shared" si="87"/>
        <v>70501.759999999995</v>
      </c>
      <c r="H438" s="50">
        <v>0</v>
      </c>
      <c r="I438" s="31">
        <f t="shared" si="88"/>
        <v>0</v>
      </c>
      <c r="J438" s="50">
        <v>0</v>
      </c>
      <c r="K438" s="31">
        <f t="shared" si="89"/>
        <v>0</v>
      </c>
      <c r="L438" s="50">
        <v>0</v>
      </c>
      <c r="M438" s="31">
        <f t="shared" si="90"/>
        <v>0</v>
      </c>
      <c r="N438" s="50">
        <v>0</v>
      </c>
      <c r="O438" s="31">
        <f t="shared" si="91"/>
        <v>0</v>
      </c>
      <c r="P438" s="51" t="s">
        <v>2032</v>
      </c>
      <c r="Q438" s="51"/>
      <c r="R438" s="765"/>
      <c r="S438" s="765"/>
      <c r="T438" s="765"/>
      <c r="U438" s="765"/>
      <c r="V438" s="765"/>
    </row>
    <row r="439" spans="1:22" x14ac:dyDescent="0.25">
      <c r="A439" s="10">
        <v>44022</v>
      </c>
      <c r="B439" s="594">
        <v>0</v>
      </c>
      <c r="C439" s="31">
        <f t="shared" si="85"/>
        <v>0</v>
      </c>
      <c r="D439" s="50">
        <v>-357000</v>
      </c>
      <c r="E439" s="31">
        <f t="shared" si="86"/>
        <v>0</v>
      </c>
      <c r="F439" s="900">
        <v>0</v>
      </c>
      <c r="G439" s="899">
        <f t="shared" si="87"/>
        <v>70501.759999999995</v>
      </c>
      <c r="H439" s="50">
        <v>0</v>
      </c>
      <c r="I439" s="31">
        <f t="shared" si="88"/>
        <v>0</v>
      </c>
      <c r="J439" s="50">
        <v>0</v>
      </c>
      <c r="K439" s="31">
        <f t="shared" si="89"/>
        <v>0</v>
      </c>
      <c r="L439" s="50">
        <v>0</v>
      </c>
      <c r="M439" s="31">
        <f t="shared" si="90"/>
        <v>0</v>
      </c>
      <c r="N439" s="50">
        <v>0</v>
      </c>
      <c r="O439" s="31">
        <f t="shared" si="91"/>
        <v>0</v>
      </c>
      <c r="P439" s="51" t="s">
        <v>845</v>
      </c>
      <c r="Q439" s="51"/>
      <c r="R439" s="765"/>
      <c r="S439" s="765"/>
      <c r="T439" s="765"/>
      <c r="U439" s="765"/>
      <c r="V439" s="765"/>
    </row>
    <row r="440" spans="1:22" x14ac:dyDescent="0.25">
      <c r="A440" s="10">
        <v>44028</v>
      </c>
      <c r="B440" s="594">
        <v>0</v>
      </c>
      <c r="C440" s="31">
        <f t="shared" si="85"/>
        <v>0</v>
      </c>
      <c r="D440" s="50">
        <f>-509000</f>
        <v>-509000</v>
      </c>
      <c r="E440" s="31">
        <f t="shared" si="86"/>
        <v>-509000</v>
      </c>
      <c r="F440" s="900">
        <v>0</v>
      </c>
      <c r="G440" s="899">
        <f t="shared" si="87"/>
        <v>70501.759999999995</v>
      </c>
      <c r="H440" s="50">
        <v>0</v>
      </c>
      <c r="I440" s="31">
        <f t="shared" si="88"/>
        <v>0</v>
      </c>
      <c r="J440" s="50">
        <v>0</v>
      </c>
      <c r="K440" s="31">
        <f t="shared" si="89"/>
        <v>0</v>
      </c>
      <c r="L440" s="50">
        <v>0</v>
      </c>
      <c r="M440" s="31">
        <f t="shared" si="90"/>
        <v>0</v>
      </c>
      <c r="N440" s="50">
        <v>0</v>
      </c>
      <c r="O440" s="31">
        <f t="shared" si="91"/>
        <v>0</v>
      </c>
      <c r="P440" s="51" t="s">
        <v>2004</v>
      </c>
      <c r="Q440" s="51"/>
      <c r="R440" s="765"/>
      <c r="S440" s="765"/>
      <c r="T440" s="765"/>
      <c r="U440" s="765"/>
      <c r="V440" s="765"/>
    </row>
    <row r="441" spans="1:22" x14ac:dyDescent="0.25">
      <c r="A441" s="10">
        <v>44028</v>
      </c>
      <c r="B441" s="594">
        <v>0</v>
      </c>
      <c r="C441" s="31">
        <f t="shared" si="85"/>
        <v>0</v>
      </c>
      <c r="D441" s="50">
        <v>-66268937.049999997</v>
      </c>
      <c r="E441" s="31">
        <f t="shared" si="86"/>
        <v>-66777937.049999997</v>
      </c>
      <c r="F441" s="900">
        <v>0</v>
      </c>
      <c r="G441" s="899">
        <f t="shared" si="87"/>
        <v>70501.759999999995</v>
      </c>
      <c r="H441" s="50">
        <v>0</v>
      </c>
      <c r="I441" s="31">
        <f t="shared" si="88"/>
        <v>0</v>
      </c>
      <c r="J441" s="50">
        <v>0</v>
      </c>
      <c r="K441" s="31">
        <f t="shared" si="89"/>
        <v>0</v>
      </c>
      <c r="L441" s="50">
        <v>0</v>
      </c>
      <c r="M441" s="31">
        <f t="shared" si="90"/>
        <v>0</v>
      </c>
      <c r="N441" s="50">
        <v>0</v>
      </c>
      <c r="O441" s="31">
        <f t="shared" si="91"/>
        <v>0</v>
      </c>
      <c r="P441" s="51" t="s">
        <v>2045</v>
      </c>
      <c r="Q441" s="51"/>
      <c r="R441" s="765"/>
      <c r="S441" s="765"/>
      <c r="T441" s="765"/>
      <c r="U441" s="765"/>
      <c r="V441" s="765"/>
    </row>
    <row r="442" spans="1:22" x14ac:dyDescent="0.25">
      <c r="A442" s="10">
        <v>44028</v>
      </c>
      <c r="B442" s="594">
        <v>0</v>
      </c>
      <c r="C442" s="31">
        <f t="shared" si="85"/>
        <v>0</v>
      </c>
      <c r="D442" s="50">
        <v>66706640</v>
      </c>
      <c r="E442" s="31">
        <f t="shared" si="86"/>
        <v>-71297.05</v>
      </c>
      <c r="F442" s="900">
        <v>0</v>
      </c>
      <c r="G442" s="899">
        <f t="shared" si="87"/>
        <v>70501.759999999995</v>
      </c>
      <c r="H442" s="50">
        <v>0</v>
      </c>
      <c r="I442" s="31">
        <f t="shared" si="88"/>
        <v>0</v>
      </c>
      <c r="J442" s="50">
        <v>0</v>
      </c>
      <c r="K442" s="31">
        <f t="shared" si="89"/>
        <v>0</v>
      </c>
      <c r="L442" s="50">
        <v>0</v>
      </c>
      <c r="M442" s="31">
        <f t="shared" si="90"/>
        <v>0</v>
      </c>
      <c r="N442" s="50">
        <v>0</v>
      </c>
      <c r="O442" s="31">
        <f t="shared" si="91"/>
        <v>0</v>
      </c>
      <c r="P442" s="51" t="s">
        <v>2046</v>
      </c>
      <c r="Q442" s="51"/>
      <c r="R442" s="765"/>
      <c r="S442" s="765"/>
      <c r="T442" s="765"/>
      <c r="U442" s="765"/>
      <c r="V442" s="765"/>
    </row>
    <row r="443" spans="1:22" x14ac:dyDescent="0.25">
      <c r="A443" s="10">
        <v>44028</v>
      </c>
      <c r="B443" s="594">
        <v>0</v>
      </c>
      <c r="C443" s="31">
        <f t="shared" si="85"/>
        <v>0</v>
      </c>
      <c r="D443" s="50">
        <f>71297.05+729909.11</f>
        <v>801206.16</v>
      </c>
      <c r="E443" s="31">
        <f t="shared" si="86"/>
        <v>729909.11</v>
      </c>
      <c r="F443" s="900">
        <v>0</v>
      </c>
      <c r="G443" s="899">
        <f t="shared" si="87"/>
        <v>70501.759999999995</v>
      </c>
      <c r="H443" s="50">
        <v>0</v>
      </c>
      <c r="I443" s="31">
        <f t="shared" si="88"/>
        <v>0</v>
      </c>
      <c r="J443" s="50">
        <v>0</v>
      </c>
      <c r="K443" s="31">
        <f t="shared" si="89"/>
        <v>0</v>
      </c>
      <c r="L443" s="50">
        <v>0</v>
      </c>
      <c r="M443" s="31">
        <f t="shared" si="90"/>
        <v>0</v>
      </c>
      <c r="N443" s="50">
        <v>0</v>
      </c>
      <c r="O443" s="31">
        <f t="shared" si="91"/>
        <v>0</v>
      </c>
      <c r="P443" s="51" t="s">
        <v>845</v>
      </c>
      <c r="Q443" s="51"/>
      <c r="R443" s="765"/>
      <c r="S443" s="765"/>
      <c r="T443" s="765"/>
      <c r="U443" s="765"/>
      <c r="V443" s="765"/>
    </row>
    <row r="444" spans="1:22" x14ac:dyDescent="0.25">
      <c r="A444" s="10">
        <v>44032</v>
      </c>
      <c r="B444" s="594">
        <v>0</v>
      </c>
      <c r="C444" s="31">
        <f t="shared" si="85"/>
        <v>0</v>
      </c>
      <c r="D444" s="50">
        <v>0</v>
      </c>
      <c r="E444" s="31">
        <f t="shared" si="86"/>
        <v>729909.11</v>
      </c>
      <c r="F444" s="900">
        <v>0</v>
      </c>
      <c r="G444" s="899">
        <f t="shared" si="87"/>
        <v>70501.759999999995</v>
      </c>
      <c r="H444" s="900">
        <v>-203.61</v>
      </c>
      <c r="I444" s="31">
        <f t="shared" si="88"/>
        <v>-203.61</v>
      </c>
      <c r="J444" s="50">
        <v>0</v>
      </c>
      <c r="K444" s="31">
        <f t="shared" si="89"/>
        <v>0</v>
      </c>
      <c r="L444" s="50">
        <v>0</v>
      </c>
      <c r="M444" s="31">
        <f t="shared" si="90"/>
        <v>0</v>
      </c>
      <c r="N444" s="50">
        <v>0</v>
      </c>
      <c r="O444" s="31">
        <f t="shared" si="91"/>
        <v>0</v>
      </c>
      <c r="P444" s="51" t="s">
        <v>1014</v>
      </c>
      <c r="Q444" s="51"/>
      <c r="R444" s="765"/>
      <c r="S444" s="765"/>
      <c r="T444" s="765"/>
      <c r="U444" s="765"/>
      <c r="V444" s="765"/>
    </row>
    <row r="445" spans="1:22" x14ac:dyDescent="0.25">
      <c r="A445" s="10">
        <v>44032</v>
      </c>
      <c r="B445" s="594">
        <v>0</v>
      </c>
      <c r="C445" s="31">
        <f t="shared" si="85"/>
        <v>0</v>
      </c>
      <c r="D445" s="50">
        <v>0</v>
      </c>
      <c r="E445" s="31">
        <f t="shared" si="86"/>
        <v>729909.11</v>
      </c>
      <c r="F445" s="900">
        <v>0</v>
      </c>
      <c r="G445" s="899">
        <f t="shared" si="87"/>
        <v>70501.759999999995</v>
      </c>
      <c r="H445" s="900">
        <v>-154.76</v>
      </c>
      <c r="I445" s="31">
        <f t="shared" si="88"/>
        <v>-358.37</v>
      </c>
      <c r="J445" s="50">
        <v>0</v>
      </c>
      <c r="K445" s="31">
        <f t="shared" si="89"/>
        <v>0</v>
      </c>
      <c r="L445" s="50">
        <v>0</v>
      </c>
      <c r="M445" s="31">
        <f t="shared" si="90"/>
        <v>0</v>
      </c>
      <c r="N445" s="50">
        <v>0</v>
      </c>
      <c r="O445" s="31">
        <f t="shared" si="91"/>
        <v>0</v>
      </c>
      <c r="P445" s="51" t="s">
        <v>2047</v>
      </c>
      <c r="Q445" s="51"/>
      <c r="R445" s="765"/>
      <c r="S445" s="765"/>
      <c r="T445" s="765"/>
      <c r="U445" s="765"/>
      <c r="V445" s="765"/>
    </row>
    <row r="446" spans="1:22" x14ac:dyDescent="0.25">
      <c r="A446" s="10">
        <v>44032</v>
      </c>
      <c r="B446" s="594">
        <v>0</v>
      </c>
      <c r="C446" s="31">
        <f t="shared" si="85"/>
        <v>0</v>
      </c>
      <c r="D446" s="50">
        <v>-729909.11</v>
      </c>
      <c r="E446" s="31">
        <f t="shared" si="86"/>
        <v>0</v>
      </c>
      <c r="F446" s="900">
        <v>0</v>
      </c>
      <c r="G446" s="899">
        <f t="shared" si="87"/>
        <v>70501.759999999995</v>
      </c>
      <c r="H446" s="50">
        <v>358.37</v>
      </c>
      <c r="I446" s="31">
        <f t="shared" si="88"/>
        <v>0</v>
      </c>
      <c r="J446" s="50">
        <v>0</v>
      </c>
      <c r="K446" s="31">
        <f t="shared" si="89"/>
        <v>0</v>
      </c>
      <c r="L446" s="50">
        <v>0</v>
      </c>
      <c r="M446" s="31">
        <f t="shared" si="90"/>
        <v>0</v>
      </c>
      <c r="N446" s="50">
        <v>0</v>
      </c>
      <c r="O446" s="31">
        <f t="shared" si="91"/>
        <v>0</v>
      </c>
      <c r="P446" s="51" t="s">
        <v>845</v>
      </c>
      <c r="Q446" s="51"/>
      <c r="R446" s="765"/>
      <c r="S446" s="765"/>
      <c r="T446" s="765"/>
      <c r="U446" s="765"/>
      <c r="V446" s="765"/>
    </row>
    <row r="447" spans="1:22" x14ac:dyDescent="0.25">
      <c r="A447" s="10">
        <v>44043</v>
      </c>
      <c r="B447" s="594">
        <v>0</v>
      </c>
      <c r="C447" s="31">
        <f t="shared" si="85"/>
        <v>0</v>
      </c>
      <c r="D447" s="50">
        <v>406000</v>
      </c>
      <c r="E447" s="31">
        <f t="shared" si="86"/>
        <v>406000</v>
      </c>
      <c r="F447" s="900">
        <v>0</v>
      </c>
      <c r="G447" s="899">
        <f t="shared" si="87"/>
        <v>70501.759999999995</v>
      </c>
      <c r="H447" s="50">
        <v>0</v>
      </c>
      <c r="I447" s="31">
        <f t="shared" si="88"/>
        <v>0</v>
      </c>
      <c r="J447" s="50">
        <v>0</v>
      </c>
      <c r="K447" s="31">
        <f t="shared" si="89"/>
        <v>0</v>
      </c>
      <c r="L447" s="50">
        <v>0</v>
      </c>
      <c r="M447" s="31">
        <f t="shared" si="90"/>
        <v>0</v>
      </c>
      <c r="N447" s="50">
        <v>0</v>
      </c>
      <c r="O447" s="31">
        <f t="shared" si="91"/>
        <v>0</v>
      </c>
      <c r="P447" s="51" t="s">
        <v>2032</v>
      </c>
      <c r="Q447" s="51"/>
      <c r="R447" s="765"/>
      <c r="S447" s="765"/>
      <c r="T447" s="765"/>
      <c r="U447" s="765"/>
      <c r="V447" s="765"/>
    </row>
    <row r="448" spans="1:22" x14ac:dyDescent="0.25">
      <c r="A448" s="10">
        <v>44043</v>
      </c>
      <c r="B448" s="594">
        <v>0</v>
      </c>
      <c r="C448" s="31">
        <f t="shared" si="85"/>
        <v>0</v>
      </c>
      <c r="D448" s="50">
        <v>0</v>
      </c>
      <c r="E448" s="31">
        <f t="shared" si="86"/>
        <v>406000</v>
      </c>
      <c r="F448" s="900">
        <v>14.44</v>
      </c>
      <c r="G448" s="899">
        <f t="shared" si="87"/>
        <v>70516.2</v>
      </c>
      <c r="H448" s="50">
        <v>0</v>
      </c>
      <c r="I448" s="31">
        <f t="shared" si="88"/>
        <v>0</v>
      </c>
      <c r="J448" s="50">
        <v>0</v>
      </c>
      <c r="K448" s="31">
        <f t="shared" si="89"/>
        <v>0</v>
      </c>
      <c r="L448" s="50">
        <v>0</v>
      </c>
      <c r="M448" s="31">
        <f t="shared" si="90"/>
        <v>0</v>
      </c>
      <c r="N448" s="50">
        <v>0</v>
      </c>
      <c r="O448" s="31">
        <f t="shared" si="91"/>
        <v>0</v>
      </c>
      <c r="P448" s="51" t="s">
        <v>1020</v>
      </c>
      <c r="Q448" s="51"/>
      <c r="R448" s="765"/>
      <c r="S448" s="765"/>
      <c r="T448" s="765"/>
      <c r="U448" s="765"/>
      <c r="V448" s="765"/>
    </row>
    <row r="449" spans="1:22" x14ac:dyDescent="0.25">
      <c r="A449" s="10">
        <v>44043</v>
      </c>
      <c r="B449" s="594">
        <v>0</v>
      </c>
      <c r="C449" s="31">
        <f t="shared" si="85"/>
        <v>0</v>
      </c>
      <c r="D449" s="50">
        <v>-406000</v>
      </c>
      <c r="E449" s="31">
        <f t="shared" si="86"/>
        <v>0</v>
      </c>
      <c r="F449" s="900">
        <v>0</v>
      </c>
      <c r="G449" s="899">
        <f t="shared" si="87"/>
        <v>70516.2</v>
      </c>
      <c r="H449" s="50">
        <v>0</v>
      </c>
      <c r="I449" s="31">
        <f t="shared" si="88"/>
        <v>0</v>
      </c>
      <c r="J449" s="50">
        <v>0</v>
      </c>
      <c r="K449" s="31">
        <f t="shared" si="89"/>
        <v>0</v>
      </c>
      <c r="L449" s="50">
        <v>0</v>
      </c>
      <c r="M449" s="31">
        <f t="shared" si="90"/>
        <v>0</v>
      </c>
      <c r="N449" s="50">
        <v>0</v>
      </c>
      <c r="O449" s="31">
        <f t="shared" si="91"/>
        <v>0</v>
      </c>
      <c r="P449" s="51" t="s">
        <v>845</v>
      </c>
      <c r="Q449" s="51"/>
      <c r="R449" s="765"/>
      <c r="S449" s="765"/>
      <c r="T449" s="765"/>
      <c r="U449" s="765"/>
      <c r="V449" s="765"/>
    </row>
    <row r="450" spans="1:22" x14ac:dyDescent="0.25">
      <c r="A450" s="10">
        <v>44046</v>
      </c>
      <c r="B450" s="594">
        <v>0</v>
      </c>
      <c r="C450" s="31">
        <f t="shared" si="85"/>
        <v>0</v>
      </c>
      <c r="D450" s="50">
        <v>43.699999999953434</v>
      </c>
      <c r="E450" s="31">
        <f t="shared" si="86"/>
        <v>43.7</v>
      </c>
      <c r="F450" s="900">
        <v>0</v>
      </c>
      <c r="G450" s="899">
        <f t="shared" si="87"/>
        <v>70516.2</v>
      </c>
      <c r="H450" s="50">
        <v>3.95</v>
      </c>
      <c r="I450" s="31">
        <f t="shared" si="88"/>
        <v>3.95</v>
      </c>
      <c r="J450" s="50">
        <v>0</v>
      </c>
      <c r="K450" s="31">
        <f t="shared" si="89"/>
        <v>0</v>
      </c>
      <c r="L450" s="50">
        <v>0</v>
      </c>
      <c r="M450" s="31">
        <f t="shared" si="90"/>
        <v>0</v>
      </c>
      <c r="N450" s="50">
        <v>0</v>
      </c>
      <c r="O450" s="31">
        <f t="shared" si="91"/>
        <v>0</v>
      </c>
      <c r="P450" s="51" t="s">
        <v>1078</v>
      </c>
      <c r="Q450" s="51"/>
      <c r="R450" s="765"/>
      <c r="S450" s="765"/>
      <c r="T450" s="765"/>
      <c r="U450" s="765"/>
      <c r="V450" s="765"/>
    </row>
    <row r="451" spans="1:22" x14ac:dyDescent="0.25">
      <c r="A451" s="10">
        <v>44046</v>
      </c>
      <c r="B451" s="594">
        <v>0</v>
      </c>
      <c r="C451" s="31">
        <f t="shared" si="85"/>
        <v>0</v>
      </c>
      <c r="D451" s="50">
        <v>-43.699999999953398</v>
      </c>
      <c r="E451" s="31">
        <f t="shared" si="86"/>
        <v>0</v>
      </c>
      <c r="F451" s="900">
        <v>0</v>
      </c>
      <c r="G451" s="899">
        <f t="shared" si="87"/>
        <v>70516.2</v>
      </c>
      <c r="H451" s="50">
        <v>-3.95</v>
      </c>
      <c r="I451" s="31">
        <f t="shared" si="88"/>
        <v>0</v>
      </c>
      <c r="J451" s="50">
        <v>0</v>
      </c>
      <c r="K451" s="31">
        <f t="shared" si="89"/>
        <v>0</v>
      </c>
      <c r="L451" s="50">
        <v>0</v>
      </c>
      <c r="M451" s="31">
        <f t="shared" si="90"/>
        <v>0</v>
      </c>
      <c r="N451" s="50">
        <v>0</v>
      </c>
      <c r="O451" s="31">
        <f t="shared" si="91"/>
        <v>0</v>
      </c>
      <c r="P451" s="51" t="s">
        <v>845</v>
      </c>
      <c r="Q451" s="51"/>
      <c r="R451" s="765"/>
      <c r="S451" s="765"/>
      <c r="T451" s="765"/>
      <c r="U451" s="765"/>
      <c r="V451" s="765"/>
    </row>
    <row r="452" spans="1:22" x14ac:dyDescent="0.25">
      <c r="A452" s="10">
        <v>44048</v>
      </c>
      <c r="B452" s="594">
        <v>0</v>
      </c>
      <c r="C452" s="31">
        <f t="shared" si="85"/>
        <v>0</v>
      </c>
      <c r="D452" s="50">
        <v>-12808649.93</v>
      </c>
      <c r="E452" s="31">
        <f t="shared" si="86"/>
        <v>-12808649.93</v>
      </c>
      <c r="F452" s="900">
        <v>0</v>
      </c>
      <c r="G452" s="899">
        <f t="shared" si="87"/>
        <v>70516.2</v>
      </c>
      <c r="H452" s="50">
        <v>0</v>
      </c>
      <c r="I452" s="31">
        <f t="shared" si="88"/>
        <v>0</v>
      </c>
      <c r="J452" s="50">
        <v>0</v>
      </c>
      <c r="K452" s="31">
        <f t="shared" si="89"/>
        <v>0</v>
      </c>
      <c r="L452" s="50">
        <v>0</v>
      </c>
      <c r="M452" s="31">
        <f t="shared" si="90"/>
        <v>0</v>
      </c>
      <c r="N452" s="50">
        <v>0</v>
      </c>
      <c r="O452" s="31">
        <f t="shared" si="91"/>
        <v>0</v>
      </c>
      <c r="P452" s="51" t="s">
        <v>2069</v>
      </c>
      <c r="Q452" s="51"/>
      <c r="R452" s="765"/>
      <c r="S452" s="765"/>
      <c r="T452" s="765"/>
      <c r="U452" s="765"/>
      <c r="V452" s="765"/>
    </row>
    <row r="453" spans="1:22" x14ac:dyDescent="0.25">
      <c r="A453" s="10">
        <v>44048</v>
      </c>
      <c r="B453" s="594">
        <v>0</v>
      </c>
      <c r="C453" s="31">
        <f t="shared" si="85"/>
        <v>0</v>
      </c>
      <c r="D453" s="50">
        <v>-32841822.34</v>
      </c>
      <c r="E453" s="31">
        <f t="shared" si="86"/>
        <v>-45650472.270000003</v>
      </c>
      <c r="F453" s="900">
        <v>0</v>
      </c>
      <c r="G453" s="899">
        <f t="shared" si="87"/>
        <v>70516.2</v>
      </c>
      <c r="H453" s="50">
        <v>0</v>
      </c>
      <c r="I453" s="31">
        <f t="shared" si="88"/>
        <v>0</v>
      </c>
      <c r="J453" s="50">
        <v>0</v>
      </c>
      <c r="K453" s="31">
        <f t="shared" si="89"/>
        <v>0</v>
      </c>
      <c r="L453" s="50">
        <v>0</v>
      </c>
      <c r="M453" s="31">
        <f t="shared" si="90"/>
        <v>0</v>
      </c>
      <c r="N453" s="50">
        <v>0</v>
      </c>
      <c r="O453" s="31">
        <f t="shared" si="91"/>
        <v>0</v>
      </c>
      <c r="P453" s="51" t="s">
        <v>2070</v>
      </c>
      <c r="Q453" s="51"/>
      <c r="R453" s="765"/>
      <c r="S453" s="765"/>
      <c r="T453" s="765"/>
      <c r="U453" s="765"/>
      <c r="V453" s="765"/>
    </row>
    <row r="454" spans="1:22" x14ac:dyDescent="0.25">
      <c r="A454" s="10">
        <v>44048</v>
      </c>
      <c r="B454" s="594">
        <v>0</v>
      </c>
      <c r="C454" s="31">
        <f t="shared" si="85"/>
        <v>0</v>
      </c>
      <c r="D454" s="50">
        <v>32379935</v>
      </c>
      <c r="E454" s="31">
        <f t="shared" si="86"/>
        <v>-13270537.27</v>
      </c>
      <c r="F454" s="900">
        <v>0</v>
      </c>
      <c r="G454" s="899">
        <f t="shared" si="87"/>
        <v>70516.2</v>
      </c>
      <c r="H454" s="50">
        <v>0</v>
      </c>
      <c r="I454" s="31">
        <f t="shared" si="88"/>
        <v>0</v>
      </c>
      <c r="J454" s="50">
        <v>0</v>
      </c>
      <c r="K454" s="31">
        <f t="shared" si="89"/>
        <v>0</v>
      </c>
      <c r="L454" s="50">
        <v>0</v>
      </c>
      <c r="M454" s="31">
        <f t="shared" si="90"/>
        <v>0</v>
      </c>
      <c r="N454" s="50">
        <v>0</v>
      </c>
      <c r="O454" s="31">
        <f t="shared" si="91"/>
        <v>0</v>
      </c>
      <c r="P454" s="51" t="s">
        <v>2071</v>
      </c>
      <c r="Q454" s="51"/>
      <c r="R454" s="765"/>
      <c r="S454" s="765"/>
      <c r="T454" s="765"/>
      <c r="U454" s="765"/>
      <c r="V454" s="765"/>
    </row>
    <row r="455" spans="1:22" x14ac:dyDescent="0.25">
      <c r="A455" s="10">
        <v>44048</v>
      </c>
      <c r="B455" s="594">
        <v>0</v>
      </c>
      <c r="C455" s="31">
        <f t="shared" si="85"/>
        <v>0</v>
      </c>
      <c r="D455" s="50">
        <v>12908511</v>
      </c>
      <c r="E455" s="31">
        <f t="shared" si="86"/>
        <v>-362026.27</v>
      </c>
      <c r="F455" s="900">
        <v>0</v>
      </c>
      <c r="G455" s="899">
        <f t="shared" si="87"/>
        <v>70516.2</v>
      </c>
      <c r="H455" s="50">
        <v>0</v>
      </c>
      <c r="I455" s="31">
        <f t="shared" si="88"/>
        <v>0</v>
      </c>
      <c r="J455" s="50">
        <v>0</v>
      </c>
      <c r="K455" s="31">
        <f t="shared" si="89"/>
        <v>0</v>
      </c>
      <c r="L455" s="50">
        <v>0</v>
      </c>
      <c r="M455" s="31">
        <f t="shared" si="90"/>
        <v>0</v>
      </c>
      <c r="N455" s="50">
        <v>0</v>
      </c>
      <c r="O455" s="31">
        <f t="shared" si="91"/>
        <v>0</v>
      </c>
      <c r="P455" s="51" t="s">
        <v>2071</v>
      </c>
      <c r="Q455" s="51"/>
      <c r="R455" s="765"/>
      <c r="S455" s="765"/>
      <c r="T455" s="765"/>
      <c r="U455" s="765"/>
      <c r="V455" s="765"/>
    </row>
    <row r="456" spans="1:22" x14ac:dyDescent="0.25">
      <c r="A456" s="10">
        <v>44048</v>
      </c>
      <c r="B456" s="594">
        <v>0</v>
      </c>
      <c r="C456" s="31">
        <f t="shared" si="85"/>
        <v>0</v>
      </c>
      <c r="D456" s="50">
        <f>362026.27+99861.07</f>
        <v>461887.34</v>
      </c>
      <c r="E456" s="31">
        <f t="shared" si="86"/>
        <v>99861.07</v>
      </c>
      <c r="F456" s="900">
        <v>0</v>
      </c>
      <c r="G456" s="899">
        <f t="shared" si="87"/>
        <v>70516.2</v>
      </c>
      <c r="H456" s="50">
        <v>0</v>
      </c>
      <c r="I456" s="31">
        <f t="shared" si="88"/>
        <v>0</v>
      </c>
      <c r="J456" s="50">
        <v>0</v>
      </c>
      <c r="K456" s="31">
        <f t="shared" si="89"/>
        <v>0</v>
      </c>
      <c r="L456" s="50">
        <v>0</v>
      </c>
      <c r="M456" s="31">
        <f t="shared" si="90"/>
        <v>0</v>
      </c>
      <c r="N456" s="50">
        <v>0</v>
      </c>
      <c r="O456" s="31">
        <f t="shared" si="91"/>
        <v>0</v>
      </c>
      <c r="P456" s="51" t="s">
        <v>845</v>
      </c>
      <c r="Q456" s="51"/>
      <c r="R456" s="765"/>
      <c r="S456" s="765"/>
      <c r="T456" s="765"/>
      <c r="U456" s="765"/>
      <c r="V456" s="765"/>
    </row>
    <row r="457" spans="1:22" x14ac:dyDescent="0.25">
      <c r="A457" s="10">
        <v>44049</v>
      </c>
      <c r="B457" s="594">
        <v>0</v>
      </c>
      <c r="C457" s="31">
        <f t="shared" si="85"/>
        <v>0</v>
      </c>
      <c r="D457" s="50">
        <v>-99861.07</v>
      </c>
      <c r="E457" s="31">
        <f t="shared" si="86"/>
        <v>0</v>
      </c>
      <c r="F457" s="900">
        <v>0</v>
      </c>
      <c r="G457" s="899">
        <f t="shared" si="87"/>
        <v>70516.2</v>
      </c>
      <c r="H457" s="50">
        <v>0</v>
      </c>
      <c r="I457" s="31">
        <f t="shared" si="88"/>
        <v>0</v>
      </c>
      <c r="J457" s="50">
        <v>0</v>
      </c>
      <c r="K457" s="31">
        <f t="shared" si="89"/>
        <v>0</v>
      </c>
      <c r="L457" s="50">
        <v>0</v>
      </c>
      <c r="M457" s="31">
        <f t="shared" si="90"/>
        <v>0</v>
      </c>
      <c r="N457" s="50">
        <v>0</v>
      </c>
      <c r="O457" s="31">
        <f t="shared" si="91"/>
        <v>0</v>
      </c>
      <c r="P457" s="51" t="s">
        <v>845</v>
      </c>
      <c r="Q457" s="51"/>
      <c r="R457" s="765"/>
      <c r="S457" s="765"/>
      <c r="T457" s="765"/>
      <c r="U457" s="765"/>
      <c r="V457" s="765"/>
    </row>
    <row r="458" spans="1:22" x14ac:dyDescent="0.25">
      <c r="A458" s="10">
        <v>44054</v>
      </c>
      <c r="B458" s="594">
        <v>0</v>
      </c>
      <c r="C458" s="31">
        <f t="shared" si="85"/>
        <v>0</v>
      </c>
      <c r="D458" s="50">
        <v>-321000</v>
      </c>
      <c r="E458" s="31">
        <f t="shared" si="86"/>
        <v>-321000</v>
      </c>
      <c r="F458" s="900">
        <v>0</v>
      </c>
      <c r="G458" s="899">
        <f t="shared" si="87"/>
        <v>70516.2</v>
      </c>
      <c r="H458" s="50">
        <v>0</v>
      </c>
      <c r="I458" s="31">
        <f t="shared" si="88"/>
        <v>0</v>
      </c>
      <c r="J458" s="50">
        <v>0</v>
      </c>
      <c r="K458" s="31">
        <f t="shared" si="89"/>
        <v>0</v>
      </c>
      <c r="L458" s="50">
        <v>0</v>
      </c>
      <c r="M458" s="31">
        <f t="shared" si="90"/>
        <v>0</v>
      </c>
      <c r="N458" s="50">
        <v>0</v>
      </c>
      <c r="O458" s="31">
        <f t="shared" si="91"/>
        <v>0</v>
      </c>
      <c r="P458" s="51" t="s">
        <v>1976</v>
      </c>
      <c r="Q458" s="51"/>
      <c r="R458" s="765"/>
      <c r="S458" s="765"/>
      <c r="T458" s="765"/>
      <c r="U458" s="765"/>
      <c r="V458" s="765"/>
    </row>
    <row r="459" spans="1:22" x14ac:dyDescent="0.25">
      <c r="A459" s="10">
        <v>44054</v>
      </c>
      <c r="B459" s="594">
        <v>0</v>
      </c>
      <c r="C459" s="31">
        <f t="shared" si="85"/>
        <v>0</v>
      </c>
      <c r="D459" s="50">
        <v>321000</v>
      </c>
      <c r="E459" s="31">
        <f t="shared" si="86"/>
        <v>0</v>
      </c>
      <c r="F459" s="900">
        <v>0</v>
      </c>
      <c r="G459" s="899">
        <f t="shared" si="87"/>
        <v>70516.2</v>
      </c>
      <c r="H459" s="50">
        <v>0</v>
      </c>
      <c r="I459" s="31">
        <f t="shared" si="88"/>
        <v>0</v>
      </c>
      <c r="J459" s="50">
        <v>0</v>
      </c>
      <c r="K459" s="31">
        <f t="shared" si="89"/>
        <v>0</v>
      </c>
      <c r="L459" s="50">
        <v>0</v>
      </c>
      <c r="M459" s="31">
        <f t="shared" si="90"/>
        <v>0</v>
      </c>
      <c r="N459" s="50">
        <v>0</v>
      </c>
      <c r="O459" s="31">
        <f t="shared" si="91"/>
        <v>0</v>
      </c>
      <c r="P459" s="51" t="s">
        <v>845</v>
      </c>
      <c r="Q459" s="51"/>
      <c r="R459" s="765"/>
      <c r="S459" s="765"/>
      <c r="T459" s="765"/>
      <c r="U459" s="765"/>
      <c r="V459" s="765"/>
    </row>
    <row r="460" spans="1:22" x14ac:dyDescent="0.25">
      <c r="A460" s="10">
        <v>44055</v>
      </c>
      <c r="B460" s="594">
        <v>0</v>
      </c>
      <c r="C460" s="31">
        <f t="shared" si="85"/>
        <v>0</v>
      </c>
      <c r="D460" s="50">
        <v>-85000</v>
      </c>
      <c r="E460" s="31">
        <f t="shared" si="86"/>
        <v>-85000</v>
      </c>
      <c r="F460" s="900">
        <v>0</v>
      </c>
      <c r="G460" s="899">
        <f t="shared" si="87"/>
        <v>70516.2</v>
      </c>
      <c r="H460" s="50">
        <v>0</v>
      </c>
      <c r="I460" s="31">
        <f t="shared" si="88"/>
        <v>0</v>
      </c>
      <c r="J460" s="50">
        <v>0</v>
      </c>
      <c r="K460" s="31">
        <f t="shared" si="89"/>
        <v>0</v>
      </c>
      <c r="L460" s="50">
        <v>0</v>
      </c>
      <c r="M460" s="31">
        <f t="shared" si="90"/>
        <v>0</v>
      </c>
      <c r="N460" s="50">
        <v>0</v>
      </c>
      <c r="O460" s="31">
        <f t="shared" si="91"/>
        <v>0</v>
      </c>
      <c r="P460" s="51" t="s">
        <v>1976</v>
      </c>
      <c r="Q460" s="51"/>
      <c r="R460" s="765"/>
      <c r="S460" s="765"/>
      <c r="T460" s="765"/>
      <c r="U460" s="765"/>
      <c r="V460" s="765"/>
    </row>
    <row r="461" spans="1:22" x14ac:dyDescent="0.25">
      <c r="A461" s="10">
        <v>44055</v>
      </c>
      <c r="B461" s="594">
        <v>0</v>
      </c>
      <c r="C461" s="31">
        <f t="shared" si="85"/>
        <v>0</v>
      </c>
      <c r="D461" s="50">
        <v>85000</v>
      </c>
      <c r="E461" s="31">
        <f t="shared" si="86"/>
        <v>0</v>
      </c>
      <c r="F461" s="900">
        <v>0</v>
      </c>
      <c r="G461" s="899">
        <f t="shared" si="87"/>
        <v>70516.2</v>
      </c>
      <c r="H461" s="50">
        <v>0</v>
      </c>
      <c r="I461" s="31">
        <f t="shared" si="88"/>
        <v>0</v>
      </c>
      <c r="J461" s="50">
        <v>0</v>
      </c>
      <c r="K461" s="31">
        <f t="shared" si="89"/>
        <v>0</v>
      </c>
      <c r="L461" s="50">
        <v>0</v>
      </c>
      <c r="M461" s="31">
        <f t="shared" si="90"/>
        <v>0</v>
      </c>
      <c r="N461" s="50">
        <v>0</v>
      </c>
      <c r="O461" s="31">
        <f t="shared" si="91"/>
        <v>0</v>
      </c>
      <c r="P461" s="51" t="s">
        <v>845</v>
      </c>
      <c r="Q461" s="51"/>
      <c r="R461" s="765"/>
      <c r="S461" s="765"/>
      <c r="T461" s="765"/>
      <c r="U461" s="765"/>
      <c r="V461" s="765"/>
    </row>
    <row r="462" spans="1:22" x14ac:dyDescent="0.25">
      <c r="A462" s="10">
        <v>44060</v>
      </c>
      <c r="B462" s="594">
        <v>0</v>
      </c>
      <c r="C462" s="31">
        <f t="shared" si="85"/>
        <v>0</v>
      </c>
      <c r="D462" s="50">
        <v>-99206567.140000001</v>
      </c>
      <c r="E462" s="31">
        <f t="shared" si="86"/>
        <v>-99206567.140000001</v>
      </c>
      <c r="F462" s="900">
        <v>0</v>
      </c>
      <c r="G462" s="899">
        <f t="shared" si="87"/>
        <v>70516.2</v>
      </c>
      <c r="H462" s="50">
        <v>0</v>
      </c>
      <c r="I462" s="31">
        <f t="shared" si="88"/>
        <v>0</v>
      </c>
      <c r="J462" s="50">
        <v>0</v>
      </c>
      <c r="K462" s="31">
        <f t="shared" si="89"/>
        <v>0</v>
      </c>
      <c r="L462" s="50">
        <v>0</v>
      </c>
      <c r="M462" s="31">
        <f t="shared" si="90"/>
        <v>0</v>
      </c>
      <c r="N462" s="50">
        <v>0</v>
      </c>
      <c r="O462" s="31">
        <f t="shared" si="91"/>
        <v>0</v>
      </c>
      <c r="P462" s="51" t="s">
        <v>2086</v>
      </c>
      <c r="Q462" s="51"/>
      <c r="R462" s="765"/>
      <c r="S462" s="765"/>
      <c r="T462" s="765"/>
      <c r="U462" s="765"/>
      <c r="V462" s="765"/>
    </row>
    <row r="463" spans="1:22" x14ac:dyDescent="0.25">
      <c r="A463" s="10">
        <v>44060</v>
      </c>
      <c r="B463" s="594">
        <v>0</v>
      </c>
      <c r="C463" s="31">
        <f t="shared" si="85"/>
        <v>0</v>
      </c>
      <c r="D463" s="50">
        <v>99093435</v>
      </c>
      <c r="E463" s="31">
        <f t="shared" si="86"/>
        <v>-113132.14</v>
      </c>
      <c r="F463" s="900">
        <v>0</v>
      </c>
      <c r="G463" s="899">
        <f t="shared" si="87"/>
        <v>70516.2</v>
      </c>
      <c r="H463" s="50">
        <v>0</v>
      </c>
      <c r="I463" s="31">
        <f t="shared" si="88"/>
        <v>0</v>
      </c>
      <c r="J463" s="50">
        <v>0</v>
      </c>
      <c r="K463" s="31">
        <f t="shared" si="89"/>
        <v>0</v>
      </c>
      <c r="L463" s="50">
        <v>0</v>
      </c>
      <c r="M463" s="31">
        <f t="shared" si="90"/>
        <v>0</v>
      </c>
      <c r="N463" s="50">
        <v>0</v>
      </c>
      <c r="O463" s="31">
        <f t="shared" si="91"/>
        <v>0</v>
      </c>
      <c r="P463" s="51" t="s">
        <v>2087</v>
      </c>
      <c r="Q463" s="51"/>
      <c r="R463" s="765"/>
      <c r="S463" s="765"/>
      <c r="T463" s="765"/>
      <c r="U463" s="765"/>
      <c r="V463" s="765"/>
    </row>
    <row r="464" spans="1:22" x14ac:dyDescent="0.25">
      <c r="A464" s="10">
        <v>44060</v>
      </c>
      <c r="B464" s="594">
        <v>0</v>
      </c>
      <c r="C464" s="31">
        <f t="shared" si="85"/>
        <v>0</v>
      </c>
      <c r="D464" s="50">
        <f>-394299.04</f>
        <v>-394299.04</v>
      </c>
      <c r="E464" s="31">
        <f t="shared" si="86"/>
        <v>-507431.18</v>
      </c>
      <c r="F464" s="900">
        <v>0</v>
      </c>
      <c r="G464" s="899">
        <f t="shared" si="87"/>
        <v>70516.2</v>
      </c>
      <c r="H464" s="50">
        <v>0</v>
      </c>
      <c r="I464" s="31">
        <f t="shared" si="88"/>
        <v>0</v>
      </c>
      <c r="J464" s="50">
        <v>0</v>
      </c>
      <c r="K464" s="31">
        <f t="shared" si="89"/>
        <v>0</v>
      </c>
      <c r="L464" s="50">
        <v>0</v>
      </c>
      <c r="M464" s="31">
        <f t="shared" si="90"/>
        <v>0</v>
      </c>
      <c r="N464" s="50">
        <v>0</v>
      </c>
      <c r="O464" s="31">
        <f t="shared" si="91"/>
        <v>0</v>
      </c>
      <c r="P464" s="51" t="s">
        <v>845</v>
      </c>
      <c r="Q464" s="51"/>
      <c r="R464" s="765"/>
      <c r="S464" s="765"/>
      <c r="T464" s="765"/>
      <c r="U464" s="765"/>
      <c r="V464" s="765"/>
    </row>
    <row r="465" spans="1:22" x14ac:dyDescent="0.25">
      <c r="A465" s="10">
        <v>44061</v>
      </c>
      <c r="B465" s="594">
        <v>0</v>
      </c>
      <c r="C465" s="31">
        <f t="shared" si="85"/>
        <v>0</v>
      </c>
      <c r="D465" s="50">
        <v>744900</v>
      </c>
      <c r="E465" s="31">
        <f t="shared" si="86"/>
        <v>237468.82</v>
      </c>
      <c r="F465" s="900">
        <v>0</v>
      </c>
      <c r="G465" s="899">
        <f t="shared" si="87"/>
        <v>70516.2</v>
      </c>
      <c r="H465" s="50">
        <v>0</v>
      </c>
      <c r="I465" s="31">
        <f t="shared" si="88"/>
        <v>0</v>
      </c>
      <c r="J465" s="50">
        <v>0</v>
      </c>
      <c r="K465" s="31">
        <f t="shared" si="89"/>
        <v>0</v>
      </c>
      <c r="L465" s="50">
        <v>0</v>
      </c>
      <c r="M465" s="31">
        <f t="shared" si="90"/>
        <v>0</v>
      </c>
      <c r="N465" s="50">
        <v>0</v>
      </c>
      <c r="O465" s="31">
        <f t="shared" si="91"/>
        <v>0</v>
      </c>
      <c r="P465" s="51" t="s">
        <v>2088</v>
      </c>
      <c r="Q465" s="51"/>
      <c r="R465" s="765"/>
      <c r="S465" s="765"/>
      <c r="T465" s="765"/>
      <c r="U465" s="765"/>
      <c r="V465" s="765"/>
    </row>
    <row r="466" spans="1:22" x14ac:dyDescent="0.25">
      <c r="A466" s="10">
        <v>44061</v>
      </c>
      <c r="B466" s="594">
        <v>0</v>
      </c>
      <c r="C466" s="31">
        <f t="shared" si="85"/>
        <v>0</v>
      </c>
      <c r="D466" s="50">
        <v>769494.375</v>
      </c>
      <c r="E466" s="31">
        <f t="shared" si="86"/>
        <v>1006963.2</v>
      </c>
      <c r="F466" s="900">
        <v>0</v>
      </c>
      <c r="G466" s="899">
        <f t="shared" si="87"/>
        <v>70516.2</v>
      </c>
      <c r="H466" s="50">
        <v>0</v>
      </c>
      <c r="I466" s="31">
        <f t="shared" si="88"/>
        <v>0</v>
      </c>
      <c r="J466" s="50">
        <v>0</v>
      </c>
      <c r="K466" s="31">
        <f t="shared" si="89"/>
        <v>0</v>
      </c>
      <c r="L466" s="50">
        <v>0</v>
      </c>
      <c r="M466" s="31">
        <f t="shared" si="90"/>
        <v>0</v>
      </c>
      <c r="N466" s="50">
        <v>0</v>
      </c>
      <c r="O466" s="31">
        <f t="shared" si="91"/>
        <v>0</v>
      </c>
      <c r="P466" s="51" t="s">
        <v>2089</v>
      </c>
      <c r="Q466" s="51"/>
      <c r="R466" s="765"/>
      <c r="S466" s="765"/>
      <c r="T466" s="765"/>
      <c r="U466" s="765"/>
      <c r="V466" s="765"/>
    </row>
    <row r="467" spans="1:22" x14ac:dyDescent="0.25">
      <c r="A467" s="10">
        <v>44061</v>
      </c>
      <c r="B467" s="594">
        <v>0</v>
      </c>
      <c r="C467" s="31">
        <f t="shared" si="85"/>
        <v>0</v>
      </c>
      <c r="D467" s="50">
        <v>-1006963.2</v>
      </c>
      <c r="E467" s="31">
        <f t="shared" si="86"/>
        <v>0</v>
      </c>
      <c r="F467" s="900">
        <v>0</v>
      </c>
      <c r="G467" s="899">
        <f t="shared" si="87"/>
        <v>70516.2</v>
      </c>
      <c r="H467" s="50">
        <v>0</v>
      </c>
      <c r="I467" s="31">
        <f t="shared" si="88"/>
        <v>0</v>
      </c>
      <c r="J467" s="50">
        <v>0</v>
      </c>
      <c r="K467" s="31">
        <f t="shared" si="89"/>
        <v>0</v>
      </c>
      <c r="L467" s="50">
        <v>0</v>
      </c>
      <c r="M467" s="31">
        <f t="shared" si="90"/>
        <v>0</v>
      </c>
      <c r="N467" s="50">
        <v>0</v>
      </c>
      <c r="O467" s="31">
        <f t="shared" si="91"/>
        <v>0</v>
      </c>
      <c r="P467" s="51" t="s">
        <v>845</v>
      </c>
      <c r="Q467" s="51"/>
      <c r="R467" s="765"/>
      <c r="S467" s="765"/>
      <c r="T467" s="765"/>
      <c r="U467" s="765"/>
      <c r="V467" s="765"/>
    </row>
    <row r="468" spans="1:22" x14ac:dyDescent="0.25">
      <c r="A468" s="10">
        <v>44063</v>
      </c>
      <c r="B468" s="594">
        <v>0</v>
      </c>
      <c r="C468" s="31">
        <f t="shared" si="85"/>
        <v>0</v>
      </c>
      <c r="D468" s="50">
        <v>-769071.88</v>
      </c>
      <c r="E468" s="31">
        <f t="shared" si="86"/>
        <v>-769071.88</v>
      </c>
      <c r="F468" s="900">
        <v>0</v>
      </c>
      <c r="G468" s="899">
        <f t="shared" si="87"/>
        <v>70516.2</v>
      </c>
      <c r="H468" s="50">
        <v>0</v>
      </c>
      <c r="I468" s="31">
        <f t="shared" si="88"/>
        <v>0</v>
      </c>
      <c r="J468" s="50">
        <v>0</v>
      </c>
      <c r="K468" s="31">
        <f t="shared" si="89"/>
        <v>0</v>
      </c>
      <c r="L468" s="50">
        <v>0</v>
      </c>
      <c r="M468" s="31">
        <f t="shared" si="90"/>
        <v>0</v>
      </c>
      <c r="N468" s="50">
        <v>0</v>
      </c>
      <c r="O468" s="31">
        <f t="shared" si="91"/>
        <v>0</v>
      </c>
      <c r="P468" s="51" t="s">
        <v>2103</v>
      </c>
      <c r="Q468" s="51"/>
      <c r="R468" s="765"/>
      <c r="S468" s="765"/>
      <c r="T468" s="765"/>
      <c r="U468" s="765"/>
      <c r="V468" s="765"/>
    </row>
    <row r="469" spans="1:22" x14ac:dyDescent="0.25">
      <c r="A469" s="10">
        <v>44063</v>
      </c>
      <c r="B469" s="594">
        <v>0</v>
      </c>
      <c r="C469" s="31">
        <f t="shared" si="85"/>
        <v>0</v>
      </c>
      <c r="D469" s="50">
        <v>0</v>
      </c>
      <c r="E469" s="31">
        <f t="shared" si="86"/>
        <v>-769071.88</v>
      </c>
      <c r="F469" s="900">
        <v>0</v>
      </c>
      <c r="G469" s="899">
        <f t="shared" si="87"/>
        <v>70516.2</v>
      </c>
      <c r="H469" s="50">
        <v>-153.19999999999999</v>
      </c>
      <c r="I469" s="31">
        <f t="shared" si="88"/>
        <v>-153.19999999999999</v>
      </c>
      <c r="J469" s="50">
        <v>0</v>
      </c>
      <c r="K469" s="31">
        <f t="shared" si="89"/>
        <v>0</v>
      </c>
      <c r="L469" s="50">
        <v>0</v>
      </c>
      <c r="M469" s="31">
        <f t="shared" si="90"/>
        <v>0</v>
      </c>
      <c r="N469" s="50">
        <v>0</v>
      </c>
      <c r="O469" s="31">
        <f t="shared" si="91"/>
        <v>0</v>
      </c>
      <c r="P469" s="51" t="s">
        <v>2104</v>
      </c>
      <c r="Q469" s="51"/>
      <c r="R469" s="765"/>
      <c r="S469" s="765"/>
      <c r="T469" s="765"/>
      <c r="U469" s="765"/>
      <c r="V469" s="765"/>
    </row>
    <row r="470" spans="1:22" x14ac:dyDescent="0.25">
      <c r="A470" s="10">
        <v>44063</v>
      </c>
      <c r="B470" s="594">
        <v>0</v>
      </c>
      <c r="C470" s="31">
        <f t="shared" si="85"/>
        <v>0</v>
      </c>
      <c r="D470" s="50">
        <v>0</v>
      </c>
      <c r="E470" s="31">
        <f t="shared" si="86"/>
        <v>-769071.88</v>
      </c>
      <c r="F470" s="900">
        <v>0</v>
      </c>
      <c r="G470" s="899">
        <f t="shared" si="87"/>
        <v>70516.2</v>
      </c>
      <c r="H470" s="50">
        <v>-7000</v>
      </c>
      <c r="I470" s="31">
        <f t="shared" si="88"/>
        <v>-7153.2</v>
      </c>
      <c r="J470" s="50">
        <v>0</v>
      </c>
      <c r="K470" s="31">
        <f t="shared" si="89"/>
        <v>0</v>
      </c>
      <c r="L470" s="50">
        <v>0</v>
      </c>
      <c r="M470" s="31">
        <f t="shared" si="90"/>
        <v>0</v>
      </c>
      <c r="N470" s="50">
        <v>0</v>
      </c>
      <c r="O470" s="31">
        <f t="shared" si="91"/>
        <v>0</v>
      </c>
      <c r="P470" s="51" t="s">
        <v>2105</v>
      </c>
      <c r="Q470" s="51"/>
      <c r="R470" s="765"/>
      <c r="S470" s="765"/>
      <c r="T470" s="765"/>
      <c r="U470" s="765"/>
      <c r="V470" s="765"/>
    </row>
    <row r="471" spans="1:22" x14ac:dyDescent="0.25">
      <c r="A471" s="10">
        <v>44063</v>
      </c>
      <c r="B471" s="594">
        <v>0</v>
      </c>
      <c r="C471" s="31">
        <f t="shared" si="85"/>
        <v>0</v>
      </c>
      <c r="D471" s="50">
        <v>769071.88</v>
      </c>
      <c r="E471" s="31">
        <f t="shared" si="86"/>
        <v>0</v>
      </c>
      <c r="F471" s="900">
        <v>0</v>
      </c>
      <c r="G471" s="899">
        <f t="shared" si="87"/>
        <v>70516.2</v>
      </c>
      <c r="H471" s="50">
        <v>7153.2</v>
      </c>
      <c r="I471" s="31">
        <f t="shared" si="88"/>
        <v>0</v>
      </c>
      <c r="J471" s="50">
        <v>0</v>
      </c>
      <c r="K471" s="31">
        <f t="shared" si="89"/>
        <v>0</v>
      </c>
      <c r="L471" s="50">
        <v>0</v>
      </c>
      <c r="M471" s="31">
        <f t="shared" si="90"/>
        <v>0</v>
      </c>
      <c r="N471" s="50">
        <v>0</v>
      </c>
      <c r="O471" s="31">
        <f t="shared" si="91"/>
        <v>0</v>
      </c>
      <c r="P471" s="51" t="s">
        <v>845</v>
      </c>
      <c r="Q471" s="51"/>
      <c r="R471" s="765"/>
      <c r="S471" s="765"/>
      <c r="T471" s="765"/>
      <c r="U471" s="765"/>
      <c r="V471" s="765"/>
    </row>
    <row r="472" spans="1:22" x14ac:dyDescent="0.25">
      <c r="A472" s="10">
        <v>44067</v>
      </c>
      <c r="B472" s="594">
        <v>0</v>
      </c>
      <c r="C472" s="31">
        <f t="shared" ref="C472:C507" si="92">ROUND(B472+C471,2)</f>
        <v>0</v>
      </c>
      <c r="D472" s="50">
        <v>-744900</v>
      </c>
      <c r="E472" s="31">
        <f t="shared" ref="E472:E507" si="93">ROUND(D472+E471,2)</f>
        <v>-744900</v>
      </c>
      <c r="F472" s="900">
        <v>0</v>
      </c>
      <c r="G472" s="899">
        <f t="shared" ref="G472:G507" si="94">ROUND(F472+G471,2)</f>
        <v>70516.2</v>
      </c>
      <c r="H472" s="50">
        <v>0</v>
      </c>
      <c r="I472" s="31">
        <f t="shared" ref="I472:I507" si="95">ROUND(H472+I471,2)</f>
        <v>0</v>
      </c>
      <c r="J472" s="50">
        <v>0</v>
      </c>
      <c r="K472" s="31">
        <f t="shared" ref="K472:K507" si="96">ROUND(J472+K471,2)</f>
        <v>0</v>
      </c>
      <c r="L472" s="50">
        <v>0</v>
      </c>
      <c r="M472" s="31">
        <f t="shared" ref="M472:M507" si="97">ROUND(L472+M471,2)</f>
        <v>0</v>
      </c>
      <c r="N472" s="50">
        <v>0</v>
      </c>
      <c r="O472" s="31">
        <f t="shared" ref="O472:O507" si="98">ROUND(N472+O471,2)</f>
        <v>0</v>
      </c>
      <c r="P472" s="51" t="s">
        <v>2106</v>
      </c>
      <c r="Q472" s="51"/>
      <c r="R472" s="765"/>
      <c r="S472" s="765"/>
      <c r="T472" s="765"/>
      <c r="U472" s="765"/>
      <c r="V472" s="765"/>
    </row>
    <row r="473" spans="1:22" x14ac:dyDescent="0.25">
      <c r="A473" s="10">
        <v>44067</v>
      </c>
      <c r="B473" s="594">
        <v>0</v>
      </c>
      <c r="C473" s="31">
        <f t="shared" si="92"/>
        <v>0</v>
      </c>
      <c r="D473" s="50">
        <v>744900</v>
      </c>
      <c r="E473" s="31">
        <f t="shared" si="93"/>
        <v>0</v>
      </c>
      <c r="F473" s="900">
        <v>0</v>
      </c>
      <c r="G473" s="899">
        <f t="shared" si="94"/>
        <v>70516.2</v>
      </c>
      <c r="H473" s="50">
        <v>0</v>
      </c>
      <c r="I473" s="31">
        <f t="shared" si="95"/>
        <v>0</v>
      </c>
      <c r="J473" s="50">
        <v>0</v>
      </c>
      <c r="K473" s="31">
        <f t="shared" si="96"/>
        <v>0</v>
      </c>
      <c r="L473" s="50">
        <v>0</v>
      </c>
      <c r="M473" s="31">
        <f t="shared" si="97"/>
        <v>0</v>
      </c>
      <c r="N473" s="50">
        <v>0</v>
      </c>
      <c r="O473" s="31">
        <f t="shared" si="98"/>
        <v>0</v>
      </c>
      <c r="P473" s="51" t="s">
        <v>845</v>
      </c>
      <c r="Q473" s="51"/>
      <c r="R473" s="765"/>
      <c r="S473" s="765"/>
      <c r="T473" s="765"/>
      <c r="U473" s="765"/>
      <c r="V473" s="765"/>
    </row>
    <row r="474" spans="1:22" x14ac:dyDescent="0.25">
      <c r="A474" s="10">
        <v>44076</v>
      </c>
      <c r="B474" s="594">
        <v>0</v>
      </c>
      <c r="C474" s="31">
        <f t="shared" si="92"/>
        <v>0</v>
      </c>
      <c r="D474" s="50">
        <v>33.26</v>
      </c>
      <c r="E474" s="31">
        <f t="shared" si="93"/>
        <v>33.26</v>
      </c>
      <c r="F474" s="900">
        <v>0</v>
      </c>
      <c r="G474" s="899">
        <f t="shared" si="94"/>
        <v>70516.2</v>
      </c>
      <c r="H474" s="50">
        <v>2.4</v>
      </c>
      <c r="I474" s="31">
        <f t="shared" si="95"/>
        <v>2.4</v>
      </c>
      <c r="J474" s="50">
        <v>0</v>
      </c>
      <c r="K474" s="31">
        <f t="shared" si="96"/>
        <v>0</v>
      </c>
      <c r="L474" s="50">
        <v>0</v>
      </c>
      <c r="M474" s="31">
        <f t="shared" si="97"/>
        <v>0</v>
      </c>
      <c r="N474" s="50">
        <v>0</v>
      </c>
      <c r="O474" s="31">
        <f t="shared" si="98"/>
        <v>0</v>
      </c>
      <c r="P474" s="51" t="s">
        <v>890</v>
      </c>
      <c r="Q474" s="51"/>
      <c r="R474" s="765"/>
      <c r="S474" s="765"/>
      <c r="T474" s="765"/>
      <c r="U474" s="765"/>
      <c r="V474" s="765"/>
    </row>
    <row r="475" spans="1:22" x14ac:dyDescent="0.25">
      <c r="A475" s="10">
        <v>44076</v>
      </c>
      <c r="B475" s="594">
        <v>0</v>
      </c>
      <c r="C475" s="31">
        <f t="shared" si="92"/>
        <v>0</v>
      </c>
      <c r="D475" s="50">
        <v>-33.26</v>
      </c>
      <c r="E475" s="31">
        <f t="shared" si="93"/>
        <v>0</v>
      </c>
      <c r="F475" s="900">
        <v>0</v>
      </c>
      <c r="G475" s="899">
        <f t="shared" si="94"/>
        <v>70516.2</v>
      </c>
      <c r="H475" s="50">
        <v>-2.4</v>
      </c>
      <c r="I475" s="31">
        <f t="shared" si="95"/>
        <v>0</v>
      </c>
      <c r="J475" s="50">
        <v>0</v>
      </c>
      <c r="K475" s="31">
        <f t="shared" si="96"/>
        <v>0</v>
      </c>
      <c r="L475" s="50">
        <v>0</v>
      </c>
      <c r="M475" s="31">
        <f t="shared" si="97"/>
        <v>0</v>
      </c>
      <c r="N475" s="50">
        <v>0</v>
      </c>
      <c r="O475" s="31">
        <f t="shared" si="98"/>
        <v>0</v>
      </c>
      <c r="P475" s="51" t="s">
        <v>845</v>
      </c>
      <c r="Q475" s="51"/>
      <c r="R475" s="765"/>
      <c r="S475" s="765"/>
      <c r="T475" s="765"/>
      <c r="U475" s="765"/>
      <c r="V475" s="765"/>
    </row>
    <row r="476" spans="1:22" x14ac:dyDescent="0.25">
      <c r="A476" s="10">
        <v>44077</v>
      </c>
      <c r="B476" s="594">
        <v>0</v>
      </c>
      <c r="C476" s="31">
        <f t="shared" si="92"/>
        <v>0</v>
      </c>
      <c r="D476" s="50">
        <v>406000</v>
      </c>
      <c r="E476" s="31">
        <f t="shared" si="93"/>
        <v>406000</v>
      </c>
      <c r="F476" s="900">
        <v>0</v>
      </c>
      <c r="G476" s="899">
        <f t="shared" si="94"/>
        <v>70516.2</v>
      </c>
      <c r="H476" s="50">
        <v>0</v>
      </c>
      <c r="I476" s="31">
        <f t="shared" si="95"/>
        <v>0</v>
      </c>
      <c r="J476" s="50">
        <v>0</v>
      </c>
      <c r="K476" s="31">
        <f t="shared" si="96"/>
        <v>0</v>
      </c>
      <c r="L476" s="50">
        <v>0</v>
      </c>
      <c r="M476" s="31">
        <f t="shared" si="97"/>
        <v>0</v>
      </c>
      <c r="N476" s="50">
        <v>0</v>
      </c>
      <c r="O476" s="31">
        <f t="shared" si="98"/>
        <v>0</v>
      </c>
      <c r="P476" s="51" t="s">
        <v>2032</v>
      </c>
      <c r="Q476" s="51"/>
      <c r="R476" s="765"/>
      <c r="S476" s="765"/>
      <c r="T476" s="765"/>
      <c r="U476" s="765"/>
      <c r="V476" s="765"/>
    </row>
    <row r="477" spans="1:22" x14ac:dyDescent="0.25">
      <c r="A477" s="10">
        <v>44077</v>
      </c>
      <c r="B477" s="594">
        <v>0</v>
      </c>
      <c r="C477" s="31">
        <f t="shared" si="92"/>
        <v>0</v>
      </c>
      <c r="D477" s="50">
        <v>-406000</v>
      </c>
      <c r="E477" s="31">
        <f t="shared" si="93"/>
        <v>0</v>
      </c>
      <c r="F477" s="900">
        <v>0</v>
      </c>
      <c r="G477" s="899">
        <f t="shared" si="94"/>
        <v>70516.2</v>
      </c>
      <c r="H477" s="50">
        <v>0</v>
      </c>
      <c r="I477" s="31">
        <f t="shared" si="95"/>
        <v>0</v>
      </c>
      <c r="J477" s="50">
        <v>0</v>
      </c>
      <c r="K477" s="31">
        <f t="shared" si="96"/>
        <v>0</v>
      </c>
      <c r="L477" s="50">
        <v>0</v>
      </c>
      <c r="M477" s="31">
        <f t="shared" si="97"/>
        <v>0</v>
      </c>
      <c r="N477" s="50">
        <v>0</v>
      </c>
      <c r="O477" s="31">
        <f t="shared" si="98"/>
        <v>0</v>
      </c>
      <c r="P477" s="51" t="s">
        <v>845</v>
      </c>
      <c r="Q477" s="51"/>
      <c r="R477" s="765"/>
      <c r="S477" s="765"/>
      <c r="T477" s="765"/>
      <c r="U477" s="765"/>
      <c r="V477" s="765"/>
    </row>
    <row r="478" spans="1:22" x14ac:dyDescent="0.25">
      <c r="A478" s="10">
        <v>44082</v>
      </c>
      <c r="B478" s="594">
        <v>2000000</v>
      </c>
      <c r="C478" s="31">
        <f t="shared" si="92"/>
        <v>2000000</v>
      </c>
      <c r="D478" s="50">
        <v>-2010140.69</v>
      </c>
      <c r="E478" s="31">
        <f t="shared" si="93"/>
        <v>-2010140.69</v>
      </c>
      <c r="F478" s="900">
        <v>0</v>
      </c>
      <c r="G478" s="899">
        <f t="shared" si="94"/>
        <v>70516.2</v>
      </c>
      <c r="H478" s="50">
        <v>0</v>
      </c>
      <c r="I478" s="31">
        <f t="shared" si="95"/>
        <v>0</v>
      </c>
      <c r="J478" s="50">
        <v>0</v>
      </c>
      <c r="K478" s="31">
        <f t="shared" si="96"/>
        <v>0</v>
      </c>
      <c r="L478" s="50">
        <v>0</v>
      </c>
      <c r="M478" s="31">
        <f t="shared" si="97"/>
        <v>0</v>
      </c>
      <c r="N478" s="50">
        <v>0</v>
      </c>
      <c r="O478" s="31">
        <f t="shared" si="98"/>
        <v>0</v>
      </c>
      <c r="P478" s="51" t="s">
        <v>831</v>
      </c>
      <c r="Q478" s="51"/>
      <c r="R478" s="765"/>
      <c r="S478" s="765"/>
      <c r="T478" s="765"/>
      <c r="U478" s="765"/>
      <c r="V478" s="765"/>
    </row>
    <row r="479" spans="1:22" x14ac:dyDescent="0.25">
      <c r="A479" s="10">
        <v>44082</v>
      </c>
      <c r="B479" s="594">
        <v>-2000000</v>
      </c>
      <c r="C479" s="31">
        <f t="shared" si="92"/>
        <v>0</v>
      </c>
      <c r="D479" s="50">
        <v>2010140</v>
      </c>
      <c r="E479" s="31">
        <f t="shared" si="93"/>
        <v>-0.69</v>
      </c>
      <c r="F479" s="900">
        <v>0</v>
      </c>
      <c r="G479" s="899">
        <f t="shared" si="94"/>
        <v>70516.2</v>
      </c>
      <c r="H479" s="50">
        <v>0</v>
      </c>
      <c r="I479" s="31">
        <f t="shared" si="95"/>
        <v>0</v>
      </c>
      <c r="J479" s="50">
        <v>0</v>
      </c>
      <c r="K479" s="31">
        <f t="shared" si="96"/>
        <v>0</v>
      </c>
      <c r="L479" s="50">
        <v>0</v>
      </c>
      <c r="M479" s="31">
        <f t="shared" si="97"/>
        <v>0</v>
      </c>
      <c r="N479" s="50">
        <v>0</v>
      </c>
      <c r="O479" s="31">
        <f t="shared" si="98"/>
        <v>0</v>
      </c>
      <c r="P479" s="51" t="s">
        <v>832</v>
      </c>
      <c r="Q479" s="51"/>
      <c r="R479" s="765"/>
      <c r="S479" s="765"/>
      <c r="T479" s="765"/>
      <c r="U479" s="765"/>
      <c r="V479" s="765"/>
    </row>
    <row r="480" spans="1:22" x14ac:dyDescent="0.25">
      <c r="A480" s="10">
        <v>44082</v>
      </c>
      <c r="B480" s="594">
        <v>0</v>
      </c>
      <c r="C480" s="31">
        <f t="shared" si="92"/>
        <v>0</v>
      </c>
      <c r="D480" s="50">
        <v>-2010140</v>
      </c>
      <c r="E480" s="31">
        <f t="shared" si="93"/>
        <v>-2010140.69</v>
      </c>
      <c r="F480" s="900">
        <v>0</v>
      </c>
      <c r="G480" s="899">
        <f t="shared" si="94"/>
        <v>70516.2</v>
      </c>
      <c r="H480" s="50">
        <v>0</v>
      </c>
      <c r="I480" s="31">
        <f t="shared" si="95"/>
        <v>0</v>
      </c>
      <c r="J480" s="50">
        <v>0</v>
      </c>
      <c r="K480" s="31">
        <f t="shared" si="96"/>
        <v>0</v>
      </c>
      <c r="L480" s="50">
        <v>0</v>
      </c>
      <c r="M480" s="31">
        <f t="shared" si="97"/>
        <v>0</v>
      </c>
      <c r="N480" s="50">
        <v>0</v>
      </c>
      <c r="O480" s="31">
        <f t="shared" si="98"/>
        <v>0</v>
      </c>
      <c r="P480" s="51" t="s">
        <v>2140</v>
      </c>
      <c r="Q480" s="51"/>
      <c r="R480" s="765"/>
      <c r="S480" s="765"/>
      <c r="T480" s="765"/>
      <c r="U480" s="765"/>
      <c r="V480" s="765"/>
    </row>
    <row r="481" spans="1:22" x14ac:dyDescent="0.25">
      <c r="A481" s="10">
        <v>44082</v>
      </c>
      <c r="B481" s="594">
        <v>0</v>
      </c>
      <c r="C481" s="31">
        <f t="shared" si="92"/>
        <v>0</v>
      </c>
      <c r="D481" s="50">
        <v>2000000</v>
      </c>
      <c r="E481" s="31">
        <f t="shared" si="93"/>
        <v>-10140.69</v>
      </c>
      <c r="F481" s="900">
        <v>0</v>
      </c>
      <c r="G481" s="899">
        <f t="shared" si="94"/>
        <v>70516.2</v>
      </c>
      <c r="H481" s="50">
        <v>0</v>
      </c>
      <c r="I481" s="31">
        <f t="shared" si="95"/>
        <v>0</v>
      </c>
      <c r="J481" s="50">
        <v>0</v>
      </c>
      <c r="K481" s="31">
        <f t="shared" si="96"/>
        <v>0</v>
      </c>
      <c r="L481" s="50">
        <v>0</v>
      </c>
      <c r="M481" s="31">
        <f t="shared" si="97"/>
        <v>0</v>
      </c>
      <c r="N481" s="50">
        <v>0</v>
      </c>
      <c r="O481" s="31">
        <f t="shared" si="98"/>
        <v>0</v>
      </c>
      <c r="P481" s="51" t="s">
        <v>2139</v>
      </c>
      <c r="Q481" s="51"/>
      <c r="R481" s="765"/>
      <c r="S481" s="765"/>
      <c r="T481" s="765"/>
      <c r="U481" s="765"/>
      <c r="V481" s="765"/>
    </row>
    <row r="482" spans="1:22" x14ac:dyDescent="0.25">
      <c r="A482" s="10">
        <v>44082</v>
      </c>
      <c r="B482" s="594">
        <v>0</v>
      </c>
      <c r="C482" s="31">
        <f t="shared" si="92"/>
        <v>0</v>
      </c>
      <c r="D482" s="50">
        <v>-406000</v>
      </c>
      <c r="E482" s="31">
        <f t="shared" si="93"/>
        <v>-416140.69</v>
      </c>
      <c r="F482" s="900">
        <v>0</v>
      </c>
      <c r="G482" s="899">
        <f t="shared" si="94"/>
        <v>70516.2</v>
      </c>
      <c r="H482" s="50">
        <v>0</v>
      </c>
      <c r="I482" s="31">
        <f t="shared" si="95"/>
        <v>0</v>
      </c>
      <c r="J482" s="50">
        <v>0</v>
      </c>
      <c r="K482" s="31">
        <f t="shared" si="96"/>
        <v>0</v>
      </c>
      <c r="L482" s="50">
        <v>0</v>
      </c>
      <c r="M482" s="31">
        <f t="shared" si="97"/>
        <v>0</v>
      </c>
      <c r="N482" s="50">
        <v>0</v>
      </c>
      <c r="O482" s="31">
        <f t="shared" si="98"/>
        <v>0</v>
      </c>
      <c r="P482" s="51" t="s">
        <v>2141</v>
      </c>
      <c r="Q482" s="51"/>
      <c r="R482" s="765"/>
      <c r="S482" s="765"/>
      <c r="T482" s="765"/>
      <c r="U482" s="765"/>
      <c r="V482" s="765"/>
    </row>
    <row r="483" spans="1:22" x14ac:dyDescent="0.25">
      <c r="A483" s="10">
        <v>44082</v>
      </c>
      <c r="B483" s="594">
        <v>0</v>
      </c>
      <c r="C483" s="31">
        <f t="shared" si="92"/>
        <v>0</v>
      </c>
      <c r="D483" s="50">
        <v>416140.69</v>
      </c>
      <c r="E483" s="31">
        <f t="shared" si="93"/>
        <v>0</v>
      </c>
      <c r="F483" s="900">
        <v>0</v>
      </c>
      <c r="G483" s="899">
        <f t="shared" si="94"/>
        <v>70516.2</v>
      </c>
      <c r="H483" s="50">
        <v>0</v>
      </c>
      <c r="I483" s="31">
        <f t="shared" si="95"/>
        <v>0</v>
      </c>
      <c r="J483" s="50">
        <v>0</v>
      </c>
      <c r="K483" s="31">
        <f t="shared" si="96"/>
        <v>0</v>
      </c>
      <c r="L483" s="50">
        <v>0</v>
      </c>
      <c r="M483" s="31">
        <f t="shared" si="97"/>
        <v>0</v>
      </c>
      <c r="N483" s="50">
        <v>0</v>
      </c>
      <c r="O483" s="31">
        <f t="shared" si="98"/>
        <v>0</v>
      </c>
      <c r="P483" s="51" t="s">
        <v>845</v>
      </c>
      <c r="Q483" s="51"/>
      <c r="R483" s="765"/>
      <c r="S483" s="765"/>
      <c r="T483" s="765"/>
      <c r="U483" s="765"/>
      <c r="V483" s="765"/>
    </row>
    <row r="484" spans="1:22" x14ac:dyDescent="0.25">
      <c r="A484" s="10">
        <v>44089</v>
      </c>
      <c r="B484" s="594">
        <v>0</v>
      </c>
      <c r="C484" s="31">
        <f t="shared" si="92"/>
        <v>0</v>
      </c>
      <c r="D484" s="50">
        <v>326000</v>
      </c>
      <c r="E484" s="31">
        <f t="shared" si="93"/>
        <v>326000</v>
      </c>
      <c r="F484" s="900">
        <v>0</v>
      </c>
      <c r="G484" s="899">
        <f t="shared" si="94"/>
        <v>70516.2</v>
      </c>
      <c r="H484" s="50">
        <v>0</v>
      </c>
      <c r="I484" s="31">
        <f t="shared" si="95"/>
        <v>0</v>
      </c>
      <c r="J484" s="50">
        <v>0</v>
      </c>
      <c r="K484" s="31">
        <f t="shared" si="96"/>
        <v>0</v>
      </c>
      <c r="L484" s="50">
        <v>0</v>
      </c>
      <c r="M484" s="31">
        <f t="shared" si="97"/>
        <v>0</v>
      </c>
      <c r="N484" s="50">
        <v>0</v>
      </c>
      <c r="O484" s="31">
        <f t="shared" si="98"/>
        <v>0</v>
      </c>
      <c r="P484" s="51" t="s">
        <v>2032</v>
      </c>
      <c r="Q484" s="51"/>
      <c r="R484" s="765"/>
      <c r="S484" s="765"/>
      <c r="T484" s="765"/>
      <c r="U484" s="765"/>
      <c r="V484" s="765"/>
    </row>
    <row r="485" spans="1:22" x14ac:dyDescent="0.25">
      <c r="A485" s="10">
        <v>44089</v>
      </c>
      <c r="B485" s="594">
        <v>0</v>
      </c>
      <c r="C485" s="31">
        <f t="shared" si="92"/>
        <v>0</v>
      </c>
      <c r="D485" s="50">
        <v>-326000</v>
      </c>
      <c r="E485" s="31">
        <f t="shared" si="93"/>
        <v>0</v>
      </c>
      <c r="F485" s="900">
        <v>0</v>
      </c>
      <c r="G485" s="899">
        <f t="shared" si="94"/>
        <v>70516.2</v>
      </c>
      <c r="H485" s="50">
        <v>0</v>
      </c>
      <c r="I485" s="31">
        <f t="shared" si="95"/>
        <v>0</v>
      </c>
      <c r="J485" s="50">
        <v>0</v>
      </c>
      <c r="K485" s="31">
        <f t="shared" si="96"/>
        <v>0</v>
      </c>
      <c r="L485" s="50">
        <v>0</v>
      </c>
      <c r="M485" s="31">
        <f t="shared" si="97"/>
        <v>0</v>
      </c>
      <c r="N485" s="50">
        <v>0</v>
      </c>
      <c r="O485" s="31">
        <f t="shared" si="98"/>
        <v>0</v>
      </c>
      <c r="P485" s="51" t="s">
        <v>845</v>
      </c>
      <c r="Q485" s="51"/>
      <c r="R485" s="765"/>
      <c r="S485" s="765"/>
      <c r="T485" s="765"/>
      <c r="U485" s="765"/>
      <c r="V485" s="765"/>
    </row>
    <row r="486" spans="1:22" x14ac:dyDescent="0.25">
      <c r="A486" s="10">
        <v>44090</v>
      </c>
      <c r="B486" s="594">
        <v>0</v>
      </c>
      <c r="C486" s="31">
        <f t="shared" si="92"/>
        <v>0</v>
      </c>
      <c r="D486" s="50">
        <v>-101116681.25</v>
      </c>
      <c r="E486" s="31">
        <f t="shared" si="93"/>
        <v>-101116681.25</v>
      </c>
      <c r="F486" s="900">
        <v>0</v>
      </c>
      <c r="G486" s="899">
        <f t="shared" si="94"/>
        <v>70516.2</v>
      </c>
      <c r="H486" s="50">
        <v>0</v>
      </c>
      <c r="I486" s="31">
        <f t="shared" si="95"/>
        <v>0</v>
      </c>
      <c r="J486" s="50">
        <v>0</v>
      </c>
      <c r="K486" s="31">
        <f t="shared" si="96"/>
        <v>0</v>
      </c>
      <c r="L486" s="50">
        <v>0</v>
      </c>
      <c r="M486" s="31">
        <f t="shared" si="97"/>
        <v>0</v>
      </c>
      <c r="N486" s="50">
        <v>0</v>
      </c>
      <c r="O486" s="31">
        <f t="shared" si="98"/>
        <v>0</v>
      </c>
      <c r="P486" s="51" t="s">
        <v>2045</v>
      </c>
      <c r="Q486" s="51"/>
      <c r="R486" s="765"/>
      <c r="S486" s="765"/>
      <c r="T486" s="765"/>
      <c r="U486" s="765"/>
      <c r="V486" s="765"/>
    </row>
    <row r="487" spans="1:22" x14ac:dyDescent="0.25">
      <c r="A487" s="10">
        <v>44090</v>
      </c>
      <c r="B487" s="594">
        <v>0</v>
      </c>
      <c r="C487" s="31">
        <f t="shared" si="92"/>
        <v>0</v>
      </c>
      <c r="D487" s="50">
        <v>0</v>
      </c>
      <c r="E487" s="31">
        <f t="shared" si="93"/>
        <v>-101116681.25</v>
      </c>
      <c r="F487" s="900">
        <v>-25110783.329999998</v>
      </c>
      <c r="G487" s="899">
        <f t="shared" si="94"/>
        <v>-25040267.129999999</v>
      </c>
      <c r="H487" s="50">
        <v>0</v>
      </c>
      <c r="I487" s="31">
        <f t="shared" si="95"/>
        <v>0</v>
      </c>
      <c r="J487" s="50">
        <v>0</v>
      </c>
      <c r="K487" s="31">
        <f t="shared" si="96"/>
        <v>0</v>
      </c>
      <c r="L487" s="50">
        <v>0</v>
      </c>
      <c r="M487" s="31">
        <f t="shared" si="97"/>
        <v>0</v>
      </c>
      <c r="N487" s="50">
        <v>0</v>
      </c>
      <c r="O487" s="31">
        <f t="shared" si="98"/>
        <v>0</v>
      </c>
      <c r="P487" s="51" t="s">
        <v>1985</v>
      </c>
      <c r="Q487" s="51"/>
      <c r="R487" s="765"/>
      <c r="S487" s="765"/>
      <c r="T487" s="765"/>
      <c r="U487" s="765"/>
      <c r="V487" s="765"/>
    </row>
    <row r="488" spans="1:22" x14ac:dyDescent="0.25">
      <c r="A488" s="10">
        <v>44090</v>
      </c>
      <c r="B488" s="594">
        <v>0</v>
      </c>
      <c r="C488" s="31">
        <f t="shared" si="92"/>
        <v>0</v>
      </c>
      <c r="D488" s="50">
        <v>44058570.06222222</v>
      </c>
      <c r="E488" s="31">
        <f t="shared" si="93"/>
        <v>-57058111.189999998</v>
      </c>
      <c r="F488" s="900">
        <v>0</v>
      </c>
      <c r="G488" s="899">
        <f t="shared" si="94"/>
        <v>-25040267.129999999</v>
      </c>
      <c r="H488" s="50">
        <v>0</v>
      </c>
      <c r="I488" s="31">
        <f t="shared" si="95"/>
        <v>0</v>
      </c>
      <c r="J488" s="50">
        <v>0</v>
      </c>
      <c r="K488" s="31">
        <f t="shared" si="96"/>
        <v>0</v>
      </c>
      <c r="L488" s="50">
        <v>0</v>
      </c>
      <c r="M488" s="31">
        <f t="shared" si="97"/>
        <v>0</v>
      </c>
      <c r="N488" s="50">
        <v>0</v>
      </c>
      <c r="O488" s="31">
        <f t="shared" si="98"/>
        <v>0</v>
      </c>
      <c r="P488" s="51" t="s">
        <v>2159</v>
      </c>
      <c r="Q488" s="1053">
        <f>R488+S488</f>
        <v>44058570.06222222</v>
      </c>
      <c r="R488" s="765">
        <v>44000000</v>
      </c>
      <c r="S488" s="765">
        <v>58570.06222222223</v>
      </c>
      <c r="T488" s="765"/>
      <c r="U488" s="765"/>
      <c r="V488" s="765"/>
    </row>
    <row r="489" spans="1:22" x14ac:dyDescent="0.25">
      <c r="A489" s="10">
        <v>44090</v>
      </c>
      <c r="B489" s="594">
        <v>0</v>
      </c>
      <c r="C489" s="31">
        <f t="shared" si="92"/>
        <v>0</v>
      </c>
      <c r="D489" s="50">
        <v>32861780.096490536</v>
      </c>
      <c r="E489" s="31">
        <f t="shared" si="93"/>
        <v>-24196331.09</v>
      </c>
      <c r="F489" s="900">
        <v>0</v>
      </c>
      <c r="G489" s="899">
        <f t="shared" si="94"/>
        <v>-25040267.129999999</v>
      </c>
      <c r="H489" s="50">
        <v>0</v>
      </c>
      <c r="I489" s="31">
        <f t="shared" si="95"/>
        <v>0</v>
      </c>
      <c r="J489" s="50">
        <v>0</v>
      </c>
      <c r="K489" s="31">
        <f t="shared" si="96"/>
        <v>0</v>
      </c>
      <c r="L489" s="50">
        <v>0</v>
      </c>
      <c r="M489" s="31">
        <f t="shared" si="97"/>
        <v>0</v>
      </c>
      <c r="N489" s="50">
        <v>0</v>
      </c>
      <c r="O489" s="31">
        <f t="shared" si="98"/>
        <v>0</v>
      </c>
      <c r="P489" s="51" t="s">
        <v>2160</v>
      </c>
      <c r="Q489" s="1053">
        <f t="shared" ref="Q489:Q495" si="99">R489+S489</f>
        <v>-44289081.173333332</v>
      </c>
      <c r="R489" s="765">
        <v>-44000000</v>
      </c>
      <c r="S489" s="765">
        <v>-289081.17333333328</v>
      </c>
      <c r="T489" s="765"/>
      <c r="U489" s="765"/>
      <c r="V489" s="765"/>
    </row>
    <row r="490" spans="1:22" x14ac:dyDescent="0.25">
      <c r="A490" s="10">
        <v>44090</v>
      </c>
      <c r="B490" s="594">
        <v>0</v>
      </c>
      <c r="C490" s="31">
        <f t="shared" si="92"/>
        <v>0</v>
      </c>
      <c r="D490" s="50">
        <v>22029285.03111111</v>
      </c>
      <c r="E490" s="31">
        <f t="shared" si="93"/>
        <v>-2167046.06</v>
      </c>
      <c r="F490" s="900">
        <v>0</v>
      </c>
      <c r="G490" s="899">
        <f t="shared" si="94"/>
        <v>-25040267.129999999</v>
      </c>
      <c r="H490" s="50">
        <v>0</v>
      </c>
      <c r="I490" s="31">
        <f t="shared" si="95"/>
        <v>0</v>
      </c>
      <c r="J490" s="50">
        <v>0</v>
      </c>
      <c r="K490" s="31">
        <f t="shared" si="96"/>
        <v>0</v>
      </c>
      <c r="L490" s="50">
        <v>0</v>
      </c>
      <c r="M490" s="31">
        <f t="shared" si="97"/>
        <v>0</v>
      </c>
      <c r="N490" s="50">
        <v>0</v>
      </c>
      <c r="O490" s="31">
        <f t="shared" si="98"/>
        <v>0</v>
      </c>
      <c r="P490" s="51" t="s">
        <v>2161</v>
      </c>
      <c r="Q490" s="1053">
        <f t="shared" si="99"/>
        <v>32861780.096490536</v>
      </c>
      <c r="R490" s="765">
        <v>32841822.34</v>
      </c>
      <c r="S490" s="765">
        <v>19957.756490535736</v>
      </c>
      <c r="T490" s="765"/>
      <c r="U490" s="765"/>
      <c r="V490" s="765"/>
    </row>
    <row r="491" spans="1:22" x14ac:dyDescent="0.25">
      <c r="A491" s="10">
        <v>44090</v>
      </c>
      <c r="B491" s="594">
        <v>0</v>
      </c>
      <c r="C491" s="31">
        <f t="shared" si="92"/>
        <v>0</v>
      </c>
      <c r="D491" s="50">
        <v>2010372.6759384889</v>
      </c>
      <c r="E491" s="31">
        <f t="shared" si="93"/>
        <v>-156673.38</v>
      </c>
      <c r="F491" s="900">
        <v>0</v>
      </c>
      <c r="G491" s="899">
        <f t="shared" si="94"/>
        <v>-25040267.129999999</v>
      </c>
      <c r="H491" s="50">
        <v>0</v>
      </c>
      <c r="I491" s="31">
        <f t="shared" si="95"/>
        <v>0</v>
      </c>
      <c r="J491" s="50">
        <v>0</v>
      </c>
      <c r="K491" s="31">
        <f t="shared" si="96"/>
        <v>0</v>
      </c>
      <c r="L491" s="50">
        <v>0</v>
      </c>
      <c r="M491" s="31">
        <f t="shared" si="97"/>
        <v>0</v>
      </c>
      <c r="N491" s="50">
        <v>0</v>
      </c>
      <c r="O491" s="31">
        <f t="shared" si="98"/>
        <v>0</v>
      </c>
      <c r="P491" s="51" t="s">
        <v>2162</v>
      </c>
      <c r="Q491" s="1053">
        <f t="shared" si="99"/>
        <v>-33093263.85670834</v>
      </c>
      <c r="R491" s="765">
        <v>-32841822.34</v>
      </c>
      <c r="S491" s="765">
        <v>-251441.51670834018</v>
      </c>
      <c r="T491" s="765"/>
      <c r="U491" s="765"/>
      <c r="V491" s="765"/>
    </row>
    <row r="492" spans="1:22" x14ac:dyDescent="0.25">
      <c r="A492" s="10">
        <v>44090</v>
      </c>
      <c r="B492" s="594">
        <v>0</v>
      </c>
      <c r="C492" s="31">
        <f t="shared" si="92"/>
        <v>0</v>
      </c>
      <c r="D492" s="50">
        <v>-44289081.173333332</v>
      </c>
      <c r="E492" s="31">
        <f t="shared" si="93"/>
        <v>-44445754.549999997</v>
      </c>
      <c r="F492" s="900">
        <v>0</v>
      </c>
      <c r="G492" s="899">
        <f t="shared" si="94"/>
        <v>-25040267.129999999</v>
      </c>
      <c r="H492" s="50">
        <v>0</v>
      </c>
      <c r="I492" s="31">
        <f t="shared" si="95"/>
        <v>0</v>
      </c>
      <c r="J492" s="50">
        <v>0</v>
      </c>
      <c r="K492" s="31">
        <f t="shared" si="96"/>
        <v>0</v>
      </c>
      <c r="L492" s="50">
        <v>0</v>
      </c>
      <c r="M492" s="31">
        <f t="shared" si="97"/>
        <v>0</v>
      </c>
      <c r="N492" s="50">
        <v>0</v>
      </c>
      <c r="O492" s="31">
        <f t="shared" si="98"/>
        <v>0</v>
      </c>
      <c r="P492" s="51" t="s">
        <v>2163</v>
      </c>
      <c r="Q492" s="1053">
        <f t="shared" si="99"/>
        <v>22029285.03111111</v>
      </c>
      <c r="R492" s="765">
        <v>22000000</v>
      </c>
      <c r="S492" s="765">
        <v>29285.031111111115</v>
      </c>
      <c r="T492" s="765"/>
      <c r="U492" s="765"/>
      <c r="V492" s="765"/>
    </row>
    <row r="493" spans="1:22" x14ac:dyDescent="0.25">
      <c r="A493" s="10">
        <v>44090</v>
      </c>
      <c r="B493" s="594">
        <v>0</v>
      </c>
      <c r="C493" s="31">
        <f t="shared" si="92"/>
        <v>0</v>
      </c>
      <c r="D493" s="50">
        <v>-33093263.85670834</v>
      </c>
      <c r="E493" s="31">
        <f t="shared" si="93"/>
        <v>-77539018.409999996</v>
      </c>
      <c r="F493" s="900">
        <v>0</v>
      </c>
      <c r="G493" s="899">
        <f t="shared" si="94"/>
        <v>-25040267.129999999</v>
      </c>
      <c r="H493" s="50">
        <v>0</v>
      </c>
      <c r="I493" s="31">
        <f t="shared" si="95"/>
        <v>0</v>
      </c>
      <c r="J493" s="50">
        <v>0</v>
      </c>
      <c r="K493" s="31">
        <f t="shared" si="96"/>
        <v>0</v>
      </c>
      <c r="L493" s="50">
        <v>0</v>
      </c>
      <c r="M493" s="31">
        <f t="shared" si="97"/>
        <v>0</v>
      </c>
      <c r="N493" s="50">
        <v>0</v>
      </c>
      <c r="O493" s="31">
        <f t="shared" si="98"/>
        <v>0</v>
      </c>
      <c r="P493" s="51" t="s">
        <v>2164</v>
      </c>
      <c r="Q493" s="1053">
        <f t="shared" si="99"/>
        <v>-22134701.697777778</v>
      </c>
      <c r="R493" s="765">
        <v>-22000000</v>
      </c>
      <c r="S493" s="765">
        <v>-134701.69777777776</v>
      </c>
      <c r="T493" s="765"/>
      <c r="U493" s="765"/>
      <c r="V493" s="765"/>
    </row>
    <row r="494" spans="1:22" x14ac:dyDescent="0.25">
      <c r="A494" s="10">
        <v>44090</v>
      </c>
      <c r="B494" s="594">
        <v>0</v>
      </c>
      <c r="C494" s="31">
        <f t="shared" si="92"/>
        <v>0</v>
      </c>
      <c r="D494" s="50">
        <v>-22134701.697777778</v>
      </c>
      <c r="E494" s="31">
        <f t="shared" si="93"/>
        <v>-99673720.109999999</v>
      </c>
      <c r="F494" s="900">
        <v>0</v>
      </c>
      <c r="G494" s="899">
        <f t="shared" si="94"/>
        <v>-25040267.129999999</v>
      </c>
      <c r="H494" s="50">
        <v>0</v>
      </c>
      <c r="I494" s="31">
        <f t="shared" si="95"/>
        <v>0</v>
      </c>
      <c r="J494" s="50">
        <v>0</v>
      </c>
      <c r="K494" s="31">
        <f t="shared" si="96"/>
        <v>0</v>
      </c>
      <c r="L494" s="50">
        <v>0</v>
      </c>
      <c r="M494" s="31">
        <f t="shared" si="97"/>
        <v>0</v>
      </c>
      <c r="N494" s="50">
        <v>0</v>
      </c>
      <c r="O494" s="31">
        <f t="shared" si="98"/>
        <v>0</v>
      </c>
      <c r="P494" s="51" t="s">
        <v>2165</v>
      </c>
      <c r="Q494" s="1053">
        <f t="shared" si="99"/>
        <v>2010372.6759384889</v>
      </c>
      <c r="R494" s="765">
        <v>2010140</v>
      </c>
      <c r="S494" s="765">
        <v>232.67593848888893</v>
      </c>
      <c r="T494" s="765"/>
      <c r="U494" s="765"/>
      <c r="V494" s="765"/>
    </row>
    <row r="495" spans="1:22" x14ac:dyDescent="0.25">
      <c r="A495" s="10">
        <v>44090</v>
      </c>
      <c r="B495" s="594">
        <v>0</v>
      </c>
      <c r="C495" s="31">
        <f t="shared" si="92"/>
        <v>0</v>
      </c>
      <c r="D495" s="50">
        <v>-2011288.4063829333</v>
      </c>
      <c r="E495" s="31">
        <f t="shared" si="93"/>
        <v>-101685008.52</v>
      </c>
      <c r="F495" s="900">
        <v>0</v>
      </c>
      <c r="G495" s="899">
        <f t="shared" si="94"/>
        <v>-25040267.129999999</v>
      </c>
      <c r="H495" s="50">
        <v>0</v>
      </c>
      <c r="I495" s="31">
        <f t="shared" si="95"/>
        <v>0</v>
      </c>
      <c r="J495" s="50">
        <v>0</v>
      </c>
      <c r="K495" s="31">
        <f t="shared" si="96"/>
        <v>0</v>
      </c>
      <c r="L495" s="50">
        <v>0</v>
      </c>
      <c r="M495" s="31">
        <f t="shared" si="97"/>
        <v>0</v>
      </c>
      <c r="N495" s="50">
        <v>0</v>
      </c>
      <c r="O495" s="31">
        <f t="shared" si="98"/>
        <v>0</v>
      </c>
      <c r="P495" s="51" t="s">
        <v>2166</v>
      </c>
      <c r="Q495" s="1053">
        <f t="shared" si="99"/>
        <v>-2011288.4063829333</v>
      </c>
      <c r="R495" s="765">
        <v>-2010140</v>
      </c>
      <c r="S495" s="765">
        <v>-1148.4063829333331</v>
      </c>
      <c r="T495" s="765"/>
      <c r="U495" s="765"/>
      <c r="V495" s="765"/>
    </row>
    <row r="496" spans="1:22" x14ac:dyDescent="0.25">
      <c r="A496" s="10">
        <v>44090</v>
      </c>
      <c r="B496" s="594">
        <v>0</v>
      </c>
      <c r="C496" s="31">
        <f t="shared" si="92"/>
        <v>0</v>
      </c>
      <c r="D496" s="50">
        <v>59244.791666666664</v>
      </c>
      <c r="E496" s="31">
        <f t="shared" si="93"/>
        <v>-101625763.73</v>
      </c>
      <c r="F496" s="900">
        <v>0</v>
      </c>
      <c r="G496" s="899">
        <f t="shared" si="94"/>
        <v>-25040267.129999999</v>
      </c>
      <c r="H496" s="50">
        <v>0</v>
      </c>
      <c r="I496" s="31">
        <f t="shared" si="95"/>
        <v>0</v>
      </c>
      <c r="J496" s="50">
        <v>0</v>
      </c>
      <c r="K496" s="31">
        <f t="shared" si="96"/>
        <v>0</v>
      </c>
      <c r="L496" s="50">
        <v>0</v>
      </c>
      <c r="M496" s="31">
        <f t="shared" si="97"/>
        <v>0</v>
      </c>
      <c r="N496" s="50">
        <v>0</v>
      </c>
      <c r="O496" s="31">
        <f t="shared" si="98"/>
        <v>0</v>
      </c>
      <c r="P496" s="51" t="s">
        <v>2167</v>
      </c>
      <c r="Q496" s="51"/>
      <c r="R496" s="765"/>
      <c r="S496" s="765"/>
      <c r="T496" s="765"/>
      <c r="U496" s="765"/>
      <c r="V496" s="765"/>
    </row>
    <row r="497" spans="1:22" x14ac:dyDescent="0.25">
      <c r="A497" s="10">
        <v>44090</v>
      </c>
      <c r="B497" s="594">
        <v>0</v>
      </c>
      <c r="C497" s="31">
        <f t="shared" si="92"/>
        <v>0</v>
      </c>
      <c r="D497" s="50">
        <v>1090.1041666666665</v>
      </c>
      <c r="E497" s="31">
        <f t="shared" si="93"/>
        <v>-101624673.63</v>
      </c>
      <c r="F497" s="900">
        <v>0</v>
      </c>
      <c r="G497" s="899">
        <f t="shared" si="94"/>
        <v>-25040267.129999999</v>
      </c>
      <c r="H497" s="50">
        <v>0</v>
      </c>
      <c r="I497" s="31">
        <f t="shared" si="95"/>
        <v>0</v>
      </c>
      <c r="J497" s="50">
        <v>0</v>
      </c>
      <c r="K497" s="31">
        <f t="shared" si="96"/>
        <v>0</v>
      </c>
      <c r="L497" s="50">
        <v>0</v>
      </c>
      <c r="M497" s="31">
        <f t="shared" si="97"/>
        <v>0</v>
      </c>
      <c r="N497" s="50">
        <v>0</v>
      </c>
      <c r="O497" s="31">
        <f t="shared" si="98"/>
        <v>0</v>
      </c>
      <c r="P497" s="51" t="s">
        <v>2168</v>
      </c>
      <c r="Q497" s="51"/>
      <c r="R497" s="765"/>
      <c r="S497" s="765"/>
      <c r="T497" s="765"/>
      <c r="U497" s="765"/>
      <c r="V497" s="765"/>
    </row>
    <row r="498" spans="1:22" x14ac:dyDescent="0.25">
      <c r="A498" s="10">
        <v>44090</v>
      </c>
      <c r="B498" s="594">
        <v>0</v>
      </c>
      <c r="C498" s="31">
        <f t="shared" si="92"/>
        <v>0</v>
      </c>
      <c r="D498" s="50">
        <v>818.30903079569202</v>
      </c>
      <c r="E498" s="31">
        <f t="shared" si="93"/>
        <v>-101623855.31999999</v>
      </c>
      <c r="F498" s="900">
        <v>0</v>
      </c>
      <c r="G498" s="899">
        <f t="shared" si="94"/>
        <v>-25040267.129999999</v>
      </c>
      <c r="H498" s="50">
        <v>0</v>
      </c>
      <c r="I498" s="31">
        <f t="shared" si="95"/>
        <v>0</v>
      </c>
      <c r="J498" s="50">
        <v>0</v>
      </c>
      <c r="K498" s="31">
        <f t="shared" si="96"/>
        <v>0</v>
      </c>
      <c r="L498" s="50">
        <v>0</v>
      </c>
      <c r="M498" s="31">
        <f t="shared" si="97"/>
        <v>0</v>
      </c>
      <c r="N498" s="50">
        <v>0</v>
      </c>
      <c r="O498" s="31">
        <f t="shared" si="98"/>
        <v>0</v>
      </c>
      <c r="P498" s="51" t="s">
        <v>1991</v>
      </c>
      <c r="Q498" s="51"/>
      <c r="R498" s="765"/>
      <c r="S498" s="765"/>
      <c r="T498" s="765"/>
      <c r="U498" s="765"/>
      <c r="V498" s="765"/>
    </row>
    <row r="499" spans="1:22" x14ac:dyDescent="0.25">
      <c r="A499" s="10">
        <v>44090</v>
      </c>
      <c r="B499" s="594">
        <v>0</v>
      </c>
      <c r="C499" s="31">
        <f t="shared" si="92"/>
        <v>0</v>
      </c>
      <c r="D499" s="50">
        <v>10161.666666666668</v>
      </c>
      <c r="E499" s="31">
        <f t="shared" si="93"/>
        <v>-101613693.65000001</v>
      </c>
      <c r="F499" s="900">
        <v>0</v>
      </c>
      <c r="G499" s="899">
        <f t="shared" si="94"/>
        <v>-25040267.129999999</v>
      </c>
      <c r="H499" s="50">
        <v>0</v>
      </c>
      <c r="I499" s="31">
        <f t="shared" si="95"/>
        <v>0</v>
      </c>
      <c r="J499" s="50">
        <v>0</v>
      </c>
      <c r="K499" s="31">
        <f t="shared" si="96"/>
        <v>0</v>
      </c>
      <c r="L499" s="50">
        <v>0</v>
      </c>
      <c r="M499" s="31">
        <f t="shared" si="97"/>
        <v>0</v>
      </c>
      <c r="N499" s="50">
        <v>0</v>
      </c>
      <c r="O499" s="31">
        <f t="shared" si="98"/>
        <v>0</v>
      </c>
      <c r="P499" s="51" t="s">
        <v>1992</v>
      </c>
      <c r="Q499" s="51"/>
      <c r="R499" s="765"/>
      <c r="S499" s="765"/>
      <c r="T499" s="765"/>
      <c r="U499" s="765"/>
      <c r="V499" s="765"/>
    </row>
    <row r="500" spans="1:22" x14ac:dyDescent="0.25">
      <c r="A500" s="10">
        <v>44090</v>
      </c>
      <c r="B500" s="594">
        <v>0</v>
      </c>
      <c r="C500" s="31">
        <f t="shared" si="92"/>
        <v>0</v>
      </c>
      <c r="D500" s="50">
        <v>0</v>
      </c>
      <c r="E500" s="31">
        <f t="shared" si="93"/>
        <v>-101613693.65000001</v>
      </c>
      <c r="F500" s="900">
        <v>22370.833333333336</v>
      </c>
      <c r="G500" s="899">
        <f t="shared" si="94"/>
        <v>-25017896.300000001</v>
      </c>
      <c r="H500" s="50">
        <v>0</v>
      </c>
      <c r="I500" s="31">
        <f t="shared" si="95"/>
        <v>0</v>
      </c>
      <c r="J500" s="50">
        <v>0</v>
      </c>
      <c r="K500" s="31">
        <f t="shared" si="96"/>
        <v>0</v>
      </c>
      <c r="L500" s="50">
        <v>0</v>
      </c>
      <c r="M500" s="31">
        <f t="shared" si="97"/>
        <v>0</v>
      </c>
      <c r="N500" s="50">
        <v>0</v>
      </c>
      <c r="O500" s="31">
        <f t="shared" si="98"/>
        <v>0</v>
      </c>
      <c r="P500" s="51" t="s">
        <v>1993</v>
      </c>
      <c r="Q500" s="51"/>
      <c r="R500" s="765"/>
      <c r="S500" s="765"/>
      <c r="T500" s="765"/>
      <c r="U500" s="765"/>
      <c r="V500" s="765"/>
    </row>
    <row r="501" spans="1:22" x14ac:dyDescent="0.25">
      <c r="A501" s="10">
        <v>44090</v>
      </c>
      <c r="B501" s="594">
        <v>-44000000</v>
      </c>
      <c r="C501" s="31">
        <f t="shared" si="92"/>
        <v>-44000000</v>
      </c>
      <c r="D501" s="50">
        <v>44289081.173333332</v>
      </c>
      <c r="E501" s="31">
        <f t="shared" si="93"/>
        <v>-57324612.479999997</v>
      </c>
      <c r="F501" s="900">
        <v>0</v>
      </c>
      <c r="G501" s="899">
        <f t="shared" si="94"/>
        <v>-25017896.300000001</v>
      </c>
      <c r="H501" s="50">
        <v>0</v>
      </c>
      <c r="I501" s="31">
        <f t="shared" si="95"/>
        <v>0</v>
      </c>
      <c r="J501" s="50">
        <v>0</v>
      </c>
      <c r="K501" s="31">
        <f t="shared" si="96"/>
        <v>0</v>
      </c>
      <c r="L501" s="50">
        <v>0</v>
      </c>
      <c r="M501" s="31">
        <f t="shared" si="97"/>
        <v>0</v>
      </c>
      <c r="N501" s="50">
        <v>0</v>
      </c>
      <c r="O501" s="31">
        <f t="shared" si="98"/>
        <v>0</v>
      </c>
      <c r="P501" s="51" t="s">
        <v>831</v>
      </c>
      <c r="Q501" s="51"/>
      <c r="R501" s="765"/>
      <c r="S501" s="765"/>
      <c r="T501" s="765"/>
      <c r="U501" s="765"/>
      <c r="V501" s="765"/>
    </row>
    <row r="502" spans="1:22" x14ac:dyDescent="0.25">
      <c r="A502" s="10">
        <v>44090</v>
      </c>
      <c r="B502" s="594">
        <v>-2000000</v>
      </c>
      <c r="C502" s="31">
        <f t="shared" si="92"/>
        <v>-46000000</v>
      </c>
      <c r="D502" s="50">
        <v>2013140.0533333332</v>
      </c>
      <c r="E502" s="31">
        <f t="shared" si="93"/>
        <v>-55311472.43</v>
      </c>
      <c r="F502" s="900">
        <v>0</v>
      </c>
      <c r="G502" s="899">
        <f t="shared" si="94"/>
        <v>-25017896.300000001</v>
      </c>
      <c r="H502" s="50">
        <v>0</v>
      </c>
      <c r="I502" s="31">
        <f t="shared" si="95"/>
        <v>0</v>
      </c>
      <c r="J502" s="50">
        <v>0</v>
      </c>
      <c r="K502" s="31">
        <f t="shared" si="96"/>
        <v>0</v>
      </c>
      <c r="L502" s="50">
        <v>0</v>
      </c>
      <c r="M502" s="31">
        <f t="shared" si="97"/>
        <v>0</v>
      </c>
      <c r="N502" s="50">
        <v>0</v>
      </c>
      <c r="O502" s="31">
        <f t="shared" si="98"/>
        <v>0</v>
      </c>
      <c r="P502" s="51" t="s">
        <v>831</v>
      </c>
      <c r="Q502" s="51"/>
      <c r="R502" s="765"/>
      <c r="S502" s="765"/>
      <c r="T502" s="765"/>
      <c r="U502" s="765"/>
      <c r="V502" s="765"/>
    </row>
    <row r="503" spans="1:22" x14ac:dyDescent="0.25">
      <c r="A503" s="10">
        <v>44090</v>
      </c>
      <c r="B503" s="594">
        <v>-32841822.335691299</v>
      </c>
      <c r="C503" s="31">
        <f t="shared" si="92"/>
        <v>-78841822.340000004</v>
      </c>
      <c r="D503" s="50">
        <v>33093263.852366604</v>
      </c>
      <c r="E503" s="31">
        <f t="shared" si="93"/>
        <v>-22218208.579999998</v>
      </c>
      <c r="F503" s="900">
        <v>0</v>
      </c>
      <c r="G503" s="899">
        <f t="shared" si="94"/>
        <v>-25017896.300000001</v>
      </c>
      <c r="H503" s="50">
        <v>0</v>
      </c>
      <c r="I503" s="31">
        <f t="shared" si="95"/>
        <v>0</v>
      </c>
      <c r="J503" s="50">
        <v>0</v>
      </c>
      <c r="K503" s="31">
        <f t="shared" si="96"/>
        <v>0</v>
      </c>
      <c r="L503" s="50">
        <v>0</v>
      </c>
      <c r="M503" s="31">
        <f t="shared" si="97"/>
        <v>0</v>
      </c>
      <c r="N503" s="50">
        <v>0</v>
      </c>
      <c r="O503" s="31">
        <f t="shared" si="98"/>
        <v>0</v>
      </c>
      <c r="P503" s="51" t="s">
        <v>880</v>
      </c>
      <c r="Q503" s="51"/>
      <c r="R503" s="117">
        <v>32841822.335691251</v>
      </c>
      <c r="S503" s="765"/>
      <c r="T503" s="765"/>
      <c r="U503" s="765"/>
      <c r="V503" s="765"/>
    </row>
    <row r="504" spans="1:22" x14ac:dyDescent="0.25">
      <c r="A504" s="10">
        <v>44090</v>
      </c>
      <c r="B504" s="594">
        <v>-22000000</v>
      </c>
      <c r="C504" s="31">
        <f t="shared" si="92"/>
        <v>-100841822.34</v>
      </c>
      <c r="D504" s="50">
        <v>22134701.697777778</v>
      </c>
      <c r="E504" s="31">
        <f t="shared" si="93"/>
        <v>-83506.880000000005</v>
      </c>
      <c r="F504" s="900">
        <v>0</v>
      </c>
      <c r="G504" s="899">
        <f t="shared" si="94"/>
        <v>-25017896.300000001</v>
      </c>
      <c r="H504" s="50">
        <v>0</v>
      </c>
      <c r="I504" s="31">
        <f t="shared" si="95"/>
        <v>0</v>
      </c>
      <c r="J504" s="50">
        <v>0</v>
      </c>
      <c r="K504" s="31">
        <f t="shared" si="96"/>
        <v>0</v>
      </c>
      <c r="L504" s="50">
        <v>0</v>
      </c>
      <c r="M504" s="31">
        <f t="shared" si="97"/>
        <v>0</v>
      </c>
      <c r="N504" s="50">
        <v>0</v>
      </c>
      <c r="O504" s="31">
        <f t="shared" si="98"/>
        <v>0</v>
      </c>
      <c r="P504" s="51" t="s">
        <v>1697</v>
      </c>
      <c r="Q504" s="51"/>
      <c r="R504" s="765"/>
      <c r="S504" s="765"/>
      <c r="T504" s="765"/>
      <c r="U504" s="765"/>
      <c r="V504" s="765"/>
    </row>
    <row r="505" spans="1:22" x14ac:dyDescent="0.25">
      <c r="A505" s="10">
        <v>44090</v>
      </c>
      <c r="B505" s="594">
        <v>-22500000</v>
      </c>
      <c r="C505" s="31">
        <f t="shared" si="92"/>
        <v>-123341822.34</v>
      </c>
      <c r="D505" s="50">
        <v>0</v>
      </c>
      <c r="E505" s="31">
        <f t="shared" si="93"/>
        <v>-83506.880000000005</v>
      </c>
      <c r="F505" s="900">
        <v>22599705</v>
      </c>
      <c r="G505" s="899">
        <f t="shared" si="94"/>
        <v>-2418191.2999999998</v>
      </c>
      <c r="H505" s="50">
        <v>0</v>
      </c>
      <c r="I505" s="31">
        <f t="shared" si="95"/>
        <v>0</v>
      </c>
      <c r="J505" s="50">
        <v>0</v>
      </c>
      <c r="K505" s="31">
        <f t="shared" si="96"/>
        <v>0</v>
      </c>
      <c r="L505" s="50">
        <v>0</v>
      </c>
      <c r="M505" s="31">
        <f t="shared" si="97"/>
        <v>0</v>
      </c>
      <c r="N505" s="50">
        <v>0</v>
      </c>
      <c r="O505" s="31">
        <f t="shared" si="98"/>
        <v>0</v>
      </c>
      <c r="P505" s="51" t="s">
        <v>1012</v>
      </c>
      <c r="Q505" s="51"/>
      <c r="R505" s="765"/>
      <c r="S505" s="765"/>
      <c r="T505" s="765"/>
      <c r="U505" s="765"/>
      <c r="V505" s="765"/>
    </row>
    <row r="506" spans="1:22" x14ac:dyDescent="0.25">
      <c r="A506" s="10">
        <v>44090</v>
      </c>
      <c r="B506" s="594">
        <v>-2500000</v>
      </c>
      <c r="C506" s="31">
        <f t="shared" si="92"/>
        <v>-125841822.34</v>
      </c>
      <c r="D506" s="50">
        <v>0</v>
      </c>
      <c r="E506" s="31">
        <f t="shared" si="93"/>
        <v>-83506.880000000005</v>
      </c>
      <c r="F506" s="900">
        <v>2511078.3333333335</v>
      </c>
      <c r="G506" s="899">
        <f t="shared" si="94"/>
        <v>92887.03</v>
      </c>
      <c r="H506" s="50">
        <v>0</v>
      </c>
      <c r="I506" s="31">
        <f t="shared" si="95"/>
        <v>0</v>
      </c>
      <c r="J506" s="50">
        <v>0</v>
      </c>
      <c r="K506" s="31">
        <f t="shared" si="96"/>
        <v>0</v>
      </c>
      <c r="L506" s="50">
        <v>0</v>
      </c>
      <c r="M506" s="31">
        <f t="shared" si="97"/>
        <v>0</v>
      </c>
      <c r="N506" s="50">
        <v>0</v>
      </c>
      <c r="O506" s="31">
        <f t="shared" si="98"/>
        <v>0</v>
      </c>
      <c r="P506" s="51" t="s">
        <v>1012</v>
      </c>
      <c r="Q506" s="51"/>
      <c r="R506" s="765"/>
      <c r="S506" s="765"/>
      <c r="T506" s="765"/>
      <c r="U506" s="765"/>
      <c r="V506" s="765"/>
    </row>
    <row r="507" spans="1:22" x14ac:dyDescent="0.25">
      <c r="A507" s="10">
        <v>44090</v>
      </c>
      <c r="B507" s="594">
        <v>0</v>
      </c>
      <c r="C507" s="31">
        <f t="shared" si="92"/>
        <v>-125841822.34</v>
      </c>
      <c r="D507" s="50">
        <v>101320906.40000001</v>
      </c>
      <c r="E507" s="31">
        <f t="shared" si="93"/>
        <v>101237399.52</v>
      </c>
      <c r="F507" s="900">
        <v>0</v>
      </c>
      <c r="G507" s="899">
        <f t="shared" si="94"/>
        <v>92887.03</v>
      </c>
      <c r="H507" s="50">
        <v>0</v>
      </c>
      <c r="I507" s="31">
        <f t="shared" si="95"/>
        <v>0</v>
      </c>
      <c r="J507" s="50">
        <v>0</v>
      </c>
      <c r="K507" s="31">
        <f t="shared" si="96"/>
        <v>0</v>
      </c>
      <c r="L507" s="50">
        <v>0</v>
      </c>
      <c r="M507" s="31">
        <f t="shared" si="97"/>
        <v>0</v>
      </c>
      <c r="N507" s="50">
        <v>0</v>
      </c>
      <c r="O507" s="31">
        <f t="shared" si="98"/>
        <v>0</v>
      </c>
      <c r="P507" s="51" t="s">
        <v>2046</v>
      </c>
      <c r="Q507" s="51"/>
      <c r="R507" s="765"/>
      <c r="S507" s="765"/>
      <c r="T507" s="765"/>
      <c r="U507" s="765"/>
      <c r="V507" s="765"/>
    </row>
    <row r="508" spans="1:22" s="765" customFormat="1" x14ac:dyDescent="0.25">
      <c r="A508" s="10">
        <v>44090</v>
      </c>
      <c r="B508" s="594">
        <v>0</v>
      </c>
      <c r="C508" s="31">
        <f t="shared" ref="C508:C571" si="100">ROUND(B508+C507,2)</f>
        <v>-125841822.34</v>
      </c>
      <c r="D508" s="50">
        <v>0</v>
      </c>
      <c r="E508" s="31">
        <f t="shared" ref="E508:E571" si="101">ROUND(D508+E507,2)</f>
        <v>101237399.52</v>
      </c>
      <c r="F508" s="900">
        <v>25000000</v>
      </c>
      <c r="G508" s="899">
        <f t="shared" ref="G508:G571" si="102">ROUND(F508+G507,2)</f>
        <v>25092887.030000001</v>
      </c>
      <c r="H508" s="50">
        <v>0</v>
      </c>
      <c r="I508" s="31">
        <f t="shared" ref="I508:I571" si="103">ROUND(H508+I507,2)</f>
        <v>0</v>
      </c>
      <c r="J508" s="50">
        <v>0</v>
      </c>
      <c r="K508" s="31">
        <f t="shared" ref="K508:K571" si="104">ROUND(J508+K507,2)</f>
        <v>0</v>
      </c>
      <c r="L508" s="50">
        <v>0</v>
      </c>
      <c r="M508" s="31">
        <f t="shared" ref="M508:M571" si="105">ROUND(L508+M507,2)</f>
        <v>0</v>
      </c>
      <c r="N508" s="50">
        <v>0</v>
      </c>
      <c r="O508" s="31">
        <f t="shared" ref="O508:O571" si="106">ROUND(N508+O507,2)</f>
        <v>0</v>
      </c>
      <c r="P508" s="51" t="s">
        <v>2169</v>
      </c>
      <c r="Q508" s="51"/>
    </row>
    <row r="509" spans="1:22" s="765" customFormat="1" x14ac:dyDescent="0.25">
      <c r="A509" s="10">
        <v>44090</v>
      </c>
      <c r="B509" s="594">
        <v>46000000</v>
      </c>
      <c r="C509" s="31">
        <f t="shared" si="100"/>
        <v>-79841822.340000004</v>
      </c>
      <c r="D509" s="50">
        <v>-46000000</v>
      </c>
      <c r="E509" s="31">
        <f t="shared" si="101"/>
        <v>55237399.520000003</v>
      </c>
      <c r="F509" s="900">
        <v>0</v>
      </c>
      <c r="G509" s="899">
        <f t="shared" si="102"/>
        <v>25092887.030000001</v>
      </c>
      <c r="H509" s="50">
        <v>0</v>
      </c>
      <c r="I509" s="31">
        <f t="shared" si="103"/>
        <v>0</v>
      </c>
      <c r="J509" s="50">
        <v>0</v>
      </c>
      <c r="K509" s="31">
        <f t="shared" si="104"/>
        <v>0</v>
      </c>
      <c r="L509" s="50">
        <v>0</v>
      </c>
      <c r="M509" s="31">
        <f t="shared" si="105"/>
        <v>0</v>
      </c>
      <c r="N509" s="50">
        <v>0</v>
      </c>
      <c r="O509" s="31">
        <f t="shared" si="106"/>
        <v>0</v>
      </c>
      <c r="P509" s="51" t="s">
        <v>831</v>
      </c>
      <c r="Q509" s="51"/>
    </row>
    <row r="510" spans="1:22" s="765" customFormat="1" x14ac:dyDescent="0.25">
      <c r="A510" s="10">
        <v>44090</v>
      </c>
      <c r="B510" s="594">
        <v>32652698.02</v>
      </c>
      <c r="C510" s="31">
        <f t="shared" si="100"/>
        <v>-47189124.32</v>
      </c>
      <c r="D510" s="50">
        <v>-32652698.02</v>
      </c>
      <c r="E510" s="31">
        <f t="shared" si="101"/>
        <v>22584701.5</v>
      </c>
      <c r="F510" s="900">
        <v>0</v>
      </c>
      <c r="G510" s="899">
        <f t="shared" si="102"/>
        <v>25092887.030000001</v>
      </c>
      <c r="H510" s="50">
        <v>0</v>
      </c>
      <c r="I510" s="31">
        <f t="shared" si="103"/>
        <v>0</v>
      </c>
      <c r="J510" s="50">
        <v>0</v>
      </c>
      <c r="K510" s="31">
        <f t="shared" si="104"/>
        <v>0</v>
      </c>
      <c r="L510" s="50">
        <v>0</v>
      </c>
      <c r="M510" s="31">
        <f t="shared" si="105"/>
        <v>0</v>
      </c>
      <c r="N510" s="50">
        <v>0</v>
      </c>
      <c r="O510" s="31">
        <f t="shared" si="106"/>
        <v>0</v>
      </c>
      <c r="P510" s="51" t="s">
        <v>880</v>
      </c>
      <c r="Q510" s="51"/>
    </row>
    <row r="511" spans="1:22" s="765" customFormat="1" x14ac:dyDescent="0.25">
      <c r="A511" s="10">
        <v>44090</v>
      </c>
      <c r="B511" s="594">
        <v>19721906</v>
      </c>
      <c r="C511" s="31">
        <f t="shared" si="100"/>
        <v>-27467218.32</v>
      </c>
      <c r="D511" s="50">
        <v>-19721906</v>
      </c>
      <c r="E511" s="31">
        <f t="shared" si="101"/>
        <v>2862795.5</v>
      </c>
      <c r="F511" s="900">
        <v>0</v>
      </c>
      <c r="G511" s="899">
        <f t="shared" si="102"/>
        <v>25092887.030000001</v>
      </c>
      <c r="H511" s="50">
        <v>0</v>
      </c>
      <c r="I511" s="31">
        <f t="shared" si="103"/>
        <v>0</v>
      </c>
      <c r="J511" s="50">
        <v>0</v>
      </c>
      <c r="K511" s="31">
        <f t="shared" si="104"/>
        <v>0</v>
      </c>
      <c r="L511" s="50">
        <v>0</v>
      </c>
      <c r="M511" s="31">
        <f t="shared" si="105"/>
        <v>0</v>
      </c>
      <c r="N511" s="50">
        <v>0</v>
      </c>
      <c r="O511" s="31">
        <f t="shared" si="106"/>
        <v>0</v>
      </c>
      <c r="P511" s="51" t="s">
        <v>1697</v>
      </c>
      <c r="Q511" s="51"/>
    </row>
    <row r="512" spans="1:22" s="765" customFormat="1" x14ac:dyDescent="0.25">
      <c r="A512" s="10">
        <v>44090</v>
      </c>
      <c r="B512" s="594">
        <v>25000000</v>
      </c>
      <c r="C512" s="31">
        <f t="shared" si="100"/>
        <v>-2467218.3199999998</v>
      </c>
      <c r="D512" s="50">
        <v>0</v>
      </c>
      <c r="E512" s="31">
        <f t="shared" si="101"/>
        <v>2862795.5</v>
      </c>
      <c r="F512" s="900">
        <v>-25000000</v>
      </c>
      <c r="G512" s="899">
        <f t="shared" si="102"/>
        <v>92887.03</v>
      </c>
      <c r="H512" s="50">
        <v>0</v>
      </c>
      <c r="I512" s="31">
        <f t="shared" si="103"/>
        <v>0</v>
      </c>
      <c r="J512" s="50">
        <v>0</v>
      </c>
      <c r="K512" s="31">
        <f t="shared" si="104"/>
        <v>0</v>
      </c>
      <c r="L512" s="50">
        <v>0</v>
      </c>
      <c r="M512" s="31">
        <f t="shared" si="105"/>
        <v>0</v>
      </c>
      <c r="N512" s="50">
        <v>0</v>
      </c>
      <c r="O512" s="31">
        <f t="shared" si="106"/>
        <v>0</v>
      </c>
      <c r="P512" s="51" t="s">
        <v>1012</v>
      </c>
      <c r="Q512" s="51"/>
    </row>
    <row r="513" spans="1:17" s="765" customFormat="1" x14ac:dyDescent="0.25">
      <c r="A513" s="10">
        <v>44090</v>
      </c>
      <c r="B513" s="594">
        <v>5000000</v>
      </c>
      <c r="C513" s="31">
        <f t="shared" si="100"/>
        <v>2532781.6800000002</v>
      </c>
      <c r="D513" s="50">
        <v>-5000345.49</v>
      </c>
      <c r="E513" s="31">
        <f t="shared" si="101"/>
        <v>-2137549.9900000002</v>
      </c>
      <c r="F513" s="900">
        <v>0</v>
      </c>
      <c r="G513" s="899">
        <f t="shared" si="102"/>
        <v>92887.03</v>
      </c>
      <c r="H513" s="50">
        <v>0</v>
      </c>
      <c r="I513" s="31">
        <f t="shared" si="103"/>
        <v>0</v>
      </c>
      <c r="J513" s="50">
        <v>0</v>
      </c>
      <c r="K513" s="31">
        <f t="shared" si="104"/>
        <v>0</v>
      </c>
      <c r="L513" s="50">
        <v>0</v>
      </c>
      <c r="M513" s="31">
        <f t="shared" si="105"/>
        <v>0</v>
      </c>
      <c r="N513" s="50">
        <v>0</v>
      </c>
      <c r="O513" s="31">
        <f t="shared" si="106"/>
        <v>0</v>
      </c>
      <c r="P513" s="51" t="s">
        <v>831</v>
      </c>
      <c r="Q513" s="51"/>
    </row>
    <row r="514" spans="1:17" s="765" customFormat="1" x14ac:dyDescent="0.25">
      <c r="A514" s="10">
        <v>44090</v>
      </c>
      <c r="B514" s="594">
        <v>250000</v>
      </c>
      <c r="C514" s="31">
        <f t="shared" si="100"/>
        <v>2782781.68</v>
      </c>
      <c r="D514" s="50">
        <f>-B514</f>
        <v>-250000</v>
      </c>
      <c r="E514" s="31">
        <f t="shared" si="101"/>
        <v>-2387549.9900000002</v>
      </c>
      <c r="F514" s="900">
        <v>0</v>
      </c>
      <c r="G514" s="899">
        <f t="shared" si="102"/>
        <v>92887.03</v>
      </c>
      <c r="H514" s="50">
        <v>0</v>
      </c>
      <c r="I514" s="31">
        <f t="shared" si="103"/>
        <v>0</v>
      </c>
      <c r="J514" s="50">
        <v>0</v>
      </c>
      <c r="K514" s="31">
        <f t="shared" si="104"/>
        <v>0</v>
      </c>
      <c r="L514" s="50">
        <v>0</v>
      </c>
      <c r="M514" s="31">
        <f t="shared" si="105"/>
        <v>0</v>
      </c>
      <c r="N514" s="50">
        <v>0</v>
      </c>
      <c r="O514" s="31">
        <f t="shared" si="106"/>
        <v>0</v>
      </c>
      <c r="P514" s="51" t="s">
        <v>880</v>
      </c>
      <c r="Q514" s="51"/>
    </row>
    <row r="515" spans="1:17" s="765" customFormat="1" x14ac:dyDescent="0.25">
      <c r="A515" s="10">
        <v>44090</v>
      </c>
      <c r="B515" s="594">
        <v>0</v>
      </c>
      <c r="C515" s="31">
        <f t="shared" si="100"/>
        <v>2782781.68</v>
      </c>
      <c r="D515" s="50">
        <v>2500000</v>
      </c>
      <c r="E515" s="31">
        <f t="shared" si="101"/>
        <v>112450.01</v>
      </c>
      <c r="F515" s="900">
        <v>0</v>
      </c>
      <c r="G515" s="899">
        <f t="shared" si="102"/>
        <v>92887.03</v>
      </c>
      <c r="H515" s="50">
        <v>0</v>
      </c>
      <c r="I515" s="31">
        <f t="shared" si="103"/>
        <v>0</v>
      </c>
      <c r="J515" s="50">
        <v>0</v>
      </c>
      <c r="K515" s="31">
        <f t="shared" si="104"/>
        <v>0</v>
      </c>
      <c r="L515" s="50">
        <v>0</v>
      </c>
      <c r="M515" s="31">
        <f t="shared" si="105"/>
        <v>0</v>
      </c>
      <c r="N515" s="50">
        <v>0</v>
      </c>
      <c r="O515" s="31">
        <f t="shared" si="106"/>
        <v>0</v>
      </c>
      <c r="P515" s="51" t="s">
        <v>2171</v>
      </c>
      <c r="Q515" s="51"/>
    </row>
    <row r="516" spans="1:17" s="765" customFormat="1" x14ac:dyDescent="0.25">
      <c r="A516" s="10">
        <v>44090</v>
      </c>
      <c r="B516" s="594">
        <v>0</v>
      </c>
      <c r="C516" s="31">
        <f t="shared" si="100"/>
        <v>2782781.68</v>
      </c>
      <c r="D516" s="50">
        <v>2500000</v>
      </c>
      <c r="E516" s="31">
        <f t="shared" si="101"/>
        <v>2612450.0099999998</v>
      </c>
      <c r="F516" s="900">
        <v>0</v>
      </c>
      <c r="G516" s="899">
        <f t="shared" si="102"/>
        <v>92887.03</v>
      </c>
      <c r="H516" s="50">
        <v>0</v>
      </c>
      <c r="I516" s="31">
        <f t="shared" si="103"/>
        <v>0</v>
      </c>
      <c r="J516" s="50">
        <v>0</v>
      </c>
      <c r="K516" s="31">
        <f t="shared" si="104"/>
        <v>0</v>
      </c>
      <c r="L516" s="50">
        <v>0</v>
      </c>
      <c r="M516" s="31">
        <f t="shared" si="105"/>
        <v>0</v>
      </c>
      <c r="N516" s="50">
        <v>0</v>
      </c>
      <c r="O516" s="31">
        <f t="shared" si="106"/>
        <v>0</v>
      </c>
      <c r="P516" s="51" t="s">
        <v>2170</v>
      </c>
      <c r="Q516" s="51"/>
    </row>
    <row r="517" spans="1:17" s="765" customFormat="1" x14ac:dyDescent="0.25">
      <c r="A517" s="10">
        <v>44090</v>
      </c>
      <c r="B517" s="594">
        <v>0</v>
      </c>
      <c r="C517" s="31">
        <f t="shared" si="100"/>
        <v>2782781.68</v>
      </c>
      <c r="D517" s="50">
        <v>-326000</v>
      </c>
      <c r="E517" s="31">
        <f t="shared" si="101"/>
        <v>2286450.0099999998</v>
      </c>
      <c r="F517" s="900">
        <v>0</v>
      </c>
      <c r="G517" s="899">
        <f t="shared" si="102"/>
        <v>92887.03</v>
      </c>
      <c r="H517" s="50">
        <v>0</v>
      </c>
      <c r="I517" s="31">
        <f t="shared" si="103"/>
        <v>0</v>
      </c>
      <c r="J517" s="50">
        <v>0</v>
      </c>
      <c r="K517" s="31">
        <f t="shared" si="104"/>
        <v>0</v>
      </c>
      <c r="L517" s="50">
        <v>0</v>
      </c>
      <c r="M517" s="31">
        <f t="shared" si="105"/>
        <v>0</v>
      </c>
      <c r="N517" s="50">
        <v>0</v>
      </c>
      <c r="O517" s="31">
        <f t="shared" si="106"/>
        <v>0</v>
      </c>
      <c r="P517" s="51" t="s">
        <v>2172</v>
      </c>
      <c r="Q517" s="51"/>
    </row>
    <row r="518" spans="1:17" s="765" customFormat="1" x14ac:dyDescent="0.25">
      <c r="A518" s="10">
        <v>44090</v>
      </c>
      <c r="B518" s="594">
        <v>0</v>
      </c>
      <c r="C518" s="31">
        <f t="shared" si="100"/>
        <v>2782781.68</v>
      </c>
      <c r="D518" s="50">
        <v>12997.23</v>
      </c>
      <c r="E518" s="31">
        <f t="shared" si="101"/>
        <v>2299447.2400000002</v>
      </c>
      <c r="F518" s="900">
        <v>0</v>
      </c>
      <c r="G518" s="899">
        <f t="shared" si="102"/>
        <v>92887.03</v>
      </c>
      <c r="H518" s="50">
        <v>0</v>
      </c>
      <c r="I518" s="31">
        <f t="shared" si="103"/>
        <v>0</v>
      </c>
      <c r="J518" s="50">
        <v>0</v>
      </c>
      <c r="K518" s="31">
        <f t="shared" si="104"/>
        <v>0</v>
      </c>
      <c r="L518" s="50">
        <v>0</v>
      </c>
      <c r="M518" s="31">
        <f t="shared" si="105"/>
        <v>0</v>
      </c>
      <c r="N518" s="50">
        <v>0</v>
      </c>
      <c r="O518" s="31">
        <f t="shared" si="106"/>
        <v>0</v>
      </c>
      <c r="P518" s="51" t="s">
        <v>2173</v>
      </c>
      <c r="Q518" s="51"/>
    </row>
    <row r="519" spans="1:17" s="765" customFormat="1" x14ac:dyDescent="0.25">
      <c r="A519" s="10">
        <v>44090</v>
      </c>
      <c r="B519" s="594">
        <v>0</v>
      </c>
      <c r="C519" s="31">
        <f t="shared" si="100"/>
        <v>2782781.68</v>
      </c>
      <c r="D519" s="50">
        <v>5.79</v>
      </c>
      <c r="E519" s="31">
        <f t="shared" si="101"/>
        <v>2299453.0299999998</v>
      </c>
      <c r="F519" s="900">
        <v>0</v>
      </c>
      <c r="G519" s="899">
        <f t="shared" si="102"/>
        <v>92887.03</v>
      </c>
      <c r="H519" s="50">
        <v>0</v>
      </c>
      <c r="I519" s="31">
        <f t="shared" si="103"/>
        <v>0</v>
      </c>
      <c r="J519" s="50">
        <v>0</v>
      </c>
      <c r="K519" s="31">
        <f t="shared" si="104"/>
        <v>0</v>
      </c>
      <c r="L519" s="50">
        <v>0</v>
      </c>
      <c r="M519" s="31">
        <f t="shared" si="105"/>
        <v>0</v>
      </c>
      <c r="N519" s="50">
        <v>0</v>
      </c>
      <c r="O519" s="31">
        <f t="shared" si="106"/>
        <v>0</v>
      </c>
      <c r="P519" s="51" t="s">
        <v>2174</v>
      </c>
      <c r="Q519" s="51"/>
    </row>
    <row r="520" spans="1:17" s="765" customFormat="1" x14ac:dyDescent="0.25">
      <c r="A520" s="10">
        <v>44090</v>
      </c>
      <c r="B520" s="594">
        <v>0</v>
      </c>
      <c r="C520" s="31">
        <f t="shared" si="100"/>
        <v>2782781.68</v>
      </c>
      <c r="D520" s="50">
        <v>287808.23</v>
      </c>
      <c r="E520" s="31">
        <f t="shared" si="101"/>
        <v>2587261.2599999998</v>
      </c>
      <c r="F520" s="900">
        <v>0</v>
      </c>
      <c r="G520" s="899">
        <f t="shared" si="102"/>
        <v>92887.03</v>
      </c>
      <c r="H520" s="50">
        <v>0</v>
      </c>
      <c r="I520" s="31">
        <f t="shared" si="103"/>
        <v>0</v>
      </c>
      <c r="J520" s="50">
        <v>0</v>
      </c>
      <c r="K520" s="31">
        <f t="shared" si="104"/>
        <v>0</v>
      </c>
      <c r="L520" s="50">
        <v>0</v>
      </c>
      <c r="M520" s="31">
        <f t="shared" si="105"/>
        <v>0</v>
      </c>
      <c r="N520" s="50">
        <v>0</v>
      </c>
      <c r="O520" s="31">
        <f t="shared" si="106"/>
        <v>0</v>
      </c>
      <c r="P520" s="51" t="s">
        <v>845</v>
      </c>
      <c r="Q520" s="51"/>
    </row>
    <row r="521" spans="1:17" s="765" customFormat="1" x14ac:dyDescent="0.25">
      <c r="A521" s="10">
        <v>44091</v>
      </c>
      <c r="B521" s="594">
        <v>0</v>
      </c>
      <c r="C521" s="31">
        <f t="shared" si="100"/>
        <v>2782781.68</v>
      </c>
      <c r="D521" s="50">
        <v>-20739.560000000001</v>
      </c>
      <c r="E521" s="31">
        <f t="shared" si="101"/>
        <v>2566521.7000000002</v>
      </c>
      <c r="F521" s="900">
        <v>0</v>
      </c>
      <c r="G521" s="899">
        <f t="shared" si="102"/>
        <v>92887.03</v>
      </c>
      <c r="H521" s="594">
        <v>20739.560000000001</v>
      </c>
      <c r="I521" s="31">
        <f t="shared" si="103"/>
        <v>20739.560000000001</v>
      </c>
      <c r="J521" s="50">
        <v>0</v>
      </c>
      <c r="K521" s="31">
        <f t="shared" si="104"/>
        <v>0</v>
      </c>
      <c r="L521" s="50">
        <v>0</v>
      </c>
      <c r="M521" s="31">
        <f t="shared" si="105"/>
        <v>0</v>
      </c>
      <c r="N521" s="50">
        <v>0</v>
      </c>
      <c r="O521" s="31">
        <f t="shared" si="106"/>
        <v>0</v>
      </c>
      <c r="P521" s="51" t="s">
        <v>1155</v>
      </c>
      <c r="Q521" s="51"/>
    </row>
    <row r="522" spans="1:17" s="765" customFormat="1" x14ac:dyDescent="0.25">
      <c r="A522" s="10">
        <v>44091</v>
      </c>
      <c r="B522" s="594">
        <v>0</v>
      </c>
      <c r="C522" s="31">
        <f t="shared" si="100"/>
        <v>2782781.68</v>
      </c>
      <c r="D522" s="50">
        <v>-103397.5861111111</v>
      </c>
      <c r="E522" s="31">
        <f t="shared" si="101"/>
        <v>2463124.11</v>
      </c>
      <c r="F522" s="900">
        <v>0</v>
      </c>
      <c r="G522" s="899">
        <f t="shared" si="102"/>
        <v>92887.03</v>
      </c>
      <c r="H522" s="50">
        <v>0</v>
      </c>
      <c r="I522" s="31">
        <f t="shared" si="103"/>
        <v>20739.560000000001</v>
      </c>
      <c r="J522" s="50">
        <v>0</v>
      </c>
      <c r="K522" s="31">
        <f t="shared" si="104"/>
        <v>0</v>
      </c>
      <c r="L522" s="594">
        <v>103397.5861111111</v>
      </c>
      <c r="M522" s="31">
        <f t="shared" si="105"/>
        <v>103397.59</v>
      </c>
      <c r="N522" s="50">
        <v>0</v>
      </c>
      <c r="O522" s="31">
        <f t="shared" si="106"/>
        <v>0</v>
      </c>
      <c r="P522" s="51" t="s">
        <v>1156</v>
      </c>
      <c r="Q522" s="51"/>
    </row>
    <row r="523" spans="1:17" s="765" customFormat="1" x14ac:dyDescent="0.25">
      <c r="A523" s="10">
        <v>44091</v>
      </c>
      <c r="B523" s="594">
        <v>0</v>
      </c>
      <c r="C523" s="31">
        <f t="shared" si="100"/>
        <v>2782781.68</v>
      </c>
      <c r="D523" s="50">
        <v>124137.146111111</v>
      </c>
      <c r="E523" s="31">
        <f t="shared" si="101"/>
        <v>2587261.2599999998</v>
      </c>
      <c r="F523" s="900">
        <v>0</v>
      </c>
      <c r="G523" s="899">
        <f t="shared" si="102"/>
        <v>92887.03</v>
      </c>
      <c r="H523" s="50">
        <v>-20739.560000000001</v>
      </c>
      <c r="I523" s="31">
        <f t="shared" si="103"/>
        <v>0</v>
      </c>
      <c r="J523" s="50">
        <v>0</v>
      </c>
      <c r="K523" s="31">
        <f t="shared" si="104"/>
        <v>0</v>
      </c>
      <c r="L523" s="50">
        <v>-103397.586111111</v>
      </c>
      <c r="M523" s="31">
        <f t="shared" si="105"/>
        <v>0</v>
      </c>
      <c r="N523" s="50">
        <v>0</v>
      </c>
      <c r="O523" s="31">
        <f t="shared" si="106"/>
        <v>0</v>
      </c>
      <c r="P523" s="51" t="s">
        <v>845</v>
      </c>
      <c r="Q523" s="51"/>
    </row>
    <row r="524" spans="1:17" s="765" customFormat="1" x14ac:dyDescent="0.25">
      <c r="A524" s="10">
        <v>44092</v>
      </c>
      <c r="B524" s="594">
        <v>0</v>
      </c>
      <c r="C524" s="31">
        <f t="shared" si="100"/>
        <v>2782781.68</v>
      </c>
      <c r="D524" s="50">
        <v>-422.5</v>
      </c>
      <c r="E524" s="31">
        <f t="shared" si="101"/>
        <v>2586838.7599999998</v>
      </c>
      <c r="F524" s="900">
        <v>0</v>
      </c>
      <c r="G524" s="899">
        <f t="shared" si="102"/>
        <v>92887.03</v>
      </c>
      <c r="H524" s="50">
        <v>0</v>
      </c>
      <c r="I524" s="31">
        <f t="shared" si="103"/>
        <v>0</v>
      </c>
      <c r="J524" s="50">
        <v>0</v>
      </c>
      <c r="K524" s="31">
        <f t="shared" si="104"/>
        <v>0</v>
      </c>
      <c r="L524" s="50">
        <v>0</v>
      </c>
      <c r="M524" s="31">
        <f t="shared" si="105"/>
        <v>0</v>
      </c>
      <c r="N524" s="50">
        <v>0</v>
      </c>
      <c r="O524" s="31">
        <f t="shared" si="106"/>
        <v>0</v>
      </c>
      <c r="P524" s="51" t="s">
        <v>2176</v>
      </c>
      <c r="Q524" s="51"/>
    </row>
    <row r="525" spans="1:17" s="765" customFormat="1" x14ac:dyDescent="0.25">
      <c r="A525" s="10">
        <v>44092</v>
      </c>
      <c r="B525" s="594">
        <v>0</v>
      </c>
      <c r="C525" s="31">
        <f t="shared" si="100"/>
        <v>2782781.68</v>
      </c>
      <c r="D525" s="50">
        <v>-12997.2</v>
      </c>
      <c r="E525" s="31">
        <f t="shared" si="101"/>
        <v>2573841.56</v>
      </c>
      <c r="F525" s="900">
        <v>0</v>
      </c>
      <c r="G525" s="899">
        <f t="shared" si="102"/>
        <v>92887.03</v>
      </c>
      <c r="H525" s="50">
        <v>0</v>
      </c>
      <c r="I525" s="31">
        <f t="shared" si="103"/>
        <v>0</v>
      </c>
      <c r="J525" s="50">
        <v>0</v>
      </c>
      <c r="K525" s="31">
        <f t="shared" si="104"/>
        <v>0</v>
      </c>
      <c r="L525" s="50">
        <v>0</v>
      </c>
      <c r="M525" s="31">
        <f t="shared" si="105"/>
        <v>0</v>
      </c>
      <c r="N525" s="50">
        <v>0</v>
      </c>
      <c r="O525" s="31">
        <f t="shared" si="106"/>
        <v>0</v>
      </c>
      <c r="P525" s="51" t="s">
        <v>2177</v>
      </c>
      <c r="Q525" s="51"/>
    </row>
    <row r="526" spans="1:17" s="765" customFormat="1" x14ac:dyDescent="0.25">
      <c r="A526" s="10">
        <v>44092</v>
      </c>
      <c r="B526" s="594">
        <v>0</v>
      </c>
      <c r="C526" s="31">
        <f t="shared" si="100"/>
        <v>2782781.68</v>
      </c>
      <c r="D526" s="50">
        <v>-2573841.56</v>
      </c>
      <c r="E526" s="31">
        <f t="shared" si="101"/>
        <v>0</v>
      </c>
      <c r="F526" s="900">
        <v>0</v>
      </c>
      <c r="G526" s="899">
        <f t="shared" si="102"/>
        <v>92887.03</v>
      </c>
      <c r="H526" s="50">
        <v>0</v>
      </c>
      <c r="I526" s="31">
        <f t="shared" si="103"/>
        <v>0</v>
      </c>
      <c r="J526" s="50">
        <v>0</v>
      </c>
      <c r="K526" s="31">
        <f t="shared" si="104"/>
        <v>0</v>
      </c>
      <c r="L526" s="50">
        <v>0</v>
      </c>
      <c r="M526" s="31">
        <f t="shared" si="105"/>
        <v>0</v>
      </c>
      <c r="N526" s="50">
        <v>0</v>
      </c>
      <c r="O526" s="31">
        <f t="shared" si="106"/>
        <v>0</v>
      </c>
      <c r="P526" s="51" t="s">
        <v>845</v>
      </c>
      <c r="Q526" s="51"/>
    </row>
    <row r="527" spans="1:17" s="765" customFormat="1" x14ac:dyDescent="0.25">
      <c r="A527" s="10">
        <v>44096</v>
      </c>
      <c r="B527" s="594">
        <v>0</v>
      </c>
      <c r="C527" s="31">
        <f t="shared" si="100"/>
        <v>2782781.68</v>
      </c>
      <c r="D527" s="50">
        <v>-2500112.5</v>
      </c>
      <c r="E527" s="31">
        <f t="shared" si="101"/>
        <v>-2500112.5</v>
      </c>
      <c r="F527" s="900">
        <v>0</v>
      </c>
      <c r="G527" s="899">
        <f t="shared" si="102"/>
        <v>92887.03</v>
      </c>
      <c r="H527" s="50">
        <v>0</v>
      </c>
      <c r="I527" s="31">
        <f t="shared" si="103"/>
        <v>0</v>
      </c>
      <c r="J527" s="50">
        <v>0</v>
      </c>
      <c r="K527" s="31">
        <f t="shared" si="104"/>
        <v>0</v>
      </c>
      <c r="L527" s="50">
        <v>0</v>
      </c>
      <c r="M527" s="31">
        <f t="shared" si="105"/>
        <v>0</v>
      </c>
      <c r="N527" s="50">
        <v>0</v>
      </c>
      <c r="O527" s="31">
        <f t="shared" si="106"/>
        <v>0</v>
      </c>
      <c r="P527" s="51" t="s">
        <v>2182</v>
      </c>
      <c r="Q527" s="51"/>
    </row>
    <row r="528" spans="1:17" s="765" customFormat="1" x14ac:dyDescent="0.25">
      <c r="A528" s="10">
        <v>44096</v>
      </c>
      <c r="B528" s="594">
        <v>0</v>
      </c>
      <c r="C528" s="31">
        <f t="shared" si="100"/>
        <v>2782781.68</v>
      </c>
      <c r="D528" s="50">
        <v>2500112.5</v>
      </c>
      <c r="E528" s="31">
        <f t="shared" si="101"/>
        <v>0</v>
      </c>
      <c r="F528" s="900">
        <v>0</v>
      </c>
      <c r="G528" s="899">
        <f t="shared" si="102"/>
        <v>92887.03</v>
      </c>
      <c r="H528" s="50">
        <v>0</v>
      </c>
      <c r="I528" s="31">
        <f t="shared" si="103"/>
        <v>0</v>
      </c>
      <c r="J528" s="50">
        <v>0</v>
      </c>
      <c r="K528" s="31">
        <f t="shared" si="104"/>
        <v>0</v>
      </c>
      <c r="L528" s="50">
        <v>0</v>
      </c>
      <c r="M528" s="31">
        <f t="shared" si="105"/>
        <v>0</v>
      </c>
      <c r="N528" s="50">
        <v>0</v>
      </c>
      <c r="O528" s="31">
        <f t="shared" si="106"/>
        <v>0</v>
      </c>
      <c r="P528" s="51" t="s">
        <v>845</v>
      </c>
      <c r="Q528" s="51"/>
    </row>
    <row r="529" spans="1:18" s="765" customFormat="1" x14ac:dyDescent="0.25">
      <c r="A529" s="10">
        <v>44098</v>
      </c>
      <c r="B529" s="594">
        <v>300000</v>
      </c>
      <c r="C529" s="31">
        <f t="shared" si="100"/>
        <v>3082781.68</v>
      </c>
      <c r="D529" s="50">
        <v>0</v>
      </c>
      <c r="E529" s="31">
        <f t="shared" si="101"/>
        <v>0</v>
      </c>
      <c r="F529" s="900">
        <f>-300121.5</f>
        <v>-300121.5</v>
      </c>
      <c r="G529" s="899">
        <f t="shared" si="102"/>
        <v>-207234.47</v>
      </c>
      <c r="H529" s="50">
        <v>0</v>
      </c>
      <c r="I529" s="31">
        <f t="shared" si="103"/>
        <v>0</v>
      </c>
      <c r="J529" s="50">
        <v>0</v>
      </c>
      <c r="K529" s="31">
        <f t="shared" si="104"/>
        <v>0</v>
      </c>
      <c r="L529" s="50">
        <v>0</v>
      </c>
      <c r="M529" s="31">
        <f t="shared" si="105"/>
        <v>0</v>
      </c>
      <c r="N529" s="50">
        <v>0</v>
      </c>
      <c r="O529" s="31">
        <f t="shared" si="106"/>
        <v>0</v>
      </c>
      <c r="P529" s="51" t="s">
        <v>1012</v>
      </c>
      <c r="Q529" s="51"/>
    </row>
    <row r="530" spans="1:18" s="765" customFormat="1" x14ac:dyDescent="0.25">
      <c r="A530" s="10">
        <v>44098</v>
      </c>
      <c r="B530" s="594">
        <v>-300000</v>
      </c>
      <c r="C530" s="31">
        <f t="shared" si="100"/>
        <v>2782781.68</v>
      </c>
      <c r="D530" s="50">
        <v>0</v>
      </c>
      <c r="E530" s="31">
        <f t="shared" si="101"/>
        <v>0</v>
      </c>
      <c r="F530" s="594">
        <v>300121.5</v>
      </c>
      <c r="G530" s="899">
        <f t="shared" si="102"/>
        <v>92887.03</v>
      </c>
      <c r="H530" s="50">
        <v>0</v>
      </c>
      <c r="I530" s="31">
        <f t="shared" si="103"/>
        <v>0</v>
      </c>
      <c r="J530" s="50">
        <v>0</v>
      </c>
      <c r="K530" s="31">
        <f t="shared" si="104"/>
        <v>0</v>
      </c>
      <c r="L530" s="50">
        <v>0</v>
      </c>
      <c r="M530" s="31">
        <f t="shared" si="105"/>
        <v>0</v>
      </c>
      <c r="N530" s="50">
        <v>0</v>
      </c>
      <c r="O530" s="31">
        <f t="shared" si="106"/>
        <v>0</v>
      </c>
      <c r="P530" s="51" t="s">
        <v>1013</v>
      </c>
      <c r="Q530" s="51"/>
    </row>
    <row r="531" spans="1:18" s="765" customFormat="1" x14ac:dyDescent="0.25">
      <c r="A531" s="10">
        <v>44098</v>
      </c>
      <c r="B531" s="594">
        <v>0</v>
      </c>
      <c r="C531" s="31">
        <f t="shared" si="100"/>
        <v>2782781.68</v>
      </c>
      <c r="D531" s="50">
        <v>0</v>
      </c>
      <c r="E531" s="31">
        <f t="shared" si="101"/>
        <v>0</v>
      </c>
      <c r="F531" s="900">
        <v>0</v>
      </c>
      <c r="G531" s="899">
        <f t="shared" si="102"/>
        <v>92887.03</v>
      </c>
      <c r="H531" s="50">
        <v>0</v>
      </c>
      <c r="I531" s="31">
        <f t="shared" si="103"/>
        <v>0</v>
      </c>
      <c r="J531" s="50">
        <v>0</v>
      </c>
      <c r="K531" s="31">
        <f t="shared" si="104"/>
        <v>0</v>
      </c>
      <c r="L531" s="50">
        <v>-103397.59</v>
      </c>
      <c r="M531" s="31">
        <f t="shared" si="105"/>
        <v>-103397.59</v>
      </c>
      <c r="N531" s="50">
        <v>0</v>
      </c>
      <c r="O531" s="31">
        <f t="shared" si="106"/>
        <v>0</v>
      </c>
      <c r="P531" s="51" t="s">
        <v>2195</v>
      </c>
      <c r="Q531" s="51"/>
    </row>
    <row r="532" spans="1:18" s="765" customFormat="1" x14ac:dyDescent="0.25">
      <c r="A532" s="10">
        <v>44098</v>
      </c>
      <c r="B532" s="594">
        <v>0</v>
      </c>
      <c r="C532" s="31">
        <f t="shared" si="100"/>
        <v>2782781.68</v>
      </c>
      <c r="D532" s="50">
        <v>0</v>
      </c>
      <c r="E532" s="31">
        <f t="shared" si="101"/>
        <v>0</v>
      </c>
      <c r="F532" s="900">
        <v>0</v>
      </c>
      <c r="G532" s="899">
        <f t="shared" si="102"/>
        <v>92887.03</v>
      </c>
      <c r="H532" s="50">
        <v>-530</v>
      </c>
      <c r="I532" s="31">
        <f t="shared" si="103"/>
        <v>-530</v>
      </c>
      <c r="J532" s="50">
        <v>0</v>
      </c>
      <c r="K532" s="31">
        <f t="shared" si="104"/>
        <v>0</v>
      </c>
      <c r="L532" s="50">
        <v>0</v>
      </c>
      <c r="M532" s="31">
        <f t="shared" si="105"/>
        <v>-103397.59</v>
      </c>
      <c r="N532" s="50">
        <v>0</v>
      </c>
      <c r="O532" s="31">
        <f t="shared" si="106"/>
        <v>0</v>
      </c>
      <c r="P532" s="51" t="s">
        <v>2197</v>
      </c>
      <c r="Q532" s="51"/>
    </row>
    <row r="533" spans="1:18" s="765" customFormat="1" x14ac:dyDescent="0.25">
      <c r="A533" s="10">
        <v>44098</v>
      </c>
      <c r="B533" s="594">
        <v>0</v>
      </c>
      <c r="C533" s="31">
        <f t="shared" si="100"/>
        <v>2782781.68</v>
      </c>
      <c r="D533" s="50">
        <v>0</v>
      </c>
      <c r="E533" s="31">
        <f t="shared" si="101"/>
        <v>0</v>
      </c>
      <c r="F533" s="900">
        <v>0</v>
      </c>
      <c r="G533" s="899">
        <f t="shared" si="102"/>
        <v>92887.03</v>
      </c>
      <c r="H533" s="50">
        <v>-4420</v>
      </c>
      <c r="I533" s="31">
        <f t="shared" si="103"/>
        <v>-4950</v>
      </c>
      <c r="J533" s="50">
        <v>0</v>
      </c>
      <c r="K533" s="31">
        <f t="shared" si="104"/>
        <v>0</v>
      </c>
      <c r="L533" s="50">
        <v>0</v>
      </c>
      <c r="M533" s="31">
        <f t="shared" si="105"/>
        <v>-103397.59</v>
      </c>
      <c r="N533" s="50">
        <v>0</v>
      </c>
      <c r="O533" s="31">
        <f t="shared" si="106"/>
        <v>0</v>
      </c>
      <c r="P533" s="51" t="s">
        <v>2196</v>
      </c>
      <c r="Q533" s="51"/>
    </row>
    <row r="534" spans="1:18" s="765" customFormat="1" x14ac:dyDescent="0.25">
      <c r="A534" s="10">
        <v>44098</v>
      </c>
      <c r="B534" s="594">
        <v>0</v>
      </c>
      <c r="C534" s="31">
        <f t="shared" si="100"/>
        <v>2782781.68</v>
      </c>
      <c r="D534" s="50">
        <v>0</v>
      </c>
      <c r="E534" s="31">
        <f t="shared" si="101"/>
        <v>0</v>
      </c>
      <c r="F534" s="900">
        <v>0</v>
      </c>
      <c r="G534" s="899">
        <f t="shared" si="102"/>
        <v>92887.03</v>
      </c>
      <c r="H534" s="50">
        <v>4950</v>
      </c>
      <c r="I534" s="31">
        <f t="shared" si="103"/>
        <v>0</v>
      </c>
      <c r="J534" s="50">
        <v>0</v>
      </c>
      <c r="K534" s="31">
        <f t="shared" si="104"/>
        <v>0</v>
      </c>
      <c r="L534" s="50">
        <v>103397.59</v>
      </c>
      <c r="M534" s="31">
        <f t="shared" si="105"/>
        <v>0</v>
      </c>
      <c r="N534" s="50">
        <v>0</v>
      </c>
      <c r="O534" s="31">
        <f t="shared" si="106"/>
        <v>0</v>
      </c>
      <c r="P534" s="51" t="s">
        <v>845</v>
      </c>
      <c r="Q534" s="51"/>
    </row>
    <row r="535" spans="1:18" s="765" customFormat="1" x14ac:dyDescent="0.25">
      <c r="A535" s="10">
        <v>44105</v>
      </c>
      <c r="B535" s="594">
        <v>0</v>
      </c>
      <c r="C535" s="31">
        <f t="shared" si="100"/>
        <v>2782781.68</v>
      </c>
      <c r="D535" s="50">
        <v>0</v>
      </c>
      <c r="E535" s="31">
        <f t="shared" si="101"/>
        <v>0</v>
      </c>
      <c r="F535" s="900">
        <v>0</v>
      </c>
      <c r="G535" s="899">
        <f t="shared" si="102"/>
        <v>92887.03</v>
      </c>
      <c r="H535" s="50">
        <v>-153.41</v>
      </c>
      <c r="I535" s="31">
        <f t="shared" si="103"/>
        <v>-153.41</v>
      </c>
      <c r="J535" s="50">
        <v>0</v>
      </c>
      <c r="K535" s="31">
        <f t="shared" si="104"/>
        <v>0</v>
      </c>
      <c r="L535" s="50">
        <v>0</v>
      </c>
      <c r="M535" s="31">
        <f t="shared" si="105"/>
        <v>0</v>
      </c>
      <c r="N535" s="50">
        <v>0</v>
      </c>
      <c r="O535" s="31">
        <f t="shared" si="106"/>
        <v>0</v>
      </c>
      <c r="P535" s="51" t="s">
        <v>2202</v>
      </c>
      <c r="Q535" s="51"/>
    </row>
    <row r="536" spans="1:18" s="765" customFormat="1" x14ac:dyDescent="0.25">
      <c r="A536" s="10">
        <v>44106</v>
      </c>
      <c r="B536" s="594">
        <v>0</v>
      </c>
      <c r="C536" s="31">
        <f t="shared" si="100"/>
        <v>2782781.68</v>
      </c>
      <c r="D536" s="50">
        <v>19.59</v>
      </c>
      <c r="E536" s="31">
        <f t="shared" si="101"/>
        <v>19.59</v>
      </c>
      <c r="F536" s="900">
        <v>0</v>
      </c>
      <c r="G536" s="899">
        <f t="shared" si="102"/>
        <v>92887.03</v>
      </c>
      <c r="H536" s="50">
        <v>1.55</v>
      </c>
      <c r="I536" s="31">
        <f t="shared" si="103"/>
        <v>-151.86000000000001</v>
      </c>
      <c r="J536" s="50">
        <v>0</v>
      </c>
      <c r="K536" s="31">
        <f t="shared" si="104"/>
        <v>0</v>
      </c>
      <c r="L536" s="50">
        <v>0.66</v>
      </c>
      <c r="M536" s="31">
        <f t="shared" si="105"/>
        <v>0.66</v>
      </c>
      <c r="N536" s="50">
        <v>0</v>
      </c>
      <c r="O536" s="31">
        <f t="shared" si="106"/>
        <v>0</v>
      </c>
      <c r="P536" s="51" t="s">
        <v>1078</v>
      </c>
      <c r="Q536" s="51"/>
    </row>
    <row r="537" spans="1:18" s="765" customFormat="1" x14ac:dyDescent="0.25">
      <c r="A537" s="10">
        <v>44106</v>
      </c>
      <c r="B537" s="594">
        <v>0</v>
      </c>
      <c r="C537" s="31">
        <f t="shared" si="100"/>
        <v>2782781.68</v>
      </c>
      <c r="D537" s="50">
        <v>-19.59</v>
      </c>
      <c r="E537" s="31">
        <f t="shared" si="101"/>
        <v>0</v>
      </c>
      <c r="F537" s="900">
        <v>0</v>
      </c>
      <c r="G537" s="899">
        <f t="shared" si="102"/>
        <v>92887.03</v>
      </c>
      <c r="H537" s="50">
        <v>151.86000000000001</v>
      </c>
      <c r="I537" s="31">
        <f t="shared" si="103"/>
        <v>0</v>
      </c>
      <c r="J537" s="50">
        <v>0</v>
      </c>
      <c r="K537" s="31">
        <f t="shared" si="104"/>
        <v>0</v>
      </c>
      <c r="L537" s="50">
        <v>-0.66</v>
      </c>
      <c r="M537" s="31">
        <f t="shared" si="105"/>
        <v>0</v>
      </c>
      <c r="N537" s="50">
        <v>0</v>
      </c>
      <c r="O537" s="31">
        <f t="shared" si="106"/>
        <v>0</v>
      </c>
      <c r="P537" s="51" t="s">
        <v>845</v>
      </c>
      <c r="Q537" s="51"/>
    </row>
    <row r="538" spans="1:18" s="765" customFormat="1" x14ac:dyDescent="0.25">
      <c r="A538" s="10">
        <v>44111</v>
      </c>
      <c r="B538" s="594">
        <v>0</v>
      </c>
      <c r="C538" s="31">
        <f t="shared" si="100"/>
        <v>2782781.68</v>
      </c>
      <c r="D538" s="50">
        <v>0</v>
      </c>
      <c r="E538" s="31">
        <f t="shared" si="101"/>
        <v>0</v>
      </c>
      <c r="F538" s="900">
        <v>0.28999999999999998</v>
      </c>
      <c r="G538" s="899">
        <f t="shared" si="102"/>
        <v>92887.32</v>
      </c>
      <c r="H538" s="50">
        <v>0</v>
      </c>
      <c r="I538" s="31">
        <f t="shared" si="103"/>
        <v>0</v>
      </c>
      <c r="J538" s="50">
        <v>0</v>
      </c>
      <c r="K538" s="31">
        <f t="shared" si="104"/>
        <v>0</v>
      </c>
      <c r="L538" s="50">
        <v>0</v>
      </c>
      <c r="M538" s="31">
        <f t="shared" si="105"/>
        <v>0</v>
      </c>
      <c r="N538" s="50">
        <v>0</v>
      </c>
      <c r="O538" s="31">
        <f t="shared" si="106"/>
        <v>0</v>
      </c>
      <c r="P538" s="51" t="s">
        <v>1020</v>
      </c>
      <c r="Q538" s="51"/>
    </row>
    <row r="539" spans="1:18" s="765" customFormat="1" x14ac:dyDescent="0.25">
      <c r="A539" s="10">
        <v>44113</v>
      </c>
      <c r="B539" s="594">
        <v>5400000</v>
      </c>
      <c r="C539" s="31">
        <f t="shared" si="100"/>
        <v>8182781.6799999997</v>
      </c>
      <c r="D539" s="50">
        <v>0</v>
      </c>
      <c r="E539" s="31">
        <f t="shared" si="101"/>
        <v>0</v>
      </c>
      <c r="F539" s="900">
        <v>-5405817.5999999996</v>
      </c>
      <c r="G539" s="899">
        <f t="shared" si="102"/>
        <v>-5312930.28</v>
      </c>
      <c r="H539" s="50">
        <v>0</v>
      </c>
      <c r="I539" s="31">
        <f t="shared" si="103"/>
        <v>0</v>
      </c>
      <c r="J539" s="50">
        <v>0</v>
      </c>
      <c r="K539" s="31">
        <f t="shared" si="104"/>
        <v>0</v>
      </c>
      <c r="L539" s="50">
        <v>0</v>
      </c>
      <c r="M539" s="31">
        <f t="shared" si="105"/>
        <v>0</v>
      </c>
      <c r="N539" s="50">
        <v>0</v>
      </c>
      <c r="O539" s="31">
        <f t="shared" si="106"/>
        <v>0</v>
      </c>
      <c r="P539" s="51" t="s">
        <v>1012</v>
      </c>
      <c r="Q539" s="51"/>
    </row>
    <row r="540" spans="1:18" s="765" customFormat="1" x14ac:dyDescent="0.25">
      <c r="A540" s="10">
        <v>44113</v>
      </c>
      <c r="B540" s="594">
        <v>-5400000</v>
      </c>
      <c r="C540" s="31">
        <f t="shared" si="100"/>
        <v>2782781.68</v>
      </c>
      <c r="D540" s="50">
        <v>0</v>
      </c>
      <c r="E540" s="31">
        <f t="shared" si="101"/>
        <v>0</v>
      </c>
      <c r="F540" s="900">
        <v>5405817.5999999996</v>
      </c>
      <c r="G540" s="899">
        <f t="shared" si="102"/>
        <v>92887.32</v>
      </c>
      <c r="H540" s="50">
        <v>0</v>
      </c>
      <c r="I540" s="31">
        <f t="shared" si="103"/>
        <v>0</v>
      </c>
      <c r="J540" s="50">
        <v>0</v>
      </c>
      <c r="K540" s="31">
        <f t="shared" si="104"/>
        <v>0</v>
      </c>
      <c r="L540" s="50">
        <v>0</v>
      </c>
      <c r="M540" s="31">
        <f t="shared" si="105"/>
        <v>0</v>
      </c>
      <c r="N540" s="50">
        <v>0</v>
      </c>
      <c r="O540" s="31">
        <f t="shared" si="106"/>
        <v>0</v>
      </c>
      <c r="P540" s="51" t="s">
        <v>1013</v>
      </c>
      <c r="Q540" s="51"/>
    </row>
    <row r="541" spans="1:18" s="765" customFormat="1" x14ac:dyDescent="0.25">
      <c r="A541" s="10">
        <v>44120</v>
      </c>
      <c r="B541" s="594">
        <v>0</v>
      </c>
      <c r="C541" s="31">
        <f t="shared" si="100"/>
        <v>2782781.68</v>
      </c>
      <c r="D541" s="50">
        <v>-53422017.25</v>
      </c>
      <c r="E541" s="31">
        <f t="shared" si="101"/>
        <v>-53422017.25</v>
      </c>
      <c r="F541" s="900">
        <v>0</v>
      </c>
      <c r="G541" s="899">
        <f t="shared" si="102"/>
        <v>92887.32</v>
      </c>
      <c r="H541" s="50">
        <v>0</v>
      </c>
      <c r="I541" s="31">
        <f t="shared" si="103"/>
        <v>0</v>
      </c>
      <c r="J541" s="50">
        <v>0</v>
      </c>
      <c r="K541" s="31">
        <f t="shared" si="104"/>
        <v>0</v>
      </c>
      <c r="L541" s="50">
        <v>0</v>
      </c>
      <c r="M541" s="31">
        <f t="shared" si="105"/>
        <v>0</v>
      </c>
      <c r="N541" s="50">
        <v>0</v>
      </c>
      <c r="O541" s="31">
        <f t="shared" si="106"/>
        <v>0</v>
      </c>
      <c r="P541" s="51" t="s">
        <v>2216</v>
      </c>
      <c r="Q541" s="51"/>
      <c r="R541" s="765" t="s">
        <v>2216</v>
      </c>
    </row>
    <row r="542" spans="1:18" s="765" customFormat="1" x14ac:dyDescent="0.25">
      <c r="A542" s="10">
        <v>44120</v>
      </c>
      <c r="B542" s="594">
        <v>0</v>
      </c>
      <c r="C542" s="31">
        <f t="shared" si="100"/>
        <v>2782781.68</v>
      </c>
      <c r="D542" s="50">
        <v>-46532713.905439995</v>
      </c>
      <c r="E542" s="31">
        <f t="shared" si="101"/>
        <v>-99954731.159999996</v>
      </c>
      <c r="F542" s="900">
        <v>0</v>
      </c>
      <c r="G542" s="899">
        <f t="shared" si="102"/>
        <v>92887.32</v>
      </c>
      <c r="H542" s="50">
        <v>0</v>
      </c>
      <c r="I542" s="31">
        <f t="shared" si="103"/>
        <v>0</v>
      </c>
      <c r="J542" s="50">
        <v>0</v>
      </c>
      <c r="K542" s="31">
        <f t="shared" si="104"/>
        <v>0</v>
      </c>
      <c r="L542" s="50">
        <v>0</v>
      </c>
      <c r="M542" s="31">
        <f t="shared" si="105"/>
        <v>0</v>
      </c>
      <c r="N542" s="50">
        <v>0</v>
      </c>
      <c r="O542" s="31">
        <f t="shared" si="106"/>
        <v>0</v>
      </c>
      <c r="P542" s="51" t="s">
        <v>2216</v>
      </c>
      <c r="Q542" s="51"/>
      <c r="R542" s="765" t="s">
        <v>2216</v>
      </c>
    </row>
    <row r="543" spans="1:18" s="765" customFormat="1" x14ac:dyDescent="0.25">
      <c r="A543" s="10">
        <v>44120</v>
      </c>
      <c r="B543" s="594">
        <v>0</v>
      </c>
      <c r="C543" s="31">
        <f t="shared" si="100"/>
        <v>2782781.68</v>
      </c>
      <c r="D543" s="50">
        <v>-2500562.5</v>
      </c>
      <c r="E543" s="31">
        <f t="shared" si="101"/>
        <v>-102455293.66</v>
      </c>
      <c r="F543" s="900">
        <v>0</v>
      </c>
      <c r="G543" s="899">
        <f t="shared" si="102"/>
        <v>92887.32</v>
      </c>
      <c r="H543" s="50">
        <v>0</v>
      </c>
      <c r="I543" s="31">
        <f t="shared" si="103"/>
        <v>0</v>
      </c>
      <c r="J543" s="50">
        <v>0</v>
      </c>
      <c r="K543" s="31">
        <f t="shared" si="104"/>
        <v>0</v>
      </c>
      <c r="L543" s="50">
        <v>0</v>
      </c>
      <c r="M543" s="31">
        <f t="shared" si="105"/>
        <v>0</v>
      </c>
      <c r="N543" s="50">
        <v>0</v>
      </c>
      <c r="O543" s="31">
        <f t="shared" si="106"/>
        <v>0</v>
      </c>
      <c r="P543" s="51" t="s">
        <v>2216</v>
      </c>
      <c r="Q543" s="51"/>
      <c r="R543" s="765" t="s">
        <v>2216</v>
      </c>
    </row>
    <row r="544" spans="1:18" s="765" customFormat="1" x14ac:dyDescent="0.25">
      <c r="A544" s="10">
        <v>44120</v>
      </c>
      <c r="B544" s="594">
        <v>0</v>
      </c>
      <c r="C544" s="31">
        <f t="shared" si="100"/>
        <v>2782781.68</v>
      </c>
      <c r="D544" s="50">
        <v>-1388972.4484999999</v>
      </c>
      <c r="E544" s="31">
        <f t="shared" si="101"/>
        <v>-103844266.11</v>
      </c>
      <c r="F544" s="900">
        <v>0</v>
      </c>
      <c r="G544" s="899">
        <f t="shared" si="102"/>
        <v>92887.32</v>
      </c>
      <c r="H544" s="50">
        <v>0</v>
      </c>
      <c r="I544" s="31">
        <f t="shared" si="103"/>
        <v>0</v>
      </c>
      <c r="J544" s="50">
        <v>0</v>
      </c>
      <c r="K544" s="31">
        <f t="shared" si="104"/>
        <v>0</v>
      </c>
      <c r="L544" s="50">
        <v>0</v>
      </c>
      <c r="M544" s="31">
        <f t="shared" si="105"/>
        <v>0</v>
      </c>
      <c r="N544" s="50">
        <v>0</v>
      </c>
      <c r="O544" s="31">
        <f t="shared" si="106"/>
        <v>0</v>
      </c>
      <c r="P544" s="51" t="s">
        <v>2216</v>
      </c>
      <c r="Q544" s="51"/>
      <c r="R544" s="765" t="s">
        <v>2216</v>
      </c>
    </row>
    <row r="545" spans="1:18" s="765" customFormat="1" x14ac:dyDescent="0.25">
      <c r="A545" s="10">
        <v>44120</v>
      </c>
      <c r="B545" s="594">
        <v>0</v>
      </c>
      <c r="C545" s="31">
        <f t="shared" si="100"/>
        <v>2782781.68</v>
      </c>
      <c r="D545" s="50">
        <v>53165000</v>
      </c>
      <c r="E545" s="31">
        <f t="shared" si="101"/>
        <v>-50679266.109999999</v>
      </c>
      <c r="F545" s="900">
        <v>0</v>
      </c>
      <c r="G545" s="899">
        <f t="shared" si="102"/>
        <v>92887.32</v>
      </c>
      <c r="H545" s="50">
        <v>0</v>
      </c>
      <c r="I545" s="31">
        <f t="shared" si="103"/>
        <v>0</v>
      </c>
      <c r="J545" s="50">
        <v>0</v>
      </c>
      <c r="K545" s="31">
        <f t="shared" si="104"/>
        <v>0</v>
      </c>
      <c r="L545" s="50">
        <v>0</v>
      </c>
      <c r="M545" s="31">
        <f t="shared" si="105"/>
        <v>0</v>
      </c>
      <c r="N545" s="50">
        <v>0</v>
      </c>
      <c r="O545" s="31">
        <f t="shared" si="106"/>
        <v>0</v>
      </c>
      <c r="P545" s="51" t="s">
        <v>2217</v>
      </c>
      <c r="Q545" s="51"/>
      <c r="R545" s="765" t="s">
        <v>2216</v>
      </c>
    </row>
    <row r="546" spans="1:18" s="765" customFormat="1" x14ac:dyDescent="0.25">
      <c r="A546" s="10">
        <v>44120</v>
      </c>
      <c r="B546" s="594">
        <v>0</v>
      </c>
      <c r="C546" s="31">
        <f t="shared" si="100"/>
        <v>2782781.68</v>
      </c>
      <c r="D546" s="50">
        <v>50177127</v>
      </c>
      <c r="E546" s="31">
        <f t="shared" si="101"/>
        <v>-502139.11</v>
      </c>
      <c r="F546" s="900">
        <v>0</v>
      </c>
      <c r="G546" s="899">
        <f t="shared" si="102"/>
        <v>92887.32</v>
      </c>
      <c r="H546" s="50">
        <v>0</v>
      </c>
      <c r="I546" s="31">
        <f t="shared" si="103"/>
        <v>0</v>
      </c>
      <c r="J546" s="50">
        <v>0</v>
      </c>
      <c r="K546" s="31">
        <f t="shared" si="104"/>
        <v>0</v>
      </c>
      <c r="L546" s="50">
        <v>0</v>
      </c>
      <c r="M546" s="31">
        <f t="shared" si="105"/>
        <v>0</v>
      </c>
      <c r="N546" s="50">
        <v>0</v>
      </c>
      <c r="O546" s="31">
        <f t="shared" si="106"/>
        <v>0</v>
      </c>
      <c r="P546" s="51" t="s">
        <v>2217</v>
      </c>
      <c r="Q546" s="51"/>
    </row>
    <row r="547" spans="1:18" s="765" customFormat="1" x14ac:dyDescent="0.25">
      <c r="A547" s="10">
        <v>44120</v>
      </c>
      <c r="B547" s="594">
        <v>0</v>
      </c>
      <c r="C547" s="31">
        <f t="shared" si="100"/>
        <v>2782781.68</v>
      </c>
      <c r="D547" s="50">
        <v>531650</v>
      </c>
      <c r="E547" s="31">
        <f t="shared" si="101"/>
        <v>29510.89</v>
      </c>
      <c r="F547" s="900">
        <v>0</v>
      </c>
      <c r="G547" s="899">
        <f t="shared" si="102"/>
        <v>92887.32</v>
      </c>
      <c r="H547" s="50">
        <v>0</v>
      </c>
      <c r="I547" s="31">
        <f t="shared" si="103"/>
        <v>0</v>
      </c>
      <c r="J547" s="50">
        <v>0</v>
      </c>
      <c r="K547" s="31">
        <f t="shared" si="104"/>
        <v>0</v>
      </c>
      <c r="L547" s="50">
        <v>0</v>
      </c>
      <c r="M547" s="31">
        <f t="shared" si="105"/>
        <v>0</v>
      </c>
      <c r="N547" s="50">
        <v>0</v>
      </c>
      <c r="O547" s="31">
        <f t="shared" si="106"/>
        <v>0</v>
      </c>
      <c r="P547" s="51" t="s">
        <v>2217</v>
      </c>
      <c r="Q547" s="51"/>
    </row>
    <row r="548" spans="1:18" s="765" customFormat="1" x14ac:dyDescent="0.25">
      <c r="A548" s="10">
        <v>44120</v>
      </c>
      <c r="B548" s="594">
        <v>0</v>
      </c>
      <c r="C548" s="31">
        <f t="shared" si="100"/>
        <v>2782781.68</v>
      </c>
      <c r="D548" s="50">
        <v>202959.583888889</v>
      </c>
      <c r="E548" s="31">
        <f t="shared" si="101"/>
        <v>232470.47</v>
      </c>
      <c r="F548" s="900">
        <v>0</v>
      </c>
      <c r="G548" s="899">
        <f t="shared" si="102"/>
        <v>92887.32</v>
      </c>
      <c r="H548" s="50">
        <v>0</v>
      </c>
      <c r="I548" s="31">
        <f t="shared" si="103"/>
        <v>0</v>
      </c>
      <c r="J548" s="50">
        <v>0</v>
      </c>
      <c r="K548" s="31">
        <f t="shared" si="104"/>
        <v>0</v>
      </c>
      <c r="L548" s="50">
        <v>0</v>
      </c>
      <c r="M548" s="31">
        <f t="shared" si="105"/>
        <v>0</v>
      </c>
      <c r="N548" s="50">
        <v>0</v>
      </c>
      <c r="O548" s="31">
        <f t="shared" si="106"/>
        <v>0</v>
      </c>
      <c r="P548" s="51" t="s">
        <v>845</v>
      </c>
      <c r="Q548" s="51"/>
    </row>
    <row r="549" spans="1:18" s="765" customFormat="1" x14ac:dyDescent="0.25">
      <c r="A549" s="10">
        <v>44123</v>
      </c>
      <c r="B549" s="594">
        <v>0</v>
      </c>
      <c r="C549" s="31">
        <f t="shared" si="100"/>
        <v>2782781.68</v>
      </c>
      <c r="D549" s="50">
        <v>0.01</v>
      </c>
      <c r="E549" s="31">
        <f t="shared" si="101"/>
        <v>232470.48</v>
      </c>
      <c r="F549" s="900">
        <v>0</v>
      </c>
      <c r="G549" s="899">
        <f t="shared" si="102"/>
        <v>92887.32</v>
      </c>
      <c r="H549" s="50">
        <v>0</v>
      </c>
      <c r="I549" s="31">
        <f t="shared" si="103"/>
        <v>0</v>
      </c>
      <c r="J549" s="50">
        <v>0</v>
      </c>
      <c r="K549" s="31">
        <f t="shared" si="104"/>
        <v>0</v>
      </c>
      <c r="L549" s="50">
        <v>0</v>
      </c>
      <c r="M549" s="31">
        <f t="shared" si="105"/>
        <v>0</v>
      </c>
      <c r="N549" s="50">
        <v>0</v>
      </c>
      <c r="O549" s="31">
        <f t="shared" si="106"/>
        <v>0</v>
      </c>
      <c r="P549" s="51" t="s">
        <v>1020</v>
      </c>
      <c r="Q549" s="51"/>
    </row>
    <row r="550" spans="1:18" s="765" customFormat="1" x14ac:dyDescent="0.25">
      <c r="A550" s="10">
        <v>44123</v>
      </c>
      <c r="B550" s="594">
        <v>0</v>
      </c>
      <c r="C550" s="31">
        <f t="shared" si="100"/>
        <v>2782781.68</v>
      </c>
      <c r="D550" s="50">
        <v>-232470.48</v>
      </c>
      <c r="E550" s="31">
        <f t="shared" si="101"/>
        <v>0</v>
      </c>
      <c r="F550" s="900">
        <v>0</v>
      </c>
      <c r="G550" s="899">
        <f t="shared" si="102"/>
        <v>92887.32</v>
      </c>
      <c r="H550" s="50">
        <v>0</v>
      </c>
      <c r="I550" s="31">
        <f t="shared" si="103"/>
        <v>0</v>
      </c>
      <c r="J550" s="50">
        <v>0</v>
      </c>
      <c r="K550" s="31">
        <f t="shared" si="104"/>
        <v>0</v>
      </c>
      <c r="L550" s="50">
        <v>0</v>
      </c>
      <c r="M550" s="31">
        <f t="shared" si="105"/>
        <v>0</v>
      </c>
      <c r="N550" s="50">
        <v>0</v>
      </c>
      <c r="O550" s="31">
        <f t="shared" si="106"/>
        <v>0</v>
      </c>
      <c r="P550" s="51" t="s">
        <v>845</v>
      </c>
      <c r="Q550" s="51"/>
    </row>
    <row r="551" spans="1:18" s="765" customFormat="1" x14ac:dyDescent="0.25">
      <c r="A551" s="10">
        <v>44137</v>
      </c>
      <c r="B551" s="594">
        <v>0</v>
      </c>
      <c r="C551" s="31">
        <f t="shared" si="100"/>
        <v>2782781.68</v>
      </c>
      <c r="D551" s="50">
        <v>945683.75</v>
      </c>
      <c r="E551" s="31">
        <f t="shared" si="101"/>
        <v>945683.75</v>
      </c>
      <c r="F551" s="900">
        <v>0</v>
      </c>
      <c r="G551" s="899">
        <f t="shared" si="102"/>
        <v>92887.32</v>
      </c>
      <c r="H551" s="50">
        <v>0</v>
      </c>
      <c r="I551" s="31">
        <f t="shared" si="103"/>
        <v>0</v>
      </c>
      <c r="J551" s="50">
        <v>0</v>
      </c>
      <c r="K551" s="31">
        <f t="shared" si="104"/>
        <v>0</v>
      </c>
      <c r="L551" s="50">
        <v>0</v>
      </c>
      <c r="M551" s="31">
        <f t="shared" si="105"/>
        <v>0</v>
      </c>
      <c r="N551" s="50">
        <v>0</v>
      </c>
      <c r="O551" s="31">
        <f t="shared" si="106"/>
        <v>0</v>
      </c>
      <c r="P551" s="51" t="s">
        <v>2228</v>
      </c>
      <c r="Q551" s="51"/>
    </row>
    <row r="552" spans="1:18" s="765" customFormat="1" x14ac:dyDescent="0.25">
      <c r="A552" s="10">
        <v>44137</v>
      </c>
      <c r="B552" s="594">
        <v>0</v>
      </c>
      <c r="C552" s="31">
        <f t="shared" si="100"/>
        <v>2782781.68</v>
      </c>
      <c r="D552" s="50">
        <v>0</v>
      </c>
      <c r="E552" s="31">
        <f t="shared" si="101"/>
        <v>945683.75</v>
      </c>
      <c r="F552" s="900">
        <v>0</v>
      </c>
      <c r="G552" s="899">
        <f t="shared" si="102"/>
        <v>92887.32</v>
      </c>
      <c r="H552" s="50">
        <v>-153.41</v>
      </c>
      <c r="I552" s="31">
        <f t="shared" si="103"/>
        <v>-153.41</v>
      </c>
      <c r="J552" s="50">
        <v>0</v>
      </c>
      <c r="K552" s="31">
        <f t="shared" si="104"/>
        <v>0</v>
      </c>
      <c r="L552" s="50">
        <v>0</v>
      </c>
      <c r="M552" s="31">
        <f t="shared" si="105"/>
        <v>0</v>
      </c>
      <c r="N552" s="50">
        <v>0</v>
      </c>
      <c r="O552" s="31">
        <f t="shared" si="106"/>
        <v>0</v>
      </c>
      <c r="P552" s="51" t="s">
        <v>2229</v>
      </c>
      <c r="Q552" s="51"/>
    </row>
    <row r="553" spans="1:18" s="765" customFormat="1" x14ac:dyDescent="0.25">
      <c r="A553" s="10">
        <v>44137</v>
      </c>
      <c r="B553" s="594">
        <v>0</v>
      </c>
      <c r="C553" s="31">
        <f t="shared" si="100"/>
        <v>2782781.68</v>
      </c>
      <c r="D553" s="50">
        <v>-945683.75</v>
      </c>
      <c r="E553" s="31">
        <f t="shared" si="101"/>
        <v>0</v>
      </c>
      <c r="F553" s="900">
        <v>0</v>
      </c>
      <c r="G553" s="899">
        <f t="shared" si="102"/>
        <v>92887.32</v>
      </c>
      <c r="H553" s="50">
        <v>153.41</v>
      </c>
      <c r="I553" s="31">
        <f t="shared" si="103"/>
        <v>0</v>
      </c>
      <c r="J553" s="50">
        <v>0</v>
      </c>
      <c r="K553" s="31">
        <f t="shared" si="104"/>
        <v>0</v>
      </c>
      <c r="L553" s="50">
        <v>0</v>
      </c>
      <c r="M553" s="31">
        <f t="shared" si="105"/>
        <v>0</v>
      </c>
      <c r="N553" s="50">
        <v>0</v>
      </c>
      <c r="O553" s="31">
        <f t="shared" si="106"/>
        <v>0</v>
      </c>
      <c r="P553" s="51" t="s">
        <v>845</v>
      </c>
      <c r="Q553" s="51"/>
    </row>
    <row r="554" spans="1:18" s="765" customFormat="1" x14ac:dyDescent="0.25">
      <c r="A554" s="10">
        <v>44138</v>
      </c>
      <c r="B554" s="594">
        <v>0</v>
      </c>
      <c r="C554" s="31">
        <f t="shared" si="100"/>
        <v>2782781.68</v>
      </c>
      <c r="D554" s="50">
        <v>4.4400000000000004</v>
      </c>
      <c r="E554" s="31">
        <f t="shared" si="101"/>
        <v>4.4400000000000004</v>
      </c>
      <c r="F554" s="900">
        <v>0</v>
      </c>
      <c r="G554" s="899">
        <f t="shared" si="102"/>
        <v>92887.32</v>
      </c>
      <c r="H554" s="50">
        <v>1.19</v>
      </c>
      <c r="I554" s="31">
        <f t="shared" si="103"/>
        <v>1.19</v>
      </c>
      <c r="J554" s="50">
        <v>0</v>
      </c>
      <c r="K554" s="31">
        <f t="shared" si="104"/>
        <v>0</v>
      </c>
      <c r="L554" s="50">
        <v>0</v>
      </c>
      <c r="M554" s="31">
        <f t="shared" si="105"/>
        <v>0</v>
      </c>
      <c r="N554" s="50">
        <v>0</v>
      </c>
      <c r="O554" s="31">
        <f t="shared" si="106"/>
        <v>0</v>
      </c>
      <c r="P554" s="51" t="s">
        <v>1078</v>
      </c>
      <c r="Q554" s="51"/>
    </row>
    <row r="555" spans="1:18" s="765" customFormat="1" x14ac:dyDescent="0.25">
      <c r="A555" s="10">
        <v>44138</v>
      </c>
      <c r="B555" s="594">
        <v>0</v>
      </c>
      <c r="C555" s="31">
        <f t="shared" si="100"/>
        <v>2782781.68</v>
      </c>
      <c r="D555" s="50">
        <v>-945683.75</v>
      </c>
      <c r="E555" s="31">
        <f t="shared" si="101"/>
        <v>-945679.31</v>
      </c>
      <c r="F555" s="900">
        <v>0</v>
      </c>
      <c r="G555" s="899">
        <f t="shared" si="102"/>
        <v>92887.32</v>
      </c>
      <c r="H555" s="50">
        <v>0</v>
      </c>
      <c r="I555" s="31">
        <f t="shared" si="103"/>
        <v>1.19</v>
      </c>
      <c r="J555" s="50">
        <v>0</v>
      </c>
      <c r="K555" s="31">
        <f t="shared" si="104"/>
        <v>0</v>
      </c>
      <c r="L555" s="50">
        <v>0</v>
      </c>
      <c r="M555" s="31">
        <f t="shared" si="105"/>
        <v>0</v>
      </c>
      <c r="N555" s="50">
        <v>0</v>
      </c>
      <c r="O555" s="31">
        <f t="shared" si="106"/>
        <v>0</v>
      </c>
      <c r="P555" s="51" t="s">
        <v>2230</v>
      </c>
      <c r="Q555" s="51"/>
    </row>
    <row r="556" spans="1:18" s="765" customFormat="1" x14ac:dyDescent="0.25">
      <c r="A556" s="10">
        <v>44138</v>
      </c>
      <c r="B556" s="594">
        <v>0</v>
      </c>
      <c r="C556" s="31">
        <f t="shared" si="100"/>
        <v>2782781.68</v>
      </c>
      <c r="D556" s="50">
        <v>945679.31</v>
      </c>
      <c r="E556" s="31">
        <f t="shared" si="101"/>
        <v>0</v>
      </c>
      <c r="F556" s="900">
        <v>0</v>
      </c>
      <c r="G556" s="899">
        <f t="shared" si="102"/>
        <v>92887.32</v>
      </c>
      <c r="H556" s="50">
        <v>-1.19</v>
      </c>
      <c r="I556" s="31">
        <f t="shared" si="103"/>
        <v>0</v>
      </c>
      <c r="J556" s="50">
        <v>0</v>
      </c>
      <c r="K556" s="31">
        <f t="shared" si="104"/>
        <v>0</v>
      </c>
      <c r="L556" s="50">
        <v>0</v>
      </c>
      <c r="M556" s="31">
        <f t="shared" si="105"/>
        <v>0</v>
      </c>
      <c r="N556" s="50">
        <v>0</v>
      </c>
      <c r="O556" s="31">
        <f t="shared" si="106"/>
        <v>0</v>
      </c>
      <c r="P556" s="51" t="s">
        <v>845</v>
      </c>
      <c r="Q556" s="51"/>
    </row>
    <row r="557" spans="1:18" s="765" customFormat="1" x14ac:dyDescent="0.25">
      <c r="A557" s="10">
        <v>44141</v>
      </c>
      <c r="B557" s="594">
        <v>0</v>
      </c>
      <c r="C557" s="31">
        <f t="shared" si="100"/>
        <v>2782781.68</v>
      </c>
      <c r="D557" s="50">
        <v>-103357800.55592833</v>
      </c>
      <c r="E557" s="31">
        <f t="shared" si="101"/>
        <v>-103357800.56</v>
      </c>
      <c r="F557" s="900">
        <v>0</v>
      </c>
      <c r="G557" s="899">
        <f t="shared" si="102"/>
        <v>92887.32</v>
      </c>
      <c r="H557" s="50">
        <v>0</v>
      </c>
      <c r="I557" s="31">
        <f t="shared" si="103"/>
        <v>0</v>
      </c>
      <c r="J557" s="50">
        <v>0</v>
      </c>
      <c r="K557" s="31">
        <f t="shared" si="104"/>
        <v>0</v>
      </c>
      <c r="L557" s="50">
        <v>0</v>
      </c>
      <c r="M557" s="31">
        <f t="shared" si="105"/>
        <v>0</v>
      </c>
      <c r="N557" s="50">
        <v>0</v>
      </c>
      <c r="O557" s="31">
        <f t="shared" si="106"/>
        <v>0</v>
      </c>
      <c r="P557" s="51" t="s">
        <v>2246</v>
      </c>
      <c r="Q557" s="51"/>
    </row>
    <row r="558" spans="1:18" s="111" customFormat="1" x14ac:dyDescent="0.25">
      <c r="A558" s="1161">
        <v>44141</v>
      </c>
      <c r="B558" s="1162">
        <v>-10000000</v>
      </c>
      <c r="C558" s="1163">
        <f t="shared" si="100"/>
        <v>-7217218.3200000003</v>
      </c>
      <c r="D558" s="1162">
        <v>10035590.210000001</v>
      </c>
      <c r="E558" s="1163">
        <f t="shared" si="101"/>
        <v>-93322210.349999994</v>
      </c>
      <c r="F558" s="1164">
        <v>0</v>
      </c>
      <c r="G558" s="1165">
        <f t="shared" si="102"/>
        <v>92887.32</v>
      </c>
      <c r="H558" s="1162">
        <v>0</v>
      </c>
      <c r="I558" s="1163">
        <f t="shared" si="103"/>
        <v>0</v>
      </c>
      <c r="J558" s="1162">
        <v>0</v>
      </c>
      <c r="K558" s="1163">
        <f t="shared" si="104"/>
        <v>0</v>
      </c>
      <c r="L558" s="1162">
        <v>0</v>
      </c>
      <c r="M558" s="1163">
        <f t="shared" si="105"/>
        <v>0</v>
      </c>
      <c r="N558" s="1162">
        <v>0</v>
      </c>
      <c r="O558" s="1163">
        <f t="shared" si="106"/>
        <v>0</v>
      </c>
      <c r="P558" s="1166" t="s">
        <v>1697</v>
      </c>
      <c r="Q558" s="1166"/>
    </row>
    <row r="559" spans="1:18" s="765" customFormat="1" x14ac:dyDescent="0.25">
      <c r="A559" s="10">
        <v>44141</v>
      </c>
      <c r="B559" s="594">
        <v>19721906</v>
      </c>
      <c r="C559" s="31">
        <f t="shared" si="100"/>
        <v>12504687.68</v>
      </c>
      <c r="D559" s="50">
        <f>-19792096.674327</f>
        <v>-19792096.674327001</v>
      </c>
      <c r="E559" s="31">
        <f t="shared" si="101"/>
        <v>-113114307.02</v>
      </c>
      <c r="F559" s="900">
        <v>0</v>
      </c>
      <c r="G559" s="899">
        <f t="shared" si="102"/>
        <v>92887.32</v>
      </c>
      <c r="H559" s="50">
        <v>0</v>
      </c>
      <c r="I559" s="31">
        <f t="shared" si="103"/>
        <v>0</v>
      </c>
      <c r="J559" s="50">
        <v>0</v>
      </c>
      <c r="K559" s="31">
        <f t="shared" si="104"/>
        <v>0</v>
      </c>
      <c r="L559" s="50">
        <v>0</v>
      </c>
      <c r="M559" s="31">
        <f t="shared" si="105"/>
        <v>0</v>
      </c>
      <c r="N559" s="50">
        <v>0</v>
      </c>
      <c r="O559" s="31">
        <f t="shared" si="106"/>
        <v>0</v>
      </c>
      <c r="P559" s="51" t="s">
        <v>2247</v>
      </c>
      <c r="Q559" s="51"/>
    </row>
    <row r="560" spans="1:18" s="765" customFormat="1" x14ac:dyDescent="0.25">
      <c r="A560" s="10">
        <v>44141</v>
      </c>
      <c r="B560" s="594">
        <v>0</v>
      </c>
      <c r="C560" s="31">
        <f t="shared" si="100"/>
        <v>12504687.68</v>
      </c>
      <c r="D560" s="50">
        <v>19734122.488147873</v>
      </c>
      <c r="E560" s="31">
        <f t="shared" si="101"/>
        <v>-93380184.530000001</v>
      </c>
      <c r="F560" s="900">
        <v>0</v>
      </c>
      <c r="G560" s="899">
        <f t="shared" si="102"/>
        <v>92887.32</v>
      </c>
      <c r="H560" s="50">
        <v>0</v>
      </c>
      <c r="I560" s="31">
        <f t="shared" si="103"/>
        <v>0</v>
      </c>
      <c r="J560" s="50">
        <v>0</v>
      </c>
      <c r="K560" s="31">
        <f t="shared" si="104"/>
        <v>0</v>
      </c>
      <c r="L560" s="50">
        <v>0</v>
      </c>
      <c r="M560" s="31">
        <f t="shared" si="105"/>
        <v>0</v>
      </c>
      <c r="N560" s="50">
        <v>0</v>
      </c>
      <c r="O560" s="31">
        <f t="shared" si="106"/>
        <v>0</v>
      </c>
      <c r="P560" s="51" t="s">
        <v>2249</v>
      </c>
      <c r="Q560" s="51"/>
    </row>
    <row r="561" spans="1:17" s="765" customFormat="1" x14ac:dyDescent="0.25">
      <c r="A561" s="10">
        <v>44141</v>
      </c>
      <c r="B561" s="594">
        <v>0</v>
      </c>
      <c r="C561" s="31">
        <f t="shared" si="100"/>
        <v>12504687.68</v>
      </c>
      <c r="D561" s="50">
        <v>-9727928.1131478809</v>
      </c>
      <c r="E561" s="31">
        <f t="shared" si="101"/>
        <v>-103108112.64</v>
      </c>
      <c r="F561" s="900">
        <v>0</v>
      </c>
      <c r="G561" s="899">
        <f t="shared" si="102"/>
        <v>92887.32</v>
      </c>
      <c r="H561" s="50">
        <v>0</v>
      </c>
      <c r="I561" s="31">
        <f t="shared" si="103"/>
        <v>0</v>
      </c>
      <c r="J561" s="50">
        <v>0</v>
      </c>
      <c r="K561" s="31">
        <f t="shared" si="104"/>
        <v>0</v>
      </c>
      <c r="L561" s="50">
        <v>0</v>
      </c>
      <c r="M561" s="31">
        <f t="shared" si="105"/>
        <v>0</v>
      </c>
      <c r="N561" s="50">
        <v>0</v>
      </c>
      <c r="O561" s="31">
        <f t="shared" si="106"/>
        <v>0</v>
      </c>
      <c r="P561" s="51" t="s">
        <v>2248</v>
      </c>
      <c r="Q561" s="51"/>
    </row>
    <row r="562" spans="1:17" s="765" customFormat="1" x14ac:dyDescent="0.25">
      <c r="A562" s="10">
        <v>44141</v>
      </c>
      <c r="B562" s="594">
        <f>-D562</f>
        <v>-9756506.4659937099</v>
      </c>
      <c r="C562" s="31">
        <f t="shared" si="100"/>
        <v>2748181.21</v>
      </c>
      <c r="D562" s="50">
        <v>9756506.4659937099</v>
      </c>
      <c r="E562" s="31">
        <f t="shared" si="101"/>
        <v>-93351606.170000002</v>
      </c>
      <c r="F562" s="900">
        <v>0</v>
      </c>
      <c r="G562" s="899">
        <f t="shared" si="102"/>
        <v>92887.32</v>
      </c>
      <c r="H562" s="50">
        <v>0</v>
      </c>
      <c r="I562" s="31">
        <f t="shared" si="103"/>
        <v>0</v>
      </c>
      <c r="J562" s="50">
        <v>0</v>
      </c>
      <c r="K562" s="31">
        <f t="shared" si="104"/>
        <v>0</v>
      </c>
      <c r="L562" s="50">
        <v>0</v>
      </c>
      <c r="M562" s="31">
        <f t="shared" si="105"/>
        <v>0</v>
      </c>
      <c r="N562" s="50">
        <v>0</v>
      </c>
      <c r="O562" s="31">
        <f t="shared" si="106"/>
        <v>0</v>
      </c>
      <c r="P562" s="51" t="s">
        <v>2250</v>
      </c>
      <c r="Q562" s="51"/>
    </row>
    <row r="563" spans="1:17" s="765" customFormat="1" x14ac:dyDescent="0.25">
      <c r="A563" s="10">
        <v>44141</v>
      </c>
      <c r="B563" s="594">
        <v>0</v>
      </c>
      <c r="C563" s="31">
        <f t="shared" si="100"/>
        <v>2748181.21</v>
      </c>
      <c r="D563" s="50">
        <v>52981660.799999997</v>
      </c>
      <c r="E563" s="31">
        <f t="shared" si="101"/>
        <v>-40369945.369999997</v>
      </c>
      <c r="F563" s="900">
        <v>0</v>
      </c>
      <c r="G563" s="899">
        <f t="shared" si="102"/>
        <v>92887.32</v>
      </c>
      <c r="H563" s="50">
        <v>0</v>
      </c>
      <c r="I563" s="31">
        <f t="shared" si="103"/>
        <v>0</v>
      </c>
      <c r="J563" s="50">
        <v>0</v>
      </c>
      <c r="K563" s="31">
        <f t="shared" si="104"/>
        <v>0</v>
      </c>
      <c r="L563" s="50">
        <v>0</v>
      </c>
      <c r="M563" s="31">
        <f t="shared" si="105"/>
        <v>0</v>
      </c>
      <c r="N563" s="50">
        <v>0</v>
      </c>
      <c r="O563" s="31">
        <f t="shared" si="106"/>
        <v>0</v>
      </c>
      <c r="P563" s="51" t="s">
        <v>2251</v>
      </c>
      <c r="Q563" s="51"/>
    </row>
    <row r="564" spans="1:17" s="765" customFormat="1" x14ac:dyDescent="0.25">
      <c r="A564" s="10">
        <v>44141</v>
      </c>
      <c r="B564" s="594">
        <v>0</v>
      </c>
      <c r="C564" s="31">
        <f t="shared" si="100"/>
        <v>2748181.21</v>
      </c>
      <c r="D564" s="50">
        <v>40360468.859999999</v>
      </c>
      <c r="E564" s="31">
        <f t="shared" si="101"/>
        <v>-9476.51</v>
      </c>
      <c r="F564" s="900">
        <v>0</v>
      </c>
      <c r="G564" s="899">
        <f t="shared" si="102"/>
        <v>92887.32</v>
      </c>
      <c r="H564" s="50">
        <v>0</v>
      </c>
      <c r="I564" s="31">
        <f t="shared" si="103"/>
        <v>0</v>
      </c>
      <c r="J564" s="50">
        <v>0</v>
      </c>
      <c r="K564" s="31">
        <f t="shared" si="104"/>
        <v>0</v>
      </c>
      <c r="L564" s="50">
        <v>0</v>
      </c>
      <c r="M564" s="31">
        <f t="shared" si="105"/>
        <v>0</v>
      </c>
      <c r="N564" s="50">
        <v>0</v>
      </c>
      <c r="O564" s="31">
        <f t="shared" si="106"/>
        <v>0</v>
      </c>
      <c r="P564" s="51" t="s">
        <v>2251</v>
      </c>
      <c r="Q564" s="51"/>
    </row>
    <row r="565" spans="1:17" s="765" customFormat="1" x14ac:dyDescent="0.25">
      <c r="A565" s="10">
        <v>44141</v>
      </c>
      <c r="B565" s="594">
        <v>0</v>
      </c>
      <c r="C565" s="31">
        <f t="shared" si="100"/>
        <v>2748181.21</v>
      </c>
      <c r="D565" s="50">
        <v>-0.01</v>
      </c>
      <c r="E565" s="31">
        <f t="shared" si="101"/>
        <v>-9476.52</v>
      </c>
      <c r="F565" s="900">
        <v>0</v>
      </c>
      <c r="G565" s="899">
        <f t="shared" si="102"/>
        <v>92887.32</v>
      </c>
      <c r="H565" s="50">
        <v>0</v>
      </c>
      <c r="I565" s="31">
        <f t="shared" si="103"/>
        <v>0</v>
      </c>
      <c r="J565" s="50">
        <v>0</v>
      </c>
      <c r="K565" s="31">
        <f t="shared" si="104"/>
        <v>0</v>
      </c>
      <c r="L565" s="50">
        <v>0</v>
      </c>
      <c r="M565" s="31">
        <f t="shared" si="105"/>
        <v>0</v>
      </c>
      <c r="N565" s="50">
        <v>0</v>
      </c>
      <c r="O565" s="31">
        <f t="shared" si="106"/>
        <v>0</v>
      </c>
      <c r="P565" s="51" t="s">
        <v>859</v>
      </c>
      <c r="Q565" s="51"/>
    </row>
    <row r="566" spans="1:17" s="765" customFormat="1" x14ac:dyDescent="0.25">
      <c r="A566" s="10">
        <v>44141</v>
      </c>
      <c r="B566" s="594">
        <v>0</v>
      </c>
      <c r="C566" s="31">
        <f t="shared" si="100"/>
        <v>2748181.21</v>
      </c>
      <c r="D566" s="50">
        <v>9476.52</v>
      </c>
      <c r="E566" s="31">
        <f t="shared" si="101"/>
        <v>0</v>
      </c>
      <c r="F566" s="900">
        <v>0</v>
      </c>
      <c r="G566" s="899">
        <f t="shared" si="102"/>
        <v>92887.32</v>
      </c>
      <c r="H566" s="50">
        <v>0</v>
      </c>
      <c r="I566" s="31">
        <f t="shared" si="103"/>
        <v>0</v>
      </c>
      <c r="J566" s="50">
        <v>0</v>
      </c>
      <c r="K566" s="31">
        <f t="shared" si="104"/>
        <v>0</v>
      </c>
      <c r="L566" s="50">
        <v>0</v>
      </c>
      <c r="M566" s="31">
        <f t="shared" si="105"/>
        <v>0</v>
      </c>
      <c r="N566" s="50">
        <v>0</v>
      </c>
      <c r="O566" s="31">
        <f t="shared" si="106"/>
        <v>0</v>
      </c>
      <c r="P566" s="51" t="s">
        <v>845</v>
      </c>
      <c r="Q566" s="51"/>
    </row>
    <row r="567" spans="1:17" s="765" customFormat="1" x14ac:dyDescent="0.25">
      <c r="A567" s="10">
        <v>44144</v>
      </c>
      <c r="B567" s="594">
        <v>500000</v>
      </c>
      <c r="C567" s="31">
        <f t="shared" si="100"/>
        <v>3248181.21</v>
      </c>
      <c r="D567" s="50">
        <v>0</v>
      </c>
      <c r="E567" s="31">
        <f t="shared" si="101"/>
        <v>0</v>
      </c>
      <c r="F567" s="900">
        <v>-501234.44</v>
      </c>
      <c r="G567" s="899">
        <f t="shared" si="102"/>
        <v>-408347.12</v>
      </c>
      <c r="H567" s="50">
        <v>0</v>
      </c>
      <c r="I567" s="31">
        <f t="shared" si="103"/>
        <v>0</v>
      </c>
      <c r="J567" s="50">
        <v>0</v>
      </c>
      <c r="K567" s="31">
        <f t="shared" si="104"/>
        <v>0</v>
      </c>
      <c r="L567" s="50">
        <v>0</v>
      </c>
      <c r="M567" s="31">
        <f t="shared" si="105"/>
        <v>0</v>
      </c>
      <c r="N567" s="50">
        <v>0</v>
      </c>
      <c r="O567" s="31">
        <f t="shared" si="106"/>
        <v>0</v>
      </c>
      <c r="P567" s="51" t="s">
        <v>1012</v>
      </c>
      <c r="Q567" s="51"/>
    </row>
    <row r="568" spans="1:17" s="765" customFormat="1" x14ac:dyDescent="0.25">
      <c r="A568" s="10">
        <v>44144</v>
      </c>
      <c r="B568" s="594">
        <v>-500000</v>
      </c>
      <c r="C568" s="31">
        <f t="shared" si="100"/>
        <v>2748181.21</v>
      </c>
      <c r="D568" s="50">
        <v>0</v>
      </c>
      <c r="E568" s="31">
        <f t="shared" si="101"/>
        <v>0</v>
      </c>
      <c r="F568" s="594">
        <v>501234.44</v>
      </c>
      <c r="G568" s="899">
        <f t="shared" si="102"/>
        <v>92887.32</v>
      </c>
      <c r="H568" s="50">
        <v>0</v>
      </c>
      <c r="I568" s="31">
        <f t="shared" si="103"/>
        <v>0</v>
      </c>
      <c r="J568" s="50">
        <v>0</v>
      </c>
      <c r="K568" s="31">
        <f t="shared" si="104"/>
        <v>0</v>
      </c>
      <c r="L568" s="50">
        <v>0</v>
      </c>
      <c r="M568" s="31">
        <f t="shared" si="105"/>
        <v>0</v>
      </c>
      <c r="N568" s="50">
        <v>0</v>
      </c>
      <c r="O568" s="31">
        <f t="shared" si="106"/>
        <v>0</v>
      </c>
      <c r="P568" s="51" t="s">
        <v>1013</v>
      </c>
      <c r="Q568" s="51"/>
    </row>
    <row r="569" spans="1:17" s="765" customFormat="1" x14ac:dyDescent="0.25">
      <c r="A569" s="10">
        <v>44151</v>
      </c>
      <c r="B569" s="594">
        <v>0</v>
      </c>
      <c r="C569" s="31">
        <f t="shared" si="100"/>
        <v>2748181.21</v>
      </c>
      <c r="D569" s="50">
        <v>0</v>
      </c>
      <c r="E569" s="31">
        <f t="shared" si="101"/>
        <v>0</v>
      </c>
      <c r="F569" s="900">
        <v>0</v>
      </c>
      <c r="G569" s="899">
        <f t="shared" si="102"/>
        <v>92887.32</v>
      </c>
      <c r="H569" s="50">
        <v>-500</v>
      </c>
      <c r="I569" s="31">
        <f t="shared" si="103"/>
        <v>-500</v>
      </c>
      <c r="J569" s="50">
        <v>0</v>
      </c>
      <c r="K569" s="31">
        <f t="shared" si="104"/>
        <v>0</v>
      </c>
      <c r="L569" s="50">
        <v>0</v>
      </c>
      <c r="M569" s="31">
        <f t="shared" si="105"/>
        <v>0</v>
      </c>
      <c r="N569" s="50">
        <v>0</v>
      </c>
      <c r="O569" s="31">
        <f t="shared" si="106"/>
        <v>0</v>
      </c>
      <c r="P569" s="51" t="s">
        <v>2275</v>
      </c>
      <c r="Q569" s="51"/>
    </row>
    <row r="570" spans="1:17" s="765" customFormat="1" x14ac:dyDescent="0.25">
      <c r="A570" s="10">
        <v>44151</v>
      </c>
      <c r="B570" s="594">
        <v>0</v>
      </c>
      <c r="C570" s="31">
        <f t="shared" si="100"/>
        <v>2748181.21</v>
      </c>
      <c r="D570" s="50">
        <v>0</v>
      </c>
      <c r="E570" s="31">
        <f t="shared" si="101"/>
        <v>0</v>
      </c>
      <c r="F570" s="900">
        <v>0</v>
      </c>
      <c r="G570" s="899">
        <f t="shared" si="102"/>
        <v>92887.32</v>
      </c>
      <c r="H570" s="50">
        <v>-6120</v>
      </c>
      <c r="I570" s="31">
        <f t="shared" si="103"/>
        <v>-6620</v>
      </c>
      <c r="J570" s="50">
        <v>0</v>
      </c>
      <c r="K570" s="31">
        <f t="shared" si="104"/>
        <v>0</v>
      </c>
      <c r="L570" s="50">
        <v>0</v>
      </c>
      <c r="M570" s="31">
        <f t="shared" si="105"/>
        <v>0</v>
      </c>
      <c r="N570" s="50">
        <v>0</v>
      </c>
      <c r="O570" s="31">
        <f t="shared" si="106"/>
        <v>0</v>
      </c>
      <c r="P570" s="51" t="s">
        <v>1666</v>
      </c>
      <c r="Q570" s="51"/>
    </row>
    <row r="571" spans="1:17" s="765" customFormat="1" x14ac:dyDescent="0.25">
      <c r="A571" s="10">
        <v>44151</v>
      </c>
      <c r="B571" s="594">
        <v>0</v>
      </c>
      <c r="C571" s="31">
        <f t="shared" si="100"/>
        <v>2748181.21</v>
      </c>
      <c r="D571" s="50">
        <v>6500</v>
      </c>
      <c r="E571" s="31">
        <f t="shared" si="101"/>
        <v>6500</v>
      </c>
      <c r="F571" s="900">
        <v>0</v>
      </c>
      <c r="G571" s="899">
        <f t="shared" si="102"/>
        <v>92887.32</v>
      </c>
      <c r="H571" s="50">
        <v>0</v>
      </c>
      <c r="I571" s="31">
        <f t="shared" si="103"/>
        <v>-6620</v>
      </c>
      <c r="J571" s="50">
        <v>0</v>
      </c>
      <c r="K571" s="31">
        <f t="shared" si="104"/>
        <v>0</v>
      </c>
      <c r="L571" s="50">
        <v>0</v>
      </c>
      <c r="M571" s="31">
        <f t="shared" si="105"/>
        <v>0</v>
      </c>
      <c r="N571" s="50">
        <v>0</v>
      </c>
      <c r="O571" s="31">
        <f t="shared" si="106"/>
        <v>0</v>
      </c>
      <c r="P571" s="51" t="s">
        <v>2276</v>
      </c>
      <c r="Q571" s="51"/>
    </row>
    <row r="572" spans="1:17" s="765" customFormat="1" x14ac:dyDescent="0.25">
      <c r="A572" s="10">
        <v>44151</v>
      </c>
      <c r="B572" s="594">
        <v>0</v>
      </c>
      <c r="C572" s="31">
        <f t="shared" ref="C572:C635" si="107">ROUND(B572+C571,2)</f>
        <v>2748181.21</v>
      </c>
      <c r="D572" s="50">
        <v>16773.75</v>
      </c>
      <c r="E572" s="31">
        <f t="shared" ref="E572:E635" si="108">ROUND(D572+E571,2)</f>
        <v>23273.75</v>
      </c>
      <c r="F572" s="900">
        <v>0</v>
      </c>
      <c r="G572" s="899">
        <f t="shared" ref="G572:G635" si="109">ROUND(F572+G571,2)</f>
        <v>92887.32</v>
      </c>
      <c r="H572" s="50">
        <v>0</v>
      </c>
      <c r="I572" s="31">
        <f t="shared" ref="I572:I635" si="110">ROUND(H572+I571,2)</f>
        <v>-6620</v>
      </c>
      <c r="J572" s="50">
        <v>0</v>
      </c>
      <c r="K572" s="31">
        <f t="shared" ref="K572:K635" si="111">ROUND(J572+K571,2)</f>
        <v>0</v>
      </c>
      <c r="L572" s="50">
        <v>0</v>
      </c>
      <c r="M572" s="31">
        <f t="shared" ref="M572:M635" si="112">ROUND(L572+M571,2)</f>
        <v>0</v>
      </c>
      <c r="N572" s="50">
        <v>0</v>
      </c>
      <c r="O572" s="31">
        <f t="shared" ref="O572:O635" si="113">ROUND(N572+O571,2)</f>
        <v>0</v>
      </c>
      <c r="P572" s="51" t="s">
        <v>2277</v>
      </c>
      <c r="Q572" s="51"/>
    </row>
    <row r="573" spans="1:17" s="765" customFormat="1" x14ac:dyDescent="0.25">
      <c r="A573" s="10">
        <v>44151</v>
      </c>
      <c r="B573" s="594">
        <v>0</v>
      </c>
      <c r="C573" s="31">
        <f t="shared" si="107"/>
        <v>2748181.21</v>
      </c>
      <c r="D573" s="50">
        <v>-23273.75</v>
      </c>
      <c r="E573" s="31">
        <f t="shared" si="108"/>
        <v>0</v>
      </c>
      <c r="F573" s="900">
        <v>0</v>
      </c>
      <c r="G573" s="899">
        <f t="shared" si="109"/>
        <v>92887.32</v>
      </c>
      <c r="H573" s="50">
        <v>6620</v>
      </c>
      <c r="I573" s="31">
        <f t="shared" si="110"/>
        <v>0</v>
      </c>
      <c r="J573" s="50">
        <v>0</v>
      </c>
      <c r="K573" s="31">
        <f t="shared" si="111"/>
        <v>0</v>
      </c>
      <c r="L573" s="50">
        <v>0</v>
      </c>
      <c r="M573" s="31">
        <f t="shared" si="112"/>
        <v>0</v>
      </c>
      <c r="N573" s="50">
        <v>0</v>
      </c>
      <c r="O573" s="31">
        <f t="shared" si="113"/>
        <v>0</v>
      </c>
      <c r="P573" s="51" t="s">
        <v>845</v>
      </c>
      <c r="Q573" s="51"/>
    </row>
    <row r="574" spans="1:17" s="765" customFormat="1" x14ac:dyDescent="0.25">
      <c r="A574" s="10">
        <v>44152</v>
      </c>
      <c r="B574" s="594">
        <v>0</v>
      </c>
      <c r="C574" s="31">
        <f t="shared" si="107"/>
        <v>2748181.21</v>
      </c>
      <c r="D574" s="50">
        <v>-93881318.043856323</v>
      </c>
      <c r="E574" s="31">
        <f t="shared" si="108"/>
        <v>-93881318.040000007</v>
      </c>
      <c r="F574" s="900">
        <v>0</v>
      </c>
      <c r="G574" s="899">
        <f t="shared" si="109"/>
        <v>92887.32</v>
      </c>
      <c r="H574" s="50">
        <v>0</v>
      </c>
      <c r="I574" s="31">
        <f t="shared" si="110"/>
        <v>0</v>
      </c>
      <c r="J574" s="50">
        <v>0</v>
      </c>
      <c r="K574" s="31">
        <f t="shared" si="111"/>
        <v>0</v>
      </c>
      <c r="L574" s="50">
        <v>0</v>
      </c>
      <c r="M574" s="31">
        <f t="shared" si="112"/>
        <v>0</v>
      </c>
      <c r="N574" s="50">
        <v>0</v>
      </c>
      <c r="O574" s="31">
        <f t="shared" si="113"/>
        <v>0</v>
      </c>
      <c r="P574" s="51" t="s">
        <v>2045</v>
      </c>
      <c r="Q574" s="51"/>
    </row>
    <row r="575" spans="1:17" s="765" customFormat="1" x14ac:dyDescent="0.25">
      <c r="A575" s="10">
        <v>44152</v>
      </c>
      <c r="B575" s="594">
        <v>0</v>
      </c>
      <c r="C575" s="31">
        <f t="shared" si="107"/>
        <v>2748181.21</v>
      </c>
      <c r="D575" s="50">
        <v>52613750</v>
      </c>
      <c r="E575" s="31">
        <f t="shared" si="108"/>
        <v>-41267568.039999999</v>
      </c>
      <c r="F575" s="900">
        <v>0</v>
      </c>
      <c r="G575" s="899">
        <f t="shared" si="109"/>
        <v>92887.32</v>
      </c>
      <c r="H575" s="50">
        <v>0</v>
      </c>
      <c r="I575" s="31">
        <f t="shared" si="110"/>
        <v>0</v>
      </c>
      <c r="J575" s="50">
        <v>0</v>
      </c>
      <c r="K575" s="31">
        <f t="shared" si="111"/>
        <v>0</v>
      </c>
      <c r="L575" s="50">
        <v>0</v>
      </c>
      <c r="M575" s="31">
        <f t="shared" si="112"/>
        <v>0</v>
      </c>
      <c r="N575" s="50">
        <v>0</v>
      </c>
      <c r="O575" s="31">
        <f t="shared" si="113"/>
        <v>0</v>
      </c>
      <c r="P575" s="51" t="s">
        <v>2278</v>
      </c>
      <c r="Q575" s="51"/>
    </row>
    <row r="576" spans="1:17" s="765" customFormat="1" x14ac:dyDescent="0.25">
      <c r="A576" s="10">
        <v>44152</v>
      </c>
      <c r="B576" s="594">
        <v>0</v>
      </c>
      <c r="C576" s="31">
        <f t="shared" si="107"/>
        <v>2748181.21</v>
      </c>
      <c r="D576" s="50">
        <v>40606239.979999997</v>
      </c>
      <c r="E576" s="31">
        <f t="shared" si="108"/>
        <v>-661328.06000000006</v>
      </c>
      <c r="F576" s="900">
        <v>0</v>
      </c>
      <c r="G576" s="899">
        <f t="shared" si="109"/>
        <v>92887.32</v>
      </c>
      <c r="H576" s="50">
        <v>0</v>
      </c>
      <c r="I576" s="31">
        <f t="shared" si="110"/>
        <v>0</v>
      </c>
      <c r="J576" s="50">
        <v>0</v>
      </c>
      <c r="K576" s="31">
        <f t="shared" si="111"/>
        <v>0</v>
      </c>
      <c r="L576" s="50">
        <v>0</v>
      </c>
      <c r="M576" s="31">
        <f t="shared" si="112"/>
        <v>0</v>
      </c>
      <c r="N576" s="50">
        <v>0</v>
      </c>
      <c r="O576" s="31">
        <f t="shared" si="113"/>
        <v>0</v>
      </c>
      <c r="P576" s="51" t="s">
        <v>2279</v>
      </c>
      <c r="Q576" s="51"/>
    </row>
    <row r="577" spans="1:23" s="765" customFormat="1" x14ac:dyDescent="0.25">
      <c r="A577" s="10">
        <v>44152</v>
      </c>
      <c r="B577" s="594">
        <v>0</v>
      </c>
      <c r="C577" s="31">
        <f t="shared" si="107"/>
        <v>2748181.21</v>
      </c>
      <c r="D577" s="50">
        <v>578751.25</v>
      </c>
      <c r="E577" s="31">
        <f t="shared" si="108"/>
        <v>-82576.81</v>
      </c>
      <c r="F577" s="900">
        <v>0</v>
      </c>
      <c r="G577" s="899">
        <f t="shared" si="109"/>
        <v>92887.32</v>
      </c>
      <c r="H577" s="50">
        <v>0</v>
      </c>
      <c r="I577" s="31">
        <f t="shared" si="110"/>
        <v>0</v>
      </c>
      <c r="J577" s="50">
        <v>0</v>
      </c>
      <c r="K577" s="31">
        <f t="shared" si="111"/>
        <v>0</v>
      </c>
      <c r="L577" s="50">
        <v>0</v>
      </c>
      <c r="M577" s="31">
        <f t="shared" si="112"/>
        <v>0</v>
      </c>
      <c r="N577" s="50">
        <v>0</v>
      </c>
      <c r="O577" s="31">
        <f t="shared" si="113"/>
        <v>0</v>
      </c>
      <c r="P577" s="51" t="s">
        <v>2280</v>
      </c>
      <c r="Q577" s="51"/>
    </row>
    <row r="578" spans="1:23" s="765" customFormat="1" x14ac:dyDescent="0.25">
      <c r="A578" s="10">
        <v>44152</v>
      </c>
      <c r="B578" s="594">
        <v>0</v>
      </c>
      <c r="C578" s="31">
        <f t="shared" si="107"/>
        <v>2748181.21</v>
      </c>
      <c r="D578" s="50">
        <v>-16773.75</v>
      </c>
      <c r="E578" s="31">
        <f t="shared" si="108"/>
        <v>-99350.56</v>
      </c>
      <c r="F578" s="900">
        <v>0</v>
      </c>
      <c r="G578" s="899">
        <f t="shared" si="109"/>
        <v>92887.32</v>
      </c>
      <c r="H578" s="50">
        <v>0</v>
      </c>
      <c r="I578" s="31">
        <f t="shared" si="110"/>
        <v>0</v>
      </c>
      <c r="J578" s="50">
        <v>0</v>
      </c>
      <c r="K578" s="31">
        <f t="shared" si="111"/>
        <v>0</v>
      </c>
      <c r="L578" s="50">
        <v>0</v>
      </c>
      <c r="M578" s="31">
        <f t="shared" si="112"/>
        <v>0</v>
      </c>
      <c r="N578" s="50">
        <v>0</v>
      </c>
      <c r="O578" s="31">
        <f t="shared" si="113"/>
        <v>0</v>
      </c>
      <c r="P578" s="51" t="s">
        <v>2281</v>
      </c>
      <c r="Q578" s="51"/>
    </row>
    <row r="579" spans="1:23" x14ac:dyDescent="0.25">
      <c r="A579" s="10">
        <v>44152</v>
      </c>
      <c r="B579" s="594">
        <v>0</v>
      </c>
      <c r="C579" s="31">
        <f t="shared" si="107"/>
        <v>2748181.21</v>
      </c>
      <c r="D579" s="50">
        <v>99350.56</v>
      </c>
      <c r="E579" s="31">
        <f t="shared" si="108"/>
        <v>0</v>
      </c>
      <c r="F579" s="900">
        <v>0</v>
      </c>
      <c r="G579" s="899">
        <f t="shared" si="109"/>
        <v>92887.32</v>
      </c>
      <c r="H579" s="50">
        <v>0</v>
      </c>
      <c r="I579" s="31">
        <f t="shared" si="110"/>
        <v>0</v>
      </c>
      <c r="J579" s="50">
        <v>0</v>
      </c>
      <c r="K579" s="31">
        <f t="shared" si="111"/>
        <v>0</v>
      </c>
      <c r="L579" s="50">
        <v>0</v>
      </c>
      <c r="M579" s="31">
        <f t="shared" si="112"/>
        <v>0</v>
      </c>
      <c r="N579" s="50">
        <v>0</v>
      </c>
      <c r="O579" s="31">
        <f t="shared" si="113"/>
        <v>0</v>
      </c>
      <c r="P579" s="51" t="s">
        <v>845</v>
      </c>
      <c r="Q579" s="51"/>
      <c r="R579" s="765"/>
      <c r="S579" s="765"/>
      <c r="T579" s="765"/>
      <c r="U579" s="765"/>
      <c r="V579" s="765"/>
      <c r="W579" s="765"/>
    </row>
    <row r="580" spans="1:23" x14ac:dyDescent="0.25">
      <c r="A580" s="10">
        <v>44154</v>
      </c>
      <c r="B580" s="594">
        <v>0</v>
      </c>
      <c r="C580" s="31">
        <f t="shared" si="107"/>
        <v>2748181.21</v>
      </c>
      <c r="D580" s="50">
        <v>0</v>
      </c>
      <c r="E580" s="31">
        <f t="shared" si="108"/>
        <v>0</v>
      </c>
      <c r="F580" s="900">
        <v>0</v>
      </c>
      <c r="G580" s="899">
        <f t="shared" si="109"/>
        <v>92887.32</v>
      </c>
      <c r="H580" s="50">
        <v>-153.5</v>
      </c>
      <c r="I580" s="31">
        <f t="shared" si="110"/>
        <v>-153.5</v>
      </c>
      <c r="J580" s="50">
        <v>0</v>
      </c>
      <c r="K580" s="31">
        <f t="shared" si="111"/>
        <v>0</v>
      </c>
      <c r="L580" s="50">
        <v>0</v>
      </c>
      <c r="M580" s="31">
        <f t="shared" si="112"/>
        <v>0</v>
      </c>
      <c r="N580" s="50">
        <v>0</v>
      </c>
      <c r="O580" s="31">
        <f t="shared" si="113"/>
        <v>0</v>
      </c>
      <c r="P580" s="51" t="s">
        <v>2283</v>
      </c>
      <c r="Q580" s="51"/>
      <c r="R580" s="765"/>
      <c r="S580" s="765"/>
      <c r="T580" s="765"/>
      <c r="U580" s="765"/>
      <c r="V580" s="765"/>
      <c r="W580" s="765"/>
    </row>
    <row r="581" spans="1:23" x14ac:dyDescent="0.25">
      <c r="A581" s="10">
        <v>44154</v>
      </c>
      <c r="B581" s="594">
        <v>0</v>
      </c>
      <c r="C581" s="31">
        <f t="shared" si="107"/>
        <v>2748181.21</v>
      </c>
      <c r="D581" s="50">
        <v>0</v>
      </c>
      <c r="E581" s="31">
        <f t="shared" si="108"/>
        <v>0</v>
      </c>
      <c r="F581" s="900">
        <v>0</v>
      </c>
      <c r="G581" s="899">
        <f t="shared" si="109"/>
        <v>92887.32</v>
      </c>
      <c r="H581" s="50">
        <v>153.5</v>
      </c>
      <c r="I581" s="31">
        <f t="shared" si="110"/>
        <v>0</v>
      </c>
      <c r="J581" s="50">
        <v>0</v>
      </c>
      <c r="K581" s="31">
        <f t="shared" si="111"/>
        <v>0</v>
      </c>
      <c r="L581" s="50">
        <v>0</v>
      </c>
      <c r="M581" s="31">
        <f t="shared" si="112"/>
        <v>0</v>
      </c>
      <c r="N581" s="50">
        <v>0</v>
      </c>
      <c r="O581" s="31">
        <f t="shared" si="113"/>
        <v>0</v>
      </c>
      <c r="P581" s="51" t="s">
        <v>845</v>
      </c>
      <c r="Q581" s="51"/>
      <c r="R581" s="765"/>
      <c r="S581" s="765"/>
      <c r="T581" s="765"/>
      <c r="U581" s="765"/>
      <c r="V581" s="765"/>
      <c r="W581" s="765"/>
    </row>
    <row r="582" spans="1:23" x14ac:dyDescent="0.25">
      <c r="A582" s="10">
        <v>44155</v>
      </c>
      <c r="B582" s="594">
        <v>0</v>
      </c>
      <c r="C582" s="31">
        <f t="shared" si="107"/>
        <v>2748181.21</v>
      </c>
      <c r="D582" s="50">
        <v>334000</v>
      </c>
      <c r="E582" s="31">
        <f t="shared" si="108"/>
        <v>334000</v>
      </c>
      <c r="F582" s="900">
        <v>0</v>
      </c>
      <c r="G582" s="899">
        <f t="shared" si="109"/>
        <v>92887.32</v>
      </c>
      <c r="H582" s="50">
        <v>0</v>
      </c>
      <c r="I582" s="31">
        <f t="shared" si="110"/>
        <v>0</v>
      </c>
      <c r="J582" s="50">
        <v>0</v>
      </c>
      <c r="K582" s="31">
        <f t="shared" si="111"/>
        <v>0</v>
      </c>
      <c r="L582" s="50">
        <v>0</v>
      </c>
      <c r="M582" s="31">
        <f t="shared" si="112"/>
        <v>0</v>
      </c>
      <c r="N582" s="50">
        <v>0</v>
      </c>
      <c r="O582" s="31">
        <f t="shared" si="113"/>
        <v>0</v>
      </c>
      <c r="P582" s="51" t="s">
        <v>2032</v>
      </c>
      <c r="Q582" s="51"/>
      <c r="R582" s="765"/>
      <c r="S582" s="765"/>
      <c r="T582" s="765"/>
      <c r="U582" s="765"/>
      <c r="V582" s="765"/>
      <c r="W582" s="765"/>
    </row>
    <row r="583" spans="1:23" x14ac:dyDescent="0.25">
      <c r="A583" s="10">
        <v>44155</v>
      </c>
      <c r="B583" s="594">
        <v>0</v>
      </c>
      <c r="C583" s="31">
        <f t="shared" si="107"/>
        <v>2748181.21</v>
      </c>
      <c r="D583" s="50">
        <v>-334000</v>
      </c>
      <c r="E583" s="31">
        <f t="shared" si="108"/>
        <v>0</v>
      </c>
      <c r="F583" s="900">
        <v>0</v>
      </c>
      <c r="G583" s="899">
        <f t="shared" si="109"/>
        <v>92887.32</v>
      </c>
      <c r="H583" s="50">
        <v>0</v>
      </c>
      <c r="I583" s="31">
        <f t="shared" si="110"/>
        <v>0</v>
      </c>
      <c r="J583" s="50">
        <v>0</v>
      </c>
      <c r="K583" s="31">
        <f t="shared" si="111"/>
        <v>0</v>
      </c>
      <c r="L583" s="50">
        <v>0</v>
      </c>
      <c r="M583" s="31">
        <f t="shared" si="112"/>
        <v>0</v>
      </c>
      <c r="N583" s="50">
        <v>0</v>
      </c>
      <c r="O583" s="31">
        <f t="shared" si="113"/>
        <v>0</v>
      </c>
      <c r="P583" s="51" t="s">
        <v>845</v>
      </c>
      <c r="Q583" s="51"/>
      <c r="R583" s="765"/>
      <c r="S583" s="765"/>
      <c r="T583" s="765"/>
      <c r="U583" s="765"/>
      <c r="V583" s="765"/>
      <c r="W583" s="765"/>
    </row>
    <row r="584" spans="1:23" x14ac:dyDescent="0.25">
      <c r="A584" s="10">
        <v>44159</v>
      </c>
      <c r="B584" s="594">
        <v>0</v>
      </c>
      <c r="C584" s="31">
        <f t="shared" si="107"/>
        <v>2748181.21</v>
      </c>
      <c r="D584" s="50">
        <v>109524.23</v>
      </c>
      <c r="E584" s="31">
        <f t="shared" si="108"/>
        <v>109524.23</v>
      </c>
      <c r="F584" s="900">
        <v>-92500</v>
      </c>
      <c r="G584" s="899">
        <f t="shared" si="109"/>
        <v>387.32</v>
      </c>
      <c r="H584" s="50">
        <v>0</v>
      </c>
      <c r="I584" s="31">
        <f t="shared" si="110"/>
        <v>0</v>
      </c>
      <c r="J584" s="50">
        <v>0</v>
      </c>
      <c r="K584" s="31">
        <f t="shared" si="111"/>
        <v>0</v>
      </c>
      <c r="L584" s="50">
        <v>0</v>
      </c>
      <c r="M584" s="31">
        <f t="shared" si="112"/>
        <v>0</v>
      </c>
      <c r="N584" s="50">
        <v>0</v>
      </c>
      <c r="O584" s="31">
        <f t="shared" si="113"/>
        <v>0</v>
      </c>
      <c r="P584" s="51" t="s">
        <v>2288</v>
      </c>
      <c r="Q584" s="51"/>
      <c r="R584" s="765"/>
      <c r="S584" s="765"/>
      <c r="T584" s="765"/>
      <c r="U584" s="765"/>
      <c r="V584" s="765"/>
      <c r="W584" s="765"/>
    </row>
    <row r="585" spans="1:23" x14ac:dyDescent="0.25">
      <c r="A585" s="10">
        <v>44159</v>
      </c>
      <c r="B585" s="594">
        <v>0</v>
      </c>
      <c r="C585" s="31">
        <f t="shared" si="107"/>
        <v>2748181.21</v>
      </c>
      <c r="D585" s="50">
        <v>-109524.23</v>
      </c>
      <c r="E585" s="31">
        <f t="shared" si="108"/>
        <v>0</v>
      </c>
      <c r="F585" s="900">
        <v>0</v>
      </c>
      <c r="G585" s="899">
        <f t="shared" si="109"/>
        <v>387.32</v>
      </c>
      <c r="H585" s="50">
        <v>0</v>
      </c>
      <c r="I585" s="31">
        <f t="shared" si="110"/>
        <v>0</v>
      </c>
      <c r="J585" s="50">
        <v>0</v>
      </c>
      <c r="K585" s="31">
        <f t="shared" si="111"/>
        <v>0</v>
      </c>
      <c r="L585" s="50">
        <v>0</v>
      </c>
      <c r="M585" s="31">
        <f t="shared" si="112"/>
        <v>0</v>
      </c>
      <c r="N585" s="50">
        <v>0</v>
      </c>
      <c r="O585" s="31">
        <f t="shared" si="113"/>
        <v>0</v>
      </c>
      <c r="P585" s="51" t="s">
        <v>845</v>
      </c>
      <c r="Q585" s="51"/>
      <c r="R585" s="765"/>
      <c r="S585" s="765"/>
      <c r="T585" s="765"/>
      <c r="U585" s="765"/>
      <c r="V585" s="765"/>
      <c r="W585" s="765"/>
    </row>
    <row r="586" spans="1:23" x14ac:dyDescent="0.25">
      <c r="A586" s="10">
        <v>44166</v>
      </c>
      <c r="B586" s="594">
        <v>0</v>
      </c>
      <c r="C586" s="31">
        <f t="shared" si="107"/>
        <v>2748181.21</v>
      </c>
      <c r="D586" s="50">
        <v>-1480</v>
      </c>
      <c r="E586" s="31">
        <f t="shared" si="108"/>
        <v>-1480</v>
      </c>
      <c r="F586" s="900">
        <v>0</v>
      </c>
      <c r="G586" s="899">
        <f t="shared" si="109"/>
        <v>387.32</v>
      </c>
      <c r="H586" s="50">
        <v>0</v>
      </c>
      <c r="I586" s="31">
        <f t="shared" si="110"/>
        <v>0</v>
      </c>
      <c r="J586" s="50">
        <v>0</v>
      </c>
      <c r="K586" s="31">
        <f t="shared" si="111"/>
        <v>0</v>
      </c>
      <c r="L586" s="50">
        <v>0</v>
      </c>
      <c r="M586" s="31">
        <f t="shared" si="112"/>
        <v>0</v>
      </c>
      <c r="N586" s="50">
        <v>0</v>
      </c>
      <c r="O586" s="31">
        <f t="shared" si="113"/>
        <v>0</v>
      </c>
      <c r="P586" s="51" t="s">
        <v>1052</v>
      </c>
      <c r="Q586" s="51"/>
      <c r="R586" s="765"/>
      <c r="S586" s="765"/>
      <c r="T586" s="765"/>
      <c r="U586" s="765"/>
      <c r="V586" s="765"/>
      <c r="W586" s="765"/>
    </row>
    <row r="587" spans="1:23" x14ac:dyDescent="0.25">
      <c r="A587" s="10">
        <v>44166</v>
      </c>
      <c r="B587" s="594">
        <v>0</v>
      </c>
      <c r="C587" s="31">
        <f t="shared" si="107"/>
        <v>2748181.21</v>
      </c>
      <c r="D587" s="50">
        <v>1480</v>
      </c>
      <c r="E587" s="31">
        <f t="shared" si="108"/>
        <v>0</v>
      </c>
      <c r="F587" s="900">
        <v>0</v>
      </c>
      <c r="G587" s="899">
        <f t="shared" si="109"/>
        <v>387.32</v>
      </c>
      <c r="H587" s="50">
        <v>0</v>
      </c>
      <c r="I587" s="31">
        <f t="shared" si="110"/>
        <v>0</v>
      </c>
      <c r="J587" s="50">
        <v>0</v>
      </c>
      <c r="K587" s="31">
        <f t="shared" si="111"/>
        <v>0</v>
      </c>
      <c r="L587" s="50">
        <v>0</v>
      </c>
      <c r="M587" s="31">
        <f t="shared" si="112"/>
        <v>0</v>
      </c>
      <c r="N587" s="50">
        <v>0</v>
      </c>
      <c r="O587" s="31">
        <f t="shared" si="113"/>
        <v>0</v>
      </c>
      <c r="P587" s="51" t="s">
        <v>845</v>
      </c>
      <c r="Q587" s="51"/>
      <c r="R587" s="765"/>
      <c r="S587" s="765"/>
      <c r="T587" s="765"/>
      <c r="U587" s="765"/>
      <c r="V587" s="765"/>
      <c r="W587" s="765"/>
    </row>
    <row r="588" spans="1:23" x14ac:dyDescent="0.25">
      <c r="A588" s="10">
        <v>44167</v>
      </c>
      <c r="B588" s="594">
        <v>0</v>
      </c>
      <c r="C588" s="31">
        <f t="shared" si="107"/>
        <v>2748181.21</v>
      </c>
      <c r="D588" s="50">
        <v>5.08</v>
      </c>
      <c r="E588" s="31">
        <f t="shared" si="108"/>
        <v>5.08</v>
      </c>
      <c r="F588" s="900">
        <v>0</v>
      </c>
      <c r="G588" s="899">
        <f t="shared" si="109"/>
        <v>387.32</v>
      </c>
      <c r="H588" s="50">
        <v>0.87</v>
      </c>
      <c r="I588" s="31">
        <f t="shared" si="110"/>
        <v>0.87</v>
      </c>
      <c r="J588" s="50">
        <v>0</v>
      </c>
      <c r="K588" s="31">
        <f t="shared" si="111"/>
        <v>0</v>
      </c>
      <c r="L588" s="50">
        <v>0</v>
      </c>
      <c r="M588" s="31">
        <f t="shared" si="112"/>
        <v>0</v>
      </c>
      <c r="N588" s="50">
        <v>0</v>
      </c>
      <c r="O588" s="31">
        <f t="shared" si="113"/>
        <v>0</v>
      </c>
      <c r="P588" s="51" t="s">
        <v>890</v>
      </c>
      <c r="Q588" s="51"/>
      <c r="R588" s="765"/>
      <c r="S588" s="765"/>
      <c r="T588" s="765"/>
      <c r="U588" s="765"/>
      <c r="V588" s="765"/>
      <c r="W588" s="765"/>
    </row>
    <row r="589" spans="1:23" x14ac:dyDescent="0.25">
      <c r="A589" s="10">
        <v>44167</v>
      </c>
      <c r="B589" s="594">
        <v>0</v>
      </c>
      <c r="C589" s="31">
        <f t="shared" si="107"/>
        <v>2748181.21</v>
      </c>
      <c r="D589" s="50">
        <v>-334000</v>
      </c>
      <c r="E589" s="31">
        <f t="shared" si="108"/>
        <v>-333994.92</v>
      </c>
      <c r="F589" s="900">
        <v>0</v>
      </c>
      <c r="G589" s="899">
        <f t="shared" si="109"/>
        <v>387.32</v>
      </c>
      <c r="H589" s="50">
        <v>0</v>
      </c>
      <c r="I589" s="31">
        <f t="shared" si="110"/>
        <v>0.87</v>
      </c>
      <c r="J589" s="50">
        <v>0</v>
      </c>
      <c r="K589" s="31">
        <f t="shared" si="111"/>
        <v>0</v>
      </c>
      <c r="L589" s="50">
        <v>0</v>
      </c>
      <c r="M589" s="31">
        <f t="shared" si="112"/>
        <v>0</v>
      </c>
      <c r="N589" s="50">
        <v>0</v>
      </c>
      <c r="O589" s="31">
        <f t="shared" si="113"/>
        <v>0</v>
      </c>
      <c r="P589" s="51" t="s">
        <v>2299</v>
      </c>
      <c r="Q589" s="51"/>
      <c r="R589" s="765"/>
      <c r="S589" s="765"/>
      <c r="T589" s="765"/>
      <c r="U589" s="765"/>
      <c r="V589" s="765"/>
      <c r="W589" s="765"/>
    </row>
    <row r="590" spans="1:23" x14ac:dyDescent="0.25">
      <c r="A590" s="10">
        <v>44167</v>
      </c>
      <c r="B590" s="594">
        <v>0</v>
      </c>
      <c r="C590" s="31">
        <f t="shared" si="107"/>
        <v>2748181.21</v>
      </c>
      <c r="D590" s="50">
        <v>333994.92</v>
      </c>
      <c r="E590" s="31">
        <f t="shared" si="108"/>
        <v>0</v>
      </c>
      <c r="F590" s="900">
        <v>0</v>
      </c>
      <c r="G590" s="899">
        <f t="shared" si="109"/>
        <v>387.32</v>
      </c>
      <c r="H590" s="50">
        <v>-0.87</v>
      </c>
      <c r="I590" s="31">
        <f t="shared" si="110"/>
        <v>0</v>
      </c>
      <c r="J590" s="50">
        <v>0</v>
      </c>
      <c r="K590" s="31">
        <f t="shared" si="111"/>
        <v>0</v>
      </c>
      <c r="L590" s="50">
        <v>0</v>
      </c>
      <c r="M590" s="31">
        <f t="shared" si="112"/>
        <v>0</v>
      </c>
      <c r="N590" s="50">
        <v>0</v>
      </c>
      <c r="O590" s="31">
        <f t="shared" si="113"/>
        <v>0</v>
      </c>
      <c r="P590" s="51" t="s">
        <v>845</v>
      </c>
      <c r="Q590" s="51"/>
      <c r="R590" s="765"/>
      <c r="S590" s="765"/>
      <c r="T590" s="765"/>
      <c r="U590" s="765"/>
      <c r="V590" s="765"/>
      <c r="W590" s="765"/>
    </row>
    <row r="591" spans="1:23" x14ac:dyDescent="0.25">
      <c r="A591" s="10">
        <v>44168</v>
      </c>
      <c r="B591" s="594">
        <v>0</v>
      </c>
      <c r="C591" s="31">
        <f t="shared" si="107"/>
        <v>2748181.21</v>
      </c>
      <c r="D591" s="50">
        <v>-52619829.811111107</v>
      </c>
      <c r="E591" s="31">
        <f t="shared" si="108"/>
        <v>-52619829.810000002</v>
      </c>
      <c r="F591" s="900">
        <v>0</v>
      </c>
      <c r="G591" s="899">
        <f t="shared" si="109"/>
        <v>387.32</v>
      </c>
      <c r="H591" s="50">
        <v>0</v>
      </c>
      <c r="I591" s="31">
        <f t="shared" si="110"/>
        <v>0</v>
      </c>
      <c r="J591" s="50">
        <v>0</v>
      </c>
      <c r="K591" s="31">
        <f t="shared" si="111"/>
        <v>0</v>
      </c>
      <c r="L591" s="50">
        <v>0</v>
      </c>
      <c r="M591" s="31">
        <f t="shared" si="112"/>
        <v>0</v>
      </c>
      <c r="N591" s="50">
        <v>0</v>
      </c>
      <c r="O591" s="31">
        <f t="shared" si="113"/>
        <v>0</v>
      </c>
      <c r="P591" s="51" t="s">
        <v>2300</v>
      </c>
      <c r="Q591" s="51"/>
      <c r="R591" s="765"/>
      <c r="S591" s="765"/>
      <c r="T591" s="765"/>
      <c r="U591" s="765"/>
      <c r="V591" s="765"/>
      <c r="W591" s="765"/>
    </row>
    <row r="592" spans="1:23" x14ac:dyDescent="0.25">
      <c r="A592" s="10">
        <v>44168</v>
      </c>
      <c r="B592" s="594">
        <v>0</v>
      </c>
      <c r="C592" s="31">
        <f t="shared" si="107"/>
        <v>2748181.21</v>
      </c>
      <c r="D592" s="50">
        <v>-40610932.256619908</v>
      </c>
      <c r="E592" s="31">
        <f t="shared" si="108"/>
        <v>-93230762.069999993</v>
      </c>
      <c r="F592" s="900">
        <v>0</v>
      </c>
      <c r="G592" s="899">
        <f t="shared" si="109"/>
        <v>387.32</v>
      </c>
      <c r="H592" s="50">
        <v>0</v>
      </c>
      <c r="I592" s="31">
        <f t="shared" si="110"/>
        <v>0</v>
      </c>
      <c r="J592" s="50">
        <v>0</v>
      </c>
      <c r="K592" s="31">
        <f t="shared" si="111"/>
        <v>0</v>
      </c>
      <c r="L592" s="50">
        <v>0</v>
      </c>
      <c r="M592" s="31">
        <f t="shared" si="112"/>
        <v>0</v>
      </c>
      <c r="N592" s="50">
        <v>0</v>
      </c>
      <c r="O592" s="31">
        <f t="shared" si="113"/>
        <v>0</v>
      </c>
      <c r="P592" s="51" t="s">
        <v>2301</v>
      </c>
      <c r="Q592" s="51"/>
      <c r="R592" s="765"/>
      <c r="S592" s="765"/>
      <c r="T592" s="765"/>
      <c r="U592" s="765"/>
      <c r="V592" s="765"/>
      <c r="W592" s="765"/>
    </row>
    <row r="593" spans="1:23" x14ac:dyDescent="0.25">
      <c r="A593" s="10">
        <v>44168</v>
      </c>
      <c r="B593" s="594">
        <v>0</v>
      </c>
      <c r="C593" s="31">
        <f t="shared" si="107"/>
        <v>2748181.21</v>
      </c>
      <c r="D593" s="50">
        <v>-578818.12792222225</v>
      </c>
      <c r="E593" s="31">
        <f t="shared" si="108"/>
        <v>-93809580.200000003</v>
      </c>
      <c r="F593" s="900">
        <v>0</v>
      </c>
      <c r="G593" s="899">
        <f t="shared" si="109"/>
        <v>387.32</v>
      </c>
      <c r="H593" s="50">
        <v>0</v>
      </c>
      <c r="I593" s="31">
        <f t="shared" si="110"/>
        <v>0</v>
      </c>
      <c r="J593" s="50">
        <v>0</v>
      </c>
      <c r="K593" s="31">
        <f t="shared" si="111"/>
        <v>0</v>
      </c>
      <c r="L593" s="50">
        <v>0</v>
      </c>
      <c r="M593" s="31">
        <f t="shared" si="112"/>
        <v>0</v>
      </c>
      <c r="N593" s="50">
        <v>0</v>
      </c>
      <c r="O593" s="31">
        <f t="shared" si="113"/>
        <v>0</v>
      </c>
      <c r="P593" s="51" t="s">
        <v>2302</v>
      </c>
      <c r="Q593" s="51"/>
      <c r="R593" s="765"/>
      <c r="S593" s="765"/>
      <c r="T593" s="765"/>
      <c r="U593" s="765"/>
      <c r="V593" s="765"/>
      <c r="W593" s="765"/>
    </row>
    <row r="594" spans="1:23" x14ac:dyDescent="0.25">
      <c r="A594" s="10">
        <v>44168</v>
      </c>
      <c r="B594" s="594">
        <v>1300000</v>
      </c>
      <c r="C594" s="31">
        <f t="shared" si="107"/>
        <v>4048181.21</v>
      </c>
      <c r="D594" s="50">
        <v>0</v>
      </c>
      <c r="E594" s="31">
        <f t="shared" si="108"/>
        <v>-93809580.200000003</v>
      </c>
      <c r="F594" s="900">
        <v>-1304610.0900000001</v>
      </c>
      <c r="G594" s="899">
        <f t="shared" si="109"/>
        <v>-1304222.77</v>
      </c>
      <c r="H594" s="50">
        <v>0</v>
      </c>
      <c r="I594" s="31">
        <f t="shared" si="110"/>
        <v>0</v>
      </c>
      <c r="J594" s="50">
        <v>0</v>
      </c>
      <c r="K594" s="31">
        <f t="shared" si="111"/>
        <v>0</v>
      </c>
      <c r="L594" s="50">
        <v>0</v>
      </c>
      <c r="M594" s="31">
        <f t="shared" si="112"/>
        <v>0</v>
      </c>
      <c r="N594" s="50">
        <v>0</v>
      </c>
      <c r="O594" s="31">
        <f t="shared" si="113"/>
        <v>0</v>
      </c>
      <c r="P594" s="51" t="s">
        <v>1012</v>
      </c>
      <c r="Q594" s="51"/>
      <c r="R594" s="765"/>
      <c r="S594" s="765"/>
      <c r="T594" s="765"/>
      <c r="U594" s="765"/>
      <c r="V594" s="765"/>
      <c r="W594" s="765"/>
    </row>
    <row r="595" spans="1:23" x14ac:dyDescent="0.25">
      <c r="A595" s="10">
        <v>44168</v>
      </c>
      <c r="B595" s="594">
        <v>0</v>
      </c>
      <c r="C595" s="31">
        <f t="shared" si="107"/>
        <v>4048181.21</v>
      </c>
      <c r="D595" s="50">
        <v>0</v>
      </c>
      <c r="E595" s="31">
        <f t="shared" si="108"/>
        <v>-93809580.200000003</v>
      </c>
      <c r="F595" s="900">
        <v>0</v>
      </c>
      <c r="G595" s="899">
        <f t="shared" si="109"/>
        <v>-1304222.77</v>
      </c>
      <c r="H595" s="50">
        <v>0</v>
      </c>
      <c r="I595" s="31">
        <f t="shared" si="110"/>
        <v>0</v>
      </c>
      <c r="J595" s="50">
        <v>0</v>
      </c>
      <c r="K595" s="31">
        <f t="shared" si="111"/>
        <v>0</v>
      </c>
      <c r="L595" s="50">
        <v>0</v>
      </c>
      <c r="M595" s="31">
        <f t="shared" si="112"/>
        <v>0</v>
      </c>
      <c r="N595" s="50">
        <v>0</v>
      </c>
      <c r="O595" s="31">
        <f t="shared" si="113"/>
        <v>0</v>
      </c>
      <c r="P595" s="51" t="s">
        <v>1013</v>
      </c>
      <c r="Q595" s="51"/>
      <c r="R595" s="765"/>
      <c r="S595" s="765"/>
      <c r="T595" s="765"/>
      <c r="U595" s="765"/>
      <c r="V595" s="765"/>
      <c r="W595" s="765"/>
    </row>
    <row r="596" spans="1:23" x14ac:dyDescent="0.25">
      <c r="A596" s="10">
        <v>44168</v>
      </c>
      <c r="B596" s="594">
        <v>0</v>
      </c>
      <c r="C596" s="31">
        <f t="shared" si="107"/>
        <v>4048181.21</v>
      </c>
      <c r="D596" s="50">
        <v>24245583.07</v>
      </c>
      <c r="E596" s="31">
        <f t="shared" si="108"/>
        <v>-69563997.129999995</v>
      </c>
      <c r="F596" s="900">
        <v>0</v>
      </c>
      <c r="G596" s="899">
        <f t="shared" si="109"/>
        <v>-1304222.77</v>
      </c>
      <c r="H596" s="50">
        <v>0</v>
      </c>
      <c r="I596" s="31">
        <f t="shared" si="110"/>
        <v>0</v>
      </c>
      <c r="J596" s="50">
        <v>0</v>
      </c>
      <c r="K596" s="31">
        <f t="shared" si="111"/>
        <v>0</v>
      </c>
      <c r="L596" s="50">
        <v>0</v>
      </c>
      <c r="M596" s="31">
        <f t="shared" si="112"/>
        <v>0</v>
      </c>
      <c r="N596" s="50">
        <v>0</v>
      </c>
      <c r="O596" s="31">
        <f t="shared" si="113"/>
        <v>0</v>
      </c>
      <c r="P596" s="51" t="s">
        <v>2303</v>
      </c>
      <c r="Q596" s="51"/>
      <c r="R596" s="765"/>
      <c r="S596" s="765"/>
      <c r="T596" s="765"/>
      <c r="U596" s="765"/>
      <c r="V596" s="765"/>
      <c r="W596" s="765"/>
    </row>
    <row r="597" spans="1:23" x14ac:dyDescent="0.25">
      <c r="A597" s="10">
        <v>44168</v>
      </c>
      <c r="B597" s="594">
        <v>0</v>
      </c>
      <c r="C597" s="31">
        <f t="shared" si="107"/>
        <v>4048181.21</v>
      </c>
      <c r="D597" s="50">
        <v>17000000</v>
      </c>
      <c r="E597" s="31">
        <f t="shared" si="108"/>
        <v>-52563997.130000003</v>
      </c>
      <c r="F597" s="900">
        <v>0</v>
      </c>
      <c r="G597" s="899">
        <f t="shared" si="109"/>
        <v>-1304222.77</v>
      </c>
      <c r="H597" s="50">
        <v>0</v>
      </c>
      <c r="I597" s="31">
        <f t="shared" si="110"/>
        <v>0</v>
      </c>
      <c r="J597" s="50">
        <v>0</v>
      </c>
      <c r="K597" s="31">
        <f t="shared" si="111"/>
        <v>0</v>
      </c>
      <c r="L597" s="50">
        <v>0</v>
      </c>
      <c r="M597" s="31">
        <f t="shared" si="112"/>
        <v>0</v>
      </c>
      <c r="N597" s="50">
        <v>0</v>
      </c>
      <c r="O597" s="31">
        <f t="shared" si="113"/>
        <v>0</v>
      </c>
      <c r="P597" s="51" t="s">
        <v>2304</v>
      </c>
      <c r="Q597" s="51"/>
      <c r="R597" s="765"/>
      <c r="S597" s="765"/>
      <c r="T597" s="765"/>
      <c r="U597" s="765"/>
      <c r="V597" s="765"/>
      <c r="W597" s="765"/>
    </row>
    <row r="598" spans="1:23" x14ac:dyDescent="0.25">
      <c r="A598" s="10">
        <v>44168</v>
      </c>
      <c r="B598" s="594">
        <v>0</v>
      </c>
      <c r="C598" s="31">
        <f t="shared" si="107"/>
        <v>4048181.21</v>
      </c>
      <c r="D598" s="50">
        <v>52552416.93</v>
      </c>
      <c r="E598" s="31">
        <f t="shared" si="108"/>
        <v>-11580.2</v>
      </c>
      <c r="F598" s="900">
        <v>0</v>
      </c>
      <c r="G598" s="899">
        <f t="shared" si="109"/>
        <v>-1304222.77</v>
      </c>
      <c r="H598" s="50">
        <v>0</v>
      </c>
      <c r="I598" s="31">
        <f t="shared" si="110"/>
        <v>0</v>
      </c>
      <c r="J598" s="50">
        <v>0</v>
      </c>
      <c r="K598" s="31">
        <f t="shared" si="111"/>
        <v>0</v>
      </c>
      <c r="L598" s="50">
        <v>0</v>
      </c>
      <c r="M598" s="31">
        <f t="shared" si="112"/>
        <v>0</v>
      </c>
      <c r="N598" s="50">
        <v>0</v>
      </c>
      <c r="O598" s="31">
        <f t="shared" si="113"/>
        <v>0</v>
      </c>
      <c r="P598" s="51" t="s">
        <v>2305</v>
      </c>
      <c r="Q598" s="51"/>
      <c r="R598" s="765"/>
      <c r="S598" s="765"/>
      <c r="T598" s="765"/>
      <c r="U598" s="765"/>
      <c r="V598" s="765"/>
      <c r="W598" s="765"/>
    </row>
    <row r="599" spans="1:23" x14ac:dyDescent="0.25">
      <c r="A599" s="10">
        <v>44168</v>
      </c>
      <c r="B599" s="594">
        <v>0</v>
      </c>
      <c r="C599" s="31">
        <f t="shared" si="107"/>
        <v>4048181.21</v>
      </c>
      <c r="D599" s="50">
        <v>0</v>
      </c>
      <c r="E599" s="31">
        <f t="shared" si="108"/>
        <v>-11580.2</v>
      </c>
      <c r="F599" s="900">
        <v>1304610.0900000001</v>
      </c>
      <c r="G599" s="899">
        <f t="shared" si="109"/>
        <v>387.32</v>
      </c>
      <c r="H599" s="50">
        <v>0</v>
      </c>
      <c r="I599" s="31">
        <f t="shared" si="110"/>
        <v>0</v>
      </c>
      <c r="J599" s="50">
        <v>0</v>
      </c>
      <c r="K599" s="31">
        <f t="shared" si="111"/>
        <v>0</v>
      </c>
      <c r="L599" s="50">
        <v>0</v>
      </c>
      <c r="M599" s="31">
        <f t="shared" si="112"/>
        <v>0</v>
      </c>
      <c r="N599" s="50">
        <v>0</v>
      </c>
      <c r="O599" s="31">
        <f t="shared" si="113"/>
        <v>0</v>
      </c>
      <c r="P599" s="51" t="s">
        <v>2306</v>
      </c>
      <c r="Q599" s="51"/>
      <c r="R599" s="765"/>
      <c r="S599" s="765"/>
      <c r="T599" s="765"/>
      <c r="U599" s="765"/>
      <c r="V599" s="765"/>
      <c r="W599" s="765"/>
    </row>
    <row r="600" spans="1:23" x14ac:dyDescent="0.25">
      <c r="A600" s="10">
        <v>44168</v>
      </c>
      <c r="B600" s="594">
        <v>0</v>
      </c>
      <c r="C600" s="31">
        <f t="shared" si="107"/>
        <v>4048181.21</v>
      </c>
      <c r="D600" s="50">
        <f>-E599</f>
        <v>11580.2</v>
      </c>
      <c r="E600" s="31">
        <f t="shared" si="108"/>
        <v>0</v>
      </c>
      <c r="F600" s="900">
        <v>0</v>
      </c>
      <c r="G600" s="899">
        <f t="shared" si="109"/>
        <v>387.32</v>
      </c>
      <c r="H600" s="50">
        <v>0</v>
      </c>
      <c r="I600" s="31">
        <f t="shared" si="110"/>
        <v>0</v>
      </c>
      <c r="J600" s="50">
        <v>0</v>
      </c>
      <c r="K600" s="31">
        <f t="shared" si="111"/>
        <v>0</v>
      </c>
      <c r="L600" s="50">
        <v>0</v>
      </c>
      <c r="M600" s="31">
        <f t="shared" si="112"/>
        <v>0</v>
      </c>
      <c r="N600" s="50">
        <v>0</v>
      </c>
      <c r="O600" s="31">
        <f t="shared" si="113"/>
        <v>0</v>
      </c>
      <c r="P600" s="51" t="s">
        <v>845</v>
      </c>
      <c r="Q600" s="51"/>
      <c r="R600" s="765"/>
      <c r="S600" s="765"/>
      <c r="T600" s="765"/>
      <c r="U600" s="765"/>
      <c r="V600" s="765"/>
      <c r="W600" s="765"/>
    </row>
    <row r="601" spans="1:23" x14ac:dyDescent="0.25">
      <c r="A601" s="10">
        <v>44172</v>
      </c>
      <c r="B601" s="594">
        <v>2000000</v>
      </c>
      <c r="C601" s="31">
        <f t="shared" si="107"/>
        <v>6048181.21</v>
      </c>
      <c r="D601" s="50">
        <v>-2011468.99</v>
      </c>
      <c r="E601" s="31">
        <f t="shared" si="108"/>
        <v>-2011468.99</v>
      </c>
      <c r="F601" s="900">
        <v>0</v>
      </c>
      <c r="G601" s="899">
        <f t="shared" si="109"/>
        <v>387.32</v>
      </c>
      <c r="H601" s="50">
        <v>0</v>
      </c>
      <c r="I601" s="31">
        <f t="shared" si="110"/>
        <v>0</v>
      </c>
      <c r="J601" s="50">
        <v>0</v>
      </c>
      <c r="K601" s="31">
        <f t="shared" si="111"/>
        <v>0</v>
      </c>
      <c r="L601" s="50">
        <v>0</v>
      </c>
      <c r="M601" s="31">
        <f t="shared" si="112"/>
        <v>0</v>
      </c>
      <c r="N601" s="50">
        <v>0</v>
      </c>
      <c r="O601" s="31">
        <f t="shared" si="113"/>
        <v>0</v>
      </c>
      <c r="P601" s="51" t="s">
        <v>831</v>
      </c>
      <c r="Q601" s="51"/>
      <c r="R601" s="765"/>
      <c r="S601" s="765"/>
      <c r="T601" s="765"/>
      <c r="U601" s="765"/>
      <c r="V601" s="765"/>
      <c r="W601" s="765"/>
    </row>
    <row r="602" spans="1:23" x14ac:dyDescent="0.25">
      <c r="A602" s="10">
        <v>44172</v>
      </c>
      <c r="B602" s="594">
        <v>0</v>
      </c>
      <c r="C602" s="31">
        <f t="shared" si="107"/>
        <v>6048181.21</v>
      </c>
      <c r="D602" s="50">
        <v>2011468.99</v>
      </c>
      <c r="E602" s="31">
        <f t="shared" si="108"/>
        <v>0</v>
      </c>
      <c r="F602" s="900">
        <v>0</v>
      </c>
      <c r="G602" s="899">
        <f t="shared" si="109"/>
        <v>387.32</v>
      </c>
      <c r="H602" s="50">
        <v>0</v>
      </c>
      <c r="I602" s="31">
        <f t="shared" si="110"/>
        <v>0</v>
      </c>
      <c r="J602" s="50">
        <v>0</v>
      </c>
      <c r="K602" s="31">
        <f t="shared" si="111"/>
        <v>0</v>
      </c>
      <c r="L602" s="50">
        <v>0</v>
      </c>
      <c r="M602" s="31">
        <f t="shared" si="112"/>
        <v>0</v>
      </c>
      <c r="N602" s="50">
        <v>0</v>
      </c>
      <c r="O602" s="31">
        <f t="shared" si="113"/>
        <v>0</v>
      </c>
      <c r="P602" s="51" t="s">
        <v>2324</v>
      </c>
      <c r="Q602" s="51"/>
      <c r="R602" s="765"/>
      <c r="S602" s="765"/>
      <c r="T602" s="765"/>
      <c r="U602" s="765"/>
      <c r="V602" s="765"/>
      <c r="W602" s="765"/>
    </row>
    <row r="603" spans="1:23" x14ac:dyDescent="0.25">
      <c r="A603" s="10">
        <v>44172</v>
      </c>
      <c r="B603" s="594">
        <v>0</v>
      </c>
      <c r="C603" s="31">
        <f t="shared" si="107"/>
        <v>6048181.21</v>
      </c>
      <c r="D603" s="50">
        <f>-D602</f>
        <v>-2011468.99</v>
      </c>
      <c r="E603" s="31">
        <f t="shared" si="108"/>
        <v>-2011468.99</v>
      </c>
      <c r="F603" s="900">
        <v>0</v>
      </c>
      <c r="G603" s="899">
        <f t="shared" si="109"/>
        <v>387.32</v>
      </c>
      <c r="H603" s="50">
        <v>0</v>
      </c>
      <c r="I603" s="31">
        <f t="shared" si="110"/>
        <v>0</v>
      </c>
      <c r="J603" s="50">
        <v>0</v>
      </c>
      <c r="K603" s="31">
        <f t="shared" si="111"/>
        <v>0</v>
      </c>
      <c r="L603" s="50">
        <v>0</v>
      </c>
      <c r="M603" s="31">
        <f t="shared" si="112"/>
        <v>0</v>
      </c>
      <c r="N603" s="50">
        <v>0</v>
      </c>
      <c r="O603" s="31">
        <f t="shared" si="113"/>
        <v>0</v>
      </c>
      <c r="P603" s="51" t="s">
        <v>2325</v>
      </c>
      <c r="Q603" s="51"/>
      <c r="R603" s="765"/>
      <c r="S603" s="765"/>
      <c r="T603" s="765"/>
      <c r="U603" s="765"/>
      <c r="V603" s="765"/>
      <c r="W603" s="765"/>
    </row>
    <row r="604" spans="1:23" x14ac:dyDescent="0.25">
      <c r="A604" s="10">
        <v>44172</v>
      </c>
      <c r="B604" s="594">
        <v>0</v>
      </c>
      <c r="C604" s="31">
        <f t="shared" si="107"/>
        <v>6048181.21</v>
      </c>
      <c r="D604" s="50">
        <v>2000000</v>
      </c>
      <c r="E604" s="31">
        <f t="shared" si="108"/>
        <v>-11468.99</v>
      </c>
      <c r="F604" s="900">
        <v>0</v>
      </c>
      <c r="G604" s="899">
        <f t="shared" si="109"/>
        <v>387.32</v>
      </c>
      <c r="H604" s="50">
        <v>0</v>
      </c>
      <c r="I604" s="31">
        <f t="shared" si="110"/>
        <v>0</v>
      </c>
      <c r="J604" s="50">
        <v>0</v>
      </c>
      <c r="K604" s="31">
        <f t="shared" si="111"/>
        <v>0</v>
      </c>
      <c r="L604" s="50">
        <v>0</v>
      </c>
      <c r="M604" s="31">
        <f t="shared" si="112"/>
        <v>0</v>
      </c>
      <c r="N604" s="50">
        <v>0</v>
      </c>
      <c r="O604" s="31">
        <f t="shared" si="113"/>
        <v>0</v>
      </c>
      <c r="P604" s="51" t="s">
        <v>2326</v>
      </c>
      <c r="Q604" s="51"/>
      <c r="R604" s="765"/>
      <c r="S604" s="765"/>
      <c r="T604" s="765"/>
      <c r="U604" s="765"/>
      <c r="V604" s="765"/>
      <c r="W604" s="765"/>
    </row>
    <row r="605" spans="1:23" x14ac:dyDescent="0.25">
      <c r="A605" s="10">
        <v>44172</v>
      </c>
      <c r="B605" s="594">
        <v>0</v>
      </c>
      <c r="C605" s="31">
        <f t="shared" si="107"/>
        <v>6048181.21</v>
      </c>
      <c r="D605" s="50">
        <v>11468.99</v>
      </c>
      <c r="E605" s="31">
        <f t="shared" si="108"/>
        <v>0</v>
      </c>
      <c r="F605" s="900">
        <v>0</v>
      </c>
      <c r="G605" s="899">
        <f t="shared" si="109"/>
        <v>387.32</v>
      </c>
      <c r="H605" s="50">
        <v>0</v>
      </c>
      <c r="I605" s="31">
        <f t="shared" si="110"/>
        <v>0</v>
      </c>
      <c r="J605" s="50">
        <v>0</v>
      </c>
      <c r="K605" s="31">
        <f t="shared" si="111"/>
        <v>0</v>
      </c>
      <c r="L605" s="50">
        <v>0</v>
      </c>
      <c r="M605" s="31">
        <f t="shared" si="112"/>
        <v>0</v>
      </c>
      <c r="N605" s="50">
        <v>0</v>
      </c>
      <c r="O605" s="31">
        <f t="shared" si="113"/>
        <v>0</v>
      </c>
      <c r="P605" s="51" t="s">
        <v>845</v>
      </c>
      <c r="Q605" s="51"/>
      <c r="R605" s="765"/>
      <c r="S605" s="765"/>
      <c r="T605" s="765"/>
      <c r="U605" s="765"/>
      <c r="V605" s="765"/>
      <c r="W605" s="765"/>
    </row>
    <row r="606" spans="1:23" x14ac:dyDescent="0.25">
      <c r="A606" s="10">
        <v>44179</v>
      </c>
      <c r="B606" s="594">
        <v>0</v>
      </c>
      <c r="C606" s="31">
        <f t="shared" si="107"/>
        <v>6048181.21</v>
      </c>
      <c r="D606" s="50">
        <v>0</v>
      </c>
      <c r="E606" s="31">
        <f t="shared" si="108"/>
        <v>0</v>
      </c>
      <c r="F606" s="900">
        <v>0</v>
      </c>
      <c r="G606" s="899">
        <f t="shared" si="109"/>
        <v>387.32</v>
      </c>
      <c r="H606" s="50">
        <v>-6000</v>
      </c>
      <c r="I606" s="31">
        <f t="shared" si="110"/>
        <v>-6000</v>
      </c>
      <c r="J606" s="50">
        <v>0</v>
      </c>
      <c r="K606" s="31">
        <f t="shared" si="111"/>
        <v>0</v>
      </c>
      <c r="L606" s="50">
        <v>0</v>
      </c>
      <c r="M606" s="31">
        <f t="shared" si="112"/>
        <v>0</v>
      </c>
      <c r="N606" s="50">
        <v>0</v>
      </c>
      <c r="O606" s="31">
        <f t="shared" si="113"/>
        <v>0</v>
      </c>
      <c r="P606" s="51" t="s">
        <v>2337</v>
      </c>
      <c r="Q606" s="51"/>
      <c r="R606" s="765"/>
      <c r="S606" s="765"/>
      <c r="T606" s="765"/>
      <c r="U606" s="765"/>
      <c r="V606" s="765"/>
      <c r="W606" s="765"/>
    </row>
    <row r="607" spans="1:23" x14ac:dyDescent="0.25">
      <c r="A607" s="10">
        <v>44179</v>
      </c>
      <c r="B607" s="594">
        <v>0</v>
      </c>
      <c r="C607" s="31">
        <f t="shared" si="107"/>
        <v>6048181.21</v>
      </c>
      <c r="D607" s="50">
        <v>0</v>
      </c>
      <c r="E607" s="31">
        <f t="shared" si="108"/>
        <v>0</v>
      </c>
      <c r="F607" s="900">
        <v>0</v>
      </c>
      <c r="G607" s="899">
        <f t="shared" si="109"/>
        <v>387.32</v>
      </c>
      <c r="H607" s="50">
        <v>-153.74</v>
      </c>
      <c r="I607" s="31">
        <f t="shared" si="110"/>
        <v>-6153.74</v>
      </c>
      <c r="J607" s="50">
        <v>0</v>
      </c>
      <c r="K607" s="31">
        <f t="shared" si="111"/>
        <v>0</v>
      </c>
      <c r="L607" s="50">
        <v>0</v>
      </c>
      <c r="M607" s="31">
        <f t="shared" si="112"/>
        <v>0</v>
      </c>
      <c r="N607" s="50">
        <v>0</v>
      </c>
      <c r="O607" s="31">
        <f t="shared" si="113"/>
        <v>0</v>
      </c>
      <c r="P607" s="51" t="s">
        <v>2338</v>
      </c>
      <c r="Q607" s="51"/>
      <c r="R607" s="765"/>
      <c r="S607" s="765"/>
      <c r="T607" s="765"/>
      <c r="U607" s="765"/>
      <c r="V607" s="765"/>
      <c r="W607" s="765"/>
    </row>
    <row r="608" spans="1:23" x14ac:dyDescent="0.25">
      <c r="A608" s="10">
        <v>44180</v>
      </c>
      <c r="B608" s="50">
        <v>0</v>
      </c>
      <c r="C608" s="31">
        <f t="shared" si="107"/>
        <v>6048181.21</v>
      </c>
      <c r="D608" s="50">
        <v>-19001580</v>
      </c>
      <c r="E608" s="31">
        <f t="shared" si="108"/>
        <v>-19001580</v>
      </c>
      <c r="F608" s="900">
        <v>0</v>
      </c>
      <c r="G608" s="899">
        <f t="shared" si="109"/>
        <v>387.32</v>
      </c>
      <c r="H608" s="50">
        <v>0</v>
      </c>
      <c r="I608" s="31">
        <f t="shared" si="110"/>
        <v>-6153.74</v>
      </c>
      <c r="J608" s="50">
        <v>0</v>
      </c>
      <c r="K608" s="31">
        <f t="shared" si="111"/>
        <v>0</v>
      </c>
      <c r="L608" s="50">
        <v>0</v>
      </c>
      <c r="M608" s="31">
        <f t="shared" si="112"/>
        <v>0</v>
      </c>
      <c r="N608" s="50">
        <v>0</v>
      </c>
      <c r="O608" s="31">
        <f t="shared" si="113"/>
        <v>0</v>
      </c>
      <c r="P608" s="51" t="s">
        <v>2045</v>
      </c>
      <c r="Q608" s="51"/>
      <c r="R608" s="765"/>
      <c r="S608" s="765"/>
      <c r="T608" s="765"/>
      <c r="U608" s="765"/>
      <c r="V608" s="765"/>
      <c r="W608" s="765"/>
    </row>
    <row r="609" spans="1:23" x14ac:dyDescent="0.25">
      <c r="A609" s="10">
        <v>44180</v>
      </c>
      <c r="B609" s="50">
        <v>0</v>
      </c>
      <c r="C609" s="31">
        <f t="shared" si="107"/>
        <v>6048181.21</v>
      </c>
      <c r="D609" s="50">
        <v>53067413.812736861</v>
      </c>
      <c r="E609" s="31">
        <f t="shared" si="108"/>
        <v>34065833.810000002</v>
      </c>
      <c r="F609" s="900">
        <v>0</v>
      </c>
      <c r="G609" s="899">
        <f t="shared" si="109"/>
        <v>387.32</v>
      </c>
      <c r="H609" s="50">
        <v>0</v>
      </c>
      <c r="I609" s="31">
        <f t="shared" si="110"/>
        <v>-6153.74</v>
      </c>
      <c r="J609" s="50">
        <v>0</v>
      </c>
      <c r="K609" s="31">
        <f t="shared" si="111"/>
        <v>0</v>
      </c>
      <c r="L609" s="50">
        <v>0</v>
      </c>
      <c r="M609" s="31">
        <f t="shared" si="112"/>
        <v>0</v>
      </c>
      <c r="N609" s="50">
        <v>0</v>
      </c>
      <c r="O609" s="31">
        <f t="shared" si="113"/>
        <v>0</v>
      </c>
      <c r="P609" s="51" t="s">
        <v>2341</v>
      </c>
      <c r="Q609" s="51"/>
      <c r="R609" s="765"/>
      <c r="S609" s="765"/>
      <c r="T609" s="765"/>
      <c r="U609" s="765"/>
      <c r="V609" s="765"/>
      <c r="W609" s="765"/>
    </row>
    <row r="610" spans="1:23" x14ac:dyDescent="0.25">
      <c r="A610" s="10">
        <v>44180</v>
      </c>
      <c r="B610" s="50">
        <v>0</v>
      </c>
      <c r="C610" s="31">
        <f t="shared" si="107"/>
        <v>6048181.21</v>
      </c>
      <c r="D610" s="50">
        <v>-53329705.148610085</v>
      </c>
      <c r="E610" s="31">
        <f t="shared" si="108"/>
        <v>-19263871.34</v>
      </c>
      <c r="F610" s="900">
        <v>0</v>
      </c>
      <c r="G610" s="899">
        <f t="shared" si="109"/>
        <v>387.32</v>
      </c>
      <c r="H610" s="50">
        <v>0</v>
      </c>
      <c r="I610" s="31">
        <f t="shared" si="110"/>
        <v>-6153.74</v>
      </c>
      <c r="J610" s="50">
        <v>0</v>
      </c>
      <c r="K610" s="31">
        <f t="shared" si="111"/>
        <v>0</v>
      </c>
      <c r="L610" s="50">
        <v>0</v>
      </c>
      <c r="M610" s="31">
        <f t="shared" si="112"/>
        <v>0</v>
      </c>
      <c r="N610" s="50">
        <v>0</v>
      </c>
      <c r="O610" s="31">
        <f t="shared" si="113"/>
        <v>0</v>
      </c>
      <c r="P610" s="51" t="s">
        <v>2342</v>
      </c>
      <c r="Q610" s="51"/>
      <c r="R610" s="765"/>
      <c r="S610" s="765"/>
      <c r="T610" s="765"/>
      <c r="U610" s="765"/>
      <c r="V610" s="765"/>
      <c r="W610" s="765"/>
    </row>
    <row r="611" spans="1:23" x14ac:dyDescent="0.25">
      <c r="A611" s="10">
        <v>44180</v>
      </c>
      <c r="B611" s="50">
        <v>0</v>
      </c>
      <c r="C611" s="31">
        <f t="shared" si="107"/>
        <v>6048181.21</v>
      </c>
      <c r="D611" s="50">
        <v>286033.75</v>
      </c>
      <c r="E611" s="31">
        <f t="shared" si="108"/>
        <v>-18977837.59</v>
      </c>
      <c r="F611" s="900">
        <v>0</v>
      </c>
      <c r="G611" s="899">
        <f t="shared" si="109"/>
        <v>387.32</v>
      </c>
      <c r="H611" s="50">
        <v>0</v>
      </c>
      <c r="I611" s="31">
        <f t="shared" si="110"/>
        <v>-6153.74</v>
      </c>
      <c r="J611" s="50">
        <v>0</v>
      </c>
      <c r="K611" s="31">
        <f t="shared" si="111"/>
        <v>0</v>
      </c>
      <c r="L611" s="50">
        <v>0</v>
      </c>
      <c r="M611" s="31">
        <f t="shared" si="112"/>
        <v>0</v>
      </c>
      <c r="N611" s="50">
        <v>0</v>
      </c>
      <c r="O611" s="31">
        <f t="shared" si="113"/>
        <v>0</v>
      </c>
      <c r="P611" s="51" t="s">
        <v>1986</v>
      </c>
      <c r="Q611" s="51"/>
      <c r="R611" s="765"/>
      <c r="S611" s="765"/>
      <c r="T611" s="765"/>
      <c r="U611" s="765"/>
      <c r="V611" s="765"/>
      <c r="W611" s="765"/>
    </row>
    <row r="612" spans="1:23" x14ac:dyDescent="0.25">
      <c r="A612" s="10">
        <v>44180</v>
      </c>
      <c r="B612" s="50">
        <v>0</v>
      </c>
      <c r="C612" s="31">
        <f t="shared" si="107"/>
        <v>6048181.21</v>
      </c>
      <c r="D612" s="50">
        <v>31090.625</v>
      </c>
      <c r="E612" s="31">
        <f t="shared" si="108"/>
        <v>-18946746.969999999</v>
      </c>
      <c r="F612" s="900">
        <v>0</v>
      </c>
      <c r="G612" s="899">
        <f t="shared" si="109"/>
        <v>387.32</v>
      </c>
      <c r="H612" s="50">
        <v>0</v>
      </c>
      <c r="I612" s="31">
        <f t="shared" si="110"/>
        <v>-6153.74</v>
      </c>
      <c r="J612" s="50">
        <v>0</v>
      </c>
      <c r="K612" s="31">
        <f t="shared" si="111"/>
        <v>0</v>
      </c>
      <c r="L612" s="50">
        <v>0</v>
      </c>
      <c r="M612" s="31">
        <f t="shared" si="112"/>
        <v>0</v>
      </c>
      <c r="N612" s="50">
        <v>0</v>
      </c>
      <c r="O612" s="31">
        <f t="shared" si="113"/>
        <v>0</v>
      </c>
      <c r="P612" s="51" t="s">
        <v>1986</v>
      </c>
      <c r="Q612" s="51"/>
      <c r="R612" s="765"/>
      <c r="S612" s="765"/>
      <c r="T612" s="765"/>
      <c r="U612" s="765"/>
      <c r="V612" s="765"/>
      <c r="W612" s="765"/>
    </row>
    <row r="613" spans="1:23" x14ac:dyDescent="0.25">
      <c r="A613" s="10">
        <v>44180</v>
      </c>
      <c r="B613" s="50">
        <v>0</v>
      </c>
      <c r="C613" s="31">
        <f t="shared" si="107"/>
        <v>6048181.21</v>
      </c>
      <c r="D613" s="50">
        <v>12574.430555555504</v>
      </c>
      <c r="E613" s="31">
        <f t="shared" si="108"/>
        <v>-18934172.539999999</v>
      </c>
      <c r="F613" s="900">
        <v>0</v>
      </c>
      <c r="G613" s="899">
        <f t="shared" si="109"/>
        <v>387.32</v>
      </c>
      <c r="H613" s="50">
        <v>0</v>
      </c>
      <c r="I613" s="31">
        <f t="shared" si="110"/>
        <v>-6153.74</v>
      </c>
      <c r="J613" s="50">
        <v>0</v>
      </c>
      <c r="K613" s="31">
        <f t="shared" si="111"/>
        <v>0</v>
      </c>
      <c r="L613" s="50">
        <v>0</v>
      </c>
      <c r="M613" s="31">
        <f t="shared" si="112"/>
        <v>0</v>
      </c>
      <c r="N613" s="50">
        <v>0</v>
      </c>
      <c r="O613" s="31">
        <f t="shared" si="113"/>
        <v>0</v>
      </c>
      <c r="P613" s="51" t="s">
        <v>1986</v>
      </c>
      <c r="Q613" s="51"/>
      <c r="R613" s="765"/>
      <c r="S613" s="765"/>
      <c r="T613" s="765"/>
      <c r="U613" s="765"/>
      <c r="V613" s="765"/>
      <c r="W613" s="765"/>
    </row>
    <row r="614" spans="1:23" x14ac:dyDescent="0.25">
      <c r="A614" s="10">
        <v>44180</v>
      </c>
      <c r="B614" s="50">
        <v>8000000</v>
      </c>
      <c r="C614" s="31">
        <f t="shared" si="107"/>
        <v>14048181.210000001</v>
      </c>
      <c r="D614" s="50">
        <v>-8000000</v>
      </c>
      <c r="E614" s="31">
        <f t="shared" si="108"/>
        <v>-26934172.539999999</v>
      </c>
      <c r="F614" s="900">
        <v>0</v>
      </c>
      <c r="G614" s="899">
        <f t="shared" si="109"/>
        <v>387.32</v>
      </c>
      <c r="H614" s="50">
        <v>0</v>
      </c>
      <c r="I614" s="31">
        <f t="shared" si="110"/>
        <v>-6153.74</v>
      </c>
      <c r="J614" s="50">
        <v>0</v>
      </c>
      <c r="K614" s="31">
        <f t="shared" si="111"/>
        <v>0</v>
      </c>
      <c r="L614" s="50">
        <v>0</v>
      </c>
      <c r="M614" s="31">
        <f t="shared" si="112"/>
        <v>0</v>
      </c>
      <c r="N614" s="50">
        <v>0</v>
      </c>
      <c r="O614" s="31">
        <f t="shared" si="113"/>
        <v>0</v>
      </c>
      <c r="P614" s="51" t="s">
        <v>831</v>
      </c>
      <c r="Q614" s="51"/>
      <c r="R614" s="765"/>
      <c r="S614" s="765"/>
      <c r="T614" s="765"/>
      <c r="U614" s="765"/>
      <c r="V614" s="765"/>
      <c r="W614" s="765"/>
    </row>
    <row r="615" spans="1:23" x14ac:dyDescent="0.25">
      <c r="A615" s="10">
        <v>44180</v>
      </c>
      <c r="B615" s="50">
        <v>0</v>
      </c>
      <c r="C615" s="31">
        <f t="shared" si="107"/>
        <v>14048181.210000001</v>
      </c>
      <c r="D615" s="50">
        <v>9732533.2584962491</v>
      </c>
      <c r="E615" s="31">
        <f t="shared" si="108"/>
        <v>-17201639.280000001</v>
      </c>
      <c r="F615" s="900">
        <v>0</v>
      </c>
      <c r="G615" s="899">
        <f t="shared" si="109"/>
        <v>387.32</v>
      </c>
      <c r="H615" s="50">
        <v>0</v>
      </c>
      <c r="I615" s="31">
        <f t="shared" si="110"/>
        <v>-6153.74</v>
      </c>
      <c r="J615" s="50">
        <v>0</v>
      </c>
      <c r="K615" s="31">
        <f t="shared" si="111"/>
        <v>0</v>
      </c>
      <c r="L615" s="50">
        <v>0</v>
      </c>
      <c r="M615" s="31">
        <f t="shared" si="112"/>
        <v>0</v>
      </c>
      <c r="N615" s="50">
        <v>0</v>
      </c>
      <c r="O615" s="31">
        <f t="shared" si="113"/>
        <v>0</v>
      </c>
      <c r="P615" s="51" t="s">
        <v>2343</v>
      </c>
      <c r="Q615" s="51"/>
      <c r="R615" s="765"/>
      <c r="S615" s="765"/>
      <c r="T615" s="765"/>
      <c r="U615" s="765"/>
      <c r="V615" s="765"/>
      <c r="W615" s="765"/>
    </row>
    <row r="616" spans="1:23" x14ac:dyDescent="0.25">
      <c r="A616" s="10">
        <v>44180</v>
      </c>
      <c r="B616" s="50">
        <v>0</v>
      </c>
      <c r="C616" s="31">
        <f t="shared" si="107"/>
        <v>14048181.210000001</v>
      </c>
      <c r="D616" s="50">
        <v>-9782965.64587125</v>
      </c>
      <c r="E616" s="31">
        <f t="shared" si="108"/>
        <v>-26984604.93</v>
      </c>
      <c r="F616" s="900">
        <v>0</v>
      </c>
      <c r="G616" s="899">
        <f t="shared" si="109"/>
        <v>387.32</v>
      </c>
      <c r="H616" s="50">
        <v>0</v>
      </c>
      <c r="I616" s="31">
        <f t="shared" si="110"/>
        <v>-6153.74</v>
      </c>
      <c r="J616" s="50">
        <v>0</v>
      </c>
      <c r="K616" s="31">
        <f t="shared" si="111"/>
        <v>0</v>
      </c>
      <c r="L616" s="50">
        <v>0</v>
      </c>
      <c r="M616" s="31">
        <f t="shared" si="112"/>
        <v>0</v>
      </c>
      <c r="N616" s="50">
        <v>0</v>
      </c>
      <c r="O616" s="31">
        <f t="shared" si="113"/>
        <v>0</v>
      </c>
      <c r="P616" s="51" t="s">
        <v>2344</v>
      </c>
      <c r="Q616" s="51"/>
      <c r="R616" s="765"/>
      <c r="S616" s="765"/>
      <c r="T616" s="765"/>
      <c r="U616" s="765"/>
      <c r="V616" s="765"/>
      <c r="W616" s="765"/>
    </row>
    <row r="617" spans="1:23" x14ac:dyDescent="0.25">
      <c r="A617" s="10">
        <v>44180</v>
      </c>
      <c r="B617" s="50">
        <v>0</v>
      </c>
      <c r="C617" s="31">
        <f t="shared" si="107"/>
        <v>14048181.210000001</v>
      </c>
      <c r="D617" s="50">
        <v>61059.645871249959</v>
      </c>
      <c r="E617" s="31">
        <f t="shared" si="108"/>
        <v>-26923545.280000001</v>
      </c>
      <c r="F617" s="900">
        <v>0</v>
      </c>
      <c r="G617" s="899">
        <f t="shared" si="109"/>
        <v>387.32</v>
      </c>
      <c r="H617" s="50">
        <v>0</v>
      </c>
      <c r="I617" s="31">
        <f t="shared" si="110"/>
        <v>-6153.74</v>
      </c>
      <c r="J617" s="50">
        <v>0</v>
      </c>
      <c r="K617" s="31">
        <f t="shared" si="111"/>
        <v>0</v>
      </c>
      <c r="L617" s="50">
        <v>0</v>
      </c>
      <c r="M617" s="31">
        <f t="shared" si="112"/>
        <v>0</v>
      </c>
      <c r="N617" s="50">
        <v>0</v>
      </c>
      <c r="O617" s="31">
        <f t="shared" si="113"/>
        <v>0</v>
      </c>
      <c r="P617" s="51" t="s">
        <v>2345</v>
      </c>
      <c r="Q617" s="51"/>
      <c r="R617" s="765"/>
      <c r="S617" s="765"/>
      <c r="T617" s="765"/>
      <c r="U617" s="765"/>
      <c r="V617" s="765"/>
      <c r="W617" s="765"/>
    </row>
    <row r="618" spans="1:23" x14ac:dyDescent="0.25">
      <c r="A618" s="10">
        <v>44180</v>
      </c>
      <c r="B618" s="50">
        <v>6000000</v>
      </c>
      <c r="C618" s="31">
        <f t="shared" si="107"/>
        <v>20048181.210000001</v>
      </c>
      <c r="D618" s="50">
        <v>-6000000</v>
      </c>
      <c r="E618" s="31">
        <f t="shared" si="108"/>
        <v>-32923545.280000001</v>
      </c>
      <c r="F618" s="900">
        <v>0</v>
      </c>
      <c r="G618" s="899">
        <f t="shared" si="109"/>
        <v>387.32</v>
      </c>
      <c r="H618" s="50">
        <v>0</v>
      </c>
      <c r="I618" s="31">
        <f t="shared" si="110"/>
        <v>-6153.74</v>
      </c>
      <c r="J618" s="50">
        <v>0</v>
      </c>
      <c r="K618" s="31">
        <f t="shared" si="111"/>
        <v>0</v>
      </c>
      <c r="L618" s="50">
        <v>0</v>
      </c>
      <c r="M618" s="31">
        <f t="shared" si="112"/>
        <v>0</v>
      </c>
      <c r="N618" s="50">
        <v>0</v>
      </c>
      <c r="O618" s="31">
        <f t="shared" si="113"/>
        <v>0</v>
      </c>
      <c r="P618" s="51" t="s">
        <v>1697</v>
      </c>
      <c r="Q618" s="51"/>
      <c r="R618" s="765"/>
      <c r="S618" s="765"/>
      <c r="T618" s="765"/>
      <c r="U618" s="765"/>
      <c r="V618" s="765"/>
      <c r="W618" s="765"/>
    </row>
    <row r="619" spans="1:23" x14ac:dyDescent="0.25">
      <c r="A619" s="10">
        <v>44180</v>
      </c>
      <c r="B619" s="50">
        <v>0</v>
      </c>
      <c r="C619" s="31">
        <f t="shared" si="107"/>
        <v>20048181.210000001</v>
      </c>
      <c r="D619" s="50">
        <v>0</v>
      </c>
      <c r="E619" s="31">
        <f t="shared" si="108"/>
        <v>-32923545.280000001</v>
      </c>
      <c r="F619" s="900">
        <v>131636.96222222282</v>
      </c>
      <c r="G619" s="899">
        <f t="shared" si="109"/>
        <v>132024.28</v>
      </c>
      <c r="H619" s="50">
        <v>0</v>
      </c>
      <c r="I619" s="31">
        <f t="shared" si="110"/>
        <v>-6153.74</v>
      </c>
      <c r="J619" s="50">
        <v>0</v>
      </c>
      <c r="K619" s="31">
        <f t="shared" si="111"/>
        <v>0</v>
      </c>
      <c r="L619" s="50">
        <v>0</v>
      </c>
      <c r="M619" s="31">
        <f t="shared" si="112"/>
        <v>0</v>
      </c>
      <c r="N619" s="50">
        <v>0</v>
      </c>
      <c r="O619" s="31">
        <f t="shared" si="113"/>
        <v>0</v>
      </c>
      <c r="P619" s="51" t="s">
        <v>2346</v>
      </c>
      <c r="Q619" s="51"/>
      <c r="R619" s="765"/>
      <c r="S619" s="765"/>
      <c r="T619" s="765"/>
      <c r="U619" s="765"/>
      <c r="V619" s="765"/>
      <c r="W619" s="765"/>
    </row>
    <row r="620" spans="1:23" x14ac:dyDescent="0.25">
      <c r="A620" s="10">
        <v>44180</v>
      </c>
      <c r="B620" s="50">
        <v>500000</v>
      </c>
      <c r="C620" s="31">
        <f t="shared" si="107"/>
        <v>20548181.210000001</v>
      </c>
      <c r="D620" s="50">
        <v>0</v>
      </c>
      <c r="E620" s="31">
        <f t="shared" si="108"/>
        <v>-32923545.280000001</v>
      </c>
      <c r="F620" s="900">
        <v>-500000</v>
      </c>
      <c r="G620" s="899">
        <f t="shared" si="109"/>
        <v>-367975.72</v>
      </c>
      <c r="H620" s="50">
        <v>0</v>
      </c>
      <c r="I620" s="31">
        <f t="shared" si="110"/>
        <v>-6153.74</v>
      </c>
      <c r="J620" s="50">
        <v>0</v>
      </c>
      <c r="K620" s="31">
        <f t="shared" si="111"/>
        <v>0</v>
      </c>
      <c r="L620" s="50">
        <v>0</v>
      </c>
      <c r="M620" s="31">
        <f t="shared" si="112"/>
        <v>0</v>
      </c>
      <c r="N620" s="50">
        <v>0</v>
      </c>
      <c r="O620" s="31">
        <f t="shared" si="113"/>
        <v>0</v>
      </c>
      <c r="P620" s="51" t="s">
        <v>1012</v>
      </c>
      <c r="Q620" s="51"/>
      <c r="R620" s="765"/>
      <c r="S620" s="765"/>
      <c r="T620" s="765"/>
      <c r="U620" s="765"/>
      <c r="V620" s="765"/>
      <c r="W620" s="765"/>
    </row>
    <row r="621" spans="1:23" x14ac:dyDescent="0.25">
      <c r="A621" s="10">
        <v>44180</v>
      </c>
      <c r="B621" s="50">
        <v>0</v>
      </c>
      <c r="C621" s="31">
        <f t="shared" si="107"/>
        <v>20548181.210000001</v>
      </c>
      <c r="D621" s="50">
        <v>0</v>
      </c>
      <c r="E621" s="31">
        <f t="shared" si="108"/>
        <v>-32923545.280000001</v>
      </c>
      <c r="F621" s="900">
        <v>-32631659.385473389</v>
      </c>
      <c r="G621" s="899">
        <f t="shared" si="109"/>
        <v>-32999635.109999999</v>
      </c>
      <c r="H621" s="50">
        <v>0</v>
      </c>
      <c r="I621" s="31">
        <f t="shared" si="110"/>
        <v>-6153.74</v>
      </c>
      <c r="J621" s="50">
        <v>0</v>
      </c>
      <c r="K621" s="31">
        <f t="shared" si="111"/>
        <v>0</v>
      </c>
      <c r="L621" s="50">
        <v>0</v>
      </c>
      <c r="M621" s="31">
        <f t="shared" si="112"/>
        <v>0</v>
      </c>
      <c r="N621" s="50">
        <v>0</v>
      </c>
      <c r="O621" s="31">
        <f t="shared" si="113"/>
        <v>0</v>
      </c>
      <c r="P621" s="51" t="s">
        <v>2347</v>
      </c>
      <c r="Q621" s="51"/>
      <c r="R621" s="765"/>
      <c r="S621" s="765"/>
      <c r="T621" s="765"/>
      <c r="U621" s="765"/>
      <c r="V621" s="765"/>
      <c r="W621" s="765"/>
    </row>
    <row r="622" spans="1:23" x14ac:dyDescent="0.25">
      <c r="A622" s="10">
        <v>44180</v>
      </c>
      <c r="B622" s="50">
        <v>0</v>
      </c>
      <c r="C622" s="31">
        <f t="shared" si="107"/>
        <v>20548181.210000001</v>
      </c>
      <c r="D622" s="50">
        <v>32938664.781773113</v>
      </c>
      <c r="E622" s="31">
        <f t="shared" si="108"/>
        <v>15119.5</v>
      </c>
      <c r="F622" s="900">
        <v>0</v>
      </c>
      <c r="G622" s="899">
        <f t="shared" si="109"/>
        <v>-32999635.109999999</v>
      </c>
      <c r="H622" s="50">
        <v>0</v>
      </c>
      <c r="I622" s="31">
        <f t="shared" si="110"/>
        <v>-6153.74</v>
      </c>
      <c r="J622" s="50">
        <v>0</v>
      </c>
      <c r="K622" s="31">
        <f t="shared" si="111"/>
        <v>0</v>
      </c>
      <c r="L622" s="50">
        <v>0</v>
      </c>
      <c r="M622" s="31">
        <f t="shared" si="112"/>
        <v>0</v>
      </c>
      <c r="N622" s="50">
        <v>0</v>
      </c>
      <c r="O622" s="31">
        <f t="shared" si="113"/>
        <v>0</v>
      </c>
      <c r="P622" s="51" t="s">
        <v>2348</v>
      </c>
      <c r="Q622" s="51"/>
      <c r="R622" s="765"/>
      <c r="S622" s="765"/>
      <c r="T622" s="765"/>
      <c r="U622" s="765"/>
      <c r="V622" s="765"/>
      <c r="W622" s="765"/>
    </row>
    <row r="623" spans="1:23" x14ac:dyDescent="0.25">
      <c r="A623" s="10">
        <v>44180</v>
      </c>
      <c r="B623" s="50">
        <v>0</v>
      </c>
      <c r="C623" s="31">
        <f t="shared" si="107"/>
        <v>20548181.210000001</v>
      </c>
      <c r="D623" s="50">
        <v>-33142250.225771863</v>
      </c>
      <c r="E623" s="31">
        <f t="shared" si="108"/>
        <v>-33127130.73</v>
      </c>
      <c r="F623" s="900">
        <v>0</v>
      </c>
      <c r="G623" s="899">
        <f t="shared" si="109"/>
        <v>-32999635.109999999</v>
      </c>
      <c r="H623" s="50">
        <v>0</v>
      </c>
      <c r="I623" s="31">
        <f t="shared" si="110"/>
        <v>-6153.74</v>
      </c>
      <c r="J623" s="50">
        <v>0</v>
      </c>
      <c r="K623" s="31">
        <f t="shared" si="111"/>
        <v>0</v>
      </c>
      <c r="L623" s="50">
        <v>0</v>
      </c>
      <c r="M623" s="31">
        <f t="shared" si="112"/>
        <v>0</v>
      </c>
      <c r="N623" s="50">
        <v>0</v>
      </c>
      <c r="O623" s="31">
        <f t="shared" si="113"/>
        <v>0</v>
      </c>
      <c r="P623" s="51" t="s">
        <v>2349</v>
      </c>
      <c r="Q623" s="51"/>
      <c r="R623" s="765"/>
      <c r="S623" s="765"/>
      <c r="T623" s="765"/>
      <c r="U623" s="765"/>
      <c r="V623" s="765"/>
      <c r="W623" s="765"/>
    </row>
    <row r="624" spans="1:23" x14ac:dyDescent="0.25">
      <c r="A624" s="10">
        <v>44180</v>
      </c>
      <c r="B624" s="50">
        <v>0</v>
      </c>
      <c r="C624" s="31">
        <f t="shared" si="107"/>
        <v>20548181.210000001</v>
      </c>
      <c r="D624" s="50">
        <v>239552.20577186346</v>
      </c>
      <c r="E624" s="31">
        <f t="shared" si="108"/>
        <v>-32887578.52</v>
      </c>
      <c r="F624" s="900">
        <v>0</v>
      </c>
      <c r="G624" s="899">
        <f t="shared" si="109"/>
        <v>-32999635.109999999</v>
      </c>
      <c r="H624" s="50">
        <v>0</v>
      </c>
      <c r="I624" s="31">
        <f t="shared" si="110"/>
        <v>-6153.74</v>
      </c>
      <c r="J624" s="50">
        <v>0</v>
      </c>
      <c r="K624" s="31">
        <f t="shared" si="111"/>
        <v>0</v>
      </c>
      <c r="L624" s="50">
        <v>0</v>
      </c>
      <c r="M624" s="31">
        <f t="shared" si="112"/>
        <v>0</v>
      </c>
      <c r="N624" s="50">
        <v>0</v>
      </c>
      <c r="O624" s="31">
        <f t="shared" si="113"/>
        <v>0</v>
      </c>
      <c r="P624" s="51" t="s">
        <v>2350</v>
      </c>
      <c r="Q624" s="51"/>
      <c r="R624" s="765"/>
      <c r="S624" s="765"/>
      <c r="T624" s="765"/>
      <c r="U624" s="765"/>
      <c r="V624" s="765"/>
      <c r="W624" s="765"/>
    </row>
    <row r="625" spans="1:23" x14ac:dyDescent="0.25">
      <c r="A625" s="10">
        <v>44180</v>
      </c>
      <c r="B625" s="50">
        <f>-D625</f>
        <v>-30000000</v>
      </c>
      <c r="C625" s="31">
        <f t="shared" si="107"/>
        <v>-9451818.7899999991</v>
      </c>
      <c r="D625" s="50">
        <v>30000000</v>
      </c>
      <c r="E625" s="31">
        <f t="shared" si="108"/>
        <v>-2887578.52</v>
      </c>
      <c r="F625" s="900">
        <v>0</v>
      </c>
      <c r="G625" s="899">
        <f t="shared" si="109"/>
        <v>-32999635.109999999</v>
      </c>
      <c r="H625" s="50">
        <v>0</v>
      </c>
      <c r="I625" s="31">
        <f t="shared" si="110"/>
        <v>-6153.74</v>
      </c>
      <c r="J625" s="50">
        <v>0</v>
      </c>
      <c r="K625" s="31">
        <f t="shared" si="111"/>
        <v>0</v>
      </c>
      <c r="L625" s="50">
        <v>0</v>
      </c>
      <c r="M625" s="31">
        <f t="shared" si="112"/>
        <v>0</v>
      </c>
      <c r="N625" s="50">
        <v>0</v>
      </c>
      <c r="O625" s="31">
        <f t="shared" si="113"/>
        <v>0</v>
      </c>
      <c r="P625" s="51" t="s">
        <v>880</v>
      </c>
      <c r="Q625" s="51"/>
      <c r="R625" s="765"/>
      <c r="S625" s="765"/>
      <c r="T625" s="765"/>
      <c r="U625" s="765"/>
      <c r="V625" s="765"/>
      <c r="W625" s="765"/>
    </row>
    <row r="626" spans="1:23" x14ac:dyDescent="0.25">
      <c r="A626" s="10">
        <v>44180</v>
      </c>
      <c r="B626" s="50">
        <v>-1009152.02</v>
      </c>
      <c r="C626" s="31">
        <f t="shared" si="107"/>
        <v>-10460970.810000001</v>
      </c>
      <c r="D626" s="50">
        <v>0</v>
      </c>
      <c r="E626" s="31">
        <f t="shared" si="108"/>
        <v>-2887578.52</v>
      </c>
      <c r="F626" s="900">
        <v>0</v>
      </c>
      <c r="G626" s="899">
        <f t="shared" si="109"/>
        <v>-32999635.109999999</v>
      </c>
      <c r="H626" s="50">
        <v>0</v>
      </c>
      <c r="I626" s="31">
        <f t="shared" si="110"/>
        <v>-6153.74</v>
      </c>
      <c r="J626" s="50">
        <v>0</v>
      </c>
      <c r="K626" s="31">
        <f t="shared" si="111"/>
        <v>0</v>
      </c>
      <c r="L626" s="50">
        <v>0</v>
      </c>
      <c r="M626" s="31">
        <f t="shared" si="112"/>
        <v>0</v>
      </c>
      <c r="N626" s="50">
        <v>0</v>
      </c>
      <c r="O626" s="31">
        <f t="shared" si="113"/>
        <v>0</v>
      </c>
      <c r="P626" s="51" t="s">
        <v>880</v>
      </c>
      <c r="Q626" s="51"/>
      <c r="R626" s="765"/>
      <c r="S626" s="765"/>
      <c r="T626" s="765"/>
      <c r="U626" s="765"/>
      <c r="V626" s="765"/>
      <c r="W626" s="765"/>
    </row>
    <row r="627" spans="1:23" x14ac:dyDescent="0.25">
      <c r="A627" s="10">
        <v>44180</v>
      </c>
      <c r="B627" s="50">
        <v>0</v>
      </c>
      <c r="C627" s="31">
        <f t="shared" si="107"/>
        <v>-10460970.810000001</v>
      </c>
      <c r="D627" s="50">
        <v>0</v>
      </c>
      <c r="E627" s="31">
        <f t="shared" si="108"/>
        <v>-2887578.52</v>
      </c>
      <c r="F627" s="900">
        <v>33000000</v>
      </c>
      <c r="G627" s="899">
        <f t="shared" si="109"/>
        <v>364.89</v>
      </c>
      <c r="H627" s="50">
        <v>0</v>
      </c>
      <c r="I627" s="31">
        <f t="shared" si="110"/>
        <v>-6153.74</v>
      </c>
      <c r="J627" s="50">
        <v>0</v>
      </c>
      <c r="K627" s="31">
        <f t="shared" si="111"/>
        <v>0</v>
      </c>
      <c r="L627" s="50">
        <v>0</v>
      </c>
      <c r="M627" s="31">
        <f t="shared" si="112"/>
        <v>0</v>
      </c>
      <c r="N627" s="50">
        <v>0</v>
      </c>
      <c r="O627" s="31">
        <f t="shared" si="113"/>
        <v>0</v>
      </c>
      <c r="P627" s="51" t="s">
        <v>2351</v>
      </c>
      <c r="Q627" s="51"/>
      <c r="R627" s="765"/>
      <c r="S627" s="765"/>
      <c r="T627" s="765"/>
      <c r="U627" s="765"/>
      <c r="V627" s="765"/>
      <c r="W627" s="765"/>
    </row>
    <row r="628" spans="1:23" x14ac:dyDescent="0.25">
      <c r="A628" s="10">
        <v>44180</v>
      </c>
      <c r="B628" s="50">
        <v>0</v>
      </c>
      <c r="C628" s="31">
        <f t="shared" si="107"/>
        <v>-10460970.810000001</v>
      </c>
      <c r="D628" s="50">
        <v>59244.791666666664</v>
      </c>
      <c r="E628" s="31">
        <f t="shared" si="108"/>
        <v>-2828333.73</v>
      </c>
      <c r="F628" s="900">
        <v>0</v>
      </c>
      <c r="G628" s="899">
        <f t="shared" si="109"/>
        <v>364.89</v>
      </c>
      <c r="H628" s="50">
        <v>0</v>
      </c>
      <c r="I628" s="31">
        <f t="shared" si="110"/>
        <v>-6153.74</v>
      </c>
      <c r="J628" s="50">
        <v>0</v>
      </c>
      <c r="K628" s="31">
        <f t="shared" si="111"/>
        <v>0</v>
      </c>
      <c r="L628" s="50">
        <v>0</v>
      </c>
      <c r="M628" s="31">
        <f t="shared" si="112"/>
        <v>0</v>
      </c>
      <c r="N628" s="50">
        <v>0</v>
      </c>
      <c r="O628" s="31">
        <f t="shared" si="113"/>
        <v>0</v>
      </c>
      <c r="P628" s="51" t="s">
        <v>2352</v>
      </c>
      <c r="Q628" s="51"/>
      <c r="R628" s="765"/>
      <c r="S628" s="765"/>
      <c r="T628" s="765"/>
      <c r="U628" s="765"/>
      <c r="V628" s="765"/>
      <c r="W628" s="765"/>
    </row>
    <row r="629" spans="1:23" x14ac:dyDescent="0.25">
      <c r="A629" s="10">
        <v>44180</v>
      </c>
      <c r="B629" s="50">
        <v>0</v>
      </c>
      <c r="C629" s="31">
        <f t="shared" si="107"/>
        <v>-10460970.810000001</v>
      </c>
      <c r="D629" s="50">
        <v>331.77083333333337</v>
      </c>
      <c r="E629" s="31">
        <f t="shared" si="108"/>
        <v>-2828001.96</v>
      </c>
      <c r="F629" s="900">
        <v>0</v>
      </c>
      <c r="G629" s="899">
        <f t="shared" si="109"/>
        <v>364.89</v>
      </c>
      <c r="H629" s="50">
        <v>0</v>
      </c>
      <c r="I629" s="31">
        <f t="shared" si="110"/>
        <v>-6153.74</v>
      </c>
      <c r="J629" s="50">
        <v>0</v>
      </c>
      <c r="K629" s="31">
        <f t="shared" si="111"/>
        <v>0</v>
      </c>
      <c r="L629" s="50">
        <v>0</v>
      </c>
      <c r="M629" s="31">
        <f t="shared" si="112"/>
        <v>0</v>
      </c>
      <c r="N629" s="50">
        <v>0</v>
      </c>
      <c r="O629" s="31">
        <f t="shared" si="113"/>
        <v>0</v>
      </c>
      <c r="P629" s="51" t="s">
        <v>2353</v>
      </c>
      <c r="Q629" s="51"/>
      <c r="R629" s="765"/>
      <c r="S629" s="765"/>
      <c r="T629" s="765"/>
      <c r="U629" s="765"/>
      <c r="V629" s="765"/>
      <c r="W629" s="765"/>
    </row>
    <row r="630" spans="1:23" x14ac:dyDescent="0.25">
      <c r="A630" s="10">
        <v>44180</v>
      </c>
      <c r="B630" s="50">
        <v>0</v>
      </c>
      <c r="C630" s="31">
        <f t="shared" si="107"/>
        <v>-10460970.810000001</v>
      </c>
      <c r="D630" s="50">
        <v>818.30903079569202</v>
      </c>
      <c r="E630" s="31">
        <f t="shared" si="108"/>
        <v>-2827183.65</v>
      </c>
      <c r="F630" s="900">
        <v>0</v>
      </c>
      <c r="G630" s="899">
        <f t="shared" si="109"/>
        <v>364.89</v>
      </c>
      <c r="H630" s="50">
        <v>0</v>
      </c>
      <c r="I630" s="31">
        <f t="shared" si="110"/>
        <v>-6153.74</v>
      </c>
      <c r="J630" s="50">
        <v>0</v>
      </c>
      <c r="K630" s="31">
        <f t="shared" si="111"/>
        <v>0</v>
      </c>
      <c r="L630" s="50">
        <v>0</v>
      </c>
      <c r="M630" s="31">
        <f t="shared" si="112"/>
        <v>0</v>
      </c>
      <c r="N630" s="50">
        <v>0</v>
      </c>
      <c r="O630" s="31">
        <f t="shared" si="113"/>
        <v>0</v>
      </c>
      <c r="P630" s="51" t="s">
        <v>2354</v>
      </c>
      <c r="Q630" s="51"/>
      <c r="R630" s="765"/>
      <c r="S630" s="765"/>
      <c r="T630" s="765"/>
      <c r="U630" s="765"/>
      <c r="V630" s="765"/>
      <c r="W630" s="765"/>
    </row>
    <row r="631" spans="1:23" x14ac:dyDescent="0.25">
      <c r="A631" s="10">
        <v>44180</v>
      </c>
      <c r="B631" s="50">
        <v>0</v>
      </c>
      <c r="C631" s="31">
        <f t="shared" si="107"/>
        <v>-10460970.810000001</v>
      </c>
      <c r="D631" s="50">
        <v>10161.666666666668</v>
      </c>
      <c r="E631" s="31">
        <f t="shared" si="108"/>
        <v>-2817021.98</v>
      </c>
      <c r="F631" s="900">
        <v>0</v>
      </c>
      <c r="G631" s="899">
        <f t="shared" si="109"/>
        <v>364.89</v>
      </c>
      <c r="H631" s="50">
        <v>0</v>
      </c>
      <c r="I631" s="31">
        <f t="shared" si="110"/>
        <v>-6153.74</v>
      </c>
      <c r="J631" s="50">
        <v>0</v>
      </c>
      <c r="K631" s="31">
        <f t="shared" si="111"/>
        <v>0</v>
      </c>
      <c r="L631" s="50">
        <v>0</v>
      </c>
      <c r="M631" s="31">
        <f t="shared" si="112"/>
        <v>0</v>
      </c>
      <c r="N631" s="50">
        <v>0</v>
      </c>
      <c r="O631" s="31">
        <f t="shared" si="113"/>
        <v>0</v>
      </c>
      <c r="P631" s="51" t="s">
        <v>2355</v>
      </c>
      <c r="Q631" s="51"/>
      <c r="R631" s="765"/>
      <c r="S631" s="765"/>
      <c r="T631" s="765"/>
      <c r="U631" s="765"/>
      <c r="V631" s="765"/>
      <c r="W631" s="765"/>
    </row>
    <row r="632" spans="1:23" x14ac:dyDescent="0.25">
      <c r="A632" s="10">
        <v>44180</v>
      </c>
      <c r="B632" s="50">
        <v>0</v>
      </c>
      <c r="C632" s="31">
        <f t="shared" si="107"/>
        <v>-10460970.810000001</v>
      </c>
      <c r="D632" s="50">
        <v>0</v>
      </c>
      <c r="E632" s="31">
        <f t="shared" si="108"/>
        <v>-2817021.98</v>
      </c>
      <c r="F632" s="900">
        <v>22370.833333333336</v>
      </c>
      <c r="G632" s="899">
        <f t="shared" si="109"/>
        <v>22735.72</v>
      </c>
      <c r="H632" s="50">
        <v>0</v>
      </c>
      <c r="I632" s="31">
        <f t="shared" si="110"/>
        <v>-6153.74</v>
      </c>
      <c r="J632" s="50">
        <v>0</v>
      </c>
      <c r="K632" s="31">
        <f t="shared" si="111"/>
        <v>0</v>
      </c>
      <c r="L632" s="50">
        <v>0</v>
      </c>
      <c r="M632" s="31">
        <f t="shared" si="112"/>
        <v>0</v>
      </c>
      <c r="N632" s="50">
        <v>0</v>
      </c>
      <c r="O632" s="31">
        <f t="shared" si="113"/>
        <v>0</v>
      </c>
      <c r="P632" s="51" t="s">
        <v>2356</v>
      </c>
      <c r="Q632" s="51"/>
      <c r="R632" s="765"/>
      <c r="S632" s="765"/>
      <c r="T632" s="765"/>
      <c r="U632" s="765"/>
      <c r="V632" s="765"/>
      <c r="W632" s="765"/>
    </row>
    <row r="633" spans="1:23" x14ac:dyDescent="0.25">
      <c r="A633" s="10">
        <v>44180</v>
      </c>
      <c r="B633" s="50">
        <v>0</v>
      </c>
      <c r="C633" s="31">
        <f t="shared" si="107"/>
        <v>-10460970.810000001</v>
      </c>
      <c r="D633" s="50">
        <v>208638.43999999977</v>
      </c>
      <c r="E633" s="31">
        <f t="shared" si="108"/>
        <v>-2608383.54</v>
      </c>
      <c r="F633" s="900">
        <v>0</v>
      </c>
      <c r="G633" s="899">
        <f t="shared" si="109"/>
        <v>22735.72</v>
      </c>
      <c r="H633" s="50">
        <v>6153.74</v>
      </c>
      <c r="I633" s="31">
        <f t="shared" si="110"/>
        <v>0</v>
      </c>
      <c r="J633" s="50">
        <v>0</v>
      </c>
      <c r="K633" s="31">
        <f t="shared" si="111"/>
        <v>0</v>
      </c>
      <c r="L633" s="50">
        <v>0</v>
      </c>
      <c r="M633" s="31">
        <f t="shared" si="112"/>
        <v>0</v>
      </c>
      <c r="N633" s="50">
        <v>0</v>
      </c>
      <c r="O633" s="31">
        <f t="shared" si="113"/>
        <v>0</v>
      </c>
      <c r="P633" s="51" t="s">
        <v>845</v>
      </c>
      <c r="Q633" s="51"/>
      <c r="R633" s="765"/>
      <c r="S633" s="765"/>
      <c r="T633" s="765"/>
      <c r="U633" s="765"/>
      <c r="V633" s="765"/>
      <c r="W633" s="765"/>
    </row>
    <row r="634" spans="1:23" x14ac:dyDescent="0.25">
      <c r="A634" s="10">
        <v>44181</v>
      </c>
      <c r="B634" s="594">
        <v>0</v>
      </c>
      <c r="C634" s="31">
        <f t="shared" si="107"/>
        <v>-10460970.810000001</v>
      </c>
      <c r="D634" s="50">
        <v>1899460.5</v>
      </c>
      <c r="E634" s="31">
        <f t="shared" si="108"/>
        <v>-708923.04</v>
      </c>
      <c r="F634" s="900">
        <v>0</v>
      </c>
      <c r="G634" s="899">
        <f t="shared" si="109"/>
        <v>22735.72</v>
      </c>
      <c r="H634" s="50">
        <v>0</v>
      </c>
      <c r="I634" s="31">
        <f t="shared" si="110"/>
        <v>0</v>
      </c>
      <c r="J634" s="50">
        <v>0</v>
      </c>
      <c r="K634" s="31">
        <f t="shared" si="111"/>
        <v>0</v>
      </c>
      <c r="L634" s="50">
        <v>0</v>
      </c>
      <c r="M634" s="31">
        <f t="shared" si="112"/>
        <v>0</v>
      </c>
      <c r="N634" s="50">
        <v>0</v>
      </c>
      <c r="O634" s="31">
        <f t="shared" si="113"/>
        <v>0</v>
      </c>
      <c r="P634" s="51" t="s">
        <v>2359</v>
      </c>
      <c r="Q634" s="51"/>
      <c r="R634" s="765"/>
      <c r="S634" s="765"/>
      <c r="T634" s="765"/>
      <c r="U634" s="765"/>
      <c r="V634" s="765"/>
      <c r="W634" s="765"/>
    </row>
    <row r="635" spans="1:23" x14ac:dyDescent="0.25">
      <c r="A635" s="10">
        <v>44181</v>
      </c>
      <c r="B635" s="594">
        <v>0</v>
      </c>
      <c r="C635" s="31">
        <f t="shared" si="107"/>
        <v>-10460970.810000001</v>
      </c>
      <c r="D635" s="50">
        <v>1009152.02</v>
      </c>
      <c r="E635" s="31">
        <f t="shared" si="108"/>
        <v>300228.98</v>
      </c>
      <c r="F635" s="900">
        <v>0</v>
      </c>
      <c r="G635" s="899">
        <f t="shared" si="109"/>
        <v>22735.72</v>
      </c>
      <c r="H635" s="50">
        <v>0</v>
      </c>
      <c r="I635" s="31">
        <f t="shared" si="110"/>
        <v>0</v>
      </c>
      <c r="J635" s="50">
        <v>0</v>
      </c>
      <c r="K635" s="31">
        <f t="shared" si="111"/>
        <v>0</v>
      </c>
      <c r="L635" s="50">
        <v>0</v>
      </c>
      <c r="M635" s="31">
        <f t="shared" si="112"/>
        <v>0</v>
      </c>
      <c r="N635" s="50">
        <v>0</v>
      </c>
      <c r="O635" s="31">
        <f t="shared" si="113"/>
        <v>0</v>
      </c>
      <c r="P635" s="51" t="s">
        <v>2360</v>
      </c>
      <c r="Q635" s="51"/>
      <c r="R635" s="765"/>
      <c r="S635" s="765"/>
      <c r="T635" s="765"/>
      <c r="U635" s="765"/>
      <c r="V635" s="765"/>
      <c r="W635" s="765"/>
    </row>
    <row r="636" spans="1:23" x14ac:dyDescent="0.25">
      <c r="A636" s="10">
        <v>44181</v>
      </c>
      <c r="B636" s="594">
        <v>0</v>
      </c>
      <c r="C636" s="31">
        <f t="shared" ref="C636:C699" si="114">ROUND(B636+C635,2)</f>
        <v>-10460970.810000001</v>
      </c>
      <c r="D636" s="50">
        <f>-20288.7</f>
        <v>-20288.7</v>
      </c>
      <c r="E636" s="31">
        <f t="shared" ref="E636:E699" si="115">ROUND(D636+E635,2)</f>
        <v>279940.28000000003</v>
      </c>
      <c r="F636" s="900">
        <v>0</v>
      </c>
      <c r="G636" s="899">
        <f t="shared" ref="G636:G699" si="116">ROUND(F636+G635,2)</f>
        <v>22735.72</v>
      </c>
      <c r="H636" s="50">
        <v>20288.7</v>
      </c>
      <c r="I636" s="31">
        <f t="shared" ref="I636:I699" si="117">ROUND(H636+I635,2)</f>
        <v>20288.7</v>
      </c>
      <c r="J636" s="50">
        <v>0</v>
      </c>
      <c r="K636" s="31">
        <f t="shared" ref="K636:K699" si="118">ROUND(J636+K635,2)</f>
        <v>0</v>
      </c>
      <c r="L636" s="50">
        <v>0</v>
      </c>
      <c r="M636" s="31">
        <f t="shared" ref="M636:M699" si="119">ROUND(L636+M635,2)</f>
        <v>0</v>
      </c>
      <c r="N636" s="50">
        <v>0</v>
      </c>
      <c r="O636" s="31">
        <f t="shared" ref="O636:O699" si="120">ROUND(N636+O635,2)</f>
        <v>0</v>
      </c>
      <c r="P636" s="51" t="s">
        <v>1155</v>
      </c>
      <c r="Q636" s="51"/>
      <c r="R636" s="765"/>
      <c r="S636" s="765"/>
      <c r="T636" s="765"/>
      <c r="U636" s="765"/>
      <c r="V636" s="765"/>
      <c r="W636" s="765"/>
    </row>
    <row r="637" spans="1:23" x14ac:dyDescent="0.25">
      <c r="A637" s="10">
        <v>44181</v>
      </c>
      <c r="B637" s="594">
        <v>0</v>
      </c>
      <c r="C637" s="31">
        <f t="shared" si="114"/>
        <v>-10460970.810000001</v>
      </c>
      <c r="D637" s="50">
        <v>-102029.19</v>
      </c>
      <c r="E637" s="31">
        <f t="shared" si="115"/>
        <v>177911.09</v>
      </c>
      <c r="F637" s="900">
        <v>0</v>
      </c>
      <c r="G637" s="899">
        <f t="shared" si="116"/>
        <v>22735.72</v>
      </c>
      <c r="H637" s="50">
        <v>0</v>
      </c>
      <c r="I637" s="31">
        <f t="shared" si="117"/>
        <v>20288.7</v>
      </c>
      <c r="J637" s="50">
        <v>0</v>
      </c>
      <c r="K637" s="31">
        <f t="shared" si="118"/>
        <v>0</v>
      </c>
      <c r="L637" s="50">
        <v>102029.19</v>
      </c>
      <c r="M637" s="31">
        <f t="shared" si="119"/>
        <v>102029.19</v>
      </c>
      <c r="N637" s="50">
        <v>0</v>
      </c>
      <c r="O637" s="31">
        <f t="shared" si="120"/>
        <v>0</v>
      </c>
      <c r="P637" s="51" t="s">
        <v>1156</v>
      </c>
      <c r="Q637" s="51"/>
      <c r="R637" s="765"/>
      <c r="S637" s="765"/>
      <c r="T637" s="765"/>
      <c r="U637" s="765"/>
      <c r="V637" s="765"/>
      <c r="W637" s="765"/>
    </row>
    <row r="638" spans="1:23" x14ac:dyDescent="0.25">
      <c r="A638" s="10">
        <v>44181</v>
      </c>
      <c r="B638" s="594">
        <v>0</v>
      </c>
      <c r="C638" s="31">
        <f t="shared" si="114"/>
        <v>-10460970.810000001</v>
      </c>
      <c r="D638" s="50">
        <f>-177971.09+184618.02</f>
        <v>6646.929999999993</v>
      </c>
      <c r="E638" s="31">
        <f t="shared" si="115"/>
        <v>184558.02</v>
      </c>
      <c r="F638" s="900">
        <v>0</v>
      </c>
      <c r="G638" s="899">
        <f t="shared" si="116"/>
        <v>22735.72</v>
      </c>
      <c r="H638" s="50">
        <v>-20288.7</v>
      </c>
      <c r="I638" s="31">
        <f t="shared" si="117"/>
        <v>0</v>
      </c>
      <c r="J638" s="50">
        <v>0</v>
      </c>
      <c r="K638" s="31">
        <f t="shared" si="118"/>
        <v>0</v>
      </c>
      <c r="L638" s="50">
        <v>-102029.19</v>
      </c>
      <c r="M638" s="31">
        <f t="shared" si="119"/>
        <v>0</v>
      </c>
      <c r="N638" s="50">
        <v>0</v>
      </c>
      <c r="O638" s="31">
        <f t="shared" si="120"/>
        <v>0</v>
      </c>
      <c r="P638" s="51" t="s">
        <v>845</v>
      </c>
      <c r="Q638" s="51"/>
      <c r="R638" s="765"/>
      <c r="S638" s="765"/>
      <c r="T638" s="765"/>
      <c r="U638" s="765"/>
      <c r="V638" s="765"/>
      <c r="W638" s="765"/>
    </row>
    <row r="639" spans="1:23" x14ac:dyDescent="0.25">
      <c r="A639" s="10">
        <v>44182</v>
      </c>
      <c r="B639" s="594">
        <v>0</v>
      </c>
      <c r="C639" s="31">
        <f t="shared" si="114"/>
        <v>-10460970.810000001</v>
      </c>
      <c r="D639" s="50">
        <v>-76805765.131111115</v>
      </c>
      <c r="E639" s="31">
        <f t="shared" si="115"/>
        <v>-76621207.109999999</v>
      </c>
      <c r="F639" s="900">
        <v>0</v>
      </c>
      <c r="G639" s="899">
        <f t="shared" si="116"/>
        <v>22735.72</v>
      </c>
      <c r="H639" s="50">
        <v>0</v>
      </c>
      <c r="I639" s="31">
        <f t="shared" si="117"/>
        <v>0</v>
      </c>
      <c r="J639" s="50">
        <v>0</v>
      </c>
      <c r="K639" s="31">
        <f t="shared" si="118"/>
        <v>0</v>
      </c>
      <c r="L639" s="50">
        <v>0</v>
      </c>
      <c r="M639" s="31">
        <f t="shared" si="119"/>
        <v>0</v>
      </c>
      <c r="N639" s="50">
        <v>0</v>
      </c>
      <c r="O639" s="31">
        <f t="shared" si="120"/>
        <v>0</v>
      </c>
      <c r="P639" s="51" t="s">
        <v>2045</v>
      </c>
      <c r="Q639" s="51"/>
      <c r="R639" s="765"/>
      <c r="S639" s="765"/>
      <c r="T639" s="765"/>
      <c r="U639" s="765"/>
      <c r="V639" s="765"/>
      <c r="W639" s="765"/>
    </row>
    <row r="640" spans="1:23" x14ac:dyDescent="0.25">
      <c r="A640" s="10">
        <v>44182</v>
      </c>
      <c r="B640" s="594">
        <v>0</v>
      </c>
      <c r="C640" s="31">
        <f t="shared" si="114"/>
        <v>-10460970.810000001</v>
      </c>
      <c r="D640" s="50">
        <v>76977138</v>
      </c>
      <c r="E640" s="31">
        <f t="shared" si="115"/>
        <v>355930.89</v>
      </c>
      <c r="F640" s="900">
        <v>0</v>
      </c>
      <c r="G640" s="899">
        <f t="shared" si="116"/>
        <v>22735.72</v>
      </c>
      <c r="H640" s="50">
        <v>0</v>
      </c>
      <c r="I640" s="31">
        <f t="shared" si="117"/>
        <v>0</v>
      </c>
      <c r="J640" s="50">
        <v>0</v>
      </c>
      <c r="K640" s="31">
        <f t="shared" si="118"/>
        <v>0</v>
      </c>
      <c r="L640" s="50">
        <v>0</v>
      </c>
      <c r="M640" s="31">
        <f t="shared" si="119"/>
        <v>0</v>
      </c>
      <c r="N640" s="50">
        <v>0</v>
      </c>
      <c r="O640" s="31">
        <f t="shared" si="120"/>
        <v>0</v>
      </c>
      <c r="P640" s="51" t="s">
        <v>2046</v>
      </c>
      <c r="Q640" s="51"/>
      <c r="R640" s="765"/>
      <c r="S640" s="765"/>
      <c r="T640" s="765"/>
      <c r="U640" s="765"/>
      <c r="V640" s="765"/>
      <c r="W640" s="765"/>
    </row>
    <row r="641" spans="1:23" x14ac:dyDescent="0.25">
      <c r="A641" s="10">
        <v>44182</v>
      </c>
      <c r="B641" s="594">
        <v>0</v>
      </c>
      <c r="C641" s="31">
        <f t="shared" si="114"/>
        <v>-10460970.810000001</v>
      </c>
      <c r="D641" s="50">
        <v>30000</v>
      </c>
      <c r="E641" s="31">
        <f t="shared" si="115"/>
        <v>385930.89</v>
      </c>
      <c r="F641" s="900">
        <v>0</v>
      </c>
      <c r="G641" s="899">
        <f t="shared" si="116"/>
        <v>22735.72</v>
      </c>
      <c r="H641" s="50">
        <v>0</v>
      </c>
      <c r="I641" s="31">
        <f t="shared" si="117"/>
        <v>0</v>
      </c>
      <c r="J641" s="50">
        <v>0</v>
      </c>
      <c r="K641" s="31">
        <f t="shared" si="118"/>
        <v>0</v>
      </c>
      <c r="L641" s="50">
        <v>0</v>
      </c>
      <c r="M641" s="31">
        <f t="shared" si="119"/>
        <v>0</v>
      </c>
      <c r="N641" s="50">
        <v>0</v>
      </c>
      <c r="O641" s="31">
        <f t="shared" si="120"/>
        <v>0</v>
      </c>
      <c r="P641" s="51" t="s">
        <v>2368</v>
      </c>
      <c r="Q641" s="51"/>
      <c r="R641" s="765"/>
      <c r="S641" s="765"/>
      <c r="T641" s="765"/>
      <c r="U641" s="765"/>
      <c r="V641" s="765"/>
      <c r="W641" s="765"/>
    </row>
    <row r="642" spans="1:23" x14ac:dyDescent="0.25">
      <c r="A642" s="10">
        <v>44182</v>
      </c>
      <c r="B642" s="594">
        <v>0</v>
      </c>
      <c r="C642" s="31">
        <f t="shared" si="114"/>
        <v>-10460970.810000001</v>
      </c>
      <c r="D642" s="50">
        <v>0</v>
      </c>
      <c r="E642" s="31">
        <f t="shared" si="115"/>
        <v>385930.89</v>
      </c>
      <c r="F642" s="900">
        <v>0</v>
      </c>
      <c r="G642" s="899">
        <f t="shared" si="116"/>
        <v>22735.72</v>
      </c>
      <c r="H642" s="50">
        <v>0</v>
      </c>
      <c r="I642" s="31">
        <f t="shared" si="117"/>
        <v>0</v>
      </c>
      <c r="J642" s="50">
        <v>0</v>
      </c>
      <c r="K642" s="31">
        <f t="shared" si="118"/>
        <v>0</v>
      </c>
      <c r="L642" s="50">
        <v>-102029.186111111</v>
      </c>
      <c r="M642" s="31">
        <f t="shared" si="119"/>
        <v>-102029.19</v>
      </c>
      <c r="N642" s="50">
        <v>0</v>
      </c>
      <c r="O642" s="31">
        <f t="shared" si="120"/>
        <v>0</v>
      </c>
      <c r="P642" s="51" t="s">
        <v>2369</v>
      </c>
      <c r="Q642" s="51"/>
      <c r="R642" s="765"/>
      <c r="S642" s="765"/>
      <c r="T642" s="765"/>
      <c r="U642" s="765"/>
      <c r="V642" s="765"/>
      <c r="W642" s="765"/>
    </row>
    <row r="643" spans="1:23" x14ac:dyDescent="0.25">
      <c r="A643" s="10">
        <v>44182</v>
      </c>
      <c r="B643" s="594">
        <v>0</v>
      </c>
      <c r="C643" s="31">
        <f t="shared" si="114"/>
        <v>-10460970.810000001</v>
      </c>
      <c r="D643" s="50">
        <v>-271929.09999999998</v>
      </c>
      <c r="E643" s="31">
        <f t="shared" si="115"/>
        <v>114001.79</v>
      </c>
      <c r="F643" s="900">
        <v>0</v>
      </c>
      <c r="G643" s="899">
        <f t="shared" si="116"/>
        <v>22735.72</v>
      </c>
      <c r="H643" s="50">
        <v>0</v>
      </c>
      <c r="I643" s="31">
        <f t="shared" si="117"/>
        <v>0</v>
      </c>
      <c r="J643" s="50">
        <v>0</v>
      </c>
      <c r="K643" s="31">
        <f t="shared" si="118"/>
        <v>0</v>
      </c>
      <c r="L643" s="50">
        <v>102029.19</v>
      </c>
      <c r="M643" s="31">
        <f t="shared" si="119"/>
        <v>0</v>
      </c>
      <c r="N643" s="50">
        <v>0</v>
      </c>
      <c r="O643" s="31">
        <f t="shared" si="120"/>
        <v>0</v>
      </c>
      <c r="P643" s="51" t="s">
        <v>845</v>
      </c>
      <c r="Q643" s="51"/>
      <c r="R643" s="765"/>
      <c r="S643" s="765"/>
      <c r="T643" s="765"/>
      <c r="U643" s="765"/>
      <c r="V643" s="765"/>
      <c r="W643" s="765"/>
    </row>
    <row r="644" spans="1:23" x14ac:dyDescent="0.25">
      <c r="A644" s="10">
        <v>44182</v>
      </c>
      <c r="B644" s="594">
        <v>0</v>
      </c>
      <c r="C644" s="31">
        <f t="shared" si="114"/>
        <v>-10460970.810000001</v>
      </c>
      <c r="D644" s="50">
        <v>-6500</v>
      </c>
      <c r="E644" s="31">
        <f t="shared" si="115"/>
        <v>107501.79</v>
      </c>
      <c r="F644" s="900">
        <v>0</v>
      </c>
      <c r="G644" s="899">
        <f t="shared" si="116"/>
        <v>22735.72</v>
      </c>
      <c r="H644" s="50">
        <v>0</v>
      </c>
      <c r="I644" s="31">
        <f t="shared" si="117"/>
        <v>0</v>
      </c>
      <c r="J644" s="50">
        <v>0</v>
      </c>
      <c r="K644" s="31">
        <f t="shared" si="118"/>
        <v>0</v>
      </c>
      <c r="L644" s="50">
        <v>0</v>
      </c>
      <c r="M644" s="31">
        <f t="shared" si="119"/>
        <v>0</v>
      </c>
      <c r="N644" s="50">
        <v>0</v>
      </c>
      <c r="O644" s="31">
        <f t="shared" si="120"/>
        <v>0</v>
      </c>
      <c r="P644" s="51" t="s">
        <v>2371</v>
      </c>
      <c r="Q644" s="51"/>
      <c r="R644" s="765"/>
      <c r="S644" s="765"/>
      <c r="T644" s="765"/>
      <c r="U644" s="765"/>
      <c r="V644" s="765"/>
      <c r="W644" s="765"/>
    </row>
    <row r="645" spans="1:23" x14ac:dyDescent="0.25">
      <c r="A645" s="10">
        <v>44187</v>
      </c>
      <c r="B645" s="594">
        <v>0</v>
      </c>
      <c r="C645" s="31">
        <f t="shared" si="114"/>
        <v>-10460970.810000001</v>
      </c>
      <c r="D645" s="50">
        <v>-20000</v>
      </c>
      <c r="E645" s="31">
        <f t="shared" si="115"/>
        <v>87501.79</v>
      </c>
      <c r="F645" s="900">
        <v>0</v>
      </c>
      <c r="G645" s="899">
        <f t="shared" si="116"/>
        <v>22735.72</v>
      </c>
      <c r="H645" s="50">
        <v>0</v>
      </c>
      <c r="I645" s="31">
        <f t="shared" si="117"/>
        <v>0</v>
      </c>
      <c r="J645" s="50">
        <v>0</v>
      </c>
      <c r="K645" s="31">
        <f t="shared" si="118"/>
        <v>0</v>
      </c>
      <c r="L645" s="50">
        <v>20000</v>
      </c>
      <c r="M645" s="31">
        <f t="shared" si="119"/>
        <v>20000</v>
      </c>
      <c r="N645" s="50">
        <v>0</v>
      </c>
      <c r="O645" s="31">
        <f t="shared" si="120"/>
        <v>0</v>
      </c>
      <c r="P645" s="51" t="s">
        <v>2384</v>
      </c>
      <c r="Q645" s="51"/>
      <c r="R645" s="765"/>
      <c r="S645" s="765"/>
      <c r="T645" s="765"/>
      <c r="U645" s="765"/>
      <c r="V645" s="765"/>
      <c r="W645" s="765"/>
    </row>
    <row r="646" spans="1:23" x14ac:dyDescent="0.25">
      <c r="A646" s="10">
        <v>44187</v>
      </c>
      <c r="B646" s="594">
        <v>0</v>
      </c>
      <c r="C646" s="31">
        <f t="shared" si="114"/>
        <v>-10460970.810000001</v>
      </c>
      <c r="D646" s="50">
        <v>0</v>
      </c>
      <c r="E646" s="31">
        <f t="shared" si="115"/>
        <v>87501.79</v>
      </c>
      <c r="F646" s="900">
        <v>0</v>
      </c>
      <c r="G646" s="899">
        <f t="shared" si="116"/>
        <v>22735.72</v>
      </c>
      <c r="H646" s="50">
        <v>0</v>
      </c>
      <c r="I646" s="31">
        <f t="shared" si="117"/>
        <v>0</v>
      </c>
      <c r="J646" s="50">
        <v>0</v>
      </c>
      <c r="K646" s="31">
        <f t="shared" si="118"/>
        <v>0</v>
      </c>
      <c r="L646" s="50">
        <v>-20000</v>
      </c>
      <c r="M646" s="31">
        <f t="shared" si="119"/>
        <v>0</v>
      </c>
      <c r="N646" s="50">
        <v>0</v>
      </c>
      <c r="O646" s="31">
        <f t="shared" si="120"/>
        <v>0</v>
      </c>
      <c r="P646" s="51" t="s">
        <v>2385</v>
      </c>
      <c r="Q646" s="51"/>
      <c r="R646" s="765"/>
      <c r="S646" s="765"/>
      <c r="T646" s="765"/>
      <c r="U646" s="765"/>
      <c r="V646" s="765"/>
      <c r="W646" s="765"/>
    </row>
    <row r="647" spans="1:23" x14ac:dyDescent="0.25">
      <c r="A647" s="10">
        <v>44187</v>
      </c>
      <c r="B647" s="594">
        <v>0</v>
      </c>
      <c r="C647" s="31">
        <f t="shared" si="114"/>
        <v>-10460970.810000001</v>
      </c>
      <c r="D647" s="50">
        <v>5.21</v>
      </c>
      <c r="E647" s="31">
        <f t="shared" si="115"/>
        <v>87507</v>
      </c>
      <c r="F647" s="900">
        <v>0</v>
      </c>
      <c r="G647" s="899">
        <f t="shared" si="116"/>
        <v>22735.72</v>
      </c>
      <c r="H647" s="50">
        <v>0</v>
      </c>
      <c r="I647" s="31">
        <f t="shared" si="117"/>
        <v>0</v>
      </c>
      <c r="J647" s="50">
        <v>0</v>
      </c>
      <c r="K647" s="31">
        <f t="shared" si="118"/>
        <v>0</v>
      </c>
      <c r="L647" s="50">
        <v>0</v>
      </c>
      <c r="M647" s="31">
        <f t="shared" si="119"/>
        <v>0</v>
      </c>
      <c r="N647" s="50">
        <v>0</v>
      </c>
      <c r="O647" s="31">
        <f t="shared" si="120"/>
        <v>0</v>
      </c>
      <c r="P647" s="51" t="s">
        <v>859</v>
      </c>
      <c r="Q647" s="51"/>
      <c r="R647" s="765"/>
      <c r="S647" s="765"/>
      <c r="T647" s="765"/>
      <c r="U647" s="765"/>
      <c r="V647" s="765"/>
      <c r="W647" s="765"/>
    </row>
    <row r="648" spans="1:23" x14ac:dyDescent="0.25">
      <c r="A648" s="10">
        <v>44187</v>
      </c>
      <c r="B648" s="594">
        <v>0</v>
      </c>
      <c r="C648" s="31">
        <f t="shared" si="114"/>
        <v>-10460970.810000001</v>
      </c>
      <c r="D648" s="50">
        <v>-94007</v>
      </c>
      <c r="E648" s="31">
        <f t="shared" si="115"/>
        <v>-6500</v>
      </c>
      <c r="F648" s="900">
        <v>0</v>
      </c>
      <c r="G648" s="899">
        <f t="shared" si="116"/>
        <v>22735.72</v>
      </c>
      <c r="H648" s="50">
        <v>0</v>
      </c>
      <c r="I648" s="31">
        <f t="shared" si="117"/>
        <v>0</v>
      </c>
      <c r="J648" s="50">
        <v>0</v>
      </c>
      <c r="K648" s="31">
        <f t="shared" si="118"/>
        <v>0</v>
      </c>
      <c r="L648" s="50">
        <v>0</v>
      </c>
      <c r="M648" s="31">
        <f t="shared" si="119"/>
        <v>0</v>
      </c>
      <c r="N648" s="50">
        <v>0</v>
      </c>
      <c r="O648" s="31">
        <f t="shared" si="120"/>
        <v>0</v>
      </c>
      <c r="P648" s="51" t="s">
        <v>845</v>
      </c>
      <c r="Q648" s="51"/>
      <c r="R648" s="765"/>
      <c r="S648" s="765"/>
      <c r="T648" s="765"/>
      <c r="U648" s="765"/>
      <c r="V648" s="765"/>
      <c r="W648" s="765"/>
    </row>
    <row r="649" spans="1:23" x14ac:dyDescent="0.25">
      <c r="A649" s="10">
        <v>44188</v>
      </c>
      <c r="B649" s="594">
        <v>0</v>
      </c>
      <c r="C649" s="31">
        <f t="shared" si="114"/>
        <v>-10460970.810000001</v>
      </c>
      <c r="D649" s="50">
        <v>0</v>
      </c>
      <c r="E649" s="31">
        <f t="shared" si="115"/>
        <v>-6500</v>
      </c>
      <c r="F649" s="900">
        <v>0</v>
      </c>
      <c r="G649" s="899">
        <f t="shared" si="116"/>
        <v>22735.72</v>
      </c>
      <c r="H649" s="50">
        <v>-13000</v>
      </c>
      <c r="I649" s="31">
        <f t="shared" si="117"/>
        <v>-13000</v>
      </c>
      <c r="J649" s="50">
        <v>0</v>
      </c>
      <c r="K649" s="31">
        <f t="shared" si="118"/>
        <v>0</v>
      </c>
      <c r="L649" s="50">
        <v>0</v>
      </c>
      <c r="M649" s="31">
        <f t="shared" si="119"/>
        <v>0</v>
      </c>
      <c r="N649" s="50">
        <v>0</v>
      </c>
      <c r="O649" s="31">
        <f t="shared" si="120"/>
        <v>0</v>
      </c>
      <c r="P649" s="51" t="s">
        <v>2388</v>
      </c>
      <c r="Q649" s="51"/>
      <c r="R649" s="765"/>
      <c r="S649" s="765"/>
      <c r="T649" s="765"/>
      <c r="U649" s="765"/>
      <c r="V649" s="765"/>
      <c r="W649" s="765"/>
    </row>
    <row r="650" spans="1:23" x14ac:dyDescent="0.25">
      <c r="A650" s="10">
        <v>44188</v>
      </c>
      <c r="B650" s="594">
        <v>0</v>
      </c>
      <c r="C650" s="31">
        <f t="shared" si="114"/>
        <v>-10460970.810000001</v>
      </c>
      <c r="D650" s="50">
        <v>0</v>
      </c>
      <c r="E650" s="31">
        <f t="shared" si="115"/>
        <v>-6500</v>
      </c>
      <c r="F650" s="900">
        <v>0</v>
      </c>
      <c r="G650" s="899">
        <f t="shared" si="116"/>
        <v>22735.72</v>
      </c>
      <c r="H650" s="50">
        <v>-8000</v>
      </c>
      <c r="I650" s="31">
        <f t="shared" si="117"/>
        <v>-21000</v>
      </c>
      <c r="J650" s="50">
        <v>0</v>
      </c>
      <c r="K650" s="31">
        <f t="shared" si="118"/>
        <v>0</v>
      </c>
      <c r="L650" s="50">
        <v>0</v>
      </c>
      <c r="M650" s="31">
        <f t="shared" si="119"/>
        <v>0</v>
      </c>
      <c r="N650" s="50">
        <v>0</v>
      </c>
      <c r="O650" s="31">
        <f t="shared" si="120"/>
        <v>0</v>
      </c>
      <c r="P650" s="51" t="s">
        <v>2389</v>
      </c>
      <c r="Q650" s="51"/>
      <c r="R650" s="765"/>
      <c r="S650" s="765"/>
      <c r="T650" s="765"/>
      <c r="U650" s="765"/>
      <c r="V650" s="765"/>
      <c r="W650" s="765"/>
    </row>
    <row r="651" spans="1:23" x14ac:dyDescent="0.25">
      <c r="A651" s="10">
        <v>44188</v>
      </c>
      <c r="B651" s="594">
        <v>0</v>
      </c>
      <c r="C651" s="31">
        <f t="shared" si="114"/>
        <v>-10460970.810000001</v>
      </c>
      <c r="D651" s="50">
        <v>6500</v>
      </c>
      <c r="E651" s="31">
        <f t="shared" si="115"/>
        <v>0</v>
      </c>
      <c r="F651" s="900">
        <v>0</v>
      </c>
      <c r="G651" s="899">
        <f t="shared" si="116"/>
        <v>22735.72</v>
      </c>
      <c r="H651" s="50">
        <v>21000</v>
      </c>
      <c r="I651" s="31">
        <f t="shared" si="117"/>
        <v>0</v>
      </c>
      <c r="J651" s="50">
        <v>0</v>
      </c>
      <c r="K651" s="31">
        <f t="shared" si="118"/>
        <v>0</v>
      </c>
      <c r="L651" s="50">
        <v>0</v>
      </c>
      <c r="M651" s="31">
        <f t="shared" si="119"/>
        <v>0</v>
      </c>
      <c r="N651" s="50">
        <v>0</v>
      </c>
      <c r="O651" s="31">
        <f t="shared" si="120"/>
        <v>0</v>
      </c>
      <c r="P651" s="51" t="s">
        <v>845</v>
      </c>
      <c r="Q651" s="51"/>
      <c r="R651" s="765"/>
      <c r="S651" s="765"/>
      <c r="T651" s="765"/>
      <c r="U651" s="765"/>
      <c r="V651" s="765"/>
      <c r="W651" s="765"/>
    </row>
    <row r="652" spans="1:23" x14ac:dyDescent="0.25">
      <c r="A652" s="10">
        <v>44195</v>
      </c>
      <c r="B652" s="594">
        <v>0</v>
      </c>
      <c r="C652" s="31">
        <f t="shared" si="114"/>
        <v>-10460970.810000001</v>
      </c>
      <c r="D652" s="50">
        <v>-400</v>
      </c>
      <c r="E652" s="31">
        <f t="shared" si="115"/>
        <v>-400</v>
      </c>
      <c r="F652" s="900">
        <v>0</v>
      </c>
      <c r="G652" s="899">
        <f t="shared" si="116"/>
        <v>22735.72</v>
      </c>
      <c r="H652" s="50">
        <v>0</v>
      </c>
      <c r="I652" s="31">
        <f t="shared" si="117"/>
        <v>0</v>
      </c>
      <c r="J652" s="50">
        <v>0</v>
      </c>
      <c r="K652" s="31">
        <f t="shared" si="118"/>
        <v>0</v>
      </c>
      <c r="L652" s="50">
        <v>0</v>
      </c>
      <c r="M652" s="31">
        <f t="shared" si="119"/>
        <v>0</v>
      </c>
      <c r="N652" s="50">
        <v>0</v>
      </c>
      <c r="O652" s="31">
        <f t="shared" si="120"/>
        <v>0</v>
      </c>
      <c r="P652" s="51" t="s">
        <v>2394</v>
      </c>
      <c r="Q652" s="51"/>
      <c r="R652" s="765"/>
      <c r="S652" s="765"/>
      <c r="T652" s="765"/>
      <c r="U652" s="765"/>
      <c r="V652" s="765"/>
      <c r="W652" s="765"/>
    </row>
    <row r="653" spans="1:23" x14ac:dyDescent="0.25">
      <c r="A653" s="10">
        <v>44195</v>
      </c>
      <c r="B653" s="594">
        <v>0</v>
      </c>
      <c r="C653" s="31">
        <f t="shared" si="114"/>
        <v>-10460970.810000001</v>
      </c>
      <c r="D653" s="50">
        <v>400</v>
      </c>
      <c r="E653" s="31">
        <f t="shared" si="115"/>
        <v>0</v>
      </c>
      <c r="F653" s="900">
        <v>0</v>
      </c>
      <c r="G653" s="899">
        <f t="shared" si="116"/>
        <v>22735.72</v>
      </c>
      <c r="H653" s="50">
        <v>0</v>
      </c>
      <c r="I653" s="31">
        <f t="shared" si="117"/>
        <v>0</v>
      </c>
      <c r="J653" s="50">
        <v>0</v>
      </c>
      <c r="K653" s="31">
        <f t="shared" si="118"/>
        <v>0</v>
      </c>
      <c r="L653" s="50">
        <v>0</v>
      </c>
      <c r="M653" s="31">
        <f t="shared" si="119"/>
        <v>0</v>
      </c>
      <c r="N653" s="50">
        <v>0</v>
      </c>
      <c r="O653" s="31">
        <f t="shared" si="120"/>
        <v>0</v>
      </c>
      <c r="P653" s="51" t="s">
        <v>845</v>
      </c>
      <c r="Q653" s="51"/>
      <c r="R653" s="765"/>
      <c r="S653" s="765"/>
      <c r="T653" s="765"/>
      <c r="U653" s="765"/>
      <c r="V653" s="765"/>
      <c r="W653" s="765"/>
    </row>
    <row r="654" spans="1:23" x14ac:dyDescent="0.25">
      <c r="A654" s="10">
        <v>44196</v>
      </c>
      <c r="B654" s="594">
        <v>0</v>
      </c>
      <c r="C654" s="31">
        <f t="shared" si="114"/>
        <v>-10460970.810000001</v>
      </c>
      <c r="D654" s="50">
        <v>0</v>
      </c>
      <c r="E654" s="31">
        <f t="shared" si="115"/>
        <v>0</v>
      </c>
      <c r="F654" s="900">
        <v>22.42</v>
      </c>
      <c r="G654" s="899">
        <f t="shared" si="116"/>
        <v>22758.14</v>
      </c>
      <c r="H654" s="50">
        <v>0</v>
      </c>
      <c r="I654" s="31">
        <f t="shared" si="117"/>
        <v>0</v>
      </c>
      <c r="J654" s="50">
        <v>0</v>
      </c>
      <c r="K654" s="31">
        <f t="shared" si="118"/>
        <v>0</v>
      </c>
      <c r="L654" s="50">
        <v>0</v>
      </c>
      <c r="M654" s="31">
        <f t="shared" si="119"/>
        <v>0</v>
      </c>
      <c r="N654" s="50">
        <v>0</v>
      </c>
      <c r="O654" s="31">
        <f t="shared" si="120"/>
        <v>0</v>
      </c>
      <c r="P654" s="51" t="s">
        <v>859</v>
      </c>
      <c r="Q654" s="51"/>
      <c r="R654" s="765"/>
      <c r="S654" s="765"/>
      <c r="T654" s="765"/>
      <c r="U654" s="765"/>
      <c r="V654" s="765"/>
      <c r="W654" s="765"/>
    </row>
    <row r="655" spans="1:23" x14ac:dyDescent="0.25">
      <c r="A655" s="10">
        <v>44201</v>
      </c>
      <c r="B655" s="594">
        <v>0</v>
      </c>
      <c r="C655" s="31">
        <f t="shared" si="114"/>
        <v>-10460970.810000001</v>
      </c>
      <c r="D655" s="50">
        <v>5.35</v>
      </c>
      <c r="E655" s="31">
        <f t="shared" si="115"/>
        <v>5.35</v>
      </c>
      <c r="F655" s="900">
        <v>0</v>
      </c>
      <c r="G655" s="899">
        <f t="shared" si="116"/>
        <v>22758.14</v>
      </c>
      <c r="H655" s="50">
        <v>0.86</v>
      </c>
      <c r="I655" s="31">
        <f t="shared" si="117"/>
        <v>0.86</v>
      </c>
      <c r="J655" s="50">
        <v>0</v>
      </c>
      <c r="K655" s="31">
        <f t="shared" si="118"/>
        <v>0</v>
      </c>
      <c r="L655" s="50">
        <v>0.03</v>
      </c>
      <c r="M655" s="31">
        <f t="shared" si="119"/>
        <v>0.03</v>
      </c>
      <c r="N655" s="50">
        <v>0</v>
      </c>
      <c r="O655" s="31">
        <f t="shared" si="120"/>
        <v>0</v>
      </c>
      <c r="P655" s="51" t="s">
        <v>890</v>
      </c>
      <c r="Q655" s="51"/>
      <c r="R655" s="765"/>
      <c r="S655" s="765"/>
      <c r="T655" s="765"/>
      <c r="U655" s="765"/>
      <c r="V655" s="765"/>
      <c r="W655" s="765"/>
    </row>
    <row r="656" spans="1:23" x14ac:dyDescent="0.25">
      <c r="A656" s="10">
        <v>44201</v>
      </c>
      <c r="B656" s="594">
        <v>0</v>
      </c>
      <c r="C656" s="31">
        <f t="shared" si="114"/>
        <v>-10460970.810000001</v>
      </c>
      <c r="D656" s="50">
        <v>-5.35</v>
      </c>
      <c r="E656" s="31">
        <f t="shared" si="115"/>
        <v>0</v>
      </c>
      <c r="F656" s="900">
        <v>0</v>
      </c>
      <c r="G656" s="899">
        <f t="shared" si="116"/>
        <v>22758.14</v>
      </c>
      <c r="H656" s="50">
        <v>-0.86</v>
      </c>
      <c r="I656" s="31">
        <f t="shared" si="117"/>
        <v>0</v>
      </c>
      <c r="J656" s="50">
        <v>0</v>
      </c>
      <c r="K656" s="31">
        <f t="shared" si="118"/>
        <v>0</v>
      </c>
      <c r="L656" s="50">
        <v>-0.03</v>
      </c>
      <c r="M656" s="31">
        <f t="shared" si="119"/>
        <v>0</v>
      </c>
      <c r="N656" s="50">
        <v>0</v>
      </c>
      <c r="O656" s="31">
        <f t="shared" si="120"/>
        <v>0</v>
      </c>
      <c r="P656" s="51" t="s">
        <v>845</v>
      </c>
      <c r="Q656" s="51"/>
      <c r="R656" s="765"/>
      <c r="S656" s="765"/>
      <c r="T656" s="765"/>
      <c r="U656" s="765"/>
      <c r="V656" s="765"/>
      <c r="W656" s="765"/>
    </row>
    <row r="657" spans="1:23" x14ac:dyDescent="0.25">
      <c r="A657" s="10">
        <v>44209</v>
      </c>
      <c r="B657" s="594">
        <v>660000</v>
      </c>
      <c r="C657" s="31">
        <f t="shared" si="114"/>
        <v>-9800970.8100000005</v>
      </c>
      <c r="D657" s="50">
        <v>-661444.27</v>
      </c>
      <c r="E657" s="31">
        <f t="shared" si="115"/>
        <v>-661444.27</v>
      </c>
      <c r="F657" s="900">
        <v>0</v>
      </c>
      <c r="G657" s="899">
        <f t="shared" si="116"/>
        <v>22758.14</v>
      </c>
      <c r="H657" s="50">
        <v>0</v>
      </c>
      <c r="I657" s="31">
        <f t="shared" si="117"/>
        <v>0</v>
      </c>
      <c r="J657" s="50">
        <v>0</v>
      </c>
      <c r="K657" s="31">
        <f t="shared" si="118"/>
        <v>0</v>
      </c>
      <c r="L657" s="50">
        <v>0</v>
      </c>
      <c r="M657" s="31">
        <f t="shared" si="119"/>
        <v>0</v>
      </c>
      <c r="N657" s="50">
        <v>0</v>
      </c>
      <c r="O657" s="31">
        <f t="shared" si="120"/>
        <v>0</v>
      </c>
      <c r="P657" s="51" t="s">
        <v>880</v>
      </c>
      <c r="Q657" s="51"/>
      <c r="R657" s="765"/>
      <c r="S657" s="765"/>
      <c r="T657" s="765"/>
      <c r="U657" s="765"/>
      <c r="V657" s="765"/>
      <c r="W657" s="765"/>
    </row>
    <row r="658" spans="1:23" x14ac:dyDescent="0.25">
      <c r="A658" s="10">
        <v>44209</v>
      </c>
      <c r="B658" s="594">
        <v>-660000</v>
      </c>
      <c r="C658" s="31">
        <f t="shared" si="114"/>
        <v>-10460970.810000001</v>
      </c>
      <c r="D658" s="50">
        <v>661444.27</v>
      </c>
      <c r="E658" s="31">
        <f t="shared" si="115"/>
        <v>0</v>
      </c>
      <c r="F658" s="900">
        <v>0</v>
      </c>
      <c r="G658" s="899">
        <f t="shared" si="116"/>
        <v>22758.14</v>
      </c>
      <c r="H658" s="50">
        <v>0</v>
      </c>
      <c r="I658" s="31">
        <f t="shared" si="117"/>
        <v>0</v>
      </c>
      <c r="J658" s="50">
        <v>0</v>
      </c>
      <c r="K658" s="31">
        <f t="shared" si="118"/>
        <v>0</v>
      </c>
      <c r="L658" s="50">
        <v>0</v>
      </c>
      <c r="M658" s="31">
        <f t="shared" si="119"/>
        <v>0</v>
      </c>
      <c r="N658" s="50">
        <v>0</v>
      </c>
      <c r="O658" s="31">
        <f t="shared" si="120"/>
        <v>0</v>
      </c>
      <c r="P658" s="51" t="s">
        <v>2404</v>
      </c>
      <c r="Q658" s="51"/>
      <c r="R658" s="765"/>
      <c r="S658" s="765"/>
      <c r="T658" s="765"/>
      <c r="U658" s="765"/>
      <c r="V658" s="765"/>
      <c r="W658" s="765"/>
    </row>
    <row r="659" spans="1:23" x14ac:dyDescent="0.25">
      <c r="A659" s="10">
        <v>44209</v>
      </c>
      <c r="B659" s="594">
        <v>0</v>
      </c>
      <c r="C659" s="31">
        <f t="shared" si="114"/>
        <v>-10460970.810000001</v>
      </c>
      <c r="D659" s="50">
        <v>-661444.27</v>
      </c>
      <c r="E659" s="31">
        <f t="shared" si="115"/>
        <v>-661444.27</v>
      </c>
      <c r="F659" s="900">
        <v>0</v>
      </c>
      <c r="G659" s="899">
        <f t="shared" si="116"/>
        <v>22758.14</v>
      </c>
      <c r="H659" s="50">
        <v>0</v>
      </c>
      <c r="I659" s="31">
        <f t="shared" si="117"/>
        <v>0</v>
      </c>
      <c r="J659" s="50">
        <v>0</v>
      </c>
      <c r="K659" s="31">
        <f t="shared" si="118"/>
        <v>0</v>
      </c>
      <c r="L659" s="50">
        <v>0</v>
      </c>
      <c r="M659" s="31">
        <f t="shared" si="119"/>
        <v>0</v>
      </c>
      <c r="N659" s="50">
        <v>0</v>
      </c>
      <c r="O659" s="31">
        <f t="shared" si="120"/>
        <v>0</v>
      </c>
      <c r="P659" s="51" t="s">
        <v>2405</v>
      </c>
      <c r="Q659" s="51"/>
      <c r="R659" s="765"/>
      <c r="S659" s="765"/>
      <c r="T659" s="765"/>
      <c r="U659" s="765"/>
      <c r="V659" s="765"/>
      <c r="W659" s="765"/>
    </row>
    <row r="660" spans="1:23" x14ac:dyDescent="0.25">
      <c r="A660" s="10">
        <v>44209</v>
      </c>
      <c r="B660" s="594">
        <v>0</v>
      </c>
      <c r="C660" s="31">
        <f t="shared" si="114"/>
        <v>-10460970.810000001</v>
      </c>
      <c r="D660" s="50">
        <v>400000</v>
      </c>
      <c r="E660" s="31">
        <f t="shared" si="115"/>
        <v>-261444.27</v>
      </c>
      <c r="F660" s="900">
        <v>0</v>
      </c>
      <c r="G660" s="899">
        <f t="shared" si="116"/>
        <v>22758.14</v>
      </c>
      <c r="H660" s="50">
        <v>0</v>
      </c>
      <c r="I660" s="31">
        <f t="shared" si="117"/>
        <v>0</v>
      </c>
      <c r="J660" s="50">
        <v>0</v>
      </c>
      <c r="K660" s="31">
        <f t="shared" si="118"/>
        <v>0</v>
      </c>
      <c r="L660" s="50">
        <v>0</v>
      </c>
      <c r="M660" s="31">
        <f t="shared" si="119"/>
        <v>0</v>
      </c>
      <c r="N660" s="50">
        <v>0</v>
      </c>
      <c r="O660" s="31">
        <f t="shared" si="120"/>
        <v>0</v>
      </c>
      <c r="P660" s="51" t="s">
        <v>2071</v>
      </c>
      <c r="Q660" s="51"/>
      <c r="R660" s="765"/>
      <c r="S660" s="765"/>
      <c r="T660" s="765"/>
      <c r="U660" s="765"/>
      <c r="V660" s="765"/>
      <c r="W660" s="765"/>
    </row>
    <row r="661" spans="1:23" x14ac:dyDescent="0.25">
      <c r="A661" s="10">
        <v>44209</v>
      </c>
      <c r="B661" s="594">
        <v>0</v>
      </c>
      <c r="C661" s="31">
        <f t="shared" si="114"/>
        <v>-10460970.810000001</v>
      </c>
      <c r="D661" s="50">
        <v>261444.27</v>
      </c>
      <c r="E661" s="31">
        <f t="shared" si="115"/>
        <v>0</v>
      </c>
      <c r="F661" s="900">
        <v>0</v>
      </c>
      <c r="G661" s="899">
        <f t="shared" si="116"/>
        <v>22758.14</v>
      </c>
      <c r="H661" s="50">
        <v>0</v>
      </c>
      <c r="I661" s="31">
        <f t="shared" si="117"/>
        <v>0</v>
      </c>
      <c r="J661" s="50">
        <v>0</v>
      </c>
      <c r="K661" s="31">
        <f t="shared" si="118"/>
        <v>0</v>
      </c>
      <c r="L661" s="50">
        <v>0</v>
      </c>
      <c r="M661" s="31">
        <f t="shared" si="119"/>
        <v>0</v>
      </c>
      <c r="N661" s="50">
        <v>0</v>
      </c>
      <c r="O661" s="31">
        <f t="shared" si="120"/>
        <v>0</v>
      </c>
      <c r="P661" s="51" t="s">
        <v>845</v>
      </c>
      <c r="Q661" s="51"/>
      <c r="R661" s="765"/>
      <c r="S661" s="765"/>
      <c r="T661" s="765"/>
      <c r="U661" s="765"/>
      <c r="V661" s="765"/>
      <c r="W661" s="765"/>
    </row>
    <row r="662" spans="1:23" x14ac:dyDescent="0.25">
      <c r="A662" s="10">
        <v>44211</v>
      </c>
      <c r="B662" s="594">
        <v>2000000</v>
      </c>
      <c r="C662" s="31">
        <f t="shared" si="114"/>
        <v>-8460970.8100000005</v>
      </c>
      <c r="D662" s="50">
        <v>0</v>
      </c>
      <c r="E662" s="31">
        <f t="shared" si="115"/>
        <v>0</v>
      </c>
      <c r="F662" s="900">
        <v>-2002681.5</v>
      </c>
      <c r="G662" s="899">
        <f t="shared" si="116"/>
        <v>-1979923.36</v>
      </c>
      <c r="H662" s="50">
        <v>0</v>
      </c>
      <c r="I662" s="31">
        <f t="shared" si="117"/>
        <v>0</v>
      </c>
      <c r="J662" s="50">
        <v>0</v>
      </c>
      <c r="K662" s="31">
        <f t="shared" si="118"/>
        <v>0</v>
      </c>
      <c r="L662" s="50">
        <v>0</v>
      </c>
      <c r="M662" s="31">
        <f t="shared" si="119"/>
        <v>0</v>
      </c>
      <c r="N662" s="50">
        <v>0</v>
      </c>
      <c r="O662" s="31">
        <f t="shared" si="120"/>
        <v>0</v>
      </c>
      <c r="P662" s="51" t="s">
        <v>1012</v>
      </c>
      <c r="Q662" s="51"/>
      <c r="R662" s="765"/>
      <c r="S662" s="765"/>
      <c r="T662" s="765"/>
      <c r="U662" s="765"/>
      <c r="V662" s="765"/>
      <c r="W662" s="765"/>
    </row>
    <row r="663" spans="1:23" x14ac:dyDescent="0.25">
      <c r="A663" s="10">
        <v>44211</v>
      </c>
      <c r="B663" s="594">
        <f>-B662</f>
        <v>-2000000</v>
      </c>
      <c r="C663" s="31">
        <f t="shared" si="114"/>
        <v>-10460970.810000001</v>
      </c>
      <c r="D663" s="50">
        <v>0</v>
      </c>
      <c r="E663" s="31">
        <f t="shared" si="115"/>
        <v>0</v>
      </c>
      <c r="F663" s="900">
        <f>-F662</f>
        <v>2002681.5</v>
      </c>
      <c r="G663" s="899">
        <f t="shared" si="116"/>
        <v>22758.14</v>
      </c>
      <c r="H663" s="50">
        <v>0</v>
      </c>
      <c r="I663" s="31">
        <f t="shared" si="117"/>
        <v>0</v>
      </c>
      <c r="J663" s="50">
        <v>0</v>
      </c>
      <c r="K663" s="31">
        <f t="shared" si="118"/>
        <v>0</v>
      </c>
      <c r="L663" s="50">
        <v>0</v>
      </c>
      <c r="M663" s="31">
        <f t="shared" si="119"/>
        <v>0</v>
      </c>
      <c r="N663" s="50">
        <v>0</v>
      </c>
      <c r="O663" s="31">
        <f t="shared" si="120"/>
        <v>0</v>
      </c>
      <c r="P663" s="51" t="s">
        <v>1013</v>
      </c>
      <c r="Q663" s="51"/>
      <c r="R663" s="765"/>
      <c r="S663" s="765"/>
      <c r="T663" s="765"/>
      <c r="U663" s="765"/>
      <c r="V663" s="765"/>
      <c r="W663" s="765"/>
    </row>
    <row r="664" spans="1:23" x14ac:dyDescent="0.25">
      <c r="A664" s="10">
        <v>44211</v>
      </c>
      <c r="B664" s="594">
        <v>0</v>
      </c>
      <c r="C664" s="31">
        <f t="shared" si="114"/>
        <v>-10460970.810000001</v>
      </c>
      <c r="D664" s="50">
        <v>0</v>
      </c>
      <c r="E664" s="31">
        <f t="shared" si="115"/>
        <v>0</v>
      </c>
      <c r="F664" s="900">
        <f t="shared" ref="F664:F665" si="121">-F663</f>
        <v>-2002681.5</v>
      </c>
      <c r="G664" s="899">
        <f t="shared" si="116"/>
        <v>-1979923.36</v>
      </c>
      <c r="H664" s="50">
        <v>0</v>
      </c>
      <c r="I664" s="31">
        <f t="shared" si="117"/>
        <v>0</v>
      </c>
      <c r="J664" s="50">
        <v>0</v>
      </c>
      <c r="K664" s="31">
        <f t="shared" si="118"/>
        <v>0</v>
      </c>
      <c r="L664" s="50">
        <v>0</v>
      </c>
      <c r="M664" s="31">
        <f t="shared" si="119"/>
        <v>0</v>
      </c>
      <c r="N664" s="50">
        <v>0</v>
      </c>
      <c r="O664" s="31">
        <f t="shared" si="120"/>
        <v>0</v>
      </c>
      <c r="P664" s="51" t="s">
        <v>2409</v>
      </c>
      <c r="Q664" s="51"/>
      <c r="R664" s="765"/>
      <c r="S664" s="765"/>
      <c r="T664" s="765"/>
      <c r="U664" s="765"/>
      <c r="V664" s="765"/>
      <c r="W664" s="765"/>
    </row>
    <row r="665" spans="1:23" x14ac:dyDescent="0.25">
      <c r="A665" s="10">
        <v>44211</v>
      </c>
      <c r="B665" s="594">
        <v>0</v>
      </c>
      <c r="C665" s="31">
        <f t="shared" si="114"/>
        <v>-10460970.810000001</v>
      </c>
      <c r="D665" s="50">
        <v>0</v>
      </c>
      <c r="E665" s="31">
        <f t="shared" si="115"/>
        <v>0</v>
      </c>
      <c r="F665" s="900">
        <f t="shared" si="121"/>
        <v>2002681.5</v>
      </c>
      <c r="G665" s="899">
        <f t="shared" si="116"/>
        <v>22758.14</v>
      </c>
      <c r="H665" s="50">
        <v>0</v>
      </c>
      <c r="I665" s="31">
        <f t="shared" si="117"/>
        <v>0</v>
      </c>
      <c r="J665" s="50">
        <v>0</v>
      </c>
      <c r="K665" s="31">
        <f t="shared" si="118"/>
        <v>0</v>
      </c>
      <c r="L665" s="50">
        <v>0</v>
      </c>
      <c r="M665" s="31">
        <f t="shared" si="119"/>
        <v>0</v>
      </c>
      <c r="N665" s="50">
        <v>0</v>
      </c>
      <c r="O665" s="31">
        <f t="shared" si="120"/>
        <v>0</v>
      </c>
      <c r="P665" s="51" t="s">
        <v>2410</v>
      </c>
      <c r="Q665" s="51"/>
      <c r="R665" s="765"/>
      <c r="S665" s="765"/>
      <c r="T665" s="765"/>
      <c r="U665" s="765"/>
      <c r="V665" s="765"/>
      <c r="W665" s="765"/>
    </row>
    <row r="666" spans="1:23" x14ac:dyDescent="0.25">
      <c r="A666" s="10">
        <v>44215</v>
      </c>
      <c r="B666" s="594">
        <v>0</v>
      </c>
      <c r="C666" s="31">
        <f t="shared" si="114"/>
        <v>-10460970.810000001</v>
      </c>
      <c r="D666" s="50">
        <v>-79294702.909999996</v>
      </c>
      <c r="E666" s="31">
        <f t="shared" si="115"/>
        <v>-79294702.909999996</v>
      </c>
      <c r="F666" s="900">
        <v>0</v>
      </c>
      <c r="G666" s="899">
        <f t="shared" si="116"/>
        <v>22758.14</v>
      </c>
      <c r="H666" s="50">
        <v>0</v>
      </c>
      <c r="I666" s="31">
        <f t="shared" si="117"/>
        <v>0</v>
      </c>
      <c r="J666" s="50">
        <v>0</v>
      </c>
      <c r="K666" s="31">
        <f t="shared" si="118"/>
        <v>0</v>
      </c>
      <c r="L666" s="50">
        <v>0</v>
      </c>
      <c r="M666" s="31">
        <f t="shared" si="119"/>
        <v>0</v>
      </c>
      <c r="N666" s="50">
        <v>0</v>
      </c>
      <c r="O666" s="31">
        <f t="shared" si="120"/>
        <v>0</v>
      </c>
      <c r="P666" s="51" t="s">
        <v>2412</v>
      </c>
      <c r="Q666" s="51"/>
      <c r="R666" s="765"/>
      <c r="S666" s="765"/>
      <c r="T666" s="765"/>
      <c r="U666" s="765"/>
      <c r="V666" s="765"/>
      <c r="W666" s="765"/>
    </row>
    <row r="667" spans="1:23" x14ac:dyDescent="0.25">
      <c r="A667" s="10">
        <v>44215</v>
      </c>
      <c r="B667" s="594">
        <v>0</v>
      </c>
      <c r="C667" s="31">
        <f t="shared" si="114"/>
        <v>-10460970.810000001</v>
      </c>
      <c r="D667" s="50">
        <v>79185237.200000003</v>
      </c>
      <c r="E667" s="31">
        <f t="shared" si="115"/>
        <v>-109465.71</v>
      </c>
      <c r="F667" s="900">
        <v>0</v>
      </c>
      <c r="G667" s="899">
        <f t="shared" si="116"/>
        <v>22758.14</v>
      </c>
      <c r="H667" s="50">
        <v>0</v>
      </c>
      <c r="I667" s="31">
        <f t="shared" si="117"/>
        <v>0</v>
      </c>
      <c r="J667" s="50">
        <v>0</v>
      </c>
      <c r="K667" s="31">
        <f t="shared" si="118"/>
        <v>0</v>
      </c>
      <c r="L667" s="50">
        <v>0</v>
      </c>
      <c r="M667" s="31">
        <f t="shared" si="119"/>
        <v>0</v>
      </c>
      <c r="N667" s="50">
        <v>0</v>
      </c>
      <c r="O667" s="31">
        <f t="shared" si="120"/>
        <v>0</v>
      </c>
      <c r="P667" s="51" t="s">
        <v>2413</v>
      </c>
      <c r="Q667" s="51"/>
      <c r="R667" s="765"/>
      <c r="S667" s="765"/>
      <c r="T667" s="765"/>
      <c r="U667" s="765"/>
      <c r="V667" s="765"/>
      <c r="W667" s="765"/>
    </row>
    <row r="668" spans="1:23" x14ac:dyDescent="0.25">
      <c r="A668" s="10">
        <v>44215</v>
      </c>
      <c r="B668" s="594">
        <v>0</v>
      </c>
      <c r="C668" s="31">
        <f t="shared" si="114"/>
        <v>-10460970.810000001</v>
      </c>
      <c r="D668" s="50">
        <v>157494.46999999997</v>
      </c>
      <c r="E668" s="31">
        <f t="shared" si="115"/>
        <v>48028.76</v>
      </c>
      <c r="F668" s="900">
        <v>0</v>
      </c>
      <c r="G668" s="899">
        <f t="shared" si="116"/>
        <v>22758.14</v>
      </c>
      <c r="H668" s="50">
        <v>0</v>
      </c>
      <c r="I668" s="31">
        <f t="shared" si="117"/>
        <v>0</v>
      </c>
      <c r="J668" s="50">
        <v>0</v>
      </c>
      <c r="K668" s="31">
        <f t="shared" si="118"/>
        <v>0</v>
      </c>
      <c r="L668" s="50">
        <v>0</v>
      </c>
      <c r="M668" s="31">
        <f t="shared" si="119"/>
        <v>0</v>
      </c>
      <c r="N668" s="50">
        <v>0</v>
      </c>
      <c r="O668" s="31">
        <f t="shared" si="120"/>
        <v>0</v>
      </c>
      <c r="P668" s="51" t="s">
        <v>845</v>
      </c>
      <c r="Q668" s="51"/>
      <c r="R668" s="765"/>
      <c r="S668" s="765"/>
      <c r="T668" s="765"/>
      <c r="U668" s="765"/>
      <c r="V668" s="765"/>
      <c r="W668" s="765"/>
    </row>
    <row r="669" spans="1:23" x14ac:dyDescent="0.25">
      <c r="A669" s="10">
        <v>44216</v>
      </c>
      <c r="B669" s="594">
        <v>2000000</v>
      </c>
      <c r="C669" s="31">
        <f t="shared" si="114"/>
        <v>-8460970.8100000005</v>
      </c>
      <c r="D669" s="50">
        <v>0</v>
      </c>
      <c r="E669" s="31">
        <f t="shared" si="115"/>
        <v>48028.76</v>
      </c>
      <c r="F669" s="900">
        <v>-2003114</v>
      </c>
      <c r="G669" s="899">
        <f t="shared" si="116"/>
        <v>-1980355.86</v>
      </c>
      <c r="H669" s="50">
        <v>0</v>
      </c>
      <c r="I669" s="31">
        <f t="shared" si="117"/>
        <v>0</v>
      </c>
      <c r="J669" s="50">
        <v>0</v>
      </c>
      <c r="K669" s="31">
        <f t="shared" si="118"/>
        <v>0</v>
      </c>
      <c r="L669" s="50">
        <v>0</v>
      </c>
      <c r="M669" s="31">
        <f t="shared" si="119"/>
        <v>0</v>
      </c>
      <c r="N669" s="50">
        <v>0</v>
      </c>
      <c r="O669" s="31">
        <f t="shared" si="120"/>
        <v>0</v>
      </c>
      <c r="P669" s="51" t="s">
        <v>1012</v>
      </c>
      <c r="Q669" s="51"/>
      <c r="R669" s="765"/>
      <c r="S669" s="765"/>
      <c r="T669" s="765"/>
      <c r="U669" s="765"/>
      <c r="V669" s="765"/>
      <c r="W669" s="765"/>
    </row>
    <row r="670" spans="1:23" x14ac:dyDescent="0.25">
      <c r="A670" s="10">
        <v>44216</v>
      </c>
      <c r="B670" s="594">
        <f>-B669</f>
        <v>-2000000</v>
      </c>
      <c r="C670" s="31">
        <f t="shared" si="114"/>
        <v>-10460970.810000001</v>
      </c>
      <c r="D670" s="50">
        <v>0</v>
      </c>
      <c r="E670" s="31">
        <f t="shared" si="115"/>
        <v>48028.76</v>
      </c>
      <c r="F670" s="900">
        <f>-F669</f>
        <v>2003114</v>
      </c>
      <c r="G670" s="899">
        <f t="shared" si="116"/>
        <v>22758.14</v>
      </c>
      <c r="H670" s="50">
        <v>0</v>
      </c>
      <c r="I670" s="31">
        <f t="shared" si="117"/>
        <v>0</v>
      </c>
      <c r="J670" s="50">
        <v>0</v>
      </c>
      <c r="K670" s="31">
        <f t="shared" si="118"/>
        <v>0</v>
      </c>
      <c r="L670" s="50">
        <v>0</v>
      </c>
      <c r="M670" s="31">
        <f t="shared" si="119"/>
        <v>0</v>
      </c>
      <c r="N670" s="50">
        <v>0</v>
      </c>
      <c r="O670" s="31">
        <f t="shared" si="120"/>
        <v>0</v>
      </c>
      <c r="P670" s="51" t="s">
        <v>1013</v>
      </c>
      <c r="Q670" s="51"/>
      <c r="R670" s="765"/>
      <c r="S670" s="765"/>
      <c r="T670" s="765"/>
      <c r="U670" s="765"/>
      <c r="V670" s="765"/>
      <c r="W670" s="765"/>
    </row>
    <row r="671" spans="1:23" x14ac:dyDescent="0.25">
      <c r="A671" s="10">
        <v>44216</v>
      </c>
      <c r="B671" s="594">
        <v>0</v>
      </c>
      <c r="C671" s="31">
        <f t="shared" si="114"/>
        <v>-10460970.810000001</v>
      </c>
      <c r="D671" s="50">
        <v>0</v>
      </c>
      <c r="E671" s="31">
        <f t="shared" si="115"/>
        <v>48028.76</v>
      </c>
      <c r="F671" s="900">
        <f t="shared" ref="F671:F672" si="122">-F670</f>
        <v>-2003114</v>
      </c>
      <c r="G671" s="899">
        <f t="shared" si="116"/>
        <v>-1980355.86</v>
      </c>
      <c r="H671" s="50">
        <v>0</v>
      </c>
      <c r="I671" s="31">
        <f t="shared" si="117"/>
        <v>0</v>
      </c>
      <c r="J671" s="50">
        <v>0</v>
      </c>
      <c r="K671" s="31">
        <f t="shared" si="118"/>
        <v>0</v>
      </c>
      <c r="L671" s="50">
        <v>0</v>
      </c>
      <c r="M671" s="31">
        <f t="shared" si="119"/>
        <v>0</v>
      </c>
      <c r="N671" s="50">
        <v>0</v>
      </c>
      <c r="O671" s="31">
        <f t="shared" si="120"/>
        <v>0</v>
      </c>
      <c r="P671" s="51" t="s">
        <v>2409</v>
      </c>
      <c r="Q671" s="51"/>
      <c r="R671" s="765"/>
      <c r="S671" s="765"/>
      <c r="T671" s="765"/>
      <c r="U671" s="765"/>
      <c r="V671" s="765"/>
      <c r="W671" s="765"/>
    </row>
    <row r="672" spans="1:23" x14ac:dyDescent="0.25">
      <c r="A672" s="10">
        <v>44216</v>
      </c>
      <c r="B672" s="594">
        <v>0</v>
      </c>
      <c r="C672" s="31">
        <f t="shared" si="114"/>
        <v>-10460970.810000001</v>
      </c>
      <c r="D672" s="50">
        <v>0</v>
      </c>
      <c r="E672" s="31">
        <f t="shared" si="115"/>
        <v>48028.76</v>
      </c>
      <c r="F672" s="900">
        <f t="shared" si="122"/>
        <v>2003114</v>
      </c>
      <c r="G672" s="899">
        <f t="shared" si="116"/>
        <v>22758.14</v>
      </c>
      <c r="H672" s="50">
        <v>0</v>
      </c>
      <c r="I672" s="31">
        <f t="shared" si="117"/>
        <v>0</v>
      </c>
      <c r="J672" s="50">
        <v>0</v>
      </c>
      <c r="K672" s="31">
        <f t="shared" si="118"/>
        <v>0</v>
      </c>
      <c r="L672" s="50">
        <v>0</v>
      </c>
      <c r="M672" s="31">
        <f t="shared" si="119"/>
        <v>0</v>
      </c>
      <c r="N672" s="50">
        <v>0</v>
      </c>
      <c r="O672" s="31">
        <f t="shared" si="120"/>
        <v>0</v>
      </c>
      <c r="P672" s="51" t="s">
        <v>2410</v>
      </c>
      <c r="Q672" s="51"/>
      <c r="R672" s="765"/>
      <c r="S672" s="765"/>
      <c r="T672" s="765"/>
      <c r="U672" s="765"/>
      <c r="V672" s="765"/>
      <c r="W672" s="765"/>
    </row>
    <row r="673" spans="1:23" x14ac:dyDescent="0.25">
      <c r="A673" s="10">
        <v>44228</v>
      </c>
      <c r="B673" s="594">
        <v>0</v>
      </c>
      <c r="C673" s="31">
        <f t="shared" si="114"/>
        <v>-10460970.810000001</v>
      </c>
      <c r="D673" s="50">
        <v>0</v>
      </c>
      <c r="E673" s="31">
        <f t="shared" si="115"/>
        <v>48028.76</v>
      </c>
      <c r="F673" s="900">
        <v>0</v>
      </c>
      <c r="G673" s="899">
        <f t="shared" si="116"/>
        <v>22758.14</v>
      </c>
      <c r="H673" s="50">
        <v>-5042.07</v>
      </c>
      <c r="I673" s="31">
        <f t="shared" si="117"/>
        <v>-5042.07</v>
      </c>
      <c r="J673" s="50">
        <v>0</v>
      </c>
      <c r="K673" s="31">
        <f t="shared" si="118"/>
        <v>0</v>
      </c>
      <c r="L673" s="50">
        <v>0</v>
      </c>
      <c r="M673" s="31">
        <f t="shared" si="119"/>
        <v>0</v>
      </c>
      <c r="N673" s="50">
        <v>0</v>
      </c>
      <c r="O673" s="31">
        <f t="shared" si="120"/>
        <v>0</v>
      </c>
      <c r="P673" s="51" t="s">
        <v>2427</v>
      </c>
      <c r="Q673" s="51"/>
      <c r="R673" s="765"/>
      <c r="S673" s="765"/>
      <c r="T673" s="765"/>
      <c r="U673" s="765"/>
      <c r="V673" s="765"/>
      <c r="W673" s="765"/>
    </row>
    <row r="674" spans="1:23" x14ac:dyDescent="0.25">
      <c r="A674" s="10">
        <v>44228</v>
      </c>
      <c r="B674" s="594">
        <v>0</v>
      </c>
      <c r="C674" s="31">
        <f t="shared" si="114"/>
        <v>-10460970.810000001</v>
      </c>
      <c r="D674" s="50">
        <v>0</v>
      </c>
      <c r="E674" s="31">
        <f t="shared" si="115"/>
        <v>48028.76</v>
      </c>
      <c r="F674" s="900">
        <v>0</v>
      </c>
      <c r="G674" s="899">
        <f t="shared" si="116"/>
        <v>22758.14</v>
      </c>
      <c r="H674" s="50">
        <v>5042.07</v>
      </c>
      <c r="I674" s="31">
        <f t="shared" si="117"/>
        <v>0</v>
      </c>
      <c r="J674" s="50">
        <v>0</v>
      </c>
      <c r="K674" s="31">
        <f t="shared" si="118"/>
        <v>0</v>
      </c>
      <c r="L674" s="50">
        <v>0</v>
      </c>
      <c r="M674" s="31">
        <f t="shared" si="119"/>
        <v>0</v>
      </c>
      <c r="N674" s="50">
        <v>0</v>
      </c>
      <c r="O674" s="31">
        <f t="shared" si="120"/>
        <v>0</v>
      </c>
      <c r="P674" s="51" t="s">
        <v>845</v>
      </c>
      <c r="Q674" s="51"/>
      <c r="R674" s="765"/>
      <c r="S674" s="765"/>
      <c r="T674" s="765"/>
      <c r="U674" s="765"/>
      <c r="V674" s="765"/>
      <c r="W674" s="765"/>
    </row>
    <row r="675" spans="1:23" x14ac:dyDescent="0.25">
      <c r="A675" s="10">
        <v>44229</v>
      </c>
      <c r="B675" s="594">
        <v>0</v>
      </c>
      <c r="C675" s="31">
        <f t="shared" si="114"/>
        <v>-10460970.810000001</v>
      </c>
      <c r="D675" s="50">
        <v>4.88</v>
      </c>
      <c r="E675" s="31">
        <f t="shared" si="115"/>
        <v>48033.64</v>
      </c>
      <c r="F675" s="900">
        <v>0</v>
      </c>
      <c r="G675" s="899">
        <f t="shared" si="116"/>
        <v>22758.14</v>
      </c>
      <c r="H675" s="50">
        <v>1.24</v>
      </c>
      <c r="I675" s="31">
        <f t="shared" si="117"/>
        <v>1.24</v>
      </c>
      <c r="J675" s="50">
        <v>0</v>
      </c>
      <c r="K675" s="31">
        <f t="shared" si="118"/>
        <v>0</v>
      </c>
      <c r="L675" s="50">
        <v>0</v>
      </c>
      <c r="M675" s="31">
        <f t="shared" si="119"/>
        <v>0</v>
      </c>
      <c r="N675" s="50">
        <v>0</v>
      </c>
      <c r="O675" s="31">
        <f t="shared" si="120"/>
        <v>0</v>
      </c>
      <c r="P675" s="51" t="s">
        <v>890</v>
      </c>
      <c r="Q675" s="51"/>
      <c r="R675" s="765"/>
      <c r="S675" s="765"/>
      <c r="T675" s="765"/>
      <c r="U675" s="765"/>
      <c r="V675" s="765"/>
      <c r="W675" s="765"/>
    </row>
    <row r="676" spans="1:23" x14ac:dyDescent="0.25">
      <c r="A676" s="10">
        <v>44229</v>
      </c>
      <c r="B676" s="594">
        <v>0</v>
      </c>
      <c r="C676" s="31">
        <f t="shared" si="114"/>
        <v>-10460970.810000001</v>
      </c>
      <c r="D676" s="50">
        <v>-4.88</v>
      </c>
      <c r="E676" s="31">
        <f t="shared" si="115"/>
        <v>48028.76</v>
      </c>
      <c r="F676" s="900">
        <v>0</v>
      </c>
      <c r="G676" s="899">
        <f t="shared" si="116"/>
        <v>22758.14</v>
      </c>
      <c r="H676" s="50">
        <v>-1.24</v>
      </c>
      <c r="I676" s="31">
        <f t="shared" si="117"/>
        <v>0</v>
      </c>
      <c r="J676" s="50">
        <v>0</v>
      </c>
      <c r="K676" s="31">
        <f t="shared" si="118"/>
        <v>0</v>
      </c>
      <c r="L676" s="50">
        <v>0</v>
      </c>
      <c r="M676" s="31">
        <f t="shared" si="119"/>
        <v>0</v>
      </c>
      <c r="N676" s="50">
        <v>0</v>
      </c>
      <c r="O676" s="31">
        <f t="shared" si="120"/>
        <v>0</v>
      </c>
      <c r="P676" s="51" t="s">
        <v>845</v>
      </c>
      <c r="Q676" s="51"/>
      <c r="R676" s="765"/>
      <c r="S676" s="765"/>
      <c r="T676" s="765"/>
      <c r="U676" s="765"/>
      <c r="V676" s="765"/>
      <c r="W676" s="765"/>
    </row>
    <row r="677" spans="1:23" x14ac:dyDescent="0.25">
      <c r="A677" s="10">
        <v>44235</v>
      </c>
      <c r="B677" s="594">
        <v>0</v>
      </c>
      <c r="C677" s="31">
        <f t="shared" si="114"/>
        <v>-10460970.810000001</v>
      </c>
      <c r="D677" s="50">
        <v>0</v>
      </c>
      <c r="E677" s="31">
        <f t="shared" si="115"/>
        <v>48028.76</v>
      </c>
      <c r="F677" s="900">
        <v>0</v>
      </c>
      <c r="G677" s="899">
        <f t="shared" si="116"/>
        <v>22758.14</v>
      </c>
      <c r="H677" s="50">
        <v>-500</v>
      </c>
      <c r="I677" s="31">
        <f t="shared" si="117"/>
        <v>-500</v>
      </c>
      <c r="J677" s="50">
        <v>0</v>
      </c>
      <c r="K677" s="31">
        <f t="shared" si="118"/>
        <v>0</v>
      </c>
      <c r="L677" s="50">
        <v>0</v>
      </c>
      <c r="M677" s="31">
        <f t="shared" si="119"/>
        <v>0</v>
      </c>
      <c r="N677" s="50">
        <v>0</v>
      </c>
      <c r="O677" s="31">
        <f t="shared" si="120"/>
        <v>0</v>
      </c>
      <c r="P677" s="51" t="s">
        <v>2504</v>
      </c>
      <c r="Q677" s="51"/>
      <c r="R677" s="765"/>
      <c r="S677" s="765"/>
      <c r="T677" s="765"/>
      <c r="U677" s="765"/>
      <c r="V677" s="765"/>
      <c r="W677" s="765"/>
    </row>
    <row r="678" spans="1:23" x14ac:dyDescent="0.25">
      <c r="A678" s="10">
        <v>44235</v>
      </c>
      <c r="B678" s="594">
        <v>0</v>
      </c>
      <c r="C678" s="31">
        <f t="shared" si="114"/>
        <v>-10460970.810000001</v>
      </c>
      <c r="D678" s="50">
        <v>0</v>
      </c>
      <c r="E678" s="31">
        <f t="shared" si="115"/>
        <v>48028.76</v>
      </c>
      <c r="F678" s="900">
        <v>0</v>
      </c>
      <c r="G678" s="899">
        <f t="shared" si="116"/>
        <v>22758.14</v>
      </c>
      <c r="H678" s="50">
        <v>-5820</v>
      </c>
      <c r="I678" s="31">
        <f t="shared" si="117"/>
        <v>-6320</v>
      </c>
      <c r="J678" s="50">
        <v>0</v>
      </c>
      <c r="K678" s="31">
        <f t="shared" si="118"/>
        <v>0</v>
      </c>
      <c r="L678" s="50">
        <v>0</v>
      </c>
      <c r="M678" s="31">
        <f t="shared" si="119"/>
        <v>0</v>
      </c>
      <c r="N678" s="50">
        <v>0</v>
      </c>
      <c r="O678" s="31">
        <f t="shared" si="120"/>
        <v>0</v>
      </c>
      <c r="P678" s="51" t="s">
        <v>2505</v>
      </c>
      <c r="Q678" s="51"/>
      <c r="R678" s="765"/>
      <c r="S678" s="765"/>
      <c r="T678" s="765"/>
      <c r="U678" s="765"/>
      <c r="V678" s="765"/>
      <c r="W678" s="765"/>
    </row>
    <row r="679" spans="1:23" x14ac:dyDescent="0.25">
      <c r="A679" s="10">
        <v>44235</v>
      </c>
      <c r="B679" s="594">
        <v>0</v>
      </c>
      <c r="C679" s="31">
        <f t="shared" si="114"/>
        <v>-10460970.810000001</v>
      </c>
      <c r="D679" s="50">
        <v>0</v>
      </c>
      <c r="E679" s="31">
        <f t="shared" si="115"/>
        <v>48028.76</v>
      </c>
      <c r="F679" s="900">
        <v>0</v>
      </c>
      <c r="G679" s="899">
        <f t="shared" si="116"/>
        <v>22758.14</v>
      </c>
      <c r="H679" s="50">
        <v>6320</v>
      </c>
      <c r="I679" s="31">
        <f t="shared" si="117"/>
        <v>0</v>
      </c>
      <c r="J679" s="50">
        <v>0</v>
      </c>
      <c r="K679" s="31">
        <f t="shared" si="118"/>
        <v>0</v>
      </c>
      <c r="L679" s="50">
        <v>0</v>
      </c>
      <c r="M679" s="31">
        <f t="shared" si="119"/>
        <v>0</v>
      </c>
      <c r="N679" s="50">
        <v>0</v>
      </c>
      <c r="O679" s="31">
        <f t="shared" si="120"/>
        <v>0</v>
      </c>
      <c r="P679" s="51" t="s">
        <v>845</v>
      </c>
      <c r="Q679" s="51"/>
      <c r="R679" s="765"/>
      <c r="S679" s="765"/>
      <c r="T679" s="765"/>
      <c r="U679" s="765"/>
      <c r="V679" s="765"/>
      <c r="W679" s="765"/>
    </row>
    <row r="680" spans="1:23" x14ac:dyDescent="0.25">
      <c r="A680" s="10">
        <v>44239</v>
      </c>
      <c r="B680" s="594">
        <v>0</v>
      </c>
      <c r="C680" s="31">
        <f t="shared" si="114"/>
        <v>-10460970.810000001</v>
      </c>
      <c r="D680" s="50">
        <v>0</v>
      </c>
      <c r="E680" s="31">
        <f t="shared" si="115"/>
        <v>48028.76</v>
      </c>
      <c r="F680" s="900">
        <v>0</v>
      </c>
      <c r="G680" s="899">
        <f t="shared" si="116"/>
        <v>22758.14</v>
      </c>
      <c r="H680" s="50">
        <v>-153.81</v>
      </c>
      <c r="I680" s="31">
        <f t="shared" si="117"/>
        <v>-153.81</v>
      </c>
      <c r="J680" s="50">
        <v>0</v>
      </c>
      <c r="K680" s="31">
        <f t="shared" si="118"/>
        <v>0</v>
      </c>
      <c r="L680" s="50">
        <v>0</v>
      </c>
      <c r="M680" s="31">
        <f t="shared" si="119"/>
        <v>0</v>
      </c>
      <c r="N680" s="50">
        <v>0</v>
      </c>
      <c r="O680" s="31">
        <f t="shared" si="120"/>
        <v>0</v>
      </c>
      <c r="P680" s="51" t="s">
        <v>2529</v>
      </c>
      <c r="Q680" s="51"/>
      <c r="R680" s="765"/>
      <c r="S680" s="765"/>
      <c r="T680" s="765"/>
      <c r="U680" s="765"/>
      <c r="V680" s="765"/>
      <c r="W680" s="765"/>
    </row>
    <row r="681" spans="1:23" x14ac:dyDescent="0.25">
      <c r="A681" s="10">
        <v>44239</v>
      </c>
      <c r="B681" s="594">
        <v>0</v>
      </c>
      <c r="C681" s="31">
        <f t="shared" si="114"/>
        <v>-10460970.810000001</v>
      </c>
      <c r="D681" s="50">
        <v>0</v>
      </c>
      <c r="E681" s="31">
        <f t="shared" si="115"/>
        <v>48028.76</v>
      </c>
      <c r="F681" s="900">
        <v>0</v>
      </c>
      <c r="G681" s="899">
        <f t="shared" si="116"/>
        <v>22758.14</v>
      </c>
      <c r="H681" s="50">
        <v>-7000</v>
      </c>
      <c r="I681" s="31">
        <f t="shared" si="117"/>
        <v>-7153.81</v>
      </c>
      <c r="J681" s="50">
        <v>0</v>
      </c>
      <c r="K681" s="31">
        <f t="shared" si="118"/>
        <v>0</v>
      </c>
      <c r="L681" s="50">
        <v>0</v>
      </c>
      <c r="M681" s="31">
        <f t="shared" si="119"/>
        <v>0</v>
      </c>
      <c r="N681" s="50">
        <v>0</v>
      </c>
      <c r="O681" s="31">
        <f t="shared" si="120"/>
        <v>0</v>
      </c>
      <c r="P681" s="51" t="s">
        <v>2530</v>
      </c>
      <c r="Q681" s="51"/>
      <c r="R681" s="765"/>
      <c r="S681" s="765"/>
      <c r="T681" s="765"/>
      <c r="U681" s="765"/>
      <c r="V681" s="765"/>
      <c r="W681" s="765"/>
    </row>
    <row r="682" spans="1:23" x14ac:dyDescent="0.25">
      <c r="A682" s="10">
        <v>44243</v>
      </c>
      <c r="B682" s="594">
        <v>1700000</v>
      </c>
      <c r="C682" s="31">
        <f t="shared" si="114"/>
        <v>-8760970.8100000005</v>
      </c>
      <c r="D682" s="50">
        <v>-1708081.59</v>
      </c>
      <c r="E682" s="31">
        <f t="shared" si="115"/>
        <v>-1660052.83</v>
      </c>
      <c r="F682" s="900">
        <v>0</v>
      </c>
      <c r="G682" s="899">
        <f t="shared" si="116"/>
        <v>22758.14</v>
      </c>
      <c r="H682" s="50">
        <v>0</v>
      </c>
      <c r="I682" s="31">
        <f t="shared" si="117"/>
        <v>-7153.81</v>
      </c>
      <c r="J682" s="50">
        <v>0</v>
      </c>
      <c r="K682" s="31">
        <f t="shared" si="118"/>
        <v>0</v>
      </c>
      <c r="L682" s="50">
        <v>0</v>
      </c>
      <c r="M682" s="31">
        <f t="shared" si="119"/>
        <v>0</v>
      </c>
      <c r="N682" s="50">
        <v>0</v>
      </c>
      <c r="O682" s="31">
        <f t="shared" si="120"/>
        <v>0</v>
      </c>
      <c r="P682" s="51" t="s">
        <v>880</v>
      </c>
      <c r="Q682" s="51"/>
      <c r="R682" s="765"/>
      <c r="S682" s="765"/>
      <c r="T682" s="260"/>
      <c r="U682" s="1072"/>
      <c r="V682" s="765"/>
      <c r="W682" s="765"/>
    </row>
    <row r="683" spans="1:23" x14ac:dyDescent="0.25">
      <c r="A683" s="10">
        <v>44243</v>
      </c>
      <c r="B683" s="594">
        <v>-1700000</v>
      </c>
      <c r="C683" s="31">
        <f t="shared" si="114"/>
        <v>-10460970.810000001</v>
      </c>
      <c r="D683" s="50">
        <v>1708081.59</v>
      </c>
      <c r="E683" s="31">
        <f t="shared" si="115"/>
        <v>48028.76</v>
      </c>
      <c r="F683" s="900">
        <v>0</v>
      </c>
      <c r="G683" s="899">
        <f t="shared" si="116"/>
        <v>22758.14</v>
      </c>
      <c r="H683" s="50">
        <v>0</v>
      </c>
      <c r="I683" s="31">
        <f t="shared" si="117"/>
        <v>-7153.81</v>
      </c>
      <c r="J683" s="50">
        <v>0</v>
      </c>
      <c r="K683" s="31">
        <f t="shared" si="118"/>
        <v>0</v>
      </c>
      <c r="L683" s="50">
        <v>0</v>
      </c>
      <c r="M683" s="31">
        <f t="shared" si="119"/>
        <v>0</v>
      </c>
      <c r="N683" s="50">
        <v>0</v>
      </c>
      <c r="O683" s="31">
        <f t="shared" si="120"/>
        <v>0</v>
      </c>
      <c r="P683" s="51" t="s">
        <v>2404</v>
      </c>
      <c r="Q683" s="51"/>
      <c r="R683" s="765"/>
      <c r="S683" s="765"/>
      <c r="T683" s="260"/>
      <c r="U683" s="1072"/>
      <c r="V683" s="765"/>
      <c r="W683" s="765"/>
    </row>
    <row r="684" spans="1:23" x14ac:dyDescent="0.25">
      <c r="A684" s="10">
        <v>44243</v>
      </c>
      <c r="B684" s="594">
        <v>0</v>
      </c>
      <c r="C684" s="31">
        <f t="shared" si="114"/>
        <v>-10460970.810000001</v>
      </c>
      <c r="D684" s="50">
        <v>-1708081.59</v>
      </c>
      <c r="E684" s="31">
        <f t="shared" si="115"/>
        <v>-1660052.83</v>
      </c>
      <c r="F684" s="900">
        <v>0</v>
      </c>
      <c r="G684" s="899">
        <f t="shared" si="116"/>
        <v>22758.14</v>
      </c>
      <c r="H684" s="50">
        <v>0</v>
      </c>
      <c r="I684" s="31">
        <f t="shared" si="117"/>
        <v>-7153.81</v>
      </c>
      <c r="J684" s="50">
        <v>0</v>
      </c>
      <c r="K684" s="31">
        <f t="shared" si="118"/>
        <v>0</v>
      </c>
      <c r="L684" s="50">
        <v>0</v>
      </c>
      <c r="M684" s="31">
        <f t="shared" si="119"/>
        <v>0</v>
      </c>
      <c r="N684" s="50">
        <v>0</v>
      </c>
      <c r="O684" s="31">
        <f t="shared" si="120"/>
        <v>0</v>
      </c>
      <c r="P684" s="51" t="s">
        <v>1555</v>
      </c>
      <c r="Q684" s="51"/>
      <c r="R684" s="765"/>
      <c r="S684" s="765"/>
      <c r="T684" s="260"/>
      <c r="U684" s="765"/>
      <c r="V684" s="765"/>
      <c r="W684" s="765"/>
    </row>
    <row r="685" spans="1:23" x14ac:dyDescent="0.25">
      <c r="A685" s="10">
        <v>44243</v>
      </c>
      <c r="B685" s="594">
        <v>0</v>
      </c>
      <c r="C685" s="31">
        <f t="shared" si="114"/>
        <v>-10460970.810000001</v>
      </c>
      <c r="D685" s="50">
        <v>1750000</v>
      </c>
      <c r="E685" s="31">
        <f t="shared" si="115"/>
        <v>89947.17</v>
      </c>
      <c r="F685" s="900">
        <v>0</v>
      </c>
      <c r="G685" s="899">
        <f t="shared" si="116"/>
        <v>22758.14</v>
      </c>
      <c r="H685" s="50">
        <v>0</v>
      </c>
      <c r="I685" s="31">
        <f t="shared" si="117"/>
        <v>-7153.81</v>
      </c>
      <c r="J685" s="50">
        <v>0</v>
      </c>
      <c r="K685" s="31">
        <f t="shared" si="118"/>
        <v>0</v>
      </c>
      <c r="L685" s="50">
        <v>0</v>
      </c>
      <c r="M685" s="31">
        <f t="shared" si="119"/>
        <v>0</v>
      </c>
      <c r="N685" s="50">
        <v>0</v>
      </c>
      <c r="O685" s="31">
        <f t="shared" si="120"/>
        <v>0</v>
      </c>
      <c r="P685" s="51" t="s">
        <v>2139</v>
      </c>
      <c r="Q685" s="51"/>
      <c r="R685" s="765"/>
      <c r="S685" s="765"/>
      <c r="T685" s="31"/>
      <c r="U685" s="765"/>
      <c r="V685" s="765"/>
      <c r="W685" s="765"/>
    </row>
    <row r="686" spans="1:23" x14ac:dyDescent="0.25">
      <c r="A686" s="10">
        <v>44243</v>
      </c>
      <c r="B686" s="594">
        <v>0</v>
      </c>
      <c r="C686" s="31">
        <f t="shared" si="114"/>
        <v>-10460970.810000001</v>
      </c>
      <c r="D686" s="50">
        <v>0</v>
      </c>
      <c r="E686" s="31">
        <f t="shared" si="115"/>
        <v>89947.17</v>
      </c>
      <c r="F686" s="900">
        <v>0</v>
      </c>
      <c r="G686" s="899">
        <f t="shared" si="116"/>
        <v>22758.14</v>
      </c>
      <c r="H686" s="50">
        <v>7153.81</v>
      </c>
      <c r="I686" s="31">
        <f t="shared" si="117"/>
        <v>0</v>
      </c>
      <c r="J686" s="50">
        <v>0</v>
      </c>
      <c r="K686" s="31">
        <f t="shared" si="118"/>
        <v>0</v>
      </c>
      <c r="L686" s="50">
        <v>0</v>
      </c>
      <c r="M686" s="31">
        <f t="shared" si="119"/>
        <v>0</v>
      </c>
      <c r="N686" s="50">
        <v>0</v>
      </c>
      <c r="O686" s="31">
        <f t="shared" si="120"/>
        <v>0</v>
      </c>
      <c r="P686" s="51" t="s">
        <v>845</v>
      </c>
      <c r="Q686" s="51"/>
      <c r="R686" s="765"/>
      <c r="S686" s="765"/>
      <c r="T686" s="765"/>
      <c r="U686" s="765"/>
      <c r="V686" s="765"/>
      <c r="W686" s="765"/>
    </row>
    <row r="687" spans="1:23" x14ac:dyDescent="0.25">
      <c r="A687" s="10">
        <v>44244</v>
      </c>
      <c r="B687" s="594">
        <v>0</v>
      </c>
      <c r="C687" s="31">
        <f t="shared" si="114"/>
        <v>-10460970.810000001</v>
      </c>
      <c r="D687" s="50">
        <v>-79199908.464781225</v>
      </c>
      <c r="E687" s="31">
        <f t="shared" si="115"/>
        <v>-79109961.290000007</v>
      </c>
      <c r="F687" s="900">
        <v>0</v>
      </c>
      <c r="G687" s="899">
        <f t="shared" si="116"/>
        <v>22758.14</v>
      </c>
      <c r="H687" s="50">
        <v>0</v>
      </c>
      <c r="I687" s="31">
        <f t="shared" si="117"/>
        <v>0</v>
      </c>
      <c r="J687" s="50">
        <v>0</v>
      </c>
      <c r="K687" s="31">
        <f t="shared" si="118"/>
        <v>0</v>
      </c>
      <c r="L687" s="50">
        <v>0</v>
      </c>
      <c r="M687" s="31">
        <f t="shared" si="119"/>
        <v>0</v>
      </c>
      <c r="N687" s="50">
        <v>0</v>
      </c>
      <c r="O687" s="31">
        <f t="shared" si="120"/>
        <v>0</v>
      </c>
      <c r="P687" s="51" t="s">
        <v>2045</v>
      </c>
      <c r="Q687" s="51"/>
      <c r="R687" s="765"/>
      <c r="S687" s="765"/>
      <c r="T687" s="765"/>
      <c r="U687" s="765"/>
      <c r="V687" s="765"/>
      <c r="W687" s="765"/>
    </row>
    <row r="688" spans="1:23" x14ac:dyDescent="0.25">
      <c r="A688" s="10">
        <v>44244</v>
      </c>
      <c r="B688" s="594">
        <v>0</v>
      </c>
      <c r="C688" s="31">
        <f t="shared" si="114"/>
        <v>-10460970.810000001</v>
      </c>
      <c r="D688" s="50">
        <v>52675000</v>
      </c>
      <c r="E688" s="31">
        <f t="shared" si="115"/>
        <v>-26434961.289999999</v>
      </c>
      <c r="F688" s="900">
        <v>0</v>
      </c>
      <c r="G688" s="899">
        <f t="shared" si="116"/>
        <v>22758.14</v>
      </c>
      <c r="H688" s="50">
        <v>0</v>
      </c>
      <c r="I688" s="31">
        <f t="shared" si="117"/>
        <v>0</v>
      </c>
      <c r="J688" s="50">
        <v>0</v>
      </c>
      <c r="K688" s="31">
        <f t="shared" si="118"/>
        <v>0</v>
      </c>
      <c r="L688" s="50">
        <v>0</v>
      </c>
      <c r="M688" s="31">
        <f t="shared" si="119"/>
        <v>0</v>
      </c>
      <c r="N688" s="50">
        <v>0</v>
      </c>
      <c r="O688" s="31">
        <f t="shared" si="120"/>
        <v>0</v>
      </c>
      <c r="P688" s="51" t="s">
        <v>2535</v>
      </c>
      <c r="Q688" s="51"/>
      <c r="R688" s="765"/>
      <c r="S688" s="765"/>
      <c r="T688" s="765"/>
      <c r="U688" s="765"/>
      <c r="V688" s="765"/>
      <c r="W688" s="765"/>
    </row>
    <row r="689" spans="1:23" x14ac:dyDescent="0.25">
      <c r="A689" s="10">
        <v>44244</v>
      </c>
      <c r="B689" s="594">
        <v>0</v>
      </c>
      <c r="C689" s="31">
        <f t="shared" si="114"/>
        <v>-10460970.810000001</v>
      </c>
      <c r="D689" s="50">
        <v>26601928.5</v>
      </c>
      <c r="E689" s="31">
        <f t="shared" si="115"/>
        <v>166967.21</v>
      </c>
      <c r="F689" s="900">
        <v>0</v>
      </c>
      <c r="G689" s="899">
        <f t="shared" si="116"/>
        <v>22758.14</v>
      </c>
      <c r="H689" s="50">
        <v>0</v>
      </c>
      <c r="I689" s="31">
        <f t="shared" si="117"/>
        <v>0</v>
      </c>
      <c r="J689" s="50">
        <v>0</v>
      </c>
      <c r="K689" s="31">
        <f t="shared" si="118"/>
        <v>0</v>
      </c>
      <c r="L689" s="50">
        <v>0</v>
      </c>
      <c r="M689" s="31">
        <f t="shared" si="119"/>
        <v>0</v>
      </c>
      <c r="N689" s="50">
        <v>0</v>
      </c>
      <c r="O689" s="31">
        <f t="shared" si="120"/>
        <v>0</v>
      </c>
      <c r="P689" s="51" t="s">
        <v>2536</v>
      </c>
      <c r="Q689" s="51"/>
      <c r="R689" s="765"/>
      <c r="S689" s="765"/>
      <c r="T689" s="765"/>
      <c r="U689" s="765"/>
      <c r="V689" s="765"/>
      <c r="W689" s="765"/>
    </row>
    <row r="690" spans="1:23" x14ac:dyDescent="0.25">
      <c r="A690" s="10">
        <v>44244</v>
      </c>
      <c r="B690" s="594">
        <v>0</v>
      </c>
      <c r="C690" s="31">
        <f t="shared" si="114"/>
        <v>-10460970.810000001</v>
      </c>
      <c r="D690" s="50">
        <v>-166967.21</v>
      </c>
      <c r="E690" s="31">
        <f t="shared" si="115"/>
        <v>0</v>
      </c>
      <c r="F690" s="900">
        <v>0</v>
      </c>
      <c r="G690" s="899">
        <f t="shared" si="116"/>
        <v>22758.14</v>
      </c>
      <c r="H690" s="50">
        <v>0</v>
      </c>
      <c r="I690" s="31">
        <f t="shared" si="117"/>
        <v>0</v>
      </c>
      <c r="J690" s="50">
        <v>0</v>
      </c>
      <c r="K690" s="31">
        <f t="shared" si="118"/>
        <v>0</v>
      </c>
      <c r="L690" s="50">
        <v>0</v>
      </c>
      <c r="M690" s="31">
        <f t="shared" si="119"/>
        <v>0</v>
      </c>
      <c r="N690" s="50">
        <v>0</v>
      </c>
      <c r="O690" s="31">
        <f t="shared" si="120"/>
        <v>0</v>
      </c>
      <c r="P690" s="51" t="s">
        <v>845</v>
      </c>
      <c r="Q690" s="51"/>
      <c r="R690" s="765"/>
      <c r="S690" s="765"/>
      <c r="T690" s="765"/>
      <c r="U690" s="765"/>
      <c r="V690" s="765"/>
      <c r="W690" s="765"/>
    </row>
    <row r="691" spans="1:23" x14ac:dyDescent="0.25">
      <c r="A691" s="10">
        <v>44246</v>
      </c>
      <c r="B691" s="594">
        <v>-1700000</v>
      </c>
      <c r="C691" s="31">
        <f t="shared" si="114"/>
        <v>-12160970.810000001</v>
      </c>
      <c r="D691" s="50">
        <v>1708466.43</v>
      </c>
      <c r="E691" s="31">
        <f t="shared" si="115"/>
        <v>1708466.43</v>
      </c>
      <c r="F691" s="900">
        <v>0</v>
      </c>
      <c r="G691" s="899">
        <f t="shared" si="116"/>
        <v>22758.14</v>
      </c>
      <c r="H691" s="50">
        <v>0</v>
      </c>
      <c r="I691" s="31">
        <f t="shared" si="117"/>
        <v>0</v>
      </c>
      <c r="J691" s="50">
        <v>0</v>
      </c>
      <c r="K691" s="31">
        <f t="shared" si="118"/>
        <v>0</v>
      </c>
      <c r="L691" s="50">
        <v>0</v>
      </c>
      <c r="M691" s="31">
        <f t="shared" si="119"/>
        <v>0</v>
      </c>
      <c r="N691" s="50">
        <v>0</v>
      </c>
      <c r="O691" s="31">
        <f t="shared" si="120"/>
        <v>0</v>
      </c>
      <c r="P691" s="51" t="s">
        <v>880</v>
      </c>
      <c r="Q691" s="51"/>
      <c r="R691" s="765"/>
      <c r="S691" s="765"/>
      <c r="T691" s="765"/>
      <c r="U691" s="765"/>
      <c r="V691" s="765"/>
      <c r="W691" s="765"/>
    </row>
    <row r="692" spans="1:23" x14ac:dyDescent="0.25">
      <c r="A692" s="10">
        <v>44246</v>
      </c>
      <c r="B692" s="594">
        <f>-B691</f>
        <v>1700000</v>
      </c>
      <c r="C692" s="31">
        <f t="shared" si="114"/>
        <v>-10460970.810000001</v>
      </c>
      <c r="D692" s="50">
        <f>-D691</f>
        <v>-1708466.43</v>
      </c>
      <c r="E692" s="31">
        <f t="shared" si="115"/>
        <v>0</v>
      </c>
      <c r="F692" s="900">
        <v>0</v>
      </c>
      <c r="G692" s="899">
        <f t="shared" si="116"/>
        <v>22758.14</v>
      </c>
      <c r="H692" s="50">
        <v>0</v>
      </c>
      <c r="I692" s="31">
        <f t="shared" si="117"/>
        <v>0</v>
      </c>
      <c r="J692" s="50">
        <v>0</v>
      </c>
      <c r="K692" s="31">
        <f t="shared" si="118"/>
        <v>0</v>
      </c>
      <c r="L692" s="50">
        <v>0</v>
      </c>
      <c r="M692" s="31">
        <f t="shared" si="119"/>
        <v>0</v>
      </c>
      <c r="N692" s="50">
        <v>0</v>
      </c>
      <c r="O692" s="31">
        <f t="shared" si="120"/>
        <v>0</v>
      </c>
      <c r="P692" s="51" t="s">
        <v>2537</v>
      </c>
      <c r="Q692" s="51"/>
      <c r="R692" s="765"/>
      <c r="S692" s="765"/>
      <c r="T692" s="765"/>
      <c r="U692" s="765"/>
      <c r="V692" s="765"/>
      <c r="W692" s="765"/>
    </row>
    <row r="693" spans="1:23" x14ac:dyDescent="0.25">
      <c r="A693" s="10">
        <v>44246</v>
      </c>
      <c r="B693" s="594">
        <v>0</v>
      </c>
      <c r="C693" s="31">
        <f t="shared" si="114"/>
        <v>-10460970.810000001</v>
      </c>
      <c r="D693" s="50">
        <v>1708140.8746651863</v>
      </c>
      <c r="E693" s="31">
        <f t="shared" si="115"/>
        <v>1708140.87</v>
      </c>
      <c r="F693" s="900">
        <v>0</v>
      </c>
      <c r="G693" s="899">
        <f t="shared" si="116"/>
        <v>22758.14</v>
      </c>
      <c r="H693" s="50">
        <v>0</v>
      </c>
      <c r="I693" s="31">
        <f t="shared" si="117"/>
        <v>0</v>
      </c>
      <c r="J693" s="50">
        <v>0</v>
      </c>
      <c r="K693" s="31">
        <f t="shared" si="118"/>
        <v>0</v>
      </c>
      <c r="L693" s="50">
        <v>0</v>
      </c>
      <c r="M693" s="31">
        <f t="shared" si="119"/>
        <v>0</v>
      </c>
      <c r="N693" s="50">
        <v>0</v>
      </c>
      <c r="O693" s="31">
        <f t="shared" si="120"/>
        <v>0</v>
      </c>
      <c r="P693" s="51" t="s">
        <v>2538</v>
      </c>
      <c r="Q693" s="51"/>
      <c r="R693" s="765"/>
      <c r="S693" s="765"/>
      <c r="T693" s="765"/>
      <c r="U693" s="765"/>
      <c r="V693" s="765"/>
      <c r="W693" s="765"/>
    </row>
    <row r="694" spans="1:23" x14ac:dyDescent="0.25">
      <c r="A694" s="10">
        <v>44246</v>
      </c>
      <c r="B694" s="594">
        <f>753989.88-241.88</f>
        <v>753748</v>
      </c>
      <c r="C694" s="31">
        <f t="shared" si="114"/>
        <v>-9707222.8100000005</v>
      </c>
      <c r="D694" s="50">
        <v>-757574</v>
      </c>
      <c r="E694" s="31">
        <f t="shared" si="115"/>
        <v>950566.87</v>
      </c>
      <c r="F694" s="900">
        <v>0</v>
      </c>
      <c r="G694" s="899">
        <f t="shared" si="116"/>
        <v>22758.14</v>
      </c>
      <c r="H694" s="50">
        <v>0</v>
      </c>
      <c r="I694" s="31">
        <f t="shared" si="117"/>
        <v>0</v>
      </c>
      <c r="J694" s="50">
        <v>0</v>
      </c>
      <c r="K694" s="31">
        <f t="shared" si="118"/>
        <v>0</v>
      </c>
      <c r="L694" s="50">
        <v>0</v>
      </c>
      <c r="M694" s="31">
        <f t="shared" si="119"/>
        <v>0</v>
      </c>
      <c r="N694" s="50">
        <v>0</v>
      </c>
      <c r="O694" s="31">
        <f t="shared" si="120"/>
        <v>0</v>
      </c>
      <c r="P694" s="51" t="s">
        <v>880</v>
      </c>
      <c r="Q694" s="51"/>
      <c r="R694" s="765"/>
      <c r="S694" s="765"/>
      <c r="T694" s="765"/>
      <c r="U694" s="765"/>
      <c r="V694" s="765"/>
      <c r="W694" s="765"/>
    </row>
    <row r="695" spans="1:23" x14ac:dyDescent="0.25">
      <c r="A695" s="10">
        <v>44246</v>
      </c>
      <c r="B695" s="594">
        <f>-B694</f>
        <v>-753748</v>
      </c>
      <c r="C695" s="31">
        <f t="shared" si="114"/>
        <v>-10460970.810000001</v>
      </c>
      <c r="D695" s="594">
        <f>-D694</f>
        <v>757574</v>
      </c>
      <c r="E695" s="31">
        <f t="shared" si="115"/>
        <v>1708140.87</v>
      </c>
      <c r="F695" s="900">
        <v>0</v>
      </c>
      <c r="G695" s="899">
        <f t="shared" si="116"/>
        <v>22758.14</v>
      </c>
      <c r="H695" s="50">
        <v>0</v>
      </c>
      <c r="I695" s="31">
        <f t="shared" si="117"/>
        <v>0</v>
      </c>
      <c r="J695" s="50">
        <v>0</v>
      </c>
      <c r="K695" s="31">
        <f t="shared" si="118"/>
        <v>0</v>
      </c>
      <c r="L695" s="50">
        <v>0</v>
      </c>
      <c r="M695" s="31">
        <f t="shared" si="119"/>
        <v>0</v>
      </c>
      <c r="N695" s="50">
        <v>0</v>
      </c>
      <c r="O695" s="31">
        <f t="shared" si="120"/>
        <v>0</v>
      </c>
      <c r="P695" s="51" t="s">
        <v>2537</v>
      </c>
      <c r="Q695" s="51"/>
      <c r="R695" s="765"/>
      <c r="S695" s="765"/>
      <c r="T695" s="765"/>
      <c r="U695" s="765"/>
      <c r="V695" s="765"/>
      <c r="W695" s="765"/>
    </row>
    <row r="696" spans="1:23" x14ac:dyDescent="0.25">
      <c r="A696" s="10">
        <v>44246</v>
      </c>
      <c r="B696" s="594">
        <v>0</v>
      </c>
      <c r="C696" s="31">
        <f t="shared" si="114"/>
        <v>-10460970.810000001</v>
      </c>
      <c r="D696" s="50">
        <v>-757574</v>
      </c>
      <c r="E696" s="31">
        <f t="shared" si="115"/>
        <v>950566.87</v>
      </c>
      <c r="F696" s="900">
        <v>0</v>
      </c>
      <c r="G696" s="899">
        <f t="shared" si="116"/>
        <v>22758.14</v>
      </c>
      <c r="H696" s="50">
        <v>0</v>
      </c>
      <c r="I696" s="31">
        <f t="shared" si="117"/>
        <v>0</v>
      </c>
      <c r="J696" s="50">
        <v>0</v>
      </c>
      <c r="K696" s="31">
        <f t="shared" si="118"/>
        <v>0</v>
      </c>
      <c r="L696" s="50">
        <v>0</v>
      </c>
      <c r="M696" s="31">
        <f t="shared" si="119"/>
        <v>0</v>
      </c>
      <c r="N696" s="50">
        <v>0</v>
      </c>
      <c r="O696" s="31">
        <f t="shared" si="120"/>
        <v>0</v>
      </c>
      <c r="P696" s="51" t="s">
        <v>2539</v>
      </c>
      <c r="Q696" s="51"/>
      <c r="R696" s="765"/>
      <c r="S696" s="765"/>
      <c r="T696" s="765"/>
      <c r="U696" s="765"/>
      <c r="V696" s="765"/>
      <c r="W696" s="765"/>
    </row>
    <row r="697" spans="1:23" x14ac:dyDescent="0.25">
      <c r="A697" s="10">
        <v>44249</v>
      </c>
      <c r="B697" s="594">
        <v>8000000</v>
      </c>
      <c r="C697" s="31">
        <f t="shared" si="114"/>
        <v>-2460970.81</v>
      </c>
      <c r="D697" s="50">
        <v>-8037819.6699999999</v>
      </c>
      <c r="E697" s="31">
        <f t="shared" si="115"/>
        <v>-7087252.7999999998</v>
      </c>
      <c r="F697" s="900">
        <v>0</v>
      </c>
      <c r="G697" s="899">
        <f t="shared" si="116"/>
        <v>22758.14</v>
      </c>
      <c r="H697" s="50">
        <v>0</v>
      </c>
      <c r="I697" s="31">
        <f t="shared" si="117"/>
        <v>0</v>
      </c>
      <c r="J697" s="50">
        <v>0</v>
      </c>
      <c r="K697" s="31">
        <f t="shared" si="118"/>
        <v>0</v>
      </c>
      <c r="L697" s="50">
        <v>0</v>
      </c>
      <c r="M697" s="31">
        <f t="shared" si="119"/>
        <v>0</v>
      </c>
      <c r="N697" s="50">
        <v>0</v>
      </c>
      <c r="O697" s="31">
        <f t="shared" si="120"/>
        <v>0</v>
      </c>
      <c r="P697" s="51" t="s">
        <v>831</v>
      </c>
      <c r="Q697" s="51"/>
      <c r="R697" s="765"/>
      <c r="S697" s="765"/>
      <c r="T697" s="765"/>
      <c r="U697" s="765"/>
      <c r="V697" s="765"/>
      <c r="W697" s="765"/>
    </row>
    <row r="698" spans="1:23" x14ac:dyDescent="0.25">
      <c r="A698" s="10">
        <v>44249</v>
      </c>
      <c r="B698" s="594">
        <f>-B697</f>
        <v>-8000000</v>
      </c>
      <c r="C698" s="31">
        <f t="shared" si="114"/>
        <v>-10460970.810000001</v>
      </c>
      <c r="D698" s="594">
        <f>-D697</f>
        <v>8037819.6699999999</v>
      </c>
      <c r="E698" s="31">
        <f t="shared" si="115"/>
        <v>950566.87</v>
      </c>
      <c r="F698" s="900">
        <v>0</v>
      </c>
      <c r="G698" s="899">
        <f t="shared" si="116"/>
        <v>22758.14</v>
      </c>
      <c r="H698" s="50">
        <v>0</v>
      </c>
      <c r="I698" s="31">
        <f t="shared" si="117"/>
        <v>0</v>
      </c>
      <c r="J698" s="50">
        <v>0</v>
      </c>
      <c r="K698" s="31">
        <f t="shared" si="118"/>
        <v>0</v>
      </c>
      <c r="L698" s="50">
        <v>0</v>
      </c>
      <c r="M698" s="31">
        <f t="shared" si="119"/>
        <v>0</v>
      </c>
      <c r="N698" s="50">
        <v>0</v>
      </c>
      <c r="O698" s="31">
        <f t="shared" si="120"/>
        <v>0</v>
      </c>
      <c r="P698" s="51" t="s">
        <v>2566</v>
      </c>
      <c r="Q698" s="51"/>
      <c r="R698" s="765"/>
      <c r="S698" s="765"/>
      <c r="T698" s="765"/>
      <c r="U698" s="765"/>
      <c r="V698" s="765"/>
      <c r="W698" s="765"/>
    </row>
    <row r="699" spans="1:23" x14ac:dyDescent="0.25">
      <c r="A699" s="10">
        <v>44249</v>
      </c>
      <c r="B699" s="594">
        <v>0</v>
      </c>
      <c r="C699" s="31">
        <f t="shared" si="114"/>
        <v>-10460970.810000001</v>
      </c>
      <c r="D699" s="50">
        <v>-8037819.6699999999</v>
      </c>
      <c r="E699" s="31">
        <f t="shared" si="115"/>
        <v>-7087252.7999999998</v>
      </c>
      <c r="F699" s="900">
        <v>0</v>
      </c>
      <c r="G699" s="899">
        <f t="shared" si="116"/>
        <v>22758.14</v>
      </c>
      <c r="H699" s="50">
        <v>0</v>
      </c>
      <c r="I699" s="31">
        <f t="shared" si="117"/>
        <v>0</v>
      </c>
      <c r="J699" s="50">
        <v>0</v>
      </c>
      <c r="K699" s="31">
        <f t="shared" si="118"/>
        <v>0</v>
      </c>
      <c r="L699" s="50">
        <v>0</v>
      </c>
      <c r="M699" s="31">
        <f t="shared" si="119"/>
        <v>0</v>
      </c>
      <c r="N699" s="50">
        <v>0</v>
      </c>
      <c r="O699" s="31">
        <f t="shared" si="120"/>
        <v>0</v>
      </c>
      <c r="P699" s="51" t="s">
        <v>2567</v>
      </c>
      <c r="Q699" s="51"/>
      <c r="R699" s="765"/>
      <c r="S699" s="765"/>
      <c r="T699" s="765"/>
      <c r="U699" s="765"/>
      <c r="V699" s="765"/>
      <c r="W699" s="765"/>
    </row>
    <row r="700" spans="1:23" x14ac:dyDescent="0.25">
      <c r="A700" s="10">
        <v>44249</v>
      </c>
      <c r="B700" s="594">
        <v>0</v>
      </c>
      <c r="C700" s="31">
        <f t="shared" ref="C700:C702" si="123">ROUND(B700+C699,2)</f>
        <v>-10460970.810000001</v>
      </c>
      <c r="D700" s="50">
        <v>8000000</v>
      </c>
      <c r="E700" s="31">
        <f t="shared" ref="E700:E702" si="124">ROUND(D700+E699,2)</f>
        <v>912747.2</v>
      </c>
      <c r="F700" s="900">
        <v>0</v>
      </c>
      <c r="G700" s="899">
        <f t="shared" ref="G700:G702" si="125">ROUND(F700+G699,2)</f>
        <v>22758.14</v>
      </c>
      <c r="H700" s="50">
        <v>0</v>
      </c>
      <c r="I700" s="31">
        <f t="shared" ref="I700:I702" si="126">ROUND(H700+I699,2)</f>
        <v>0</v>
      </c>
      <c r="J700" s="50">
        <v>0</v>
      </c>
      <c r="K700" s="31">
        <f t="shared" ref="K700:K702" si="127">ROUND(J700+K699,2)</f>
        <v>0</v>
      </c>
      <c r="L700" s="50">
        <v>0</v>
      </c>
      <c r="M700" s="31">
        <f t="shared" ref="M700:M702" si="128">ROUND(L700+M699,2)</f>
        <v>0</v>
      </c>
      <c r="N700" s="50">
        <v>0</v>
      </c>
      <c r="O700" s="31">
        <f t="shared" ref="O700:O702" si="129">ROUND(N700+O699,2)</f>
        <v>0</v>
      </c>
      <c r="P700" s="51" t="s">
        <v>2568</v>
      </c>
      <c r="Q700" s="51"/>
      <c r="R700" s="765"/>
      <c r="S700" s="765"/>
      <c r="T700" s="765"/>
      <c r="U700" s="765"/>
      <c r="V700" s="765"/>
      <c r="W700" s="765"/>
    </row>
    <row r="701" spans="1:23" x14ac:dyDescent="0.25">
      <c r="A701" s="10">
        <v>44249</v>
      </c>
      <c r="B701" s="594">
        <v>0</v>
      </c>
      <c r="C701" s="31">
        <f t="shared" si="123"/>
        <v>-10460970.810000001</v>
      </c>
      <c r="D701" s="50">
        <v>37819.669999999896</v>
      </c>
      <c r="E701" s="31">
        <f t="shared" si="124"/>
        <v>950566.87</v>
      </c>
      <c r="F701" s="900">
        <v>0</v>
      </c>
      <c r="G701" s="899">
        <f t="shared" si="125"/>
        <v>22758.14</v>
      </c>
      <c r="H701" s="50">
        <v>0</v>
      </c>
      <c r="I701" s="31">
        <f t="shared" si="126"/>
        <v>0</v>
      </c>
      <c r="J701" s="50">
        <v>0</v>
      </c>
      <c r="K701" s="31">
        <f t="shared" si="127"/>
        <v>0</v>
      </c>
      <c r="L701" s="50">
        <v>0</v>
      </c>
      <c r="M701" s="31">
        <f t="shared" si="128"/>
        <v>0</v>
      </c>
      <c r="N701" s="50">
        <v>0</v>
      </c>
      <c r="O701" s="31">
        <f t="shared" si="129"/>
        <v>0</v>
      </c>
      <c r="P701" s="51" t="s">
        <v>845</v>
      </c>
      <c r="Q701" s="51"/>
      <c r="R701" s="765"/>
      <c r="S701" s="765"/>
      <c r="T701" s="765"/>
      <c r="U701" s="765"/>
      <c r="V701" s="765"/>
      <c r="W701" s="765"/>
    </row>
    <row r="702" spans="1:23" x14ac:dyDescent="0.25">
      <c r="A702" s="10">
        <v>44250</v>
      </c>
      <c r="B702" s="594">
        <v>0</v>
      </c>
      <c r="C702" s="31">
        <f t="shared" si="123"/>
        <v>-10460970.810000001</v>
      </c>
      <c r="D702" s="50">
        <v>-832632.73</v>
      </c>
      <c r="E702" s="31">
        <f t="shared" si="124"/>
        <v>117934.14</v>
      </c>
      <c r="F702" s="900">
        <v>0</v>
      </c>
      <c r="G702" s="899">
        <f t="shared" si="125"/>
        <v>22758.14</v>
      </c>
      <c r="H702" s="50">
        <v>0</v>
      </c>
      <c r="I702" s="31">
        <f t="shared" si="126"/>
        <v>0</v>
      </c>
      <c r="J702" s="50">
        <v>0</v>
      </c>
      <c r="K702" s="31">
        <f t="shared" si="127"/>
        <v>0</v>
      </c>
      <c r="L702" s="50">
        <v>0</v>
      </c>
      <c r="M702" s="31">
        <f t="shared" si="128"/>
        <v>0</v>
      </c>
      <c r="N702" s="50">
        <v>0</v>
      </c>
      <c r="O702" s="31">
        <f t="shared" si="129"/>
        <v>0</v>
      </c>
      <c r="P702" s="51" t="s">
        <v>845</v>
      </c>
      <c r="Q702" s="51"/>
      <c r="R702" s="765"/>
      <c r="S702" s="765"/>
      <c r="T702" s="765"/>
      <c r="U702" s="765"/>
      <c r="V702" s="765"/>
      <c r="W702" s="765"/>
    </row>
    <row r="703" spans="1:23" x14ac:dyDescent="0.25">
      <c r="A703" s="10">
        <v>44252</v>
      </c>
      <c r="B703" s="594">
        <v>0</v>
      </c>
      <c r="C703" s="31">
        <f t="shared" ref="C703:C766" si="130">ROUND(B703+C702,2)</f>
        <v>-10460970.810000001</v>
      </c>
      <c r="D703" s="50">
        <v>-2137.5</v>
      </c>
      <c r="E703" s="31">
        <f t="shared" ref="E703:E766" si="131">ROUND(D703+E702,2)</f>
        <v>115796.64</v>
      </c>
      <c r="F703" s="900">
        <v>0</v>
      </c>
      <c r="G703" s="899">
        <f t="shared" ref="G703:G766" si="132">ROUND(F703+G702,2)</f>
        <v>22758.14</v>
      </c>
      <c r="H703" s="50">
        <v>0</v>
      </c>
      <c r="I703" s="31">
        <f t="shared" ref="I703:I766" si="133">ROUND(H703+I702,2)</f>
        <v>0</v>
      </c>
      <c r="J703" s="50">
        <v>0</v>
      </c>
      <c r="K703" s="31">
        <f t="shared" ref="K703:K766" si="134">ROUND(J703+K702,2)</f>
        <v>0</v>
      </c>
      <c r="L703" s="50">
        <v>0</v>
      </c>
      <c r="M703" s="31">
        <f t="shared" ref="M703:M766" si="135">ROUND(L703+M702,2)</f>
        <v>0</v>
      </c>
      <c r="N703" s="50">
        <v>0</v>
      </c>
      <c r="O703" s="31">
        <f t="shared" ref="O703:O766" si="136">ROUND(N703+O702,2)</f>
        <v>0</v>
      </c>
      <c r="P703" s="51" t="s">
        <v>2394</v>
      </c>
      <c r="Q703" s="51"/>
      <c r="R703" s="765"/>
      <c r="S703" s="765"/>
      <c r="T703" s="765"/>
      <c r="U703" s="765"/>
      <c r="V703" s="765"/>
      <c r="W703" s="765"/>
    </row>
    <row r="704" spans="1:23" x14ac:dyDescent="0.25">
      <c r="A704" s="10">
        <v>44252</v>
      </c>
      <c r="B704" s="594">
        <v>0</v>
      </c>
      <c r="C704" s="31">
        <f t="shared" si="130"/>
        <v>-10460970.810000001</v>
      </c>
      <c r="D704" s="50">
        <v>2137.5</v>
      </c>
      <c r="E704" s="31">
        <f t="shared" si="131"/>
        <v>117934.14</v>
      </c>
      <c r="F704" s="900">
        <v>0</v>
      </c>
      <c r="G704" s="899">
        <f t="shared" si="132"/>
        <v>22758.14</v>
      </c>
      <c r="H704" s="50">
        <v>0</v>
      </c>
      <c r="I704" s="31">
        <f t="shared" si="133"/>
        <v>0</v>
      </c>
      <c r="J704" s="50">
        <v>0</v>
      </c>
      <c r="K704" s="31">
        <f t="shared" si="134"/>
        <v>0</v>
      </c>
      <c r="L704" s="50">
        <v>0</v>
      </c>
      <c r="M704" s="31">
        <f t="shared" si="135"/>
        <v>0</v>
      </c>
      <c r="N704" s="50">
        <v>0</v>
      </c>
      <c r="O704" s="31">
        <f t="shared" si="136"/>
        <v>0</v>
      </c>
      <c r="P704" s="51" t="s">
        <v>845</v>
      </c>
      <c r="Q704" s="51"/>
      <c r="R704" s="765"/>
      <c r="S704" s="765"/>
    </row>
    <row r="705" spans="1:19" x14ac:dyDescent="0.25">
      <c r="A705" s="10">
        <v>44252</v>
      </c>
      <c r="B705" s="594">
        <v>0</v>
      </c>
      <c r="C705" s="31">
        <f t="shared" si="130"/>
        <v>-10460970.810000001</v>
      </c>
      <c r="D705" s="50">
        <v>155.05000000000001</v>
      </c>
      <c r="E705" s="31">
        <f t="shared" si="131"/>
        <v>118089.19</v>
      </c>
      <c r="F705" s="900">
        <v>0</v>
      </c>
      <c r="G705" s="899">
        <f t="shared" si="132"/>
        <v>22758.14</v>
      </c>
      <c r="H705" s="50">
        <v>0</v>
      </c>
      <c r="I705" s="31">
        <f t="shared" si="133"/>
        <v>0</v>
      </c>
      <c r="J705" s="50">
        <v>0</v>
      </c>
      <c r="K705" s="31">
        <f t="shared" si="134"/>
        <v>0</v>
      </c>
      <c r="L705" s="50">
        <v>0</v>
      </c>
      <c r="M705" s="31">
        <f t="shared" si="135"/>
        <v>0</v>
      </c>
      <c r="N705" s="50">
        <v>0</v>
      </c>
      <c r="O705" s="31">
        <f t="shared" si="136"/>
        <v>0</v>
      </c>
      <c r="P705" s="51" t="s">
        <v>1020</v>
      </c>
      <c r="Q705" s="51"/>
      <c r="R705" s="765"/>
      <c r="S705" s="765"/>
    </row>
    <row r="706" spans="1:19" x14ac:dyDescent="0.25">
      <c r="A706" s="10">
        <v>44257</v>
      </c>
      <c r="B706" s="594">
        <v>3600000</v>
      </c>
      <c r="C706" s="31">
        <f t="shared" si="130"/>
        <v>-6860970.8099999996</v>
      </c>
      <c r="D706" s="50">
        <v>0</v>
      </c>
      <c r="E706" s="31">
        <f t="shared" si="131"/>
        <v>118089.19</v>
      </c>
      <c r="F706" s="900">
        <v>-3611988.9</v>
      </c>
      <c r="G706" s="899">
        <f t="shared" si="132"/>
        <v>-3589230.76</v>
      </c>
      <c r="H706" s="50">
        <v>0</v>
      </c>
      <c r="I706" s="31">
        <f t="shared" si="133"/>
        <v>0</v>
      </c>
      <c r="J706" s="50">
        <v>0</v>
      </c>
      <c r="K706" s="31">
        <f t="shared" si="134"/>
        <v>0</v>
      </c>
      <c r="L706" s="50">
        <v>0</v>
      </c>
      <c r="M706" s="31">
        <f t="shared" si="135"/>
        <v>0</v>
      </c>
      <c r="N706" s="50">
        <v>0</v>
      </c>
      <c r="O706" s="31">
        <f t="shared" si="136"/>
        <v>0</v>
      </c>
      <c r="P706" s="51" t="s">
        <v>1012</v>
      </c>
      <c r="Q706" s="51"/>
      <c r="R706" s="765"/>
      <c r="S706" s="765"/>
    </row>
    <row r="707" spans="1:19" x14ac:dyDescent="0.25">
      <c r="A707" s="10">
        <v>44257</v>
      </c>
      <c r="B707" s="594">
        <v>-3600000</v>
      </c>
      <c r="C707" s="31">
        <f t="shared" si="130"/>
        <v>-10460970.810000001</v>
      </c>
      <c r="D707" s="50">
        <v>0</v>
      </c>
      <c r="E707" s="31">
        <f t="shared" si="131"/>
        <v>118089.19</v>
      </c>
      <c r="F707" s="900">
        <v>3611988.9</v>
      </c>
      <c r="G707" s="899">
        <f t="shared" si="132"/>
        <v>22758.14</v>
      </c>
      <c r="H707" s="50">
        <v>0</v>
      </c>
      <c r="I707" s="31">
        <f t="shared" si="133"/>
        <v>0</v>
      </c>
      <c r="J707" s="50">
        <v>0</v>
      </c>
      <c r="K707" s="31">
        <f t="shared" si="134"/>
        <v>0</v>
      </c>
      <c r="L707" s="50">
        <v>0</v>
      </c>
      <c r="M707" s="31">
        <f t="shared" si="135"/>
        <v>0</v>
      </c>
      <c r="N707" s="50">
        <v>0</v>
      </c>
      <c r="O707" s="31">
        <f t="shared" si="136"/>
        <v>0</v>
      </c>
      <c r="P707" s="51" t="s">
        <v>2593</v>
      </c>
      <c r="Q707" s="51"/>
      <c r="R707" s="765"/>
      <c r="S707" s="765"/>
    </row>
    <row r="708" spans="1:19" x14ac:dyDescent="0.25">
      <c r="A708" s="10">
        <v>44257</v>
      </c>
      <c r="B708" s="594">
        <v>0</v>
      </c>
      <c r="C708" s="31">
        <f t="shared" si="130"/>
        <v>-10460970.810000001</v>
      </c>
      <c r="D708" s="50">
        <v>0</v>
      </c>
      <c r="E708" s="31">
        <f t="shared" si="131"/>
        <v>118089.19</v>
      </c>
      <c r="F708" s="900">
        <v>-3611988.9</v>
      </c>
      <c r="G708" s="899">
        <f t="shared" si="132"/>
        <v>-3589230.76</v>
      </c>
      <c r="H708" s="50">
        <v>0</v>
      </c>
      <c r="I708" s="31">
        <f t="shared" si="133"/>
        <v>0</v>
      </c>
      <c r="J708" s="50">
        <v>0</v>
      </c>
      <c r="K708" s="31">
        <f t="shared" si="134"/>
        <v>0</v>
      </c>
      <c r="L708" s="50">
        <v>0</v>
      </c>
      <c r="M708" s="31">
        <f t="shared" si="135"/>
        <v>0</v>
      </c>
      <c r="N708" s="50">
        <v>0</v>
      </c>
      <c r="O708" s="31">
        <f t="shared" si="136"/>
        <v>0</v>
      </c>
      <c r="P708" s="51" t="s">
        <v>2594</v>
      </c>
      <c r="Q708" s="51"/>
      <c r="R708" s="765"/>
      <c r="S708" s="765"/>
    </row>
    <row r="709" spans="1:19" x14ac:dyDescent="0.25">
      <c r="A709" s="10">
        <v>44257</v>
      </c>
      <c r="B709" s="594">
        <v>0</v>
      </c>
      <c r="C709" s="31">
        <f t="shared" si="130"/>
        <v>-10460970.810000001</v>
      </c>
      <c r="D709" s="50">
        <v>0</v>
      </c>
      <c r="E709" s="31">
        <f t="shared" si="131"/>
        <v>118089.19</v>
      </c>
      <c r="F709" s="900">
        <v>3611988.9</v>
      </c>
      <c r="G709" s="899">
        <f t="shared" si="132"/>
        <v>22758.14</v>
      </c>
      <c r="H709" s="50">
        <v>0</v>
      </c>
      <c r="I709" s="31">
        <f t="shared" si="133"/>
        <v>0</v>
      </c>
      <c r="J709" s="50">
        <v>0</v>
      </c>
      <c r="K709" s="31">
        <f t="shared" si="134"/>
        <v>0</v>
      </c>
      <c r="L709" s="50">
        <v>0</v>
      </c>
      <c r="M709" s="31">
        <f t="shared" si="135"/>
        <v>0</v>
      </c>
      <c r="N709" s="50">
        <v>0</v>
      </c>
      <c r="O709" s="31">
        <f t="shared" si="136"/>
        <v>0</v>
      </c>
      <c r="P709" s="51" t="s">
        <v>2594</v>
      </c>
      <c r="Q709" s="51"/>
      <c r="R709" s="765"/>
      <c r="S709" s="765"/>
    </row>
    <row r="710" spans="1:19" x14ac:dyDescent="0.25">
      <c r="A710" s="10">
        <v>44257</v>
      </c>
      <c r="B710" s="594">
        <v>0</v>
      </c>
      <c r="C710" s="31">
        <f t="shared" si="130"/>
        <v>-10460970.810000001</v>
      </c>
      <c r="D710" s="50">
        <v>5.54</v>
      </c>
      <c r="E710" s="31">
        <f t="shared" si="131"/>
        <v>118094.73</v>
      </c>
      <c r="F710" s="900">
        <v>0</v>
      </c>
      <c r="G710" s="899">
        <f t="shared" si="132"/>
        <v>22758.14</v>
      </c>
      <c r="H710" s="50">
        <v>0.89</v>
      </c>
      <c r="I710" s="31">
        <f t="shared" si="133"/>
        <v>0.89</v>
      </c>
      <c r="J710" s="50">
        <v>0</v>
      </c>
      <c r="K710" s="31">
        <f t="shared" si="134"/>
        <v>0</v>
      </c>
      <c r="L710" s="50">
        <v>0</v>
      </c>
      <c r="M710" s="31">
        <f t="shared" si="135"/>
        <v>0</v>
      </c>
      <c r="N710" s="50">
        <v>0</v>
      </c>
      <c r="O710" s="31">
        <f t="shared" si="136"/>
        <v>0</v>
      </c>
      <c r="P710" s="51" t="s">
        <v>890</v>
      </c>
      <c r="Q710" s="51"/>
      <c r="R710" s="765"/>
      <c r="S710" s="765"/>
    </row>
    <row r="711" spans="1:19" x14ac:dyDescent="0.25">
      <c r="A711" s="10">
        <v>44257</v>
      </c>
      <c r="B711" s="594">
        <v>0</v>
      </c>
      <c r="C711" s="31">
        <f t="shared" si="130"/>
        <v>-10460970.810000001</v>
      </c>
      <c r="D711" s="50">
        <v>-5.54</v>
      </c>
      <c r="E711" s="31">
        <f t="shared" si="131"/>
        <v>118089.19</v>
      </c>
      <c r="F711" s="900">
        <v>0</v>
      </c>
      <c r="G711" s="899">
        <f t="shared" si="132"/>
        <v>22758.14</v>
      </c>
      <c r="H711" s="50">
        <f>-I710</f>
        <v>-0.89</v>
      </c>
      <c r="I711" s="31">
        <f t="shared" si="133"/>
        <v>0</v>
      </c>
      <c r="J711" s="50">
        <v>0</v>
      </c>
      <c r="K711" s="31">
        <f t="shared" si="134"/>
        <v>0</v>
      </c>
      <c r="L711" s="50">
        <v>0</v>
      </c>
      <c r="M711" s="31">
        <f t="shared" si="135"/>
        <v>0</v>
      </c>
      <c r="N711" s="50">
        <v>0</v>
      </c>
      <c r="O711" s="31">
        <f t="shared" si="136"/>
        <v>0</v>
      </c>
      <c r="P711" s="51" t="s">
        <v>845</v>
      </c>
      <c r="Q711" s="51"/>
      <c r="R711" s="765"/>
      <c r="S711" s="765"/>
    </row>
    <row r="712" spans="1:19" x14ac:dyDescent="0.25">
      <c r="A712" s="10">
        <v>44258</v>
      </c>
      <c r="B712" s="594">
        <v>0</v>
      </c>
      <c r="C712" s="31">
        <f t="shared" si="130"/>
        <v>-10460970.810000001</v>
      </c>
      <c r="D712" s="50">
        <v>-0.19</v>
      </c>
      <c r="E712" s="31">
        <f t="shared" si="131"/>
        <v>118089</v>
      </c>
      <c r="F712" s="900">
        <v>0</v>
      </c>
      <c r="G712" s="899">
        <f t="shared" si="132"/>
        <v>22758.14</v>
      </c>
      <c r="H712" s="50">
        <v>0</v>
      </c>
      <c r="I712" s="31">
        <f t="shared" si="133"/>
        <v>0</v>
      </c>
      <c r="J712" s="50">
        <v>0</v>
      </c>
      <c r="K712" s="31">
        <f t="shared" si="134"/>
        <v>0</v>
      </c>
      <c r="L712" s="50">
        <v>0</v>
      </c>
      <c r="M712" s="31">
        <f t="shared" si="135"/>
        <v>0</v>
      </c>
      <c r="N712" s="50">
        <v>0</v>
      </c>
      <c r="O712" s="31">
        <f t="shared" si="136"/>
        <v>0</v>
      </c>
      <c r="P712" s="51" t="s">
        <v>859</v>
      </c>
      <c r="Q712" s="51"/>
      <c r="R712" s="765"/>
      <c r="S712" s="765"/>
    </row>
    <row r="713" spans="1:19" x14ac:dyDescent="0.25">
      <c r="A713" s="10">
        <v>44258</v>
      </c>
      <c r="B713" s="594">
        <v>0</v>
      </c>
      <c r="C713" s="31">
        <f t="shared" si="130"/>
        <v>-10460970.810000001</v>
      </c>
      <c r="D713" s="50">
        <v>-118089</v>
      </c>
      <c r="E713" s="31">
        <f t="shared" si="131"/>
        <v>0</v>
      </c>
      <c r="F713" s="900">
        <v>0</v>
      </c>
      <c r="G713" s="899">
        <f t="shared" si="132"/>
        <v>22758.14</v>
      </c>
      <c r="H713" s="50">
        <v>0</v>
      </c>
      <c r="I713" s="31">
        <f t="shared" si="133"/>
        <v>0</v>
      </c>
      <c r="J713" s="50">
        <v>0</v>
      </c>
      <c r="K713" s="31">
        <f t="shared" si="134"/>
        <v>0</v>
      </c>
      <c r="L713" s="50">
        <v>0</v>
      </c>
      <c r="M713" s="31">
        <f t="shared" si="135"/>
        <v>0</v>
      </c>
      <c r="N713" s="50">
        <v>0</v>
      </c>
      <c r="O713" s="31">
        <f t="shared" si="136"/>
        <v>0</v>
      </c>
      <c r="P713" s="51" t="s">
        <v>845</v>
      </c>
      <c r="Q713" s="51"/>
      <c r="R713" s="765"/>
      <c r="S713" s="765"/>
    </row>
    <row r="714" spans="1:19" x14ac:dyDescent="0.25">
      <c r="A714" s="10">
        <v>44270</v>
      </c>
      <c r="B714" s="594">
        <v>0</v>
      </c>
      <c r="C714" s="31">
        <f t="shared" si="130"/>
        <v>-10460970.810000001</v>
      </c>
      <c r="D714" s="50">
        <v>49765.625</v>
      </c>
      <c r="E714" s="31">
        <f t="shared" si="131"/>
        <v>49765.63</v>
      </c>
      <c r="F714" s="900">
        <v>0</v>
      </c>
      <c r="G714" s="899">
        <f t="shared" si="132"/>
        <v>22758.14</v>
      </c>
      <c r="H714" s="50">
        <v>0</v>
      </c>
      <c r="I714" s="31">
        <f t="shared" si="133"/>
        <v>0</v>
      </c>
      <c r="J714" s="50">
        <v>0</v>
      </c>
      <c r="K714" s="31">
        <f t="shared" si="134"/>
        <v>0</v>
      </c>
      <c r="L714" s="50">
        <v>0</v>
      </c>
      <c r="M714" s="31">
        <f t="shared" si="135"/>
        <v>0</v>
      </c>
      <c r="N714" s="50">
        <v>0</v>
      </c>
      <c r="O714" s="31">
        <f t="shared" si="136"/>
        <v>0</v>
      </c>
      <c r="P714" s="51" t="s">
        <v>2639</v>
      </c>
      <c r="Q714" s="51"/>
      <c r="R714" s="765"/>
      <c r="S714" s="765"/>
    </row>
    <row r="715" spans="1:19" x14ac:dyDescent="0.25">
      <c r="A715" s="10">
        <v>44270</v>
      </c>
      <c r="B715" s="594">
        <v>0</v>
      </c>
      <c r="C715" s="31">
        <f t="shared" si="130"/>
        <v>-10460970.810000001</v>
      </c>
      <c r="D715" s="50">
        <v>12414.920249748111</v>
      </c>
      <c r="E715" s="31">
        <f t="shared" si="131"/>
        <v>62180.55</v>
      </c>
      <c r="F715" s="900">
        <v>0</v>
      </c>
      <c r="G715" s="899">
        <f t="shared" si="132"/>
        <v>22758.14</v>
      </c>
      <c r="H715" s="50">
        <v>0</v>
      </c>
      <c r="I715" s="31">
        <f t="shared" si="133"/>
        <v>0</v>
      </c>
      <c r="J715" s="50">
        <v>0</v>
      </c>
      <c r="K715" s="31">
        <f t="shared" si="134"/>
        <v>0</v>
      </c>
      <c r="L715" s="50">
        <v>0</v>
      </c>
      <c r="M715" s="31">
        <f t="shared" si="135"/>
        <v>0</v>
      </c>
      <c r="N715" s="50">
        <v>0</v>
      </c>
      <c r="O715" s="31">
        <f t="shared" si="136"/>
        <v>0</v>
      </c>
      <c r="P715" s="51" t="s">
        <v>2640</v>
      </c>
      <c r="Q715" s="51"/>
      <c r="R715" s="765"/>
      <c r="S715" s="765"/>
    </row>
    <row r="716" spans="1:19" x14ac:dyDescent="0.25">
      <c r="A716" s="10">
        <v>44270</v>
      </c>
      <c r="B716" s="594">
        <v>0</v>
      </c>
      <c r="C716" s="31">
        <f t="shared" si="130"/>
        <v>-10460970.810000001</v>
      </c>
      <c r="D716" s="50">
        <v>16979.285250000001</v>
      </c>
      <c r="E716" s="31">
        <f t="shared" si="131"/>
        <v>79159.839999999997</v>
      </c>
      <c r="F716" s="900">
        <v>0</v>
      </c>
      <c r="G716" s="899">
        <f t="shared" si="132"/>
        <v>22758.14</v>
      </c>
      <c r="H716" s="50">
        <v>0</v>
      </c>
      <c r="I716" s="31">
        <f t="shared" si="133"/>
        <v>0</v>
      </c>
      <c r="J716" s="50">
        <v>0</v>
      </c>
      <c r="K716" s="31">
        <f t="shared" si="134"/>
        <v>0</v>
      </c>
      <c r="L716" s="50">
        <v>0</v>
      </c>
      <c r="M716" s="31">
        <f t="shared" si="135"/>
        <v>0</v>
      </c>
      <c r="N716" s="50">
        <v>0</v>
      </c>
      <c r="O716" s="31">
        <f t="shared" si="136"/>
        <v>0</v>
      </c>
      <c r="P716" s="51" t="s">
        <v>2641</v>
      </c>
      <c r="Q716" s="51"/>
      <c r="R716" s="765"/>
      <c r="S716" s="765"/>
    </row>
    <row r="717" spans="1:19" x14ac:dyDescent="0.25">
      <c r="A717" s="10">
        <v>44270</v>
      </c>
      <c r="B717" s="594">
        <v>0</v>
      </c>
      <c r="C717" s="31">
        <f t="shared" si="130"/>
        <v>-10460970.810000001</v>
      </c>
      <c r="D717" s="50">
        <v>0</v>
      </c>
      <c r="E717" s="31">
        <f t="shared" si="131"/>
        <v>79159.839999999997</v>
      </c>
      <c r="F717" s="900">
        <v>19125</v>
      </c>
      <c r="G717" s="899">
        <f t="shared" si="132"/>
        <v>41883.14</v>
      </c>
      <c r="H717" s="50">
        <v>0</v>
      </c>
      <c r="I717" s="31">
        <f t="shared" si="133"/>
        <v>0</v>
      </c>
      <c r="J717" s="50">
        <v>0</v>
      </c>
      <c r="K717" s="31">
        <f t="shared" si="134"/>
        <v>0</v>
      </c>
      <c r="L717" s="50">
        <v>0</v>
      </c>
      <c r="M717" s="31">
        <f t="shared" si="135"/>
        <v>0</v>
      </c>
      <c r="N717" s="50">
        <v>0</v>
      </c>
      <c r="O717" s="31">
        <f t="shared" si="136"/>
        <v>0</v>
      </c>
      <c r="P717" s="51" t="s">
        <v>2642</v>
      </c>
      <c r="Q717" s="51"/>
      <c r="R717" s="765"/>
      <c r="S717" s="765"/>
    </row>
    <row r="718" spans="1:19" x14ac:dyDescent="0.25">
      <c r="A718" s="10">
        <v>44270</v>
      </c>
      <c r="B718" s="594">
        <v>0</v>
      </c>
      <c r="C718" s="31">
        <f t="shared" si="130"/>
        <v>-10460970.810000001</v>
      </c>
      <c r="D718" s="50">
        <v>376141.25</v>
      </c>
      <c r="E718" s="31">
        <f t="shared" si="131"/>
        <v>455301.09</v>
      </c>
      <c r="F718" s="900">
        <v>0</v>
      </c>
      <c r="G718" s="899">
        <f t="shared" si="132"/>
        <v>41883.14</v>
      </c>
      <c r="H718" s="50">
        <v>0</v>
      </c>
      <c r="I718" s="31">
        <f t="shared" si="133"/>
        <v>0</v>
      </c>
      <c r="J718" s="50">
        <v>0</v>
      </c>
      <c r="K718" s="31">
        <f t="shared" si="134"/>
        <v>0</v>
      </c>
      <c r="L718" s="50">
        <v>0</v>
      </c>
      <c r="M718" s="31">
        <f t="shared" si="135"/>
        <v>0</v>
      </c>
      <c r="N718" s="50">
        <v>0</v>
      </c>
      <c r="O718" s="31">
        <f t="shared" si="136"/>
        <v>0</v>
      </c>
      <c r="P718" s="51" t="s">
        <v>2642</v>
      </c>
      <c r="Q718" s="51"/>
      <c r="R718" s="765"/>
      <c r="S718" s="765"/>
    </row>
    <row r="719" spans="1:19" x14ac:dyDescent="0.25">
      <c r="A719" s="10">
        <v>44270</v>
      </c>
      <c r="B719" s="594">
        <v>0</v>
      </c>
      <c r="C719" s="31">
        <f t="shared" si="130"/>
        <v>-10460970.810000001</v>
      </c>
      <c r="D719" s="50">
        <v>49330</v>
      </c>
      <c r="E719" s="31">
        <f t="shared" si="131"/>
        <v>504631.09</v>
      </c>
      <c r="F719" s="900">
        <v>0</v>
      </c>
      <c r="G719" s="899">
        <f t="shared" si="132"/>
        <v>41883.14</v>
      </c>
      <c r="H719" s="50">
        <v>0</v>
      </c>
      <c r="I719" s="31">
        <f t="shared" si="133"/>
        <v>0</v>
      </c>
      <c r="J719" s="50">
        <v>0</v>
      </c>
      <c r="K719" s="31">
        <f t="shared" si="134"/>
        <v>0</v>
      </c>
      <c r="L719" s="50">
        <v>0</v>
      </c>
      <c r="M719" s="31">
        <f t="shared" si="135"/>
        <v>0</v>
      </c>
      <c r="N719" s="50">
        <v>0</v>
      </c>
      <c r="O719" s="31">
        <f t="shared" si="136"/>
        <v>0</v>
      </c>
      <c r="P719" s="51" t="s">
        <v>2643</v>
      </c>
      <c r="Q719" s="51"/>
      <c r="R719" s="765"/>
      <c r="S719" s="765"/>
    </row>
    <row r="720" spans="1:19" x14ac:dyDescent="0.25">
      <c r="A720" s="10">
        <v>44270</v>
      </c>
      <c r="B720" s="594">
        <v>0</v>
      </c>
      <c r="C720" s="31">
        <f t="shared" si="130"/>
        <v>-10460970.810000001</v>
      </c>
      <c r="D720" s="50">
        <v>12859.544272499999</v>
      </c>
      <c r="E720" s="31">
        <f t="shared" si="131"/>
        <v>517490.63</v>
      </c>
      <c r="F720" s="900">
        <v>0</v>
      </c>
      <c r="G720" s="899">
        <f t="shared" si="132"/>
        <v>41883.14</v>
      </c>
      <c r="H720" s="50">
        <v>0</v>
      </c>
      <c r="I720" s="31">
        <f t="shared" si="133"/>
        <v>0</v>
      </c>
      <c r="J720" s="50">
        <v>0</v>
      </c>
      <c r="K720" s="31">
        <f t="shared" si="134"/>
        <v>0</v>
      </c>
      <c r="L720" s="50">
        <v>0</v>
      </c>
      <c r="M720" s="31">
        <f t="shared" si="135"/>
        <v>0</v>
      </c>
      <c r="N720" s="50">
        <v>0</v>
      </c>
      <c r="O720" s="31">
        <f t="shared" si="136"/>
        <v>0</v>
      </c>
      <c r="P720" s="51" t="s">
        <v>2643</v>
      </c>
      <c r="Q720" s="51"/>
      <c r="R720" s="765"/>
      <c r="S720" s="765"/>
    </row>
    <row r="721" spans="1:19" x14ac:dyDescent="0.25">
      <c r="A721" s="10">
        <v>44270</v>
      </c>
      <c r="B721" s="594">
        <v>0</v>
      </c>
      <c r="C721" s="31">
        <f t="shared" si="130"/>
        <v>-10460970.810000001</v>
      </c>
      <c r="D721" s="50">
        <v>4482.2250000000004</v>
      </c>
      <c r="E721" s="31">
        <f t="shared" si="131"/>
        <v>521972.86</v>
      </c>
      <c r="F721" s="900">
        <v>0</v>
      </c>
      <c r="G721" s="899">
        <f t="shared" si="132"/>
        <v>41883.14</v>
      </c>
      <c r="H721" s="50">
        <v>0</v>
      </c>
      <c r="I721" s="31">
        <f t="shared" si="133"/>
        <v>0</v>
      </c>
      <c r="J721" s="50">
        <v>0</v>
      </c>
      <c r="K721" s="31">
        <f t="shared" si="134"/>
        <v>0</v>
      </c>
      <c r="L721" s="50">
        <v>0</v>
      </c>
      <c r="M721" s="31">
        <f t="shared" si="135"/>
        <v>0</v>
      </c>
      <c r="N721" s="50">
        <v>0</v>
      </c>
      <c r="O721" s="31">
        <f t="shared" si="136"/>
        <v>0</v>
      </c>
      <c r="P721" s="51" t="s">
        <v>2643</v>
      </c>
      <c r="Q721" s="51"/>
      <c r="R721" s="765"/>
      <c r="S721" s="765"/>
    </row>
    <row r="722" spans="1:19" x14ac:dyDescent="0.25">
      <c r="A722" s="10">
        <v>44270</v>
      </c>
      <c r="B722" s="594">
        <v>0</v>
      </c>
      <c r="C722" s="31">
        <f t="shared" si="130"/>
        <v>-10460970.810000001</v>
      </c>
      <c r="D722" s="50">
        <v>5120.5337725500003</v>
      </c>
      <c r="E722" s="31">
        <f t="shared" si="131"/>
        <v>527093.39</v>
      </c>
      <c r="F722" s="900">
        <v>0</v>
      </c>
      <c r="G722" s="899">
        <f t="shared" si="132"/>
        <v>41883.14</v>
      </c>
      <c r="H722" s="50">
        <v>0</v>
      </c>
      <c r="I722" s="31">
        <f t="shared" si="133"/>
        <v>0</v>
      </c>
      <c r="J722" s="50">
        <v>0</v>
      </c>
      <c r="K722" s="31">
        <f t="shared" si="134"/>
        <v>0</v>
      </c>
      <c r="L722" s="50">
        <v>0</v>
      </c>
      <c r="M722" s="31">
        <f t="shared" si="135"/>
        <v>0</v>
      </c>
      <c r="N722" s="50">
        <v>0</v>
      </c>
      <c r="O722" s="31">
        <f t="shared" si="136"/>
        <v>0</v>
      </c>
      <c r="P722" s="51" t="s">
        <v>2644</v>
      </c>
      <c r="Q722" s="51"/>
      <c r="R722" s="765"/>
      <c r="S722" s="765"/>
    </row>
    <row r="723" spans="1:19" x14ac:dyDescent="0.25">
      <c r="A723" s="10">
        <v>44270</v>
      </c>
      <c r="B723" s="594">
        <v>0</v>
      </c>
      <c r="C723" s="31">
        <f t="shared" si="130"/>
        <v>-10460970.810000001</v>
      </c>
      <c r="D723" s="50">
        <v>97927.821997499981</v>
      </c>
      <c r="E723" s="31">
        <f t="shared" si="131"/>
        <v>625021.21</v>
      </c>
      <c r="F723" s="900">
        <v>0</v>
      </c>
      <c r="G723" s="899">
        <f t="shared" si="132"/>
        <v>41883.14</v>
      </c>
      <c r="H723" s="50">
        <v>0</v>
      </c>
      <c r="I723" s="31">
        <f t="shared" si="133"/>
        <v>0</v>
      </c>
      <c r="J723" s="50">
        <v>0</v>
      </c>
      <c r="K723" s="31">
        <f t="shared" si="134"/>
        <v>0</v>
      </c>
      <c r="L723" s="50">
        <v>0</v>
      </c>
      <c r="M723" s="31">
        <f t="shared" si="135"/>
        <v>0</v>
      </c>
      <c r="N723" s="50">
        <v>0</v>
      </c>
      <c r="O723" s="31">
        <f t="shared" si="136"/>
        <v>0</v>
      </c>
      <c r="P723" s="51" t="s">
        <v>2645</v>
      </c>
      <c r="Q723" s="51"/>
      <c r="R723" s="765"/>
      <c r="S723" s="765"/>
    </row>
    <row r="724" spans="1:19" x14ac:dyDescent="0.25">
      <c r="A724" s="10">
        <v>44270</v>
      </c>
      <c r="B724" s="594">
        <v>0</v>
      </c>
      <c r="C724" s="31">
        <f t="shared" si="130"/>
        <v>-10460970.810000001</v>
      </c>
      <c r="D724" s="50">
        <v>0</v>
      </c>
      <c r="E724" s="31">
        <f t="shared" si="131"/>
        <v>625021.21</v>
      </c>
      <c r="F724" s="900">
        <v>128452.5</v>
      </c>
      <c r="G724" s="899">
        <f t="shared" si="132"/>
        <v>170335.64</v>
      </c>
      <c r="H724" s="50">
        <v>0</v>
      </c>
      <c r="I724" s="31">
        <f t="shared" si="133"/>
        <v>0</v>
      </c>
      <c r="J724" s="50">
        <v>0</v>
      </c>
      <c r="K724" s="31">
        <f t="shared" si="134"/>
        <v>0</v>
      </c>
      <c r="L724" s="50">
        <v>0</v>
      </c>
      <c r="M724" s="31">
        <f t="shared" si="135"/>
        <v>0</v>
      </c>
      <c r="N724" s="50">
        <v>0</v>
      </c>
      <c r="O724" s="31">
        <f t="shared" si="136"/>
        <v>0</v>
      </c>
      <c r="P724" s="51" t="s">
        <v>2645</v>
      </c>
      <c r="Q724" s="51"/>
      <c r="R724" s="765"/>
      <c r="S724" s="765"/>
    </row>
    <row r="725" spans="1:19" x14ac:dyDescent="0.25">
      <c r="A725" s="10">
        <v>44270</v>
      </c>
      <c r="B725" s="594">
        <v>0</v>
      </c>
      <c r="C725" s="31">
        <f t="shared" si="130"/>
        <v>-10460970.810000001</v>
      </c>
      <c r="D725" s="50">
        <v>0</v>
      </c>
      <c r="E725" s="31">
        <f t="shared" si="131"/>
        <v>625021.21</v>
      </c>
      <c r="F725" s="900">
        <v>7785</v>
      </c>
      <c r="G725" s="899">
        <f t="shared" si="132"/>
        <v>178120.64</v>
      </c>
      <c r="H725" s="50">
        <v>0</v>
      </c>
      <c r="I725" s="31">
        <f t="shared" si="133"/>
        <v>0</v>
      </c>
      <c r="J725" s="50">
        <v>0</v>
      </c>
      <c r="K725" s="31">
        <f t="shared" si="134"/>
        <v>0</v>
      </c>
      <c r="L725" s="50">
        <v>0</v>
      </c>
      <c r="M725" s="31">
        <f t="shared" si="135"/>
        <v>0</v>
      </c>
      <c r="N725" s="50">
        <v>0</v>
      </c>
      <c r="O725" s="31">
        <f t="shared" si="136"/>
        <v>0</v>
      </c>
      <c r="P725" s="51" t="s">
        <v>2645</v>
      </c>
      <c r="Q725" s="51"/>
      <c r="R725" s="765"/>
      <c r="S725" s="765"/>
    </row>
    <row r="726" spans="1:19" x14ac:dyDescent="0.25">
      <c r="A726" s="10">
        <v>44270</v>
      </c>
      <c r="B726" s="594">
        <v>0</v>
      </c>
      <c r="C726" s="31">
        <f t="shared" si="130"/>
        <v>-10460970.810000001</v>
      </c>
      <c r="D726" s="50">
        <v>0</v>
      </c>
      <c r="E726" s="31">
        <f t="shared" si="131"/>
        <v>625021.21</v>
      </c>
      <c r="F726" s="900">
        <v>7785</v>
      </c>
      <c r="G726" s="899">
        <f t="shared" si="132"/>
        <v>185905.64</v>
      </c>
      <c r="H726" s="50">
        <v>0</v>
      </c>
      <c r="I726" s="31">
        <f t="shared" si="133"/>
        <v>0</v>
      </c>
      <c r="J726" s="50">
        <v>0</v>
      </c>
      <c r="K726" s="31">
        <f t="shared" si="134"/>
        <v>0</v>
      </c>
      <c r="L726" s="50">
        <v>0</v>
      </c>
      <c r="M726" s="31">
        <f t="shared" si="135"/>
        <v>0</v>
      </c>
      <c r="N726" s="50">
        <v>0</v>
      </c>
      <c r="O726" s="31">
        <f t="shared" si="136"/>
        <v>0</v>
      </c>
      <c r="P726" s="51" t="s">
        <v>2645</v>
      </c>
      <c r="Q726" s="51"/>
      <c r="R726" s="765"/>
      <c r="S726" s="765"/>
    </row>
    <row r="727" spans="1:19" x14ac:dyDescent="0.25">
      <c r="A727" s="10">
        <v>44270</v>
      </c>
      <c r="B727" s="594">
        <v>0</v>
      </c>
      <c r="C727" s="31">
        <f t="shared" si="130"/>
        <v>-10460970.810000001</v>
      </c>
      <c r="D727" s="50">
        <v>0</v>
      </c>
      <c r="E727" s="31">
        <f t="shared" si="131"/>
        <v>625021.21</v>
      </c>
      <c r="F727" s="900">
        <v>14013</v>
      </c>
      <c r="G727" s="899">
        <f t="shared" si="132"/>
        <v>199918.64</v>
      </c>
      <c r="H727" s="50">
        <v>0</v>
      </c>
      <c r="I727" s="31">
        <f t="shared" si="133"/>
        <v>0</v>
      </c>
      <c r="J727" s="50">
        <v>0</v>
      </c>
      <c r="K727" s="31">
        <f t="shared" si="134"/>
        <v>0</v>
      </c>
      <c r="L727" s="50">
        <v>0</v>
      </c>
      <c r="M727" s="31">
        <f t="shared" si="135"/>
        <v>0</v>
      </c>
      <c r="N727" s="50">
        <v>0</v>
      </c>
      <c r="O727" s="31">
        <f t="shared" si="136"/>
        <v>0</v>
      </c>
      <c r="P727" s="51"/>
      <c r="Q727" s="51"/>
      <c r="R727" s="765"/>
      <c r="S727" s="765"/>
    </row>
    <row r="728" spans="1:19" x14ac:dyDescent="0.25">
      <c r="A728" s="10">
        <v>44270</v>
      </c>
      <c r="B728" s="594">
        <v>5000000</v>
      </c>
      <c r="C728" s="31">
        <f t="shared" si="130"/>
        <v>-5460970.8099999996</v>
      </c>
      <c r="D728" s="50">
        <f>-5000000</f>
        <v>-5000000</v>
      </c>
      <c r="E728" s="31">
        <f t="shared" si="131"/>
        <v>-4374978.79</v>
      </c>
      <c r="F728" s="900">
        <v>0</v>
      </c>
      <c r="G728" s="899">
        <f t="shared" si="132"/>
        <v>199918.64</v>
      </c>
      <c r="H728" s="50">
        <v>0</v>
      </c>
      <c r="I728" s="31">
        <f t="shared" si="133"/>
        <v>0</v>
      </c>
      <c r="J728" s="50">
        <v>0</v>
      </c>
      <c r="K728" s="31">
        <f t="shared" si="134"/>
        <v>0</v>
      </c>
      <c r="L728" s="50">
        <v>0</v>
      </c>
      <c r="M728" s="31">
        <f t="shared" si="135"/>
        <v>0</v>
      </c>
      <c r="N728" s="50">
        <v>0</v>
      </c>
      <c r="O728" s="31">
        <f t="shared" si="136"/>
        <v>0</v>
      </c>
      <c r="P728" s="51" t="s">
        <v>831</v>
      </c>
      <c r="Q728" s="51"/>
      <c r="R728" s="765"/>
      <c r="S728" s="765"/>
    </row>
    <row r="729" spans="1:19" x14ac:dyDescent="0.25">
      <c r="A729" s="10">
        <v>44270</v>
      </c>
      <c r="B729" s="594">
        <v>400000</v>
      </c>
      <c r="C729" s="31">
        <f t="shared" si="130"/>
        <v>-5060970.8099999996</v>
      </c>
      <c r="D729" s="50">
        <v>0</v>
      </c>
      <c r="E729" s="31">
        <f t="shared" si="131"/>
        <v>-4374978.79</v>
      </c>
      <c r="F729" s="900">
        <v>-400000</v>
      </c>
      <c r="G729" s="899">
        <f t="shared" si="132"/>
        <v>-200081.36</v>
      </c>
      <c r="H729" s="50">
        <v>0</v>
      </c>
      <c r="I729" s="31">
        <f t="shared" si="133"/>
        <v>0</v>
      </c>
      <c r="J729" s="50">
        <v>0</v>
      </c>
      <c r="K729" s="31">
        <f t="shared" si="134"/>
        <v>0</v>
      </c>
      <c r="L729" s="50">
        <v>0</v>
      </c>
      <c r="M729" s="31">
        <f t="shared" si="135"/>
        <v>0</v>
      </c>
      <c r="N729" s="50">
        <v>0</v>
      </c>
      <c r="O729" s="31">
        <f t="shared" si="136"/>
        <v>0</v>
      </c>
      <c r="P729" s="51" t="s">
        <v>1012</v>
      </c>
      <c r="Q729" s="51"/>
      <c r="R729" s="765"/>
      <c r="S729" s="765"/>
    </row>
    <row r="730" spans="1:19" x14ac:dyDescent="0.25">
      <c r="A730" s="10">
        <v>44270</v>
      </c>
      <c r="B730" s="594">
        <v>0</v>
      </c>
      <c r="C730" s="31">
        <f t="shared" si="130"/>
        <v>-5060970.8099999996</v>
      </c>
      <c r="D730" s="50">
        <v>-418421.57833818061</v>
      </c>
      <c r="E730" s="31">
        <f t="shared" si="131"/>
        <v>-4793400.37</v>
      </c>
      <c r="F730" s="900">
        <v>0</v>
      </c>
      <c r="G730" s="899">
        <f t="shared" si="132"/>
        <v>-200081.36</v>
      </c>
      <c r="H730" s="50">
        <v>0</v>
      </c>
      <c r="I730" s="31">
        <f t="shared" si="133"/>
        <v>0</v>
      </c>
      <c r="J730" s="50">
        <v>0</v>
      </c>
      <c r="K730" s="31">
        <f t="shared" si="134"/>
        <v>0</v>
      </c>
      <c r="L730" s="50">
        <v>0</v>
      </c>
      <c r="M730" s="31">
        <f t="shared" si="135"/>
        <v>0</v>
      </c>
      <c r="N730" s="50">
        <v>0</v>
      </c>
      <c r="O730" s="31">
        <f t="shared" si="136"/>
        <v>0</v>
      </c>
      <c r="P730" s="51" t="s">
        <v>2646</v>
      </c>
      <c r="Q730" s="51"/>
      <c r="R730" s="765"/>
      <c r="S730" s="765"/>
    </row>
    <row r="731" spans="1:19" x14ac:dyDescent="0.25">
      <c r="A731" s="10">
        <v>44270</v>
      </c>
      <c r="B731" s="594">
        <v>0</v>
      </c>
      <c r="C731" s="31">
        <f t="shared" si="130"/>
        <v>-5060970.8099999996</v>
      </c>
      <c r="D731" s="50">
        <v>0</v>
      </c>
      <c r="E731" s="31">
        <f t="shared" si="131"/>
        <v>-4793400.37</v>
      </c>
      <c r="F731" s="900">
        <v>-40758056.356023647</v>
      </c>
      <c r="G731" s="899">
        <f t="shared" si="132"/>
        <v>-40958137.719999999</v>
      </c>
      <c r="H731" s="50">
        <v>0</v>
      </c>
      <c r="I731" s="31">
        <f t="shared" si="133"/>
        <v>0</v>
      </c>
      <c r="J731" s="50">
        <v>0</v>
      </c>
      <c r="K731" s="31">
        <f t="shared" si="134"/>
        <v>0</v>
      </c>
      <c r="L731" s="50">
        <v>0</v>
      </c>
      <c r="M731" s="31">
        <f t="shared" si="135"/>
        <v>0</v>
      </c>
      <c r="N731" s="50">
        <v>0</v>
      </c>
      <c r="O731" s="31">
        <f t="shared" si="136"/>
        <v>0</v>
      </c>
      <c r="P731" s="51" t="s">
        <v>2647</v>
      </c>
      <c r="Q731" s="51"/>
      <c r="R731" s="765"/>
      <c r="S731" s="765"/>
    </row>
    <row r="732" spans="1:19" x14ac:dyDescent="0.25">
      <c r="A732" s="10">
        <v>44270</v>
      </c>
      <c r="B732" s="594">
        <v>0</v>
      </c>
      <c r="C732" s="31">
        <f t="shared" si="130"/>
        <v>-5060970.8099999996</v>
      </c>
      <c r="D732" s="50">
        <v>-60000</v>
      </c>
      <c r="E732" s="31">
        <f t="shared" si="131"/>
        <v>-4853400.37</v>
      </c>
      <c r="F732" s="900">
        <v>0</v>
      </c>
      <c r="G732" s="899">
        <f t="shared" si="132"/>
        <v>-40958137.719999999</v>
      </c>
      <c r="H732" s="50">
        <v>0</v>
      </c>
      <c r="I732" s="31">
        <f t="shared" si="133"/>
        <v>0</v>
      </c>
      <c r="J732" s="50">
        <v>0</v>
      </c>
      <c r="K732" s="31">
        <f t="shared" si="134"/>
        <v>0</v>
      </c>
      <c r="L732" s="50">
        <v>0</v>
      </c>
      <c r="M732" s="31">
        <f t="shared" si="135"/>
        <v>0</v>
      </c>
      <c r="N732" s="50">
        <v>60000</v>
      </c>
      <c r="O732" s="31">
        <f t="shared" si="136"/>
        <v>60000</v>
      </c>
      <c r="P732" s="51" t="s">
        <v>1592</v>
      </c>
      <c r="Q732" s="51"/>
      <c r="R732" s="765"/>
      <c r="S732" s="765"/>
    </row>
    <row r="733" spans="1:19" x14ac:dyDescent="0.25">
      <c r="A733" s="10">
        <v>44270</v>
      </c>
      <c r="B733" s="594">
        <v>0</v>
      </c>
      <c r="C733" s="31">
        <f t="shared" si="130"/>
        <v>-5060970.8099999996</v>
      </c>
      <c r="D733" s="50">
        <v>0</v>
      </c>
      <c r="E733" s="31">
        <f t="shared" si="131"/>
        <v>-4853400.37</v>
      </c>
      <c r="F733" s="900">
        <v>0</v>
      </c>
      <c r="G733" s="899">
        <f t="shared" si="132"/>
        <v>-40958137.719999999</v>
      </c>
      <c r="H733" s="50">
        <v>0</v>
      </c>
      <c r="I733" s="31">
        <f t="shared" si="133"/>
        <v>0</v>
      </c>
      <c r="J733" s="50">
        <v>0</v>
      </c>
      <c r="K733" s="31">
        <f t="shared" si="134"/>
        <v>0</v>
      </c>
      <c r="L733" s="50">
        <v>0</v>
      </c>
      <c r="M733" s="31">
        <f t="shared" si="135"/>
        <v>0</v>
      </c>
      <c r="N733" s="50">
        <v>-60000</v>
      </c>
      <c r="O733" s="31">
        <f t="shared" si="136"/>
        <v>0</v>
      </c>
      <c r="P733" s="51" t="s">
        <v>2648</v>
      </c>
      <c r="Q733" s="51"/>
      <c r="R733" s="765"/>
      <c r="S733" s="765"/>
    </row>
    <row r="734" spans="1:19" x14ac:dyDescent="0.25">
      <c r="A734" s="10">
        <v>44270</v>
      </c>
      <c r="B734" s="594">
        <v>0</v>
      </c>
      <c r="C734" s="31">
        <f t="shared" si="130"/>
        <v>-5060970.8099999996</v>
      </c>
      <c r="D734" s="50">
        <v>60000</v>
      </c>
      <c r="E734" s="31">
        <f t="shared" si="131"/>
        <v>-4793400.37</v>
      </c>
      <c r="F734" s="900">
        <v>0</v>
      </c>
      <c r="G734" s="899">
        <f t="shared" si="132"/>
        <v>-40958137.719999999</v>
      </c>
      <c r="H734" s="50">
        <v>0</v>
      </c>
      <c r="I734" s="31">
        <f t="shared" si="133"/>
        <v>0</v>
      </c>
      <c r="J734" s="50">
        <v>0</v>
      </c>
      <c r="K734" s="31">
        <f t="shared" si="134"/>
        <v>0</v>
      </c>
      <c r="L734" s="50">
        <v>0</v>
      </c>
      <c r="M734" s="31">
        <f t="shared" si="135"/>
        <v>0</v>
      </c>
      <c r="N734" s="50">
        <v>0</v>
      </c>
      <c r="O734" s="31">
        <f t="shared" si="136"/>
        <v>0</v>
      </c>
      <c r="P734" s="51" t="s">
        <v>845</v>
      </c>
      <c r="Q734" s="51"/>
      <c r="R734" s="765"/>
      <c r="S734" s="765"/>
    </row>
    <row r="735" spans="1:19" x14ac:dyDescent="0.25">
      <c r="A735" s="10">
        <v>44270</v>
      </c>
      <c r="B735" s="594">
        <v>0</v>
      </c>
      <c r="C735" s="31">
        <f t="shared" si="130"/>
        <v>-5060970.8099999996</v>
      </c>
      <c r="D735" s="50">
        <v>0</v>
      </c>
      <c r="E735" s="31">
        <f t="shared" si="131"/>
        <v>-4793400.37</v>
      </c>
      <c r="F735" s="900">
        <v>41000000</v>
      </c>
      <c r="G735" s="899">
        <f t="shared" si="132"/>
        <v>41862.28</v>
      </c>
      <c r="H735" s="50">
        <v>0</v>
      </c>
      <c r="I735" s="31">
        <f t="shared" si="133"/>
        <v>0</v>
      </c>
      <c r="J735" s="50">
        <v>0</v>
      </c>
      <c r="K735" s="31">
        <f t="shared" si="134"/>
        <v>0</v>
      </c>
      <c r="L735" s="50">
        <v>0</v>
      </c>
      <c r="M735" s="31">
        <f t="shared" si="135"/>
        <v>0</v>
      </c>
      <c r="N735" s="50">
        <v>0</v>
      </c>
      <c r="O735" s="31">
        <f t="shared" si="136"/>
        <v>0</v>
      </c>
      <c r="P735" s="51" t="s">
        <v>2651</v>
      </c>
      <c r="Q735" s="51"/>
      <c r="R735" s="765"/>
      <c r="S735" s="765"/>
    </row>
    <row r="736" spans="1:19" x14ac:dyDescent="0.25">
      <c r="A736" s="10">
        <v>44271</v>
      </c>
      <c r="B736" s="594">
        <v>0</v>
      </c>
      <c r="C736" s="31">
        <f t="shared" si="130"/>
        <v>-5060970.8099999996</v>
      </c>
      <c r="D736" s="50">
        <v>4750000</v>
      </c>
      <c r="E736" s="31">
        <f t="shared" si="131"/>
        <v>-43400.37</v>
      </c>
      <c r="F736" s="900">
        <v>0</v>
      </c>
      <c r="G736" s="899">
        <f t="shared" si="132"/>
        <v>41862.28</v>
      </c>
      <c r="H736" s="50">
        <v>0</v>
      </c>
      <c r="I736" s="31">
        <f t="shared" si="133"/>
        <v>0</v>
      </c>
      <c r="J736" s="50">
        <v>0</v>
      </c>
      <c r="K736" s="31">
        <f t="shared" si="134"/>
        <v>0</v>
      </c>
      <c r="L736" s="50">
        <v>0</v>
      </c>
      <c r="M736" s="31">
        <f t="shared" si="135"/>
        <v>0</v>
      </c>
      <c r="N736" s="50">
        <v>0</v>
      </c>
      <c r="O736" s="31">
        <f t="shared" si="136"/>
        <v>0</v>
      </c>
      <c r="P736" s="51" t="s">
        <v>2659</v>
      </c>
      <c r="Q736" s="51"/>
      <c r="R736" s="765"/>
      <c r="S736" s="765"/>
    </row>
    <row r="737" spans="1:19" x14ac:dyDescent="0.25">
      <c r="A737" s="10">
        <v>44271</v>
      </c>
      <c r="B737" s="594">
        <v>0</v>
      </c>
      <c r="C737" s="31">
        <f t="shared" si="130"/>
        <v>-5060970.8099999996</v>
      </c>
      <c r="D737" s="50">
        <v>250000</v>
      </c>
      <c r="E737" s="31">
        <f t="shared" si="131"/>
        <v>206599.63</v>
      </c>
      <c r="F737" s="900">
        <v>0</v>
      </c>
      <c r="G737" s="899">
        <f t="shared" si="132"/>
        <v>41862.28</v>
      </c>
      <c r="H737" s="50">
        <v>0</v>
      </c>
      <c r="I737" s="31">
        <f t="shared" si="133"/>
        <v>0</v>
      </c>
      <c r="J737" s="50">
        <v>0</v>
      </c>
      <c r="K737" s="31">
        <f t="shared" si="134"/>
        <v>0</v>
      </c>
      <c r="L737" s="50">
        <v>0</v>
      </c>
      <c r="M737" s="31">
        <f t="shared" si="135"/>
        <v>0</v>
      </c>
      <c r="N737" s="50">
        <v>0</v>
      </c>
      <c r="O737" s="31">
        <f t="shared" si="136"/>
        <v>0</v>
      </c>
      <c r="P737" s="51" t="s">
        <v>845</v>
      </c>
      <c r="Q737" s="51"/>
      <c r="R737" s="765"/>
      <c r="S737" s="765"/>
    </row>
    <row r="738" spans="1:19" x14ac:dyDescent="0.25">
      <c r="A738" s="10">
        <v>44271</v>
      </c>
      <c r="B738" s="594">
        <v>3200000</v>
      </c>
      <c r="C738" s="31">
        <f t="shared" si="130"/>
        <v>-1860970.81</v>
      </c>
      <c r="D738" s="50">
        <v>0</v>
      </c>
      <c r="E738" s="31">
        <f t="shared" si="131"/>
        <v>206599.63</v>
      </c>
      <c r="F738" s="900">
        <v>0</v>
      </c>
      <c r="G738" s="899">
        <f t="shared" si="132"/>
        <v>41862.28</v>
      </c>
      <c r="H738" s="50">
        <v>0</v>
      </c>
      <c r="I738" s="31">
        <f t="shared" si="133"/>
        <v>0</v>
      </c>
      <c r="J738" s="50">
        <v>0</v>
      </c>
      <c r="K738" s="31">
        <f t="shared" si="134"/>
        <v>0</v>
      </c>
      <c r="L738" s="50">
        <v>0</v>
      </c>
      <c r="M738" s="31">
        <f t="shared" si="135"/>
        <v>0</v>
      </c>
      <c r="N738" s="50">
        <v>0</v>
      </c>
      <c r="O738" s="31">
        <f t="shared" si="136"/>
        <v>0</v>
      </c>
      <c r="P738" s="51" t="s">
        <v>2661</v>
      </c>
      <c r="Q738" s="51"/>
      <c r="R738" s="765"/>
      <c r="S738" s="765"/>
    </row>
    <row r="739" spans="1:19" x14ac:dyDescent="0.25">
      <c r="A739" s="10">
        <v>44272</v>
      </c>
      <c r="B739" s="594">
        <v>0</v>
      </c>
      <c r="C739" s="31">
        <f t="shared" si="130"/>
        <v>-1860970.81</v>
      </c>
      <c r="D739" s="50">
        <v>-89041246.43998833</v>
      </c>
      <c r="E739" s="31">
        <f t="shared" si="131"/>
        <v>-88834646.810000002</v>
      </c>
      <c r="F739" s="900">
        <v>0</v>
      </c>
      <c r="G739" s="899">
        <f t="shared" si="132"/>
        <v>41862.28</v>
      </c>
      <c r="H739" s="50">
        <v>0</v>
      </c>
      <c r="I739" s="31">
        <f t="shared" si="133"/>
        <v>0</v>
      </c>
      <c r="J739" s="50">
        <v>0</v>
      </c>
      <c r="K739" s="31">
        <f t="shared" si="134"/>
        <v>0</v>
      </c>
      <c r="L739" s="50">
        <v>0</v>
      </c>
      <c r="M739" s="31">
        <f t="shared" si="135"/>
        <v>0</v>
      </c>
      <c r="N739" s="50">
        <v>0</v>
      </c>
      <c r="O739" s="31">
        <f t="shared" si="136"/>
        <v>0</v>
      </c>
      <c r="P739" s="51" t="s">
        <v>2045</v>
      </c>
      <c r="Q739" s="51"/>
      <c r="R739" s="765"/>
      <c r="S739" s="765"/>
    </row>
    <row r="740" spans="1:19" x14ac:dyDescent="0.25">
      <c r="A740" s="10">
        <v>44272</v>
      </c>
      <c r="B740" s="594">
        <v>0</v>
      </c>
      <c r="C740" s="31">
        <f t="shared" si="130"/>
        <v>-1860970.81</v>
      </c>
      <c r="D740" s="50">
        <v>88319150.859999999</v>
      </c>
      <c r="E740" s="31">
        <f t="shared" si="131"/>
        <v>-515495.95</v>
      </c>
      <c r="F740" s="900">
        <v>0</v>
      </c>
      <c r="G740" s="899">
        <f t="shared" si="132"/>
        <v>41862.28</v>
      </c>
      <c r="H740" s="50">
        <v>0</v>
      </c>
      <c r="I740" s="31">
        <f t="shared" si="133"/>
        <v>0</v>
      </c>
      <c r="J740" s="50">
        <v>0</v>
      </c>
      <c r="K740" s="31">
        <f t="shared" si="134"/>
        <v>0</v>
      </c>
      <c r="L740" s="50">
        <v>0</v>
      </c>
      <c r="M740" s="31">
        <f t="shared" si="135"/>
        <v>0</v>
      </c>
      <c r="N740" s="50">
        <v>0</v>
      </c>
      <c r="O740" s="31">
        <f t="shared" si="136"/>
        <v>0</v>
      </c>
      <c r="P740" s="51" t="s">
        <v>2046</v>
      </c>
      <c r="Q740" s="51"/>
      <c r="R740" s="765"/>
      <c r="S740" s="765"/>
    </row>
    <row r="741" spans="1:19" x14ac:dyDescent="0.25">
      <c r="A741" s="10">
        <v>44272</v>
      </c>
      <c r="B741" s="594">
        <v>0</v>
      </c>
      <c r="C741" s="31">
        <f t="shared" si="130"/>
        <v>-1860970.81</v>
      </c>
      <c r="D741" s="50">
        <v>722095.57998833095</v>
      </c>
      <c r="E741" s="31">
        <f t="shared" si="131"/>
        <v>206599.63</v>
      </c>
      <c r="F741" s="900">
        <v>0</v>
      </c>
      <c r="G741" s="899">
        <f t="shared" si="132"/>
        <v>41862.28</v>
      </c>
      <c r="H741" s="50">
        <v>0</v>
      </c>
      <c r="I741" s="31">
        <f t="shared" si="133"/>
        <v>0</v>
      </c>
      <c r="J741" s="50">
        <v>0</v>
      </c>
      <c r="K741" s="31">
        <f t="shared" si="134"/>
        <v>0</v>
      </c>
      <c r="L741" s="50">
        <v>0</v>
      </c>
      <c r="M741" s="31">
        <f t="shared" si="135"/>
        <v>0</v>
      </c>
      <c r="N741" s="50">
        <v>0</v>
      </c>
      <c r="O741" s="31">
        <f t="shared" si="136"/>
        <v>0</v>
      </c>
      <c r="P741" s="51" t="s">
        <v>845</v>
      </c>
      <c r="Q741" s="51"/>
      <c r="R741" s="765"/>
      <c r="S741" s="765"/>
    </row>
    <row r="742" spans="1:19" x14ac:dyDescent="0.25">
      <c r="A742" s="10">
        <v>44273</v>
      </c>
      <c r="B742" s="594">
        <v>0</v>
      </c>
      <c r="C742" s="31">
        <f t="shared" si="130"/>
        <v>-1860970.81</v>
      </c>
      <c r="D742" s="50">
        <v>50000</v>
      </c>
      <c r="E742" s="31">
        <f t="shared" si="131"/>
        <v>256599.63</v>
      </c>
      <c r="F742" s="900">
        <v>0</v>
      </c>
      <c r="G742" s="899">
        <f t="shared" si="132"/>
        <v>41862.28</v>
      </c>
      <c r="H742" s="50">
        <v>0</v>
      </c>
      <c r="I742" s="31">
        <f t="shared" si="133"/>
        <v>0</v>
      </c>
      <c r="J742" s="50">
        <v>0</v>
      </c>
      <c r="K742" s="31">
        <f t="shared" si="134"/>
        <v>0</v>
      </c>
      <c r="L742" s="50">
        <v>0</v>
      </c>
      <c r="M742" s="31">
        <f t="shared" si="135"/>
        <v>0</v>
      </c>
      <c r="N742" s="50">
        <v>0</v>
      </c>
      <c r="O742" s="31">
        <f t="shared" si="136"/>
        <v>0</v>
      </c>
      <c r="P742" s="51" t="s">
        <v>2684</v>
      </c>
      <c r="Q742" s="51"/>
      <c r="R742" s="765"/>
      <c r="S742" s="765"/>
    </row>
    <row r="743" spans="1:19" x14ac:dyDescent="0.25">
      <c r="A743" s="10">
        <v>44273</v>
      </c>
      <c r="B743" s="594">
        <v>0</v>
      </c>
      <c r="C743" s="31">
        <f t="shared" si="130"/>
        <v>-1860970.81</v>
      </c>
      <c r="D743" s="50">
        <v>49347.109988330922</v>
      </c>
      <c r="E743" s="31">
        <f t="shared" si="131"/>
        <v>305946.74</v>
      </c>
      <c r="F743" s="900">
        <v>-41500</v>
      </c>
      <c r="G743" s="899">
        <f t="shared" si="132"/>
        <v>362.28</v>
      </c>
      <c r="H743" s="50">
        <v>0</v>
      </c>
      <c r="I743" s="31">
        <f t="shared" si="133"/>
        <v>0</v>
      </c>
      <c r="J743" s="50">
        <v>0</v>
      </c>
      <c r="K743" s="31">
        <f t="shared" si="134"/>
        <v>0</v>
      </c>
      <c r="L743" s="50">
        <v>0</v>
      </c>
      <c r="M743" s="31">
        <f t="shared" si="135"/>
        <v>0</v>
      </c>
      <c r="N743" s="50">
        <v>0</v>
      </c>
      <c r="O743" s="31">
        <f t="shared" si="136"/>
        <v>0</v>
      </c>
      <c r="P743" s="51" t="s">
        <v>2685</v>
      </c>
      <c r="Q743" s="51"/>
      <c r="R743" s="765"/>
      <c r="S743" s="765"/>
    </row>
    <row r="744" spans="1:19" x14ac:dyDescent="0.25">
      <c r="A744" s="10">
        <v>44273</v>
      </c>
      <c r="B744" s="594">
        <v>0</v>
      </c>
      <c r="C744" s="31">
        <f t="shared" si="130"/>
        <v>-1860970.81</v>
      </c>
      <c r="D744" s="50">
        <f>-D743-D742-79159.84</f>
        <v>-178506.94998833092</v>
      </c>
      <c r="E744" s="31">
        <f t="shared" si="131"/>
        <v>127439.79</v>
      </c>
      <c r="F744" s="900">
        <v>0</v>
      </c>
      <c r="G744" s="899">
        <f t="shared" si="132"/>
        <v>362.28</v>
      </c>
      <c r="H744" s="50">
        <v>0</v>
      </c>
      <c r="I744" s="31">
        <f t="shared" si="133"/>
        <v>0</v>
      </c>
      <c r="J744" s="50">
        <v>0</v>
      </c>
      <c r="K744" s="31">
        <f t="shared" si="134"/>
        <v>0</v>
      </c>
      <c r="L744" s="50">
        <v>0</v>
      </c>
      <c r="M744" s="31">
        <f t="shared" si="135"/>
        <v>0</v>
      </c>
      <c r="N744" s="50">
        <v>0</v>
      </c>
      <c r="O744" s="31">
        <f t="shared" si="136"/>
        <v>0</v>
      </c>
      <c r="P744" s="51" t="s">
        <v>845</v>
      </c>
      <c r="Q744" s="51"/>
      <c r="R744" s="765"/>
      <c r="S744" s="765"/>
    </row>
    <row r="745" spans="1:19" x14ac:dyDescent="0.25">
      <c r="A745" s="10">
        <v>44274</v>
      </c>
      <c r="B745" s="594">
        <v>0</v>
      </c>
      <c r="C745" s="31">
        <f t="shared" si="130"/>
        <v>-1860970.81</v>
      </c>
      <c r="D745" s="50">
        <v>0</v>
      </c>
      <c r="E745" s="31">
        <f t="shared" si="131"/>
        <v>127439.79</v>
      </c>
      <c r="F745" s="900">
        <v>0</v>
      </c>
      <c r="G745" s="899">
        <f t="shared" si="132"/>
        <v>362.28</v>
      </c>
      <c r="H745" s="50">
        <v>-176.91</v>
      </c>
      <c r="I745" s="31">
        <f t="shared" si="133"/>
        <v>-176.91</v>
      </c>
      <c r="J745" s="50">
        <v>0</v>
      </c>
      <c r="K745" s="31">
        <f t="shared" si="134"/>
        <v>0</v>
      </c>
      <c r="L745" s="50">
        <v>0</v>
      </c>
      <c r="M745" s="31">
        <f t="shared" si="135"/>
        <v>0</v>
      </c>
      <c r="N745" s="50">
        <v>0</v>
      </c>
      <c r="O745" s="31">
        <f t="shared" si="136"/>
        <v>0</v>
      </c>
      <c r="P745" s="51" t="s">
        <v>1660</v>
      </c>
      <c r="Q745" s="51"/>
      <c r="R745" s="765"/>
      <c r="S745" s="765"/>
    </row>
    <row r="746" spans="1:19" x14ac:dyDescent="0.25">
      <c r="A746" s="10">
        <v>44274</v>
      </c>
      <c r="B746" s="594">
        <v>0</v>
      </c>
      <c r="C746" s="31">
        <f t="shared" si="130"/>
        <v>-1860970.81</v>
      </c>
      <c r="D746" s="50">
        <v>-127336.41</v>
      </c>
      <c r="E746" s="31">
        <f t="shared" si="131"/>
        <v>103.38</v>
      </c>
      <c r="F746" s="900">
        <v>0</v>
      </c>
      <c r="G746" s="899">
        <f t="shared" si="132"/>
        <v>362.28</v>
      </c>
      <c r="H746" s="50">
        <f>-H745</f>
        <v>176.91</v>
      </c>
      <c r="I746" s="31">
        <f t="shared" si="133"/>
        <v>0</v>
      </c>
      <c r="J746" s="50">
        <v>0</v>
      </c>
      <c r="K746" s="31">
        <f t="shared" si="134"/>
        <v>0</v>
      </c>
      <c r="L746" s="50">
        <v>0</v>
      </c>
      <c r="M746" s="31">
        <f t="shared" si="135"/>
        <v>0</v>
      </c>
      <c r="N746" s="50">
        <v>0</v>
      </c>
      <c r="O746" s="31">
        <f t="shared" si="136"/>
        <v>0</v>
      </c>
      <c r="P746" s="51" t="s">
        <v>845</v>
      </c>
      <c r="Q746" s="51"/>
      <c r="R746" s="765"/>
      <c r="S746" s="765"/>
    </row>
    <row r="747" spans="1:19" x14ac:dyDescent="0.25">
      <c r="A747" s="10">
        <v>44274</v>
      </c>
      <c r="B747" s="594">
        <v>0</v>
      </c>
      <c r="C747" s="31">
        <f t="shared" si="130"/>
        <v>-1860970.81</v>
      </c>
      <c r="D747" s="50">
        <v>-103.38</v>
      </c>
      <c r="E747" s="31">
        <f t="shared" si="131"/>
        <v>0</v>
      </c>
      <c r="F747" s="900">
        <v>0</v>
      </c>
      <c r="G747" s="899">
        <f t="shared" si="132"/>
        <v>362.28</v>
      </c>
      <c r="H747" s="50">
        <v>0</v>
      </c>
      <c r="I747" s="31">
        <f t="shared" si="133"/>
        <v>0</v>
      </c>
      <c r="J747" s="50">
        <v>0</v>
      </c>
      <c r="K747" s="31">
        <f t="shared" si="134"/>
        <v>0</v>
      </c>
      <c r="L747" s="50">
        <v>0</v>
      </c>
      <c r="M747" s="31">
        <f t="shared" si="135"/>
        <v>0</v>
      </c>
      <c r="N747" s="50">
        <v>0</v>
      </c>
      <c r="O747" s="31">
        <f t="shared" si="136"/>
        <v>0</v>
      </c>
      <c r="P747" s="51" t="s">
        <v>2686</v>
      </c>
      <c r="Q747" s="51"/>
      <c r="R747" s="765"/>
      <c r="S747" s="765"/>
    </row>
    <row r="748" spans="1:19" x14ac:dyDescent="0.25">
      <c r="A748" s="10">
        <v>44278</v>
      </c>
      <c r="B748" s="594">
        <v>0</v>
      </c>
      <c r="C748" s="31">
        <f t="shared" si="130"/>
        <v>-1860970.81</v>
      </c>
      <c r="D748" s="50">
        <v>-40000</v>
      </c>
      <c r="E748" s="31">
        <f t="shared" si="131"/>
        <v>-40000</v>
      </c>
      <c r="F748" s="900">
        <v>0</v>
      </c>
      <c r="G748" s="899">
        <f t="shared" si="132"/>
        <v>362.28</v>
      </c>
      <c r="H748" s="50">
        <v>0</v>
      </c>
      <c r="I748" s="31">
        <f t="shared" si="133"/>
        <v>0</v>
      </c>
      <c r="J748" s="50">
        <v>0</v>
      </c>
      <c r="K748" s="31">
        <f t="shared" si="134"/>
        <v>0</v>
      </c>
      <c r="L748" s="50">
        <v>40000</v>
      </c>
      <c r="M748" s="31">
        <f t="shared" si="135"/>
        <v>40000</v>
      </c>
      <c r="N748" s="50">
        <v>0</v>
      </c>
      <c r="O748" s="31">
        <f t="shared" si="136"/>
        <v>0</v>
      </c>
      <c r="P748" s="51" t="s">
        <v>2691</v>
      </c>
      <c r="Q748" s="51"/>
      <c r="R748" s="765"/>
      <c r="S748" s="765"/>
    </row>
    <row r="749" spans="1:19" x14ac:dyDescent="0.25">
      <c r="A749" s="10">
        <v>44278</v>
      </c>
      <c r="B749" s="594">
        <v>0</v>
      </c>
      <c r="C749" s="31">
        <f t="shared" si="130"/>
        <v>-1860970.81</v>
      </c>
      <c r="D749" s="50">
        <v>0</v>
      </c>
      <c r="E749" s="31">
        <f t="shared" si="131"/>
        <v>-40000</v>
      </c>
      <c r="F749" s="900">
        <v>0</v>
      </c>
      <c r="G749" s="899">
        <f t="shared" si="132"/>
        <v>362.28</v>
      </c>
      <c r="H749" s="50">
        <v>0</v>
      </c>
      <c r="I749" s="31">
        <f t="shared" si="133"/>
        <v>0</v>
      </c>
      <c r="J749" s="50">
        <v>0</v>
      </c>
      <c r="K749" s="31">
        <f t="shared" si="134"/>
        <v>0</v>
      </c>
      <c r="L749" s="50">
        <v>-40000</v>
      </c>
      <c r="M749" s="31">
        <f t="shared" si="135"/>
        <v>0</v>
      </c>
      <c r="N749" s="50">
        <v>0</v>
      </c>
      <c r="O749" s="31">
        <f t="shared" si="136"/>
        <v>0</v>
      </c>
      <c r="P749" s="51" t="s">
        <v>2690</v>
      </c>
      <c r="Q749" s="51"/>
      <c r="R749" s="765"/>
      <c r="S749" s="765"/>
    </row>
    <row r="750" spans="1:19" x14ac:dyDescent="0.25">
      <c r="A750" s="10">
        <v>44278</v>
      </c>
      <c r="B750" s="594">
        <v>0</v>
      </c>
      <c r="C750" s="31">
        <f t="shared" si="130"/>
        <v>-1860970.81</v>
      </c>
      <c r="D750" s="50">
        <v>-105341.63</v>
      </c>
      <c r="E750" s="31">
        <f t="shared" si="131"/>
        <v>-145341.63</v>
      </c>
      <c r="F750" s="900">
        <v>0</v>
      </c>
      <c r="G750" s="899">
        <f t="shared" si="132"/>
        <v>362.28</v>
      </c>
      <c r="H750" s="50">
        <v>0</v>
      </c>
      <c r="I750" s="31">
        <f t="shared" si="133"/>
        <v>0</v>
      </c>
      <c r="J750" s="50">
        <v>0</v>
      </c>
      <c r="K750" s="31">
        <f t="shared" si="134"/>
        <v>0</v>
      </c>
      <c r="L750" s="50">
        <v>105341.63</v>
      </c>
      <c r="M750" s="31">
        <f t="shared" si="135"/>
        <v>105341.63</v>
      </c>
      <c r="N750" s="50">
        <v>0</v>
      </c>
      <c r="O750" s="31">
        <f t="shared" si="136"/>
        <v>0</v>
      </c>
      <c r="P750" s="51" t="s">
        <v>2693</v>
      </c>
      <c r="Q750" s="51"/>
      <c r="R750" s="765"/>
      <c r="S750" s="765"/>
    </row>
    <row r="751" spans="1:19" x14ac:dyDescent="0.25">
      <c r="A751" s="10">
        <v>44278</v>
      </c>
      <c r="B751" s="594">
        <v>0</v>
      </c>
      <c r="C751" s="31">
        <f t="shared" si="130"/>
        <v>-1860970.81</v>
      </c>
      <c r="D751" s="50">
        <v>0</v>
      </c>
      <c r="E751" s="31">
        <f t="shared" si="131"/>
        <v>-145341.63</v>
      </c>
      <c r="F751" s="900">
        <v>0</v>
      </c>
      <c r="G751" s="899">
        <f t="shared" si="132"/>
        <v>362.28</v>
      </c>
      <c r="H751" s="50">
        <v>0</v>
      </c>
      <c r="I751" s="31">
        <f t="shared" si="133"/>
        <v>0</v>
      </c>
      <c r="J751" s="50">
        <v>0</v>
      </c>
      <c r="K751" s="31">
        <f t="shared" si="134"/>
        <v>0</v>
      </c>
      <c r="L751" s="50">
        <v>-105341.63</v>
      </c>
      <c r="M751" s="31">
        <f t="shared" si="135"/>
        <v>0</v>
      </c>
      <c r="N751" s="50">
        <v>0</v>
      </c>
      <c r="O751" s="31">
        <f t="shared" si="136"/>
        <v>0</v>
      </c>
      <c r="P751" s="51" t="s">
        <v>2692</v>
      </c>
      <c r="Q751" s="51"/>
      <c r="R751" s="765"/>
      <c r="S751" s="765"/>
    </row>
    <row r="752" spans="1:19" x14ac:dyDescent="0.25">
      <c r="A752" s="10">
        <v>44278</v>
      </c>
      <c r="B752" s="594">
        <v>0</v>
      </c>
      <c r="C752" s="31">
        <f t="shared" si="130"/>
        <v>-1860970.81</v>
      </c>
      <c r="D752" s="50">
        <v>0</v>
      </c>
      <c r="E752" s="31">
        <f t="shared" si="131"/>
        <v>-145341.63</v>
      </c>
      <c r="F752" s="900">
        <v>0</v>
      </c>
      <c r="G752" s="899">
        <f t="shared" si="132"/>
        <v>362.28</v>
      </c>
      <c r="H752" s="50">
        <v>-125.07</v>
      </c>
      <c r="I752" s="31">
        <f t="shared" si="133"/>
        <v>-125.07</v>
      </c>
      <c r="J752" s="50">
        <v>0</v>
      </c>
      <c r="K752" s="31">
        <f t="shared" si="134"/>
        <v>0</v>
      </c>
      <c r="L752" s="50">
        <v>0</v>
      </c>
      <c r="M752" s="31">
        <f t="shared" si="135"/>
        <v>0</v>
      </c>
      <c r="N752" s="50">
        <v>0</v>
      </c>
      <c r="O752" s="31">
        <f t="shared" si="136"/>
        <v>0</v>
      </c>
      <c r="P752" s="51" t="s">
        <v>2694</v>
      </c>
      <c r="Q752" s="51"/>
      <c r="R752" s="765"/>
      <c r="S752" s="765"/>
    </row>
    <row r="753" spans="1:19" x14ac:dyDescent="0.25">
      <c r="A753" s="10">
        <v>44278</v>
      </c>
      <c r="B753" s="594">
        <v>0</v>
      </c>
      <c r="C753" s="31">
        <f t="shared" si="130"/>
        <v>-1860970.81</v>
      </c>
      <c r="D753" s="50">
        <v>-20288.7</v>
      </c>
      <c r="E753" s="31">
        <f t="shared" si="131"/>
        <v>-165630.32999999999</v>
      </c>
      <c r="F753" s="900">
        <v>0</v>
      </c>
      <c r="G753" s="899">
        <f t="shared" si="132"/>
        <v>362.28</v>
      </c>
      <c r="H753" s="50">
        <v>20288.7</v>
      </c>
      <c r="I753" s="31">
        <f t="shared" si="133"/>
        <v>20163.63</v>
      </c>
      <c r="J753" s="50">
        <v>0</v>
      </c>
      <c r="K753" s="31">
        <f t="shared" si="134"/>
        <v>0</v>
      </c>
      <c r="L753" s="50">
        <v>0</v>
      </c>
      <c r="M753" s="31">
        <f t="shared" si="135"/>
        <v>0</v>
      </c>
      <c r="N753" s="50">
        <v>0</v>
      </c>
      <c r="O753" s="31">
        <f t="shared" si="136"/>
        <v>0</v>
      </c>
      <c r="P753" s="51" t="s">
        <v>2695</v>
      </c>
      <c r="Q753" s="51"/>
      <c r="R753" s="765"/>
      <c r="S753" s="765"/>
    </row>
    <row r="754" spans="1:19" x14ac:dyDescent="0.25">
      <c r="A754" s="10">
        <v>44278</v>
      </c>
      <c r="B754" s="594">
        <v>700000</v>
      </c>
      <c r="C754" s="31">
        <f t="shared" si="130"/>
        <v>-1160970.81</v>
      </c>
      <c r="D754" s="50">
        <v>-3900000</v>
      </c>
      <c r="E754" s="31">
        <f t="shared" si="131"/>
        <v>-4065630.33</v>
      </c>
      <c r="F754" s="900">
        <v>0</v>
      </c>
      <c r="G754" s="899">
        <f t="shared" si="132"/>
        <v>362.28</v>
      </c>
      <c r="H754" s="50">
        <v>0</v>
      </c>
      <c r="I754" s="31">
        <f t="shared" si="133"/>
        <v>20163.63</v>
      </c>
      <c r="J754" s="50">
        <v>0</v>
      </c>
      <c r="K754" s="31">
        <f t="shared" si="134"/>
        <v>0</v>
      </c>
      <c r="L754" s="50">
        <v>0</v>
      </c>
      <c r="M754" s="31">
        <f t="shared" si="135"/>
        <v>0</v>
      </c>
      <c r="N754" s="50">
        <v>0</v>
      </c>
      <c r="O754" s="31">
        <f t="shared" si="136"/>
        <v>0</v>
      </c>
      <c r="P754" s="51" t="s">
        <v>2661</v>
      </c>
      <c r="Q754" s="51"/>
      <c r="R754" s="765"/>
      <c r="S754" s="765"/>
    </row>
    <row r="755" spans="1:19" x14ac:dyDescent="0.25">
      <c r="A755" s="10">
        <v>44278</v>
      </c>
      <c r="B755" s="594">
        <v>0</v>
      </c>
      <c r="C755" s="31">
        <f t="shared" si="130"/>
        <v>-1160970.81</v>
      </c>
      <c r="D755" s="50">
        <f>-D754</f>
        <v>3900000</v>
      </c>
      <c r="E755" s="31">
        <f t="shared" si="131"/>
        <v>-165630.32999999999</v>
      </c>
      <c r="F755" s="900">
        <v>0</v>
      </c>
      <c r="G755" s="899">
        <f t="shared" si="132"/>
        <v>362.28</v>
      </c>
      <c r="H755" s="50">
        <v>0</v>
      </c>
      <c r="I755" s="31">
        <f t="shared" si="133"/>
        <v>20163.63</v>
      </c>
      <c r="J755" s="50">
        <v>0</v>
      </c>
      <c r="K755" s="31">
        <f t="shared" si="134"/>
        <v>0</v>
      </c>
      <c r="L755" s="50">
        <v>0</v>
      </c>
      <c r="M755" s="31">
        <f t="shared" si="135"/>
        <v>0</v>
      </c>
      <c r="N755" s="50">
        <v>0</v>
      </c>
      <c r="O755" s="31">
        <f t="shared" si="136"/>
        <v>0</v>
      </c>
      <c r="P755" s="51" t="s">
        <v>2696</v>
      </c>
      <c r="Q755" s="51"/>
      <c r="R755" s="765"/>
      <c r="S755" s="765"/>
    </row>
    <row r="756" spans="1:19" x14ac:dyDescent="0.25">
      <c r="A756" s="10">
        <v>44278</v>
      </c>
      <c r="B756" s="594">
        <v>0</v>
      </c>
      <c r="C756" s="31">
        <f t="shared" si="130"/>
        <v>-1160970.81</v>
      </c>
      <c r="D756" s="50">
        <f>-D755</f>
        <v>-3900000</v>
      </c>
      <c r="E756" s="31">
        <f t="shared" si="131"/>
        <v>-4065630.33</v>
      </c>
      <c r="F756" s="900">
        <v>0</v>
      </c>
      <c r="G756" s="899">
        <f t="shared" si="132"/>
        <v>362.28</v>
      </c>
      <c r="H756" s="50">
        <v>0</v>
      </c>
      <c r="I756" s="31">
        <f t="shared" si="133"/>
        <v>20163.63</v>
      </c>
      <c r="J756" s="50">
        <v>0</v>
      </c>
      <c r="K756" s="31">
        <f t="shared" si="134"/>
        <v>0</v>
      </c>
      <c r="L756" s="50">
        <v>0</v>
      </c>
      <c r="M756" s="31">
        <f t="shared" si="135"/>
        <v>0</v>
      </c>
      <c r="N756" s="50">
        <v>0</v>
      </c>
      <c r="O756" s="31">
        <f t="shared" si="136"/>
        <v>0</v>
      </c>
      <c r="P756" s="51" t="s">
        <v>2697</v>
      </c>
      <c r="Q756" s="51"/>
      <c r="R756" s="765"/>
      <c r="S756" s="765"/>
    </row>
    <row r="757" spans="1:19" x14ac:dyDescent="0.25">
      <c r="A757" s="10">
        <v>44278</v>
      </c>
      <c r="B757" s="594">
        <v>0</v>
      </c>
      <c r="C757" s="31">
        <f t="shared" si="130"/>
        <v>-1160970.81</v>
      </c>
      <c r="D757" s="50">
        <v>4000000</v>
      </c>
      <c r="E757" s="31">
        <f t="shared" si="131"/>
        <v>-65630.33</v>
      </c>
      <c r="F757" s="900">
        <v>0</v>
      </c>
      <c r="G757" s="899">
        <f t="shared" si="132"/>
        <v>362.28</v>
      </c>
      <c r="H757" s="50">
        <v>0</v>
      </c>
      <c r="I757" s="31">
        <f t="shared" si="133"/>
        <v>20163.63</v>
      </c>
      <c r="J757" s="50">
        <v>0</v>
      </c>
      <c r="K757" s="31">
        <f t="shared" si="134"/>
        <v>0</v>
      </c>
      <c r="L757" s="50">
        <v>0</v>
      </c>
      <c r="M757" s="31">
        <f t="shared" si="135"/>
        <v>0</v>
      </c>
      <c r="N757" s="50">
        <v>0</v>
      </c>
      <c r="O757" s="31">
        <f t="shared" si="136"/>
        <v>0</v>
      </c>
      <c r="P757" s="51" t="s">
        <v>2071</v>
      </c>
      <c r="Q757" s="51"/>
      <c r="R757" s="765"/>
      <c r="S757" s="765"/>
    </row>
    <row r="758" spans="1:19" x14ac:dyDescent="0.25">
      <c r="A758" s="10">
        <v>44278</v>
      </c>
      <c r="B758" s="594">
        <v>0</v>
      </c>
      <c r="C758" s="31">
        <f t="shared" si="130"/>
        <v>-1160970.81</v>
      </c>
      <c r="D758" s="50">
        <f>-3200000-E757</f>
        <v>-3134369.67</v>
      </c>
      <c r="E758" s="31">
        <f t="shared" si="131"/>
        <v>-3200000</v>
      </c>
      <c r="F758" s="900">
        <v>0</v>
      </c>
      <c r="G758" s="899">
        <f t="shared" si="132"/>
        <v>362.28</v>
      </c>
      <c r="H758" s="50">
        <f>-I757</f>
        <v>-20163.63</v>
      </c>
      <c r="I758" s="31">
        <f t="shared" si="133"/>
        <v>0</v>
      </c>
      <c r="J758" s="50">
        <v>0</v>
      </c>
      <c r="K758" s="31">
        <f t="shared" si="134"/>
        <v>0</v>
      </c>
      <c r="L758" s="50">
        <v>0</v>
      </c>
      <c r="M758" s="31">
        <f t="shared" si="135"/>
        <v>0</v>
      </c>
      <c r="N758" s="50">
        <v>0</v>
      </c>
      <c r="O758" s="31">
        <f t="shared" si="136"/>
        <v>0</v>
      </c>
      <c r="P758" s="51" t="s">
        <v>845</v>
      </c>
      <c r="Q758" s="51"/>
      <c r="R758" s="765"/>
      <c r="S758" s="765"/>
    </row>
    <row r="759" spans="1:19" x14ac:dyDescent="0.25">
      <c r="A759" s="10">
        <v>44281</v>
      </c>
      <c r="B759" s="594">
        <v>0</v>
      </c>
      <c r="C759" s="31">
        <f t="shared" si="130"/>
        <v>-1160970.81</v>
      </c>
      <c r="D759" s="50">
        <v>-52248470.469999999</v>
      </c>
      <c r="E759" s="31">
        <f t="shared" si="131"/>
        <v>-55448470.469999999</v>
      </c>
      <c r="F759" s="900">
        <v>0</v>
      </c>
      <c r="G759" s="899">
        <f t="shared" si="132"/>
        <v>362.28</v>
      </c>
      <c r="H759" s="50">
        <v>0</v>
      </c>
      <c r="I759" s="31">
        <f t="shared" si="133"/>
        <v>0</v>
      </c>
      <c r="J759" s="50">
        <v>0</v>
      </c>
      <c r="K759" s="31">
        <f t="shared" si="134"/>
        <v>0</v>
      </c>
      <c r="L759" s="50">
        <v>0</v>
      </c>
      <c r="M759" s="31">
        <f t="shared" si="135"/>
        <v>0</v>
      </c>
      <c r="N759" s="50">
        <v>0</v>
      </c>
      <c r="O759" s="31">
        <f t="shared" si="136"/>
        <v>0</v>
      </c>
      <c r="P759" s="51" t="s">
        <v>2698</v>
      </c>
      <c r="Q759" s="51"/>
      <c r="R759" s="765"/>
      <c r="S759" s="765"/>
    </row>
    <row r="760" spans="1:19" x14ac:dyDescent="0.25">
      <c r="A760" s="10">
        <v>44281</v>
      </c>
      <c r="B760" s="594">
        <v>0</v>
      </c>
      <c r="C760" s="31">
        <f t="shared" si="130"/>
        <v>-1160970.81</v>
      </c>
      <c r="D760" s="50">
        <v>-1735694.19</v>
      </c>
      <c r="E760" s="31">
        <f t="shared" si="131"/>
        <v>-57184164.659999996</v>
      </c>
      <c r="F760" s="900">
        <v>0</v>
      </c>
      <c r="G760" s="899">
        <f t="shared" si="132"/>
        <v>362.28</v>
      </c>
      <c r="H760" s="50">
        <v>0</v>
      </c>
      <c r="I760" s="31">
        <f t="shared" si="133"/>
        <v>0</v>
      </c>
      <c r="J760" s="50">
        <v>0</v>
      </c>
      <c r="K760" s="31">
        <f t="shared" si="134"/>
        <v>0</v>
      </c>
      <c r="L760" s="50">
        <v>0</v>
      </c>
      <c r="M760" s="31">
        <f t="shared" si="135"/>
        <v>0</v>
      </c>
      <c r="N760" s="50">
        <v>0</v>
      </c>
      <c r="O760" s="31">
        <f t="shared" si="136"/>
        <v>0</v>
      </c>
      <c r="P760" s="51" t="s">
        <v>2699</v>
      </c>
      <c r="Q760" s="51"/>
      <c r="R760" s="765"/>
      <c r="S760" s="765"/>
    </row>
    <row r="761" spans="1:19" x14ac:dyDescent="0.25">
      <c r="A761" s="10">
        <v>44281</v>
      </c>
      <c r="B761" s="594">
        <v>0</v>
      </c>
      <c r="C761" s="31">
        <f t="shared" si="130"/>
        <v>-1160970.81</v>
      </c>
      <c r="D761" s="50">
        <v>-34338739.759999998</v>
      </c>
      <c r="E761" s="31">
        <f t="shared" si="131"/>
        <v>-91522904.420000002</v>
      </c>
      <c r="F761" s="900">
        <v>0</v>
      </c>
      <c r="G761" s="899">
        <f t="shared" si="132"/>
        <v>362.28</v>
      </c>
      <c r="H761" s="50">
        <v>0</v>
      </c>
      <c r="I761" s="31">
        <f t="shared" si="133"/>
        <v>0</v>
      </c>
      <c r="J761" s="50">
        <v>0</v>
      </c>
      <c r="K761" s="31">
        <f t="shared" si="134"/>
        <v>0</v>
      </c>
      <c r="L761" s="50">
        <v>0</v>
      </c>
      <c r="M761" s="31">
        <f t="shared" si="135"/>
        <v>0</v>
      </c>
      <c r="N761" s="50">
        <v>0</v>
      </c>
      <c r="O761" s="31">
        <f t="shared" si="136"/>
        <v>0</v>
      </c>
      <c r="P761" s="51" t="s">
        <v>2700</v>
      </c>
      <c r="Q761" s="51"/>
      <c r="R761" s="765"/>
      <c r="S761" s="765"/>
    </row>
    <row r="762" spans="1:19" x14ac:dyDescent="0.25">
      <c r="A762" s="10">
        <v>44281</v>
      </c>
      <c r="B762" s="594">
        <v>0</v>
      </c>
      <c r="C762" s="31">
        <f t="shared" si="130"/>
        <v>-1160970.81</v>
      </c>
      <c r="D762" s="50">
        <v>-4750250.6900000004</v>
      </c>
      <c r="E762" s="31">
        <f t="shared" si="131"/>
        <v>-96273155.109999999</v>
      </c>
      <c r="F762" s="900">
        <v>0</v>
      </c>
      <c r="G762" s="899">
        <f t="shared" si="132"/>
        <v>362.28</v>
      </c>
      <c r="H762" s="50">
        <v>0</v>
      </c>
      <c r="I762" s="31">
        <f t="shared" si="133"/>
        <v>0</v>
      </c>
      <c r="J762" s="50">
        <v>0</v>
      </c>
      <c r="K762" s="31">
        <f t="shared" si="134"/>
        <v>0</v>
      </c>
      <c r="L762" s="50">
        <v>0</v>
      </c>
      <c r="M762" s="31">
        <f t="shared" si="135"/>
        <v>0</v>
      </c>
      <c r="N762" s="50">
        <v>0</v>
      </c>
      <c r="O762" s="31">
        <f t="shared" si="136"/>
        <v>0</v>
      </c>
      <c r="P762" s="51" t="s">
        <v>2701</v>
      </c>
      <c r="Q762" s="51"/>
      <c r="R762" s="765"/>
      <c r="S762" s="765"/>
    </row>
    <row r="763" spans="1:19" x14ac:dyDescent="0.25">
      <c r="A763" s="10">
        <v>44281</v>
      </c>
      <c r="B763" s="594">
        <v>0</v>
      </c>
      <c r="C763" s="31">
        <f t="shared" si="130"/>
        <v>-1160970.81</v>
      </c>
      <c r="D763" s="50">
        <v>40006631.240000002</v>
      </c>
      <c r="E763" s="31">
        <f t="shared" si="131"/>
        <v>-56266523.869999997</v>
      </c>
      <c r="F763" s="900">
        <v>0</v>
      </c>
      <c r="G763" s="899">
        <f t="shared" si="132"/>
        <v>362.28</v>
      </c>
      <c r="H763" s="50">
        <v>0</v>
      </c>
      <c r="I763" s="31">
        <f t="shared" si="133"/>
        <v>0</v>
      </c>
      <c r="J763" s="50">
        <v>0</v>
      </c>
      <c r="K763" s="31">
        <f t="shared" si="134"/>
        <v>0</v>
      </c>
      <c r="L763" s="50">
        <v>0</v>
      </c>
      <c r="M763" s="31">
        <f t="shared" si="135"/>
        <v>0</v>
      </c>
      <c r="N763" s="50">
        <v>0</v>
      </c>
      <c r="O763" s="31">
        <f t="shared" si="136"/>
        <v>0</v>
      </c>
      <c r="P763" s="51" t="s">
        <v>2702</v>
      </c>
      <c r="Q763" s="51"/>
      <c r="R763" s="765"/>
      <c r="S763" s="765"/>
    </row>
    <row r="764" spans="1:19" x14ac:dyDescent="0.25">
      <c r="A764" s="10">
        <v>44281</v>
      </c>
      <c r="B764" s="594">
        <v>0</v>
      </c>
      <c r="C764" s="31">
        <f t="shared" si="130"/>
        <v>-1160970.81</v>
      </c>
      <c r="D764" s="50">
        <v>48312519.619999997</v>
      </c>
      <c r="E764" s="31">
        <f t="shared" si="131"/>
        <v>-7954004.25</v>
      </c>
      <c r="F764" s="900">
        <v>0</v>
      </c>
      <c r="G764" s="899">
        <f t="shared" si="132"/>
        <v>362.28</v>
      </c>
      <c r="H764" s="50">
        <v>0</v>
      </c>
      <c r="I764" s="31">
        <f t="shared" si="133"/>
        <v>0</v>
      </c>
      <c r="J764" s="50">
        <v>0</v>
      </c>
      <c r="K764" s="31">
        <f t="shared" si="134"/>
        <v>0</v>
      </c>
      <c r="L764" s="50">
        <v>0</v>
      </c>
      <c r="M764" s="31">
        <f t="shared" si="135"/>
        <v>0</v>
      </c>
      <c r="N764" s="50">
        <v>0</v>
      </c>
      <c r="O764" s="31">
        <f t="shared" si="136"/>
        <v>0</v>
      </c>
      <c r="P764" s="51" t="s">
        <v>2703</v>
      </c>
      <c r="Q764" s="51"/>
      <c r="R764" s="765"/>
      <c r="S764" s="765"/>
    </row>
    <row r="765" spans="1:19" x14ac:dyDescent="0.25">
      <c r="A765" s="10">
        <v>44281</v>
      </c>
      <c r="B765" s="594">
        <v>0</v>
      </c>
      <c r="C765" s="31">
        <f t="shared" si="130"/>
        <v>-1160970.81</v>
      </c>
      <c r="D765" s="50">
        <v>4750000</v>
      </c>
      <c r="E765" s="31">
        <f t="shared" si="131"/>
        <v>-3204004.25</v>
      </c>
      <c r="F765" s="900">
        <v>0</v>
      </c>
      <c r="G765" s="899">
        <f t="shared" si="132"/>
        <v>362.28</v>
      </c>
      <c r="H765" s="50">
        <v>0</v>
      </c>
      <c r="I765" s="31">
        <f t="shared" si="133"/>
        <v>0</v>
      </c>
      <c r="J765" s="50">
        <v>0</v>
      </c>
      <c r="K765" s="31">
        <f t="shared" si="134"/>
        <v>0</v>
      </c>
      <c r="L765" s="50">
        <v>0</v>
      </c>
      <c r="M765" s="31">
        <f t="shared" si="135"/>
        <v>0</v>
      </c>
      <c r="N765" s="50">
        <v>0</v>
      </c>
      <c r="O765" s="31">
        <f t="shared" si="136"/>
        <v>0</v>
      </c>
      <c r="P765" s="51" t="s">
        <v>2704</v>
      </c>
      <c r="Q765" s="51"/>
      <c r="R765" s="765"/>
      <c r="S765" s="765"/>
    </row>
    <row r="766" spans="1:19" x14ac:dyDescent="0.25">
      <c r="A766" s="10">
        <v>44281</v>
      </c>
      <c r="B766" s="594">
        <v>0</v>
      </c>
      <c r="C766" s="31">
        <f t="shared" si="130"/>
        <v>-1160970.81</v>
      </c>
      <c r="D766" s="50">
        <f>-E765-3200000</f>
        <v>4004.25</v>
      </c>
      <c r="E766" s="31">
        <f t="shared" si="131"/>
        <v>-3200000</v>
      </c>
      <c r="F766" s="900">
        <v>0</v>
      </c>
      <c r="G766" s="899">
        <f t="shared" si="132"/>
        <v>362.28</v>
      </c>
      <c r="H766" s="50">
        <v>0</v>
      </c>
      <c r="I766" s="31">
        <f t="shared" si="133"/>
        <v>0</v>
      </c>
      <c r="J766" s="50">
        <v>0</v>
      </c>
      <c r="K766" s="31">
        <f t="shared" si="134"/>
        <v>0</v>
      </c>
      <c r="L766" s="50">
        <v>0</v>
      </c>
      <c r="M766" s="31">
        <f t="shared" si="135"/>
        <v>0</v>
      </c>
      <c r="N766" s="50">
        <v>0</v>
      </c>
      <c r="O766" s="31">
        <f t="shared" si="136"/>
        <v>0</v>
      </c>
      <c r="P766" s="51" t="s">
        <v>845</v>
      </c>
      <c r="Q766" s="51"/>
      <c r="R766" s="765"/>
      <c r="S766" s="765"/>
    </row>
    <row r="767" spans="1:19" x14ac:dyDescent="0.25">
      <c r="A767" s="10">
        <v>44284</v>
      </c>
      <c r="B767" s="594">
        <v>0</v>
      </c>
      <c r="C767" s="31">
        <f t="shared" ref="C767:C795" si="137">ROUND(B767+C766,2)</f>
        <v>-1160970.81</v>
      </c>
      <c r="D767" s="50">
        <f>-E766</f>
        <v>3200000</v>
      </c>
      <c r="E767" s="31">
        <f t="shared" ref="E767:E795" si="138">ROUND(D767+E766,2)</f>
        <v>0</v>
      </c>
      <c r="F767" s="900">
        <v>0</v>
      </c>
      <c r="G767" s="899">
        <f t="shared" ref="G767:G795" si="139">ROUND(F767+G766,2)</f>
        <v>362.28</v>
      </c>
      <c r="H767" s="50">
        <v>0</v>
      </c>
      <c r="I767" s="31">
        <f t="shared" ref="I767:I795" si="140">ROUND(H767+I766,2)</f>
        <v>0</v>
      </c>
      <c r="J767" s="50">
        <v>0</v>
      </c>
      <c r="K767" s="31">
        <f t="shared" ref="K767:K795" si="141">ROUND(J767+K766,2)</f>
        <v>0</v>
      </c>
      <c r="L767" s="50">
        <v>0</v>
      </c>
      <c r="M767" s="31">
        <f t="shared" ref="M767:M795" si="142">ROUND(L767+M766,2)</f>
        <v>0</v>
      </c>
      <c r="N767" s="50">
        <v>0</v>
      </c>
      <c r="O767" s="31">
        <f t="shared" ref="O767:O795" si="143">ROUND(N767+O766,2)</f>
        <v>0</v>
      </c>
      <c r="P767" s="51" t="s">
        <v>845</v>
      </c>
      <c r="Q767" s="51" t="s">
        <v>2705</v>
      </c>
      <c r="R767" s="765"/>
      <c r="S767" s="765"/>
    </row>
    <row r="768" spans="1:19" x14ac:dyDescent="0.25">
      <c r="A768" s="10">
        <v>44286</v>
      </c>
      <c r="B768" s="594">
        <v>0</v>
      </c>
      <c r="C768" s="31">
        <f t="shared" si="137"/>
        <v>-1160970.81</v>
      </c>
      <c r="D768" s="50">
        <v>0</v>
      </c>
      <c r="E768" s="31">
        <f t="shared" si="138"/>
        <v>0</v>
      </c>
      <c r="F768" s="900">
        <v>20.88</v>
      </c>
      <c r="G768" s="899">
        <f t="shared" si="139"/>
        <v>383.16</v>
      </c>
      <c r="H768" s="50">
        <v>0</v>
      </c>
      <c r="I768" s="31">
        <f t="shared" si="140"/>
        <v>0</v>
      </c>
      <c r="J768" s="50">
        <v>0</v>
      </c>
      <c r="K768" s="31">
        <f t="shared" si="141"/>
        <v>0</v>
      </c>
      <c r="L768" s="50">
        <v>0</v>
      </c>
      <c r="M768" s="31">
        <f t="shared" si="142"/>
        <v>0</v>
      </c>
      <c r="N768" s="50">
        <v>0</v>
      </c>
      <c r="O768" s="31">
        <f t="shared" si="143"/>
        <v>0</v>
      </c>
      <c r="P768" s="51" t="s">
        <v>859</v>
      </c>
      <c r="Q768" s="51"/>
      <c r="R768" s="765"/>
      <c r="S768" s="765"/>
    </row>
    <row r="769" spans="1:19" x14ac:dyDescent="0.25">
      <c r="A769" s="10">
        <v>44291</v>
      </c>
      <c r="B769" s="594">
        <v>0</v>
      </c>
      <c r="C769" s="31">
        <f t="shared" si="137"/>
        <v>-1160970.81</v>
      </c>
      <c r="D769" s="50">
        <v>32.97999999999999</v>
      </c>
      <c r="E769" s="31">
        <f t="shared" si="138"/>
        <v>32.979999999999997</v>
      </c>
      <c r="F769" s="900">
        <v>0</v>
      </c>
      <c r="G769" s="899">
        <f t="shared" si="139"/>
        <v>383.16</v>
      </c>
      <c r="H769" s="50">
        <v>1.0000000000000002</v>
      </c>
      <c r="I769" s="31">
        <f t="shared" si="140"/>
        <v>1</v>
      </c>
      <c r="J769" s="50">
        <v>0</v>
      </c>
      <c r="K769" s="31">
        <f t="shared" si="141"/>
        <v>0</v>
      </c>
      <c r="L769" s="50">
        <v>0</v>
      </c>
      <c r="M769" s="31">
        <f t="shared" si="142"/>
        <v>0</v>
      </c>
      <c r="N769" s="50">
        <v>0</v>
      </c>
      <c r="O769" s="31">
        <f t="shared" si="143"/>
        <v>0</v>
      </c>
      <c r="P769" s="51" t="s">
        <v>2718</v>
      </c>
      <c r="Q769" s="51"/>
      <c r="R769" s="765"/>
      <c r="S769" s="765"/>
    </row>
    <row r="770" spans="1:19" x14ac:dyDescent="0.25">
      <c r="A770" s="10">
        <v>44291</v>
      </c>
      <c r="B770" s="594">
        <v>0</v>
      </c>
      <c r="C770" s="31">
        <f t="shared" si="137"/>
        <v>-1160970.81</v>
      </c>
      <c r="D770" s="50">
        <f>-E769</f>
        <v>-32.979999999999997</v>
      </c>
      <c r="E770" s="31">
        <f t="shared" si="138"/>
        <v>0</v>
      </c>
      <c r="F770" s="900">
        <v>0</v>
      </c>
      <c r="G770" s="899">
        <f t="shared" si="139"/>
        <v>383.16</v>
      </c>
      <c r="H770" s="50">
        <f>-I769</f>
        <v>-1</v>
      </c>
      <c r="I770" s="31">
        <f t="shared" si="140"/>
        <v>0</v>
      </c>
      <c r="J770" s="50">
        <v>0</v>
      </c>
      <c r="K770" s="31">
        <f t="shared" si="141"/>
        <v>0</v>
      </c>
      <c r="L770" s="50">
        <v>0</v>
      </c>
      <c r="M770" s="31">
        <f t="shared" si="142"/>
        <v>0</v>
      </c>
      <c r="N770" s="50">
        <v>0</v>
      </c>
      <c r="O770" s="31">
        <f t="shared" si="143"/>
        <v>0</v>
      </c>
      <c r="P770" s="51" t="s">
        <v>845</v>
      </c>
      <c r="Q770" s="51"/>
      <c r="R770" s="765"/>
      <c r="S770" s="765"/>
    </row>
    <row r="771" spans="1:19" x14ac:dyDescent="0.25">
      <c r="A771" s="10">
        <v>44298</v>
      </c>
      <c r="B771" s="594">
        <v>0</v>
      </c>
      <c r="C771" s="31">
        <f t="shared" si="137"/>
        <v>-1160970.81</v>
      </c>
      <c r="D771" s="50">
        <v>9750000</v>
      </c>
      <c r="E771" s="31">
        <f t="shared" si="138"/>
        <v>9750000</v>
      </c>
      <c r="F771" s="900">
        <v>0</v>
      </c>
      <c r="G771" s="899">
        <f t="shared" si="139"/>
        <v>383.16</v>
      </c>
      <c r="H771" s="50">
        <v>0</v>
      </c>
      <c r="I771" s="31">
        <f t="shared" si="140"/>
        <v>0</v>
      </c>
      <c r="J771" s="50">
        <v>0</v>
      </c>
      <c r="K771" s="31">
        <f t="shared" si="141"/>
        <v>0</v>
      </c>
      <c r="L771" s="50">
        <v>0</v>
      </c>
      <c r="M771" s="31">
        <f t="shared" si="142"/>
        <v>0</v>
      </c>
      <c r="N771" s="50">
        <v>0</v>
      </c>
      <c r="O771" s="31">
        <f t="shared" si="143"/>
        <v>0</v>
      </c>
      <c r="P771" s="51" t="s">
        <v>2727</v>
      </c>
      <c r="Q771" s="51"/>
      <c r="R771" s="765"/>
      <c r="S771" s="765"/>
    </row>
    <row r="772" spans="1:19" x14ac:dyDescent="0.25">
      <c r="A772" s="10">
        <v>44298</v>
      </c>
      <c r="B772" s="594">
        <v>0</v>
      </c>
      <c r="C772" s="31">
        <f t="shared" si="137"/>
        <v>-1160970.81</v>
      </c>
      <c r="D772" s="50">
        <v>-9919265.7599999998</v>
      </c>
      <c r="E772" s="31">
        <f t="shared" si="138"/>
        <v>-169265.76</v>
      </c>
      <c r="F772" s="900">
        <v>0</v>
      </c>
      <c r="G772" s="899">
        <f t="shared" si="139"/>
        <v>383.16</v>
      </c>
      <c r="H772" s="50">
        <v>0</v>
      </c>
      <c r="I772" s="31">
        <f t="shared" si="140"/>
        <v>0</v>
      </c>
      <c r="J772" s="50">
        <v>0</v>
      </c>
      <c r="K772" s="31">
        <f t="shared" si="141"/>
        <v>0</v>
      </c>
      <c r="L772" s="50">
        <v>0</v>
      </c>
      <c r="M772" s="31">
        <f t="shared" si="142"/>
        <v>0</v>
      </c>
      <c r="N772" s="50">
        <v>0</v>
      </c>
      <c r="O772" s="31">
        <f t="shared" si="143"/>
        <v>0</v>
      </c>
      <c r="P772" s="51" t="s">
        <v>2729</v>
      </c>
      <c r="Q772" s="51"/>
      <c r="R772" s="765"/>
      <c r="S772" s="765"/>
    </row>
    <row r="773" spans="1:19" x14ac:dyDescent="0.25">
      <c r="A773" s="10">
        <v>44298</v>
      </c>
      <c r="B773" s="594">
        <v>0</v>
      </c>
      <c r="C773" s="31">
        <f t="shared" si="137"/>
        <v>-1160970.81</v>
      </c>
      <c r="D773" s="50">
        <v>0</v>
      </c>
      <c r="E773" s="31">
        <f t="shared" si="138"/>
        <v>-169265.76</v>
      </c>
      <c r="F773" s="900">
        <v>0</v>
      </c>
      <c r="G773" s="899">
        <f t="shared" si="139"/>
        <v>383.16</v>
      </c>
      <c r="H773" s="50">
        <v>0</v>
      </c>
      <c r="I773" s="31">
        <f t="shared" si="140"/>
        <v>0</v>
      </c>
      <c r="J773" s="50">
        <v>0</v>
      </c>
      <c r="K773" s="31">
        <f t="shared" si="141"/>
        <v>0</v>
      </c>
      <c r="L773" s="50">
        <v>0</v>
      </c>
      <c r="M773" s="31">
        <f t="shared" si="142"/>
        <v>0</v>
      </c>
      <c r="N773" s="50">
        <v>0</v>
      </c>
      <c r="O773" s="31">
        <f t="shared" si="143"/>
        <v>0</v>
      </c>
      <c r="P773" s="51" t="s">
        <v>2728</v>
      </c>
      <c r="Q773" s="51"/>
      <c r="R773" s="765"/>
      <c r="S773" s="765"/>
    </row>
    <row r="774" spans="1:19" x14ac:dyDescent="0.25">
      <c r="A774" s="10">
        <v>44298</v>
      </c>
      <c r="B774" s="594">
        <v>8000000</v>
      </c>
      <c r="C774" s="31">
        <f t="shared" si="137"/>
        <v>6839029.1900000004</v>
      </c>
      <c r="D774" s="50">
        <v>8015299.7000000002</v>
      </c>
      <c r="E774" s="31">
        <f t="shared" si="138"/>
        <v>7846033.9400000004</v>
      </c>
      <c r="F774" s="900">
        <v>0</v>
      </c>
      <c r="G774" s="899">
        <f t="shared" si="139"/>
        <v>383.16</v>
      </c>
      <c r="H774" s="50">
        <v>0</v>
      </c>
      <c r="I774" s="31">
        <f t="shared" si="140"/>
        <v>0</v>
      </c>
      <c r="J774" s="50">
        <v>0</v>
      </c>
      <c r="K774" s="31">
        <f t="shared" si="141"/>
        <v>0</v>
      </c>
      <c r="L774" s="50">
        <v>0</v>
      </c>
      <c r="M774" s="31">
        <f t="shared" si="142"/>
        <v>0</v>
      </c>
      <c r="N774" s="50">
        <v>0</v>
      </c>
      <c r="O774" s="31">
        <f t="shared" si="143"/>
        <v>0</v>
      </c>
      <c r="P774" s="51" t="s">
        <v>1697</v>
      </c>
      <c r="Q774" s="51"/>
      <c r="R774" s="765"/>
      <c r="S774" s="765"/>
    </row>
    <row r="775" spans="1:19" x14ac:dyDescent="0.25">
      <c r="A775" s="10">
        <v>44298</v>
      </c>
      <c r="B775" s="594">
        <v>0</v>
      </c>
      <c r="C775" s="31">
        <f t="shared" si="137"/>
        <v>6839029.1900000004</v>
      </c>
      <c r="D775" s="50">
        <v>-8015299.7000000002</v>
      </c>
      <c r="E775" s="31">
        <f t="shared" si="138"/>
        <v>-169265.76</v>
      </c>
      <c r="F775" s="900">
        <v>0</v>
      </c>
      <c r="G775" s="899">
        <f t="shared" si="139"/>
        <v>383.16</v>
      </c>
      <c r="H775" s="50">
        <v>0</v>
      </c>
      <c r="I775" s="31">
        <f t="shared" si="140"/>
        <v>0</v>
      </c>
      <c r="J775" s="50">
        <v>0</v>
      </c>
      <c r="K775" s="31">
        <f t="shared" si="141"/>
        <v>0</v>
      </c>
      <c r="L775" s="50">
        <v>0</v>
      </c>
      <c r="M775" s="31">
        <f t="shared" si="142"/>
        <v>0</v>
      </c>
      <c r="N775" s="50">
        <v>0</v>
      </c>
      <c r="O775" s="31">
        <f t="shared" si="143"/>
        <v>0</v>
      </c>
      <c r="P775" s="51" t="s">
        <v>2731</v>
      </c>
      <c r="Q775" s="51"/>
      <c r="R775" s="765"/>
      <c r="S775" s="765"/>
    </row>
    <row r="776" spans="1:19" x14ac:dyDescent="0.25">
      <c r="A776" s="10">
        <v>44298</v>
      </c>
      <c r="B776" s="594">
        <v>1900000</v>
      </c>
      <c r="C776" s="31">
        <f t="shared" si="137"/>
        <v>8739029.1899999995</v>
      </c>
      <c r="D776" s="50">
        <v>1903966.18</v>
      </c>
      <c r="E776" s="31">
        <f t="shared" si="138"/>
        <v>1734700.42</v>
      </c>
      <c r="F776" s="900">
        <v>0</v>
      </c>
      <c r="G776" s="899">
        <f t="shared" si="139"/>
        <v>383.16</v>
      </c>
      <c r="H776" s="50">
        <v>0</v>
      </c>
      <c r="I776" s="31">
        <f t="shared" si="140"/>
        <v>0</v>
      </c>
      <c r="J776" s="50">
        <v>0</v>
      </c>
      <c r="K776" s="31">
        <f t="shared" si="141"/>
        <v>0</v>
      </c>
      <c r="L776" s="50">
        <v>0</v>
      </c>
      <c r="M776" s="31">
        <f t="shared" si="142"/>
        <v>0</v>
      </c>
      <c r="N776" s="50">
        <v>0</v>
      </c>
      <c r="O776" s="31">
        <f t="shared" si="143"/>
        <v>0</v>
      </c>
      <c r="P776" s="51" t="s">
        <v>880</v>
      </c>
      <c r="Q776" s="51"/>
      <c r="R776" s="765"/>
      <c r="S776" s="765"/>
    </row>
    <row r="777" spans="1:19" x14ac:dyDescent="0.25">
      <c r="A777" s="10">
        <v>44298</v>
      </c>
      <c r="B777" s="594">
        <v>0</v>
      </c>
      <c r="C777" s="31">
        <f t="shared" si="137"/>
        <v>8739029.1899999995</v>
      </c>
      <c r="D777" s="50">
        <v>-1903966.06</v>
      </c>
      <c r="E777" s="31">
        <f t="shared" si="138"/>
        <v>-169265.64</v>
      </c>
      <c r="F777" s="900">
        <v>0</v>
      </c>
      <c r="G777" s="899">
        <f t="shared" si="139"/>
        <v>383.16</v>
      </c>
      <c r="H777" s="50">
        <v>0</v>
      </c>
      <c r="I777" s="31">
        <f t="shared" si="140"/>
        <v>0</v>
      </c>
      <c r="J777" s="50">
        <v>0</v>
      </c>
      <c r="K777" s="31">
        <f t="shared" si="141"/>
        <v>0</v>
      </c>
      <c r="L777" s="50">
        <v>0</v>
      </c>
      <c r="M777" s="31">
        <f t="shared" si="142"/>
        <v>0</v>
      </c>
      <c r="N777" s="50">
        <v>0</v>
      </c>
      <c r="O777" s="31">
        <f t="shared" si="143"/>
        <v>0</v>
      </c>
      <c r="P777" s="51" t="s">
        <v>2730</v>
      </c>
      <c r="Q777" s="51"/>
      <c r="R777" s="765"/>
      <c r="S777" s="765"/>
    </row>
    <row r="778" spans="1:19" x14ac:dyDescent="0.25">
      <c r="A778" s="10">
        <v>44298</v>
      </c>
      <c r="B778" s="594">
        <v>0</v>
      </c>
      <c r="C778" s="31">
        <f t="shared" si="137"/>
        <v>8739029.1899999995</v>
      </c>
      <c r="D778" s="50">
        <v>169265.64</v>
      </c>
      <c r="E778" s="31">
        <f t="shared" si="138"/>
        <v>0</v>
      </c>
      <c r="F778" s="900">
        <v>0</v>
      </c>
      <c r="G778" s="899">
        <f t="shared" si="139"/>
        <v>383.16</v>
      </c>
      <c r="H778" s="50">
        <v>0</v>
      </c>
      <c r="I778" s="31">
        <f t="shared" si="140"/>
        <v>0</v>
      </c>
      <c r="J778" s="50">
        <v>0</v>
      </c>
      <c r="K778" s="31">
        <f t="shared" si="141"/>
        <v>0</v>
      </c>
      <c r="L778" s="50">
        <v>0</v>
      </c>
      <c r="M778" s="31">
        <f t="shared" si="142"/>
        <v>0</v>
      </c>
      <c r="N778" s="50">
        <v>0</v>
      </c>
      <c r="O778" s="31">
        <f t="shared" si="143"/>
        <v>0</v>
      </c>
      <c r="P778" s="51" t="s">
        <v>845</v>
      </c>
      <c r="Q778" s="51"/>
      <c r="R778" s="765"/>
      <c r="S778" s="765"/>
    </row>
    <row r="779" spans="1:19" x14ac:dyDescent="0.25">
      <c r="A779" s="10">
        <v>44299</v>
      </c>
      <c r="B779" s="594">
        <v>0</v>
      </c>
      <c r="C779" s="31">
        <f t="shared" si="137"/>
        <v>8739029.1899999995</v>
      </c>
      <c r="D779" s="50">
        <v>-0.12</v>
      </c>
      <c r="E779" s="31">
        <f t="shared" si="138"/>
        <v>-0.12</v>
      </c>
      <c r="F779" s="900">
        <v>0</v>
      </c>
      <c r="G779" s="899">
        <f t="shared" si="139"/>
        <v>383.16</v>
      </c>
      <c r="H779" s="50">
        <v>0</v>
      </c>
      <c r="I779" s="31">
        <f t="shared" si="140"/>
        <v>0</v>
      </c>
      <c r="J779" s="50">
        <v>0</v>
      </c>
      <c r="K779" s="31">
        <f t="shared" si="141"/>
        <v>0</v>
      </c>
      <c r="L779" s="50">
        <v>0</v>
      </c>
      <c r="M779" s="31">
        <f t="shared" si="142"/>
        <v>0</v>
      </c>
      <c r="N779" s="50">
        <v>0</v>
      </c>
      <c r="O779" s="31">
        <f t="shared" si="143"/>
        <v>0</v>
      </c>
      <c r="P779" s="51" t="s">
        <v>859</v>
      </c>
      <c r="Q779" s="51"/>
      <c r="R779" s="765"/>
      <c r="S779" s="765"/>
    </row>
    <row r="780" spans="1:19" x14ac:dyDescent="0.25">
      <c r="A780" s="10">
        <v>44298</v>
      </c>
      <c r="B780" s="594">
        <v>0</v>
      </c>
      <c r="C780" s="31">
        <f t="shared" si="137"/>
        <v>8739029.1899999995</v>
      </c>
      <c r="D780" s="50">
        <v>0.12</v>
      </c>
      <c r="E780" s="31">
        <f t="shared" si="138"/>
        <v>0</v>
      </c>
      <c r="F780" s="900">
        <v>0</v>
      </c>
      <c r="G780" s="899">
        <f t="shared" si="139"/>
        <v>383.16</v>
      </c>
      <c r="H780" s="50">
        <v>0</v>
      </c>
      <c r="I780" s="31">
        <f t="shared" si="140"/>
        <v>0</v>
      </c>
      <c r="J780" s="50">
        <v>0</v>
      </c>
      <c r="K780" s="31">
        <f t="shared" si="141"/>
        <v>0</v>
      </c>
      <c r="L780" s="50">
        <v>0</v>
      </c>
      <c r="M780" s="31">
        <f t="shared" si="142"/>
        <v>0</v>
      </c>
      <c r="N780" s="50">
        <v>0</v>
      </c>
      <c r="O780" s="31">
        <f t="shared" si="143"/>
        <v>0</v>
      </c>
      <c r="P780" s="51" t="s">
        <v>845</v>
      </c>
      <c r="Q780" s="51"/>
      <c r="R780" s="765"/>
      <c r="S780" s="765"/>
    </row>
    <row r="781" spans="1:19" x14ac:dyDescent="0.25">
      <c r="A781" s="10">
        <v>44305</v>
      </c>
      <c r="B781" s="594">
        <v>0</v>
      </c>
      <c r="C781" s="31">
        <f t="shared" si="137"/>
        <v>8739029.1899999995</v>
      </c>
      <c r="D781" s="50">
        <v>-97546.34</v>
      </c>
      <c r="E781" s="31">
        <f t="shared" si="138"/>
        <v>-97546.34</v>
      </c>
      <c r="F781" s="900">
        <v>0</v>
      </c>
      <c r="G781" s="899">
        <f t="shared" si="139"/>
        <v>383.16</v>
      </c>
      <c r="H781" s="50">
        <v>0</v>
      </c>
      <c r="I781" s="31">
        <f t="shared" si="140"/>
        <v>0</v>
      </c>
      <c r="J781" s="50">
        <v>0</v>
      </c>
      <c r="K781" s="31">
        <f t="shared" si="141"/>
        <v>0</v>
      </c>
      <c r="L781" s="50">
        <v>0</v>
      </c>
      <c r="M781" s="31">
        <f t="shared" si="142"/>
        <v>0</v>
      </c>
      <c r="N781" s="50">
        <v>0</v>
      </c>
      <c r="O781" s="31">
        <f t="shared" si="143"/>
        <v>0</v>
      </c>
      <c r="P781" s="51" t="s">
        <v>2820</v>
      </c>
      <c r="Q781" s="51"/>
      <c r="R781" s="765"/>
      <c r="S781" s="765"/>
    </row>
    <row r="782" spans="1:19" x14ac:dyDescent="0.25">
      <c r="A782" s="10">
        <v>44305</v>
      </c>
      <c r="B782" s="594">
        <v>0</v>
      </c>
      <c r="C782" s="31">
        <f t="shared" si="137"/>
        <v>8739029.1899999995</v>
      </c>
      <c r="D782" s="50">
        <v>97546.34</v>
      </c>
      <c r="E782" s="31">
        <f t="shared" si="138"/>
        <v>0</v>
      </c>
      <c r="F782" s="900">
        <v>0</v>
      </c>
      <c r="G782" s="899">
        <f t="shared" si="139"/>
        <v>383.16</v>
      </c>
      <c r="H782" s="50">
        <v>0</v>
      </c>
      <c r="I782" s="31">
        <f t="shared" si="140"/>
        <v>0</v>
      </c>
      <c r="J782" s="50">
        <v>0</v>
      </c>
      <c r="K782" s="31">
        <f t="shared" si="141"/>
        <v>0</v>
      </c>
      <c r="L782" s="50">
        <v>0</v>
      </c>
      <c r="M782" s="31">
        <f t="shared" si="142"/>
        <v>0</v>
      </c>
      <c r="N782" s="50">
        <v>0</v>
      </c>
      <c r="O782" s="31">
        <f t="shared" si="143"/>
        <v>0</v>
      </c>
      <c r="P782" s="51" t="s">
        <v>845</v>
      </c>
      <c r="Q782" s="51"/>
      <c r="R782" s="765"/>
      <c r="S782" s="765"/>
    </row>
    <row r="783" spans="1:19" x14ac:dyDescent="0.25">
      <c r="A783" s="10">
        <v>44307</v>
      </c>
      <c r="B783" s="594">
        <v>0</v>
      </c>
      <c r="C783" s="31">
        <f t="shared" si="137"/>
        <v>8739029.1899999995</v>
      </c>
      <c r="D783" s="50">
        <v>151000</v>
      </c>
      <c r="E783" s="31">
        <f t="shared" si="138"/>
        <v>151000</v>
      </c>
      <c r="F783" s="900">
        <v>0</v>
      </c>
      <c r="G783" s="899">
        <f t="shared" si="139"/>
        <v>383.16</v>
      </c>
      <c r="H783" s="50">
        <v>0</v>
      </c>
      <c r="I783" s="31">
        <f t="shared" si="140"/>
        <v>0</v>
      </c>
      <c r="J783" s="50">
        <v>0</v>
      </c>
      <c r="K783" s="31">
        <f t="shared" si="141"/>
        <v>0</v>
      </c>
      <c r="L783" s="50">
        <v>0</v>
      </c>
      <c r="M783" s="31">
        <f t="shared" si="142"/>
        <v>0</v>
      </c>
      <c r="N783" s="50">
        <v>0</v>
      </c>
      <c r="O783" s="31">
        <f t="shared" si="143"/>
        <v>0</v>
      </c>
      <c r="P783" s="51" t="s">
        <v>2831</v>
      </c>
      <c r="Q783" s="51"/>
      <c r="R783" s="765"/>
      <c r="S783" s="765"/>
    </row>
    <row r="784" spans="1:19" x14ac:dyDescent="0.25">
      <c r="A784" s="10">
        <v>44307</v>
      </c>
      <c r="B784" s="594">
        <v>0</v>
      </c>
      <c r="C784" s="31">
        <f t="shared" si="137"/>
        <v>8739029.1899999995</v>
      </c>
      <c r="D784" s="50">
        <v>-151000</v>
      </c>
      <c r="E784" s="31">
        <f t="shared" si="138"/>
        <v>0</v>
      </c>
      <c r="F784" s="900">
        <v>0</v>
      </c>
      <c r="G784" s="899">
        <f t="shared" si="139"/>
        <v>383.16</v>
      </c>
      <c r="H784" s="50">
        <v>0</v>
      </c>
      <c r="I784" s="31">
        <f t="shared" si="140"/>
        <v>0</v>
      </c>
      <c r="J784" s="50">
        <v>0</v>
      </c>
      <c r="K784" s="31">
        <f t="shared" si="141"/>
        <v>0</v>
      </c>
      <c r="L784" s="50">
        <v>0</v>
      </c>
      <c r="M784" s="31">
        <f t="shared" si="142"/>
        <v>0</v>
      </c>
      <c r="N784" s="50">
        <v>0</v>
      </c>
      <c r="O784" s="31">
        <f t="shared" si="143"/>
        <v>0</v>
      </c>
      <c r="P784" s="51" t="s">
        <v>845</v>
      </c>
      <c r="Q784" s="51"/>
      <c r="R784" s="765"/>
      <c r="S784" s="765"/>
    </row>
    <row r="785" spans="1:19" x14ac:dyDescent="0.25">
      <c r="A785" s="10">
        <v>44312</v>
      </c>
      <c r="B785" s="594">
        <v>0</v>
      </c>
      <c r="C785" s="31">
        <f t="shared" si="137"/>
        <v>8739029.1899999995</v>
      </c>
      <c r="D785" s="50">
        <v>-1801.92</v>
      </c>
      <c r="E785" s="31">
        <f t="shared" si="138"/>
        <v>-1801.92</v>
      </c>
      <c r="F785" s="900">
        <v>0</v>
      </c>
      <c r="G785" s="899">
        <f t="shared" si="139"/>
        <v>383.16</v>
      </c>
      <c r="H785" s="50">
        <v>0</v>
      </c>
      <c r="I785" s="31">
        <f t="shared" si="140"/>
        <v>0</v>
      </c>
      <c r="J785" s="50">
        <v>0</v>
      </c>
      <c r="K785" s="31">
        <f t="shared" si="141"/>
        <v>0</v>
      </c>
      <c r="L785" s="50">
        <v>0</v>
      </c>
      <c r="M785" s="31">
        <f t="shared" si="142"/>
        <v>0</v>
      </c>
      <c r="N785" s="50">
        <v>0</v>
      </c>
      <c r="O785" s="31">
        <f t="shared" si="143"/>
        <v>0</v>
      </c>
      <c r="P785" s="51" t="s">
        <v>2836</v>
      </c>
      <c r="Q785" s="51"/>
      <c r="R785" s="765"/>
      <c r="S785" s="765"/>
    </row>
    <row r="786" spans="1:19" x14ac:dyDescent="0.25">
      <c r="A786" s="10">
        <v>44312</v>
      </c>
      <c r="B786" s="594">
        <v>3000000</v>
      </c>
      <c r="C786" s="31">
        <f t="shared" si="137"/>
        <v>11739029.189999999</v>
      </c>
      <c r="D786" s="50">
        <v>0</v>
      </c>
      <c r="E786" s="31">
        <f t="shared" si="138"/>
        <v>-1801.92</v>
      </c>
      <c r="F786" s="900">
        <v>0</v>
      </c>
      <c r="G786" s="899">
        <f t="shared" si="139"/>
        <v>383.16</v>
      </c>
      <c r="H786" s="50">
        <v>0</v>
      </c>
      <c r="I786" s="31">
        <f t="shared" si="140"/>
        <v>0</v>
      </c>
      <c r="J786" s="50">
        <v>0</v>
      </c>
      <c r="K786" s="31">
        <f t="shared" si="141"/>
        <v>0</v>
      </c>
      <c r="L786" s="50">
        <v>0</v>
      </c>
      <c r="M786" s="31">
        <f t="shared" si="142"/>
        <v>0</v>
      </c>
      <c r="N786" s="50">
        <v>0</v>
      </c>
      <c r="O786" s="31">
        <f t="shared" si="143"/>
        <v>0</v>
      </c>
      <c r="P786" s="51" t="s">
        <v>880</v>
      </c>
      <c r="Q786" s="51"/>
      <c r="R786" s="765"/>
      <c r="S786" s="765"/>
    </row>
    <row r="787" spans="1:19" x14ac:dyDescent="0.25">
      <c r="A787" s="10">
        <v>44312</v>
      </c>
      <c r="B787" s="594">
        <v>0</v>
      </c>
      <c r="C787" s="31">
        <f t="shared" si="137"/>
        <v>11739029.189999999</v>
      </c>
      <c r="D787" s="50">
        <v>3250000</v>
      </c>
      <c r="E787" s="31">
        <f t="shared" si="138"/>
        <v>3248198.08</v>
      </c>
      <c r="F787" s="900">
        <v>0</v>
      </c>
      <c r="G787" s="899">
        <f t="shared" si="139"/>
        <v>383.16</v>
      </c>
      <c r="H787" s="50">
        <v>0</v>
      </c>
      <c r="I787" s="31">
        <f t="shared" si="140"/>
        <v>0</v>
      </c>
      <c r="J787" s="50">
        <v>0</v>
      </c>
      <c r="K787" s="31">
        <f t="shared" si="141"/>
        <v>0</v>
      </c>
      <c r="L787" s="50">
        <v>0</v>
      </c>
      <c r="M787" s="31">
        <f t="shared" si="142"/>
        <v>0</v>
      </c>
      <c r="N787" s="50">
        <v>0</v>
      </c>
      <c r="O787" s="31">
        <f t="shared" si="143"/>
        <v>0</v>
      </c>
      <c r="P787" s="51" t="s">
        <v>2837</v>
      </c>
      <c r="Q787" s="51"/>
      <c r="R787" s="765"/>
      <c r="S787" s="765"/>
    </row>
    <row r="788" spans="1:19" x14ac:dyDescent="0.25">
      <c r="A788" s="10">
        <v>44312</v>
      </c>
      <c r="B788" s="594">
        <v>0</v>
      </c>
      <c r="C788" s="31">
        <f t="shared" si="137"/>
        <v>11739029.189999999</v>
      </c>
      <c r="D788" s="50">
        <v>-3009393.3</v>
      </c>
      <c r="E788" s="31">
        <f t="shared" si="138"/>
        <v>238804.78</v>
      </c>
      <c r="F788" s="900">
        <v>0</v>
      </c>
      <c r="G788" s="899">
        <f t="shared" si="139"/>
        <v>383.16</v>
      </c>
      <c r="H788" s="50">
        <v>0</v>
      </c>
      <c r="I788" s="31">
        <f t="shared" si="140"/>
        <v>0</v>
      </c>
      <c r="J788" s="50">
        <v>0</v>
      </c>
      <c r="K788" s="31">
        <f t="shared" si="141"/>
        <v>0</v>
      </c>
      <c r="L788" s="50">
        <v>0</v>
      </c>
      <c r="M788" s="31">
        <f t="shared" si="142"/>
        <v>0</v>
      </c>
      <c r="N788" s="50">
        <v>0</v>
      </c>
      <c r="O788" s="31">
        <f t="shared" si="143"/>
        <v>0</v>
      </c>
      <c r="P788" s="51" t="s">
        <v>2730</v>
      </c>
      <c r="Q788" s="51"/>
      <c r="R788" s="765"/>
      <c r="S788" s="765"/>
    </row>
    <row r="789" spans="1:19" x14ac:dyDescent="0.25">
      <c r="A789" s="10">
        <v>44312</v>
      </c>
      <c r="B789" s="594">
        <v>0</v>
      </c>
      <c r="C789" s="31">
        <f t="shared" si="137"/>
        <v>11739029.189999999</v>
      </c>
      <c r="D789" s="50">
        <f>-E788</f>
        <v>-238804.78</v>
      </c>
      <c r="E789" s="31">
        <f t="shared" si="138"/>
        <v>0</v>
      </c>
      <c r="F789" s="900">
        <v>0</v>
      </c>
      <c r="G789" s="899">
        <f t="shared" si="139"/>
        <v>383.16</v>
      </c>
      <c r="H789" s="50">
        <v>0</v>
      </c>
      <c r="I789" s="31">
        <f t="shared" si="140"/>
        <v>0</v>
      </c>
      <c r="J789" s="50">
        <v>0</v>
      </c>
      <c r="K789" s="31">
        <f t="shared" si="141"/>
        <v>0</v>
      </c>
      <c r="L789" s="50">
        <v>0</v>
      </c>
      <c r="M789" s="31">
        <f t="shared" si="142"/>
        <v>0</v>
      </c>
      <c r="N789" s="50">
        <v>0</v>
      </c>
      <c r="O789" s="31">
        <f t="shared" si="143"/>
        <v>0</v>
      </c>
      <c r="P789" s="51" t="s">
        <v>845</v>
      </c>
      <c r="Q789" s="51"/>
      <c r="R789" s="765"/>
      <c r="S789" s="765"/>
    </row>
    <row r="790" spans="1:19" x14ac:dyDescent="0.25">
      <c r="A790" s="10">
        <v>44313</v>
      </c>
      <c r="B790" s="594">
        <v>0</v>
      </c>
      <c r="C790" s="31">
        <f t="shared" si="137"/>
        <v>11739029.189999999</v>
      </c>
      <c r="D790" s="50">
        <v>0</v>
      </c>
      <c r="E790" s="31">
        <f t="shared" si="138"/>
        <v>0</v>
      </c>
      <c r="F790" s="900">
        <v>0</v>
      </c>
      <c r="G790" s="899">
        <f t="shared" si="139"/>
        <v>383.16</v>
      </c>
      <c r="H790" s="50">
        <v>-148.84</v>
      </c>
      <c r="I790" s="31">
        <f t="shared" si="140"/>
        <v>-148.84</v>
      </c>
      <c r="J790" s="50">
        <v>0</v>
      </c>
      <c r="K790" s="31">
        <f t="shared" si="141"/>
        <v>0</v>
      </c>
      <c r="L790" s="50">
        <v>0</v>
      </c>
      <c r="M790" s="31">
        <f t="shared" si="142"/>
        <v>0</v>
      </c>
      <c r="N790" s="50">
        <v>0</v>
      </c>
      <c r="O790" s="31">
        <f t="shared" si="143"/>
        <v>0</v>
      </c>
      <c r="P790" s="51" t="s">
        <v>2838</v>
      </c>
      <c r="Q790" s="51"/>
      <c r="R790" s="765"/>
      <c r="S790" s="765"/>
    </row>
    <row r="791" spans="1:19" x14ac:dyDescent="0.25">
      <c r="A791" s="10">
        <v>44313</v>
      </c>
      <c r="B791" s="594">
        <v>0</v>
      </c>
      <c r="C791" s="31">
        <f t="shared" si="137"/>
        <v>11739029.189999999</v>
      </c>
      <c r="D791" s="50">
        <v>0</v>
      </c>
      <c r="E791" s="31">
        <f t="shared" si="138"/>
        <v>0</v>
      </c>
      <c r="F791" s="900">
        <v>0</v>
      </c>
      <c r="G791" s="899">
        <f t="shared" si="139"/>
        <v>383.16</v>
      </c>
      <c r="H791" s="50">
        <f>-I790</f>
        <v>148.84</v>
      </c>
      <c r="I791" s="31">
        <f t="shared" si="140"/>
        <v>0</v>
      </c>
      <c r="J791" s="50">
        <v>0</v>
      </c>
      <c r="K791" s="31">
        <f t="shared" si="141"/>
        <v>0</v>
      </c>
      <c r="L791" s="50">
        <v>0</v>
      </c>
      <c r="M791" s="31">
        <f t="shared" si="142"/>
        <v>0</v>
      </c>
      <c r="N791" s="50">
        <v>0</v>
      </c>
      <c r="O791" s="31">
        <f t="shared" si="143"/>
        <v>0</v>
      </c>
      <c r="P791" s="51" t="s">
        <v>845</v>
      </c>
      <c r="Q791" s="51"/>
      <c r="R791" s="765"/>
      <c r="S791" s="765"/>
    </row>
    <row r="792" spans="1:19" x14ac:dyDescent="0.25">
      <c r="A792" s="10">
        <v>44316</v>
      </c>
      <c r="B792" s="594">
        <v>0</v>
      </c>
      <c r="C792" s="31">
        <f t="shared" si="137"/>
        <v>11739029.189999999</v>
      </c>
      <c r="D792" s="50">
        <v>-151000</v>
      </c>
      <c r="E792" s="31">
        <f t="shared" si="138"/>
        <v>-151000</v>
      </c>
      <c r="F792" s="900">
        <v>0</v>
      </c>
      <c r="G792" s="899">
        <f t="shared" si="139"/>
        <v>383.16</v>
      </c>
      <c r="H792" s="50">
        <v>0</v>
      </c>
      <c r="I792" s="31">
        <f t="shared" si="140"/>
        <v>0</v>
      </c>
      <c r="J792" s="50">
        <v>0</v>
      </c>
      <c r="K792" s="31">
        <f t="shared" si="141"/>
        <v>0</v>
      </c>
      <c r="L792" s="50">
        <v>0</v>
      </c>
      <c r="M792" s="31">
        <f t="shared" si="142"/>
        <v>0</v>
      </c>
      <c r="N792" s="50">
        <v>0</v>
      </c>
      <c r="O792" s="31">
        <f t="shared" si="143"/>
        <v>0</v>
      </c>
      <c r="P792" s="51" t="s">
        <v>2839</v>
      </c>
      <c r="Q792" s="51"/>
      <c r="R792" s="765"/>
      <c r="S792" s="765"/>
    </row>
    <row r="793" spans="1:19" x14ac:dyDescent="0.25">
      <c r="A793" s="10">
        <v>44316</v>
      </c>
      <c r="B793" s="594">
        <v>0</v>
      </c>
      <c r="C793" s="31">
        <f t="shared" si="137"/>
        <v>11739029.189999999</v>
      </c>
      <c r="D793" s="50">
        <v>945683.75</v>
      </c>
      <c r="E793" s="31">
        <f t="shared" si="138"/>
        <v>794683.75</v>
      </c>
      <c r="F793" s="900">
        <v>0</v>
      </c>
      <c r="G793" s="899">
        <f t="shared" si="139"/>
        <v>383.16</v>
      </c>
      <c r="H793" s="50">
        <v>0</v>
      </c>
      <c r="I793" s="31">
        <f t="shared" si="140"/>
        <v>0</v>
      </c>
      <c r="J793" s="50">
        <v>0</v>
      </c>
      <c r="K793" s="31">
        <f t="shared" si="141"/>
        <v>0</v>
      </c>
      <c r="L793" s="50">
        <v>0</v>
      </c>
      <c r="M793" s="31">
        <f t="shared" si="142"/>
        <v>0</v>
      </c>
      <c r="N793" s="50">
        <v>0</v>
      </c>
      <c r="O793" s="31">
        <f t="shared" si="143"/>
        <v>0</v>
      </c>
      <c r="P793" s="51" t="s">
        <v>2840</v>
      </c>
      <c r="Q793" s="51"/>
      <c r="R793" s="765"/>
      <c r="S793" s="765"/>
    </row>
    <row r="794" spans="1:19" x14ac:dyDescent="0.25">
      <c r="A794" s="10">
        <v>44316</v>
      </c>
      <c r="B794" s="594">
        <v>0</v>
      </c>
      <c r="C794" s="31">
        <f t="shared" si="137"/>
        <v>11739029.189999999</v>
      </c>
      <c r="D794" s="50">
        <v>206.25</v>
      </c>
      <c r="E794" s="31">
        <f t="shared" si="138"/>
        <v>794890</v>
      </c>
      <c r="F794" s="900">
        <v>0</v>
      </c>
      <c r="G794" s="899">
        <f t="shared" si="139"/>
        <v>383.16</v>
      </c>
      <c r="H794" s="50">
        <v>0</v>
      </c>
      <c r="I794" s="31">
        <f t="shared" si="140"/>
        <v>0</v>
      </c>
      <c r="J794" s="50">
        <v>0</v>
      </c>
      <c r="K794" s="31">
        <f t="shared" si="141"/>
        <v>0</v>
      </c>
      <c r="L794" s="50">
        <v>0</v>
      </c>
      <c r="M794" s="31">
        <f t="shared" si="142"/>
        <v>0</v>
      </c>
      <c r="N794" s="50">
        <v>0</v>
      </c>
      <c r="O794" s="31">
        <f t="shared" si="143"/>
        <v>0</v>
      </c>
      <c r="P794" s="51" t="s">
        <v>2841</v>
      </c>
      <c r="Q794" s="51"/>
      <c r="R794" s="765"/>
      <c r="S794" s="765"/>
    </row>
    <row r="795" spans="1:19" x14ac:dyDescent="0.25">
      <c r="A795" s="10">
        <v>44316</v>
      </c>
      <c r="B795" s="594">
        <v>0</v>
      </c>
      <c r="C795" s="31">
        <f t="shared" si="137"/>
        <v>11739029.189999999</v>
      </c>
      <c r="D795" s="50">
        <v>120721.88</v>
      </c>
      <c r="E795" s="31">
        <f t="shared" si="138"/>
        <v>915611.88</v>
      </c>
      <c r="F795" s="900">
        <v>0</v>
      </c>
      <c r="G795" s="899">
        <f t="shared" si="139"/>
        <v>383.16</v>
      </c>
      <c r="H795" s="50">
        <v>0</v>
      </c>
      <c r="I795" s="31">
        <f t="shared" si="140"/>
        <v>0</v>
      </c>
      <c r="J795" s="50">
        <v>0</v>
      </c>
      <c r="K795" s="31">
        <f t="shared" si="141"/>
        <v>0</v>
      </c>
      <c r="L795" s="50">
        <v>0</v>
      </c>
      <c r="M795" s="31">
        <f t="shared" si="142"/>
        <v>0</v>
      </c>
      <c r="N795" s="50">
        <v>0</v>
      </c>
      <c r="O795" s="31">
        <f t="shared" si="143"/>
        <v>0</v>
      </c>
      <c r="P795" s="51" t="s">
        <v>2841</v>
      </c>
      <c r="Q795" s="51"/>
      <c r="R795" s="765"/>
      <c r="S795" s="765"/>
    </row>
    <row r="796" spans="1:19" x14ac:dyDescent="0.25">
      <c r="A796" s="10">
        <v>44316</v>
      </c>
      <c r="B796" s="594">
        <v>0</v>
      </c>
      <c r="C796" s="31">
        <f t="shared" ref="C796" si="144">ROUND(B796+C795,2)</f>
        <v>11739029.189999999</v>
      </c>
      <c r="D796" s="50">
        <f>-E795</f>
        <v>-915611.88</v>
      </c>
      <c r="E796" s="31">
        <f t="shared" ref="E796" si="145">ROUND(D796+E795,2)</f>
        <v>0</v>
      </c>
      <c r="F796" s="900">
        <v>0</v>
      </c>
      <c r="G796" s="899">
        <f t="shared" ref="G796" si="146">ROUND(F796+G795,2)</f>
        <v>383.16</v>
      </c>
      <c r="H796" s="50">
        <v>0</v>
      </c>
      <c r="I796" s="31">
        <f t="shared" ref="I796" si="147">ROUND(H796+I795,2)</f>
        <v>0</v>
      </c>
      <c r="J796" s="50">
        <v>0</v>
      </c>
      <c r="K796" s="31">
        <f t="shared" ref="K796" si="148">ROUND(J796+K795,2)</f>
        <v>0</v>
      </c>
      <c r="L796" s="50">
        <v>0</v>
      </c>
      <c r="M796" s="31">
        <f t="shared" ref="M796" si="149">ROUND(L796+M795,2)</f>
        <v>0</v>
      </c>
      <c r="N796" s="50">
        <v>0</v>
      </c>
      <c r="O796" s="31">
        <f t="shared" ref="O796" si="150">ROUND(N796+O795,2)</f>
        <v>0</v>
      </c>
      <c r="P796" s="51" t="s">
        <v>845</v>
      </c>
      <c r="Q796" s="51"/>
    </row>
    <row r="797" spans="1:19" x14ac:dyDescent="0.25">
      <c r="A797" s="10">
        <v>44319</v>
      </c>
      <c r="B797" s="594">
        <v>0</v>
      </c>
      <c r="C797" s="31">
        <f t="shared" ref="C797:C860" si="151">ROUND(B797+C796,2)</f>
        <v>11739029.189999999</v>
      </c>
      <c r="D797" s="50">
        <v>-120928.13</v>
      </c>
      <c r="E797" s="31">
        <f t="shared" ref="E797:E860" si="152">ROUND(D797+E796,2)</f>
        <v>-120928.13</v>
      </c>
      <c r="F797" s="900">
        <v>0</v>
      </c>
      <c r="G797" s="899">
        <f t="shared" ref="G797:G860" si="153">ROUND(F797+G796,2)</f>
        <v>383.16</v>
      </c>
      <c r="H797" s="50">
        <v>0</v>
      </c>
      <c r="I797" s="31">
        <f t="shared" ref="I797:I860" si="154">ROUND(H797+I796,2)</f>
        <v>0</v>
      </c>
      <c r="J797" s="50">
        <v>0</v>
      </c>
      <c r="K797" s="31">
        <f t="shared" ref="K797:K860" si="155">ROUND(J797+K796,2)</f>
        <v>0</v>
      </c>
      <c r="L797" s="50">
        <v>0</v>
      </c>
      <c r="M797" s="31">
        <f t="shared" ref="M797:M860" si="156">ROUND(L797+M796,2)</f>
        <v>0</v>
      </c>
      <c r="N797" s="50">
        <v>0</v>
      </c>
      <c r="O797" s="31">
        <f t="shared" ref="O797:O860" si="157">ROUND(N797+O796,2)</f>
        <v>0</v>
      </c>
      <c r="P797" s="51" t="s">
        <v>2843</v>
      </c>
      <c r="Q797" s="51"/>
    </row>
    <row r="798" spans="1:19" x14ac:dyDescent="0.25">
      <c r="A798" s="10">
        <v>44319</v>
      </c>
      <c r="B798" s="594">
        <v>0</v>
      </c>
      <c r="C798" s="31">
        <f t="shared" si="151"/>
        <v>11739029.189999999</v>
      </c>
      <c r="D798" s="50">
        <v>113861.17</v>
      </c>
      <c r="E798" s="31">
        <f t="shared" si="152"/>
        <v>-7066.96</v>
      </c>
      <c r="F798" s="900">
        <v>0</v>
      </c>
      <c r="G798" s="899">
        <f t="shared" si="153"/>
        <v>383.16</v>
      </c>
      <c r="H798" s="50">
        <v>0</v>
      </c>
      <c r="I798" s="31">
        <f t="shared" si="154"/>
        <v>0</v>
      </c>
      <c r="J798" s="50">
        <v>0</v>
      </c>
      <c r="K798" s="31">
        <f t="shared" si="155"/>
        <v>0</v>
      </c>
      <c r="L798" s="50">
        <v>0</v>
      </c>
      <c r="M798" s="31">
        <f t="shared" si="156"/>
        <v>0</v>
      </c>
      <c r="N798" s="50">
        <v>0</v>
      </c>
      <c r="O798" s="31">
        <f t="shared" si="157"/>
        <v>0</v>
      </c>
      <c r="P798" s="51" t="s">
        <v>2844</v>
      </c>
      <c r="Q798" s="51"/>
    </row>
    <row r="799" spans="1:19" x14ac:dyDescent="0.25">
      <c r="A799" s="10">
        <v>44319</v>
      </c>
      <c r="B799" s="594">
        <v>0</v>
      </c>
      <c r="C799" s="31">
        <f t="shared" si="151"/>
        <v>11739029.189999999</v>
      </c>
      <c r="D799" s="50">
        <v>7066.96</v>
      </c>
      <c r="E799" s="31">
        <f t="shared" si="152"/>
        <v>0</v>
      </c>
      <c r="F799" s="900">
        <v>0</v>
      </c>
      <c r="G799" s="899">
        <f t="shared" si="153"/>
        <v>383.16</v>
      </c>
      <c r="H799" s="50">
        <v>0</v>
      </c>
      <c r="I799" s="31">
        <f t="shared" si="154"/>
        <v>0</v>
      </c>
      <c r="J799" s="50">
        <v>0</v>
      </c>
      <c r="K799" s="31">
        <f t="shared" si="155"/>
        <v>0</v>
      </c>
      <c r="L799" s="50">
        <v>0</v>
      </c>
      <c r="M799" s="31">
        <f t="shared" si="156"/>
        <v>0</v>
      </c>
      <c r="N799" s="50">
        <v>0</v>
      </c>
      <c r="O799" s="31">
        <f t="shared" si="157"/>
        <v>0</v>
      </c>
      <c r="P799" s="51" t="s">
        <v>845</v>
      </c>
      <c r="Q799" s="51"/>
    </row>
    <row r="800" spans="1:19" x14ac:dyDescent="0.25">
      <c r="A800" s="10">
        <v>44320</v>
      </c>
      <c r="B800" s="594">
        <v>0</v>
      </c>
      <c r="C800" s="31">
        <f t="shared" si="151"/>
        <v>11739029.189999999</v>
      </c>
      <c r="D800" s="50">
        <v>6.3200000000651926</v>
      </c>
      <c r="E800" s="31">
        <f t="shared" si="152"/>
        <v>6.32</v>
      </c>
      <c r="F800" s="900">
        <v>0</v>
      </c>
      <c r="G800" s="899">
        <f t="shared" si="153"/>
        <v>383.16</v>
      </c>
      <c r="H800" s="50">
        <v>1.24</v>
      </c>
      <c r="I800" s="31">
        <f t="shared" si="154"/>
        <v>1.24</v>
      </c>
      <c r="J800" s="50">
        <v>0</v>
      </c>
      <c r="K800" s="31">
        <f t="shared" si="155"/>
        <v>0</v>
      </c>
      <c r="L800" s="50">
        <v>0</v>
      </c>
      <c r="M800" s="31">
        <f t="shared" si="156"/>
        <v>0</v>
      </c>
      <c r="N800" s="50">
        <v>0</v>
      </c>
      <c r="O800" s="31">
        <f t="shared" si="157"/>
        <v>0</v>
      </c>
      <c r="P800" s="51" t="s">
        <v>2718</v>
      </c>
      <c r="Q800" s="51"/>
    </row>
    <row r="801" spans="1:18" x14ac:dyDescent="0.25">
      <c r="A801" s="10">
        <v>44320</v>
      </c>
      <c r="B801" s="594">
        <v>0</v>
      </c>
      <c r="C801" s="31">
        <f t="shared" si="151"/>
        <v>11739029.189999999</v>
      </c>
      <c r="D801" s="50">
        <v>-6.3200000000651899</v>
      </c>
      <c r="E801" s="31">
        <f t="shared" si="152"/>
        <v>0</v>
      </c>
      <c r="F801" s="900">
        <v>0</v>
      </c>
      <c r="G801" s="899">
        <f t="shared" si="153"/>
        <v>383.16</v>
      </c>
      <c r="H801" s="50">
        <v>-1.24</v>
      </c>
      <c r="I801" s="31">
        <f t="shared" si="154"/>
        <v>0</v>
      </c>
      <c r="J801" s="50">
        <v>0</v>
      </c>
      <c r="K801" s="31">
        <f t="shared" si="155"/>
        <v>0</v>
      </c>
      <c r="L801" s="50">
        <v>0</v>
      </c>
      <c r="M801" s="31">
        <f t="shared" si="156"/>
        <v>0</v>
      </c>
      <c r="N801" s="50">
        <v>0</v>
      </c>
      <c r="O801" s="31">
        <f t="shared" si="157"/>
        <v>0</v>
      </c>
      <c r="P801" s="51" t="s">
        <v>845</v>
      </c>
      <c r="Q801" s="51"/>
    </row>
    <row r="802" spans="1:18" x14ac:dyDescent="0.25">
      <c r="A802" s="10">
        <v>44321</v>
      </c>
      <c r="B802" s="594">
        <v>0</v>
      </c>
      <c r="C802" s="31">
        <f t="shared" si="151"/>
        <v>11739029.189999999</v>
      </c>
      <c r="D802" s="50">
        <v>-945683.74999999988</v>
      </c>
      <c r="E802" s="31">
        <f t="shared" si="152"/>
        <v>-945683.75</v>
      </c>
      <c r="F802" s="900">
        <v>0</v>
      </c>
      <c r="G802" s="899">
        <f t="shared" si="153"/>
        <v>383.16</v>
      </c>
      <c r="H802" s="50">
        <v>0</v>
      </c>
      <c r="I802" s="31">
        <f t="shared" si="154"/>
        <v>0</v>
      </c>
      <c r="J802" s="50">
        <v>0</v>
      </c>
      <c r="K802" s="31">
        <f t="shared" si="155"/>
        <v>0</v>
      </c>
      <c r="L802" s="50">
        <v>0</v>
      </c>
      <c r="M802" s="31">
        <f t="shared" si="156"/>
        <v>0</v>
      </c>
      <c r="N802" s="50">
        <v>0</v>
      </c>
      <c r="O802" s="31">
        <f t="shared" si="157"/>
        <v>0</v>
      </c>
      <c r="P802" s="51" t="s">
        <v>2851</v>
      </c>
      <c r="Q802" s="51"/>
    </row>
    <row r="803" spans="1:18" x14ac:dyDescent="0.25">
      <c r="A803" s="10">
        <v>44321</v>
      </c>
      <c r="B803" s="594">
        <v>0</v>
      </c>
      <c r="C803" s="31">
        <f t="shared" si="151"/>
        <v>11739029.189999999</v>
      </c>
      <c r="D803" s="50">
        <v>-120721.88</v>
      </c>
      <c r="E803" s="31">
        <f t="shared" si="152"/>
        <v>-1066405.6299999999</v>
      </c>
      <c r="F803" s="900">
        <v>0</v>
      </c>
      <c r="G803" s="899">
        <f t="shared" si="153"/>
        <v>383.16</v>
      </c>
      <c r="H803" s="50">
        <v>0</v>
      </c>
      <c r="I803" s="31">
        <f t="shared" si="154"/>
        <v>0</v>
      </c>
      <c r="J803" s="50">
        <v>0</v>
      </c>
      <c r="K803" s="31">
        <f t="shared" si="155"/>
        <v>0</v>
      </c>
      <c r="L803" s="50">
        <v>0</v>
      </c>
      <c r="M803" s="31">
        <f t="shared" si="156"/>
        <v>0</v>
      </c>
      <c r="N803" s="50">
        <v>0</v>
      </c>
      <c r="O803" s="31">
        <f t="shared" si="157"/>
        <v>0</v>
      </c>
      <c r="P803" s="51" t="s">
        <v>2852</v>
      </c>
      <c r="Q803" s="51"/>
    </row>
    <row r="804" spans="1:18" x14ac:dyDescent="0.25">
      <c r="A804" s="10">
        <v>44321</v>
      </c>
      <c r="B804" s="594">
        <v>0</v>
      </c>
      <c r="C804" s="31">
        <f t="shared" si="151"/>
        <v>11739029.189999999</v>
      </c>
      <c r="D804" s="50">
        <v>120721.88</v>
      </c>
      <c r="E804" s="31">
        <f t="shared" si="152"/>
        <v>-945683.75</v>
      </c>
      <c r="F804" s="900">
        <v>0</v>
      </c>
      <c r="G804" s="899">
        <f t="shared" si="153"/>
        <v>383.16</v>
      </c>
      <c r="H804" s="50">
        <v>0</v>
      </c>
      <c r="I804" s="31">
        <f t="shared" si="154"/>
        <v>0</v>
      </c>
      <c r="J804" s="50">
        <v>0</v>
      </c>
      <c r="K804" s="31">
        <f t="shared" si="155"/>
        <v>0</v>
      </c>
      <c r="L804" s="50">
        <v>0</v>
      </c>
      <c r="M804" s="31">
        <f t="shared" si="156"/>
        <v>0</v>
      </c>
      <c r="N804" s="50">
        <v>0</v>
      </c>
      <c r="O804" s="31">
        <f t="shared" si="157"/>
        <v>0</v>
      </c>
      <c r="P804" s="51" t="s">
        <v>2853</v>
      </c>
      <c r="Q804" s="51"/>
    </row>
    <row r="805" spans="1:18" x14ac:dyDescent="0.25">
      <c r="A805" s="10">
        <v>44321</v>
      </c>
      <c r="B805" s="594">
        <v>0</v>
      </c>
      <c r="C805" s="31">
        <f t="shared" si="151"/>
        <v>11739029.189999999</v>
      </c>
      <c r="D805" s="50">
        <v>825016.94</v>
      </c>
      <c r="E805" s="31">
        <f t="shared" si="152"/>
        <v>-120666.81</v>
      </c>
      <c r="F805" s="900">
        <v>0</v>
      </c>
      <c r="G805" s="899">
        <f t="shared" si="153"/>
        <v>383.16</v>
      </c>
      <c r="H805" s="50">
        <v>0</v>
      </c>
      <c r="I805" s="31">
        <f t="shared" si="154"/>
        <v>0</v>
      </c>
      <c r="J805" s="50">
        <v>0</v>
      </c>
      <c r="K805" s="31">
        <f t="shared" si="155"/>
        <v>0</v>
      </c>
      <c r="L805" s="50">
        <v>0</v>
      </c>
      <c r="M805" s="31">
        <f t="shared" si="156"/>
        <v>0</v>
      </c>
      <c r="N805" s="50">
        <v>0</v>
      </c>
      <c r="O805" s="31">
        <f t="shared" si="157"/>
        <v>0</v>
      </c>
      <c r="P805" s="51" t="s">
        <v>845</v>
      </c>
      <c r="Q805" s="51"/>
    </row>
    <row r="806" spans="1:18" x14ac:dyDescent="0.25">
      <c r="A806" s="10">
        <v>44322</v>
      </c>
      <c r="B806" s="594">
        <v>0</v>
      </c>
      <c r="C806" s="31">
        <f t="shared" si="151"/>
        <v>11739029.189999999</v>
      </c>
      <c r="D806" s="50">
        <v>120666.81</v>
      </c>
      <c r="E806" s="31">
        <f t="shared" si="152"/>
        <v>0</v>
      </c>
      <c r="F806" s="900">
        <v>0</v>
      </c>
      <c r="G806" s="899">
        <f t="shared" si="153"/>
        <v>383.16</v>
      </c>
      <c r="H806" s="50">
        <v>0</v>
      </c>
      <c r="I806" s="31">
        <f t="shared" si="154"/>
        <v>0</v>
      </c>
      <c r="J806" s="50">
        <v>0</v>
      </c>
      <c r="K806" s="31">
        <f t="shared" si="155"/>
        <v>0</v>
      </c>
      <c r="L806" s="50">
        <v>0</v>
      </c>
      <c r="M806" s="31">
        <f t="shared" si="156"/>
        <v>0</v>
      </c>
      <c r="N806" s="50">
        <v>0</v>
      </c>
      <c r="O806" s="31">
        <f t="shared" si="157"/>
        <v>0</v>
      </c>
      <c r="P806" s="51" t="s">
        <v>845</v>
      </c>
      <c r="Q806" s="51"/>
    </row>
    <row r="807" spans="1:18" x14ac:dyDescent="0.25">
      <c r="A807" s="10">
        <v>44326</v>
      </c>
      <c r="B807" s="594">
        <v>0</v>
      </c>
      <c r="C807" s="31">
        <f t="shared" si="151"/>
        <v>11739029.189999999</v>
      </c>
      <c r="D807" s="50">
        <v>219275.36</v>
      </c>
      <c r="E807" s="31">
        <f t="shared" si="152"/>
        <v>219275.36</v>
      </c>
      <c r="F807" s="900">
        <v>0</v>
      </c>
      <c r="G807" s="899">
        <f t="shared" si="153"/>
        <v>383.16</v>
      </c>
      <c r="H807" s="50">
        <v>0</v>
      </c>
      <c r="I807" s="31">
        <f t="shared" si="154"/>
        <v>0</v>
      </c>
      <c r="J807" s="50">
        <v>0</v>
      </c>
      <c r="K807" s="31">
        <f t="shared" si="155"/>
        <v>0</v>
      </c>
      <c r="L807" s="50">
        <v>0</v>
      </c>
      <c r="M807" s="31">
        <f t="shared" si="156"/>
        <v>0</v>
      </c>
      <c r="N807" s="50">
        <v>0</v>
      </c>
      <c r="O807" s="31">
        <f t="shared" si="157"/>
        <v>0</v>
      </c>
      <c r="P807" s="51" t="s">
        <v>2844</v>
      </c>
      <c r="Q807" s="51"/>
    </row>
    <row r="808" spans="1:18" x14ac:dyDescent="0.25">
      <c r="A808" s="10">
        <v>44326</v>
      </c>
      <c r="B808" s="594">
        <v>1400000</v>
      </c>
      <c r="C808" s="31">
        <f t="shared" si="151"/>
        <v>13139029.189999999</v>
      </c>
      <c r="D808" s="50">
        <v>0</v>
      </c>
      <c r="E808" s="31">
        <f t="shared" si="152"/>
        <v>219275.36</v>
      </c>
      <c r="F808" s="900">
        <v>0</v>
      </c>
      <c r="G808" s="899">
        <f t="shared" si="153"/>
        <v>383.16</v>
      </c>
      <c r="H808" s="50">
        <v>0</v>
      </c>
      <c r="I808" s="31">
        <f t="shared" si="154"/>
        <v>0</v>
      </c>
      <c r="J808" s="50">
        <v>0</v>
      </c>
      <c r="K808" s="31">
        <f t="shared" si="155"/>
        <v>0</v>
      </c>
      <c r="L808" s="50">
        <v>0</v>
      </c>
      <c r="M808" s="31">
        <f t="shared" si="156"/>
        <v>0</v>
      </c>
      <c r="N808" s="50">
        <v>0</v>
      </c>
      <c r="O808" s="31">
        <f t="shared" si="157"/>
        <v>0</v>
      </c>
      <c r="P808" s="51" t="s">
        <v>2661</v>
      </c>
      <c r="Q808" s="51"/>
    </row>
    <row r="809" spans="1:18" x14ac:dyDescent="0.25">
      <c r="A809" s="10">
        <v>44326</v>
      </c>
      <c r="B809" s="594">
        <v>0</v>
      </c>
      <c r="C809" s="31">
        <f t="shared" si="151"/>
        <v>13139029.189999999</v>
      </c>
      <c r="D809" s="50">
        <f>-E808</f>
        <v>-219275.36</v>
      </c>
      <c r="E809" s="31">
        <f t="shared" si="152"/>
        <v>0</v>
      </c>
      <c r="F809" s="900">
        <v>0</v>
      </c>
      <c r="G809" s="899">
        <f t="shared" si="153"/>
        <v>383.16</v>
      </c>
      <c r="H809" s="50">
        <v>0</v>
      </c>
      <c r="I809" s="31">
        <f t="shared" si="154"/>
        <v>0</v>
      </c>
      <c r="J809" s="50">
        <v>0</v>
      </c>
      <c r="K809" s="31">
        <f t="shared" si="155"/>
        <v>0</v>
      </c>
      <c r="L809" s="50">
        <v>0</v>
      </c>
      <c r="M809" s="31">
        <f t="shared" si="156"/>
        <v>0</v>
      </c>
      <c r="N809" s="50">
        <v>0</v>
      </c>
      <c r="O809" s="31">
        <f t="shared" si="157"/>
        <v>0</v>
      </c>
      <c r="P809" s="51" t="s">
        <v>845</v>
      </c>
      <c r="Q809" s="51"/>
    </row>
    <row r="810" spans="1:18" x14ac:dyDescent="0.25">
      <c r="A810" s="10">
        <v>44327</v>
      </c>
      <c r="B810" s="594">
        <v>1900000</v>
      </c>
      <c r="C810" s="31">
        <f t="shared" ref="C810:C816" si="158">ROUND(B810+C809,2)</f>
        <v>15039029.189999999</v>
      </c>
      <c r="D810" s="50">
        <v>0</v>
      </c>
      <c r="E810" s="31">
        <f t="shared" ref="E810:E816" si="159">ROUND(D810+E809,2)</f>
        <v>0</v>
      </c>
      <c r="F810" s="900">
        <v>-1904686.98</v>
      </c>
      <c r="G810" s="899">
        <f t="shared" ref="G810:G816" si="160">ROUND(F810+G809,2)</f>
        <v>-1904303.82</v>
      </c>
      <c r="H810" s="50">
        <v>0</v>
      </c>
      <c r="I810" s="31">
        <f t="shared" ref="I810:I816" si="161">ROUND(H810+I809,2)</f>
        <v>0</v>
      </c>
      <c r="J810" s="50">
        <v>0</v>
      </c>
      <c r="K810" s="31">
        <f t="shared" ref="K810:K816" si="162">ROUND(J810+K809,2)</f>
        <v>0</v>
      </c>
      <c r="L810" s="50">
        <v>0</v>
      </c>
      <c r="M810" s="31">
        <f t="shared" ref="M810:M816" si="163">ROUND(L810+M809,2)</f>
        <v>0</v>
      </c>
      <c r="N810" s="50">
        <v>0</v>
      </c>
      <c r="O810" s="31">
        <f t="shared" ref="O810:O816" si="164">ROUND(N810+O809,2)</f>
        <v>0</v>
      </c>
      <c r="P810" s="51" t="s">
        <v>1012</v>
      </c>
      <c r="Q810" s="51"/>
    </row>
    <row r="811" spans="1:18" x14ac:dyDescent="0.25">
      <c r="A811" s="10">
        <v>44327</v>
      </c>
      <c r="B811" s="594">
        <f>-B810</f>
        <v>-1900000</v>
      </c>
      <c r="C811" s="31">
        <f t="shared" si="158"/>
        <v>13139029.189999999</v>
      </c>
      <c r="D811" s="50">
        <v>0</v>
      </c>
      <c r="E811" s="31">
        <f t="shared" si="159"/>
        <v>0</v>
      </c>
      <c r="F811" s="594">
        <f>-F810</f>
        <v>1904686.98</v>
      </c>
      <c r="G811" s="899">
        <f t="shared" si="160"/>
        <v>383.16</v>
      </c>
      <c r="H811" s="50">
        <v>0</v>
      </c>
      <c r="I811" s="31">
        <f t="shared" si="161"/>
        <v>0</v>
      </c>
      <c r="J811" s="50">
        <v>0</v>
      </c>
      <c r="K811" s="31">
        <f t="shared" si="162"/>
        <v>0</v>
      </c>
      <c r="L811" s="50">
        <v>0</v>
      </c>
      <c r="M811" s="31">
        <f t="shared" si="163"/>
        <v>0</v>
      </c>
      <c r="N811" s="50">
        <v>0</v>
      </c>
      <c r="O811" s="31">
        <f t="shared" si="164"/>
        <v>0</v>
      </c>
      <c r="P811" s="51" t="s">
        <v>1013</v>
      </c>
      <c r="Q811" s="51"/>
    </row>
    <row r="812" spans="1:18" x14ac:dyDescent="0.25">
      <c r="A812" s="10">
        <v>44329</v>
      </c>
      <c r="B812" s="594">
        <v>0</v>
      </c>
      <c r="C812" s="31">
        <f t="shared" si="158"/>
        <v>13139029.189999999</v>
      </c>
      <c r="D812" s="50">
        <v>0</v>
      </c>
      <c r="E812" s="31">
        <f t="shared" si="159"/>
        <v>0</v>
      </c>
      <c r="F812" s="900">
        <v>0</v>
      </c>
      <c r="G812" s="899">
        <f t="shared" si="160"/>
        <v>383.16</v>
      </c>
      <c r="H812" s="50">
        <v>-6560</v>
      </c>
      <c r="I812" s="31">
        <f t="shared" si="161"/>
        <v>-6560</v>
      </c>
      <c r="J812" s="50">
        <v>0</v>
      </c>
      <c r="K812" s="31">
        <f t="shared" si="162"/>
        <v>0</v>
      </c>
      <c r="L812" s="50">
        <v>0</v>
      </c>
      <c r="M812" s="31">
        <f t="shared" si="163"/>
        <v>0</v>
      </c>
      <c r="N812" s="50">
        <v>0</v>
      </c>
      <c r="O812" s="31">
        <f t="shared" si="164"/>
        <v>0</v>
      </c>
      <c r="P812" s="51" t="s">
        <v>2886</v>
      </c>
      <c r="Q812" s="51"/>
      <c r="R812" s="765"/>
    </row>
    <row r="813" spans="1:18" x14ac:dyDescent="0.25">
      <c r="A813" s="10">
        <v>44329</v>
      </c>
      <c r="B813" s="594">
        <v>0</v>
      </c>
      <c r="C813" s="31">
        <f t="shared" si="158"/>
        <v>13139029.189999999</v>
      </c>
      <c r="D813" s="50">
        <v>0</v>
      </c>
      <c r="E813" s="31">
        <f t="shared" si="159"/>
        <v>0</v>
      </c>
      <c r="F813" s="900">
        <v>0</v>
      </c>
      <c r="G813" s="899">
        <f t="shared" si="160"/>
        <v>383.16</v>
      </c>
      <c r="H813" s="50">
        <v>6560</v>
      </c>
      <c r="I813" s="31">
        <f t="shared" si="161"/>
        <v>0</v>
      </c>
      <c r="J813" s="50">
        <v>0</v>
      </c>
      <c r="K813" s="31">
        <f t="shared" si="162"/>
        <v>0</v>
      </c>
      <c r="L813" s="50">
        <v>0</v>
      </c>
      <c r="M813" s="31">
        <f t="shared" si="163"/>
        <v>0</v>
      </c>
      <c r="N813" s="50">
        <v>0</v>
      </c>
      <c r="O813" s="31">
        <f t="shared" si="164"/>
        <v>0</v>
      </c>
      <c r="P813" s="51" t="s">
        <v>845</v>
      </c>
      <c r="Q813" s="51"/>
      <c r="R813" s="765"/>
    </row>
    <row r="814" spans="1:18" x14ac:dyDescent="0.25">
      <c r="A814" s="10">
        <v>44333</v>
      </c>
      <c r="B814" s="594">
        <v>0</v>
      </c>
      <c r="C814" s="31">
        <f t="shared" si="158"/>
        <v>13139029.189999999</v>
      </c>
      <c r="D814" s="50">
        <v>6500</v>
      </c>
      <c r="E814" s="31">
        <f t="shared" si="159"/>
        <v>6500</v>
      </c>
      <c r="F814" s="900">
        <v>0</v>
      </c>
      <c r="G814" s="899">
        <f t="shared" si="160"/>
        <v>383.16</v>
      </c>
      <c r="H814" s="50">
        <v>0</v>
      </c>
      <c r="I814" s="31">
        <f t="shared" si="161"/>
        <v>0</v>
      </c>
      <c r="J814" s="50">
        <v>0</v>
      </c>
      <c r="K814" s="31">
        <f t="shared" si="162"/>
        <v>0</v>
      </c>
      <c r="L814" s="50">
        <v>0</v>
      </c>
      <c r="M814" s="31">
        <f t="shared" si="163"/>
        <v>0</v>
      </c>
      <c r="N814" s="50">
        <v>0</v>
      </c>
      <c r="O814" s="31">
        <f t="shared" si="164"/>
        <v>0</v>
      </c>
      <c r="P814" s="51" t="s">
        <v>2888</v>
      </c>
      <c r="Q814" s="51"/>
      <c r="R814" s="765"/>
    </row>
    <row r="815" spans="1:18" x14ac:dyDescent="0.25">
      <c r="A815" s="10">
        <v>44333</v>
      </c>
      <c r="B815" s="594">
        <v>0</v>
      </c>
      <c r="C815" s="31">
        <f t="shared" si="158"/>
        <v>13139029.189999999</v>
      </c>
      <c r="D815" s="50">
        <v>-6500</v>
      </c>
      <c r="E815" s="31">
        <f t="shared" si="159"/>
        <v>0</v>
      </c>
      <c r="F815" s="900">
        <v>0</v>
      </c>
      <c r="G815" s="899">
        <f t="shared" si="160"/>
        <v>383.16</v>
      </c>
      <c r="H815" s="50">
        <v>0</v>
      </c>
      <c r="I815" s="31">
        <f t="shared" si="161"/>
        <v>0</v>
      </c>
      <c r="J815" s="50">
        <v>0</v>
      </c>
      <c r="K815" s="31">
        <f t="shared" si="162"/>
        <v>0</v>
      </c>
      <c r="L815" s="50">
        <v>0</v>
      </c>
      <c r="M815" s="31">
        <f t="shared" si="163"/>
        <v>0</v>
      </c>
      <c r="N815" s="50">
        <v>0</v>
      </c>
      <c r="O815" s="31">
        <f t="shared" si="164"/>
        <v>0</v>
      </c>
      <c r="P815" s="51" t="s">
        <v>845</v>
      </c>
      <c r="Q815" s="51"/>
      <c r="R815" s="765"/>
    </row>
    <row r="816" spans="1:18" x14ac:dyDescent="0.25">
      <c r="A816" s="10">
        <v>44335</v>
      </c>
      <c r="B816" s="594">
        <v>0</v>
      </c>
      <c r="C816" s="31">
        <f t="shared" si="158"/>
        <v>13139029.189999999</v>
      </c>
      <c r="D816" s="50">
        <v>-15605.63</v>
      </c>
      <c r="E816" s="31">
        <f t="shared" si="159"/>
        <v>-15605.63</v>
      </c>
      <c r="F816" s="900">
        <v>0</v>
      </c>
      <c r="G816" s="899">
        <f t="shared" si="160"/>
        <v>383.16</v>
      </c>
      <c r="H816" s="50">
        <v>0</v>
      </c>
      <c r="I816" s="31">
        <f t="shared" si="161"/>
        <v>0</v>
      </c>
      <c r="J816" s="50">
        <v>0</v>
      </c>
      <c r="K816" s="31">
        <f t="shared" si="162"/>
        <v>0</v>
      </c>
      <c r="L816" s="50">
        <v>0</v>
      </c>
      <c r="M816" s="31">
        <f t="shared" si="163"/>
        <v>0</v>
      </c>
      <c r="N816" s="50">
        <v>0</v>
      </c>
      <c r="O816" s="31">
        <f t="shared" si="164"/>
        <v>0</v>
      </c>
      <c r="P816" s="51" t="s">
        <v>2844</v>
      </c>
      <c r="Q816" s="51"/>
      <c r="R816" s="765"/>
    </row>
    <row r="817" spans="1:17" x14ac:dyDescent="0.25">
      <c r="A817" s="10">
        <v>44335</v>
      </c>
      <c r="B817" s="594">
        <v>0</v>
      </c>
      <c r="C817" s="31">
        <f t="shared" si="151"/>
        <v>13139029.189999999</v>
      </c>
      <c r="D817" s="50">
        <v>587029.25</v>
      </c>
      <c r="E817" s="31">
        <f t="shared" si="152"/>
        <v>571423.62</v>
      </c>
      <c r="F817" s="900">
        <v>0</v>
      </c>
      <c r="G817" s="899">
        <f t="shared" si="153"/>
        <v>383.16</v>
      </c>
      <c r="H817" s="50">
        <v>0</v>
      </c>
      <c r="I817" s="31">
        <f t="shared" si="154"/>
        <v>0</v>
      </c>
      <c r="J817" s="50">
        <v>0</v>
      </c>
      <c r="K817" s="31">
        <f t="shared" si="155"/>
        <v>0</v>
      </c>
      <c r="L817" s="50">
        <v>0</v>
      </c>
      <c r="M817" s="31">
        <f t="shared" si="156"/>
        <v>0</v>
      </c>
      <c r="N817" s="50">
        <v>0</v>
      </c>
      <c r="O817" s="31">
        <f t="shared" si="157"/>
        <v>0</v>
      </c>
      <c r="P817" s="51" t="s">
        <v>845</v>
      </c>
      <c r="Q817" s="51"/>
    </row>
    <row r="818" spans="1:17" x14ac:dyDescent="0.25">
      <c r="A818" s="10">
        <v>44335</v>
      </c>
      <c r="B818" s="594">
        <v>0</v>
      </c>
      <c r="C818" s="31">
        <f t="shared" si="151"/>
        <v>13139029.189999999</v>
      </c>
      <c r="D818" s="50">
        <v>0</v>
      </c>
      <c r="E818" s="31">
        <f t="shared" si="152"/>
        <v>571423.62</v>
      </c>
      <c r="F818" s="900">
        <v>0</v>
      </c>
      <c r="G818" s="899">
        <f t="shared" si="153"/>
        <v>383.16</v>
      </c>
      <c r="H818" s="50">
        <v>-149.05000000000001</v>
      </c>
      <c r="I818" s="31">
        <f t="shared" si="154"/>
        <v>-149.05000000000001</v>
      </c>
      <c r="J818" s="50">
        <v>0</v>
      </c>
      <c r="K818" s="31">
        <f t="shared" si="155"/>
        <v>0</v>
      </c>
      <c r="L818" s="50">
        <v>0</v>
      </c>
      <c r="M818" s="31">
        <f t="shared" si="156"/>
        <v>0</v>
      </c>
      <c r="N818" s="50">
        <v>0</v>
      </c>
      <c r="O818" s="31">
        <f t="shared" si="157"/>
        <v>0</v>
      </c>
      <c r="P818" s="51" t="s">
        <v>2694</v>
      </c>
      <c r="Q818" s="51"/>
    </row>
    <row r="819" spans="1:17" x14ac:dyDescent="0.25">
      <c r="A819" s="10">
        <v>44335</v>
      </c>
      <c r="B819" s="594">
        <v>0</v>
      </c>
      <c r="C819" s="31">
        <f t="shared" si="151"/>
        <v>13139029.189999999</v>
      </c>
      <c r="D819" s="50">
        <v>0</v>
      </c>
      <c r="E819" s="31">
        <f t="shared" si="152"/>
        <v>571423.62</v>
      </c>
      <c r="F819" s="900">
        <v>0</v>
      </c>
      <c r="G819" s="899">
        <f t="shared" si="153"/>
        <v>383.16</v>
      </c>
      <c r="H819" s="50">
        <v>149.05000000000001</v>
      </c>
      <c r="I819" s="31">
        <f t="shared" si="154"/>
        <v>0</v>
      </c>
      <c r="J819" s="50">
        <v>0</v>
      </c>
      <c r="K819" s="31">
        <f t="shared" si="155"/>
        <v>0</v>
      </c>
      <c r="L819" s="50">
        <v>0</v>
      </c>
      <c r="M819" s="31">
        <f t="shared" si="156"/>
        <v>0</v>
      </c>
      <c r="N819" s="50">
        <v>0</v>
      </c>
      <c r="O819" s="31">
        <f t="shared" si="157"/>
        <v>0</v>
      </c>
      <c r="P819" s="51" t="s">
        <v>845</v>
      </c>
      <c r="Q819" s="51"/>
    </row>
    <row r="820" spans="1:17" x14ac:dyDescent="0.25">
      <c r="A820" s="10">
        <v>44337</v>
      </c>
      <c r="B820" s="594">
        <v>0</v>
      </c>
      <c r="C820" s="31">
        <f t="shared" si="151"/>
        <v>13139029.189999999</v>
      </c>
      <c r="D820" s="50">
        <v>2009059.44</v>
      </c>
      <c r="E820" s="31">
        <f t="shared" si="152"/>
        <v>2580483.06</v>
      </c>
      <c r="F820" s="900">
        <v>0</v>
      </c>
      <c r="G820" s="899">
        <f t="shared" si="153"/>
        <v>383.16</v>
      </c>
      <c r="H820" s="50">
        <v>0</v>
      </c>
      <c r="I820" s="31">
        <f t="shared" si="154"/>
        <v>0</v>
      </c>
      <c r="J820" s="50">
        <v>0</v>
      </c>
      <c r="K820" s="31">
        <f t="shared" si="155"/>
        <v>0</v>
      </c>
      <c r="L820" s="50">
        <v>0</v>
      </c>
      <c r="M820" s="31">
        <f t="shared" si="156"/>
        <v>0</v>
      </c>
      <c r="N820" s="50">
        <v>0</v>
      </c>
      <c r="O820" s="31">
        <f t="shared" si="157"/>
        <v>0</v>
      </c>
      <c r="P820" s="51" t="s">
        <v>2891</v>
      </c>
      <c r="Q820" s="51"/>
    </row>
    <row r="821" spans="1:17" x14ac:dyDescent="0.25">
      <c r="A821" s="10">
        <v>44337</v>
      </c>
      <c r="B821" s="594">
        <v>0</v>
      </c>
      <c r="C821" s="31">
        <f t="shared" si="151"/>
        <v>13139029.189999999</v>
      </c>
      <c r="D821" s="50">
        <v>-2009059.44</v>
      </c>
      <c r="E821" s="31">
        <f t="shared" si="152"/>
        <v>571423.62</v>
      </c>
      <c r="F821" s="900">
        <v>0</v>
      </c>
      <c r="G821" s="899">
        <f t="shared" si="153"/>
        <v>383.16</v>
      </c>
      <c r="H821" s="50">
        <v>0</v>
      </c>
      <c r="I821" s="31">
        <f t="shared" si="154"/>
        <v>0</v>
      </c>
      <c r="J821" s="50">
        <v>0</v>
      </c>
      <c r="K821" s="31">
        <f t="shared" si="155"/>
        <v>0</v>
      </c>
      <c r="L821" s="50">
        <v>0</v>
      </c>
      <c r="M821" s="31">
        <f t="shared" si="156"/>
        <v>0</v>
      </c>
      <c r="N821" s="50">
        <v>0</v>
      </c>
      <c r="O821" s="31">
        <f t="shared" si="157"/>
        <v>0</v>
      </c>
      <c r="P821" s="51" t="s">
        <v>2892</v>
      </c>
      <c r="Q821" s="51"/>
    </row>
    <row r="822" spans="1:17" x14ac:dyDescent="0.25">
      <c r="A822" s="10">
        <v>44337</v>
      </c>
      <c r="B822" s="594">
        <v>0</v>
      </c>
      <c r="C822" s="31">
        <f t="shared" si="151"/>
        <v>13139029.189999999</v>
      </c>
      <c r="D822" s="50">
        <v>-2009059.44</v>
      </c>
      <c r="E822" s="31">
        <f t="shared" si="152"/>
        <v>-1437635.82</v>
      </c>
      <c r="F822" s="900">
        <v>0</v>
      </c>
      <c r="G822" s="899">
        <f t="shared" si="153"/>
        <v>383.16</v>
      </c>
      <c r="H822" s="50">
        <v>0</v>
      </c>
      <c r="I822" s="31">
        <f t="shared" si="154"/>
        <v>0</v>
      </c>
      <c r="J822" s="50">
        <v>0</v>
      </c>
      <c r="K822" s="31">
        <f t="shared" si="155"/>
        <v>0</v>
      </c>
      <c r="L822" s="50">
        <v>0</v>
      </c>
      <c r="M822" s="31">
        <f t="shared" si="156"/>
        <v>0</v>
      </c>
      <c r="N822" s="50">
        <v>0</v>
      </c>
      <c r="O822" s="31">
        <f t="shared" si="157"/>
        <v>0</v>
      </c>
      <c r="P822" s="51" t="s">
        <v>2893</v>
      </c>
      <c r="Q822" s="51"/>
    </row>
    <row r="823" spans="1:17" x14ac:dyDescent="0.25">
      <c r="A823" s="10">
        <v>44337</v>
      </c>
      <c r="B823" s="594">
        <v>0</v>
      </c>
      <c r="C823" s="31">
        <f t="shared" si="151"/>
        <v>13139029.189999999</v>
      </c>
      <c r="D823" s="50">
        <v>1750000</v>
      </c>
      <c r="E823" s="31">
        <f t="shared" si="152"/>
        <v>312364.18</v>
      </c>
      <c r="F823" s="900">
        <v>0</v>
      </c>
      <c r="G823" s="899">
        <f t="shared" si="153"/>
        <v>383.16</v>
      </c>
      <c r="H823" s="50">
        <v>0</v>
      </c>
      <c r="I823" s="31">
        <f t="shared" si="154"/>
        <v>0</v>
      </c>
      <c r="J823" s="50">
        <v>0</v>
      </c>
      <c r="K823" s="31">
        <f t="shared" si="155"/>
        <v>0</v>
      </c>
      <c r="L823" s="50">
        <v>0</v>
      </c>
      <c r="M823" s="31">
        <f t="shared" si="156"/>
        <v>0</v>
      </c>
      <c r="N823" s="50">
        <v>0</v>
      </c>
      <c r="O823" s="31">
        <f t="shared" si="157"/>
        <v>0</v>
      </c>
      <c r="P823" s="51" t="s">
        <v>2894</v>
      </c>
      <c r="Q823" s="51"/>
    </row>
    <row r="824" spans="1:17" x14ac:dyDescent="0.25">
      <c r="A824" s="10">
        <v>44337</v>
      </c>
      <c r="B824" s="594">
        <v>2000000</v>
      </c>
      <c r="C824" s="31">
        <f t="shared" si="151"/>
        <v>15139029.189999999</v>
      </c>
      <c r="D824" s="50">
        <v>0</v>
      </c>
      <c r="E824" s="31">
        <f t="shared" si="152"/>
        <v>312364.18</v>
      </c>
      <c r="F824" s="900">
        <v>0</v>
      </c>
      <c r="G824" s="899">
        <f t="shared" si="153"/>
        <v>383.16</v>
      </c>
      <c r="H824" s="50">
        <v>0</v>
      </c>
      <c r="I824" s="31">
        <f t="shared" si="154"/>
        <v>0</v>
      </c>
      <c r="J824" s="50">
        <v>0</v>
      </c>
      <c r="K824" s="31">
        <f t="shared" si="155"/>
        <v>0</v>
      </c>
      <c r="L824" s="50">
        <v>0</v>
      </c>
      <c r="M824" s="31">
        <f t="shared" si="156"/>
        <v>0</v>
      </c>
      <c r="N824" s="50">
        <v>0</v>
      </c>
      <c r="O824" s="31">
        <f t="shared" si="157"/>
        <v>0</v>
      </c>
      <c r="P824" s="51" t="s">
        <v>831</v>
      </c>
      <c r="Q824" s="51"/>
    </row>
    <row r="825" spans="1:17" x14ac:dyDescent="0.25">
      <c r="A825" s="10">
        <v>44337</v>
      </c>
      <c r="B825" s="594">
        <v>0</v>
      </c>
      <c r="C825" s="31">
        <f t="shared" si="151"/>
        <v>15139029.189999999</v>
      </c>
      <c r="D825" s="50">
        <f>-E824</f>
        <v>-312364.18</v>
      </c>
      <c r="E825" s="31">
        <f t="shared" si="152"/>
        <v>0</v>
      </c>
      <c r="F825" s="900">
        <v>0</v>
      </c>
      <c r="G825" s="899">
        <f t="shared" si="153"/>
        <v>383.16</v>
      </c>
      <c r="H825" s="50">
        <v>0</v>
      </c>
      <c r="I825" s="31">
        <f t="shared" si="154"/>
        <v>0</v>
      </c>
      <c r="J825" s="50">
        <v>0</v>
      </c>
      <c r="K825" s="31">
        <f t="shared" si="155"/>
        <v>0</v>
      </c>
      <c r="L825" s="50">
        <v>0</v>
      </c>
      <c r="M825" s="31">
        <f t="shared" si="156"/>
        <v>0</v>
      </c>
      <c r="N825" s="50">
        <v>0</v>
      </c>
      <c r="O825" s="31">
        <f t="shared" si="157"/>
        <v>0</v>
      </c>
      <c r="P825" s="51" t="s">
        <v>845</v>
      </c>
      <c r="Q825" s="51"/>
    </row>
    <row r="826" spans="1:17" x14ac:dyDescent="0.25">
      <c r="A826" s="10">
        <v>44341</v>
      </c>
      <c r="B826" s="594">
        <v>1400000</v>
      </c>
      <c r="C826" s="31">
        <f t="shared" si="151"/>
        <v>16539029.189999999</v>
      </c>
      <c r="D826" s="50">
        <v>-1400000</v>
      </c>
      <c r="E826" s="31">
        <f t="shared" si="152"/>
        <v>-1400000</v>
      </c>
      <c r="F826" s="900">
        <v>0</v>
      </c>
      <c r="G826" s="899">
        <f t="shared" si="153"/>
        <v>383.16</v>
      </c>
      <c r="H826" s="50">
        <v>0</v>
      </c>
      <c r="I826" s="31">
        <f t="shared" si="154"/>
        <v>0</v>
      </c>
      <c r="J826" s="50">
        <v>0</v>
      </c>
      <c r="K826" s="31">
        <f t="shared" si="155"/>
        <v>0</v>
      </c>
      <c r="L826" s="50">
        <v>0</v>
      </c>
      <c r="M826" s="31">
        <f t="shared" si="156"/>
        <v>0</v>
      </c>
      <c r="N826" s="50">
        <v>0</v>
      </c>
      <c r="O826" s="31">
        <f t="shared" si="157"/>
        <v>0</v>
      </c>
      <c r="P826" s="51" t="s">
        <v>2661</v>
      </c>
      <c r="Q826" s="51"/>
    </row>
    <row r="827" spans="1:17" x14ac:dyDescent="0.25">
      <c r="A827" s="10">
        <v>44341</v>
      </c>
      <c r="B827" s="594">
        <v>-1400000</v>
      </c>
      <c r="C827" s="31">
        <f t="shared" si="151"/>
        <v>15139029.189999999</v>
      </c>
      <c r="D827" s="594">
        <v>1400000</v>
      </c>
      <c r="E827" s="31">
        <f t="shared" si="152"/>
        <v>0</v>
      </c>
      <c r="F827" s="900">
        <v>0</v>
      </c>
      <c r="G827" s="899">
        <f t="shared" si="153"/>
        <v>383.16</v>
      </c>
      <c r="H827" s="50">
        <v>0</v>
      </c>
      <c r="I827" s="31">
        <f t="shared" si="154"/>
        <v>0</v>
      </c>
      <c r="J827" s="50">
        <v>0</v>
      </c>
      <c r="K827" s="31">
        <f t="shared" si="155"/>
        <v>0</v>
      </c>
      <c r="L827" s="50">
        <v>0</v>
      </c>
      <c r="M827" s="31">
        <f t="shared" si="156"/>
        <v>0</v>
      </c>
      <c r="N827" s="50">
        <v>0</v>
      </c>
      <c r="O827" s="31">
        <f t="shared" si="157"/>
        <v>0</v>
      </c>
      <c r="P827" s="51" t="s">
        <v>2926</v>
      </c>
      <c r="Q827" s="51"/>
    </row>
    <row r="828" spans="1:17" x14ac:dyDescent="0.25">
      <c r="A828" s="10">
        <v>44348</v>
      </c>
      <c r="B828" s="594">
        <v>3000000</v>
      </c>
      <c r="C828" s="31">
        <f t="shared" si="151"/>
        <v>18139029.190000001</v>
      </c>
      <c r="D828" s="50">
        <v>0</v>
      </c>
      <c r="E828" s="31">
        <f t="shared" si="152"/>
        <v>0</v>
      </c>
      <c r="F828" s="900">
        <v>0</v>
      </c>
      <c r="G828" s="899">
        <f t="shared" si="153"/>
        <v>383.16</v>
      </c>
      <c r="H828" s="50">
        <v>0</v>
      </c>
      <c r="I828" s="31">
        <f t="shared" si="154"/>
        <v>0</v>
      </c>
      <c r="J828" s="50">
        <v>0</v>
      </c>
      <c r="K828" s="31">
        <f t="shared" si="155"/>
        <v>0</v>
      </c>
      <c r="L828" s="50">
        <v>0</v>
      </c>
      <c r="M828" s="31">
        <f t="shared" si="156"/>
        <v>0</v>
      </c>
      <c r="N828" s="50">
        <v>0</v>
      </c>
      <c r="O828" s="31">
        <f t="shared" si="157"/>
        <v>0</v>
      </c>
      <c r="P828" s="51" t="s">
        <v>831</v>
      </c>
      <c r="Q828" s="51"/>
    </row>
    <row r="829" spans="1:17" x14ac:dyDescent="0.25">
      <c r="A829" s="10">
        <v>44348</v>
      </c>
      <c r="B829" s="594">
        <v>0</v>
      </c>
      <c r="C829" s="31">
        <f t="shared" si="151"/>
        <v>18139029.190000001</v>
      </c>
      <c r="D829" s="50">
        <v>3000000</v>
      </c>
      <c r="E829" s="31">
        <f t="shared" si="152"/>
        <v>3000000</v>
      </c>
      <c r="F829" s="900">
        <v>0</v>
      </c>
      <c r="G829" s="899">
        <f t="shared" si="153"/>
        <v>383.16</v>
      </c>
      <c r="H829" s="50">
        <v>0</v>
      </c>
      <c r="I829" s="31">
        <f t="shared" si="154"/>
        <v>0</v>
      </c>
      <c r="J829" s="50">
        <v>0</v>
      </c>
      <c r="K829" s="31">
        <f t="shared" si="155"/>
        <v>0</v>
      </c>
      <c r="L829" s="50">
        <v>0</v>
      </c>
      <c r="M829" s="31">
        <f t="shared" si="156"/>
        <v>0</v>
      </c>
      <c r="N829" s="50">
        <v>0</v>
      </c>
      <c r="O829" s="31">
        <f t="shared" si="157"/>
        <v>0</v>
      </c>
      <c r="P829" s="51" t="s">
        <v>2927</v>
      </c>
      <c r="Q829" s="51"/>
    </row>
    <row r="830" spans="1:17" x14ac:dyDescent="0.25">
      <c r="A830" s="10">
        <v>44348</v>
      </c>
      <c r="B830" s="594">
        <v>0</v>
      </c>
      <c r="C830" s="31">
        <f t="shared" si="151"/>
        <v>18139029.190000001</v>
      </c>
      <c r="D830" s="50">
        <v>-3015820.22</v>
      </c>
      <c r="E830" s="31">
        <f t="shared" si="152"/>
        <v>-15820.22</v>
      </c>
      <c r="F830" s="900">
        <v>0</v>
      </c>
      <c r="G830" s="899">
        <f t="shared" si="153"/>
        <v>383.16</v>
      </c>
      <c r="H830" s="50">
        <v>0</v>
      </c>
      <c r="I830" s="31">
        <f t="shared" si="154"/>
        <v>0</v>
      </c>
      <c r="J830" s="50">
        <v>0</v>
      </c>
      <c r="K830" s="31">
        <f t="shared" si="155"/>
        <v>0</v>
      </c>
      <c r="L830" s="50">
        <v>0</v>
      </c>
      <c r="M830" s="31">
        <f t="shared" si="156"/>
        <v>0</v>
      </c>
      <c r="N830" s="50">
        <v>0</v>
      </c>
      <c r="O830" s="31">
        <f t="shared" si="157"/>
        <v>0</v>
      </c>
      <c r="P830" s="51" t="s">
        <v>2928</v>
      </c>
      <c r="Q830" s="51"/>
    </row>
    <row r="831" spans="1:17" x14ac:dyDescent="0.25">
      <c r="A831" s="10">
        <v>44348</v>
      </c>
      <c r="B831" s="594">
        <v>0</v>
      </c>
      <c r="C831" s="31">
        <f t="shared" si="151"/>
        <v>18139029.190000001</v>
      </c>
      <c r="D831" s="50">
        <v>127390</v>
      </c>
      <c r="E831" s="31">
        <f t="shared" si="152"/>
        <v>111569.78</v>
      </c>
      <c r="F831" s="900">
        <v>0</v>
      </c>
      <c r="G831" s="899">
        <f t="shared" si="153"/>
        <v>383.16</v>
      </c>
      <c r="H831" s="50">
        <v>0</v>
      </c>
      <c r="I831" s="31">
        <f t="shared" si="154"/>
        <v>0</v>
      </c>
      <c r="J831" s="50">
        <v>0</v>
      </c>
      <c r="K831" s="31">
        <f t="shared" si="155"/>
        <v>0</v>
      </c>
      <c r="L831" s="50">
        <v>0</v>
      </c>
      <c r="M831" s="31">
        <f t="shared" si="156"/>
        <v>0</v>
      </c>
      <c r="N831" s="50">
        <v>0</v>
      </c>
      <c r="O831" s="31">
        <f t="shared" si="157"/>
        <v>0</v>
      </c>
      <c r="P831" s="51" t="s">
        <v>2929</v>
      </c>
      <c r="Q831" s="51"/>
    </row>
    <row r="832" spans="1:17" x14ac:dyDescent="0.25">
      <c r="A832" s="10">
        <v>44348</v>
      </c>
      <c r="B832" s="594">
        <v>0</v>
      </c>
      <c r="C832" s="31">
        <f t="shared" si="151"/>
        <v>18139029.190000001</v>
      </c>
      <c r="D832" s="50">
        <v>1179</v>
      </c>
      <c r="E832" s="31">
        <f t="shared" si="152"/>
        <v>112748.78</v>
      </c>
      <c r="F832" s="900">
        <v>0</v>
      </c>
      <c r="G832" s="899">
        <f t="shared" si="153"/>
        <v>383.16</v>
      </c>
      <c r="H832" s="50">
        <v>0</v>
      </c>
      <c r="I832" s="31">
        <f t="shared" si="154"/>
        <v>0</v>
      </c>
      <c r="J832" s="50">
        <v>0</v>
      </c>
      <c r="K832" s="31">
        <f t="shared" si="155"/>
        <v>0</v>
      </c>
      <c r="L832" s="50">
        <v>0</v>
      </c>
      <c r="M832" s="31">
        <f t="shared" si="156"/>
        <v>0</v>
      </c>
      <c r="N832" s="50">
        <v>0</v>
      </c>
      <c r="O832" s="31">
        <f t="shared" si="157"/>
        <v>0</v>
      </c>
      <c r="P832" s="51" t="s">
        <v>2929</v>
      </c>
      <c r="Q832" s="51"/>
    </row>
    <row r="833" spans="1:17" x14ac:dyDescent="0.25">
      <c r="A833" s="10">
        <v>44348</v>
      </c>
      <c r="B833" s="594">
        <v>0</v>
      </c>
      <c r="C833" s="31">
        <f t="shared" si="151"/>
        <v>18139029.190000001</v>
      </c>
      <c r="D833" s="50">
        <v>127390</v>
      </c>
      <c r="E833" s="31">
        <f t="shared" si="152"/>
        <v>240138.78</v>
      </c>
      <c r="F833" s="900">
        <v>0</v>
      </c>
      <c r="G833" s="899">
        <f t="shared" si="153"/>
        <v>383.16</v>
      </c>
      <c r="H833" s="50">
        <v>0</v>
      </c>
      <c r="I833" s="31">
        <f t="shared" si="154"/>
        <v>0</v>
      </c>
      <c r="J833" s="50">
        <v>0</v>
      </c>
      <c r="K833" s="31">
        <f t="shared" si="155"/>
        <v>0</v>
      </c>
      <c r="L833" s="50">
        <v>0</v>
      </c>
      <c r="M833" s="31">
        <f t="shared" si="156"/>
        <v>0</v>
      </c>
      <c r="N833" s="50">
        <v>0</v>
      </c>
      <c r="O833" s="31">
        <f t="shared" si="157"/>
        <v>0</v>
      </c>
      <c r="P833" s="51" t="s">
        <v>2930</v>
      </c>
      <c r="Q833" s="51"/>
    </row>
    <row r="834" spans="1:17" x14ac:dyDescent="0.25">
      <c r="A834" s="10">
        <v>44348</v>
      </c>
      <c r="B834" s="594">
        <v>0</v>
      </c>
      <c r="C834" s="31">
        <f t="shared" si="151"/>
        <v>18139029.190000001</v>
      </c>
      <c r="D834" s="50">
        <f>-E833</f>
        <v>-240138.78</v>
      </c>
      <c r="E834" s="31">
        <f t="shared" si="152"/>
        <v>0</v>
      </c>
      <c r="F834" s="900">
        <v>0</v>
      </c>
      <c r="G834" s="899">
        <f t="shared" si="153"/>
        <v>383.16</v>
      </c>
      <c r="H834" s="50">
        <v>0</v>
      </c>
      <c r="I834" s="31">
        <f t="shared" si="154"/>
        <v>0</v>
      </c>
      <c r="J834" s="50">
        <v>0</v>
      </c>
      <c r="K834" s="31">
        <f t="shared" si="155"/>
        <v>0</v>
      </c>
      <c r="L834" s="50">
        <v>0</v>
      </c>
      <c r="M834" s="31">
        <f t="shared" si="156"/>
        <v>0</v>
      </c>
      <c r="N834" s="50">
        <v>0</v>
      </c>
      <c r="O834" s="31">
        <f t="shared" si="157"/>
        <v>0</v>
      </c>
      <c r="P834" s="51" t="s">
        <v>845</v>
      </c>
      <c r="Q834" s="51"/>
    </row>
    <row r="835" spans="1:17" x14ac:dyDescent="0.25">
      <c r="A835" s="10">
        <v>44349</v>
      </c>
      <c r="B835" s="594">
        <v>0</v>
      </c>
      <c r="C835" s="31">
        <f t="shared" si="151"/>
        <v>18139029.190000001</v>
      </c>
      <c r="D835" s="50">
        <v>13.66</v>
      </c>
      <c r="E835" s="31">
        <f t="shared" si="152"/>
        <v>13.66</v>
      </c>
      <c r="F835" s="900">
        <v>0</v>
      </c>
      <c r="G835" s="899">
        <f t="shared" si="153"/>
        <v>383.16</v>
      </c>
      <c r="H835" s="50">
        <v>1.22</v>
      </c>
      <c r="I835" s="31">
        <f t="shared" si="154"/>
        <v>1.22</v>
      </c>
      <c r="J835" s="50">
        <v>0</v>
      </c>
      <c r="K835" s="31">
        <f t="shared" si="155"/>
        <v>0</v>
      </c>
      <c r="L835" s="50">
        <v>0</v>
      </c>
      <c r="M835" s="31">
        <f t="shared" si="156"/>
        <v>0</v>
      </c>
      <c r="N835" s="50">
        <v>0</v>
      </c>
      <c r="O835" s="31">
        <f t="shared" si="157"/>
        <v>0</v>
      </c>
      <c r="P835" s="51" t="s">
        <v>890</v>
      </c>
      <c r="Q835" s="51"/>
    </row>
    <row r="836" spans="1:17" x14ac:dyDescent="0.25">
      <c r="A836" s="10">
        <v>44349</v>
      </c>
      <c r="B836" s="594">
        <v>0</v>
      </c>
      <c r="C836" s="31">
        <f t="shared" si="151"/>
        <v>18139029.190000001</v>
      </c>
      <c r="D836" s="50">
        <v>-128569</v>
      </c>
      <c r="E836" s="31">
        <f t="shared" si="152"/>
        <v>-128555.34</v>
      </c>
      <c r="F836" s="900">
        <v>0</v>
      </c>
      <c r="G836" s="899">
        <f t="shared" si="153"/>
        <v>383.16</v>
      </c>
      <c r="H836" s="50">
        <v>0</v>
      </c>
      <c r="I836" s="31">
        <f t="shared" si="154"/>
        <v>1.22</v>
      </c>
      <c r="J836" s="50">
        <v>0</v>
      </c>
      <c r="K836" s="31">
        <f t="shared" si="155"/>
        <v>0</v>
      </c>
      <c r="L836" s="50">
        <v>0</v>
      </c>
      <c r="M836" s="31">
        <f t="shared" si="156"/>
        <v>0</v>
      </c>
      <c r="N836" s="50">
        <v>0</v>
      </c>
      <c r="O836" s="31">
        <f t="shared" si="157"/>
        <v>0</v>
      </c>
      <c r="P836" s="51" t="s">
        <v>2942</v>
      </c>
      <c r="Q836" s="51"/>
    </row>
    <row r="837" spans="1:17" x14ac:dyDescent="0.25">
      <c r="A837" s="10">
        <v>44349</v>
      </c>
      <c r="B837" s="594">
        <v>0</v>
      </c>
      <c r="C837" s="31">
        <f t="shared" si="151"/>
        <v>18139029.190000001</v>
      </c>
      <c r="D837" s="50">
        <f>-E836</f>
        <v>128555.34</v>
      </c>
      <c r="E837" s="31">
        <f t="shared" si="152"/>
        <v>0</v>
      </c>
      <c r="F837" s="900">
        <v>0</v>
      </c>
      <c r="G837" s="899">
        <f t="shared" si="153"/>
        <v>383.16</v>
      </c>
      <c r="H837" s="50">
        <f>-I836</f>
        <v>-1.22</v>
      </c>
      <c r="I837" s="31">
        <f t="shared" si="154"/>
        <v>0</v>
      </c>
      <c r="J837" s="50">
        <v>0</v>
      </c>
      <c r="K837" s="31">
        <f t="shared" si="155"/>
        <v>0</v>
      </c>
      <c r="L837" s="50">
        <v>0</v>
      </c>
      <c r="M837" s="31">
        <f t="shared" si="156"/>
        <v>0</v>
      </c>
      <c r="N837" s="50">
        <v>0</v>
      </c>
      <c r="O837" s="31">
        <f t="shared" si="157"/>
        <v>0</v>
      </c>
      <c r="P837" s="51" t="s">
        <v>845</v>
      </c>
      <c r="Q837" s="51"/>
    </row>
    <row r="838" spans="1:17" x14ac:dyDescent="0.25">
      <c r="A838" s="10">
        <v>44350</v>
      </c>
      <c r="B838" s="594">
        <v>0</v>
      </c>
      <c r="C838" s="31">
        <f t="shared" si="151"/>
        <v>18139029.190000001</v>
      </c>
      <c r="D838" s="50">
        <v>-6500</v>
      </c>
      <c r="E838" s="31">
        <f t="shared" si="152"/>
        <v>-6500</v>
      </c>
      <c r="F838" s="900">
        <v>0</v>
      </c>
      <c r="G838" s="899">
        <f t="shared" si="153"/>
        <v>383.16</v>
      </c>
      <c r="H838" s="50">
        <v>0</v>
      </c>
      <c r="I838" s="31">
        <f t="shared" si="154"/>
        <v>0</v>
      </c>
      <c r="J838" s="50">
        <v>0</v>
      </c>
      <c r="K838" s="31">
        <f t="shared" si="155"/>
        <v>0</v>
      </c>
      <c r="L838" s="50">
        <v>0</v>
      </c>
      <c r="M838" s="31">
        <f t="shared" si="156"/>
        <v>0</v>
      </c>
      <c r="N838" s="50">
        <v>0</v>
      </c>
      <c r="O838" s="31">
        <f t="shared" si="157"/>
        <v>0</v>
      </c>
      <c r="P838" s="51" t="s">
        <v>2943</v>
      </c>
      <c r="Q838" s="51"/>
    </row>
    <row r="839" spans="1:17" x14ac:dyDescent="0.25">
      <c r="A839" s="10">
        <v>44350</v>
      </c>
      <c r="B839" s="594">
        <v>0</v>
      </c>
      <c r="C839" s="31">
        <f t="shared" si="151"/>
        <v>18139029.190000001</v>
      </c>
      <c r="D839" s="50">
        <v>-127390</v>
      </c>
      <c r="E839" s="31">
        <f t="shared" si="152"/>
        <v>-133890</v>
      </c>
      <c r="F839" s="900">
        <v>0</v>
      </c>
      <c r="G839" s="899">
        <f t="shared" si="153"/>
        <v>383.16</v>
      </c>
      <c r="H839" s="50">
        <v>0</v>
      </c>
      <c r="I839" s="31">
        <f t="shared" si="154"/>
        <v>0</v>
      </c>
      <c r="J839" s="50">
        <v>0</v>
      </c>
      <c r="K839" s="31">
        <f t="shared" si="155"/>
        <v>0</v>
      </c>
      <c r="L839" s="50">
        <v>0</v>
      </c>
      <c r="M839" s="31">
        <f t="shared" si="156"/>
        <v>0</v>
      </c>
      <c r="N839" s="50">
        <v>0</v>
      </c>
      <c r="O839" s="31">
        <f t="shared" si="157"/>
        <v>0</v>
      </c>
      <c r="P839" s="51" t="s">
        <v>2944</v>
      </c>
      <c r="Q839" s="51"/>
    </row>
    <row r="840" spans="1:17" x14ac:dyDescent="0.25">
      <c r="A840" s="10">
        <v>44350</v>
      </c>
      <c r="B840" s="594">
        <v>0</v>
      </c>
      <c r="C840" s="31">
        <f t="shared" si="151"/>
        <v>18139029.190000001</v>
      </c>
      <c r="D840" s="50">
        <f>-E839</f>
        <v>133890</v>
      </c>
      <c r="E840" s="31">
        <f t="shared" si="152"/>
        <v>0</v>
      </c>
      <c r="F840" s="900">
        <v>0</v>
      </c>
      <c r="G840" s="899">
        <f t="shared" si="153"/>
        <v>383.16</v>
      </c>
      <c r="H840" s="50">
        <v>0</v>
      </c>
      <c r="I840" s="31">
        <f t="shared" si="154"/>
        <v>0</v>
      </c>
      <c r="J840" s="50">
        <v>0</v>
      </c>
      <c r="K840" s="31">
        <f t="shared" si="155"/>
        <v>0</v>
      </c>
      <c r="L840" s="50">
        <v>0</v>
      </c>
      <c r="M840" s="31">
        <f t="shared" si="156"/>
        <v>0</v>
      </c>
      <c r="N840" s="50">
        <v>0</v>
      </c>
      <c r="O840" s="31">
        <f t="shared" si="157"/>
        <v>0</v>
      </c>
      <c r="P840" s="51" t="s">
        <v>845</v>
      </c>
      <c r="Q840" s="51"/>
    </row>
    <row r="841" spans="1:17" x14ac:dyDescent="0.25">
      <c r="A841" s="10">
        <v>44354</v>
      </c>
      <c r="B841" s="594">
        <v>-877067.87</v>
      </c>
      <c r="C841" s="31">
        <f t="shared" si="151"/>
        <v>17261961.32</v>
      </c>
      <c r="D841" s="50">
        <v>882233</v>
      </c>
      <c r="E841" s="31">
        <f t="shared" si="152"/>
        <v>882233</v>
      </c>
      <c r="F841" s="900">
        <v>0</v>
      </c>
      <c r="G841" s="899">
        <f t="shared" si="153"/>
        <v>383.16</v>
      </c>
      <c r="H841" s="50">
        <v>0</v>
      </c>
      <c r="I841" s="31">
        <f t="shared" si="154"/>
        <v>0</v>
      </c>
      <c r="J841" s="50">
        <v>0</v>
      </c>
      <c r="K841" s="31">
        <f t="shared" si="155"/>
        <v>0</v>
      </c>
      <c r="L841" s="50">
        <v>0</v>
      </c>
      <c r="M841" s="31">
        <f t="shared" si="156"/>
        <v>0</v>
      </c>
      <c r="N841" s="50">
        <v>0</v>
      </c>
      <c r="O841" s="31">
        <f t="shared" si="157"/>
        <v>0</v>
      </c>
      <c r="P841" s="51" t="s">
        <v>880</v>
      </c>
      <c r="Q841" s="51"/>
    </row>
    <row r="842" spans="1:17" x14ac:dyDescent="0.25">
      <c r="A842" s="10">
        <v>44354</v>
      </c>
      <c r="B842" s="594">
        <v>0</v>
      </c>
      <c r="C842" s="31">
        <f t="shared" si="151"/>
        <v>17261961.32</v>
      </c>
      <c r="D842" s="50">
        <f>-E841</f>
        <v>-882233</v>
      </c>
      <c r="E842" s="31">
        <f t="shared" si="152"/>
        <v>0</v>
      </c>
      <c r="F842" s="900">
        <v>0</v>
      </c>
      <c r="G842" s="899">
        <f t="shared" si="153"/>
        <v>383.16</v>
      </c>
      <c r="H842" s="50">
        <v>0</v>
      </c>
      <c r="I842" s="31">
        <f t="shared" si="154"/>
        <v>0</v>
      </c>
      <c r="J842" s="50">
        <v>0</v>
      </c>
      <c r="K842" s="31">
        <f t="shared" si="155"/>
        <v>0</v>
      </c>
      <c r="L842" s="50">
        <v>0</v>
      </c>
      <c r="M842" s="31">
        <f t="shared" si="156"/>
        <v>0</v>
      </c>
      <c r="N842" s="50">
        <v>0</v>
      </c>
      <c r="O842" s="31">
        <f t="shared" si="157"/>
        <v>0</v>
      </c>
      <c r="P842" s="51" t="s">
        <v>845</v>
      </c>
      <c r="Q842" s="51"/>
    </row>
    <row r="843" spans="1:17" x14ac:dyDescent="0.25">
      <c r="A843" s="10">
        <v>44355</v>
      </c>
      <c r="B843" s="594">
        <v>0</v>
      </c>
      <c r="C843" s="31">
        <f t="shared" si="151"/>
        <v>17261961.32</v>
      </c>
      <c r="D843" s="50">
        <v>120871.9</v>
      </c>
      <c r="E843" s="31">
        <f t="shared" si="152"/>
        <v>120871.9</v>
      </c>
      <c r="F843" s="900">
        <v>0</v>
      </c>
      <c r="G843" s="899">
        <f t="shared" si="153"/>
        <v>383.16</v>
      </c>
      <c r="H843" s="50">
        <v>0</v>
      </c>
      <c r="I843" s="31">
        <f t="shared" si="154"/>
        <v>0</v>
      </c>
      <c r="J843" s="50">
        <v>0</v>
      </c>
      <c r="K843" s="31">
        <f t="shared" si="155"/>
        <v>0</v>
      </c>
      <c r="L843" s="50">
        <v>0</v>
      </c>
      <c r="M843" s="31">
        <f t="shared" si="156"/>
        <v>0</v>
      </c>
      <c r="N843" s="50">
        <v>0</v>
      </c>
      <c r="O843" s="31">
        <f t="shared" si="157"/>
        <v>0</v>
      </c>
      <c r="P843" s="51" t="s">
        <v>2947</v>
      </c>
      <c r="Q843" s="51"/>
    </row>
    <row r="844" spans="1:17" x14ac:dyDescent="0.25">
      <c r="A844" s="10">
        <v>44355</v>
      </c>
      <c r="B844" s="594">
        <v>0</v>
      </c>
      <c r="C844" s="31">
        <f t="shared" si="151"/>
        <v>17261961.32</v>
      </c>
      <c r="D844" s="50">
        <f>-E843</f>
        <v>-120871.9</v>
      </c>
      <c r="E844" s="31">
        <f t="shared" si="152"/>
        <v>0</v>
      </c>
      <c r="F844" s="900">
        <v>0</v>
      </c>
      <c r="G844" s="899">
        <f t="shared" si="153"/>
        <v>383.16</v>
      </c>
      <c r="H844" s="50">
        <v>0</v>
      </c>
      <c r="I844" s="31">
        <f t="shared" si="154"/>
        <v>0</v>
      </c>
      <c r="J844" s="50">
        <v>0</v>
      </c>
      <c r="K844" s="31">
        <f t="shared" si="155"/>
        <v>0</v>
      </c>
      <c r="L844" s="50">
        <v>0</v>
      </c>
      <c r="M844" s="31">
        <f t="shared" si="156"/>
        <v>0</v>
      </c>
      <c r="N844" s="50">
        <v>0</v>
      </c>
      <c r="O844" s="31">
        <f t="shared" si="157"/>
        <v>0</v>
      </c>
      <c r="P844" s="51" t="s">
        <v>845</v>
      </c>
      <c r="Q844" s="51"/>
    </row>
    <row r="845" spans="1:17" x14ac:dyDescent="0.25">
      <c r="A845" s="10">
        <v>44357</v>
      </c>
      <c r="B845" s="594">
        <v>0</v>
      </c>
      <c r="C845" s="31">
        <f t="shared" si="151"/>
        <v>17261961.32</v>
      </c>
      <c r="D845" s="50">
        <v>80000</v>
      </c>
      <c r="E845" s="31">
        <f t="shared" si="152"/>
        <v>80000</v>
      </c>
      <c r="F845" s="900">
        <v>0</v>
      </c>
      <c r="G845" s="899">
        <f t="shared" si="153"/>
        <v>383.16</v>
      </c>
      <c r="H845" s="50">
        <v>0</v>
      </c>
      <c r="I845" s="31">
        <f t="shared" si="154"/>
        <v>0</v>
      </c>
      <c r="J845" s="50">
        <v>0</v>
      </c>
      <c r="K845" s="31">
        <f t="shared" si="155"/>
        <v>0</v>
      </c>
      <c r="L845" s="50">
        <v>0</v>
      </c>
      <c r="M845" s="31">
        <f t="shared" si="156"/>
        <v>0</v>
      </c>
      <c r="N845" s="50">
        <v>0</v>
      </c>
      <c r="O845" s="31">
        <f t="shared" si="157"/>
        <v>0</v>
      </c>
      <c r="P845" s="51" t="s">
        <v>2977</v>
      </c>
      <c r="Q845" s="51"/>
    </row>
    <row r="846" spans="1:17" x14ac:dyDescent="0.25">
      <c r="A846" s="10">
        <v>44357</v>
      </c>
      <c r="B846" s="594">
        <v>0</v>
      </c>
      <c r="C846" s="31">
        <f t="shared" si="151"/>
        <v>17261961.32</v>
      </c>
      <c r="D846" s="50">
        <f>-E845</f>
        <v>-80000</v>
      </c>
      <c r="E846" s="31">
        <f t="shared" si="152"/>
        <v>0</v>
      </c>
      <c r="F846" s="900">
        <v>0</v>
      </c>
      <c r="G846" s="899">
        <f t="shared" si="153"/>
        <v>383.16</v>
      </c>
      <c r="H846" s="50">
        <v>0</v>
      </c>
      <c r="I846" s="31">
        <f t="shared" si="154"/>
        <v>0</v>
      </c>
      <c r="J846" s="50">
        <v>0</v>
      </c>
      <c r="K846" s="31">
        <f t="shared" si="155"/>
        <v>0</v>
      </c>
      <c r="L846" s="50">
        <v>0</v>
      </c>
      <c r="M846" s="31">
        <f t="shared" si="156"/>
        <v>0</v>
      </c>
      <c r="N846" s="50">
        <v>0</v>
      </c>
      <c r="O846" s="31">
        <f t="shared" si="157"/>
        <v>0</v>
      </c>
      <c r="P846" s="51" t="s">
        <v>845</v>
      </c>
      <c r="Q846" s="51"/>
    </row>
    <row r="847" spans="1:17" x14ac:dyDescent="0.25">
      <c r="A847" s="10">
        <v>44358</v>
      </c>
      <c r="B847" s="594">
        <v>0</v>
      </c>
      <c r="C847" s="31">
        <f t="shared" si="151"/>
        <v>17261961.32</v>
      </c>
      <c r="D847" s="50">
        <v>-60000</v>
      </c>
      <c r="E847" s="31">
        <f t="shared" si="152"/>
        <v>-60000</v>
      </c>
      <c r="F847" s="900">
        <v>0</v>
      </c>
      <c r="G847" s="899">
        <f t="shared" si="153"/>
        <v>383.16</v>
      </c>
      <c r="H847" s="50">
        <v>0</v>
      </c>
      <c r="I847" s="31">
        <f t="shared" si="154"/>
        <v>0</v>
      </c>
      <c r="J847" s="50">
        <v>0</v>
      </c>
      <c r="K847" s="31">
        <f t="shared" si="155"/>
        <v>0</v>
      </c>
      <c r="L847" s="50">
        <v>60000</v>
      </c>
      <c r="M847" s="31">
        <f t="shared" si="156"/>
        <v>60000</v>
      </c>
      <c r="N847" s="50">
        <v>0</v>
      </c>
      <c r="O847" s="31">
        <f t="shared" si="157"/>
        <v>0</v>
      </c>
      <c r="P847" s="51" t="s">
        <v>2978</v>
      </c>
      <c r="Q847" s="51"/>
    </row>
    <row r="848" spans="1:17" x14ac:dyDescent="0.25">
      <c r="A848" s="10">
        <v>44358</v>
      </c>
      <c r="B848" s="594">
        <v>1420000</v>
      </c>
      <c r="C848" s="31">
        <f t="shared" si="151"/>
        <v>18681961.32</v>
      </c>
      <c r="D848" s="50">
        <v>0</v>
      </c>
      <c r="E848" s="31">
        <f t="shared" si="152"/>
        <v>-60000</v>
      </c>
      <c r="F848" s="900">
        <v>0</v>
      </c>
      <c r="G848" s="899">
        <f t="shared" si="153"/>
        <v>383.16</v>
      </c>
      <c r="H848" s="50">
        <v>0</v>
      </c>
      <c r="I848" s="31">
        <f t="shared" si="154"/>
        <v>0</v>
      </c>
      <c r="J848" s="50">
        <v>0</v>
      </c>
      <c r="K848" s="31">
        <f t="shared" si="155"/>
        <v>0</v>
      </c>
      <c r="L848" s="50">
        <v>0</v>
      </c>
      <c r="M848" s="31">
        <f t="shared" si="156"/>
        <v>60000</v>
      </c>
      <c r="N848" s="50">
        <v>0</v>
      </c>
      <c r="O848" s="31">
        <f t="shared" si="157"/>
        <v>0</v>
      </c>
      <c r="P848" s="51" t="s">
        <v>2980</v>
      </c>
      <c r="Q848" s="51"/>
    </row>
    <row r="849" spans="1:22" x14ac:dyDescent="0.25">
      <c r="A849" s="10">
        <v>44358</v>
      </c>
      <c r="B849" s="594">
        <v>0</v>
      </c>
      <c r="C849" s="31">
        <f t="shared" si="151"/>
        <v>18681961.32</v>
      </c>
      <c r="D849" s="50">
        <v>-1420000</v>
      </c>
      <c r="E849" s="31">
        <f t="shared" si="152"/>
        <v>-1480000</v>
      </c>
      <c r="F849" s="900">
        <v>0</v>
      </c>
      <c r="G849" s="899">
        <f t="shared" si="153"/>
        <v>383.16</v>
      </c>
      <c r="H849" s="50">
        <v>0</v>
      </c>
      <c r="I849" s="31">
        <f t="shared" si="154"/>
        <v>0</v>
      </c>
      <c r="J849" s="50">
        <v>0</v>
      </c>
      <c r="K849" s="31">
        <f t="shared" si="155"/>
        <v>0</v>
      </c>
      <c r="L849" s="50">
        <v>0</v>
      </c>
      <c r="M849" s="31">
        <f t="shared" si="156"/>
        <v>60000</v>
      </c>
      <c r="N849" s="50">
        <v>0</v>
      </c>
      <c r="O849" s="31">
        <f t="shared" si="157"/>
        <v>0</v>
      </c>
      <c r="P849" s="51" t="s">
        <v>2981</v>
      </c>
      <c r="Q849" s="51"/>
    </row>
    <row r="850" spans="1:22" x14ac:dyDescent="0.25">
      <c r="A850" s="10">
        <v>44358</v>
      </c>
      <c r="B850" s="594">
        <v>0</v>
      </c>
      <c r="C850" s="31">
        <f t="shared" si="151"/>
        <v>18681961.32</v>
      </c>
      <c r="D850" s="50">
        <v>500000</v>
      </c>
      <c r="E850" s="31">
        <f t="shared" si="152"/>
        <v>-980000</v>
      </c>
      <c r="F850" s="900">
        <v>0</v>
      </c>
      <c r="G850" s="899">
        <f t="shared" si="153"/>
        <v>383.16</v>
      </c>
      <c r="H850" s="50">
        <v>0</v>
      </c>
      <c r="I850" s="31">
        <f t="shared" si="154"/>
        <v>0</v>
      </c>
      <c r="J850" s="50">
        <v>0</v>
      </c>
      <c r="K850" s="31">
        <f t="shared" si="155"/>
        <v>0</v>
      </c>
      <c r="L850" s="50">
        <v>0</v>
      </c>
      <c r="M850" s="31">
        <f t="shared" si="156"/>
        <v>60000</v>
      </c>
      <c r="N850" s="50">
        <v>0</v>
      </c>
      <c r="O850" s="31">
        <f t="shared" si="157"/>
        <v>0</v>
      </c>
      <c r="P850" s="51" t="s">
        <v>2071</v>
      </c>
      <c r="Q850" s="51"/>
    </row>
    <row r="851" spans="1:22" x14ac:dyDescent="0.25">
      <c r="A851" s="10">
        <v>44358</v>
      </c>
      <c r="B851" s="594">
        <v>0</v>
      </c>
      <c r="C851" s="31">
        <f t="shared" si="151"/>
        <v>18681961.32</v>
      </c>
      <c r="D851" s="50">
        <f>-E850</f>
        <v>980000</v>
      </c>
      <c r="E851" s="31">
        <f t="shared" si="152"/>
        <v>0</v>
      </c>
      <c r="F851" s="900">
        <v>0</v>
      </c>
      <c r="G851" s="899">
        <f t="shared" si="153"/>
        <v>383.16</v>
      </c>
      <c r="H851" s="50">
        <v>0</v>
      </c>
      <c r="I851" s="31">
        <f t="shared" si="154"/>
        <v>0</v>
      </c>
      <c r="J851" s="50">
        <v>0</v>
      </c>
      <c r="K851" s="31">
        <f t="shared" si="155"/>
        <v>0</v>
      </c>
      <c r="L851" s="50">
        <f>-M850</f>
        <v>-60000</v>
      </c>
      <c r="M851" s="31">
        <f t="shared" si="156"/>
        <v>0</v>
      </c>
      <c r="N851" s="50">
        <v>0</v>
      </c>
      <c r="O851" s="31">
        <f t="shared" si="157"/>
        <v>0</v>
      </c>
      <c r="P851" s="51" t="s">
        <v>845</v>
      </c>
      <c r="Q851" s="51"/>
    </row>
    <row r="852" spans="1:22" x14ac:dyDescent="0.25">
      <c r="A852" s="10">
        <v>44361</v>
      </c>
      <c r="B852" s="594">
        <v>0</v>
      </c>
      <c r="C852" s="31">
        <f t="shared" si="151"/>
        <v>18681961.32</v>
      </c>
      <c r="D852" s="50">
        <v>0</v>
      </c>
      <c r="E852" s="31">
        <f t="shared" si="152"/>
        <v>0</v>
      </c>
      <c r="F852" s="900">
        <v>0</v>
      </c>
      <c r="G852" s="899">
        <f t="shared" si="153"/>
        <v>383.16</v>
      </c>
      <c r="H852" s="50">
        <v>0</v>
      </c>
      <c r="I852" s="31">
        <f t="shared" si="154"/>
        <v>0</v>
      </c>
      <c r="J852" s="50">
        <v>0</v>
      </c>
      <c r="K852" s="31">
        <f t="shared" si="155"/>
        <v>0</v>
      </c>
      <c r="L852" s="50">
        <v>-60000</v>
      </c>
      <c r="M852" s="31">
        <f t="shared" si="156"/>
        <v>-60000</v>
      </c>
      <c r="N852" s="50">
        <v>0</v>
      </c>
      <c r="O852" s="31">
        <f t="shared" si="157"/>
        <v>0</v>
      </c>
      <c r="P852" s="51" t="s">
        <v>2983</v>
      </c>
      <c r="Q852" s="51"/>
    </row>
    <row r="853" spans="1:22" x14ac:dyDescent="0.25">
      <c r="A853" s="10">
        <v>44361</v>
      </c>
      <c r="B853" s="1090">
        <v>0</v>
      </c>
      <c r="C853" s="37">
        <f t="shared" si="151"/>
        <v>18681961.32</v>
      </c>
      <c r="D853" s="1091">
        <v>0</v>
      </c>
      <c r="E853" s="37">
        <f t="shared" si="152"/>
        <v>0</v>
      </c>
      <c r="F853" s="1092">
        <v>0</v>
      </c>
      <c r="G853" s="1038">
        <f t="shared" si="153"/>
        <v>383.16</v>
      </c>
      <c r="H853" s="1091">
        <v>0</v>
      </c>
      <c r="I853" s="37">
        <f t="shared" si="154"/>
        <v>0</v>
      </c>
      <c r="J853" s="1091">
        <v>0</v>
      </c>
      <c r="K853" s="37">
        <f t="shared" si="155"/>
        <v>0</v>
      </c>
      <c r="L853" s="1091">
        <v>60000</v>
      </c>
      <c r="M853" s="37">
        <f t="shared" si="156"/>
        <v>0</v>
      </c>
      <c r="N853" s="1091">
        <v>0</v>
      </c>
      <c r="O853" s="37">
        <f t="shared" si="157"/>
        <v>0</v>
      </c>
      <c r="P853" s="1093" t="s">
        <v>845</v>
      </c>
      <c r="Q853" s="51"/>
    </row>
    <row r="854" spans="1:22" x14ac:dyDescent="0.25">
      <c r="A854" s="10">
        <v>44362</v>
      </c>
      <c r="B854" s="594">
        <v>0</v>
      </c>
      <c r="C854" s="31">
        <f t="shared" si="151"/>
        <v>18681961.32</v>
      </c>
      <c r="D854" s="50">
        <v>-20739.560000000001</v>
      </c>
      <c r="E854" s="31">
        <f t="shared" si="152"/>
        <v>-20739.560000000001</v>
      </c>
      <c r="F854" s="900">
        <v>0</v>
      </c>
      <c r="G854" s="899">
        <f t="shared" si="153"/>
        <v>383.16</v>
      </c>
      <c r="H854" s="50">
        <v>20739.560000000001</v>
      </c>
      <c r="I854" s="31">
        <f t="shared" si="154"/>
        <v>20739.560000000001</v>
      </c>
      <c r="J854" s="50">
        <v>0</v>
      </c>
      <c r="K854" s="31">
        <f t="shared" si="155"/>
        <v>0</v>
      </c>
      <c r="L854" s="50">
        <v>0</v>
      </c>
      <c r="M854" s="31">
        <f t="shared" si="156"/>
        <v>0</v>
      </c>
      <c r="N854" s="50">
        <v>0</v>
      </c>
      <c r="O854" s="31">
        <f t="shared" si="157"/>
        <v>0</v>
      </c>
      <c r="P854" s="51" t="s">
        <v>1155</v>
      </c>
      <c r="Q854" s="51"/>
    </row>
    <row r="855" spans="1:22" x14ac:dyDescent="0.25">
      <c r="A855" s="10">
        <v>44362</v>
      </c>
      <c r="B855" s="594">
        <v>0</v>
      </c>
      <c r="C855" s="31">
        <f t="shared" si="151"/>
        <v>18681961.32</v>
      </c>
      <c r="D855" s="50">
        <v>-130597.35</v>
      </c>
      <c r="E855" s="31">
        <f t="shared" si="152"/>
        <v>-151336.91</v>
      </c>
      <c r="F855" s="900">
        <v>0</v>
      </c>
      <c r="G855" s="899">
        <f t="shared" si="153"/>
        <v>383.16</v>
      </c>
      <c r="H855" s="50">
        <v>0</v>
      </c>
      <c r="I855" s="31">
        <f t="shared" si="154"/>
        <v>20739.560000000001</v>
      </c>
      <c r="J855" s="50">
        <v>0</v>
      </c>
      <c r="K855" s="31">
        <f t="shared" si="155"/>
        <v>0</v>
      </c>
      <c r="L855" s="50">
        <v>130597.35</v>
      </c>
      <c r="M855" s="31">
        <f t="shared" si="156"/>
        <v>130597.35</v>
      </c>
      <c r="N855" s="50">
        <v>0</v>
      </c>
      <c r="O855" s="31">
        <f t="shared" si="157"/>
        <v>0</v>
      </c>
      <c r="P855" s="51" t="s">
        <v>1156</v>
      </c>
      <c r="Q855" s="51"/>
      <c r="S855" s="765"/>
      <c r="T855" s="2" t="s">
        <v>939</v>
      </c>
      <c r="U855" s="2" t="s">
        <v>948</v>
      </c>
    </row>
    <row r="856" spans="1:22" x14ac:dyDescent="0.25">
      <c r="A856" s="10">
        <v>44362</v>
      </c>
      <c r="B856" s="594">
        <v>0</v>
      </c>
      <c r="C856" s="31">
        <f t="shared" si="151"/>
        <v>18681961.32</v>
      </c>
      <c r="D856" s="50">
        <v>-117874960.91583668</v>
      </c>
      <c r="E856" s="31">
        <f t="shared" si="152"/>
        <v>-118026297.83</v>
      </c>
      <c r="F856" s="900">
        <v>0</v>
      </c>
      <c r="G856" s="899">
        <f t="shared" si="153"/>
        <v>383.16</v>
      </c>
      <c r="H856" s="50">
        <v>0</v>
      </c>
      <c r="I856" s="31">
        <f t="shared" si="154"/>
        <v>20739.560000000001</v>
      </c>
      <c r="J856" s="50">
        <v>0</v>
      </c>
      <c r="K856" s="31">
        <f t="shared" si="155"/>
        <v>0</v>
      </c>
      <c r="L856" s="50">
        <v>0</v>
      </c>
      <c r="M856" s="31">
        <f t="shared" si="156"/>
        <v>130597.35</v>
      </c>
      <c r="N856" s="50">
        <v>0</v>
      </c>
      <c r="O856" s="31">
        <f t="shared" si="157"/>
        <v>0</v>
      </c>
      <c r="P856" s="51" t="s">
        <v>2984</v>
      </c>
      <c r="Q856" s="51" t="s">
        <v>1998</v>
      </c>
      <c r="S856" s="765" t="s">
        <v>1998</v>
      </c>
      <c r="T856" s="117">
        <f>SUMIFS($D$856:$D$941,$Q$856:$Q$941,$S856)</f>
        <v>8528143.7841633223</v>
      </c>
      <c r="U856" s="117">
        <f>SUMIFS($F$856:$F$941,$Q$856:$Q$941,$S856)</f>
        <v>0</v>
      </c>
    </row>
    <row r="857" spans="1:22" x14ac:dyDescent="0.25">
      <c r="A857" s="10">
        <v>44362</v>
      </c>
      <c r="B857" s="594">
        <v>0</v>
      </c>
      <c r="C857" s="31">
        <f t="shared" si="151"/>
        <v>18681961.32</v>
      </c>
      <c r="D857" s="50">
        <v>-571598.94528147765</v>
      </c>
      <c r="E857" s="31">
        <f t="shared" si="152"/>
        <v>-118597896.78</v>
      </c>
      <c r="F857" s="900">
        <v>0</v>
      </c>
      <c r="G857" s="899">
        <f t="shared" si="153"/>
        <v>383.16</v>
      </c>
      <c r="H857" s="50">
        <v>0</v>
      </c>
      <c r="I857" s="31">
        <f t="shared" si="154"/>
        <v>20739.560000000001</v>
      </c>
      <c r="J857" s="50">
        <v>0</v>
      </c>
      <c r="K857" s="31">
        <f t="shared" si="155"/>
        <v>0</v>
      </c>
      <c r="L857" s="50">
        <v>0</v>
      </c>
      <c r="M857" s="31">
        <f t="shared" si="156"/>
        <v>130597.35</v>
      </c>
      <c r="N857" s="50">
        <v>0</v>
      </c>
      <c r="O857" s="31">
        <f t="shared" si="157"/>
        <v>0</v>
      </c>
      <c r="P857" s="51" t="s">
        <v>2985</v>
      </c>
      <c r="Q857" s="51" t="s">
        <v>3040</v>
      </c>
      <c r="S857" s="765" t="s">
        <v>3040</v>
      </c>
      <c r="T857" s="117">
        <f>SUMIFS($D$856:$D$941,$Q$856:$Q$941,S857)</f>
        <v>2020376.2103132904</v>
      </c>
      <c r="U857" s="117">
        <f t="shared" ref="U857" si="165">SUMIFS($F$856:$F$941,$Q$856:$Q$941,$S857)</f>
        <v>1999968.8299999982</v>
      </c>
      <c r="V857" s="102"/>
    </row>
    <row r="858" spans="1:22" x14ac:dyDescent="0.25">
      <c r="A858" s="10">
        <v>44362</v>
      </c>
      <c r="B858" s="594">
        <v>0</v>
      </c>
      <c r="C858" s="31">
        <f t="shared" si="151"/>
        <v>18681961.32</v>
      </c>
      <c r="D858" s="50">
        <v>0</v>
      </c>
      <c r="E858" s="31">
        <f t="shared" si="152"/>
        <v>-118597896.78</v>
      </c>
      <c r="F858" s="900">
        <v>-43070839.899999999</v>
      </c>
      <c r="G858" s="899">
        <f t="shared" si="153"/>
        <v>-43070456.740000002</v>
      </c>
      <c r="H858" s="50">
        <v>0</v>
      </c>
      <c r="I858" s="31">
        <f t="shared" si="154"/>
        <v>20739.560000000001</v>
      </c>
      <c r="J858" s="50">
        <v>0</v>
      </c>
      <c r="K858" s="31">
        <f t="shared" si="155"/>
        <v>0</v>
      </c>
      <c r="L858" s="50">
        <v>0</v>
      </c>
      <c r="M858" s="31">
        <f t="shared" si="156"/>
        <v>130597.35</v>
      </c>
      <c r="N858" s="50">
        <v>0</v>
      </c>
      <c r="O858" s="31">
        <f t="shared" si="157"/>
        <v>0</v>
      </c>
      <c r="P858" s="51" t="s">
        <v>2986</v>
      </c>
      <c r="Q858" s="51" t="s">
        <v>3040</v>
      </c>
      <c r="S858" s="2" t="s">
        <v>3042</v>
      </c>
      <c r="T858" s="117">
        <f>SUMIFS($D$856:$D$941,$Q$856:$Q$941,S858)</f>
        <v>-8700000</v>
      </c>
      <c r="U858" s="117">
        <f>SUMIFS($F$856:$F$941,$Q$856:$Q$941,$S858)</f>
        <v>-2000000</v>
      </c>
    </row>
    <row r="859" spans="1:22" x14ac:dyDescent="0.25">
      <c r="A859" s="10">
        <v>44362</v>
      </c>
      <c r="B859" s="594">
        <v>0</v>
      </c>
      <c r="C859" s="31">
        <f t="shared" si="151"/>
        <v>18681961.32</v>
      </c>
      <c r="D859" s="50">
        <v>379414.84888888896</v>
      </c>
      <c r="E859" s="31">
        <f t="shared" si="152"/>
        <v>-118218481.93000001</v>
      </c>
      <c r="F859" s="900">
        <v>0</v>
      </c>
      <c r="G859" s="899">
        <f t="shared" si="153"/>
        <v>-43070456.740000002</v>
      </c>
      <c r="H859" s="50">
        <v>0</v>
      </c>
      <c r="I859" s="31">
        <f t="shared" si="154"/>
        <v>20739.560000000001</v>
      </c>
      <c r="J859" s="50">
        <v>0</v>
      </c>
      <c r="K859" s="31">
        <f t="shared" si="155"/>
        <v>0</v>
      </c>
      <c r="L859" s="50">
        <v>0</v>
      </c>
      <c r="M859" s="31">
        <f t="shared" si="156"/>
        <v>130597.35</v>
      </c>
      <c r="N859" s="50">
        <v>0</v>
      </c>
      <c r="O859" s="31">
        <f t="shared" si="157"/>
        <v>0</v>
      </c>
      <c r="P859" s="51" t="s">
        <v>2987</v>
      </c>
      <c r="Q859" s="51" t="s">
        <v>3040</v>
      </c>
      <c r="S859" s="765" t="s">
        <v>3041</v>
      </c>
      <c r="T859" s="117">
        <f>SUMIFS($D$856:$D$941,$Q$856:$Q$941,S859)</f>
        <v>104479.6399997425</v>
      </c>
      <c r="U859" s="117">
        <f>SUMIFS($F$856:$F$941,$Q$856:$Q$941,$S859)</f>
        <v>16726.388888791666</v>
      </c>
    </row>
    <row r="860" spans="1:22" x14ac:dyDescent="0.25">
      <c r="A860" s="10">
        <v>44362</v>
      </c>
      <c r="B860" s="594">
        <v>0</v>
      </c>
      <c r="C860" s="31">
        <f t="shared" si="151"/>
        <v>18681961.32</v>
      </c>
      <c r="D860" s="50">
        <v>49759.32444444485</v>
      </c>
      <c r="E860" s="31">
        <f t="shared" si="152"/>
        <v>-118168722.61</v>
      </c>
      <c r="F860" s="900">
        <v>0</v>
      </c>
      <c r="G860" s="899">
        <f t="shared" si="153"/>
        <v>-43070456.740000002</v>
      </c>
      <c r="H860" s="50">
        <v>0</v>
      </c>
      <c r="I860" s="31">
        <f t="shared" si="154"/>
        <v>20739.560000000001</v>
      </c>
      <c r="J860" s="50">
        <v>0</v>
      </c>
      <c r="K860" s="31">
        <f t="shared" si="155"/>
        <v>0</v>
      </c>
      <c r="L860" s="50">
        <v>0</v>
      </c>
      <c r="M860" s="31">
        <f t="shared" si="156"/>
        <v>130597.35</v>
      </c>
      <c r="N860" s="50">
        <v>0</v>
      </c>
      <c r="O860" s="31">
        <f t="shared" si="157"/>
        <v>0</v>
      </c>
      <c r="P860" s="51" t="s">
        <v>2988</v>
      </c>
      <c r="Q860" s="51" t="s">
        <v>3040</v>
      </c>
      <c r="S860" s="765"/>
    </row>
    <row r="861" spans="1:22" x14ac:dyDescent="0.25">
      <c r="A861" s="10">
        <v>44362</v>
      </c>
      <c r="B861" s="594">
        <v>0</v>
      </c>
      <c r="C861" s="31">
        <f t="shared" ref="C861:C924" si="166">ROUND(B861+C860,2)</f>
        <v>18681961.32</v>
      </c>
      <c r="D861" s="50">
        <v>31099.577777777798</v>
      </c>
      <c r="E861" s="31">
        <f t="shared" ref="E861:E924" si="167">ROUND(D861+E860,2)</f>
        <v>-118137623.03</v>
      </c>
      <c r="F861" s="900">
        <v>0</v>
      </c>
      <c r="G861" s="899">
        <f t="shared" ref="G861:G924" si="168">ROUND(F861+G860,2)</f>
        <v>-43070456.740000002</v>
      </c>
      <c r="H861" s="50">
        <v>0</v>
      </c>
      <c r="I861" s="31">
        <f t="shared" ref="I861:I924" si="169">ROUND(H861+I860,2)</f>
        <v>20739.560000000001</v>
      </c>
      <c r="J861" s="50">
        <v>0</v>
      </c>
      <c r="K861" s="31">
        <f t="shared" ref="K861:K924" si="170">ROUND(J861+K860,2)</f>
        <v>0</v>
      </c>
      <c r="L861" s="50">
        <v>0</v>
      </c>
      <c r="M861" s="31">
        <f t="shared" ref="M861:M924" si="171">ROUND(L861+M860,2)</f>
        <v>130597.35</v>
      </c>
      <c r="N861" s="50">
        <v>0</v>
      </c>
      <c r="O861" s="31">
        <f t="shared" ref="O861:O924" si="172">ROUND(N861+O860,2)</f>
        <v>0</v>
      </c>
      <c r="P861" s="51" t="s">
        <v>2989</v>
      </c>
      <c r="Q861" s="51" t="s">
        <v>3040</v>
      </c>
      <c r="S861" s="765"/>
    </row>
    <row r="862" spans="1:22" x14ac:dyDescent="0.25">
      <c r="A862" s="10">
        <v>44362</v>
      </c>
      <c r="B862" s="594">
        <v>0</v>
      </c>
      <c r="C862" s="31">
        <f t="shared" si="166"/>
        <v>18681961.32</v>
      </c>
      <c r="D862" s="50">
        <v>12439.828888888936</v>
      </c>
      <c r="E862" s="31">
        <f t="shared" si="167"/>
        <v>-118125183.2</v>
      </c>
      <c r="F862" s="900">
        <v>0</v>
      </c>
      <c r="G862" s="899">
        <f t="shared" si="168"/>
        <v>-43070456.740000002</v>
      </c>
      <c r="H862" s="50">
        <v>0</v>
      </c>
      <c r="I862" s="31">
        <f t="shared" si="169"/>
        <v>20739.560000000001</v>
      </c>
      <c r="J862" s="50">
        <v>0</v>
      </c>
      <c r="K862" s="31">
        <f t="shared" si="170"/>
        <v>0</v>
      </c>
      <c r="L862" s="50">
        <v>0</v>
      </c>
      <c r="M862" s="31">
        <f t="shared" si="171"/>
        <v>130597.35</v>
      </c>
      <c r="N862" s="50">
        <v>0</v>
      </c>
      <c r="O862" s="31">
        <f t="shared" si="172"/>
        <v>0</v>
      </c>
      <c r="P862" s="51" t="s">
        <v>2990</v>
      </c>
      <c r="Q862" s="51" t="s">
        <v>3040</v>
      </c>
      <c r="S862" s="765"/>
    </row>
    <row r="863" spans="1:22" x14ac:dyDescent="0.25">
      <c r="A863" s="10">
        <v>44362</v>
      </c>
      <c r="B863" s="594">
        <v>0</v>
      </c>
      <c r="C863" s="31">
        <f t="shared" si="166"/>
        <v>18681961.32</v>
      </c>
      <c r="D863" s="50">
        <v>18659.746666667052</v>
      </c>
      <c r="E863" s="31">
        <f t="shared" si="167"/>
        <v>-118106523.45</v>
      </c>
      <c r="F863" s="900">
        <v>0</v>
      </c>
      <c r="G863" s="899">
        <f t="shared" si="168"/>
        <v>-43070456.740000002</v>
      </c>
      <c r="H863" s="50">
        <v>0</v>
      </c>
      <c r="I863" s="31">
        <f t="shared" si="169"/>
        <v>20739.560000000001</v>
      </c>
      <c r="J863" s="50">
        <v>0</v>
      </c>
      <c r="K863" s="31">
        <f t="shared" si="170"/>
        <v>0</v>
      </c>
      <c r="L863" s="50">
        <v>0</v>
      </c>
      <c r="M863" s="31">
        <f t="shared" si="171"/>
        <v>130597.35</v>
      </c>
      <c r="N863" s="50">
        <v>0</v>
      </c>
      <c r="O863" s="31">
        <f t="shared" si="172"/>
        <v>0</v>
      </c>
      <c r="P863" s="51" t="s">
        <v>2991</v>
      </c>
      <c r="Q863" s="51" t="s">
        <v>3040</v>
      </c>
      <c r="S863" s="765"/>
    </row>
    <row r="864" spans="1:22" x14ac:dyDescent="0.25">
      <c r="A864" s="10">
        <v>44362</v>
      </c>
      <c r="B864" s="594">
        <v>0</v>
      </c>
      <c r="C864" s="31">
        <f t="shared" si="166"/>
        <v>18681961.32</v>
      </c>
      <c r="D864" s="50">
        <v>22685.741793903522</v>
      </c>
      <c r="E864" s="31">
        <f t="shared" si="167"/>
        <v>-118083837.70999999</v>
      </c>
      <c r="F864" s="900">
        <v>0</v>
      </c>
      <c r="G864" s="899">
        <f t="shared" si="168"/>
        <v>-43070456.740000002</v>
      </c>
      <c r="H864" s="50">
        <v>0</v>
      </c>
      <c r="I864" s="31">
        <f t="shared" si="169"/>
        <v>20739.560000000001</v>
      </c>
      <c r="J864" s="50">
        <v>0</v>
      </c>
      <c r="K864" s="31">
        <f t="shared" si="170"/>
        <v>0</v>
      </c>
      <c r="L864" s="50">
        <v>0</v>
      </c>
      <c r="M864" s="31">
        <f t="shared" si="171"/>
        <v>130597.35</v>
      </c>
      <c r="N864" s="50">
        <v>0</v>
      </c>
      <c r="O864" s="31">
        <f t="shared" si="172"/>
        <v>0</v>
      </c>
      <c r="P864" s="51" t="s">
        <v>2994</v>
      </c>
      <c r="Q864" s="51" t="s">
        <v>3040</v>
      </c>
      <c r="S864" s="765"/>
      <c r="T864" s="31"/>
    </row>
    <row r="865" spans="1:20" x14ac:dyDescent="0.25">
      <c r="A865" s="10">
        <v>44362</v>
      </c>
      <c r="B865" s="594">
        <v>0</v>
      </c>
      <c r="C865" s="31">
        <f t="shared" si="166"/>
        <v>18681961.32</v>
      </c>
      <c r="D865" s="50">
        <v>13031.730222222162</v>
      </c>
      <c r="E865" s="31">
        <f t="shared" si="167"/>
        <v>-118070805.98</v>
      </c>
      <c r="F865" s="900">
        <v>0</v>
      </c>
      <c r="G865" s="899">
        <f t="shared" si="168"/>
        <v>-43070456.740000002</v>
      </c>
      <c r="H865" s="50">
        <v>0</v>
      </c>
      <c r="I865" s="31">
        <f t="shared" si="169"/>
        <v>20739.560000000001</v>
      </c>
      <c r="J865" s="50">
        <v>0</v>
      </c>
      <c r="K865" s="31">
        <f t="shared" si="170"/>
        <v>0</v>
      </c>
      <c r="L865" s="50">
        <v>0</v>
      </c>
      <c r="M865" s="31">
        <f t="shared" si="171"/>
        <v>130597.35</v>
      </c>
      <c r="N865" s="50">
        <v>0</v>
      </c>
      <c r="O865" s="31">
        <f t="shared" si="172"/>
        <v>0</v>
      </c>
      <c r="P865" s="51" t="s">
        <v>2995</v>
      </c>
      <c r="Q865" s="51" t="s">
        <v>3040</v>
      </c>
      <c r="S865" s="765"/>
      <c r="T865" s="102"/>
    </row>
    <row r="866" spans="1:20" x14ac:dyDescent="0.25">
      <c r="A866" s="10">
        <v>44362</v>
      </c>
      <c r="B866" s="594">
        <v>0</v>
      </c>
      <c r="C866" s="31">
        <f t="shared" si="166"/>
        <v>18681961.32</v>
      </c>
      <c r="D866" s="50">
        <v>20575.833333333489</v>
      </c>
      <c r="E866" s="31">
        <f t="shared" si="167"/>
        <v>-118050230.15000001</v>
      </c>
      <c r="F866" s="900">
        <v>0</v>
      </c>
      <c r="G866" s="899">
        <f t="shared" si="168"/>
        <v>-43070456.740000002</v>
      </c>
      <c r="H866" s="50">
        <v>0</v>
      </c>
      <c r="I866" s="31">
        <f t="shared" si="169"/>
        <v>20739.560000000001</v>
      </c>
      <c r="J866" s="50">
        <v>0</v>
      </c>
      <c r="K866" s="31">
        <f t="shared" si="170"/>
        <v>0</v>
      </c>
      <c r="L866" s="50">
        <v>0</v>
      </c>
      <c r="M866" s="31">
        <f t="shared" si="171"/>
        <v>130597.35</v>
      </c>
      <c r="N866" s="50">
        <v>0</v>
      </c>
      <c r="O866" s="31">
        <f t="shared" si="172"/>
        <v>0</v>
      </c>
      <c r="P866" s="51" t="s">
        <v>2992</v>
      </c>
      <c r="Q866" s="51" t="s">
        <v>3040</v>
      </c>
      <c r="S866" s="765"/>
    </row>
    <row r="867" spans="1:20" x14ac:dyDescent="0.25">
      <c r="A867" s="10">
        <v>44362</v>
      </c>
      <c r="B867" s="594">
        <v>0</v>
      </c>
      <c r="C867" s="31">
        <f t="shared" si="166"/>
        <v>18681961.32</v>
      </c>
      <c r="D867" s="50">
        <v>-6015.1656637267442</v>
      </c>
      <c r="E867" s="31">
        <f t="shared" si="167"/>
        <v>-118056245.31999999</v>
      </c>
      <c r="F867" s="900">
        <v>0</v>
      </c>
      <c r="G867" s="899">
        <f t="shared" si="168"/>
        <v>-43070456.740000002</v>
      </c>
      <c r="H867" s="50">
        <v>0</v>
      </c>
      <c r="I867" s="31">
        <f t="shared" si="169"/>
        <v>20739.560000000001</v>
      </c>
      <c r="J867" s="50">
        <v>0</v>
      </c>
      <c r="K867" s="31">
        <f t="shared" si="170"/>
        <v>0</v>
      </c>
      <c r="L867" s="50">
        <v>0</v>
      </c>
      <c r="M867" s="31">
        <f t="shared" si="171"/>
        <v>130597.35</v>
      </c>
      <c r="N867" s="50">
        <v>0</v>
      </c>
      <c r="O867" s="31">
        <f t="shared" si="172"/>
        <v>0</v>
      </c>
      <c r="P867" s="51" t="s">
        <v>2996</v>
      </c>
      <c r="Q867" s="51" t="s">
        <v>3040</v>
      </c>
      <c r="S867" s="765"/>
    </row>
    <row r="868" spans="1:20" x14ac:dyDescent="0.25">
      <c r="A868" s="10">
        <v>44362</v>
      </c>
      <c r="B868" s="594">
        <v>0</v>
      </c>
      <c r="C868" s="31">
        <f t="shared" si="166"/>
        <v>18681961.32</v>
      </c>
      <c r="D868" s="50">
        <v>50270.437777778134</v>
      </c>
      <c r="E868" s="31">
        <f t="shared" si="167"/>
        <v>-118005974.88</v>
      </c>
      <c r="F868" s="900">
        <v>0</v>
      </c>
      <c r="G868" s="899">
        <f t="shared" si="168"/>
        <v>-43070456.740000002</v>
      </c>
      <c r="H868" s="50">
        <v>0</v>
      </c>
      <c r="I868" s="31">
        <f t="shared" si="169"/>
        <v>20739.560000000001</v>
      </c>
      <c r="J868" s="50">
        <v>0</v>
      </c>
      <c r="K868" s="31">
        <f t="shared" si="170"/>
        <v>0</v>
      </c>
      <c r="L868" s="50">
        <v>0</v>
      </c>
      <c r="M868" s="31">
        <f t="shared" si="171"/>
        <v>130597.35</v>
      </c>
      <c r="N868" s="50">
        <v>0</v>
      </c>
      <c r="O868" s="31">
        <f t="shared" si="172"/>
        <v>0</v>
      </c>
      <c r="P868" s="51" t="s">
        <v>2993</v>
      </c>
      <c r="Q868" s="51" t="s">
        <v>3040</v>
      </c>
      <c r="S868" s="765"/>
    </row>
    <row r="869" spans="1:20" x14ac:dyDescent="0.25">
      <c r="A869" s="10">
        <v>44362</v>
      </c>
      <c r="B869" s="594">
        <v>0</v>
      </c>
      <c r="C869" s="31">
        <f t="shared" si="166"/>
        <v>18681961.32</v>
      </c>
      <c r="D869" s="50">
        <v>98793.38279793784</v>
      </c>
      <c r="E869" s="31">
        <f t="shared" si="167"/>
        <v>-117907181.5</v>
      </c>
      <c r="F869" s="900">
        <v>0</v>
      </c>
      <c r="G869" s="899">
        <f t="shared" si="168"/>
        <v>-43070456.740000002</v>
      </c>
      <c r="H869" s="50">
        <v>0</v>
      </c>
      <c r="I869" s="31">
        <f t="shared" si="169"/>
        <v>20739.560000000001</v>
      </c>
      <c r="J869" s="50">
        <v>0</v>
      </c>
      <c r="K869" s="31">
        <f t="shared" si="170"/>
        <v>0</v>
      </c>
      <c r="L869" s="50">
        <v>0</v>
      </c>
      <c r="M869" s="31">
        <f t="shared" si="171"/>
        <v>130597.35</v>
      </c>
      <c r="N869" s="50">
        <v>0</v>
      </c>
      <c r="O869" s="31">
        <f t="shared" si="172"/>
        <v>0</v>
      </c>
      <c r="P869" s="51" t="s">
        <v>2997</v>
      </c>
      <c r="Q869" s="51" t="s">
        <v>3040</v>
      </c>
      <c r="S869" s="765"/>
    </row>
    <row r="870" spans="1:20" x14ac:dyDescent="0.25">
      <c r="A870" s="10">
        <v>44362</v>
      </c>
      <c r="B870" s="594">
        <v>0</v>
      </c>
      <c r="C870" s="31">
        <f t="shared" si="166"/>
        <v>18681961.32</v>
      </c>
      <c r="D870" s="50">
        <v>26816.608000000007</v>
      </c>
      <c r="E870" s="31">
        <f t="shared" si="167"/>
        <v>-117880364.89</v>
      </c>
      <c r="F870" s="900">
        <v>0</v>
      </c>
      <c r="G870" s="899">
        <f t="shared" si="168"/>
        <v>-43070456.740000002</v>
      </c>
      <c r="H870" s="50">
        <v>0</v>
      </c>
      <c r="I870" s="31">
        <f t="shared" si="169"/>
        <v>20739.560000000001</v>
      </c>
      <c r="J870" s="50">
        <v>0</v>
      </c>
      <c r="K870" s="31">
        <f t="shared" si="170"/>
        <v>0</v>
      </c>
      <c r="L870" s="50">
        <v>0</v>
      </c>
      <c r="M870" s="31">
        <f t="shared" si="171"/>
        <v>130597.35</v>
      </c>
      <c r="N870" s="50">
        <v>0</v>
      </c>
      <c r="O870" s="31">
        <f t="shared" si="172"/>
        <v>0</v>
      </c>
      <c r="P870" s="51" t="s">
        <v>2998</v>
      </c>
      <c r="Q870" s="51" t="s">
        <v>3040</v>
      </c>
      <c r="S870" s="765"/>
    </row>
    <row r="871" spans="1:20" x14ac:dyDescent="0.25">
      <c r="A871" s="10">
        <v>44362</v>
      </c>
      <c r="B871" s="594">
        <v>0</v>
      </c>
      <c r="C871" s="31">
        <f t="shared" si="166"/>
        <v>18681961.32</v>
      </c>
      <c r="D871" s="50">
        <v>4125.6319999999832</v>
      </c>
      <c r="E871" s="31">
        <f t="shared" si="167"/>
        <v>-117876239.26000001</v>
      </c>
      <c r="F871" s="900">
        <v>0</v>
      </c>
      <c r="G871" s="899">
        <f t="shared" si="168"/>
        <v>-43070456.740000002</v>
      </c>
      <c r="H871" s="50">
        <v>0</v>
      </c>
      <c r="I871" s="31">
        <f t="shared" si="169"/>
        <v>20739.560000000001</v>
      </c>
      <c r="J871" s="50">
        <v>0</v>
      </c>
      <c r="K871" s="31">
        <f t="shared" si="170"/>
        <v>0</v>
      </c>
      <c r="L871" s="50">
        <v>0</v>
      </c>
      <c r="M871" s="31">
        <f t="shared" si="171"/>
        <v>130597.35</v>
      </c>
      <c r="N871" s="50">
        <v>0</v>
      </c>
      <c r="O871" s="31">
        <f t="shared" si="172"/>
        <v>0</v>
      </c>
      <c r="P871" s="51" t="s">
        <v>2999</v>
      </c>
      <c r="Q871" s="51" t="s">
        <v>3040</v>
      </c>
      <c r="S871" s="765"/>
    </row>
    <row r="872" spans="1:20" x14ac:dyDescent="0.25">
      <c r="A872" s="10">
        <v>44362</v>
      </c>
      <c r="B872" s="594">
        <v>0</v>
      </c>
      <c r="C872" s="31">
        <f t="shared" si="166"/>
        <v>18681961.32</v>
      </c>
      <c r="D872" s="50">
        <v>2406.6186666665599</v>
      </c>
      <c r="E872" s="31">
        <f t="shared" si="167"/>
        <v>-117873832.64</v>
      </c>
      <c r="F872" s="900">
        <v>0</v>
      </c>
      <c r="G872" s="899">
        <f t="shared" si="168"/>
        <v>-43070456.740000002</v>
      </c>
      <c r="H872" s="50">
        <v>0</v>
      </c>
      <c r="I872" s="31">
        <f t="shared" si="169"/>
        <v>20739.560000000001</v>
      </c>
      <c r="J872" s="50">
        <v>0</v>
      </c>
      <c r="K872" s="31">
        <f t="shared" si="170"/>
        <v>0</v>
      </c>
      <c r="L872" s="50">
        <v>0</v>
      </c>
      <c r="M872" s="31">
        <f t="shared" si="171"/>
        <v>130597.35</v>
      </c>
      <c r="N872" s="50">
        <v>0</v>
      </c>
      <c r="O872" s="31">
        <f t="shared" si="172"/>
        <v>0</v>
      </c>
      <c r="P872" s="51" t="s">
        <v>3000</v>
      </c>
      <c r="Q872" s="51" t="s">
        <v>3040</v>
      </c>
      <c r="S872" s="765"/>
    </row>
    <row r="873" spans="1:20" x14ac:dyDescent="0.25">
      <c r="A873" s="10">
        <v>44362</v>
      </c>
      <c r="B873" s="594">
        <v>0</v>
      </c>
      <c r="C873" s="31">
        <f t="shared" si="166"/>
        <v>18681961.32</v>
      </c>
      <c r="D873" s="50">
        <v>0</v>
      </c>
      <c r="E873" s="31">
        <f t="shared" si="167"/>
        <v>-117873832.64</v>
      </c>
      <c r="F873" s="900">
        <v>161651.15555555373</v>
      </c>
      <c r="G873" s="899">
        <f t="shared" si="168"/>
        <v>-42908805.579999998</v>
      </c>
      <c r="H873" s="50">
        <v>0</v>
      </c>
      <c r="I873" s="31">
        <f t="shared" si="169"/>
        <v>20739.560000000001</v>
      </c>
      <c r="J873" s="50">
        <v>0</v>
      </c>
      <c r="K873" s="31">
        <f t="shared" si="170"/>
        <v>0</v>
      </c>
      <c r="L873" s="50">
        <v>0</v>
      </c>
      <c r="M873" s="31">
        <f t="shared" si="171"/>
        <v>130597.35</v>
      </c>
      <c r="N873" s="50">
        <v>0</v>
      </c>
      <c r="O873" s="31">
        <f t="shared" si="172"/>
        <v>0</v>
      </c>
      <c r="P873" s="51" t="s">
        <v>3001</v>
      </c>
      <c r="Q873" s="51" t="s">
        <v>3040</v>
      </c>
      <c r="S873" s="765"/>
    </row>
    <row r="874" spans="1:20" x14ac:dyDescent="0.25">
      <c r="A874" s="10">
        <v>44362</v>
      </c>
      <c r="B874" s="594">
        <v>0</v>
      </c>
      <c r="C874" s="31">
        <f t="shared" si="166"/>
        <v>18681961.32</v>
      </c>
      <c r="D874" s="50">
        <v>0</v>
      </c>
      <c r="E874" s="31">
        <f t="shared" si="167"/>
        <v>-117873832.64</v>
      </c>
      <c r="F874" s="900">
        <v>1592.6222222222132</v>
      </c>
      <c r="G874" s="899">
        <f t="shared" si="168"/>
        <v>-42907212.960000001</v>
      </c>
      <c r="H874" s="50">
        <v>0</v>
      </c>
      <c r="I874" s="31">
        <f t="shared" si="169"/>
        <v>20739.560000000001</v>
      </c>
      <c r="J874" s="50">
        <v>0</v>
      </c>
      <c r="K874" s="31">
        <f t="shared" si="170"/>
        <v>0</v>
      </c>
      <c r="L874" s="50">
        <v>0</v>
      </c>
      <c r="M874" s="31">
        <f t="shared" si="171"/>
        <v>130597.35</v>
      </c>
      <c r="N874" s="50">
        <v>0</v>
      </c>
      <c r="O874" s="31">
        <f t="shared" si="172"/>
        <v>0</v>
      </c>
      <c r="P874" s="51" t="s">
        <v>3002</v>
      </c>
      <c r="Q874" s="51" t="s">
        <v>3040</v>
      </c>
      <c r="S874" s="765"/>
    </row>
    <row r="875" spans="1:20" x14ac:dyDescent="0.25">
      <c r="A875" s="10">
        <v>44362</v>
      </c>
      <c r="B875" s="594">
        <v>0</v>
      </c>
      <c r="C875" s="31">
        <f t="shared" si="166"/>
        <v>18681961.32</v>
      </c>
      <c r="D875" s="50">
        <v>0</v>
      </c>
      <c r="E875" s="31">
        <f t="shared" si="167"/>
        <v>-117873832.64</v>
      </c>
      <c r="F875" s="900">
        <v>7564.9522222222295</v>
      </c>
      <c r="G875" s="899">
        <f t="shared" si="168"/>
        <v>-42899648.009999998</v>
      </c>
      <c r="H875" s="50">
        <v>0</v>
      </c>
      <c r="I875" s="31">
        <f t="shared" si="169"/>
        <v>20739.560000000001</v>
      </c>
      <c r="J875" s="50">
        <v>0</v>
      </c>
      <c r="K875" s="31">
        <f t="shared" si="170"/>
        <v>0</v>
      </c>
      <c r="L875" s="50">
        <v>0</v>
      </c>
      <c r="M875" s="31">
        <f t="shared" si="171"/>
        <v>130597.35</v>
      </c>
      <c r="N875" s="50">
        <v>0</v>
      </c>
      <c r="O875" s="31">
        <f t="shared" si="172"/>
        <v>0</v>
      </c>
      <c r="P875" s="51" t="s">
        <v>3003</v>
      </c>
      <c r="Q875" s="51" t="s">
        <v>3040</v>
      </c>
      <c r="S875" s="765"/>
    </row>
    <row r="876" spans="1:20" x14ac:dyDescent="0.25">
      <c r="A876" s="10">
        <v>44362</v>
      </c>
      <c r="B876" s="594">
        <v>-61000000</v>
      </c>
      <c r="C876" s="31">
        <f t="shared" si="166"/>
        <v>-42318038.68</v>
      </c>
      <c r="D876" s="50">
        <v>61000000</v>
      </c>
      <c r="E876" s="31">
        <f t="shared" si="167"/>
        <v>-56873832.640000001</v>
      </c>
      <c r="F876" s="900">
        <v>0</v>
      </c>
      <c r="G876" s="899">
        <f t="shared" si="168"/>
        <v>-42899648.009999998</v>
      </c>
      <c r="H876" s="50">
        <v>0</v>
      </c>
      <c r="I876" s="31">
        <f t="shared" si="169"/>
        <v>20739.560000000001</v>
      </c>
      <c r="J876" s="50">
        <v>0</v>
      </c>
      <c r="K876" s="31">
        <f t="shared" si="170"/>
        <v>0</v>
      </c>
      <c r="L876" s="50">
        <v>0</v>
      </c>
      <c r="M876" s="31">
        <f t="shared" si="171"/>
        <v>130597.35</v>
      </c>
      <c r="N876" s="50">
        <v>0</v>
      </c>
      <c r="O876" s="31">
        <f t="shared" si="172"/>
        <v>0</v>
      </c>
      <c r="P876" s="51" t="s">
        <v>831</v>
      </c>
      <c r="Q876" s="51" t="s">
        <v>3040</v>
      </c>
      <c r="S876" s="765"/>
    </row>
    <row r="877" spans="1:20" x14ac:dyDescent="0.25">
      <c r="A877" s="10">
        <v>44362</v>
      </c>
      <c r="B877" s="594">
        <v>-8000000</v>
      </c>
      <c r="C877" s="31">
        <f t="shared" si="166"/>
        <v>-50318038.68</v>
      </c>
      <c r="D877" s="50">
        <v>8000000</v>
      </c>
      <c r="E877" s="31">
        <f t="shared" si="167"/>
        <v>-48873832.640000001</v>
      </c>
      <c r="F877" s="900">
        <v>0</v>
      </c>
      <c r="G877" s="899">
        <f t="shared" si="168"/>
        <v>-42899648.009999998</v>
      </c>
      <c r="H877" s="50">
        <v>0</v>
      </c>
      <c r="I877" s="31">
        <f t="shared" si="169"/>
        <v>20739.560000000001</v>
      </c>
      <c r="J877" s="50">
        <v>0</v>
      </c>
      <c r="K877" s="31">
        <f t="shared" si="170"/>
        <v>0</v>
      </c>
      <c r="L877" s="50">
        <v>0</v>
      </c>
      <c r="M877" s="31">
        <f t="shared" si="171"/>
        <v>130597.35</v>
      </c>
      <c r="N877" s="50">
        <v>0</v>
      </c>
      <c r="O877" s="31">
        <f t="shared" si="172"/>
        <v>0</v>
      </c>
      <c r="P877" s="51" t="s">
        <v>831</v>
      </c>
      <c r="Q877" s="51" t="s">
        <v>3040</v>
      </c>
      <c r="S877" s="765"/>
    </row>
    <row r="878" spans="1:20" x14ac:dyDescent="0.25">
      <c r="A878" s="10">
        <v>44362</v>
      </c>
      <c r="B878" s="594">
        <v>-5000000</v>
      </c>
      <c r="C878" s="31">
        <f t="shared" si="166"/>
        <v>-55318038.68</v>
      </c>
      <c r="D878" s="50">
        <v>5000000</v>
      </c>
      <c r="E878" s="31">
        <f t="shared" si="167"/>
        <v>-43873832.640000001</v>
      </c>
      <c r="F878" s="900">
        <v>0</v>
      </c>
      <c r="G878" s="899">
        <f t="shared" si="168"/>
        <v>-42899648.009999998</v>
      </c>
      <c r="H878" s="50">
        <v>0</v>
      </c>
      <c r="I878" s="31">
        <f t="shared" si="169"/>
        <v>20739.560000000001</v>
      </c>
      <c r="J878" s="50">
        <v>0</v>
      </c>
      <c r="K878" s="31">
        <f t="shared" si="170"/>
        <v>0</v>
      </c>
      <c r="L878" s="50">
        <v>0</v>
      </c>
      <c r="M878" s="31">
        <f t="shared" si="171"/>
        <v>130597.35</v>
      </c>
      <c r="N878" s="50">
        <v>0</v>
      </c>
      <c r="O878" s="31">
        <f t="shared" si="172"/>
        <v>0</v>
      </c>
      <c r="P878" s="51" t="s">
        <v>831</v>
      </c>
      <c r="Q878" s="51" t="s">
        <v>3040</v>
      </c>
      <c r="S878" s="765"/>
    </row>
    <row r="879" spans="1:20" x14ac:dyDescent="0.25">
      <c r="A879" s="10">
        <v>44362</v>
      </c>
      <c r="B879" s="594">
        <v>-2000000</v>
      </c>
      <c r="C879" s="31">
        <f t="shared" si="166"/>
        <v>-57318038.68</v>
      </c>
      <c r="D879" s="50">
        <v>2000000</v>
      </c>
      <c r="E879" s="31">
        <f t="shared" si="167"/>
        <v>-41873832.640000001</v>
      </c>
      <c r="F879" s="900">
        <v>0</v>
      </c>
      <c r="G879" s="899">
        <f t="shared" si="168"/>
        <v>-42899648.009999998</v>
      </c>
      <c r="H879" s="50">
        <v>0</v>
      </c>
      <c r="I879" s="31">
        <f t="shared" si="169"/>
        <v>20739.560000000001</v>
      </c>
      <c r="J879" s="50">
        <v>0</v>
      </c>
      <c r="K879" s="31">
        <f t="shared" si="170"/>
        <v>0</v>
      </c>
      <c r="L879" s="50">
        <v>0</v>
      </c>
      <c r="M879" s="31">
        <f t="shared" si="171"/>
        <v>130597.35</v>
      </c>
      <c r="N879" s="50">
        <v>0</v>
      </c>
      <c r="O879" s="31">
        <f t="shared" si="172"/>
        <v>0</v>
      </c>
      <c r="P879" s="51" t="s">
        <v>831</v>
      </c>
      <c r="Q879" s="51" t="s">
        <v>3040</v>
      </c>
      <c r="S879" s="765"/>
    </row>
    <row r="880" spans="1:20" x14ac:dyDescent="0.25">
      <c r="A880" s="10">
        <v>44362</v>
      </c>
      <c r="B880" s="594">
        <v>-3000000</v>
      </c>
      <c r="C880" s="31">
        <f t="shared" si="166"/>
        <v>-60318038.68</v>
      </c>
      <c r="D880" s="50">
        <v>3000000</v>
      </c>
      <c r="E880" s="31">
        <f t="shared" si="167"/>
        <v>-38873832.640000001</v>
      </c>
      <c r="F880" s="900">
        <v>0</v>
      </c>
      <c r="G880" s="899">
        <f t="shared" si="168"/>
        <v>-42899648.009999998</v>
      </c>
      <c r="H880" s="50">
        <v>0</v>
      </c>
      <c r="I880" s="31">
        <f t="shared" si="169"/>
        <v>20739.560000000001</v>
      </c>
      <c r="J880" s="50">
        <v>0</v>
      </c>
      <c r="K880" s="31">
        <f t="shared" si="170"/>
        <v>0</v>
      </c>
      <c r="L880" s="50">
        <v>0</v>
      </c>
      <c r="M880" s="31">
        <f t="shared" si="171"/>
        <v>130597.35</v>
      </c>
      <c r="N880" s="50">
        <v>0</v>
      </c>
      <c r="O880" s="31">
        <f t="shared" si="172"/>
        <v>0</v>
      </c>
      <c r="P880" s="51" t="s">
        <v>831</v>
      </c>
      <c r="Q880" s="51" t="s">
        <v>3040</v>
      </c>
      <c r="S880" s="765"/>
    </row>
    <row r="881" spans="1:19" x14ac:dyDescent="0.25">
      <c r="A881" s="10">
        <v>44362</v>
      </c>
      <c r="B881" s="594">
        <v>-3307535.88</v>
      </c>
      <c r="C881" s="31">
        <f t="shared" si="166"/>
        <v>-63625574.560000002</v>
      </c>
      <c r="D881" s="50">
        <v>3307535.88</v>
      </c>
      <c r="E881" s="31">
        <f t="shared" si="167"/>
        <v>-35566296.759999998</v>
      </c>
      <c r="F881" s="900">
        <v>0</v>
      </c>
      <c r="G881" s="899">
        <f t="shared" si="168"/>
        <v>-42899648.009999998</v>
      </c>
      <c r="H881" s="50">
        <v>0</v>
      </c>
      <c r="I881" s="31">
        <f t="shared" si="169"/>
        <v>20739.560000000001</v>
      </c>
      <c r="J881" s="50">
        <v>0</v>
      </c>
      <c r="K881" s="31">
        <f t="shared" si="170"/>
        <v>0</v>
      </c>
      <c r="L881" s="50">
        <v>0</v>
      </c>
      <c r="M881" s="31">
        <f t="shared" si="171"/>
        <v>130597.35</v>
      </c>
      <c r="N881" s="50">
        <v>0</v>
      </c>
      <c r="O881" s="31">
        <f t="shared" si="172"/>
        <v>0</v>
      </c>
      <c r="P881" s="51" t="s">
        <v>880</v>
      </c>
      <c r="Q881" s="51" t="s">
        <v>3040</v>
      </c>
      <c r="S881" s="765"/>
    </row>
    <row r="882" spans="1:19" x14ac:dyDescent="0.25">
      <c r="A882" s="10">
        <v>44362</v>
      </c>
      <c r="B882" s="594">
        <v>-1900000</v>
      </c>
      <c r="C882" s="31">
        <f t="shared" si="166"/>
        <v>-65525574.560000002</v>
      </c>
      <c r="D882" s="50">
        <v>1900000</v>
      </c>
      <c r="E882" s="31">
        <f t="shared" si="167"/>
        <v>-33666296.759999998</v>
      </c>
      <c r="F882" s="900">
        <v>0</v>
      </c>
      <c r="G882" s="899">
        <f t="shared" si="168"/>
        <v>-42899648.009999998</v>
      </c>
      <c r="H882" s="50">
        <v>0</v>
      </c>
      <c r="I882" s="31">
        <f t="shared" si="169"/>
        <v>20739.560000000001</v>
      </c>
      <c r="J882" s="50">
        <v>0</v>
      </c>
      <c r="K882" s="31">
        <f t="shared" si="170"/>
        <v>0</v>
      </c>
      <c r="L882" s="50">
        <v>0</v>
      </c>
      <c r="M882" s="31">
        <f t="shared" si="171"/>
        <v>130597.35</v>
      </c>
      <c r="N882" s="50">
        <v>0</v>
      </c>
      <c r="O882" s="31">
        <f t="shared" si="172"/>
        <v>0</v>
      </c>
      <c r="P882" s="51" t="s">
        <v>880</v>
      </c>
      <c r="Q882" s="51" t="s">
        <v>3040</v>
      </c>
      <c r="S882" s="765"/>
    </row>
    <row r="883" spans="1:19" x14ac:dyDescent="0.25">
      <c r="A883" s="10">
        <v>44362</v>
      </c>
      <c r="B883" s="594">
        <v>-3000000</v>
      </c>
      <c r="C883" s="31">
        <f t="shared" si="166"/>
        <v>-68525574.560000002</v>
      </c>
      <c r="D883" s="50">
        <v>3000000</v>
      </c>
      <c r="E883" s="31">
        <f t="shared" si="167"/>
        <v>-30666296.760000002</v>
      </c>
      <c r="F883" s="900">
        <v>0</v>
      </c>
      <c r="G883" s="899">
        <f t="shared" si="168"/>
        <v>-42899648.009999998</v>
      </c>
      <c r="H883" s="50">
        <v>0</v>
      </c>
      <c r="I883" s="31">
        <f t="shared" si="169"/>
        <v>20739.560000000001</v>
      </c>
      <c r="J883" s="50">
        <v>0</v>
      </c>
      <c r="K883" s="31">
        <f t="shared" si="170"/>
        <v>0</v>
      </c>
      <c r="L883" s="50">
        <v>0</v>
      </c>
      <c r="M883" s="31">
        <f t="shared" si="171"/>
        <v>130597.35</v>
      </c>
      <c r="N883" s="50">
        <v>0</v>
      </c>
      <c r="O883" s="31">
        <f t="shared" si="172"/>
        <v>0</v>
      </c>
      <c r="P883" s="51" t="s">
        <v>880</v>
      </c>
      <c r="Q883" s="51" t="s">
        <v>3040</v>
      </c>
      <c r="S883" s="765"/>
    </row>
    <row r="884" spans="1:19" x14ac:dyDescent="0.25">
      <c r="A884" s="10">
        <v>44362</v>
      </c>
      <c r="B884" s="594">
        <f>877067.87+241.88</f>
        <v>877309.75</v>
      </c>
      <c r="C884" s="31">
        <f t="shared" si="166"/>
        <v>-67648264.810000002</v>
      </c>
      <c r="D884" s="50">
        <v>-877067.87</v>
      </c>
      <c r="E884" s="31">
        <f t="shared" si="167"/>
        <v>-31543364.629999999</v>
      </c>
      <c r="F884" s="900">
        <v>0</v>
      </c>
      <c r="G884" s="899">
        <f t="shared" si="168"/>
        <v>-42899648.009999998</v>
      </c>
      <c r="H884" s="50">
        <v>0</v>
      </c>
      <c r="I884" s="31">
        <f t="shared" si="169"/>
        <v>20739.560000000001</v>
      </c>
      <c r="J884" s="50">
        <v>0</v>
      </c>
      <c r="K884" s="31">
        <f t="shared" si="170"/>
        <v>0</v>
      </c>
      <c r="L884" s="50">
        <v>0</v>
      </c>
      <c r="M884" s="31">
        <f t="shared" si="171"/>
        <v>130597.35</v>
      </c>
      <c r="N884" s="50">
        <v>0</v>
      </c>
      <c r="O884" s="31">
        <f t="shared" si="172"/>
        <v>0</v>
      </c>
      <c r="P884" s="51" t="s">
        <v>880</v>
      </c>
      <c r="Q884" s="51" t="s">
        <v>3040</v>
      </c>
      <c r="S884" s="765"/>
    </row>
    <row r="885" spans="1:19" x14ac:dyDescent="0.25">
      <c r="A885" s="10">
        <v>44362</v>
      </c>
      <c r="B885" s="594">
        <v>-8000000</v>
      </c>
      <c r="C885" s="31">
        <f t="shared" si="166"/>
        <v>-75648264.810000002</v>
      </c>
      <c r="D885" s="50">
        <v>8000000</v>
      </c>
      <c r="E885" s="31">
        <f t="shared" si="167"/>
        <v>-23543364.629999999</v>
      </c>
      <c r="F885" s="900">
        <v>0</v>
      </c>
      <c r="G885" s="899">
        <f t="shared" si="168"/>
        <v>-42899648.009999998</v>
      </c>
      <c r="H885" s="50">
        <v>0</v>
      </c>
      <c r="I885" s="31">
        <f t="shared" si="169"/>
        <v>20739.560000000001</v>
      </c>
      <c r="J885" s="50">
        <v>0</v>
      </c>
      <c r="K885" s="31">
        <f t="shared" si="170"/>
        <v>0</v>
      </c>
      <c r="L885" s="50">
        <v>0</v>
      </c>
      <c r="M885" s="31">
        <f t="shared" si="171"/>
        <v>130597.35</v>
      </c>
      <c r="N885" s="50">
        <v>0</v>
      </c>
      <c r="O885" s="31">
        <f t="shared" si="172"/>
        <v>0</v>
      </c>
      <c r="P885" s="51" t="s">
        <v>1697</v>
      </c>
      <c r="Q885" s="51" t="s">
        <v>3040</v>
      </c>
      <c r="S885" s="765"/>
    </row>
    <row r="886" spans="1:19" x14ac:dyDescent="0.25">
      <c r="A886" s="10">
        <v>44362</v>
      </c>
      <c r="B886" s="594">
        <v>-15721906</v>
      </c>
      <c r="C886" s="31">
        <f t="shared" si="166"/>
        <v>-91370170.810000002</v>
      </c>
      <c r="D886" s="50">
        <v>15721906</v>
      </c>
      <c r="E886" s="31">
        <f t="shared" si="167"/>
        <v>-7821458.6299999999</v>
      </c>
      <c r="F886" s="900">
        <v>0</v>
      </c>
      <c r="G886" s="899">
        <f t="shared" si="168"/>
        <v>-42899648.009999998</v>
      </c>
      <c r="H886" s="50">
        <v>0</v>
      </c>
      <c r="I886" s="31">
        <f t="shared" si="169"/>
        <v>20739.560000000001</v>
      </c>
      <c r="J886" s="50">
        <v>0</v>
      </c>
      <c r="K886" s="31">
        <f t="shared" si="170"/>
        <v>0</v>
      </c>
      <c r="L886" s="50">
        <v>0</v>
      </c>
      <c r="M886" s="31">
        <f t="shared" si="171"/>
        <v>130597.35</v>
      </c>
      <c r="N886" s="50">
        <v>0</v>
      </c>
      <c r="O886" s="31">
        <f t="shared" si="172"/>
        <v>0</v>
      </c>
      <c r="P886" s="51" t="s">
        <v>1697</v>
      </c>
      <c r="Q886" s="51" t="s">
        <v>3040</v>
      </c>
      <c r="S886" s="765"/>
    </row>
    <row r="887" spans="1:19" x14ac:dyDescent="0.25">
      <c r="A887" s="10">
        <v>44362</v>
      </c>
      <c r="B887" s="594">
        <v>-1420000</v>
      </c>
      <c r="C887" s="31">
        <f t="shared" si="166"/>
        <v>-92790170.810000002</v>
      </c>
      <c r="D887" s="50">
        <v>1420000</v>
      </c>
      <c r="E887" s="31">
        <f t="shared" si="167"/>
        <v>-6401458.6299999999</v>
      </c>
      <c r="F887" s="900">
        <v>0</v>
      </c>
      <c r="G887" s="899">
        <f t="shared" si="168"/>
        <v>-42899648.009999998</v>
      </c>
      <c r="H887" s="50">
        <v>0</v>
      </c>
      <c r="I887" s="31">
        <f t="shared" si="169"/>
        <v>20739.560000000001</v>
      </c>
      <c r="J887" s="50">
        <v>0</v>
      </c>
      <c r="K887" s="31">
        <f t="shared" si="170"/>
        <v>0</v>
      </c>
      <c r="L887" s="50">
        <v>0</v>
      </c>
      <c r="M887" s="31">
        <f t="shared" si="171"/>
        <v>130597.35</v>
      </c>
      <c r="N887" s="50">
        <v>0</v>
      </c>
      <c r="O887" s="31">
        <f t="shared" si="172"/>
        <v>0</v>
      </c>
      <c r="P887" s="51" t="s">
        <v>2980</v>
      </c>
      <c r="Q887" s="51" t="s">
        <v>3040</v>
      </c>
      <c r="S887" s="765"/>
    </row>
    <row r="888" spans="1:19" x14ac:dyDescent="0.25">
      <c r="A888" s="10">
        <v>44362</v>
      </c>
      <c r="B888" s="594">
        <v>-3900000</v>
      </c>
      <c r="C888" s="31">
        <f t="shared" si="166"/>
        <v>-96690170.810000002</v>
      </c>
      <c r="D888" s="50">
        <v>3900000</v>
      </c>
      <c r="E888" s="31">
        <f t="shared" si="167"/>
        <v>-2501458.63</v>
      </c>
      <c r="F888" s="900">
        <v>0</v>
      </c>
      <c r="G888" s="899">
        <f t="shared" si="168"/>
        <v>-42899648.009999998</v>
      </c>
      <c r="H888" s="50">
        <v>0</v>
      </c>
      <c r="I888" s="31">
        <f t="shared" si="169"/>
        <v>20739.560000000001</v>
      </c>
      <c r="J888" s="50">
        <v>0</v>
      </c>
      <c r="K888" s="31">
        <f t="shared" si="170"/>
        <v>0</v>
      </c>
      <c r="L888" s="50">
        <v>0</v>
      </c>
      <c r="M888" s="31">
        <f t="shared" si="171"/>
        <v>130597.35</v>
      </c>
      <c r="N888" s="50">
        <v>0</v>
      </c>
      <c r="O888" s="31">
        <f t="shared" si="172"/>
        <v>0</v>
      </c>
      <c r="P888" s="51" t="s">
        <v>2661</v>
      </c>
      <c r="Q888" s="51" t="s">
        <v>3040</v>
      </c>
      <c r="S888" s="765"/>
    </row>
    <row r="889" spans="1:19" x14ac:dyDescent="0.25">
      <c r="A889" s="10">
        <v>44362</v>
      </c>
      <c r="B889" s="594">
        <v>-1400000</v>
      </c>
      <c r="C889" s="31">
        <f t="shared" si="166"/>
        <v>-98090170.810000002</v>
      </c>
      <c r="D889" s="50">
        <v>1400000</v>
      </c>
      <c r="E889" s="31">
        <f t="shared" si="167"/>
        <v>-1101458.6299999999</v>
      </c>
      <c r="F889" s="900">
        <v>0</v>
      </c>
      <c r="G889" s="899">
        <f t="shared" si="168"/>
        <v>-42899648.009999998</v>
      </c>
      <c r="H889" s="50">
        <v>0</v>
      </c>
      <c r="I889" s="31">
        <f t="shared" si="169"/>
        <v>20739.560000000001</v>
      </c>
      <c r="J889" s="50">
        <v>0</v>
      </c>
      <c r="K889" s="31">
        <f t="shared" si="170"/>
        <v>0</v>
      </c>
      <c r="L889" s="50">
        <v>0</v>
      </c>
      <c r="M889" s="31">
        <f t="shared" si="171"/>
        <v>130597.35</v>
      </c>
      <c r="N889" s="50">
        <v>0</v>
      </c>
      <c r="O889" s="31">
        <f t="shared" si="172"/>
        <v>0</v>
      </c>
      <c r="P889" s="51" t="s">
        <v>2661</v>
      </c>
      <c r="Q889" s="51" t="s">
        <v>3040</v>
      </c>
      <c r="S889" s="765"/>
    </row>
    <row r="890" spans="1:19" x14ac:dyDescent="0.25">
      <c r="A890" s="10">
        <v>44362</v>
      </c>
      <c r="B890" s="594">
        <v>-1400000</v>
      </c>
      <c r="C890" s="31">
        <f t="shared" si="166"/>
        <v>-99490170.810000002</v>
      </c>
      <c r="D890" s="50">
        <v>1400000</v>
      </c>
      <c r="E890" s="31">
        <f t="shared" si="167"/>
        <v>298541.37</v>
      </c>
      <c r="F890" s="900">
        <v>0</v>
      </c>
      <c r="G890" s="899">
        <f t="shared" si="168"/>
        <v>-42899648.009999998</v>
      </c>
      <c r="H890" s="50">
        <v>0</v>
      </c>
      <c r="I890" s="31">
        <f t="shared" si="169"/>
        <v>20739.560000000001</v>
      </c>
      <c r="J890" s="50">
        <v>0</v>
      </c>
      <c r="K890" s="31">
        <f t="shared" si="170"/>
        <v>0</v>
      </c>
      <c r="L890" s="50">
        <v>0</v>
      </c>
      <c r="M890" s="31">
        <f t="shared" si="171"/>
        <v>130597.35</v>
      </c>
      <c r="N890" s="50">
        <v>0</v>
      </c>
      <c r="O890" s="31">
        <f t="shared" si="172"/>
        <v>0</v>
      </c>
      <c r="P890" s="51" t="s">
        <v>2661</v>
      </c>
      <c r="Q890" s="51" t="s">
        <v>3040</v>
      </c>
    </row>
    <row r="891" spans="1:19" x14ac:dyDescent="0.25">
      <c r="A891" s="10">
        <v>44362</v>
      </c>
      <c r="B891" s="594">
        <v>-40600000</v>
      </c>
      <c r="C891" s="31">
        <f t="shared" si="166"/>
        <v>-140090170.81</v>
      </c>
      <c r="D891" s="50">
        <v>0</v>
      </c>
      <c r="E891" s="31">
        <f t="shared" si="167"/>
        <v>298541.37</v>
      </c>
      <c r="F891" s="900">
        <v>40600000</v>
      </c>
      <c r="G891" s="899">
        <f t="shared" si="168"/>
        <v>-2299648.0099999998</v>
      </c>
      <c r="H891" s="50">
        <v>0</v>
      </c>
      <c r="I891" s="31">
        <f t="shared" si="169"/>
        <v>20739.560000000001</v>
      </c>
      <c r="J891" s="50">
        <v>0</v>
      </c>
      <c r="K891" s="31">
        <f t="shared" si="170"/>
        <v>0</v>
      </c>
      <c r="L891" s="50">
        <v>0</v>
      </c>
      <c r="M891" s="31">
        <f t="shared" si="171"/>
        <v>130597.35</v>
      </c>
      <c r="N891" s="50">
        <v>0</v>
      </c>
      <c r="O891" s="31">
        <f t="shared" si="172"/>
        <v>0</v>
      </c>
      <c r="P891" s="51" t="s">
        <v>1012</v>
      </c>
      <c r="Q891" s="51" t="s">
        <v>3040</v>
      </c>
    </row>
    <row r="892" spans="1:19" x14ac:dyDescent="0.25">
      <c r="A892" s="10">
        <v>44362</v>
      </c>
      <c r="B892" s="594">
        <v>-400000</v>
      </c>
      <c r="C892" s="31">
        <f t="shared" si="166"/>
        <v>-140490170.81</v>
      </c>
      <c r="D892" s="50">
        <v>0</v>
      </c>
      <c r="E892" s="31">
        <f t="shared" si="167"/>
        <v>298541.37</v>
      </c>
      <c r="F892" s="900">
        <v>400000</v>
      </c>
      <c r="G892" s="899">
        <f t="shared" si="168"/>
        <v>-1899648.01</v>
      </c>
      <c r="H892" s="50">
        <v>0</v>
      </c>
      <c r="I892" s="31">
        <f t="shared" si="169"/>
        <v>20739.560000000001</v>
      </c>
      <c r="J892" s="50">
        <v>0</v>
      </c>
      <c r="K892" s="31">
        <f t="shared" si="170"/>
        <v>0</v>
      </c>
      <c r="L892" s="50">
        <v>0</v>
      </c>
      <c r="M892" s="31">
        <f t="shared" si="171"/>
        <v>130597.35</v>
      </c>
      <c r="N892" s="50">
        <v>0</v>
      </c>
      <c r="O892" s="31">
        <f t="shared" si="172"/>
        <v>0</v>
      </c>
      <c r="P892" s="51" t="s">
        <v>1012</v>
      </c>
      <c r="Q892" s="51" t="s">
        <v>3040</v>
      </c>
    </row>
    <row r="893" spans="1:19" x14ac:dyDescent="0.25">
      <c r="A893" s="10">
        <v>44362</v>
      </c>
      <c r="B893" s="594">
        <v>-1900000</v>
      </c>
      <c r="C893" s="31">
        <f t="shared" si="166"/>
        <v>-142390170.81</v>
      </c>
      <c r="D893" s="50">
        <v>0</v>
      </c>
      <c r="E893" s="31">
        <f t="shared" si="167"/>
        <v>298541.37</v>
      </c>
      <c r="F893" s="900">
        <v>1900000</v>
      </c>
      <c r="G893" s="899">
        <f t="shared" si="168"/>
        <v>351.99</v>
      </c>
      <c r="H893" s="50">
        <v>0</v>
      </c>
      <c r="I893" s="31">
        <f t="shared" si="169"/>
        <v>20739.560000000001</v>
      </c>
      <c r="J893" s="50">
        <v>0</v>
      </c>
      <c r="K893" s="31">
        <f t="shared" si="170"/>
        <v>0</v>
      </c>
      <c r="L893" s="50">
        <v>0</v>
      </c>
      <c r="M893" s="31">
        <f t="shared" si="171"/>
        <v>130597.35</v>
      </c>
      <c r="N893" s="50">
        <v>0</v>
      </c>
      <c r="O893" s="31">
        <f t="shared" si="172"/>
        <v>0</v>
      </c>
      <c r="P893" s="51" t="s">
        <v>1012</v>
      </c>
      <c r="Q893" s="51" t="s">
        <v>3040</v>
      </c>
    </row>
    <row r="894" spans="1:19" x14ac:dyDescent="0.25">
      <c r="A894" s="10">
        <v>44362</v>
      </c>
      <c r="B894" s="594">
        <v>0</v>
      </c>
      <c r="C894" s="31">
        <f t="shared" si="166"/>
        <v>-142390170.81</v>
      </c>
      <c r="D894" s="50">
        <v>59895.833333333328</v>
      </c>
      <c r="E894" s="31">
        <f t="shared" si="167"/>
        <v>358437.2</v>
      </c>
      <c r="F894" s="900">
        <v>0</v>
      </c>
      <c r="G894" s="899">
        <f t="shared" si="168"/>
        <v>351.99</v>
      </c>
      <c r="H894" s="50">
        <v>0</v>
      </c>
      <c r="I894" s="31">
        <f t="shared" si="169"/>
        <v>20739.560000000001</v>
      </c>
      <c r="J894" s="50">
        <v>0</v>
      </c>
      <c r="K894" s="31">
        <f t="shared" si="170"/>
        <v>0</v>
      </c>
      <c r="L894" s="50">
        <v>0</v>
      </c>
      <c r="M894" s="31">
        <f t="shared" si="171"/>
        <v>130597.35</v>
      </c>
      <c r="N894" s="50">
        <v>0</v>
      </c>
      <c r="O894" s="31">
        <f t="shared" si="172"/>
        <v>0</v>
      </c>
      <c r="P894" s="51" t="s">
        <v>3004</v>
      </c>
      <c r="Q894" s="51" t="s">
        <v>3041</v>
      </c>
    </row>
    <row r="895" spans="1:19" x14ac:dyDescent="0.25">
      <c r="A895" s="10">
        <v>44362</v>
      </c>
      <c r="B895" s="594">
        <v>0</v>
      </c>
      <c r="C895" s="31">
        <f t="shared" si="166"/>
        <v>-142390170.81</v>
      </c>
      <c r="D895" s="50">
        <v>7570.8333333333339</v>
      </c>
      <c r="E895" s="31">
        <f t="shared" si="167"/>
        <v>366008.03</v>
      </c>
      <c r="F895" s="900">
        <v>0</v>
      </c>
      <c r="G895" s="899">
        <f t="shared" si="168"/>
        <v>351.99</v>
      </c>
      <c r="H895" s="50">
        <v>0</v>
      </c>
      <c r="I895" s="31">
        <f t="shared" si="169"/>
        <v>20739.560000000001</v>
      </c>
      <c r="J895" s="50">
        <v>0</v>
      </c>
      <c r="K895" s="31">
        <f t="shared" si="170"/>
        <v>0</v>
      </c>
      <c r="L895" s="50">
        <v>0</v>
      </c>
      <c r="M895" s="31">
        <f t="shared" si="171"/>
        <v>130597.35</v>
      </c>
      <c r="N895" s="50">
        <v>0</v>
      </c>
      <c r="O895" s="31">
        <f t="shared" si="172"/>
        <v>0</v>
      </c>
      <c r="P895" s="51" t="s">
        <v>3004</v>
      </c>
      <c r="Q895" s="51" t="s">
        <v>3041</v>
      </c>
    </row>
    <row r="896" spans="1:19" x14ac:dyDescent="0.25">
      <c r="A896" s="10">
        <v>44362</v>
      </c>
      <c r="B896" s="594">
        <v>0</v>
      </c>
      <c r="C896" s="31">
        <f t="shared" si="166"/>
        <v>-142390170.81</v>
      </c>
      <c r="D896" s="50">
        <v>14832.203966409177</v>
      </c>
      <c r="E896" s="31">
        <f t="shared" si="167"/>
        <v>380840.23</v>
      </c>
      <c r="F896" s="900">
        <v>0</v>
      </c>
      <c r="G896" s="899">
        <f t="shared" si="168"/>
        <v>351.99</v>
      </c>
      <c r="H896" s="50">
        <v>0</v>
      </c>
      <c r="I896" s="31">
        <f t="shared" si="169"/>
        <v>20739.560000000001</v>
      </c>
      <c r="J896" s="50">
        <v>0</v>
      </c>
      <c r="K896" s="31">
        <f t="shared" si="170"/>
        <v>0</v>
      </c>
      <c r="L896" s="50">
        <v>0</v>
      </c>
      <c r="M896" s="31">
        <f t="shared" si="171"/>
        <v>130597.35</v>
      </c>
      <c r="N896" s="50">
        <v>0</v>
      </c>
      <c r="O896" s="31">
        <f t="shared" si="172"/>
        <v>0</v>
      </c>
      <c r="P896" s="51" t="s">
        <v>3005</v>
      </c>
      <c r="Q896" s="51" t="s">
        <v>3041</v>
      </c>
    </row>
    <row r="897" spans="1:17" x14ac:dyDescent="0.25">
      <c r="A897" s="10">
        <v>44362</v>
      </c>
      <c r="B897" s="594">
        <v>0</v>
      </c>
      <c r="C897" s="31">
        <f t="shared" si="166"/>
        <v>-142390170.81</v>
      </c>
      <c r="D897" s="50">
        <v>17356.602699999999</v>
      </c>
      <c r="E897" s="31">
        <f t="shared" si="167"/>
        <v>398196.83</v>
      </c>
      <c r="F897" s="900">
        <v>0</v>
      </c>
      <c r="G897" s="899">
        <f t="shared" si="168"/>
        <v>351.99</v>
      </c>
      <c r="H897" s="50">
        <v>0</v>
      </c>
      <c r="I897" s="31">
        <f t="shared" si="169"/>
        <v>20739.560000000001</v>
      </c>
      <c r="J897" s="50">
        <v>0</v>
      </c>
      <c r="K897" s="31">
        <f t="shared" si="170"/>
        <v>0</v>
      </c>
      <c r="L897" s="50">
        <v>0</v>
      </c>
      <c r="M897" s="31">
        <f t="shared" si="171"/>
        <v>130597.35</v>
      </c>
      <c r="N897" s="50">
        <v>0</v>
      </c>
      <c r="O897" s="31">
        <f t="shared" si="172"/>
        <v>0</v>
      </c>
      <c r="P897" s="51" t="s">
        <v>3006</v>
      </c>
      <c r="Q897" s="51" t="s">
        <v>3041</v>
      </c>
    </row>
    <row r="898" spans="1:17" x14ac:dyDescent="0.25">
      <c r="A898" s="10">
        <v>44362</v>
      </c>
      <c r="B898" s="594">
        <v>0</v>
      </c>
      <c r="C898" s="31">
        <f t="shared" si="166"/>
        <v>-142390170.81</v>
      </c>
      <c r="D898" s="50">
        <v>4095</v>
      </c>
      <c r="E898" s="31">
        <f t="shared" si="167"/>
        <v>402291.83</v>
      </c>
      <c r="F898" s="900">
        <v>0</v>
      </c>
      <c r="G898" s="899">
        <f t="shared" si="168"/>
        <v>351.99</v>
      </c>
      <c r="H898" s="50">
        <v>0</v>
      </c>
      <c r="I898" s="31">
        <f t="shared" si="169"/>
        <v>20739.560000000001</v>
      </c>
      <c r="J898" s="50">
        <v>0</v>
      </c>
      <c r="K898" s="31">
        <f t="shared" si="170"/>
        <v>0</v>
      </c>
      <c r="L898" s="50">
        <v>0</v>
      </c>
      <c r="M898" s="31">
        <f t="shared" si="171"/>
        <v>130597.35</v>
      </c>
      <c r="N898" s="50">
        <v>0</v>
      </c>
      <c r="O898" s="31">
        <f t="shared" si="172"/>
        <v>0</v>
      </c>
      <c r="P898" s="51" t="s">
        <v>3007</v>
      </c>
      <c r="Q898" s="51" t="s">
        <v>3041</v>
      </c>
    </row>
    <row r="899" spans="1:17" x14ac:dyDescent="0.25">
      <c r="A899" s="10">
        <v>44362</v>
      </c>
      <c r="B899" s="594">
        <v>0</v>
      </c>
      <c r="C899" s="31">
        <f t="shared" si="166"/>
        <v>-142390170.81</v>
      </c>
      <c r="D899" s="50">
        <v>729.16666666666674</v>
      </c>
      <c r="E899" s="31">
        <f t="shared" si="167"/>
        <v>403021</v>
      </c>
      <c r="F899" s="900">
        <v>0</v>
      </c>
      <c r="G899" s="899">
        <f t="shared" si="168"/>
        <v>351.99</v>
      </c>
      <c r="H899" s="50">
        <v>0</v>
      </c>
      <c r="I899" s="31">
        <f t="shared" si="169"/>
        <v>20739.560000000001</v>
      </c>
      <c r="J899" s="50">
        <v>0</v>
      </c>
      <c r="K899" s="31">
        <f t="shared" si="170"/>
        <v>0</v>
      </c>
      <c r="L899" s="50">
        <v>0</v>
      </c>
      <c r="M899" s="31">
        <f t="shared" si="171"/>
        <v>130597.35</v>
      </c>
      <c r="N899" s="50">
        <v>0</v>
      </c>
      <c r="O899" s="31">
        <f t="shared" si="172"/>
        <v>0</v>
      </c>
      <c r="P899" s="51" t="s">
        <v>3008</v>
      </c>
      <c r="Q899" s="51" t="s">
        <v>3041</v>
      </c>
    </row>
    <row r="900" spans="1:17" x14ac:dyDescent="0.25">
      <c r="A900" s="10">
        <v>44362</v>
      </c>
      <c r="B900" s="594">
        <v>0</v>
      </c>
      <c r="C900" s="31">
        <f t="shared" si="166"/>
        <v>-142390170.81</v>
      </c>
      <c r="D900" s="50">
        <v>0</v>
      </c>
      <c r="E900" s="31">
        <f t="shared" si="167"/>
        <v>403021</v>
      </c>
      <c r="F900" s="900">
        <v>243.05555545833334</v>
      </c>
      <c r="G900" s="899">
        <f t="shared" si="168"/>
        <v>595.04999999999995</v>
      </c>
      <c r="H900" s="50">
        <v>0</v>
      </c>
      <c r="I900" s="31">
        <f t="shared" si="169"/>
        <v>20739.560000000001</v>
      </c>
      <c r="J900" s="50">
        <v>0</v>
      </c>
      <c r="K900" s="31">
        <f t="shared" si="170"/>
        <v>0</v>
      </c>
      <c r="L900" s="50">
        <v>0</v>
      </c>
      <c r="M900" s="31">
        <f t="shared" si="171"/>
        <v>130597.35</v>
      </c>
      <c r="N900" s="50">
        <v>0</v>
      </c>
      <c r="O900" s="31">
        <f t="shared" si="172"/>
        <v>0</v>
      </c>
      <c r="P900" s="51" t="s">
        <v>3009</v>
      </c>
      <c r="Q900" s="51" t="s">
        <v>3041</v>
      </c>
    </row>
    <row r="901" spans="1:17" x14ac:dyDescent="0.25">
      <c r="A901" s="10">
        <v>44362</v>
      </c>
      <c r="B901" s="594">
        <v>0</v>
      </c>
      <c r="C901" s="31">
        <f t="shared" si="166"/>
        <v>-142390170.81</v>
      </c>
      <c r="D901" s="50">
        <v>0</v>
      </c>
      <c r="E901" s="31">
        <f t="shared" si="167"/>
        <v>403021</v>
      </c>
      <c r="F901" s="900">
        <v>16483.333333333332</v>
      </c>
      <c r="G901" s="899">
        <f t="shared" si="168"/>
        <v>17078.38</v>
      </c>
      <c r="H901" s="50">
        <v>0</v>
      </c>
      <c r="I901" s="31">
        <f t="shared" si="169"/>
        <v>20739.560000000001</v>
      </c>
      <c r="J901" s="50">
        <v>0</v>
      </c>
      <c r="K901" s="31">
        <f t="shared" si="170"/>
        <v>0</v>
      </c>
      <c r="L901" s="50">
        <v>0</v>
      </c>
      <c r="M901" s="31">
        <f t="shared" si="171"/>
        <v>130597.35</v>
      </c>
      <c r="N901" s="50">
        <v>0</v>
      </c>
      <c r="O901" s="31">
        <f t="shared" si="172"/>
        <v>0</v>
      </c>
      <c r="P901" s="51" t="s">
        <v>3010</v>
      </c>
      <c r="Q901" s="51" t="s">
        <v>3041</v>
      </c>
    </row>
    <row r="902" spans="1:17" x14ac:dyDescent="0.25">
      <c r="A902" s="10">
        <v>44362</v>
      </c>
      <c r="B902" s="594">
        <v>142390170.81</v>
      </c>
      <c r="C902" s="31">
        <f t="shared" si="166"/>
        <v>0</v>
      </c>
      <c r="D902" s="50">
        <v>0</v>
      </c>
      <c r="E902" s="31">
        <f t="shared" si="167"/>
        <v>403021</v>
      </c>
      <c r="F902" s="900">
        <v>0</v>
      </c>
      <c r="G902" s="899">
        <f t="shared" si="168"/>
        <v>17078.38</v>
      </c>
      <c r="H902" s="50">
        <v>0</v>
      </c>
      <c r="I902" s="31">
        <f t="shared" si="169"/>
        <v>20739.560000000001</v>
      </c>
      <c r="J902" s="50">
        <v>0</v>
      </c>
      <c r="K902" s="31">
        <f t="shared" si="170"/>
        <v>0</v>
      </c>
      <c r="L902" s="50">
        <v>0</v>
      </c>
      <c r="M902" s="31">
        <f t="shared" si="171"/>
        <v>130597.35</v>
      </c>
      <c r="N902" s="50">
        <v>0</v>
      </c>
      <c r="O902" s="31">
        <f t="shared" si="172"/>
        <v>0</v>
      </c>
      <c r="P902" s="51" t="s">
        <v>859</v>
      </c>
      <c r="Q902" s="51"/>
    </row>
    <row r="903" spans="1:17" x14ac:dyDescent="0.25">
      <c r="A903" s="10">
        <v>44362</v>
      </c>
      <c r="B903" s="594">
        <v>77372276</v>
      </c>
      <c r="C903" s="31">
        <f t="shared" si="166"/>
        <v>77372276</v>
      </c>
      <c r="D903" s="50">
        <f>-B903</f>
        <v>-77372276</v>
      </c>
      <c r="E903" s="31">
        <f t="shared" si="167"/>
        <v>-76969255</v>
      </c>
      <c r="F903" s="900">
        <v>0</v>
      </c>
      <c r="G903" s="899">
        <f t="shared" si="168"/>
        <v>17078.38</v>
      </c>
      <c r="H903" s="50">
        <v>0</v>
      </c>
      <c r="I903" s="31">
        <f t="shared" si="169"/>
        <v>20739.560000000001</v>
      </c>
      <c r="J903" s="50">
        <v>0</v>
      </c>
      <c r="K903" s="31">
        <f t="shared" si="170"/>
        <v>0</v>
      </c>
      <c r="L903" s="50">
        <v>0</v>
      </c>
      <c r="M903" s="31">
        <f t="shared" si="171"/>
        <v>130597.35</v>
      </c>
      <c r="N903" s="50">
        <v>0</v>
      </c>
      <c r="O903" s="31">
        <f t="shared" si="172"/>
        <v>0</v>
      </c>
      <c r="P903" s="51" t="s">
        <v>831</v>
      </c>
      <c r="Q903" s="51" t="s">
        <v>3040</v>
      </c>
    </row>
    <row r="904" spans="1:17" x14ac:dyDescent="0.25">
      <c r="A904" s="10">
        <v>44362</v>
      </c>
      <c r="B904" s="594">
        <v>23721906</v>
      </c>
      <c r="C904" s="31">
        <f t="shared" si="166"/>
        <v>101094182</v>
      </c>
      <c r="D904" s="50">
        <f>-B904</f>
        <v>-23721906</v>
      </c>
      <c r="E904" s="31">
        <f t="shared" si="167"/>
        <v>-100691161</v>
      </c>
      <c r="F904" s="900">
        <v>0</v>
      </c>
      <c r="G904" s="899">
        <f t="shared" si="168"/>
        <v>17078.38</v>
      </c>
      <c r="H904" s="50">
        <v>0</v>
      </c>
      <c r="I904" s="31">
        <f t="shared" si="169"/>
        <v>20739.560000000001</v>
      </c>
      <c r="J904" s="50">
        <v>0</v>
      </c>
      <c r="K904" s="31">
        <f t="shared" si="170"/>
        <v>0</v>
      </c>
      <c r="L904" s="50">
        <v>0</v>
      </c>
      <c r="M904" s="31">
        <f t="shared" si="171"/>
        <v>130597.35</v>
      </c>
      <c r="N904" s="50">
        <v>0</v>
      </c>
      <c r="O904" s="31">
        <f t="shared" si="172"/>
        <v>0</v>
      </c>
      <c r="P904" s="51" t="s">
        <v>1697</v>
      </c>
      <c r="Q904" s="51" t="s">
        <v>3040</v>
      </c>
    </row>
    <row r="905" spans="1:17" x14ac:dyDescent="0.25">
      <c r="A905" s="10">
        <v>44362</v>
      </c>
      <c r="B905" s="594">
        <v>7090281</v>
      </c>
      <c r="C905" s="31">
        <f t="shared" si="166"/>
        <v>108184463</v>
      </c>
      <c r="D905" s="50">
        <f>-B905</f>
        <v>-7090281</v>
      </c>
      <c r="E905" s="31">
        <f t="shared" si="167"/>
        <v>-107781442</v>
      </c>
      <c r="F905" s="900">
        <v>0</v>
      </c>
      <c r="G905" s="899">
        <f t="shared" si="168"/>
        <v>17078.38</v>
      </c>
      <c r="H905" s="50">
        <v>0</v>
      </c>
      <c r="I905" s="31">
        <f t="shared" si="169"/>
        <v>20739.560000000001</v>
      </c>
      <c r="J905" s="50">
        <v>0</v>
      </c>
      <c r="K905" s="31">
        <f t="shared" si="170"/>
        <v>0</v>
      </c>
      <c r="L905" s="50">
        <v>0</v>
      </c>
      <c r="M905" s="31">
        <f t="shared" si="171"/>
        <v>130597.35</v>
      </c>
      <c r="N905" s="50">
        <v>0</v>
      </c>
      <c r="O905" s="31">
        <f t="shared" si="172"/>
        <v>0</v>
      </c>
      <c r="P905" s="51" t="s">
        <v>880</v>
      </c>
      <c r="Q905" s="51" t="s">
        <v>3040</v>
      </c>
    </row>
    <row r="906" spans="1:17" x14ac:dyDescent="0.25">
      <c r="A906" s="10">
        <v>44362</v>
      </c>
      <c r="B906" s="594">
        <v>42900000</v>
      </c>
      <c r="C906" s="31">
        <f t="shared" si="166"/>
        <v>151084463</v>
      </c>
      <c r="D906" s="50">
        <v>0</v>
      </c>
      <c r="E906" s="31">
        <f t="shared" si="167"/>
        <v>-107781442</v>
      </c>
      <c r="F906" s="900">
        <f>-B906</f>
        <v>-42900000</v>
      </c>
      <c r="G906" s="899">
        <f t="shared" si="168"/>
        <v>-42882921.619999997</v>
      </c>
      <c r="H906" s="50">
        <v>0</v>
      </c>
      <c r="I906" s="31">
        <f t="shared" si="169"/>
        <v>20739.560000000001</v>
      </c>
      <c r="J906" s="50">
        <v>0</v>
      </c>
      <c r="K906" s="31">
        <f t="shared" si="170"/>
        <v>0</v>
      </c>
      <c r="L906" s="50">
        <v>0</v>
      </c>
      <c r="M906" s="31">
        <f t="shared" si="171"/>
        <v>130597.35</v>
      </c>
      <c r="N906" s="50">
        <v>0</v>
      </c>
      <c r="O906" s="31">
        <f t="shared" si="172"/>
        <v>0</v>
      </c>
      <c r="P906" s="51" t="s">
        <v>1012</v>
      </c>
      <c r="Q906" s="51" t="s">
        <v>3040</v>
      </c>
    </row>
    <row r="907" spans="1:17" x14ac:dyDescent="0.25">
      <c r="A907" s="10">
        <v>44362</v>
      </c>
      <c r="B907" s="594">
        <v>5000000</v>
      </c>
      <c r="C907" s="31">
        <f t="shared" si="166"/>
        <v>156084463</v>
      </c>
      <c r="D907" s="50">
        <f>-B907</f>
        <v>-5000000</v>
      </c>
      <c r="E907" s="31">
        <f t="shared" si="167"/>
        <v>-112781442</v>
      </c>
      <c r="F907" s="900">
        <v>0</v>
      </c>
      <c r="G907" s="899">
        <f t="shared" si="168"/>
        <v>-42882921.619999997</v>
      </c>
      <c r="H907" s="50">
        <v>0</v>
      </c>
      <c r="I907" s="31">
        <f t="shared" si="169"/>
        <v>20739.560000000001</v>
      </c>
      <c r="J907" s="50">
        <v>0</v>
      </c>
      <c r="K907" s="31">
        <f t="shared" si="170"/>
        <v>0</v>
      </c>
      <c r="L907" s="50">
        <v>0</v>
      </c>
      <c r="M907" s="31">
        <f t="shared" si="171"/>
        <v>130597.35</v>
      </c>
      <c r="N907" s="50">
        <v>0</v>
      </c>
      <c r="O907" s="31">
        <f t="shared" si="172"/>
        <v>0</v>
      </c>
      <c r="P907" s="51" t="s">
        <v>831</v>
      </c>
      <c r="Q907" s="51" t="s">
        <v>3040</v>
      </c>
    </row>
    <row r="908" spans="1:17" x14ac:dyDescent="0.25">
      <c r="A908" s="10">
        <v>44362</v>
      </c>
      <c r="B908" s="594">
        <v>2000000</v>
      </c>
      <c r="C908" s="31">
        <f t="shared" si="166"/>
        <v>158084463</v>
      </c>
      <c r="D908" s="50">
        <f>-B908</f>
        <v>-2000000</v>
      </c>
      <c r="E908" s="31">
        <f t="shared" si="167"/>
        <v>-114781442</v>
      </c>
      <c r="F908" s="900">
        <v>0</v>
      </c>
      <c r="G908" s="899">
        <f t="shared" si="168"/>
        <v>-42882921.619999997</v>
      </c>
      <c r="H908" s="50">
        <v>0</v>
      </c>
      <c r="I908" s="31">
        <f t="shared" si="169"/>
        <v>20739.560000000001</v>
      </c>
      <c r="J908" s="50">
        <v>0</v>
      </c>
      <c r="K908" s="31">
        <f t="shared" si="170"/>
        <v>0</v>
      </c>
      <c r="L908" s="50">
        <v>0</v>
      </c>
      <c r="M908" s="31">
        <f t="shared" si="171"/>
        <v>130597.35</v>
      </c>
      <c r="N908" s="50">
        <v>0</v>
      </c>
      <c r="O908" s="31">
        <f t="shared" si="172"/>
        <v>0</v>
      </c>
      <c r="P908" s="51" t="s">
        <v>1697</v>
      </c>
      <c r="Q908" s="51" t="s">
        <v>3040</v>
      </c>
    </row>
    <row r="909" spans="1:17" x14ac:dyDescent="0.25">
      <c r="A909" s="10">
        <v>44362</v>
      </c>
      <c r="B909" s="594">
        <v>1700000</v>
      </c>
      <c r="C909" s="31">
        <f t="shared" si="166"/>
        <v>159784463</v>
      </c>
      <c r="D909" s="50">
        <f>-B909</f>
        <v>-1700000</v>
      </c>
      <c r="E909" s="31">
        <f t="shared" si="167"/>
        <v>-116481442</v>
      </c>
      <c r="F909" s="900">
        <v>0</v>
      </c>
      <c r="G909" s="899">
        <f t="shared" si="168"/>
        <v>-42882921.619999997</v>
      </c>
      <c r="H909" s="50">
        <v>0</v>
      </c>
      <c r="I909" s="31">
        <f t="shared" si="169"/>
        <v>20739.560000000001</v>
      </c>
      <c r="J909" s="50">
        <v>0</v>
      </c>
      <c r="K909" s="31">
        <f t="shared" si="170"/>
        <v>0</v>
      </c>
      <c r="L909" s="50">
        <v>0</v>
      </c>
      <c r="M909" s="31">
        <f t="shared" si="171"/>
        <v>130597.35</v>
      </c>
      <c r="N909" s="50">
        <v>0</v>
      </c>
      <c r="O909" s="31">
        <f t="shared" si="172"/>
        <v>0</v>
      </c>
      <c r="P909" s="51" t="s">
        <v>880</v>
      </c>
      <c r="Q909" s="51" t="s">
        <v>3040</v>
      </c>
    </row>
    <row r="910" spans="1:17" x14ac:dyDescent="0.25">
      <c r="A910" s="10">
        <v>44362</v>
      </c>
      <c r="B910" s="594">
        <v>2000000</v>
      </c>
      <c r="C910" s="31">
        <f t="shared" si="166"/>
        <v>161784463</v>
      </c>
      <c r="D910" s="50">
        <v>0</v>
      </c>
      <c r="E910" s="31">
        <f t="shared" si="167"/>
        <v>-116481442</v>
      </c>
      <c r="F910" s="900">
        <f>-B910</f>
        <v>-2000000</v>
      </c>
      <c r="G910" s="899">
        <f t="shared" si="168"/>
        <v>-44882921.619999997</v>
      </c>
      <c r="H910" s="50">
        <v>0</v>
      </c>
      <c r="I910" s="31">
        <f t="shared" si="169"/>
        <v>20739.560000000001</v>
      </c>
      <c r="J910" s="50">
        <v>0</v>
      </c>
      <c r="K910" s="31">
        <f t="shared" si="170"/>
        <v>0</v>
      </c>
      <c r="L910" s="50">
        <v>0</v>
      </c>
      <c r="M910" s="31">
        <f t="shared" si="171"/>
        <v>130597.35</v>
      </c>
      <c r="N910" s="50">
        <v>0</v>
      </c>
      <c r="O910" s="31">
        <f t="shared" si="172"/>
        <v>0</v>
      </c>
      <c r="P910" s="51" t="s">
        <v>1012</v>
      </c>
      <c r="Q910" s="51" t="s">
        <v>3040</v>
      </c>
    </row>
    <row r="911" spans="1:17" x14ac:dyDescent="0.25">
      <c r="A911" s="10">
        <v>44362</v>
      </c>
      <c r="B911" s="594">
        <v>6700000</v>
      </c>
      <c r="C911" s="31">
        <f t="shared" si="166"/>
        <v>168484463</v>
      </c>
      <c r="D911" s="50">
        <f t="shared" ref="D911:D912" si="173">-B911</f>
        <v>-6700000</v>
      </c>
      <c r="E911" s="31">
        <f t="shared" si="167"/>
        <v>-123181442</v>
      </c>
      <c r="F911" s="900">
        <v>0</v>
      </c>
      <c r="G911" s="899">
        <f t="shared" si="168"/>
        <v>-44882921.619999997</v>
      </c>
      <c r="H911" s="50">
        <v>0</v>
      </c>
      <c r="I911" s="31">
        <f t="shared" si="169"/>
        <v>20739.560000000001</v>
      </c>
      <c r="J911" s="50">
        <v>0</v>
      </c>
      <c r="K911" s="31">
        <f t="shared" si="170"/>
        <v>0</v>
      </c>
      <c r="L911" s="50">
        <v>0</v>
      </c>
      <c r="M911" s="31">
        <f t="shared" si="171"/>
        <v>130597.35</v>
      </c>
      <c r="N911" s="50">
        <v>0</v>
      </c>
      <c r="O911" s="31">
        <f t="shared" si="172"/>
        <v>0</v>
      </c>
      <c r="P911" s="51" t="s">
        <v>2661</v>
      </c>
      <c r="Q911" s="51" t="s">
        <v>3040</v>
      </c>
    </row>
    <row r="912" spans="1:17" x14ac:dyDescent="0.25">
      <c r="A912" s="10">
        <v>44362</v>
      </c>
      <c r="B912" s="594">
        <v>1420000</v>
      </c>
      <c r="C912" s="31">
        <f t="shared" si="166"/>
        <v>169904463</v>
      </c>
      <c r="D912" s="50">
        <f t="shared" si="173"/>
        <v>-1420000</v>
      </c>
      <c r="E912" s="31">
        <f t="shared" si="167"/>
        <v>-124601442</v>
      </c>
      <c r="F912" s="900">
        <v>0</v>
      </c>
      <c r="G912" s="899">
        <f t="shared" si="168"/>
        <v>-44882921.619999997</v>
      </c>
      <c r="H912" s="50">
        <v>0</v>
      </c>
      <c r="I912" s="31">
        <f t="shared" si="169"/>
        <v>20739.560000000001</v>
      </c>
      <c r="J912" s="50">
        <v>0</v>
      </c>
      <c r="K912" s="31">
        <f t="shared" si="170"/>
        <v>0</v>
      </c>
      <c r="L912" s="50">
        <v>0</v>
      </c>
      <c r="M912" s="31">
        <f t="shared" si="171"/>
        <v>130597.35</v>
      </c>
      <c r="N912" s="50">
        <v>0</v>
      </c>
      <c r="O912" s="31">
        <f t="shared" si="172"/>
        <v>0</v>
      </c>
      <c r="P912" s="51" t="s">
        <v>2980</v>
      </c>
      <c r="Q912" s="51" t="s">
        <v>3040</v>
      </c>
    </row>
    <row r="913" spans="1:17" x14ac:dyDescent="0.25">
      <c r="A913" s="10">
        <v>44362</v>
      </c>
      <c r="B913" s="594">
        <v>0</v>
      </c>
      <c r="C913" s="31">
        <f t="shared" si="166"/>
        <v>169904463</v>
      </c>
      <c r="D913" s="50">
        <v>48510937.5</v>
      </c>
      <c r="E913" s="31">
        <f t="shared" si="167"/>
        <v>-76090504.5</v>
      </c>
      <c r="F913" s="900">
        <v>0</v>
      </c>
      <c r="G913" s="899">
        <f t="shared" si="168"/>
        <v>-44882921.619999997</v>
      </c>
      <c r="H913" s="50">
        <v>0</v>
      </c>
      <c r="I913" s="31">
        <f t="shared" si="169"/>
        <v>20739.560000000001</v>
      </c>
      <c r="J913" s="50">
        <v>0</v>
      </c>
      <c r="K913" s="31">
        <f t="shared" si="170"/>
        <v>0</v>
      </c>
      <c r="L913" s="50">
        <v>0</v>
      </c>
      <c r="M913" s="31">
        <f t="shared" si="171"/>
        <v>130597.35</v>
      </c>
      <c r="N913" s="50">
        <v>0</v>
      </c>
      <c r="O913" s="31">
        <f t="shared" si="172"/>
        <v>0</v>
      </c>
      <c r="P913" s="51" t="s">
        <v>3012</v>
      </c>
      <c r="Q913" s="51" t="s">
        <v>1998</v>
      </c>
    </row>
    <row r="914" spans="1:17" x14ac:dyDescent="0.25">
      <c r="A914" s="10">
        <v>44362</v>
      </c>
      <c r="B914" s="594">
        <v>0</v>
      </c>
      <c r="C914" s="31">
        <f t="shared" si="166"/>
        <v>169904463</v>
      </c>
      <c r="D914" s="50">
        <v>48510937.5</v>
      </c>
      <c r="E914" s="31">
        <f t="shared" si="167"/>
        <v>-27579567</v>
      </c>
      <c r="F914" s="900">
        <v>0</v>
      </c>
      <c r="G914" s="899">
        <f t="shared" si="168"/>
        <v>-44882921.619999997</v>
      </c>
      <c r="H914" s="50">
        <v>0</v>
      </c>
      <c r="I914" s="31">
        <f t="shared" si="169"/>
        <v>20739.560000000001</v>
      </c>
      <c r="J914" s="50">
        <v>0</v>
      </c>
      <c r="K914" s="31">
        <f t="shared" si="170"/>
        <v>0</v>
      </c>
      <c r="L914" s="50">
        <v>0</v>
      </c>
      <c r="M914" s="31">
        <f t="shared" si="171"/>
        <v>130597.35</v>
      </c>
      <c r="N914" s="50">
        <v>0</v>
      </c>
      <c r="O914" s="31">
        <f t="shared" si="172"/>
        <v>0</v>
      </c>
      <c r="P914" s="51" t="s">
        <v>3013</v>
      </c>
      <c r="Q914" s="51" t="s">
        <v>1998</v>
      </c>
    </row>
    <row r="915" spans="1:17" x14ac:dyDescent="0.25">
      <c r="A915" s="10">
        <v>44362</v>
      </c>
      <c r="B915" s="594">
        <v>0</v>
      </c>
      <c r="C915" s="31">
        <f t="shared" si="166"/>
        <v>169904463</v>
      </c>
      <c r="D915" s="50">
        <v>19026171.449999999</v>
      </c>
      <c r="E915" s="31">
        <f t="shared" si="167"/>
        <v>-8553395.5500000007</v>
      </c>
      <c r="F915" s="900">
        <v>0</v>
      </c>
      <c r="G915" s="899">
        <f t="shared" si="168"/>
        <v>-44882921.619999997</v>
      </c>
      <c r="H915" s="50">
        <v>0</v>
      </c>
      <c r="I915" s="31">
        <f t="shared" si="169"/>
        <v>20739.560000000001</v>
      </c>
      <c r="J915" s="50">
        <v>0</v>
      </c>
      <c r="K915" s="31">
        <f t="shared" si="170"/>
        <v>0</v>
      </c>
      <c r="L915" s="50">
        <v>0</v>
      </c>
      <c r="M915" s="31">
        <f t="shared" si="171"/>
        <v>130597.35</v>
      </c>
      <c r="N915" s="50">
        <v>0</v>
      </c>
      <c r="O915" s="31">
        <f t="shared" si="172"/>
        <v>0</v>
      </c>
      <c r="P915" s="51" t="s">
        <v>3014</v>
      </c>
      <c r="Q915" s="51" t="s">
        <v>1998</v>
      </c>
    </row>
    <row r="916" spans="1:17" x14ac:dyDescent="0.25">
      <c r="A916" s="10">
        <v>44362</v>
      </c>
      <c r="B916" s="594">
        <v>0</v>
      </c>
      <c r="C916" s="31">
        <f t="shared" si="166"/>
        <v>169904463</v>
      </c>
      <c r="D916" s="50">
        <v>8500000</v>
      </c>
      <c r="E916" s="31">
        <f t="shared" si="167"/>
        <v>-53395.55</v>
      </c>
      <c r="F916" s="900">
        <v>0</v>
      </c>
      <c r="G916" s="899">
        <f t="shared" si="168"/>
        <v>-44882921.619999997</v>
      </c>
      <c r="H916" s="50">
        <v>0</v>
      </c>
      <c r="I916" s="31">
        <f t="shared" si="169"/>
        <v>20739.560000000001</v>
      </c>
      <c r="J916" s="50">
        <v>0</v>
      </c>
      <c r="K916" s="31">
        <f t="shared" si="170"/>
        <v>0</v>
      </c>
      <c r="L916" s="50">
        <v>0</v>
      </c>
      <c r="M916" s="31">
        <f t="shared" si="171"/>
        <v>130597.35</v>
      </c>
      <c r="N916" s="50">
        <v>0</v>
      </c>
      <c r="O916" s="31">
        <f t="shared" si="172"/>
        <v>0</v>
      </c>
      <c r="P916" s="51" t="s">
        <v>3015</v>
      </c>
      <c r="Q916" s="51" t="s">
        <v>1998</v>
      </c>
    </row>
    <row r="917" spans="1:17" x14ac:dyDescent="0.25">
      <c r="A917" s="10">
        <v>44362</v>
      </c>
      <c r="B917" s="594">
        <v>0</v>
      </c>
      <c r="C917" s="31">
        <f t="shared" si="166"/>
        <v>169904463</v>
      </c>
      <c r="D917" s="50">
        <v>1855058.25</v>
      </c>
      <c r="E917" s="31">
        <f t="shared" si="167"/>
        <v>1801662.7</v>
      </c>
      <c r="F917" s="900">
        <v>0</v>
      </c>
      <c r="G917" s="899">
        <f t="shared" si="168"/>
        <v>-44882921.619999997</v>
      </c>
      <c r="H917" s="50">
        <v>0</v>
      </c>
      <c r="I917" s="31">
        <f t="shared" si="169"/>
        <v>20739.560000000001</v>
      </c>
      <c r="J917" s="50">
        <v>0</v>
      </c>
      <c r="K917" s="31">
        <f t="shared" si="170"/>
        <v>0</v>
      </c>
      <c r="L917" s="50">
        <v>0</v>
      </c>
      <c r="M917" s="31">
        <f t="shared" si="171"/>
        <v>130597.35</v>
      </c>
      <c r="N917" s="50">
        <v>0</v>
      </c>
      <c r="O917" s="31">
        <f t="shared" si="172"/>
        <v>0</v>
      </c>
      <c r="P917" s="51" t="s">
        <v>3016</v>
      </c>
      <c r="Q917" s="51" t="s">
        <v>1998</v>
      </c>
    </row>
    <row r="918" spans="1:17" x14ac:dyDescent="0.25">
      <c r="A918" s="10">
        <v>44362</v>
      </c>
      <c r="B918" s="594">
        <v>0</v>
      </c>
      <c r="C918" s="31">
        <f t="shared" si="166"/>
        <v>169904463</v>
      </c>
      <c r="D918" s="50">
        <v>-77372276</v>
      </c>
      <c r="E918" s="31">
        <f t="shared" si="167"/>
        <v>-75570613.299999997</v>
      </c>
      <c r="F918" s="900">
        <v>0</v>
      </c>
      <c r="G918" s="899">
        <f t="shared" si="168"/>
        <v>-44882921.619999997</v>
      </c>
      <c r="H918" s="50">
        <v>0</v>
      </c>
      <c r="I918" s="31">
        <f t="shared" si="169"/>
        <v>20739.560000000001</v>
      </c>
      <c r="J918" s="50">
        <v>0</v>
      </c>
      <c r="K918" s="31">
        <f t="shared" si="170"/>
        <v>0</v>
      </c>
      <c r="L918" s="50">
        <v>0</v>
      </c>
      <c r="M918" s="31">
        <f t="shared" si="171"/>
        <v>130597.35</v>
      </c>
      <c r="N918" s="50">
        <v>0</v>
      </c>
      <c r="O918" s="31">
        <f t="shared" si="172"/>
        <v>0</v>
      </c>
      <c r="P918" s="51" t="s">
        <v>3017</v>
      </c>
      <c r="Q918" s="51" t="s">
        <v>3040</v>
      </c>
    </row>
    <row r="919" spans="1:17" x14ac:dyDescent="0.25">
      <c r="A919" s="10">
        <v>44362</v>
      </c>
      <c r="B919" s="594">
        <f>-D919</f>
        <v>-77372276</v>
      </c>
      <c r="C919" s="31">
        <f t="shared" si="166"/>
        <v>92532187</v>
      </c>
      <c r="D919" s="50">
        <v>77372276</v>
      </c>
      <c r="E919" s="31">
        <f t="shared" si="167"/>
        <v>1801662.7</v>
      </c>
      <c r="F919" s="900">
        <v>0</v>
      </c>
      <c r="G919" s="899">
        <f t="shared" si="168"/>
        <v>-44882921.619999997</v>
      </c>
      <c r="H919" s="50">
        <v>0</v>
      </c>
      <c r="I919" s="31">
        <f t="shared" si="169"/>
        <v>20739.560000000001</v>
      </c>
      <c r="J919" s="50">
        <v>0</v>
      </c>
      <c r="K919" s="31">
        <f t="shared" si="170"/>
        <v>0</v>
      </c>
      <c r="L919" s="50">
        <v>0</v>
      </c>
      <c r="M919" s="31">
        <f t="shared" si="171"/>
        <v>130597.35</v>
      </c>
      <c r="N919" s="50">
        <v>0</v>
      </c>
      <c r="O919" s="31">
        <f t="shared" si="172"/>
        <v>0</v>
      </c>
      <c r="P919" s="51" t="s">
        <v>3018</v>
      </c>
      <c r="Q919" s="51" t="s">
        <v>3040</v>
      </c>
    </row>
    <row r="920" spans="1:17" x14ac:dyDescent="0.25">
      <c r="A920" s="10">
        <v>44362</v>
      </c>
      <c r="B920" s="594">
        <f>-D920</f>
        <v>-23721906</v>
      </c>
      <c r="C920" s="31">
        <f t="shared" si="166"/>
        <v>68810281</v>
      </c>
      <c r="D920" s="50">
        <v>23721906</v>
      </c>
      <c r="E920" s="31">
        <f t="shared" si="167"/>
        <v>25523568.699999999</v>
      </c>
      <c r="F920" s="900">
        <v>0</v>
      </c>
      <c r="G920" s="899">
        <f t="shared" si="168"/>
        <v>-44882921.619999997</v>
      </c>
      <c r="H920" s="50">
        <v>0</v>
      </c>
      <c r="I920" s="31">
        <f t="shared" si="169"/>
        <v>20739.560000000001</v>
      </c>
      <c r="J920" s="50">
        <v>0</v>
      </c>
      <c r="K920" s="31">
        <f t="shared" si="170"/>
        <v>0</v>
      </c>
      <c r="L920" s="50">
        <v>0</v>
      </c>
      <c r="M920" s="31">
        <f t="shared" si="171"/>
        <v>130597.35</v>
      </c>
      <c r="N920" s="50">
        <v>0</v>
      </c>
      <c r="O920" s="31">
        <f t="shared" si="172"/>
        <v>0</v>
      </c>
      <c r="P920" s="51" t="s">
        <v>3019</v>
      </c>
      <c r="Q920" s="51" t="s">
        <v>3040</v>
      </c>
    </row>
    <row r="921" spans="1:17" x14ac:dyDescent="0.25">
      <c r="A921" s="10">
        <v>44362</v>
      </c>
      <c r="B921" s="594">
        <v>0</v>
      </c>
      <c r="C921" s="31">
        <f t="shared" si="166"/>
        <v>68810281</v>
      </c>
      <c r="D921" s="50">
        <v>-18113725.77</v>
      </c>
      <c r="E921" s="31">
        <f t="shared" si="167"/>
        <v>7409842.9299999997</v>
      </c>
      <c r="F921" s="900">
        <v>0</v>
      </c>
      <c r="G921" s="899">
        <f t="shared" si="168"/>
        <v>-44882921.619999997</v>
      </c>
      <c r="H921" s="50">
        <v>0</v>
      </c>
      <c r="I921" s="31">
        <f t="shared" si="169"/>
        <v>20739.560000000001</v>
      </c>
      <c r="J921" s="50">
        <v>0</v>
      </c>
      <c r="K921" s="31">
        <f t="shared" si="170"/>
        <v>0</v>
      </c>
      <c r="L921" s="50">
        <v>0</v>
      </c>
      <c r="M921" s="31">
        <f t="shared" si="171"/>
        <v>130597.35</v>
      </c>
      <c r="N921" s="50">
        <v>0</v>
      </c>
      <c r="O921" s="31">
        <f t="shared" si="172"/>
        <v>0</v>
      </c>
      <c r="P921" s="51" t="s">
        <v>3020</v>
      </c>
      <c r="Q921" s="51" t="s">
        <v>3040</v>
      </c>
    </row>
    <row r="922" spans="1:17" x14ac:dyDescent="0.25">
      <c r="A922" s="10">
        <v>44362</v>
      </c>
      <c r="B922" s="594">
        <f>-D922</f>
        <v>-7090281</v>
      </c>
      <c r="C922" s="31">
        <f t="shared" si="166"/>
        <v>61720000</v>
      </c>
      <c r="D922" s="50">
        <v>7090281</v>
      </c>
      <c r="E922" s="31">
        <f t="shared" si="167"/>
        <v>14500123.93</v>
      </c>
      <c r="F922" s="900">
        <v>0</v>
      </c>
      <c r="G922" s="899">
        <f t="shared" si="168"/>
        <v>-44882921.619999997</v>
      </c>
      <c r="H922" s="50">
        <v>0</v>
      </c>
      <c r="I922" s="31">
        <f t="shared" si="169"/>
        <v>20739.560000000001</v>
      </c>
      <c r="J922" s="50">
        <v>0</v>
      </c>
      <c r="K922" s="31">
        <f t="shared" si="170"/>
        <v>0</v>
      </c>
      <c r="L922" s="50">
        <v>0</v>
      </c>
      <c r="M922" s="31">
        <f t="shared" si="171"/>
        <v>130597.35</v>
      </c>
      <c r="N922" s="50">
        <v>0</v>
      </c>
      <c r="O922" s="31">
        <f t="shared" si="172"/>
        <v>0</v>
      </c>
      <c r="P922" s="51" t="s">
        <v>3021</v>
      </c>
      <c r="Q922" s="51" t="s">
        <v>3040</v>
      </c>
    </row>
    <row r="923" spans="1:17" x14ac:dyDescent="0.25">
      <c r="A923" s="10">
        <v>44362</v>
      </c>
      <c r="B923" s="594">
        <v>0</v>
      </c>
      <c r="C923" s="31">
        <f t="shared" si="166"/>
        <v>61720000</v>
      </c>
      <c r="D923" s="50">
        <v>-7090281</v>
      </c>
      <c r="E923" s="31">
        <f t="shared" si="167"/>
        <v>7409842.9299999997</v>
      </c>
      <c r="F923" s="900">
        <v>0</v>
      </c>
      <c r="G923" s="899">
        <f t="shared" si="168"/>
        <v>-44882921.619999997</v>
      </c>
      <c r="H923" s="50">
        <v>0</v>
      </c>
      <c r="I923" s="31">
        <f t="shared" si="169"/>
        <v>20739.560000000001</v>
      </c>
      <c r="J923" s="50">
        <v>0</v>
      </c>
      <c r="K923" s="31">
        <f t="shared" si="170"/>
        <v>0</v>
      </c>
      <c r="L923" s="50">
        <v>0</v>
      </c>
      <c r="M923" s="31">
        <f t="shared" si="171"/>
        <v>130597.35</v>
      </c>
      <c r="N923" s="50">
        <v>0</v>
      </c>
      <c r="O923" s="31">
        <f t="shared" si="172"/>
        <v>0</v>
      </c>
      <c r="P923" s="51" t="s">
        <v>3022</v>
      </c>
      <c r="Q923" s="51" t="s">
        <v>3040</v>
      </c>
    </row>
    <row r="924" spans="1:17" x14ac:dyDescent="0.25">
      <c r="A924" s="10">
        <v>44362</v>
      </c>
      <c r="B924" s="594">
        <f>-D924</f>
        <v>-6700000</v>
      </c>
      <c r="C924" s="31">
        <f t="shared" si="166"/>
        <v>55020000</v>
      </c>
      <c r="D924" s="50">
        <v>6700000</v>
      </c>
      <c r="E924" s="31">
        <f t="shared" si="167"/>
        <v>14109842.93</v>
      </c>
      <c r="F924" s="900">
        <v>0</v>
      </c>
      <c r="G924" s="899">
        <f t="shared" si="168"/>
        <v>-44882921.619999997</v>
      </c>
      <c r="H924" s="50">
        <v>0</v>
      </c>
      <c r="I924" s="31">
        <f t="shared" si="169"/>
        <v>20739.560000000001</v>
      </c>
      <c r="J924" s="50">
        <v>0</v>
      </c>
      <c r="K924" s="31">
        <f t="shared" si="170"/>
        <v>0</v>
      </c>
      <c r="L924" s="50">
        <v>0</v>
      </c>
      <c r="M924" s="31">
        <f t="shared" si="171"/>
        <v>130597.35</v>
      </c>
      <c r="N924" s="50">
        <v>0</v>
      </c>
      <c r="O924" s="31">
        <f t="shared" si="172"/>
        <v>0</v>
      </c>
      <c r="P924" s="51" t="s">
        <v>3023</v>
      </c>
      <c r="Q924" s="51" t="s">
        <v>3040</v>
      </c>
    </row>
    <row r="925" spans="1:17" x14ac:dyDescent="0.25">
      <c r="A925" s="10">
        <v>44362</v>
      </c>
      <c r="B925" s="594">
        <v>0</v>
      </c>
      <c r="C925" s="31">
        <f t="shared" ref="C925:C988" si="174">ROUND(B925+C924,2)</f>
        <v>55020000</v>
      </c>
      <c r="D925" s="50">
        <v>-6700000</v>
      </c>
      <c r="E925" s="31">
        <f t="shared" ref="E925:E988" si="175">ROUND(D925+E924,2)</f>
        <v>7409842.9299999997</v>
      </c>
      <c r="F925" s="900">
        <v>0</v>
      </c>
      <c r="G925" s="899">
        <f t="shared" ref="G925:G988" si="176">ROUND(F925+G924,2)</f>
        <v>-44882921.619999997</v>
      </c>
      <c r="H925" s="50">
        <v>0</v>
      </c>
      <c r="I925" s="31">
        <f t="shared" ref="I925:I988" si="177">ROUND(H925+I924,2)</f>
        <v>20739.560000000001</v>
      </c>
      <c r="J925" s="50">
        <v>0</v>
      </c>
      <c r="K925" s="31">
        <f t="shared" ref="K925:K988" si="178">ROUND(J925+K924,2)</f>
        <v>0</v>
      </c>
      <c r="L925" s="50">
        <v>0</v>
      </c>
      <c r="M925" s="31">
        <f t="shared" ref="M925:M988" si="179">ROUND(L925+M924,2)</f>
        <v>130597.35</v>
      </c>
      <c r="N925" s="50">
        <v>0</v>
      </c>
      <c r="O925" s="31">
        <f t="shared" ref="O925:O988" si="180">ROUND(N925+O924,2)</f>
        <v>0</v>
      </c>
      <c r="P925" s="51" t="s">
        <v>3024</v>
      </c>
      <c r="Q925" s="51" t="s">
        <v>3040</v>
      </c>
    </row>
    <row r="926" spans="1:17" x14ac:dyDescent="0.25">
      <c r="A926" s="10">
        <v>44362</v>
      </c>
      <c r="B926" s="594">
        <v>0</v>
      </c>
      <c r="C926" s="31">
        <f t="shared" si="174"/>
        <v>55020000</v>
      </c>
      <c r="D926" s="50">
        <v>-5608180.2300000004</v>
      </c>
      <c r="E926" s="31">
        <f t="shared" si="175"/>
        <v>1801662.7</v>
      </c>
      <c r="F926" s="900">
        <v>0</v>
      </c>
      <c r="G926" s="899">
        <f t="shared" si="176"/>
        <v>-44882921.619999997</v>
      </c>
      <c r="H926" s="50">
        <v>0</v>
      </c>
      <c r="I926" s="31">
        <f t="shared" si="177"/>
        <v>20739.560000000001</v>
      </c>
      <c r="J926" s="50">
        <v>0</v>
      </c>
      <c r="K926" s="31">
        <f t="shared" si="178"/>
        <v>0</v>
      </c>
      <c r="L926" s="50">
        <v>0</v>
      </c>
      <c r="M926" s="31">
        <f t="shared" si="179"/>
        <v>130597.35</v>
      </c>
      <c r="N926" s="50">
        <v>0</v>
      </c>
      <c r="O926" s="31">
        <f t="shared" si="180"/>
        <v>0</v>
      </c>
      <c r="P926" s="51" t="s">
        <v>3025</v>
      </c>
      <c r="Q926" s="51" t="s">
        <v>3040</v>
      </c>
    </row>
    <row r="927" spans="1:17" x14ac:dyDescent="0.25">
      <c r="A927" s="10">
        <v>44362</v>
      </c>
      <c r="B927" s="594">
        <f>-D927</f>
        <v>-5000000</v>
      </c>
      <c r="C927" s="31">
        <f t="shared" si="174"/>
        <v>50020000</v>
      </c>
      <c r="D927" s="50">
        <v>5000000</v>
      </c>
      <c r="E927" s="31">
        <f t="shared" si="175"/>
        <v>6801662.7000000002</v>
      </c>
      <c r="F927" s="900">
        <v>0</v>
      </c>
      <c r="G927" s="899">
        <f t="shared" si="176"/>
        <v>-44882921.619999997</v>
      </c>
      <c r="H927" s="50">
        <v>0</v>
      </c>
      <c r="I927" s="31">
        <f t="shared" si="177"/>
        <v>20739.560000000001</v>
      </c>
      <c r="J927" s="50">
        <v>0</v>
      </c>
      <c r="K927" s="31">
        <f t="shared" si="178"/>
        <v>0</v>
      </c>
      <c r="L927" s="50">
        <v>0</v>
      </c>
      <c r="M927" s="31">
        <f t="shared" si="179"/>
        <v>130597.35</v>
      </c>
      <c r="N927" s="50">
        <v>0</v>
      </c>
      <c r="O927" s="31">
        <f t="shared" si="180"/>
        <v>0</v>
      </c>
      <c r="P927" s="51" t="s">
        <v>3026</v>
      </c>
      <c r="Q927" s="51" t="s">
        <v>3040</v>
      </c>
    </row>
    <row r="928" spans="1:17" x14ac:dyDescent="0.25">
      <c r="A928" s="10">
        <v>44362</v>
      </c>
      <c r="B928" s="594">
        <v>0</v>
      </c>
      <c r="C928" s="31">
        <f t="shared" si="174"/>
        <v>50020000</v>
      </c>
      <c r="D928" s="50">
        <v>-5000000</v>
      </c>
      <c r="E928" s="31">
        <f t="shared" si="175"/>
        <v>1801662.7</v>
      </c>
      <c r="F928" s="900">
        <v>0</v>
      </c>
      <c r="G928" s="899">
        <f t="shared" si="176"/>
        <v>-44882921.619999997</v>
      </c>
      <c r="H928" s="50">
        <v>0</v>
      </c>
      <c r="I928" s="31">
        <f t="shared" si="177"/>
        <v>20739.560000000001</v>
      </c>
      <c r="J928" s="50">
        <v>0</v>
      </c>
      <c r="K928" s="31">
        <f t="shared" si="178"/>
        <v>0</v>
      </c>
      <c r="L928" s="50">
        <v>0</v>
      </c>
      <c r="M928" s="31">
        <f t="shared" si="179"/>
        <v>130597.35</v>
      </c>
      <c r="N928" s="50">
        <v>0</v>
      </c>
      <c r="O928" s="31">
        <f t="shared" si="180"/>
        <v>0</v>
      </c>
      <c r="P928" s="51" t="s">
        <v>3027</v>
      </c>
      <c r="Q928" s="51" t="s">
        <v>3042</v>
      </c>
    </row>
    <row r="929" spans="1:17" x14ac:dyDescent="0.25">
      <c r="A929" s="10">
        <v>44362</v>
      </c>
      <c r="B929" s="594">
        <f>-D929</f>
        <v>-2000000</v>
      </c>
      <c r="C929" s="31">
        <f t="shared" si="174"/>
        <v>48020000</v>
      </c>
      <c r="D929" s="50">
        <v>2000000</v>
      </c>
      <c r="E929" s="31">
        <f t="shared" si="175"/>
        <v>3801662.7</v>
      </c>
      <c r="F929" s="900">
        <v>0</v>
      </c>
      <c r="G929" s="899">
        <f t="shared" si="176"/>
        <v>-44882921.619999997</v>
      </c>
      <c r="H929" s="50">
        <v>0</v>
      </c>
      <c r="I929" s="31">
        <f t="shared" si="177"/>
        <v>20739.560000000001</v>
      </c>
      <c r="J929" s="50">
        <v>0</v>
      </c>
      <c r="K929" s="31">
        <f t="shared" si="178"/>
        <v>0</v>
      </c>
      <c r="L929" s="50">
        <v>0</v>
      </c>
      <c r="M929" s="31">
        <f t="shared" si="179"/>
        <v>130597.35</v>
      </c>
      <c r="N929" s="50">
        <v>0</v>
      </c>
      <c r="O929" s="31">
        <f t="shared" si="180"/>
        <v>0</v>
      </c>
      <c r="P929" s="51" t="s">
        <v>3028</v>
      </c>
      <c r="Q929" s="51" t="s">
        <v>3040</v>
      </c>
    </row>
    <row r="930" spans="1:17" x14ac:dyDescent="0.25">
      <c r="A930" s="10">
        <v>44362</v>
      </c>
      <c r="B930" s="594">
        <v>0</v>
      </c>
      <c r="C930" s="31">
        <f t="shared" si="174"/>
        <v>48020000</v>
      </c>
      <c r="D930" s="50">
        <v>-2000000</v>
      </c>
      <c r="E930" s="31">
        <f t="shared" si="175"/>
        <v>1801662.7</v>
      </c>
      <c r="F930" s="900">
        <v>0</v>
      </c>
      <c r="G930" s="899">
        <f t="shared" si="176"/>
        <v>-44882921.619999997</v>
      </c>
      <c r="H930" s="50">
        <v>0</v>
      </c>
      <c r="I930" s="31">
        <f t="shared" si="177"/>
        <v>20739.560000000001</v>
      </c>
      <c r="J930" s="50">
        <v>0</v>
      </c>
      <c r="K930" s="31">
        <f t="shared" si="178"/>
        <v>0</v>
      </c>
      <c r="L930" s="50">
        <v>0</v>
      </c>
      <c r="M930" s="31">
        <f t="shared" si="179"/>
        <v>130597.35</v>
      </c>
      <c r="N930" s="50">
        <v>0</v>
      </c>
      <c r="O930" s="31">
        <f t="shared" si="180"/>
        <v>0</v>
      </c>
      <c r="P930" s="51" t="s">
        <v>3029</v>
      </c>
      <c r="Q930" s="51" t="s">
        <v>3042</v>
      </c>
    </row>
    <row r="931" spans="1:17" x14ac:dyDescent="0.25">
      <c r="A931" s="10">
        <v>44362</v>
      </c>
      <c r="B931" s="594">
        <f>-D931</f>
        <v>-1700000</v>
      </c>
      <c r="C931" s="31">
        <f t="shared" si="174"/>
        <v>46320000</v>
      </c>
      <c r="D931" s="50">
        <v>1700000</v>
      </c>
      <c r="E931" s="31">
        <f t="shared" si="175"/>
        <v>3501662.7</v>
      </c>
      <c r="F931" s="900">
        <v>0</v>
      </c>
      <c r="G931" s="899">
        <f t="shared" si="176"/>
        <v>-44882921.619999997</v>
      </c>
      <c r="H931" s="50">
        <v>0</v>
      </c>
      <c r="I931" s="31">
        <f t="shared" si="177"/>
        <v>20739.560000000001</v>
      </c>
      <c r="J931" s="50">
        <v>0</v>
      </c>
      <c r="K931" s="31">
        <f t="shared" si="178"/>
        <v>0</v>
      </c>
      <c r="L931" s="50">
        <v>0</v>
      </c>
      <c r="M931" s="31">
        <f t="shared" si="179"/>
        <v>130597.35</v>
      </c>
      <c r="N931" s="50">
        <v>0</v>
      </c>
      <c r="O931" s="31">
        <f t="shared" si="180"/>
        <v>0</v>
      </c>
      <c r="P931" s="51" t="s">
        <v>3030</v>
      </c>
      <c r="Q931" s="51" t="s">
        <v>3040</v>
      </c>
    </row>
    <row r="932" spans="1:17" x14ac:dyDescent="0.25">
      <c r="A932" s="10">
        <v>44362</v>
      </c>
      <c r="B932" s="594">
        <v>0</v>
      </c>
      <c r="C932" s="31">
        <f t="shared" si="174"/>
        <v>46320000</v>
      </c>
      <c r="D932" s="50">
        <v>-1700000</v>
      </c>
      <c r="E932" s="31">
        <f t="shared" si="175"/>
        <v>1801662.7</v>
      </c>
      <c r="F932" s="900">
        <v>0</v>
      </c>
      <c r="G932" s="899">
        <f t="shared" si="176"/>
        <v>-44882921.619999997</v>
      </c>
      <c r="H932" s="50">
        <v>0</v>
      </c>
      <c r="I932" s="31">
        <f t="shared" si="177"/>
        <v>20739.560000000001</v>
      </c>
      <c r="J932" s="50">
        <v>0</v>
      </c>
      <c r="K932" s="31">
        <f t="shared" si="178"/>
        <v>0</v>
      </c>
      <c r="L932" s="50">
        <v>0</v>
      </c>
      <c r="M932" s="31">
        <f t="shared" si="179"/>
        <v>130597.35</v>
      </c>
      <c r="N932" s="50">
        <v>0</v>
      </c>
      <c r="O932" s="31">
        <f t="shared" si="180"/>
        <v>0</v>
      </c>
      <c r="P932" s="51" t="s">
        <v>3031</v>
      </c>
      <c r="Q932" s="51" t="s">
        <v>3042</v>
      </c>
    </row>
    <row r="933" spans="1:17" x14ac:dyDescent="0.25">
      <c r="A933" s="10">
        <v>44362</v>
      </c>
      <c r="B933" s="594">
        <f>-D933</f>
        <v>-1420000</v>
      </c>
      <c r="C933" s="31">
        <f t="shared" si="174"/>
        <v>44900000</v>
      </c>
      <c r="D933" s="50">
        <v>1420000</v>
      </c>
      <c r="E933" s="31">
        <f t="shared" si="175"/>
        <v>3221662.7</v>
      </c>
      <c r="F933" s="900">
        <v>0</v>
      </c>
      <c r="G933" s="899">
        <f t="shared" si="176"/>
        <v>-44882921.619999997</v>
      </c>
      <c r="H933" s="50">
        <v>0</v>
      </c>
      <c r="I933" s="31">
        <f t="shared" si="177"/>
        <v>20739.560000000001</v>
      </c>
      <c r="J933" s="50">
        <v>0</v>
      </c>
      <c r="K933" s="31">
        <f t="shared" si="178"/>
        <v>0</v>
      </c>
      <c r="L933" s="50">
        <v>0</v>
      </c>
      <c r="M933" s="31">
        <f t="shared" si="179"/>
        <v>130597.35</v>
      </c>
      <c r="N933" s="50">
        <v>0</v>
      </c>
      <c r="O933" s="31">
        <f t="shared" si="180"/>
        <v>0</v>
      </c>
      <c r="P933" s="51" t="s">
        <v>3032</v>
      </c>
      <c r="Q933" s="51" t="s">
        <v>3040</v>
      </c>
    </row>
    <row r="934" spans="1:17" x14ac:dyDescent="0.25">
      <c r="A934" s="10">
        <v>44362</v>
      </c>
      <c r="B934" s="594">
        <v>0</v>
      </c>
      <c r="C934" s="31">
        <f t="shared" si="174"/>
        <v>44900000</v>
      </c>
      <c r="D934" s="50">
        <v>-1420000</v>
      </c>
      <c r="E934" s="31">
        <f t="shared" si="175"/>
        <v>1801662.7</v>
      </c>
      <c r="F934" s="900">
        <v>0</v>
      </c>
      <c r="G934" s="899">
        <f t="shared" si="176"/>
        <v>-44882921.619999997</v>
      </c>
      <c r="H934" s="50">
        <v>0</v>
      </c>
      <c r="I934" s="31">
        <f t="shared" si="177"/>
        <v>20739.560000000001</v>
      </c>
      <c r="J934" s="50">
        <v>0</v>
      </c>
      <c r="K934" s="31">
        <f t="shared" si="178"/>
        <v>0</v>
      </c>
      <c r="L934" s="50">
        <v>0</v>
      </c>
      <c r="M934" s="31">
        <f t="shared" si="179"/>
        <v>130597.35</v>
      </c>
      <c r="N934" s="50">
        <v>0</v>
      </c>
      <c r="O934" s="31">
        <f t="shared" si="180"/>
        <v>0</v>
      </c>
      <c r="P934" s="51" t="s">
        <v>3033</v>
      </c>
      <c r="Q934" s="51" t="s">
        <v>3040</v>
      </c>
    </row>
    <row r="935" spans="1:17" x14ac:dyDescent="0.25">
      <c r="A935" s="10">
        <v>44362</v>
      </c>
      <c r="B935" s="594">
        <v>-42900000</v>
      </c>
      <c r="C935" s="31">
        <f t="shared" si="174"/>
        <v>2000000</v>
      </c>
      <c r="D935" s="50">
        <v>0</v>
      </c>
      <c r="E935" s="31">
        <f t="shared" si="175"/>
        <v>1801662.7</v>
      </c>
      <c r="F935" s="900">
        <v>42900000</v>
      </c>
      <c r="G935" s="899">
        <f t="shared" si="176"/>
        <v>-1982921.62</v>
      </c>
      <c r="H935" s="50">
        <v>0</v>
      </c>
      <c r="I935" s="31">
        <f t="shared" si="177"/>
        <v>20739.560000000001</v>
      </c>
      <c r="J935" s="50">
        <v>0</v>
      </c>
      <c r="K935" s="31">
        <f t="shared" si="178"/>
        <v>0</v>
      </c>
      <c r="L935" s="50">
        <v>0</v>
      </c>
      <c r="M935" s="31">
        <f t="shared" si="179"/>
        <v>130597.35</v>
      </c>
      <c r="N935" s="50">
        <v>0</v>
      </c>
      <c r="O935" s="31">
        <f t="shared" si="180"/>
        <v>0</v>
      </c>
      <c r="P935" s="51" t="s">
        <v>3034</v>
      </c>
      <c r="Q935" s="51" t="s">
        <v>3040</v>
      </c>
    </row>
    <row r="936" spans="1:17" x14ac:dyDescent="0.25">
      <c r="A936" s="10">
        <v>44362</v>
      </c>
      <c r="B936" s="594">
        <v>0</v>
      </c>
      <c r="C936" s="31">
        <f t="shared" si="174"/>
        <v>2000000</v>
      </c>
      <c r="D936" s="50">
        <v>0</v>
      </c>
      <c r="E936" s="31">
        <f t="shared" si="175"/>
        <v>1801662.7</v>
      </c>
      <c r="F936" s="900">
        <v>-42900000</v>
      </c>
      <c r="G936" s="899">
        <f t="shared" si="176"/>
        <v>-44882921.619999997</v>
      </c>
      <c r="H936" s="50">
        <v>0</v>
      </c>
      <c r="I936" s="31">
        <f t="shared" si="177"/>
        <v>20739.560000000001</v>
      </c>
      <c r="J936" s="50">
        <v>0</v>
      </c>
      <c r="K936" s="31">
        <f t="shared" si="178"/>
        <v>0</v>
      </c>
      <c r="L936" s="50">
        <v>0</v>
      </c>
      <c r="M936" s="31">
        <f t="shared" si="179"/>
        <v>130597.35</v>
      </c>
      <c r="N936" s="50">
        <v>0</v>
      </c>
      <c r="O936" s="31">
        <f t="shared" si="180"/>
        <v>0</v>
      </c>
      <c r="P936" s="51" t="s">
        <v>3035</v>
      </c>
      <c r="Q936" s="51" t="s">
        <v>3040</v>
      </c>
    </row>
    <row r="937" spans="1:17" x14ac:dyDescent="0.25">
      <c r="A937" s="10">
        <v>44362</v>
      </c>
      <c r="B937" s="594">
        <v>0</v>
      </c>
      <c r="C937" s="31">
        <f t="shared" si="174"/>
        <v>2000000</v>
      </c>
      <c r="D937" s="50">
        <v>0</v>
      </c>
      <c r="E937" s="31">
        <f t="shared" si="175"/>
        <v>1801662.7</v>
      </c>
      <c r="F937" s="900">
        <v>42900000</v>
      </c>
      <c r="G937" s="899">
        <f t="shared" si="176"/>
        <v>-1982921.62</v>
      </c>
      <c r="H937" s="50">
        <v>0</v>
      </c>
      <c r="I937" s="31">
        <f t="shared" si="177"/>
        <v>20739.560000000001</v>
      </c>
      <c r="J937" s="50">
        <v>0</v>
      </c>
      <c r="K937" s="31">
        <f t="shared" si="178"/>
        <v>0</v>
      </c>
      <c r="L937" s="50">
        <v>0</v>
      </c>
      <c r="M937" s="31">
        <f t="shared" si="179"/>
        <v>130597.35</v>
      </c>
      <c r="N937" s="50">
        <v>0</v>
      </c>
      <c r="O937" s="31">
        <f t="shared" si="180"/>
        <v>0</v>
      </c>
      <c r="P937" s="51" t="s">
        <v>3036</v>
      </c>
      <c r="Q937" s="51" t="s">
        <v>3040</v>
      </c>
    </row>
    <row r="938" spans="1:17" x14ac:dyDescent="0.25">
      <c r="A938" s="10">
        <v>44362</v>
      </c>
      <c r="B938" s="594">
        <v>-2000000</v>
      </c>
      <c r="C938" s="31">
        <f t="shared" si="174"/>
        <v>0</v>
      </c>
      <c r="D938" s="50">
        <v>0</v>
      </c>
      <c r="E938" s="31">
        <f t="shared" si="175"/>
        <v>1801662.7</v>
      </c>
      <c r="F938" s="900">
        <v>2000000</v>
      </c>
      <c r="G938" s="899">
        <f t="shared" si="176"/>
        <v>17078.38</v>
      </c>
      <c r="H938" s="50">
        <v>0</v>
      </c>
      <c r="I938" s="31">
        <f t="shared" si="177"/>
        <v>20739.560000000001</v>
      </c>
      <c r="J938" s="50">
        <v>0</v>
      </c>
      <c r="K938" s="31">
        <f t="shared" si="178"/>
        <v>0</v>
      </c>
      <c r="L938" s="50">
        <v>0</v>
      </c>
      <c r="M938" s="31">
        <f t="shared" si="179"/>
        <v>130597.35</v>
      </c>
      <c r="N938" s="50">
        <v>0</v>
      </c>
      <c r="O938" s="31">
        <f t="shared" si="180"/>
        <v>0</v>
      </c>
      <c r="P938" s="51" t="s">
        <v>3037</v>
      </c>
      <c r="Q938" s="51" t="s">
        <v>3040</v>
      </c>
    </row>
    <row r="939" spans="1:17" x14ac:dyDescent="0.25">
      <c r="A939" s="10">
        <v>44362</v>
      </c>
      <c r="B939" s="594">
        <v>0</v>
      </c>
      <c r="C939" s="31">
        <f t="shared" si="174"/>
        <v>0</v>
      </c>
      <c r="D939" s="50">
        <v>0</v>
      </c>
      <c r="E939" s="31">
        <f t="shared" si="175"/>
        <v>1801662.7</v>
      </c>
      <c r="F939" s="900">
        <v>2000000</v>
      </c>
      <c r="G939" s="899">
        <f t="shared" si="176"/>
        <v>2017078.38</v>
      </c>
      <c r="H939" s="50">
        <v>0</v>
      </c>
      <c r="I939" s="31">
        <f t="shared" si="177"/>
        <v>20739.560000000001</v>
      </c>
      <c r="J939" s="50">
        <v>0</v>
      </c>
      <c r="K939" s="31">
        <f t="shared" si="178"/>
        <v>0</v>
      </c>
      <c r="L939" s="50">
        <v>0</v>
      </c>
      <c r="M939" s="31">
        <f t="shared" si="179"/>
        <v>130597.35</v>
      </c>
      <c r="N939" s="50">
        <v>0</v>
      </c>
      <c r="O939" s="31">
        <f t="shared" si="180"/>
        <v>0</v>
      </c>
      <c r="P939" s="51" t="s">
        <v>3038</v>
      </c>
      <c r="Q939" s="51" t="s">
        <v>3040</v>
      </c>
    </row>
    <row r="940" spans="1:17" x14ac:dyDescent="0.25">
      <c r="A940" s="10">
        <v>44362</v>
      </c>
      <c r="B940" s="594">
        <v>0</v>
      </c>
      <c r="C940" s="31">
        <f t="shared" si="174"/>
        <v>0</v>
      </c>
      <c r="D940" s="50">
        <v>0</v>
      </c>
      <c r="E940" s="31">
        <f t="shared" si="175"/>
        <v>1801662.7</v>
      </c>
      <c r="F940" s="900">
        <v>-2000000</v>
      </c>
      <c r="G940" s="899">
        <f t="shared" si="176"/>
        <v>17078.38</v>
      </c>
      <c r="H940" s="50">
        <v>0</v>
      </c>
      <c r="I940" s="31">
        <f t="shared" si="177"/>
        <v>20739.560000000001</v>
      </c>
      <c r="J940" s="50">
        <v>0</v>
      </c>
      <c r="K940" s="31">
        <f t="shared" si="178"/>
        <v>0</v>
      </c>
      <c r="L940" s="50">
        <v>0</v>
      </c>
      <c r="M940" s="31">
        <f t="shared" si="179"/>
        <v>130597.35</v>
      </c>
      <c r="N940" s="50">
        <v>0</v>
      </c>
      <c r="O940" s="31">
        <f t="shared" si="180"/>
        <v>0</v>
      </c>
      <c r="P940" s="51" t="s">
        <v>3039</v>
      </c>
      <c r="Q940" s="51" t="s">
        <v>3042</v>
      </c>
    </row>
    <row r="941" spans="1:17" x14ac:dyDescent="0.25">
      <c r="A941" s="10">
        <v>44362</v>
      </c>
      <c r="B941" s="594">
        <v>0</v>
      </c>
      <c r="C941" s="31">
        <f t="shared" si="174"/>
        <v>0</v>
      </c>
      <c r="D941" s="50">
        <v>218633.50000000003</v>
      </c>
      <c r="E941" s="31">
        <f t="shared" si="175"/>
        <v>2020296.2</v>
      </c>
      <c r="F941" s="900">
        <f t="shared" ref="F941" si="181">-R941</f>
        <v>0</v>
      </c>
      <c r="G941" s="899">
        <f t="shared" si="176"/>
        <v>17078.38</v>
      </c>
      <c r="H941" s="50">
        <v>-20739.560000000001</v>
      </c>
      <c r="I941" s="31">
        <f t="shared" si="177"/>
        <v>0</v>
      </c>
      <c r="J941" s="50">
        <v>0</v>
      </c>
      <c r="K941" s="31">
        <f t="shared" si="178"/>
        <v>0</v>
      </c>
      <c r="L941" s="50">
        <v>-130597.35</v>
      </c>
      <c r="M941" s="31">
        <f t="shared" si="179"/>
        <v>0</v>
      </c>
      <c r="N941" s="50">
        <v>0</v>
      </c>
      <c r="O941" s="31">
        <f t="shared" si="180"/>
        <v>0</v>
      </c>
      <c r="P941" s="51" t="s">
        <v>845</v>
      </c>
      <c r="Q941" s="51"/>
    </row>
    <row r="942" spans="1:17" x14ac:dyDescent="0.25">
      <c r="A942" s="10">
        <v>44363</v>
      </c>
      <c r="B942" s="594">
        <v>0</v>
      </c>
      <c r="C942" s="31">
        <f t="shared" si="174"/>
        <v>0</v>
      </c>
      <c r="D942" s="50">
        <v>0</v>
      </c>
      <c r="E942" s="31">
        <f t="shared" si="175"/>
        <v>2020296.2</v>
      </c>
      <c r="F942" s="900">
        <v>0</v>
      </c>
      <c r="G942" s="899">
        <f t="shared" si="176"/>
        <v>17078.38</v>
      </c>
      <c r="H942" s="50">
        <v>-2000</v>
      </c>
      <c r="I942" s="31">
        <f t="shared" si="177"/>
        <v>-2000</v>
      </c>
      <c r="J942" s="50">
        <v>0</v>
      </c>
      <c r="K942" s="31">
        <f t="shared" si="178"/>
        <v>0</v>
      </c>
      <c r="L942" s="50">
        <v>0</v>
      </c>
      <c r="M942" s="31">
        <f t="shared" si="179"/>
        <v>0</v>
      </c>
      <c r="N942" s="50">
        <v>0</v>
      </c>
      <c r="O942" s="31">
        <f t="shared" si="180"/>
        <v>0</v>
      </c>
      <c r="P942" s="51" t="s">
        <v>3043</v>
      </c>
      <c r="Q942" s="51"/>
    </row>
    <row r="943" spans="1:17" x14ac:dyDescent="0.25">
      <c r="A943" s="10">
        <v>44363</v>
      </c>
      <c r="B943" s="594">
        <v>0</v>
      </c>
      <c r="C943" s="31">
        <f t="shared" si="174"/>
        <v>0</v>
      </c>
      <c r="D943" s="50">
        <v>0</v>
      </c>
      <c r="E943" s="31">
        <f t="shared" si="175"/>
        <v>2020296.2</v>
      </c>
      <c r="F943" s="900">
        <v>0</v>
      </c>
      <c r="G943" s="899">
        <f t="shared" si="176"/>
        <v>17078.38</v>
      </c>
      <c r="H943" s="50">
        <v>-12000</v>
      </c>
      <c r="I943" s="31">
        <f t="shared" si="177"/>
        <v>-14000</v>
      </c>
      <c r="J943" s="50">
        <v>0</v>
      </c>
      <c r="K943" s="31">
        <f t="shared" si="178"/>
        <v>0</v>
      </c>
      <c r="L943" s="50">
        <v>0</v>
      </c>
      <c r="M943" s="31">
        <f t="shared" si="179"/>
        <v>0</v>
      </c>
      <c r="N943" s="50">
        <v>0</v>
      </c>
      <c r="O943" s="31">
        <f t="shared" si="180"/>
        <v>0</v>
      </c>
      <c r="P943" s="51" t="s">
        <v>3043</v>
      </c>
      <c r="Q943" s="51"/>
    </row>
    <row r="944" spans="1:17" x14ac:dyDescent="0.25">
      <c r="A944" s="10">
        <v>44363</v>
      </c>
      <c r="B944" s="594">
        <v>0</v>
      </c>
      <c r="C944" s="31">
        <f t="shared" si="174"/>
        <v>0</v>
      </c>
      <c r="D944" s="50">
        <v>0</v>
      </c>
      <c r="E944" s="31">
        <f t="shared" si="175"/>
        <v>2020296.2</v>
      </c>
      <c r="F944" s="900">
        <v>0</v>
      </c>
      <c r="G944" s="899">
        <f t="shared" si="176"/>
        <v>17078.38</v>
      </c>
      <c r="H944" s="50">
        <v>-545</v>
      </c>
      <c r="I944" s="31">
        <f t="shared" si="177"/>
        <v>-14545</v>
      </c>
      <c r="J944" s="50">
        <v>0</v>
      </c>
      <c r="K944" s="31">
        <f t="shared" si="178"/>
        <v>0</v>
      </c>
      <c r="L944" s="50">
        <v>0</v>
      </c>
      <c r="M944" s="31">
        <f t="shared" si="179"/>
        <v>0</v>
      </c>
      <c r="N944" s="50">
        <v>0</v>
      </c>
      <c r="O944" s="31">
        <f t="shared" si="180"/>
        <v>0</v>
      </c>
      <c r="P944" s="51" t="s">
        <v>3044</v>
      </c>
      <c r="Q944" s="51"/>
    </row>
    <row r="945" spans="1:17" x14ac:dyDescent="0.25">
      <c r="A945" s="10">
        <v>44363</v>
      </c>
      <c r="B945" s="594">
        <v>0</v>
      </c>
      <c r="C945" s="31">
        <f t="shared" si="174"/>
        <v>0</v>
      </c>
      <c r="D945" s="50">
        <v>0</v>
      </c>
      <c r="E945" s="31">
        <f t="shared" si="175"/>
        <v>2020296.2</v>
      </c>
      <c r="F945" s="900">
        <v>0</v>
      </c>
      <c r="G945" s="899">
        <f t="shared" si="176"/>
        <v>17078.38</v>
      </c>
      <c r="H945" s="50">
        <v>-150.26</v>
      </c>
      <c r="I945" s="31">
        <f t="shared" si="177"/>
        <v>-14695.26</v>
      </c>
      <c r="J945" s="50">
        <v>0</v>
      </c>
      <c r="K945" s="31">
        <f t="shared" si="178"/>
        <v>0</v>
      </c>
      <c r="L945" s="50">
        <v>0</v>
      </c>
      <c r="M945" s="31">
        <f t="shared" si="179"/>
        <v>0</v>
      </c>
      <c r="N945" s="50">
        <v>0</v>
      </c>
      <c r="O945" s="31">
        <f t="shared" si="180"/>
        <v>0</v>
      </c>
      <c r="P945" s="51" t="s">
        <v>3045</v>
      </c>
      <c r="Q945" s="51"/>
    </row>
    <row r="946" spans="1:17" x14ac:dyDescent="0.25">
      <c r="A946" s="10">
        <v>44363</v>
      </c>
      <c r="B946" s="594">
        <v>0</v>
      </c>
      <c r="C946" s="31">
        <f t="shared" si="174"/>
        <v>0</v>
      </c>
      <c r="D946" s="50">
        <v>0</v>
      </c>
      <c r="E946" s="31">
        <f t="shared" si="175"/>
        <v>2020296.2</v>
      </c>
      <c r="F946" s="900">
        <v>0</v>
      </c>
      <c r="G946" s="899">
        <f t="shared" si="176"/>
        <v>17078.38</v>
      </c>
      <c r="H946" s="50">
        <f>-I945</f>
        <v>14695.26</v>
      </c>
      <c r="I946" s="31">
        <f t="shared" si="177"/>
        <v>0</v>
      </c>
      <c r="J946" s="50">
        <v>0</v>
      </c>
      <c r="K946" s="31">
        <f t="shared" si="178"/>
        <v>0</v>
      </c>
      <c r="L946" s="50">
        <v>0</v>
      </c>
      <c r="M946" s="31">
        <f t="shared" si="179"/>
        <v>0</v>
      </c>
      <c r="N946" s="50">
        <v>0</v>
      </c>
      <c r="O946" s="31">
        <f t="shared" si="180"/>
        <v>0</v>
      </c>
      <c r="P946" s="51" t="s">
        <v>845</v>
      </c>
      <c r="Q946" s="51"/>
    </row>
    <row r="947" spans="1:17" x14ac:dyDescent="0.25">
      <c r="A947" s="10">
        <v>44370</v>
      </c>
      <c r="B947" s="594">
        <v>2300000</v>
      </c>
      <c r="C947" s="31">
        <f t="shared" si="174"/>
        <v>2300000</v>
      </c>
      <c r="D947" s="50">
        <f>-B947</f>
        <v>-2300000</v>
      </c>
      <c r="E947" s="31">
        <f t="shared" si="175"/>
        <v>-279703.8</v>
      </c>
      <c r="F947" s="900">
        <v>0</v>
      </c>
      <c r="G947" s="899">
        <f t="shared" si="176"/>
        <v>17078.38</v>
      </c>
      <c r="H947" s="50">
        <v>0</v>
      </c>
      <c r="I947" s="31">
        <f t="shared" si="177"/>
        <v>0</v>
      </c>
      <c r="J947" s="50">
        <v>0</v>
      </c>
      <c r="K947" s="31">
        <f t="shared" si="178"/>
        <v>0</v>
      </c>
      <c r="L947" s="50">
        <v>0</v>
      </c>
      <c r="M947" s="31">
        <f t="shared" si="179"/>
        <v>0</v>
      </c>
      <c r="N947" s="50">
        <v>0</v>
      </c>
      <c r="O947" s="31">
        <f t="shared" si="180"/>
        <v>0</v>
      </c>
      <c r="P947" s="51" t="s">
        <v>2661</v>
      </c>
      <c r="Q947" s="51"/>
    </row>
    <row r="948" spans="1:17" x14ac:dyDescent="0.25">
      <c r="A948" s="10">
        <v>44370</v>
      </c>
      <c r="B948" s="594">
        <v>0</v>
      </c>
      <c r="C948" s="31">
        <f t="shared" si="174"/>
        <v>2300000</v>
      </c>
      <c r="D948" s="50">
        <v>2300000</v>
      </c>
      <c r="E948" s="31">
        <f t="shared" si="175"/>
        <v>2020296.2</v>
      </c>
      <c r="F948" s="900">
        <v>0</v>
      </c>
      <c r="G948" s="899">
        <f t="shared" si="176"/>
        <v>17078.38</v>
      </c>
      <c r="H948" s="50">
        <v>0</v>
      </c>
      <c r="I948" s="31">
        <f t="shared" si="177"/>
        <v>0</v>
      </c>
      <c r="J948" s="50">
        <v>0</v>
      </c>
      <c r="K948" s="31">
        <f t="shared" si="178"/>
        <v>0</v>
      </c>
      <c r="L948" s="50">
        <v>0</v>
      </c>
      <c r="M948" s="31">
        <f t="shared" si="179"/>
        <v>0</v>
      </c>
      <c r="N948" s="50">
        <v>0</v>
      </c>
      <c r="O948" s="31">
        <f t="shared" si="180"/>
        <v>0</v>
      </c>
      <c r="P948" s="51" t="s">
        <v>2071</v>
      </c>
      <c r="Q948" s="51"/>
    </row>
    <row r="949" spans="1:17" x14ac:dyDescent="0.25">
      <c r="A949" s="10">
        <v>44370</v>
      </c>
      <c r="B949" s="594">
        <v>0</v>
      </c>
      <c r="C949" s="31">
        <f t="shared" si="174"/>
        <v>2300000</v>
      </c>
      <c r="D949" s="50">
        <v>41068.03</v>
      </c>
      <c r="E949" s="31">
        <f t="shared" si="175"/>
        <v>2061364.23</v>
      </c>
      <c r="F949" s="900">
        <v>0</v>
      </c>
      <c r="G949" s="899">
        <f t="shared" si="176"/>
        <v>17078.38</v>
      </c>
      <c r="H949" s="50">
        <v>0</v>
      </c>
      <c r="I949" s="31">
        <f t="shared" si="177"/>
        <v>0</v>
      </c>
      <c r="J949" s="50">
        <v>0</v>
      </c>
      <c r="K949" s="31">
        <f t="shared" si="178"/>
        <v>0</v>
      </c>
      <c r="L949" s="50">
        <v>0</v>
      </c>
      <c r="M949" s="31">
        <f t="shared" si="179"/>
        <v>0</v>
      </c>
      <c r="N949" s="50">
        <v>0</v>
      </c>
      <c r="O949" s="31">
        <f t="shared" si="180"/>
        <v>0</v>
      </c>
      <c r="P949" s="51" t="s">
        <v>2947</v>
      </c>
      <c r="Q949" s="51"/>
    </row>
    <row r="950" spans="1:17" x14ac:dyDescent="0.25">
      <c r="A950" s="10">
        <v>44370</v>
      </c>
      <c r="B950" s="594">
        <v>0</v>
      </c>
      <c r="C950" s="31">
        <f t="shared" si="174"/>
        <v>2300000</v>
      </c>
      <c r="D950" s="50">
        <v>-41068.03</v>
      </c>
      <c r="E950" s="31">
        <f t="shared" si="175"/>
        <v>2020296.2</v>
      </c>
      <c r="F950" s="900">
        <v>0</v>
      </c>
      <c r="G950" s="899">
        <f t="shared" si="176"/>
        <v>17078.38</v>
      </c>
      <c r="H950" s="50">
        <v>0</v>
      </c>
      <c r="I950" s="31">
        <f t="shared" si="177"/>
        <v>0</v>
      </c>
      <c r="J950" s="50">
        <v>0</v>
      </c>
      <c r="K950" s="31">
        <f t="shared" si="178"/>
        <v>0</v>
      </c>
      <c r="L950" s="50">
        <v>0</v>
      </c>
      <c r="M950" s="31">
        <f t="shared" si="179"/>
        <v>0</v>
      </c>
      <c r="N950" s="50">
        <v>0</v>
      </c>
      <c r="O950" s="31">
        <f t="shared" si="180"/>
        <v>0</v>
      </c>
      <c r="P950" s="51" t="s">
        <v>845</v>
      </c>
      <c r="Q950" s="51"/>
    </row>
    <row r="951" spans="1:17" x14ac:dyDescent="0.25">
      <c r="A951" s="10">
        <v>44372</v>
      </c>
      <c r="B951" s="594">
        <v>0</v>
      </c>
      <c r="C951" s="31">
        <f t="shared" si="174"/>
        <v>2300000</v>
      </c>
      <c r="D951" s="50">
        <v>-1855125.2382145834</v>
      </c>
      <c r="E951" s="31">
        <f t="shared" si="175"/>
        <v>165170.96</v>
      </c>
      <c r="F951" s="900">
        <v>0</v>
      </c>
      <c r="G951" s="899">
        <f t="shared" si="176"/>
        <v>17078.38</v>
      </c>
      <c r="H951" s="50">
        <v>0</v>
      </c>
      <c r="I951" s="31">
        <f t="shared" si="177"/>
        <v>0</v>
      </c>
      <c r="J951" s="50">
        <v>0</v>
      </c>
      <c r="K951" s="31">
        <f t="shared" si="178"/>
        <v>0</v>
      </c>
      <c r="L951" s="50">
        <v>0</v>
      </c>
      <c r="M951" s="31">
        <f t="shared" si="179"/>
        <v>0</v>
      </c>
      <c r="N951" s="50">
        <v>0</v>
      </c>
      <c r="O951" s="31">
        <f t="shared" si="180"/>
        <v>0</v>
      </c>
      <c r="P951" s="51" t="s">
        <v>3049</v>
      </c>
      <c r="Q951" s="51"/>
    </row>
    <row r="952" spans="1:17" x14ac:dyDescent="0.25">
      <c r="A952" s="10">
        <v>44372</v>
      </c>
      <c r="B952" s="594">
        <v>0</v>
      </c>
      <c r="C952" s="31">
        <f t="shared" si="174"/>
        <v>2300000</v>
      </c>
      <c r="D952" s="50">
        <v>-48512689.283854164</v>
      </c>
      <c r="E952" s="31">
        <f t="shared" si="175"/>
        <v>-48347518.32</v>
      </c>
      <c r="F952" s="900">
        <v>0</v>
      </c>
      <c r="G952" s="899">
        <f t="shared" si="176"/>
        <v>17078.38</v>
      </c>
      <c r="H952" s="50">
        <v>0</v>
      </c>
      <c r="I952" s="31">
        <f t="shared" si="177"/>
        <v>0</v>
      </c>
      <c r="J952" s="50">
        <v>0</v>
      </c>
      <c r="K952" s="31">
        <f t="shared" si="178"/>
        <v>0</v>
      </c>
      <c r="L952" s="50">
        <v>0</v>
      </c>
      <c r="M952" s="31">
        <f t="shared" si="179"/>
        <v>0</v>
      </c>
      <c r="N952" s="50">
        <v>0</v>
      </c>
      <c r="O952" s="31">
        <f t="shared" si="180"/>
        <v>0</v>
      </c>
      <c r="P952" s="51" t="s">
        <v>3049</v>
      </c>
      <c r="Q952" s="51"/>
    </row>
    <row r="953" spans="1:17" x14ac:dyDescent="0.25">
      <c r="A953" s="10">
        <v>44372</v>
      </c>
      <c r="B953" s="594">
        <v>0</v>
      </c>
      <c r="C953" s="31">
        <f t="shared" si="174"/>
        <v>2300000</v>
      </c>
      <c r="D953" s="50">
        <v>-48512689.283854164</v>
      </c>
      <c r="E953" s="31">
        <f t="shared" si="175"/>
        <v>-96860207.599999994</v>
      </c>
      <c r="F953" s="900">
        <v>0</v>
      </c>
      <c r="G953" s="899">
        <f t="shared" si="176"/>
        <v>17078.38</v>
      </c>
      <c r="H953" s="50">
        <v>0</v>
      </c>
      <c r="I953" s="31">
        <f t="shared" si="177"/>
        <v>0</v>
      </c>
      <c r="J953" s="50">
        <v>0</v>
      </c>
      <c r="K953" s="31">
        <f t="shared" si="178"/>
        <v>0</v>
      </c>
      <c r="L953" s="50">
        <v>0</v>
      </c>
      <c r="M953" s="31">
        <f t="shared" si="179"/>
        <v>0</v>
      </c>
      <c r="N953" s="50">
        <v>0</v>
      </c>
      <c r="O953" s="31">
        <f t="shared" si="180"/>
        <v>0</v>
      </c>
      <c r="P953" s="51" t="s">
        <v>3049</v>
      </c>
      <c r="Q953" s="51"/>
    </row>
    <row r="954" spans="1:17" x14ac:dyDescent="0.25">
      <c r="A954" s="10">
        <v>44372</v>
      </c>
      <c r="B954" s="594">
        <v>0</v>
      </c>
      <c r="C954" s="31">
        <f t="shared" si="174"/>
        <v>2300000</v>
      </c>
      <c r="D954" s="50">
        <v>48510937.5</v>
      </c>
      <c r="E954" s="31">
        <f t="shared" si="175"/>
        <v>-48349270.100000001</v>
      </c>
      <c r="F954" s="900">
        <v>0</v>
      </c>
      <c r="G954" s="899">
        <f t="shared" si="176"/>
        <v>17078.38</v>
      </c>
      <c r="H954" s="50">
        <v>0</v>
      </c>
      <c r="I954" s="31">
        <f t="shared" si="177"/>
        <v>0</v>
      </c>
      <c r="J954" s="50">
        <v>0</v>
      </c>
      <c r="K954" s="31">
        <f t="shared" si="178"/>
        <v>0</v>
      </c>
      <c r="L954" s="50">
        <v>0</v>
      </c>
      <c r="M954" s="31">
        <f t="shared" si="179"/>
        <v>0</v>
      </c>
      <c r="N954" s="50">
        <v>0</v>
      </c>
      <c r="O954" s="31">
        <f t="shared" si="180"/>
        <v>0</v>
      </c>
      <c r="P954" s="51" t="s">
        <v>3050</v>
      </c>
      <c r="Q954" s="51"/>
    </row>
    <row r="955" spans="1:17" x14ac:dyDescent="0.25">
      <c r="A955" s="10">
        <v>44372</v>
      </c>
      <c r="B955" s="594">
        <v>0</v>
      </c>
      <c r="C955" s="31">
        <f t="shared" si="174"/>
        <v>2300000</v>
      </c>
      <c r="D955" s="50">
        <v>48510937.5</v>
      </c>
      <c r="E955" s="31">
        <f t="shared" si="175"/>
        <v>161667.4</v>
      </c>
      <c r="F955" s="900">
        <v>0</v>
      </c>
      <c r="G955" s="899">
        <f t="shared" si="176"/>
        <v>17078.38</v>
      </c>
      <c r="H955" s="50">
        <v>0</v>
      </c>
      <c r="I955" s="31">
        <f t="shared" si="177"/>
        <v>0</v>
      </c>
      <c r="J955" s="50">
        <v>0</v>
      </c>
      <c r="K955" s="31">
        <f t="shared" si="178"/>
        <v>0</v>
      </c>
      <c r="L955" s="50">
        <v>0</v>
      </c>
      <c r="M955" s="31">
        <f t="shared" si="179"/>
        <v>0</v>
      </c>
      <c r="N955" s="50">
        <v>0</v>
      </c>
      <c r="O955" s="31">
        <f t="shared" si="180"/>
        <v>0</v>
      </c>
      <c r="P955" s="51" t="s">
        <v>3051</v>
      </c>
      <c r="Q955" s="51"/>
    </row>
    <row r="956" spans="1:17" x14ac:dyDescent="0.25">
      <c r="A956" s="10">
        <v>44372</v>
      </c>
      <c r="B956" s="594">
        <v>0</v>
      </c>
      <c r="C956" s="31">
        <f t="shared" si="174"/>
        <v>2300000</v>
      </c>
      <c r="D956" s="50">
        <v>13350000</v>
      </c>
      <c r="E956" s="31">
        <f t="shared" si="175"/>
        <v>13511667.4</v>
      </c>
      <c r="F956" s="900">
        <v>0</v>
      </c>
      <c r="G956" s="899">
        <f t="shared" si="176"/>
        <v>17078.38</v>
      </c>
      <c r="H956" s="50">
        <v>0</v>
      </c>
      <c r="I956" s="31">
        <f t="shared" si="177"/>
        <v>0</v>
      </c>
      <c r="J956" s="50">
        <v>0</v>
      </c>
      <c r="K956" s="31">
        <f t="shared" si="178"/>
        <v>0</v>
      </c>
      <c r="L956" s="50">
        <v>0</v>
      </c>
      <c r="M956" s="31">
        <f t="shared" si="179"/>
        <v>0</v>
      </c>
      <c r="N956" s="50">
        <v>0</v>
      </c>
      <c r="O956" s="31">
        <f t="shared" si="180"/>
        <v>0</v>
      </c>
      <c r="P956" s="51" t="s">
        <v>3052</v>
      </c>
      <c r="Q956" s="51"/>
    </row>
    <row r="957" spans="1:17" x14ac:dyDescent="0.25">
      <c r="A957" s="10">
        <v>44372</v>
      </c>
      <c r="B957" s="594">
        <v>6000000</v>
      </c>
      <c r="C957" s="31">
        <f t="shared" si="174"/>
        <v>8300000</v>
      </c>
      <c r="D957" s="50">
        <v>-6003948.1299999999</v>
      </c>
      <c r="E957" s="31">
        <f t="shared" si="175"/>
        <v>7507719.2699999996</v>
      </c>
      <c r="F957" s="900">
        <v>0</v>
      </c>
      <c r="G957" s="899">
        <f t="shared" si="176"/>
        <v>17078.38</v>
      </c>
      <c r="H957" s="50">
        <v>0</v>
      </c>
      <c r="I957" s="31">
        <f t="shared" si="177"/>
        <v>0</v>
      </c>
      <c r="J957" s="50">
        <v>0</v>
      </c>
      <c r="K957" s="31">
        <f t="shared" si="178"/>
        <v>0</v>
      </c>
      <c r="L957" s="50">
        <v>0</v>
      </c>
      <c r="M957" s="31">
        <f t="shared" si="179"/>
        <v>0</v>
      </c>
      <c r="N957" s="50">
        <v>0</v>
      </c>
      <c r="O957" s="31">
        <f t="shared" si="180"/>
        <v>0</v>
      </c>
      <c r="P957" s="51" t="s">
        <v>831</v>
      </c>
      <c r="Q957" s="51"/>
    </row>
    <row r="958" spans="1:17" x14ac:dyDescent="0.25">
      <c r="A958" s="10">
        <v>44372</v>
      </c>
      <c r="B958" s="594">
        <f>-B957</f>
        <v>-6000000</v>
      </c>
      <c r="C958" s="31">
        <f t="shared" si="174"/>
        <v>2300000</v>
      </c>
      <c r="D958" s="50">
        <f>-D957</f>
        <v>6003948.1299999999</v>
      </c>
      <c r="E958" s="31">
        <f t="shared" si="175"/>
        <v>13511667.4</v>
      </c>
      <c r="F958" s="900">
        <v>0</v>
      </c>
      <c r="G958" s="899">
        <f t="shared" si="176"/>
        <v>17078.38</v>
      </c>
      <c r="H958" s="50">
        <v>0</v>
      </c>
      <c r="I958" s="31">
        <f t="shared" si="177"/>
        <v>0</v>
      </c>
      <c r="J958" s="50">
        <v>0</v>
      </c>
      <c r="K958" s="31">
        <f t="shared" si="178"/>
        <v>0</v>
      </c>
      <c r="L958" s="50">
        <v>0</v>
      </c>
      <c r="M958" s="31">
        <f t="shared" si="179"/>
        <v>0</v>
      </c>
      <c r="N958" s="50">
        <v>0</v>
      </c>
      <c r="O958" s="31">
        <f t="shared" si="180"/>
        <v>0</v>
      </c>
      <c r="P958" s="51" t="s">
        <v>3053</v>
      </c>
      <c r="Q958" s="51"/>
    </row>
    <row r="959" spans="1:17" x14ac:dyDescent="0.25">
      <c r="A959" s="10">
        <v>44372</v>
      </c>
      <c r="B959" s="594">
        <v>0</v>
      </c>
      <c r="C959" s="31">
        <f t="shared" si="174"/>
        <v>2300000</v>
      </c>
      <c r="D959" s="50">
        <f>-D958</f>
        <v>-6003948.1299999999</v>
      </c>
      <c r="E959" s="31">
        <f t="shared" si="175"/>
        <v>7507719.2699999996</v>
      </c>
      <c r="F959" s="900">
        <v>0</v>
      </c>
      <c r="G959" s="899">
        <f t="shared" si="176"/>
        <v>17078.38</v>
      </c>
      <c r="H959" s="50">
        <v>0</v>
      </c>
      <c r="I959" s="31">
        <f t="shared" si="177"/>
        <v>0</v>
      </c>
      <c r="J959" s="50">
        <v>0</v>
      </c>
      <c r="K959" s="31">
        <f t="shared" si="178"/>
        <v>0</v>
      </c>
      <c r="L959" s="50">
        <v>0</v>
      </c>
      <c r="M959" s="31">
        <f t="shared" si="179"/>
        <v>0</v>
      </c>
      <c r="N959" s="50">
        <v>0</v>
      </c>
      <c r="O959" s="31">
        <f t="shared" si="180"/>
        <v>0</v>
      </c>
      <c r="P959" s="51" t="s">
        <v>3054</v>
      </c>
      <c r="Q959" s="51"/>
    </row>
    <row r="960" spans="1:17" x14ac:dyDescent="0.25">
      <c r="A960" s="10">
        <v>44372</v>
      </c>
      <c r="B960" s="594">
        <v>5580000</v>
      </c>
      <c r="C960" s="31">
        <f t="shared" si="174"/>
        <v>7880000</v>
      </c>
      <c r="D960" s="50">
        <v>-5580000</v>
      </c>
      <c r="E960" s="31">
        <f t="shared" si="175"/>
        <v>1927719.27</v>
      </c>
      <c r="F960" s="900">
        <v>0</v>
      </c>
      <c r="G960" s="899">
        <f t="shared" si="176"/>
        <v>17078.38</v>
      </c>
      <c r="H960" s="50">
        <v>0</v>
      </c>
      <c r="I960" s="31">
        <f t="shared" si="177"/>
        <v>0</v>
      </c>
      <c r="J960" s="50">
        <v>0</v>
      </c>
      <c r="K960" s="31">
        <f t="shared" si="178"/>
        <v>0</v>
      </c>
      <c r="L960" s="50">
        <v>0</v>
      </c>
      <c r="M960" s="31">
        <f t="shared" si="179"/>
        <v>0</v>
      </c>
      <c r="N960" s="50">
        <v>0</v>
      </c>
      <c r="O960" s="31">
        <f t="shared" si="180"/>
        <v>0</v>
      </c>
      <c r="P960" s="51" t="s">
        <v>2980</v>
      </c>
      <c r="Q960" s="51"/>
    </row>
    <row r="961" spans="1:17" x14ac:dyDescent="0.25">
      <c r="A961" s="10">
        <v>44372</v>
      </c>
      <c r="B961" s="594">
        <f>-B960</f>
        <v>-5580000</v>
      </c>
      <c r="C961" s="31">
        <f t="shared" si="174"/>
        <v>2300000</v>
      </c>
      <c r="D961" s="50">
        <f>-D960</f>
        <v>5580000</v>
      </c>
      <c r="E961" s="31">
        <f t="shared" si="175"/>
        <v>7507719.2699999996</v>
      </c>
      <c r="F961" s="900">
        <v>0</v>
      </c>
      <c r="G961" s="899">
        <f t="shared" si="176"/>
        <v>17078.38</v>
      </c>
      <c r="H961" s="50">
        <v>0</v>
      </c>
      <c r="I961" s="31">
        <f t="shared" si="177"/>
        <v>0</v>
      </c>
      <c r="J961" s="50">
        <v>0</v>
      </c>
      <c r="K961" s="31">
        <f t="shared" si="178"/>
        <v>0</v>
      </c>
      <c r="L961" s="50">
        <v>0</v>
      </c>
      <c r="M961" s="31">
        <f t="shared" si="179"/>
        <v>0</v>
      </c>
      <c r="N961" s="50">
        <v>0</v>
      </c>
      <c r="O961" s="31">
        <f t="shared" si="180"/>
        <v>0</v>
      </c>
      <c r="P961" s="51" t="s">
        <v>3055</v>
      </c>
      <c r="Q961" s="51"/>
    </row>
    <row r="962" spans="1:17" x14ac:dyDescent="0.25">
      <c r="A962" s="10">
        <v>44372</v>
      </c>
      <c r="B962" s="594">
        <v>0</v>
      </c>
      <c r="C962" s="31">
        <f t="shared" si="174"/>
        <v>2300000</v>
      </c>
      <c r="D962" s="50">
        <f>-D961</f>
        <v>-5580000</v>
      </c>
      <c r="E962" s="31">
        <f t="shared" si="175"/>
        <v>1927719.27</v>
      </c>
      <c r="F962" s="900">
        <v>0</v>
      </c>
      <c r="G962" s="899">
        <f t="shared" si="176"/>
        <v>17078.38</v>
      </c>
      <c r="H962" s="50">
        <v>0</v>
      </c>
      <c r="I962" s="31">
        <f t="shared" si="177"/>
        <v>0</v>
      </c>
      <c r="J962" s="50">
        <v>0</v>
      </c>
      <c r="K962" s="31">
        <f t="shared" si="178"/>
        <v>0</v>
      </c>
      <c r="L962" s="50">
        <v>0</v>
      </c>
      <c r="M962" s="31">
        <f t="shared" si="179"/>
        <v>0</v>
      </c>
      <c r="N962" s="50">
        <v>0</v>
      </c>
      <c r="O962" s="31">
        <f t="shared" si="180"/>
        <v>0</v>
      </c>
      <c r="P962" s="51" t="s">
        <v>3056</v>
      </c>
      <c r="Q962" s="51"/>
    </row>
    <row r="963" spans="1:17" x14ac:dyDescent="0.25">
      <c r="A963" s="10">
        <v>44372</v>
      </c>
      <c r="B963" s="594">
        <v>0</v>
      </c>
      <c r="C963" s="31">
        <f t="shared" si="174"/>
        <v>2300000</v>
      </c>
      <c r="D963" s="50">
        <v>-1762548.31</v>
      </c>
      <c r="E963" s="31">
        <f t="shared" si="175"/>
        <v>165170.96</v>
      </c>
      <c r="F963" s="900">
        <v>0</v>
      </c>
      <c r="G963" s="899">
        <f t="shared" si="176"/>
        <v>17078.38</v>
      </c>
      <c r="H963" s="50">
        <v>0</v>
      </c>
      <c r="I963" s="31">
        <f t="shared" si="177"/>
        <v>0</v>
      </c>
      <c r="J963" s="50">
        <v>0</v>
      </c>
      <c r="K963" s="31">
        <f t="shared" si="178"/>
        <v>0</v>
      </c>
      <c r="L963" s="50">
        <v>0</v>
      </c>
      <c r="M963" s="31">
        <f t="shared" si="179"/>
        <v>0</v>
      </c>
      <c r="N963" s="50">
        <v>0</v>
      </c>
      <c r="O963" s="31">
        <f t="shared" si="180"/>
        <v>0</v>
      </c>
      <c r="P963" s="51" t="s">
        <v>845</v>
      </c>
      <c r="Q963" s="51"/>
    </row>
    <row r="964" spans="1:17" x14ac:dyDescent="0.25">
      <c r="A964" s="10">
        <v>44375</v>
      </c>
      <c r="B964" s="594">
        <v>0</v>
      </c>
      <c r="C964" s="31">
        <f t="shared" si="174"/>
        <v>2300000</v>
      </c>
      <c r="D964" s="50">
        <v>1984631.7000000002</v>
      </c>
      <c r="E964" s="31">
        <f t="shared" si="175"/>
        <v>2149802.66</v>
      </c>
      <c r="F964" s="900">
        <v>0</v>
      </c>
      <c r="G964" s="899">
        <f t="shared" si="176"/>
        <v>17078.38</v>
      </c>
      <c r="H964" s="50">
        <v>0</v>
      </c>
      <c r="I964" s="31">
        <f t="shared" si="177"/>
        <v>0</v>
      </c>
      <c r="J964" s="50">
        <v>0</v>
      </c>
      <c r="K964" s="31">
        <f t="shared" si="178"/>
        <v>0</v>
      </c>
      <c r="L964" s="50">
        <v>0</v>
      </c>
      <c r="M964" s="31">
        <f t="shared" si="179"/>
        <v>0</v>
      </c>
      <c r="N964" s="50">
        <v>0</v>
      </c>
      <c r="O964" s="31">
        <f t="shared" si="180"/>
        <v>0</v>
      </c>
      <c r="P964" s="51" t="s">
        <v>845</v>
      </c>
      <c r="Q964" s="51"/>
    </row>
    <row r="965" spans="1:17" x14ac:dyDescent="0.25">
      <c r="A965" s="10">
        <v>44376</v>
      </c>
      <c r="B965" s="594">
        <v>0</v>
      </c>
      <c r="C965" s="31">
        <f t="shared" si="174"/>
        <v>2300000</v>
      </c>
      <c r="D965" s="50">
        <v>0</v>
      </c>
      <c r="E965" s="31">
        <f t="shared" si="175"/>
        <v>2149802.66</v>
      </c>
      <c r="F965" s="900">
        <v>0</v>
      </c>
      <c r="G965" s="899">
        <f t="shared" si="176"/>
        <v>17078.38</v>
      </c>
      <c r="H965" s="50">
        <v>0</v>
      </c>
      <c r="I965" s="31">
        <f t="shared" si="177"/>
        <v>0</v>
      </c>
      <c r="J965" s="50">
        <v>0</v>
      </c>
      <c r="K965" s="31">
        <f t="shared" si="178"/>
        <v>0</v>
      </c>
      <c r="L965" s="50">
        <v>-130597.35</v>
      </c>
      <c r="M965" s="31">
        <f t="shared" si="179"/>
        <v>-130597.35</v>
      </c>
      <c r="N965" s="50">
        <v>0</v>
      </c>
      <c r="O965" s="31">
        <f t="shared" si="180"/>
        <v>0</v>
      </c>
      <c r="P965" s="51" t="s">
        <v>3061</v>
      </c>
      <c r="Q965" s="51"/>
    </row>
    <row r="966" spans="1:17" x14ac:dyDescent="0.25">
      <c r="A966" s="10">
        <v>44376</v>
      </c>
      <c r="B966" s="594">
        <v>0</v>
      </c>
      <c r="C966" s="31">
        <f t="shared" si="174"/>
        <v>2300000</v>
      </c>
      <c r="D966" s="50">
        <v>-129527.14</v>
      </c>
      <c r="E966" s="31">
        <f t="shared" si="175"/>
        <v>2020275.52</v>
      </c>
      <c r="F966" s="900">
        <v>0</v>
      </c>
      <c r="G966" s="899">
        <f t="shared" si="176"/>
        <v>17078.38</v>
      </c>
      <c r="H966" s="50">
        <v>0</v>
      </c>
      <c r="I966" s="31">
        <f t="shared" si="177"/>
        <v>0</v>
      </c>
      <c r="J966" s="50">
        <v>0</v>
      </c>
      <c r="K966" s="31">
        <f t="shared" si="178"/>
        <v>0</v>
      </c>
      <c r="L966" s="50">
        <v>0</v>
      </c>
      <c r="M966" s="31">
        <f t="shared" si="179"/>
        <v>-130597.35</v>
      </c>
      <c r="N966" s="50">
        <v>0</v>
      </c>
      <c r="O966" s="31">
        <f t="shared" si="180"/>
        <v>0</v>
      </c>
      <c r="P966" s="51" t="s">
        <v>845</v>
      </c>
      <c r="Q966" s="51"/>
    </row>
    <row r="967" spans="1:17" x14ac:dyDescent="0.25">
      <c r="A967" s="10">
        <v>44377</v>
      </c>
      <c r="B967" s="594">
        <v>0</v>
      </c>
      <c r="C967" s="31">
        <f t="shared" si="174"/>
        <v>2300000</v>
      </c>
      <c r="D967" s="50">
        <v>1248.95</v>
      </c>
      <c r="E967" s="31">
        <f t="shared" si="175"/>
        <v>2021524.47</v>
      </c>
      <c r="F967" s="900">
        <v>31.15</v>
      </c>
      <c r="G967" s="899">
        <f t="shared" si="176"/>
        <v>17109.53</v>
      </c>
      <c r="H967" s="50">
        <v>0</v>
      </c>
      <c r="I967" s="31">
        <f t="shared" si="177"/>
        <v>0</v>
      </c>
      <c r="J967" s="50">
        <v>0</v>
      </c>
      <c r="K967" s="31">
        <f t="shared" si="178"/>
        <v>0</v>
      </c>
      <c r="L967" s="50">
        <v>0</v>
      </c>
      <c r="M967" s="31">
        <f t="shared" si="179"/>
        <v>-130597.35</v>
      </c>
      <c r="N967" s="50">
        <v>0</v>
      </c>
      <c r="O967" s="31">
        <f t="shared" si="180"/>
        <v>0</v>
      </c>
      <c r="P967" s="51" t="s">
        <v>859</v>
      </c>
      <c r="Q967" s="51"/>
    </row>
    <row r="968" spans="1:17" x14ac:dyDescent="0.25">
      <c r="A968" s="10">
        <v>44377</v>
      </c>
      <c r="B968" s="594">
        <v>0</v>
      </c>
      <c r="C968" s="31">
        <f t="shared" si="174"/>
        <v>2300000</v>
      </c>
      <c r="D968" s="50">
        <v>-2021524.4700000002</v>
      </c>
      <c r="E968" s="31">
        <f t="shared" si="175"/>
        <v>0</v>
      </c>
      <c r="F968" s="900">
        <v>0</v>
      </c>
      <c r="G968" s="899">
        <f t="shared" si="176"/>
        <v>17109.53</v>
      </c>
      <c r="H968" s="50">
        <v>0</v>
      </c>
      <c r="I968" s="31">
        <f t="shared" si="177"/>
        <v>0</v>
      </c>
      <c r="J968" s="50">
        <v>0</v>
      </c>
      <c r="K968" s="31">
        <f t="shared" si="178"/>
        <v>0</v>
      </c>
      <c r="L968" s="50">
        <v>130597.35</v>
      </c>
      <c r="M968" s="31">
        <f t="shared" si="179"/>
        <v>0</v>
      </c>
      <c r="N968" s="50">
        <v>0</v>
      </c>
      <c r="O968" s="31">
        <f t="shared" si="180"/>
        <v>0</v>
      </c>
      <c r="P968" s="51" t="s">
        <v>845</v>
      </c>
      <c r="Q968" s="51"/>
    </row>
    <row r="969" spans="1:17" x14ac:dyDescent="0.25">
      <c r="A969" s="10">
        <v>44378</v>
      </c>
      <c r="B969" s="594">
        <v>4900000</v>
      </c>
      <c r="C969" s="31">
        <f t="shared" si="174"/>
        <v>7200000</v>
      </c>
      <c r="D969" s="50">
        <v>0</v>
      </c>
      <c r="E969" s="31">
        <f t="shared" si="175"/>
        <v>0</v>
      </c>
      <c r="F969" s="900">
        <v>0</v>
      </c>
      <c r="G969" s="899">
        <f t="shared" si="176"/>
        <v>17109.53</v>
      </c>
      <c r="H969" s="50">
        <v>0</v>
      </c>
      <c r="I969" s="31">
        <f t="shared" si="177"/>
        <v>0</v>
      </c>
      <c r="J969" s="50">
        <v>0</v>
      </c>
      <c r="K969" s="31">
        <f t="shared" si="178"/>
        <v>0</v>
      </c>
      <c r="L969" s="50">
        <v>0</v>
      </c>
      <c r="M969" s="31">
        <f t="shared" si="179"/>
        <v>0</v>
      </c>
      <c r="N969" s="50">
        <v>0</v>
      </c>
      <c r="O969" s="31">
        <f t="shared" si="180"/>
        <v>0</v>
      </c>
      <c r="P969" s="51" t="s">
        <v>1012</v>
      </c>
      <c r="Q969" s="51"/>
    </row>
    <row r="970" spans="1:17" x14ac:dyDescent="0.25">
      <c r="A970" s="10">
        <v>44378</v>
      </c>
      <c r="B970" s="594">
        <v>0</v>
      </c>
      <c r="C970" s="31">
        <f t="shared" si="174"/>
        <v>7200000</v>
      </c>
      <c r="D970" s="50">
        <v>31422.1</v>
      </c>
      <c r="E970" s="31">
        <f t="shared" si="175"/>
        <v>31422.1</v>
      </c>
      <c r="F970" s="900">
        <v>0</v>
      </c>
      <c r="G970" s="899">
        <f t="shared" si="176"/>
        <v>17109.53</v>
      </c>
      <c r="H970" s="50">
        <v>0</v>
      </c>
      <c r="I970" s="31">
        <f t="shared" si="177"/>
        <v>0</v>
      </c>
      <c r="J970" s="50">
        <v>0</v>
      </c>
      <c r="K970" s="31">
        <f t="shared" si="178"/>
        <v>0</v>
      </c>
      <c r="L970" s="50">
        <v>0</v>
      </c>
      <c r="M970" s="31">
        <f t="shared" si="179"/>
        <v>0</v>
      </c>
      <c r="N970" s="50">
        <v>0</v>
      </c>
      <c r="O970" s="31">
        <f t="shared" si="180"/>
        <v>0</v>
      </c>
      <c r="P970" s="51" t="s">
        <v>2947</v>
      </c>
      <c r="Q970" s="51"/>
    </row>
    <row r="971" spans="1:17" x14ac:dyDescent="0.25">
      <c r="A971" s="10">
        <v>44378</v>
      </c>
      <c r="B971" s="594">
        <v>0</v>
      </c>
      <c r="C971" s="31">
        <f t="shared" si="174"/>
        <v>7200000</v>
      </c>
      <c r="D971" s="50">
        <v>-31422.1</v>
      </c>
      <c r="E971" s="31">
        <f t="shared" si="175"/>
        <v>0</v>
      </c>
      <c r="F971" s="900">
        <v>0</v>
      </c>
      <c r="G971" s="899">
        <f t="shared" si="176"/>
        <v>17109.53</v>
      </c>
      <c r="H971" s="50">
        <v>0</v>
      </c>
      <c r="I971" s="31">
        <f t="shared" si="177"/>
        <v>0</v>
      </c>
      <c r="J971" s="50">
        <v>0</v>
      </c>
      <c r="K971" s="31">
        <f t="shared" si="178"/>
        <v>0</v>
      </c>
      <c r="L971" s="50">
        <v>0</v>
      </c>
      <c r="M971" s="31">
        <f t="shared" si="179"/>
        <v>0</v>
      </c>
      <c r="N971" s="50">
        <v>0</v>
      </c>
      <c r="O971" s="31">
        <f t="shared" si="180"/>
        <v>0</v>
      </c>
      <c r="P971" s="51" t="s">
        <v>845</v>
      </c>
      <c r="Q971" s="51"/>
    </row>
    <row r="972" spans="1:17" x14ac:dyDescent="0.25">
      <c r="A972" s="10">
        <v>44379</v>
      </c>
      <c r="B972" s="594">
        <v>0</v>
      </c>
      <c r="C972" s="31">
        <f t="shared" si="174"/>
        <v>7200000</v>
      </c>
      <c r="D972" s="50">
        <v>14.25</v>
      </c>
      <c r="E972" s="31">
        <f t="shared" si="175"/>
        <v>14.25</v>
      </c>
      <c r="F972" s="900">
        <v>0</v>
      </c>
      <c r="G972" s="899">
        <f t="shared" si="176"/>
        <v>17109.53</v>
      </c>
      <c r="H972" s="50">
        <v>1.06</v>
      </c>
      <c r="I972" s="31">
        <f t="shared" si="177"/>
        <v>1.06</v>
      </c>
      <c r="J972" s="50">
        <v>0</v>
      </c>
      <c r="K972" s="31">
        <f t="shared" si="178"/>
        <v>0</v>
      </c>
      <c r="L972" s="50">
        <v>1.61</v>
      </c>
      <c r="M972" s="31">
        <f t="shared" si="179"/>
        <v>1.61</v>
      </c>
      <c r="N972" s="50">
        <v>0</v>
      </c>
      <c r="O972" s="31">
        <f t="shared" si="180"/>
        <v>0</v>
      </c>
      <c r="P972" s="51" t="s">
        <v>3127</v>
      </c>
      <c r="Q972" s="51"/>
    </row>
    <row r="973" spans="1:17" x14ac:dyDescent="0.25">
      <c r="A973" s="10">
        <v>44379</v>
      </c>
      <c r="B973" s="594">
        <v>0</v>
      </c>
      <c r="C973" s="31">
        <f t="shared" si="174"/>
        <v>7200000</v>
      </c>
      <c r="D973" s="50">
        <v>-14.25</v>
      </c>
      <c r="E973" s="31">
        <f t="shared" si="175"/>
        <v>0</v>
      </c>
      <c r="F973" s="900">
        <v>0</v>
      </c>
      <c r="G973" s="899">
        <f t="shared" si="176"/>
        <v>17109.53</v>
      </c>
      <c r="H973" s="50">
        <v>-1.06</v>
      </c>
      <c r="I973" s="31">
        <f t="shared" si="177"/>
        <v>0</v>
      </c>
      <c r="J973" s="50">
        <v>0</v>
      </c>
      <c r="K973" s="31">
        <f t="shared" si="178"/>
        <v>0</v>
      </c>
      <c r="L973" s="50">
        <v>-1.61</v>
      </c>
      <c r="M973" s="31">
        <f t="shared" si="179"/>
        <v>0</v>
      </c>
      <c r="N973" s="50">
        <v>0</v>
      </c>
      <c r="O973" s="31">
        <f t="shared" si="180"/>
        <v>0</v>
      </c>
      <c r="P973" s="51" t="s">
        <v>845</v>
      </c>
      <c r="Q973" s="51"/>
    </row>
    <row r="974" spans="1:17" x14ac:dyDescent="0.25">
      <c r="A974" s="10">
        <v>44384</v>
      </c>
      <c r="B974" s="594">
        <v>0</v>
      </c>
      <c r="C974" s="31">
        <f t="shared" si="174"/>
        <v>7200000</v>
      </c>
      <c r="D974" s="50">
        <v>8000000</v>
      </c>
      <c r="E974" s="31">
        <f t="shared" si="175"/>
        <v>8000000</v>
      </c>
      <c r="F974" s="900">
        <v>0</v>
      </c>
      <c r="G974" s="899">
        <f t="shared" si="176"/>
        <v>17109.53</v>
      </c>
      <c r="H974" s="50">
        <v>0</v>
      </c>
      <c r="I974" s="31">
        <f t="shared" si="177"/>
        <v>0</v>
      </c>
      <c r="J974" s="50">
        <v>0</v>
      </c>
      <c r="K974" s="31">
        <f t="shared" si="178"/>
        <v>0</v>
      </c>
      <c r="L974" s="50">
        <v>0</v>
      </c>
      <c r="M974" s="31">
        <f t="shared" si="179"/>
        <v>0</v>
      </c>
      <c r="N974" s="50">
        <v>0</v>
      </c>
      <c r="O974" s="31">
        <f t="shared" si="180"/>
        <v>0</v>
      </c>
      <c r="P974" s="51" t="s">
        <v>3128</v>
      </c>
      <c r="Q974" s="51"/>
    </row>
    <row r="975" spans="1:17" x14ac:dyDescent="0.25">
      <c r="A975" s="10">
        <v>44384</v>
      </c>
      <c r="B975" s="594">
        <v>9200000</v>
      </c>
      <c r="C975" s="31">
        <f t="shared" si="174"/>
        <v>16400000</v>
      </c>
      <c r="D975" s="50">
        <v>-9200000</v>
      </c>
      <c r="E975" s="31">
        <f t="shared" si="175"/>
        <v>-1200000</v>
      </c>
      <c r="F975" s="900">
        <v>0</v>
      </c>
      <c r="G975" s="899">
        <f t="shared" si="176"/>
        <v>17109.53</v>
      </c>
      <c r="H975" s="50">
        <v>0</v>
      </c>
      <c r="I975" s="31">
        <f t="shared" si="177"/>
        <v>0</v>
      </c>
      <c r="J975" s="50">
        <v>0</v>
      </c>
      <c r="K975" s="31">
        <f t="shared" si="178"/>
        <v>0</v>
      </c>
      <c r="L975" s="50">
        <v>0</v>
      </c>
      <c r="M975" s="31">
        <f t="shared" si="179"/>
        <v>0</v>
      </c>
      <c r="N975" s="50">
        <v>0</v>
      </c>
      <c r="O975" s="31">
        <f t="shared" si="180"/>
        <v>0</v>
      </c>
      <c r="P975" s="51" t="s">
        <v>2980</v>
      </c>
      <c r="Q975" s="51"/>
    </row>
    <row r="976" spans="1:17" x14ac:dyDescent="0.25">
      <c r="A976" s="10">
        <v>44384</v>
      </c>
      <c r="B976" s="594">
        <v>0</v>
      </c>
      <c r="C976" s="31">
        <f t="shared" si="174"/>
        <v>16400000</v>
      </c>
      <c r="D976" s="50">
        <f>-E975</f>
        <v>1200000</v>
      </c>
      <c r="E976" s="31">
        <f t="shared" si="175"/>
        <v>0</v>
      </c>
      <c r="F976" s="900">
        <v>0</v>
      </c>
      <c r="G976" s="899">
        <f t="shared" si="176"/>
        <v>17109.53</v>
      </c>
      <c r="H976" s="50">
        <v>0</v>
      </c>
      <c r="I976" s="31">
        <f t="shared" si="177"/>
        <v>0</v>
      </c>
      <c r="J976" s="50">
        <v>0</v>
      </c>
      <c r="K976" s="31">
        <f t="shared" si="178"/>
        <v>0</v>
      </c>
      <c r="L976" s="50">
        <v>0</v>
      </c>
      <c r="M976" s="31">
        <f t="shared" si="179"/>
        <v>0</v>
      </c>
      <c r="N976" s="50">
        <v>0</v>
      </c>
      <c r="O976" s="31">
        <f t="shared" si="180"/>
        <v>0</v>
      </c>
      <c r="P976" s="51" t="s">
        <v>845</v>
      </c>
      <c r="Q976" s="51"/>
    </row>
    <row r="977" spans="1:17" x14ac:dyDescent="0.25">
      <c r="A977" s="10">
        <v>44390</v>
      </c>
      <c r="B977" s="594">
        <v>0</v>
      </c>
      <c r="C977" s="31">
        <f t="shared" si="174"/>
        <v>16400000</v>
      </c>
      <c r="D977" s="50">
        <v>-500066.67</v>
      </c>
      <c r="E977" s="31">
        <f t="shared" si="175"/>
        <v>-500066.67</v>
      </c>
      <c r="F977" s="900">
        <v>0</v>
      </c>
      <c r="G977" s="899">
        <f t="shared" si="176"/>
        <v>17109.53</v>
      </c>
      <c r="H977" s="50">
        <v>0</v>
      </c>
      <c r="I977" s="31">
        <f t="shared" si="177"/>
        <v>0</v>
      </c>
      <c r="J977" s="50">
        <v>0</v>
      </c>
      <c r="K977" s="31">
        <f t="shared" si="178"/>
        <v>0</v>
      </c>
      <c r="L977" s="50">
        <v>0</v>
      </c>
      <c r="M977" s="31">
        <f t="shared" si="179"/>
        <v>0</v>
      </c>
      <c r="N977" s="50">
        <v>0</v>
      </c>
      <c r="O977" s="31">
        <f t="shared" si="180"/>
        <v>0</v>
      </c>
      <c r="P977" s="51" t="s">
        <v>2216</v>
      </c>
      <c r="Q977" s="51"/>
    </row>
    <row r="978" spans="1:17" x14ac:dyDescent="0.25">
      <c r="A978" s="10">
        <v>44390</v>
      </c>
      <c r="B978" s="594">
        <v>0</v>
      </c>
      <c r="C978" s="31">
        <f t="shared" si="174"/>
        <v>16400000</v>
      </c>
      <c r="D978" s="50">
        <v>500066.67</v>
      </c>
      <c r="E978" s="31">
        <f t="shared" si="175"/>
        <v>0</v>
      </c>
      <c r="F978" s="900">
        <v>0</v>
      </c>
      <c r="G978" s="899">
        <f t="shared" si="176"/>
        <v>17109.53</v>
      </c>
      <c r="H978" s="50">
        <v>0</v>
      </c>
      <c r="I978" s="31">
        <f t="shared" si="177"/>
        <v>0</v>
      </c>
      <c r="J978" s="50">
        <v>0</v>
      </c>
      <c r="K978" s="31">
        <f t="shared" si="178"/>
        <v>0</v>
      </c>
      <c r="L978" s="50">
        <v>0</v>
      </c>
      <c r="M978" s="31">
        <f t="shared" si="179"/>
        <v>0</v>
      </c>
      <c r="N978" s="50">
        <v>0</v>
      </c>
      <c r="O978" s="31">
        <f t="shared" si="180"/>
        <v>0</v>
      </c>
      <c r="P978" s="51" t="s">
        <v>845</v>
      </c>
      <c r="Q978" s="51"/>
    </row>
    <row r="979" spans="1:17" x14ac:dyDescent="0.25">
      <c r="A979" s="10">
        <v>44392</v>
      </c>
      <c r="B979" s="594">
        <v>3000000</v>
      </c>
      <c r="C979" s="31">
        <f t="shared" si="174"/>
        <v>19400000</v>
      </c>
      <c r="D979" s="50">
        <v>0</v>
      </c>
      <c r="E979" s="31">
        <f t="shared" si="175"/>
        <v>0</v>
      </c>
      <c r="F979" s="900">
        <f>-B979</f>
        <v>-3000000</v>
      </c>
      <c r="G979" s="899">
        <f t="shared" si="176"/>
        <v>-2982890.47</v>
      </c>
      <c r="H979" s="50">
        <v>0</v>
      </c>
      <c r="I979" s="31">
        <f t="shared" si="177"/>
        <v>0</v>
      </c>
      <c r="J979" s="50">
        <v>0</v>
      </c>
      <c r="K979" s="31">
        <f t="shared" si="178"/>
        <v>0</v>
      </c>
      <c r="L979" s="50">
        <v>0</v>
      </c>
      <c r="M979" s="31">
        <f t="shared" si="179"/>
        <v>0</v>
      </c>
      <c r="N979" s="50">
        <v>0</v>
      </c>
      <c r="O979" s="31">
        <f t="shared" si="180"/>
        <v>0</v>
      </c>
      <c r="P979" s="51" t="s">
        <v>3133</v>
      </c>
      <c r="Q979" s="51"/>
    </row>
    <row r="980" spans="1:17" x14ac:dyDescent="0.25">
      <c r="A980" s="10">
        <v>44392</v>
      </c>
      <c r="B980" s="594">
        <v>0</v>
      </c>
      <c r="C980" s="31">
        <f t="shared" si="174"/>
        <v>19400000</v>
      </c>
      <c r="D980" s="50">
        <v>0</v>
      </c>
      <c r="E980" s="31">
        <f t="shared" si="175"/>
        <v>0</v>
      </c>
      <c r="F980" s="900">
        <v>3000000</v>
      </c>
      <c r="G980" s="899">
        <f t="shared" si="176"/>
        <v>17109.53</v>
      </c>
      <c r="H980" s="50">
        <v>0</v>
      </c>
      <c r="I980" s="31">
        <f t="shared" si="177"/>
        <v>0</v>
      </c>
      <c r="J980" s="50">
        <v>0</v>
      </c>
      <c r="K980" s="31">
        <f t="shared" si="178"/>
        <v>0</v>
      </c>
      <c r="L980" s="50">
        <v>0</v>
      </c>
      <c r="M980" s="31">
        <f t="shared" si="179"/>
        <v>0</v>
      </c>
      <c r="N980" s="50">
        <v>0</v>
      </c>
      <c r="O980" s="31">
        <f t="shared" si="180"/>
        <v>0</v>
      </c>
      <c r="P980" s="51" t="s">
        <v>3134</v>
      </c>
      <c r="Q980" s="51"/>
    </row>
    <row r="981" spans="1:17" x14ac:dyDescent="0.25">
      <c r="A981" s="10">
        <v>44396</v>
      </c>
      <c r="B981" s="594">
        <v>0</v>
      </c>
      <c r="C981" s="31">
        <f t="shared" si="174"/>
        <v>19400000</v>
      </c>
      <c r="D981" s="50">
        <v>-140687.5</v>
      </c>
      <c r="E981" s="31">
        <f t="shared" si="175"/>
        <v>-140687.5</v>
      </c>
      <c r="F981" s="900">
        <v>0</v>
      </c>
      <c r="G981" s="899">
        <f t="shared" si="176"/>
        <v>17109.53</v>
      </c>
      <c r="H981" s="50">
        <v>0</v>
      </c>
      <c r="I981" s="31">
        <f t="shared" si="177"/>
        <v>0</v>
      </c>
      <c r="J981" s="50">
        <v>0</v>
      </c>
      <c r="K981" s="31">
        <f t="shared" si="178"/>
        <v>0</v>
      </c>
      <c r="L981" s="50">
        <v>0</v>
      </c>
      <c r="M981" s="31">
        <f t="shared" si="179"/>
        <v>0</v>
      </c>
      <c r="N981" s="50">
        <v>0</v>
      </c>
      <c r="O981" s="31">
        <f t="shared" si="180"/>
        <v>0</v>
      </c>
      <c r="P981" s="51" t="s">
        <v>2844</v>
      </c>
      <c r="Q981" s="51"/>
    </row>
    <row r="982" spans="1:17" x14ac:dyDescent="0.25">
      <c r="A982" s="10">
        <v>44396</v>
      </c>
      <c r="B982" s="594">
        <v>0</v>
      </c>
      <c r="C982" s="31">
        <f t="shared" si="174"/>
        <v>19400000</v>
      </c>
      <c r="D982" s="50">
        <f>-D981</f>
        <v>140687.5</v>
      </c>
      <c r="E982" s="31">
        <f t="shared" si="175"/>
        <v>0</v>
      </c>
      <c r="F982" s="900">
        <v>0</v>
      </c>
      <c r="G982" s="899">
        <f t="shared" si="176"/>
        <v>17109.53</v>
      </c>
      <c r="H982" s="50">
        <v>0</v>
      </c>
      <c r="I982" s="31">
        <f t="shared" si="177"/>
        <v>0</v>
      </c>
      <c r="J982" s="50">
        <v>0</v>
      </c>
      <c r="K982" s="31">
        <f t="shared" si="178"/>
        <v>0</v>
      </c>
      <c r="L982" s="50">
        <v>0</v>
      </c>
      <c r="M982" s="31">
        <f t="shared" si="179"/>
        <v>0</v>
      </c>
      <c r="N982" s="50">
        <v>0</v>
      </c>
      <c r="O982" s="31">
        <f t="shared" si="180"/>
        <v>0</v>
      </c>
      <c r="P982" s="51" t="s">
        <v>845</v>
      </c>
      <c r="Q982" s="51"/>
    </row>
    <row r="983" spans="1:17" x14ac:dyDescent="0.25">
      <c r="A983" s="10">
        <v>44396</v>
      </c>
      <c r="B983" s="594">
        <v>0</v>
      </c>
      <c r="C983" s="31">
        <f t="shared" si="174"/>
        <v>19400000</v>
      </c>
      <c r="D983" s="50">
        <v>0</v>
      </c>
      <c r="E983" s="31">
        <f t="shared" si="175"/>
        <v>0</v>
      </c>
      <c r="F983" s="900">
        <v>0</v>
      </c>
      <c r="G983" s="899">
        <f t="shared" si="176"/>
        <v>17109.53</v>
      </c>
      <c r="H983" s="50">
        <v>545</v>
      </c>
      <c r="I983" s="31">
        <f t="shared" si="177"/>
        <v>545</v>
      </c>
      <c r="J983" s="50">
        <v>0</v>
      </c>
      <c r="K983" s="31">
        <f t="shared" si="178"/>
        <v>0</v>
      </c>
      <c r="L983" s="50">
        <v>0</v>
      </c>
      <c r="M983" s="31">
        <f t="shared" si="179"/>
        <v>0</v>
      </c>
      <c r="N983" s="50">
        <v>0</v>
      </c>
      <c r="O983" s="31">
        <f t="shared" si="180"/>
        <v>0</v>
      </c>
      <c r="P983" s="51" t="s">
        <v>3138</v>
      </c>
      <c r="Q983" s="51"/>
    </row>
    <row r="984" spans="1:17" x14ac:dyDescent="0.25">
      <c r="A984" s="10">
        <v>44396</v>
      </c>
      <c r="B984" s="594">
        <v>0</v>
      </c>
      <c r="C984" s="31">
        <f t="shared" si="174"/>
        <v>19400000</v>
      </c>
      <c r="D984" s="50">
        <v>0</v>
      </c>
      <c r="E984" s="31">
        <f t="shared" si="175"/>
        <v>0</v>
      </c>
      <c r="F984" s="900">
        <v>0</v>
      </c>
      <c r="G984" s="899">
        <f t="shared" si="176"/>
        <v>17109.53</v>
      </c>
      <c r="H984" s="50">
        <v>-545</v>
      </c>
      <c r="I984" s="31">
        <f t="shared" si="177"/>
        <v>0</v>
      </c>
      <c r="J984" s="50">
        <v>0</v>
      </c>
      <c r="K984" s="31">
        <f t="shared" si="178"/>
        <v>0</v>
      </c>
      <c r="L984" s="50">
        <v>0</v>
      </c>
      <c r="M984" s="31">
        <f t="shared" si="179"/>
        <v>0</v>
      </c>
      <c r="N984" s="50">
        <v>0</v>
      </c>
      <c r="O984" s="31">
        <f t="shared" si="180"/>
        <v>0</v>
      </c>
      <c r="P984" s="51" t="s">
        <v>845</v>
      </c>
      <c r="Q984" s="51"/>
    </row>
    <row r="985" spans="1:17" x14ac:dyDescent="0.25">
      <c r="A985" s="10">
        <v>44400</v>
      </c>
      <c r="B985" s="594">
        <v>0</v>
      </c>
      <c r="C985" s="31">
        <f t="shared" si="174"/>
        <v>19400000</v>
      </c>
      <c r="D985" s="50">
        <v>0</v>
      </c>
      <c r="E985" s="31">
        <f t="shared" si="175"/>
        <v>0</v>
      </c>
      <c r="F985" s="900">
        <v>0</v>
      </c>
      <c r="G985" s="899">
        <f t="shared" si="176"/>
        <v>17109.53</v>
      </c>
      <c r="H985" s="50">
        <v>-148.79</v>
      </c>
      <c r="I985" s="31">
        <f t="shared" si="177"/>
        <v>-148.79</v>
      </c>
      <c r="J985" s="50">
        <v>0</v>
      </c>
      <c r="K985" s="31">
        <f t="shared" si="178"/>
        <v>0</v>
      </c>
      <c r="L985" s="50">
        <v>0</v>
      </c>
      <c r="M985" s="31">
        <f t="shared" si="179"/>
        <v>0</v>
      </c>
      <c r="N985" s="50">
        <v>0</v>
      </c>
      <c r="O985" s="31">
        <f t="shared" si="180"/>
        <v>0</v>
      </c>
      <c r="P985" s="51" t="s">
        <v>3152</v>
      </c>
      <c r="Q985" s="51"/>
    </row>
    <row r="986" spans="1:17" x14ac:dyDescent="0.25">
      <c r="A986" s="10">
        <v>44400</v>
      </c>
      <c r="B986" s="594">
        <v>0</v>
      </c>
      <c r="C986" s="31">
        <f t="shared" si="174"/>
        <v>19400000</v>
      </c>
      <c r="D986" s="50">
        <v>0</v>
      </c>
      <c r="E986" s="31">
        <f t="shared" si="175"/>
        <v>0</v>
      </c>
      <c r="F986" s="900">
        <v>0</v>
      </c>
      <c r="G986" s="899">
        <f t="shared" si="176"/>
        <v>17109.53</v>
      </c>
      <c r="H986" s="50">
        <v>148.79</v>
      </c>
      <c r="I986" s="31">
        <f t="shared" si="177"/>
        <v>0</v>
      </c>
      <c r="J986" s="50">
        <v>0</v>
      </c>
      <c r="K986" s="31">
        <f t="shared" si="178"/>
        <v>0</v>
      </c>
      <c r="L986" s="50">
        <v>0</v>
      </c>
      <c r="M986" s="31">
        <f t="shared" si="179"/>
        <v>0</v>
      </c>
      <c r="N986" s="50">
        <v>0</v>
      </c>
      <c r="O986" s="31">
        <f t="shared" si="180"/>
        <v>0</v>
      </c>
      <c r="P986" s="51" t="s">
        <v>845</v>
      </c>
      <c r="Q986" s="51"/>
    </row>
    <row r="987" spans="1:17" x14ac:dyDescent="0.25">
      <c r="A987" s="10">
        <v>44403</v>
      </c>
      <c r="B987" s="594">
        <v>3500000</v>
      </c>
      <c r="C987" s="31">
        <f t="shared" si="174"/>
        <v>22900000</v>
      </c>
      <c r="D987" s="50">
        <v>0</v>
      </c>
      <c r="E987" s="31">
        <f t="shared" si="175"/>
        <v>0</v>
      </c>
      <c r="F987" s="900">
        <v>0</v>
      </c>
      <c r="G987" s="899">
        <f t="shared" si="176"/>
        <v>17109.53</v>
      </c>
      <c r="H987" s="50">
        <v>0</v>
      </c>
      <c r="I987" s="31">
        <f t="shared" si="177"/>
        <v>0</v>
      </c>
      <c r="J987" s="50">
        <v>0</v>
      </c>
      <c r="K987" s="31">
        <f t="shared" si="178"/>
        <v>0</v>
      </c>
      <c r="L987" s="50">
        <v>0</v>
      </c>
      <c r="M987" s="31">
        <f t="shared" si="179"/>
        <v>0</v>
      </c>
      <c r="N987" s="50">
        <v>0</v>
      </c>
      <c r="O987" s="31">
        <f t="shared" si="180"/>
        <v>0</v>
      </c>
      <c r="P987" s="51" t="s">
        <v>3133</v>
      </c>
      <c r="Q987" s="51"/>
    </row>
    <row r="988" spans="1:17" x14ac:dyDescent="0.25">
      <c r="A988" s="10">
        <v>44404</v>
      </c>
      <c r="B988" s="594">
        <v>0</v>
      </c>
      <c r="C988" s="31">
        <f t="shared" si="174"/>
        <v>22900000</v>
      </c>
      <c r="D988" s="50">
        <v>18530.72</v>
      </c>
      <c r="E988" s="31">
        <f t="shared" si="175"/>
        <v>18530.72</v>
      </c>
      <c r="F988" s="900">
        <v>0</v>
      </c>
      <c r="G988" s="899">
        <f t="shared" si="176"/>
        <v>17109.53</v>
      </c>
      <c r="H988" s="50">
        <v>0</v>
      </c>
      <c r="I988" s="31">
        <f t="shared" si="177"/>
        <v>0</v>
      </c>
      <c r="J988" s="50">
        <v>0</v>
      </c>
      <c r="K988" s="31">
        <f t="shared" si="178"/>
        <v>0</v>
      </c>
      <c r="L988" s="50">
        <v>0</v>
      </c>
      <c r="M988" s="31">
        <f t="shared" si="179"/>
        <v>0</v>
      </c>
      <c r="N988" s="50">
        <v>0</v>
      </c>
      <c r="O988" s="31">
        <f t="shared" si="180"/>
        <v>0</v>
      </c>
      <c r="P988" s="51" t="s">
        <v>2947</v>
      </c>
      <c r="Q988" s="51"/>
    </row>
    <row r="989" spans="1:17" x14ac:dyDescent="0.25">
      <c r="A989" s="10">
        <v>44404</v>
      </c>
      <c r="B989" s="594">
        <v>0</v>
      </c>
      <c r="C989" s="31">
        <f t="shared" ref="C989:C1052" si="182">ROUND(B989+C988,2)</f>
        <v>22900000</v>
      </c>
      <c r="D989" s="50">
        <v>-18530.72</v>
      </c>
      <c r="E989" s="31">
        <f t="shared" ref="E989:E1052" si="183">ROUND(D989+E988,2)</f>
        <v>0</v>
      </c>
      <c r="F989" s="900">
        <v>0</v>
      </c>
      <c r="G989" s="899">
        <f t="shared" ref="G989:G1052" si="184">ROUND(F989+G988,2)</f>
        <v>17109.53</v>
      </c>
      <c r="H989" s="50">
        <v>0</v>
      </c>
      <c r="I989" s="31">
        <f t="shared" ref="I989:I1052" si="185">ROUND(H989+I988,2)</f>
        <v>0</v>
      </c>
      <c r="J989" s="50">
        <v>0</v>
      </c>
      <c r="K989" s="31">
        <f t="shared" ref="K989:K1052" si="186">ROUND(J989+K988,2)</f>
        <v>0</v>
      </c>
      <c r="L989" s="50">
        <v>0</v>
      </c>
      <c r="M989" s="31">
        <f t="shared" ref="M989:M1052" si="187">ROUND(L989+M988,2)</f>
        <v>0</v>
      </c>
      <c r="N989" s="50">
        <v>0</v>
      </c>
      <c r="O989" s="31">
        <f t="shared" ref="O989:O1052" si="188">ROUND(N989+O988,2)</f>
        <v>0</v>
      </c>
      <c r="P989" s="51" t="s">
        <v>845</v>
      </c>
      <c r="Q989" s="51"/>
    </row>
    <row r="990" spans="1:17" x14ac:dyDescent="0.25">
      <c r="A990" s="10">
        <v>44411</v>
      </c>
      <c r="B990" s="594">
        <v>0</v>
      </c>
      <c r="C990" s="31">
        <f t="shared" si="182"/>
        <v>22900000</v>
      </c>
      <c r="D990" s="50">
        <v>21.74</v>
      </c>
      <c r="E990" s="31">
        <f t="shared" si="183"/>
        <v>21.74</v>
      </c>
      <c r="F990" s="900">
        <v>0</v>
      </c>
      <c r="G990" s="899">
        <f t="shared" si="184"/>
        <v>17109.53</v>
      </c>
      <c r="H990" s="50">
        <v>1.26</v>
      </c>
      <c r="I990" s="31">
        <f t="shared" si="185"/>
        <v>1.26</v>
      </c>
      <c r="J990" s="50">
        <v>0</v>
      </c>
      <c r="K990" s="31">
        <f t="shared" si="186"/>
        <v>0</v>
      </c>
      <c r="L990" s="50">
        <v>0</v>
      </c>
      <c r="M990" s="31">
        <f t="shared" si="187"/>
        <v>0</v>
      </c>
      <c r="N990" s="50">
        <v>0</v>
      </c>
      <c r="O990" s="31">
        <f t="shared" si="188"/>
        <v>0</v>
      </c>
      <c r="P990" s="51" t="s">
        <v>2718</v>
      </c>
      <c r="Q990" s="51"/>
    </row>
    <row r="991" spans="1:17" x14ac:dyDescent="0.25">
      <c r="A991" s="10">
        <v>44411</v>
      </c>
      <c r="B991" s="594">
        <v>0</v>
      </c>
      <c r="C991" s="31">
        <f t="shared" si="182"/>
        <v>22900000</v>
      </c>
      <c r="D991" s="50">
        <v>560000</v>
      </c>
      <c r="E991" s="31">
        <f t="shared" si="183"/>
        <v>560021.74</v>
      </c>
      <c r="F991" s="900">
        <v>0</v>
      </c>
      <c r="G991" s="899">
        <f t="shared" si="184"/>
        <v>17109.53</v>
      </c>
      <c r="H991" s="50">
        <v>0</v>
      </c>
      <c r="I991" s="31">
        <f t="shared" si="185"/>
        <v>1.26</v>
      </c>
      <c r="J991" s="50">
        <v>0</v>
      </c>
      <c r="K991" s="31">
        <f t="shared" si="186"/>
        <v>0</v>
      </c>
      <c r="L991" s="50">
        <v>0</v>
      </c>
      <c r="M991" s="31">
        <f t="shared" si="187"/>
        <v>0</v>
      </c>
      <c r="N991" s="50">
        <v>0</v>
      </c>
      <c r="O991" s="31">
        <f t="shared" si="188"/>
        <v>0</v>
      </c>
      <c r="P991" s="51" t="s">
        <v>3281</v>
      </c>
      <c r="Q991" s="51"/>
    </row>
    <row r="992" spans="1:17" x14ac:dyDescent="0.25">
      <c r="A992" s="10">
        <v>44411</v>
      </c>
      <c r="B992" s="594">
        <v>0</v>
      </c>
      <c r="C992" s="31">
        <f t="shared" si="182"/>
        <v>22900000</v>
      </c>
      <c r="D992" s="50">
        <f>-E991</f>
        <v>-560021.74</v>
      </c>
      <c r="E992" s="31">
        <f t="shared" si="183"/>
        <v>0</v>
      </c>
      <c r="F992" s="900">
        <v>0</v>
      </c>
      <c r="G992" s="899">
        <f t="shared" si="184"/>
        <v>17109.53</v>
      </c>
      <c r="H992" s="50">
        <v>-1.26</v>
      </c>
      <c r="I992" s="31">
        <f t="shared" si="185"/>
        <v>0</v>
      </c>
      <c r="J992" s="50">
        <v>0</v>
      </c>
      <c r="K992" s="31">
        <f t="shared" si="186"/>
        <v>0</v>
      </c>
      <c r="L992" s="50">
        <v>0</v>
      </c>
      <c r="M992" s="31">
        <f t="shared" si="187"/>
        <v>0</v>
      </c>
      <c r="N992" s="50">
        <v>0</v>
      </c>
      <c r="O992" s="31">
        <f t="shared" si="188"/>
        <v>0</v>
      </c>
      <c r="P992" s="51" t="s">
        <v>845</v>
      </c>
      <c r="Q992" s="51"/>
    </row>
    <row r="993" spans="1:17" x14ac:dyDescent="0.25">
      <c r="A993" s="10">
        <v>44412</v>
      </c>
      <c r="B993" s="594">
        <v>1200000</v>
      </c>
      <c r="C993" s="31">
        <f t="shared" si="182"/>
        <v>24100000</v>
      </c>
      <c r="D993" s="50">
        <v>-1200000</v>
      </c>
      <c r="E993" s="31">
        <f t="shared" si="183"/>
        <v>-1200000</v>
      </c>
      <c r="F993" s="900">
        <v>0</v>
      </c>
      <c r="G993" s="899">
        <f t="shared" si="184"/>
        <v>17109.53</v>
      </c>
      <c r="H993" s="50">
        <v>0</v>
      </c>
      <c r="I993" s="31">
        <f t="shared" si="185"/>
        <v>0</v>
      </c>
      <c r="J993" s="50">
        <v>0</v>
      </c>
      <c r="K993" s="31">
        <f t="shared" si="186"/>
        <v>0</v>
      </c>
      <c r="L993" s="50">
        <v>0</v>
      </c>
      <c r="M993" s="31">
        <f t="shared" si="187"/>
        <v>0</v>
      </c>
      <c r="N993" s="50">
        <v>0</v>
      </c>
      <c r="O993" s="31">
        <f t="shared" si="188"/>
        <v>0</v>
      </c>
      <c r="P993" s="51" t="s">
        <v>2980</v>
      </c>
      <c r="Q993" s="51"/>
    </row>
    <row r="994" spans="1:17" x14ac:dyDescent="0.25">
      <c r="A994" s="10">
        <v>44412</v>
      </c>
      <c r="B994" s="594">
        <v>-401465.24</v>
      </c>
      <c r="C994" s="31">
        <f t="shared" si="182"/>
        <v>23698534.760000002</v>
      </c>
      <c r="D994" s="50">
        <v>401465.24</v>
      </c>
      <c r="E994" s="31">
        <f t="shared" si="183"/>
        <v>-798534.76</v>
      </c>
      <c r="F994" s="900">
        <v>0</v>
      </c>
      <c r="G994" s="899">
        <f t="shared" si="184"/>
        <v>17109.53</v>
      </c>
      <c r="H994" s="50">
        <v>0</v>
      </c>
      <c r="I994" s="31">
        <f t="shared" si="185"/>
        <v>0</v>
      </c>
      <c r="J994" s="50">
        <v>0</v>
      </c>
      <c r="K994" s="31">
        <f t="shared" si="186"/>
        <v>0</v>
      </c>
      <c r="L994" s="50">
        <v>0</v>
      </c>
      <c r="M994" s="31">
        <f t="shared" si="187"/>
        <v>0</v>
      </c>
      <c r="N994" s="50">
        <v>0</v>
      </c>
      <c r="O994" s="31">
        <f t="shared" si="188"/>
        <v>0</v>
      </c>
      <c r="P994" s="51" t="s">
        <v>2980</v>
      </c>
      <c r="Q994" s="51"/>
    </row>
    <row r="995" spans="1:17" x14ac:dyDescent="0.25">
      <c r="A995" s="10">
        <v>44412</v>
      </c>
      <c r="B995" s="594">
        <v>0</v>
      </c>
      <c r="C995" s="31">
        <f t="shared" si="182"/>
        <v>23698534.760000002</v>
      </c>
      <c r="D995" s="50">
        <v>1200000</v>
      </c>
      <c r="E995" s="31">
        <f t="shared" si="183"/>
        <v>401465.24</v>
      </c>
      <c r="F995" s="900">
        <v>0</v>
      </c>
      <c r="G995" s="899">
        <f t="shared" si="184"/>
        <v>17109.53</v>
      </c>
      <c r="H995" s="50">
        <v>0</v>
      </c>
      <c r="I995" s="31">
        <f t="shared" si="185"/>
        <v>0</v>
      </c>
      <c r="J995" s="50">
        <v>0</v>
      </c>
      <c r="K995" s="31">
        <f t="shared" si="186"/>
        <v>0</v>
      </c>
      <c r="L995" s="50">
        <v>0</v>
      </c>
      <c r="M995" s="31">
        <f t="shared" si="187"/>
        <v>0</v>
      </c>
      <c r="N995" s="50">
        <v>0</v>
      </c>
      <c r="O995" s="31">
        <f t="shared" si="188"/>
        <v>0</v>
      </c>
      <c r="P995" s="51" t="s">
        <v>3282</v>
      </c>
      <c r="Q995" s="51"/>
    </row>
    <row r="996" spans="1:17" x14ac:dyDescent="0.25">
      <c r="A996" s="10">
        <v>44412</v>
      </c>
      <c r="B996" s="594">
        <v>0</v>
      </c>
      <c r="C996" s="31">
        <f t="shared" si="182"/>
        <v>23698534.760000002</v>
      </c>
      <c r="D996" s="50">
        <v>8381.32</v>
      </c>
      <c r="E996" s="31">
        <f t="shared" si="183"/>
        <v>409846.56</v>
      </c>
      <c r="F996" s="900">
        <v>0</v>
      </c>
      <c r="G996" s="899">
        <f t="shared" si="184"/>
        <v>17109.53</v>
      </c>
      <c r="H996" s="50">
        <v>0</v>
      </c>
      <c r="I996" s="31">
        <f t="shared" si="185"/>
        <v>0</v>
      </c>
      <c r="J996" s="50">
        <v>0</v>
      </c>
      <c r="K996" s="31">
        <f t="shared" si="186"/>
        <v>0</v>
      </c>
      <c r="L996" s="50">
        <v>0</v>
      </c>
      <c r="M996" s="31">
        <f t="shared" si="187"/>
        <v>0</v>
      </c>
      <c r="N996" s="50">
        <v>0</v>
      </c>
      <c r="O996" s="31">
        <f t="shared" si="188"/>
        <v>0</v>
      </c>
      <c r="P996" s="51" t="s">
        <v>2820</v>
      </c>
      <c r="Q996" s="51"/>
    </row>
    <row r="997" spans="1:17" x14ac:dyDescent="0.25">
      <c r="A997" s="10">
        <v>44412</v>
      </c>
      <c r="B997" s="594">
        <v>0</v>
      </c>
      <c r="C997" s="31">
        <f t="shared" si="182"/>
        <v>23698534.760000002</v>
      </c>
      <c r="D997" s="50">
        <f>-E996</f>
        <v>-409846.56</v>
      </c>
      <c r="E997" s="31">
        <f t="shared" si="183"/>
        <v>0</v>
      </c>
      <c r="F997" s="900">
        <v>0</v>
      </c>
      <c r="G997" s="899">
        <f t="shared" si="184"/>
        <v>17109.53</v>
      </c>
      <c r="H997" s="50">
        <v>0</v>
      </c>
      <c r="I997" s="31">
        <f t="shared" si="185"/>
        <v>0</v>
      </c>
      <c r="J997" s="50">
        <v>0</v>
      </c>
      <c r="K997" s="31">
        <f t="shared" si="186"/>
        <v>0</v>
      </c>
      <c r="L997" s="50">
        <v>0</v>
      </c>
      <c r="M997" s="31">
        <f t="shared" si="187"/>
        <v>0</v>
      </c>
      <c r="N997" s="50">
        <v>0</v>
      </c>
      <c r="O997" s="31">
        <f t="shared" si="188"/>
        <v>0</v>
      </c>
      <c r="P997" s="51" t="s">
        <v>845</v>
      </c>
      <c r="Q997" s="51"/>
    </row>
    <row r="998" spans="1:17" x14ac:dyDescent="0.25">
      <c r="A998" s="10">
        <v>44414</v>
      </c>
      <c r="B998" s="594">
        <v>0</v>
      </c>
      <c r="C998" s="31">
        <f t="shared" si="182"/>
        <v>23698534.760000002</v>
      </c>
      <c r="D998" s="50">
        <v>160172.32999999999</v>
      </c>
      <c r="E998" s="31">
        <f t="shared" si="183"/>
        <v>160172.32999999999</v>
      </c>
      <c r="F998" s="900">
        <v>0</v>
      </c>
      <c r="G998" s="899">
        <f t="shared" si="184"/>
        <v>17109.53</v>
      </c>
      <c r="H998" s="50">
        <v>0</v>
      </c>
      <c r="I998" s="31">
        <f t="shared" si="185"/>
        <v>0</v>
      </c>
      <c r="J998" s="50">
        <v>0</v>
      </c>
      <c r="K998" s="31">
        <f t="shared" si="186"/>
        <v>0</v>
      </c>
      <c r="L998" s="50">
        <v>0</v>
      </c>
      <c r="M998" s="31">
        <f t="shared" si="187"/>
        <v>0</v>
      </c>
      <c r="N998" s="50">
        <v>0</v>
      </c>
      <c r="O998" s="31">
        <f t="shared" si="188"/>
        <v>0</v>
      </c>
      <c r="P998" s="51" t="s">
        <v>3283</v>
      </c>
      <c r="Q998" s="51"/>
    </row>
    <row r="999" spans="1:17" x14ac:dyDescent="0.25">
      <c r="A999" s="10">
        <v>44414</v>
      </c>
      <c r="B999" s="594">
        <v>0</v>
      </c>
      <c r="C999" s="31">
        <f t="shared" si="182"/>
        <v>23698534.760000002</v>
      </c>
      <c r="D999" s="50">
        <v>-160172.32999999999</v>
      </c>
      <c r="E999" s="31">
        <f t="shared" si="183"/>
        <v>0</v>
      </c>
      <c r="F999" s="900">
        <v>0</v>
      </c>
      <c r="G999" s="899">
        <f t="shared" si="184"/>
        <v>17109.53</v>
      </c>
      <c r="H999" s="50">
        <v>0</v>
      </c>
      <c r="I999" s="31">
        <f t="shared" si="185"/>
        <v>0</v>
      </c>
      <c r="J999" s="50">
        <v>0</v>
      </c>
      <c r="K999" s="31">
        <f t="shared" si="186"/>
        <v>0</v>
      </c>
      <c r="L999" s="50">
        <v>0</v>
      </c>
      <c r="M999" s="31">
        <f t="shared" si="187"/>
        <v>0</v>
      </c>
      <c r="N999" s="50">
        <v>0</v>
      </c>
      <c r="O999" s="31">
        <f t="shared" si="188"/>
        <v>0</v>
      </c>
      <c r="P999" s="51" t="s">
        <v>845</v>
      </c>
      <c r="Q999" s="51"/>
    </row>
    <row r="1000" spans="1:17" x14ac:dyDescent="0.25">
      <c r="A1000" s="10">
        <v>44417</v>
      </c>
      <c r="B1000" s="594">
        <v>0</v>
      </c>
      <c r="C1000" s="31">
        <f t="shared" si="182"/>
        <v>23698534.760000002</v>
      </c>
      <c r="D1000" s="50">
        <v>-367000</v>
      </c>
      <c r="E1000" s="31">
        <f t="shared" si="183"/>
        <v>-367000</v>
      </c>
      <c r="F1000" s="900">
        <v>0</v>
      </c>
      <c r="G1000" s="899">
        <f t="shared" si="184"/>
        <v>17109.53</v>
      </c>
      <c r="H1000" s="50">
        <v>0</v>
      </c>
      <c r="I1000" s="31">
        <f t="shared" si="185"/>
        <v>0</v>
      </c>
      <c r="J1000" s="50">
        <v>0</v>
      </c>
      <c r="K1000" s="31">
        <f t="shared" si="186"/>
        <v>0</v>
      </c>
      <c r="L1000" s="50">
        <v>0</v>
      </c>
      <c r="M1000" s="31">
        <f t="shared" si="187"/>
        <v>0</v>
      </c>
      <c r="N1000" s="50">
        <v>0</v>
      </c>
      <c r="O1000" s="31">
        <f t="shared" si="188"/>
        <v>0</v>
      </c>
      <c r="P1000" s="51" t="s">
        <v>3286</v>
      </c>
      <c r="Q1000" s="51"/>
    </row>
    <row r="1001" spans="1:17" x14ac:dyDescent="0.25">
      <c r="A1001" s="10">
        <v>44417</v>
      </c>
      <c r="B1001" s="594">
        <v>0</v>
      </c>
      <c r="C1001" s="31">
        <f t="shared" si="182"/>
        <v>23698534.760000002</v>
      </c>
      <c r="D1001" s="50">
        <v>367000</v>
      </c>
      <c r="E1001" s="31">
        <f t="shared" si="183"/>
        <v>0</v>
      </c>
      <c r="F1001" s="900">
        <v>0</v>
      </c>
      <c r="G1001" s="899">
        <f t="shared" si="184"/>
        <v>17109.53</v>
      </c>
      <c r="H1001" s="50">
        <v>0</v>
      </c>
      <c r="I1001" s="31">
        <f t="shared" si="185"/>
        <v>0</v>
      </c>
      <c r="J1001" s="50">
        <v>0</v>
      </c>
      <c r="K1001" s="31">
        <f t="shared" si="186"/>
        <v>0</v>
      </c>
      <c r="L1001" s="50">
        <v>0</v>
      </c>
      <c r="M1001" s="31">
        <f t="shared" si="187"/>
        <v>0</v>
      </c>
      <c r="N1001" s="50">
        <v>0</v>
      </c>
      <c r="O1001" s="31">
        <f t="shared" si="188"/>
        <v>0</v>
      </c>
      <c r="P1001" s="51" t="s">
        <v>845</v>
      </c>
      <c r="Q1001" s="51"/>
    </row>
    <row r="1002" spans="1:17" x14ac:dyDescent="0.25">
      <c r="A1002" s="10">
        <v>44418</v>
      </c>
      <c r="B1002" s="594">
        <v>3200000</v>
      </c>
      <c r="C1002" s="31">
        <f>ROUND(B1002+C1001,2)</f>
        <v>26898534.760000002</v>
      </c>
      <c r="D1002" s="50">
        <v>0</v>
      </c>
      <c r="E1002" s="31">
        <f t="shared" si="183"/>
        <v>0</v>
      </c>
      <c r="F1002" s="900">
        <v>-3207964.44</v>
      </c>
      <c r="G1002" s="899">
        <f t="shared" si="184"/>
        <v>-3190854.91</v>
      </c>
      <c r="H1002" s="50">
        <v>0</v>
      </c>
      <c r="I1002" s="31">
        <f t="shared" si="185"/>
        <v>0</v>
      </c>
      <c r="J1002" s="50">
        <v>0</v>
      </c>
      <c r="K1002" s="31">
        <f t="shared" si="186"/>
        <v>0</v>
      </c>
      <c r="L1002" s="50">
        <v>0</v>
      </c>
      <c r="M1002" s="31">
        <f t="shared" si="187"/>
        <v>0</v>
      </c>
      <c r="N1002" s="50">
        <v>0</v>
      </c>
      <c r="O1002" s="31">
        <f t="shared" si="188"/>
        <v>0</v>
      </c>
      <c r="P1002" s="51" t="s">
        <v>1012</v>
      </c>
      <c r="Q1002" s="51"/>
    </row>
    <row r="1003" spans="1:17" x14ac:dyDescent="0.25">
      <c r="A1003" s="10">
        <v>44418</v>
      </c>
      <c r="B1003" s="594">
        <v>0</v>
      </c>
      <c r="C1003" s="31">
        <f t="shared" si="182"/>
        <v>26898534.760000002</v>
      </c>
      <c r="D1003" s="50">
        <v>0</v>
      </c>
      <c r="E1003" s="31">
        <f t="shared" si="183"/>
        <v>0</v>
      </c>
      <c r="F1003" s="900">
        <v>3207964.44</v>
      </c>
      <c r="G1003" s="899">
        <f t="shared" si="184"/>
        <v>17109.53</v>
      </c>
      <c r="H1003" s="50">
        <v>0</v>
      </c>
      <c r="I1003" s="31">
        <f t="shared" si="185"/>
        <v>0</v>
      </c>
      <c r="J1003" s="50">
        <v>0</v>
      </c>
      <c r="K1003" s="31">
        <f t="shared" si="186"/>
        <v>0</v>
      </c>
      <c r="L1003" s="50">
        <v>0</v>
      </c>
      <c r="M1003" s="31">
        <f t="shared" si="187"/>
        <v>0</v>
      </c>
      <c r="N1003" s="50">
        <v>0</v>
      </c>
      <c r="O1003" s="31">
        <f t="shared" si="188"/>
        <v>0</v>
      </c>
      <c r="P1003" s="51" t="s">
        <v>1013</v>
      </c>
      <c r="Q1003" s="51"/>
    </row>
    <row r="1004" spans="1:17" x14ac:dyDescent="0.25">
      <c r="A1004" s="10">
        <v>44418</v>
      </c>
      <c r="B1004" s="594">
        <v>0</v>
      </c>
      <c r="C1004" s="31">
        <f t="shared" si="182"/>
        <v>26898534.760000002</v>
      </c>
      <c r="D1004" s="50">
        <v>0</v>
      </c>
      <c r="E1004" s="31">
        <f t="shared" si="183"/>
        <v>0</v>
      </c>
      <c r="F1004" s="900">
        <v>0</v>
      </c>
      <c r="G1004" s="899">
        <f t="shared" si="184"/>
        <v>17109.53</v>
      </c>
      <c r="H1004" s="50">
        <v>0</v>
      </c>
      <c r="I1004" s="31">
        <f t="shared" si="185"/>
        <v>0</v>
      </c>
      <c r="J1004" s="50">
        <v>0</v>
      </c>
      <c r="K1004" s="31">
        <f t="shared" si="186"/>
        <v>0</v>
      </c>
      <c r="L1004" s="50">
        <v>0</v>
      </c>
      <c r="M1004" s="31">
        <f t="shared" si="187"/>
        <v>0</v>
      </c>
      <c r="N1004" s="50">
        <v>0</v>
      </c>
      <c r="O1004" s="31">
        <f t="shared" si="188"/>
        <v>0</v>
      </c>
      <c r="P1004" s="51" t="s">
        <v>845</v>
      </c>
      <c r="Q1004" s="51"/>
    </row>
    <row r="1005" spans="1:17" x14ac:dyDescent="0.25">
      <c r="A1005" s="10">
        <v>44419</v>
      </c>
      <c r="B1005" s="50">
        <v>1200000</v>
      </c>
      <c r="C1005" s="31">
        <f t="shared" si="182"/>
        <v>28098534.760000002</v>
      </c>
      <c r="D1005" s="50">
        <v>-1200000</v>
      </c>
      <c r="E1005" s="31">
        <f t="shared" si="183"/>
        <v>-1200000</v>
      </c>
      <c r="F1005" s="900">
        <v>0</v>
      </c>
      <c r="G1005" s="899">
        <f t="shared" si="184"/>
        <v>17109.53</v>
      </c>
      <c r="H1005" s="50">
        <v>0</v>
      </c>
      <c r="I1005" s="31">
        <f t="shared" si="185"/>
        <v>0</v>
      </c>
      <c r="J1005" s="50">
        <v>0</v>
      </c>
      <c r="K1005" s="31">
        <f t="shared" si="186"/>
        <v>0</v>
      </c>
      <c r="L1005" s="50">
        <v>0</v>
      </c>
      <c r="M1005" s="31">
        <f t="shared" si="187"/>
        <v>0</v>
      </c>
      <c r="N1005" s="50">
        <v>0</v>
      </c>
      <c r="O1005" s="31">
        <f t="shared" si="188"/>
        <v>0</v>
      </c>
      <c r="P1005" s="51" t="s">
        <v>2661</v>
      </c>
      <c r="Q1005" s="51"/>
    </row>
    <row r="1006" spans="1:17" x14ac:dyDescent="0.25">
      <c r="A1006" s="10">
        <v>44419</v>
      </c>
      <c r="B1006" s="50">
        <v>0</v>
      </c>
      <c r="C1006" s="31">
        <f t="shared" si="182"/>
        <v>28098534.760000002</v>
      </c>
      <c r="D1006" s="50">
        <v>1200000</v>
      </c>
      <c r="E1006" s="31">
        <f t="shared" si="183"/>
        <v>0</v>
      </c>
      <c r="F1006" s="900">
        <v>0</v>
      </c>
      <c r="G1006" s="899">
        <f t="shared" si="184"/>
        <v>17109.53</v>
      </c>
      <c r="H1006" s="50">
        <v>0</v>
      </c>
      <c r="I1006" s="31">
        <f t="shared" si="185"/>
        <v>0</v>
      </c>
      <c r="J1006" s="50">
        <v>0</v>
      </c>
      <c r="K1006" s="31">
        <f t="shared" si="186"/>
        <v>0</v>
      </c>
      <c r="L1006" s="50">
        <v>0</v>
      </c>
      <c r="M1006" s="31">
        <f t="shared" si="187"/>
        <v>0</v>
      </c>
      <c r="N1006" s="50">
        <v>0</v>
      </c>
      <c r="O1006" s="31">
        <f t="shared" si="188"/>
        <v>0</v>
      </c>
      <c r="P1006" s="51" t="s">
        <v>2071</v>
      </c>
      <c r="Q1006" s="51"/>
    </row>
    <row r="1007" spans="1:17" x14ac:dyDescent="0.25">
      <c r="A1007" s="10">
        <v>44419</v>
      </c>
      <c r="B1007" s="50">
        <v>500000</v>
      </c>
      <c r="C1007" s="31">
        <f t="shared" si="182"/>
        <v>28598534.760000002</v>
      </c>
      <c r="D1007" s="50">
        <v>0</v>
      </c>
      <c r="E1007" s="31">
        <f t="shared" si="183"/>
        <v>0</v>
      </c>
      <c r="F1007" s="900">
        <v>0</v>
      </c>
      <c r="G1007" s="899">
        <f t="shared" si="184"/>
        <v>17109.53</v>
      </c>
      <c r="H1007" s="50">
        <v>0</v>
      </c>
      <c r="I1007" s="31">
        <f t="shared" si="185"/>
        <v>0</v>
      </c>
      <c r="J1007" s="50">
        <v>0</v>
      </c>
      <c r="K1007" s="31">
        <f t="shared" si="186"/>
        <v>0</v>
      </c>
      <c r="L1007" s="50">
        <v>0</v>
      </c>
      <c r="M1007" s="31">
        <f t="shared" si="187"/>
        <v>0</v>
      </c>
      <c r="N1007" s="50">
        <v>0</v>
      </c>
      <c r="O1007" s="31">
        <f t="shared" si="188"/>
        <v>0</v>
      </c>
      <c r="P1007" s="51" t="s">
        <v>3133</v>
      </c>
      <c r="Q1007" s="51"/>
    </row>
    <row r="1008" spans="1:17" x14ac:dyDescent="0.25">
      <c r="A1008" s="10">
        <v>44421</v>
      </c>
      <c r="B1008" s="594">
        <v>600000</v>
      </c>
      <c r="C1008" s="31">
        <f t="shared" si="182"/>
        <v>29198534.760000002</v>
      </c>
      <c r="D1008" s="50">
        <f>-B1008</f>
        <v>-600000</v>
      </c>
      <c r="E1008" s="31">
        <f t="shared" si="183"/>
        <v>-600000</v>
      </c>
      <c r="F1008" s="900">
        <v>0</v>
      </c>
      <c r="G1008" s="899">
        <f t="shared" si="184"/>
        <v>17109.53</v>
      </c>
      <c r="H1008" s="50">
        <v>0</v>
      </c>
      <c r="I1008" s="31">
        <f t="shared" si="185"/>
        <v>0</v>
      </c>
      <c r="J1008" s="50">
        <v>0</v>
      </c>
      <c r="K1008" s="31">
        <f t="shared" si="186"/>
        <v>0</v>
      </c>
      <c r="L1008" s="50">
        <v>0</v>
      </c>
      <c r="M1008" s="31">
        <f t="shared" si="187"/>
        <v>0</v>
      </c>
      <c r="N1008" s="50">
        <v>0</v>
      </c>
      <c r="O1008" s="31">
        <f t="shared" si="188"/>
        <v>0</v>
      </c>
      <c r="P1008" s="51" t="s">
        <v>2980</v>
      </c>
      <c r="Q1008" s="51"/>
    </row>
    <row r="1009" spans="1:17" x14ac:dyDescent="0.25">
      <c r="A1009" s="10">
        <v>44421</v>
      </c>
      <c r="B1009" s="50">
        <v>6000000</v>
      </c>
      <c r="C1009" s="31">
        <f t="shared" si="182"/>
        <v>35198534.759999998</v>
      </c>
      <c r="D1009" s="50">
        <v>-6023293.9900000002</v>
      </c>
      <c r="E1009" s="31">
        <f t="shared" si="183"/>
        <v>-6623293.9900000002</v>
      </c>
      <c r="F1009" s="900">
        <v>0</v>
      </c>
      <c r="G1009" s="899">
        <f t="shared" si="184"/>
        <v>17109.53</v>
      </c>
      <c r="H1009" s="50">
        <v>0</v>
      </c>
      <c r="I1009" s="31">
        <f t="shared" si="185"/>
        <v>0</v>
      </c>
      <c r="J1009" s="50">
        <v>0</v>
      </c>
      <c r="K1009" s="31">
        <f t="shared" si="186"/>
        <v>0</v>
      </c>
      <c r="L1009" s="50">
        <v>0</v>
      </c>
      <c r="M1009" s="31">
        <f t="shared" si="187"/>
        <v>0</v>
      </c>
      <c r="N1009" s="50">
        <v>0</v>
      </c>
      <c r="O1009" s="31">
        <f t="shared" si="188"/>
        <v>0</v>
      </c>
      <c r="P1009" s="51" t="s">
        <v>831</v>
      </c>
      <c r="Q1009" s="51"/>
    </row>
    <row r="1010" spans="1:17" x14ac:dyDescent="0.25">
      <c r="A1010" s="10">
        <v>44421</v>
      </c>
      <c r="B1010" s="594">
        <v>0</v>
      </c>
      <c r="C1010" s="31">
        <f t="shared" si="182"/>
        <v>35198534.759999998</v>
      </c>
      <c r="D1010" s="50">
        <v>6000000</v>
      </c>
      <c r="E1010" s="31">
        <f t="shared" si="183"/>
        <v>-623293.99</v>
      </c>
      <c r="F1010" s="900">
        <v>0</v>
      </c>
      <c r="G1010" s="899">
        <f t="shared" si="184"/>
        <v>17109.53</v>
      </c>
      <c r="H1010" s="50">
        <v>0</v>
      </c>
      <c r="I1010" s="31">
        <f t="shared" si="185"/>
        <v>0</v>
      </c>
      <c r="J1010" s="50">
        <v>0</v>
      </c>
      <c r="K1010" s="31">
        <f t="shared" si="186"/>
        <v>0</v>
      </c>
      <c r="L1010" s="50">
        <v>0</v>
      </c>
      <c r="M1010" s="31">
        <f t="shared" si="187"/>
        <v>0</v>
      </c>
      <c r="N1010" s="50">
        <v>0</v>
      </c>
      <c r="O1010" s="31">
        <f t="shared" si="188"/>
        <v>0</v>
      </c>
      <c r="P1010" s="51" t="s">
        <v>3294</v>
      </c>
      <c r="Q1010" s="51"/>
    </row>
    <row r="1011" spans="1:17" x14ac:dyDescent="0.25">
      <c r="A1011" s="10">
        <v>44421</v>
      </c>
      <c r="B1011" s="594">
        <v>0</v>
      </c>
      <c r="C1011" s="31">
        <f t="shared" si="182"/>
        <v>35198534.759999998</v>
      </c>
      <c r="D1011" s="50">
        <v>600000</v>
      </c>
      <c r="E1011" s="31">
        <f t="shared" si="183"/>
        <v>-23293.99</v>
      </c>
      <c r="F1011" s="900">
        <v>0</v>
      </c>
      <c r="G1011" s="899">
        <f t="shared" si="184"/>
        <v>17109.53</v>
      </c>
      <c r="H1011" s="50">
        <v>0</v>
      </c>
      <c r="I1011" s="31">
        <f t="shared" si="185"/>
        <v>0</v>
      </c>
      <c r="J1011" s="50">
        <v>0</v>
      </c>
      <c r="K1011" s="31">
        <f t="shared" si="186"/>
        <v>0</v>
      </c>
      <c r="L1011" s="50">
        <v>0</v>
      </c>
      <c r="M1011" s="31">
        <f t="shared" si="187"/>
        <v>0</v>
      </c>
      <c r="N1011" s="50">
        <v>0</v>
      </c>
      <c r="O1011" s="31">
        <f t="shared" si="188"/>
        <v>0</v>
      </c>
      <c r="P1011" s="51" t="s">
        <v>3295</v>
      </c>
      <c r="Q1011" s="51"/>
    </row>
    <row r="1012" spans="1:17" x14ac:dyDescent="0.25">
      <c r="A1012" s="10">
        <v>44421</v>
      </c>
      <c r="B1012" s="594">
        <v>0</v>
      </c>
      <c r="C1012" s="31">
        <f t="shared" si="182"/>
        <v>35198534.759999998</v>
      </c>
      <c r="D1012" s="50">
        <v>23293.99</v>
      </c>
      <c r="E1012" s="31">
        <f t="shared" si="183"/>
        <v>0</v>
      </c>
      <c r="F1012" s="900">
        <v>0</v>
      </c>
      <c r="G1012" s="899">
        <f t="shared" si="184"/>
        <v>17109.53</v>
      </c>
      <c r="H1012" s="50">
        <v>0</v>
      </c>
      <c r="I1012" s="31">
        <f t="shared" si="185"/>
        <v>0</v>
      </c>
      <c r="J1012" s="50">
        <v>0</v>
      </c>
      <c r="K1012" s="31">
        <f t="shared" si="186"/>
        <v>0</v>
      </c>
      <c r="L1012" s="50">
        <v>0</v>
      </c>
      <c r="M1012" s="31">
        <f t="shared" si="187"/>
        <v>0</v>
      </c>
      <c r="N1012" s="50">
        <v>0</v>
      </c>
      <c r="O1012" s="31">
        <f t="shared" si="188"/>
        <v>0</v>
      </c>
      <c r="P1012" s="51" t="s">
        <v>845</v>
      </c>
      <c r="Q1012" s="51"/>
    </row>
    <row r="1013" spans="1:17" x14ac:dyDescent="0.25">
      <c r="A1013" s="10">
        <v>44424</v>
      </c>
      <c r="B1013" s="594">
        <v>0</v>
      </c>
      <c r="C1013" s="31">
        <f t="shared" si="182"/>
        <v>35198534.759999998</v>
      </c>
      <c r="D1013" s="50">
        <v>262358.38999999966</v>
      </c>
      <c r="E1013" s="31">
        <f t="shared" si="183"/>
        <v>262358.39</v>
      </c>
      <c r="F1013" s="900">
        <v>0</v>
      </c>
      <c r="G1013" s="899">
        <f t="shared" si="184"/>
        <v>17109.53</v>
      </c>
      <c r="H1013" s="50">
        <v>0</v>
      </c>
      <c r="I1013" s="31">
        <f t="shared" si="185"/>
        <v>0</v>
      </c>
      <c r="J1013" s="50">
        <v>0</v>
      </c>
      <c r="K1013" s="31">
        <f t="shared" si="186"/>
        <v>0</v>
      </c>
      <c r="L1013" s="50">
        <v>0</v>
      </c>
      <c r="M1013" s="31">
        <f t="shared" si="187"/>
        <v>0</v>
      </c>
      <c r="N1013" s="50">
        <v>0</v>
      </c>
      <c r="O1013" s="31">
        <f t="shared" si="188"/>
        <v>0</v>
      </c>
      <c r="P1013" s="51" t="s">
        <v>2844</v>
      </c>
      <c r="Q1013" s="51"/>
    </row>
    <row r="1014" spans="1:17" x14ac:dyDescent="0.25">
      <c r="A1014" s="10">
        <v>44424</v>
      </c>
      <c r="B1014" s="594">
        <v>0</v>
      </c>
      <c r="C1014" s="31">
        <f t="shared" si="182"/>
        <v>35198534.759999998</v>
      </c>
      <c r="D1014" s="50">
        <f>-E1013</f>
        <v>-262358.39</v>
      </c>
      <c r="E1014" s="31">
        <f t="shared" si="183"/>
        <v>0</v>
      </c>
      <c r="F1014" s="900">
        <v>0</v>
      </c>
      <c r="G1014" s="899">
        <f t="shared" si="184"/>
        <v>17109.53</v>
      </c>
      <c r="H1014" s="50">
        <v>0</v>
      </c>
      <c r="I1014" s="31">
        <f t="shared" si="185"/>
        <v>0</v>
      </c>
      <c r="J1014" s="50">
        <v>0</v>
      </c>
      <c r="K1014" s="31">
        <f t="shared" si="186"/>
        <v>0</v>
      </c>
      <c r="L1014" s="50">
        <v>0</v>
      </c>
      <c r="M1014" s="31">
        <f t="shared" si="187"/>
        <v>0</v>
      </c>
      <c r="N1014" s="50">
        <v>0</v>
      </c>
      <c r="O1014" s="31">
        <f t="shared" si="188"/>
        <v>0</v>
      </c>
      <c r="P1014" s="51" t="s">
        <v>845</v>
      </c>
      <c r="Q1014" s="51"/>
    </row>
    <row r="1015" spans="1:17" x14ac:dyDescent="0.25">
      <c r="A1015" s="10">
        <v>44426</v>
      </c>
      <c r="B1015" s="594">
        <v>0</v>
      </c>
      <c r="C1015" s="31">
        <f t="shared" si="182"/>
        <v>35198534.759999998</v>
      </c>
      <c r="D1015" s="50">
        <v>-14427.52</v>
      </c>
      <c r="E1015" s="31">
        <f t="shared" si="183"/>
        <v>-14427.52</v>
      </c>
      <c r="F1015" s="900">
        <v>0</v>
      </c>
      <c r="G1015" s="899">
        <f t="shared" si="184"/>
        <v>17109.53</v>
      </c>
      <c r="H1015" s="50">
        <v>14427.52</v>
      </c>
      <c r="I1015" s="31">
        <f t="shared" si="185"/>
        <v>14427.52</v>
      </c>
      <c r="J1015" s="50">
        <v>0</v>
      </c>
      <c r="K1015" s="31">
        <f t="shared" si="186"/>
        <v>0</v>
      </c>
      <c r="L1015" s="50">
        <v>0</v>
      </c>
      <c r="M1015" s="31">
        <f t="shared" si="187"/>
        <v>0</v>
      </c>
      <c r="N1015" s="50">
        <v>0</v>
      </c>
      <c r="O1015" s="31">
        <f t="shared" si="188"/>
        <v>0</v>
      </c>
      <c r="P1015" s="51" t="s">
        <v>1155</v>
      </c>
      <c r="Q1015" s="51"/>
    </row>
    <row r="1016" spans="1:17" x14ac:dyDescent="0.25">
      <c r="A1016" s="10">
        <v>44426</v>
      </c>
      <c r="B1016" s="594">
        <v>0</v>
      </c>
      <c r="C1016" s="31">
        <f t="shared" si="182"/>
        <v>35198534.759999998</v>
      </c>
      <c r="D1016" s="50">
        <v>-107246.75</v>
      </c>
      <c r="E1016" s="31">
        <f t="shared" si="183"/>
        <v>-121674.27</v>
      </c>
      <c r="F1016" s="900">
        <v>0</v>
      </c>
      <c r="G1016" s="899">
        <f t="shared" si="184"/>
        <v>17109.53</v>
      </c>
      <c r="H1016" s="50">
        <v>0</v>
      </c>
      <c r="I1016" s="31">
        <f t="shared" si="185"/>
        <v>14427.52</v>
      </c>
      <c r="J1016" s="50">
        <v>0</v>
      </c>
      <c r="K1016" s="31">
        <f t="shared" si="186"/>
        <v>0</v>
      </c>
      <c r="L1016" s="50">
        <v>107246.75</v>
      </c>
      <c r="M1016" s="31">
        <f t="shared" si="187"/>
        <v>107246.75</v>
      </c>
      <c r="N1016" s="50">
        <v>0</v>
      </c>
      <c r="O1016" s="31">
        <f t="shared" si="188"/>
        <v>0</v>
      </c>
      <c r="P1016" s="51" t="s">
        <v>3398</v>
      </c>
      <c r="Q1016" s="51"/>
    </row>
    <row r="1017" spans="1:17" x14ac:dyDescent="0.25">
      <c r="A1017" s="10">
        <v>44426</v>
      </c>
      <c r="B1017" s="594">
        <v>0</v>
      </c>
      <c r="C1017" s="31">
        <f t="shared" si="182"/>
        <v>35198534.759999998</v>
      </c>
      <c r="D1017" s="50">
        <v>0</v>
      </c>
      <c r="E1017" s="31">
        <f t="shared" si="183"/>
        <v>-121674.27</v>
      </c>
      <c r="F1017" s="900">
        <v>0</v>
      </c>
      <c r="G1017" s="899">
        <f t="shared" si="184"/>
        <v>17109.53</v>
      </c>
      <c r="H1017" s="50">
        <v>0</v>
      </c>
      <c r="I1017" s="31">
        <f t="shared" si="185"/>
        <v>14427.52</v>
      </c>
      <c r="J1017" s="50">
        <v>0</v>
      </c>
      <c r="K1017" s="31">
        <f t="shared" si="186"/>
        <v>0</v>
      </c>
      <c r="L1017" s="50">
        <v>-107246.75</v>
      </c>
      <c r="M1017" s="31">
        <f t="shared" si="187"/>
        <v>0</v>
      </c>
      <c r="N1017" s="50">
        <v>0</v>
      </c>
      <c r="O1017" s="31">
        <f t="shared" si="188"/>
        <v>0</v>
      </c>
      <c r="P1017" s="51" t="s">
        <v>3399</v>
      </c>
      <c r="Q1017" s="51"/>
    </row>
    <row r="1018" spans="1:17" x14ac:dyDescent="0.25">
      <c r="A1018" s="10">
        <v>44426</v>
      </c>
      <c r="B1018" s="594">
        <v>0</v>
      </c>
      <c r="C1018" s="31">
        <f t="shared" si="182"/>
        <v>35198534.759999998</v>
      </c>
      <c r="D1018" s="50">
        <v>-193000</v>
      </c>
      <c r="E1018" s="31">
        <f t="shared" si="183"/>
        <v>-314674.27</v>
      </c>
      <c r="F1018" s="900">
        <v>0</v>
      </c>
      <c r="G1018" s="899">
        <f t="shared" si="184"/>
        <v>17109.53</v>
      </c>
      <c r="H1018" s="50">
        <v>0</v>
      </c>
      <c r="I1018" s="31">
        <f t="shared" si="185"/>
        <v>14427.52</v>
      </c>
      <c r="J1018" s="50">
        <v>0</v>
      </c>
      <c r="K1018" s="31">
        <f t="shared" si="186"/>
        <v>0</v>
      </c>
      <c r="L1018" s="50">
        <v>0</v>
      </c>
      <c r="M1018" s="31">
        <f t="shared" si="187"/>
        <v>0</v>
      </c>
      <c r="N1018" s="50">
        <v>0</v>
      </c>
      <c r="O1018" s="31">
        <f t="shared" si="188"/>
        <v>0</v>
      </c>
      <c r="P1018" s="51" t="s">
        <v>2299</v>
      </c>
      <c r="Q1018" s="51"/>
    </row>
    <row r="1019" spans="1:17" x14ac:dyDescent="0.25">
      <c r="A1019" s="10">
        <v>44426</v>
      </c>
      <c r="B1019" s="594">
        <v>0</v>
      </c>
      <c r="C1019" s="31">
        <f t="shared" si="182"/>
        <v>35198534.759999998</v>
      </c>
      <c r="D1019" s="50">
        <f>-E1018</f>
        <v>314674.27</v>
      </c>
      <c r="E1019" s="31">
        <f t="shared" si="183"/>
        <v>0</v>
      </c>
      <c r="F1019" s="900">
        <v>0</v>
      </c>
      <c r="G1019" s="899">
        <f t="shared" si="184"/>
        <v>17109.53</v>
      </c>
      <c r="H1019" s="50">
        <f>-I1018</f>
        <v>-14427.52</v>
      </c>
      <c r="I1019" s="31">
        <f t="shared" si="185"/>
        <v>0</v>
      </c>
      <c r="J1019" s="50">
        <v>0</v>
      </c>
      <c r="K1019" s="31">
        <f t="shared" si="186"/>
        <v>0</v>
      </c>
      <c r="L1019" s="50">
        <v>0</v>
      </c>
      <c r="M1019" s="31">
        <f t="shared" si="187"/>
        <v>0</v>
      </c>
      <c r="N1019" s="50">
        <v>0</v>
      </c>
      <c r="O1019" s="31">
        <f t="shared" si="188"/>
        <v>0</v>
      </c>
      <c r="P1019" s="51" t="s">
        <v>845</v>
      </c>
      <c r="Q1019" s="51"/>
    </row>
    <row r="1020" spans="1:17" x14ac:dyDescent="0.25">
      <c r="A1020" s="10">
        <v>44426</v>
      </c>
      <c r="B1020" s="594">
        <v>0</v>
      </c>
      <c r="C1020" s="31">
        <f t="shared" si="182"/>
        <v>35198534.759999998</v>
      </c>
      <c r="D1020" s="50">
        <v>0</v>
      </c>
      <c r="E1020" s="31">
        <f t="shared" si="183"/>
        <v>0</v>
      </c>
      <c r="F1020" s="900">
        <v>2000000</v>
      </c>
      <c r="G1020" s="899">
        <f t="shared" si="184"/>
        <v>2017109.53</v>
      </c>
      <c r="H1020" s="50">
        <v>0</v>
      </c>
      <c r="I1020" s="31">
        <f t="shared" si="185"/>
        <v>0</v>
      </c>
      <c r="J1020" s="50">
        <v>0</v>
      </c>
      <c r="K1020" s="31">
        <f t="shared" si="186"/>
        <v>0</v>
      </c>
      <c r="L1020" s="50">
        <v>0</v>
      </c>
      <c r="M1020" s="31">
        <f t="shared" si="187"/>
        <v>0</v>
      </c>
      <c r="N1020" s="50">
        <v>0</v>
      </c>
      <c r="O1020" s="31">
        <f t="shared" si="188"/>
        <v>0</v>
      </c>
      <c r="P1020" s="51" t="s">
        <v>3412</v>
      </c>
      <c r="Q1020" s="51"/>
    </row>
    <row r="1021" spans="1:17" x14ac:dyDescent="0.25">
      <c r="A1021" s="10">
        <v>44428</v>
      </c>
      <c r="B1021" s="594">
        <v>0</v>
      </c>
      <c r="C1021" s="31">
        <f t="shared" si="182"/>
        <v>35198534.759999998</v>
      </c>
      <c r="D1021" s="50">
        <v>-1827.6</v>
      </c>
      <c r="E1021" s="31">
        <f t="shared" si="183"/>
        <v>-1827.6</v>
      </c>
      <c r="F1021" s="900">
        <v>0</v>
      </c>
      <c r="G1021" s="899">
        <f t="shared" si="184"/>
        <v>2017109.53</v>
      </c>
      <c r="H1021" s="50">
        <v>0</v>
      </c>
      <c r="I1021" s="31">
        <f t="shared" si="185"/>
        <v>0</v>
      </c>
      <c r="J1021" s="50">
        <v>0</v>
      </c>
      <c r="K1021" s="31">
        <f t="shared" si="186"/>
        <v>0</v>
      </c>
      <c r="L1021" s="50">
        <v>0</v>
      </c>
      <c r="M1021" s="31">
        <f t="shared" si="187"/>
        <v>0</v>
      </c>
      <c r="N1021" s="50">
        <v>0</v>
      </c>
      <c r="O1021" s="31">
        <f t="shared" si="188"/>
        <v>0</v>
      </c>
      <c r="P1021" s="51" t="s">
        <v>3414</v>
      </c>
      <c r="Q1021" s="51"/>
    </row>
    <row r="1022" spans="1:17" x14ac:dyDescent="0.25">
      <c r="A1022" s="10">
        <v>44428</v>
      </c>
      <c r="B1022" s="594">
        <v>0</v>
      </c>
      <c r="C1022" s="31">
        <f t="shared" si="182"/>
        <v>35198534.759999998</v>
      </c>
      <c r="D1022" s="50">
        <v>0</v>
      </c>
      <c r="E1022" s="31">
        <f t="shared" si="183"/>
        <v>-1827.6</v>
      </c>
      <c r="F1022" s="900">
        <v>0</v>
      </c>
      <c r="G1022" s="899">
        <f t="shared" si="184"/>
        <v>2017109.53</v>
      </c>
      <c r="H1022" s="50">
        <f>-5980-147.62-500</f>
        <v>-6627.62</v>
      </c>
      <c r="I1022" s="31">
        <f t="shared" si="185"/>
        <v>-6627.62</v>
      </c>
      <c r="J1022" s="50">
        <v>0</v>
      </c>
      <c r="K1022" s="31">
        <f t="shared" si="186"/>
        <v>0</v>
      </c>
      <c r="L1022" s="50">
        <v>0</v>
      </c>
      <c r="M1022" s="31">
        <f t="shared" si="187"/>
        <v>0</v>
      </c>
      <c r="N1022" s="50">
        <v>0</v>
      </c>
      <c r="O1022" s="31">
        <f t="shared" si="188"/>
        <v>0</v>
      </c>
      <c r="P1022" s="51" t="s">
        <v>3415</v>
      </c>
      <c r="Q1022" s="51"/>
    </row>
    <row r="1023" spans="1:17" x14ac:dyDescent="0.25">
      <c r="A1023" s="10">
        <v>44428</v>
      </c>
      <c r="B1023" s="594">
        <v>0</v>
      </c>
      <c r="C1023" s="31">
        <f t="shared" si="182"/>
        <v>35198534.759999998</v>
      </c>
      <c r="D1023" s="50">
        <f>-D1021</f>
        <v>1827.6</v>
      </c>
      <c r="E1023" s="31">
        <f t="shared" si="183"/>
        <v>0</v>
      </c>
      <c r="F1023" s="900">
        <v>0</v>
      </c>
      <c r="G1023" s="899">
        <f t="shared" si="184"/>
        <v>2017109.53</v>
      </c>
      <c r="H1023" s="50">
        <f>-H1022</f>
        <v>6627.62</v>
      </c>
      <c r="I1023" s="31">
        <f t="shared" si="185"/>
        <v>0</v>
      </c>
      <c r="J1023" s="50">
        <v>0</v>
      </c>
      <c r="K1023" s="31">
        <f t="shared" si="186"/>
        <v>0</v>
      </c>
      <c r="L1023" s="50">
        <v>0</v>
      </c>
      <c r="M1023" s="31">
        <f t="shared" si="187"/>
        <v>0</v>
      </c>
      <c r="N1023" s="50">
        <v>0</v>
      </c>
      <c r="O1023" s="31">
        <f t="shared" si="188"/>
        <v>0</v>
      </c>
      <c r="P1023" s="51" t="s">
        <v>845</v>
      </c>
      <c r="Q1023" s="51"/>
    </row>
    <row r="1024" spans="1:17" x14ac:dyDescent="0.25">
      <c r="A1024" s="10">
        <v>44432</v>
      </c>
      <c r="B1024" s="594">
        <v>0</v>
      </c>
      <c r="C1024" s="31">
        <f t="shared" si="182"/>
        <v>35198534.759999998</v>
      </c>
      <c r="D1024" s="50">
        <v>50000</v>
      </c>
      <c r="E1024" s="31">
        <f t="shared" si="183"/>
        <v>50000</v>
      </c>
      <c r="F1024" s="900">
        <v>50000</v>
      </c>
      <c r="G1024" s="899">
        <f t="shared" si="184"/>
        <v>2067109.53</v>
      </c>
      <c r="H1024" s="50">
        <v>0</v>
      </c>
      <c r="I1024" s="31">
        <f t="shared" si="185"/>
        <v>0</v>
      </c>
      <c r="J1024" s="50">
        <v>0</v>
      </c>
      <c r="K1024" s="31">
        <f t="shared" si="186"/>
        <v>0</v>
      </c>
      <c r="L1024" s="50">
        <v>0</v>
      </c>
      <c r="M1024" s="31">
        <f t="shared" si="187"/>
        <v>0</v>
      </c>
      <c r="N1024" s="50">
        <v>0</v>
      </c>
      <c r="O1024" s="31">
        <f t="shared" si="188"/>
        <v>0</v>
      </c>
      <c r="P1024" s="51" t="s">
        <v>3416</v>
      </c>
      <c r="Q1024" s="51"/>
    </row>
    <row r="1025" spans="1:17" x14ac:dyDescent="0.25">
      <c r="A1025" s="10">
        <v>44432</v>
      </c>
      <c r="B1025" s="594">
        <v>0</v>
      </c>
      <c r="C1025" s="31">
        <f t="shared" si="182"/>
        <v>35198534.759999998</v>
      </c>
      <c r="D1025" s="50">
        <v>58688.9</v>
      </c>
      <c r="E1025" s="31">
        <f t="shared" si="183"/>
        <v>108688.9</v>
      </c>
      <c r="F1025" s="900">
        <v>-50000</v>
      </c>
      <c r="G1025" s="899">
        <f t="shared" si="184"/>
        <v>2017109.53</v>
      </c>
      <c r="H1025" s="50">
        <v>0</v>
      </c>
      <c r="I1025" s="31">
        <f t="shared" si="185"/>
        <v>0</v>
      </c>
      <c r="J1025" s="50">
        <v>0</v>
      </c>
      <c r="K1025" s="31">
        <f t="shared" si="186"/>
        <v>0</v>
      </c>
      <c r="L1025" s="50">
        <v>0</v>
      </c>
      <c r="M1025" s="31">
        <f t="shared" si="187"/>
        <v>0</v>
      </c>
      <c r="N1025" s="50">
        <v>0</v>
      </c>
      <c r="O1025" s="31">
        <f t="shared" si="188"/>
        <v>0</v>
      </c>
      <c r="P1025" s="51" t="s">
        <v>3417</v>
      </c>
      <c r="Q1025" s="51"/>
    </row>
    <row r="1026" spans="1:17" x14ac:dyDescent="0.25">
      <c r="A1026" s="10">
        <v>44432</v>
      </c>
      <c r="B1026" s="594">
        <v>0</v>
      </c>
      <c r="C1026" s="31">
        <f t="shared" si="182"/>
        <v>35198534.759999998</v>
      </c>
      <c r="D1026" s="50">
        <f>-E1025</f>
        <v>-108688.9</v>
      </c>
      <c r="E1026" s="31">
        <f t="shared" si="183"/>
        <v>0</v>
      </c>
      <c r="F1026" s="900">
        <v>0</v>
      </c>
      <c r="G1026" s="899">
        <f t="shared" si="184"/>
        <v>2017109.53</v>
      </c>
      <c r="H1026" s="50">
        <v>0</v>
      </c>
      <c r="I1026" s="31">
        <f t="shared" si="185"/>
        <v>0</v>
      </c>
      <c r="J1026" s="50">
        <v>0</v>
      </c>
      <c r="K1026" s="31">
        <f t="shared" si="186"/>
        <v>0</v>
      </c>
      <c r="L1026" s="50">
        <v>0</v>
      </c>
      <c r="M1026" s="31">
        <f t="shared" si="187"/>
        <v>0</v>
      </c>
      <c r="N1026" s="50">
        <v>0</v>
      </c>
      <c r="O1026" s="31">
        <f t="shared" si="188"/>
        <v>0</v>
      </c>
      <c r="P1026" s="51" t="s">
        <v>845</v>
      </c>
      <c r="Q1026" s="51"/>
    </row>
    <row r="1027" spans="1:17" x14ac:dyDescent="0.25">
      <c r="A1027" s="10">
        <v>44433</v>
      </c>
      <c r="B1027" s="594">
        <v>5000000</v>
      </c>
      <c r="C1027" s="31">
        <f t="shared" si="182"/>
        <v>40198534.759999998</v>
      </c>
      <c r="D1027" s="50">
        <v>-5023359.79</v>
      </c>
      <c r="E1027" s="31">
        <f t="shared" si="183"/>
        <v>-5023359.79</v>
      </c>
      <c r="F1027" s="900">
        <v>0</v>
      </c>
      <c r="G1027" s="899">
        <f t="shared" si="184"/>
        <v>2017109.53</v>
      </c>
      <c r="H1027" s="50">
        <v>0</v>
      </c>
      <c r="I1027" s="31">
        <f t="shared" si="185"/>
        <v>0</v>
      </c>
      <c r="J1027" s="50">
        <v>0</v>
      </c>
      <c r="K1027" s="31">
        <f t="shared" si="186"/>
        <v>0</v>
      </c>
      <c r="L1027" s="50">
        <v>0</v>
      </c>
      <c r="M1027" s="31">
        <f t="shared" si="187"/>
        <v>0</v>
      </c>
      <c r="N1027" s="50">
        <v>0</v>
      </c>
      <c r="O1027" s="31">
        <f t="shared" si="188"/>
        <v>0</v>
      </c>
      <c r="P1027" s="51" t="s">
        <v>831</v>
      </c>
      <c r="Q1027" s="51"/>
    </row>
    <row r="1028" spans="1:17" x14ac:dyDescent="0.25">
      <c r="A1028" s="10">
        <v>44433</v>
      </c>
      <c r="B1028" s="594">
        <v>0</v>
      </c>
      <c r="C1028" s="31">
        <f t="shared" si="182"/>
        <v>40198534.759999998</v>
      </c>
      <c r="D1028" s="50">
        <v>0</v>
      </c>
      <c r="E1028" s="31">
        <f t="shared" si="183"/>
        <v>-5023359.79</v>
      </c>
      <c r="F1028" s="900">
        <v>0</v>
      </c>
      <c r="G1028" s="899">
        <f t="shared" si="184"/>
        <v>2017109.53</v>
      </c>
      <c r="H1028" s="50">
        <v>0</v>
      </c>
      <c r="I1028" s="31">
        <f t="shared" si="185"/>
        <v>0</v>
      </c>
      <c r="J1028" s="50">
        <v>0</v>
      </c>
      <c r="K1028" s="31">
        <f t="shared" si="186"/>
        <v>0</v>
      </c>
      <c r="L1028" s="50">
        <v>0</v>
      </c>
      <c r="M1028" s="31">
        <f t="shared" si="187"/>
        <v>0</v>
      </c>
      <c r="N1028" s="50">
        <v>0</v>
      </c>
      <c r="O1028" s="31">
        <f t="shared" si="188"/>
        <v>0</v>
      </c>
      <c r="P1028" s="51" t="s">
        <v>2070</v>
      </c>
      <c r="Q1028" s="51"/>
    </row>
    <row r="1029" spans="1:17" x14ac:dyDescent="0.25">
      <c r="A1029" s="10">
        <v>44433</v>
      </c>
      <c r="B1029" s="594">
        <v>0</v>
      </c>
      <c r="C1029" s="31">
        <f t="shared" si="182"/>
        <v>40198534.759999998</v>
      </c>
      <c r="D1029" s="50">
        <v>5000000</v>
      </c>
      <c r="E1029" s="31">
        <f t="shared" si="183"/>
        <v>-23359.79</v>
      </c>
      <c r="F1029" s="900">
        <v>0</v>
      </c>
      <c r="G1029" s="899">
        <f t="shared" si="184"/>
        <v>2017109.53</v>
      </c>
      <c r="H1029" s="50">
        <v>0</v>
      </c>
      <c r="I1029" s="31">
        <f t="shared" si="185"/>
        <v>0</v>
      </c>
      <c r="J1029" s="50">
        <v>0</v>
      </c>
      <c r="K1029" s="31">
        <f t="shared" si="186"/>
        <v>0</v>
      </c>
      <c r="L1029" s="50">
        <v>0</v>
      </c>
      <c r="M1029" s="31">
        <f t="shared" si="187"/>
        <v>0</v>
      </c>
      <c r="N1029" s="50">
        <v>0</v>
      </c>
      <c r="O1029" s="31">
        <f t="shared" si="188"/>
        <v>0</v>
      </c>
      <c r="P1029" s="51" t="s">
        <v>2071</v>
      </c>
      <c r="Q1029" s="51"/>
    </row>
    <row r="1030" spans="1:17" x14ac:dyDescent="0.25">
      <c r="A1030" s="10">
        <v>44433</v>
      </c>
      <c r="B1030" s="594">
        <v>2000000</v>
      </c>
      <c r="C1030" s="31">
        <f t="shared" si="182"/>
        <v>42198534.759999998</v>
      </c>
      <c r="D1030" s="50">
        <v>0</v>
      </c>
      <c r="E1030" s="31">
        <f t="shared" si="183"/>
        <v>-23359.79</v>
      </c>
      <c r="F1030" s="900">
        <f>-B1030</f>
        <v>-2000000</v>
      </c>
      <c r="G1030" s="899">
        <f t="shared" si="184"/>
        <v>17109.53</v>
      </c>
      <c r="H1030" s="50">
        <v>0</v>
      </c>
      <c r="I1030" s="31">
        <f t="shared" si="185"/>
        <v>0</v>
      </c>
      <c r="J1030" s="50">
        <v>0</v>
      </c>
      <c r="K1030" s="31">
        <f t="shared" si="186"/>
        <v>0</v>
      </c>
      <c r="L1030" s="50">
        <v>0</v>
      </c>
      <c r="M1030" s="31">
        <f t="shared" si="187"/>
        <v>0</v>
      </c>
      <c r="N1030" s="50">
        <v>0</v>
      </c>
      <c r="O1030" s="31">
        <f t="shared" si="188"/>
        <v>0</v>
      </c>
      <c r="P1030" s="51" t="s">
        <v>3420</v>
      </c>
      <c r="Q1030" s="51"/>
    </row>
    <row r="1031" spans="1:17" x14ac:dyDescent="0.25">
      <c r="A1031" s="10">
        <v>44433</v>
      </c>
      <c r="B1031" s="594">
        <v>0</v>
      </c>
      <c r="C1031" s="31">
        <f t="shared" si="182"/>
        <v>42198534.759999998</v>
      </c>
      <c r="D1031" s="50">
        <v>23359.79</v>
      </c>
      <c r="E1031" s="31">
        <f t="shared" si="183"/>
        <v>0</v>
      </c>
      <c r="F1031" s="900">
        <v>0</v>
      </c>
      <c r="G1031" s="899">
        <f t="shared" si="184"/>
        <v>17109.53</v>
      </c>
      <c r="H1031" s="50">
        <v>0</v>
      </c>
      <c r="I1031" s="31">
        <f t="shared" si="185"/>
        <v>0</v>
      </c>
      <c r="J1031" s="50">
        <v>0</v>
      </c>
      <c r="K1031" s="31">
        <f t="shared" si="186"/>
        <v>0</v>
      </c>
      <c r="L1031" s="50">
        <v>0</v>
      </c>
      <c r="M1031" s="31">
        <f t="shared" si="187"/>
        <v>0</v>
      </c>
      <c r="N1031" s="50">
        <v>0</v>
      </c>
      <c r="O1031" s="31">
        <f t="shared" si="188"/>
        <v>0</v>
      </c>
      <c r="P1031" s="51" t="s">
        <v>845</v>
      </c>
      <c r="Q1031" s="51"/>
    </row>
    <row r="1032" spans="1:17" x14ac:dyDescent="0.25">
      <c r="A1032" s="10">
        <v>44438</v>
      </c>
      <c r="B1032" s="594">
        <v>2100000</v>
      </c>
      <c r="C1032" s="31">
        <f t="shared" si="182"/>
        <v>44298534.759999998</v>
      </c>
      <c r="D1032" s="50">
        <v>0</v>
      </c>
      <c r="E1032" s="31">
        <f t="shared" si="183"/>
        <v>0</v>
      </c>
      <c r="F1032" s="900">
        <v>-2107093.33</v>
      </c>
      <c r="G1032" s="899">
        <f t="shared" si="184"/>
        <v>-2089983.8</v>
      </c>
      <c r="H1032" s="50">
        <v>0</v>
      </c>
      <c r="I1032" s="31">
        <f t="shared" si="185"/>
        <v>0</v>
      </c>
      <c r="J1032" s="50">
        <v>0</v>
      </c>
      <c r="K1032" s="31">
        <f t="shared" si="186"/>
        <v>0</v>
      </c>
      <c r="L1032" s="50">
        <v>0</v>
      </c>
      <c r="M1032" s="31">
        <f t="shared" si="187"/>
        <v>0</v>
      </c>
      <c r="N1032" s="50">
        <v>0</v>
      </c>
      <c r="O1032" s="31">
        <f t="shared" si="188"/>
        <v>0</v>
      </c>
      <c r="P1032" s="51" t="s">
        <v>1012</v>
      </c>
      <c r="Q1032" s="51"/>
    </row>
    <row r="1033" spans="1:17" x14ac:dyDescent="0.25">
      <c r="A1033" s="10">
        <v>44438</v>
      </c>
      <c r="B1033" s="594">
        <v>0</v>
      </c>
      <c r="C1033" s="31">
        <f t="shared" si="182"/>
        <v>44298534.759999998</v>
      </c>
      <c r="D1033" s="50">
        <v>0</v>
      </c>
      <c r="E1033" s="31">
        <f t="shared" si="183"/>
        <v>0</v>
      </c>
      <c r="F1033" s="900">
        <v>2107093.33</v>
      </c>
      <c r="G1033" s="899">
        <f t="shared" si="184"/>
        <v>17109.53</v>
      </c>
      <c r="H1033" s="50">
        <v>0</v>
      </c>
      <c r="I1033" s="31">
        <f t="shared" si="185"/>
        <v>0</v>
      </c>
      <c r="J1033" s="50">
        <v>0</v>
      </c>
      <c r="K1033" s="31">
        <f t="shared" si="186"/>
        <v>0</v>
      </c>
      <c r="L1033" s="50">
        <v>0</v>
      </c>
      <c r="M1033" s="31">
        <f t="shared" si="187"/>
        <v>0</v>
      </c>
      <c r="N1033" s="50">
        <v>0</v>
      </c>
      <c r="O1033" s="31">
        <f t="shared" si="188"/>
        <v>0</v>
      </c>
      <c r="P1033" s="51" t="s">
        <v>3435</v>
      </c>
      <c r="Q1033" s="51"/>
    </row>
    <row r="1034" spans="1:17" x14ac:dyDescent="0.25">
      <c r="A1034" s="10">
        <v>44438</v>
      </c>
      <c r="B1034" s="594">
        <v>0</v>
      </c>
      <c r="C1034" s="31">
        <f t="shared" si="182"/>
        <v>44298534.759999998</v>
      </c>
      <c r="D1034" s="50">
        <v>-108688.9</v>
      </c>
      <c r="E1034" s="31">
        <f t="shared" si="183"/>
        <v>-108688.9</v>
      </c>
      <c r="F1034" s="900">
        <v>0</v>
      </c>
      <c r="G1034" s="899">
        <f t="shared" si="184"/>
        <v>17109.53</v>
      </c>
      <c r="H1034" s="50">
        <v>0</v>
      </c>
      <c r="I1034" s="31">
        <f t="shared" si="185"/>
        <v>0</v>
      </c>
      <c r="J1034" s="50">
        <v>0</v>
      </c>
      <c r="K1034" s="31">
        <f t="shared" si="186"/>
        <v>0</v>
      </c>
      <c r="L1034" s="50">
        <v>108688.9</v>
      </c>
      <c r="M1034" s="31">
        <f t="shared" si="187"/>
        <v>108688.9</v>
      </c>
      <c r="N1034" s="50">
        <v>0</v>
      </c>
      <c r="O1034" s="31">
        <f t="shared" si="188"/>
        <v>0</v>
      </c>
      <c r="P1034" s="51" t="s">
        <v>3437</v>
      </c>
      <c r="Q1034" s="51"/>
    </row>
    <row r="1035" spans="1:17" x14ac:dyDescent="0.25">
      <c r="A1035" s="10">
        <v>44438</v>
      </c>
      <c r="B1035" s="594">
        <v>0</v>
      </c>
      <c r="C1035" s="31">
        <f t="shared" si="182"/>
        <v>44298534.759999998</v>
      </c>
      <c r="D1035" s="50">
        <v>0</v>
      </c>
      <c r="E1035" s="31">
        <f t="shared" si="183"/>
        <v>-108688.9</v>
      </c>
      <c r="F1035" s="900">
        <v>0</v>
      </c>
      <c r="G1035" s="899">
        <f t="shared" si="184"/>
        <v>17109.53</v>
      </c>
      <c r="H1035" s="50">
        <v>0</v>
      </c>
      <c r="I1035" s="31">
        <f t="shared" si="185"/>
        <v>0</v>
      </c>
      <c r="J1035" s="50">
        <v>0</v>
      </c>
      <c r="K1035" s="31">
        <f t="shared" si="186"/>
        <v>0</v>
      </c>
      <c r="L1035" s="50">
        <v>-108688.9</v>
      </c>
      <c r="M1035" s="31">
        <f t="shared" si="187"/>
        <v>0</v>
      </c>
      <c r="N1035" s="50">
        <v>0</v>
      </c>
      <c r="O1035" s="31">
        <f t="shared" si="188"/>
        <v>0</v>
      </c>
      <c r="P1035" s="51" t="s">
        <v>3436</v>
      </c>
      <c r="Q1035" s="51"/>
    </row>
    <row r="1036" spans="1:17" x14ac:dyDescent="0.25">
      <c r="A1036" s="10">
        <v>44438</v>
      </c>
      <c r="B1036" s="594">
        <v>0</v>
      </c>
      <c r="C1036" s="31">
        <f t="shared" si="182"/>
        <v>44298534.759999998</v>
      </c>
      <c r="D1036" s="50">
        <f>-E1035</f>
        <v>108688.9</v>
      </c>
      <c r="E1036" s="31">
        <f t="shared" si="183"/>
        <v>0</v>
      </c>
      <c r="F1036" s="900">
        <v>0</v>
      </c>
      <c r="G1036" s="899">
        <f t="shared" si="184"/>
        <v>17109.53</v>
      </c>
      <c r="H1036" s="50">
        <v>0</v>
      </c>
      <c r="I1036" s="31">
        <f t="shared" si="185"/>
        <v>0</v>
      </c>
      <c r="J1036" s="50">
        <v>0</v>
      </c>
      <c r="K1036" s="31">
        <f t="shared" si="186"/>
        <v>0</v>
      </c>
      <c r="L1036" s="50">
        <v>0</v>
      </c>
      <c r="M1036" s="31">
        <f t="shared" si="187"/>
        <v>0</v>
      </c>
      <c r="N1036" s="50">
        <v>0</v>
      </c>
      <c r="O1036" s="31">
        <f t="shared" si="188"/>
        <v>0</v>
      </c>
      <c r="P1036" s="51" t="s">
        <v>845</v>
      </c>
      <c r="Q1036" s="51"/>
    </row>
    <row r="1037" spans="1:17" x14ac:dyDescent="0.25">
      <c r="A1037" s="10">
        <v>44441</v>
      </c>
      <c r="B1037" s="594">
        <v>0</v>
      </c>
      <c r="C1037" s="31">
        <f t="shared" si="182"/>
        <v>44298534.759999998</v>
      </c>
      <c r="D1037" s="50">
        <v>28.29</v>
      </c>
      <c r="E1037" s="31">
        <f t="shared" si="183"/>
        <v>28.29</v>
      </c>
      <c r="F1037" s="900">
        <v>0</v>
      </c>
      <c r="G1037" s="899">
        <f t="shared" si="184"/>
        <v>17109.53</v>
      </c>
      <c r="H1037" s="50">
        <v>1.38</v>
      </c>
      <c r="I1037" s="31">
        <f t="shared" si="185"/>
        <v>1.38</v>
      </c>
      <c r="J1037" s="50">
        <v>0</v>
      </c>
      <c r="K1037" s="31">
        <f t="shared" si="186"/>
        <v>0</v>
      </c>
      <c r="L1037" s="50">
        <v>0</v>
      </c>
      <c r="M1037" s="31">
        <f t="shared" si="187"/>
        <v>0</v>
      </c>
      <c r="N1037" s="50">
        <v>0</v>
      </c>
      <c r="O1037" s="31">
        <f t="shared" si="188"/>
        <v>0</v>
      </c>
      <c r="P1037" s="51" t="s">
        <v>2718</v>
      </c>
      <c r="Q1037" s="51"/>
    </row>
    <row r="1038" spans="1:17" x14ac:dyDescent="0.25">
      <c r="A1038" s="10">
        <v>44441</v>
      </c>
      <c r="B1038" s="594">
        <v>0</v>
      </c>
      <c r="C1038" s="31">
        <f t="shared" si="182"/>
        <v>44298534.759999998</v>
      </c>
      <c r="D1038" s="50">
        <f>-E1037</f>
        <v>-28.29</v>
      </c>
      <c r="E1038" s="31">
        <f t="shared" si="183"/>
        <v>0</v>
      </c>
      <c r="F1038" s="900">
        <v>0</v>
      </c>
      <c r="G1038" s="899">
        <f t="shared" si="184"/>
        <v>17109.53</v>
      </c>
      <c r="H1038" s="50">
        <f>-I1037</f>
        <v>-1.38</v>
      </c>
      <c r="I1038" s="31">
        <f t="shared" si="185"/>
        <v>0</v>
      </c>
      <c r="J1038" s="50">
        <v>0</v>
      </c>
      <c r="K1038" s="31">
        <f t="shared" si="186"/>
        <v>0</v>
      </c>
      <c r="L1038" s="50">
        <v>0</v>
      </c>
      <c r="M1038" s="31">
        <f t="shared" si="187"/>
        <v>0</v>
      </c>
      <c r="N1038" s="50">
        <v>0</v>
      </c>
      <c r="O1038" s="31">
        <f t="shared" si="188"/>
        <v>0</v>
      </c>
      <c r="P1038" s="51" t="s">
        <v>845</v>
      </c>
      <c r="Q1038" s="51"/>
    </row>
    <row r="1039" spans="1:17" x14ac:dyDescent="0.25">
      <c r="A1039" s="10">
        <v>44454</v>
      </c>
      <c r="B1039" s="594">
        <v>0</v>
      </c>
      <c r="C1039" s="31">
        <f t="shared" si="182"/>
        <v>44298534.759999998</v>
      </c>
      <c r="D1039" s="50">
        <v>0</v>
      </c>
      <c r="E1039" s="31">
        <f t="shared" si="183"/>
        <v>0</v>
      </c>
      <c r="F1039" s="900">
        <v>0</v>
      </c>
      <c r="G1039" s="899">
        <f t="shared" si="184"/>
        <v>17109.53</v>
      </c>
      <c r="H1039" s="50">
        <v>0</v>
      </c>
      <c r="I1039" s="31">
        <f t="shared" si="185"/>
        <v>0</v>
      </c>
      <c r="J1039" s="50">
        <v>0</v>
      </c>
      <c r="K1039" s="31">
        <f t="shared" si="186"/>
        <v>0</v>
      </c>
      <c r="L1039" s="50">
        <v>0</v>
      </c>
      <c r="M1039" s="31">
        <f t="shared" si="187"/>
        <v>0</v>
      </c>
      <c r="N1039" s="50">
        <v>0</v>
      </c>
      <c r="O1039" s="31">
        <f t="shared" si="188"/>
        <v>0</v>
      </c>
      <c r="P1039" s="51" t="s">
        <v>3457</v>
      </c>
      <c r="Q1039" s="51"/>
    </row>
    <row r="1040" spans="1:17" x14ac:dyDescent="0.25">
      <c r="A1040" s="10">
        <v>44454</v>
      </c>
      <c r="B1040" s="594">
        <v>0</v>
      </c>
      <c r="C1040" s="31">
        <f t="shared" si="182"/>
        <v>44298534.759999998</v>
      </c>
      <c r="D1040" s="50">
        <v>0</v>
      </c>
      <c r="E1040" s="31">
        <f t="shared" si="183"/>
        <v>0</v>
      </c>
      <c r="F1040" s="900">
        <v>0</v>
      </c>
      <c r="G1040" s="899">
        <f t="shared" si="184"/>
        <v>17109.53</v>
      </c>
      <c r="H1040" s="50">
        <v>0</v>
      </c>
      <c r="I1040" s="31">
        <f t="shared" si="185"/>
        <v>0</v>
      </c>
      <c r="J1040" s="50">
        <v>0</v>
      </c>
      <c r="K1040" s="31">
        <f t="shared" si="186"/>
        <v>0</v>
      </c>
      <c r="L1040" s="50">
        <v>0</v>
      </c>
      <c r="M1040" s="31">
        <f t="shared" si="187"/>
        <v>0</v>
      </c>
      <c r="N1040" s="50">
        <v>0</v>
      </c>
      <c r="O1040" s="31">
        <f t="shared" si="188"/>
        <v>0</v>
      </c>
      <c r="P1040" s="51" t="s">
        <v>1984</v>
      </c>
      <c r="Q1040" s="51"/>
    </row>
    <row r="1041" spans="1:17" x14ac:dyDescent="0.25">
      <c r="A1041" s="10">
        <v>44454</v>
      </c>
      <c r="B1041" s="594">
        <v>0</v>
      </c>
      <c r="C1041" s="31">
        <f t="shared" si="182"/>
        <v>44298534.759999998</v>
      </c>
      <c r="D1041" s="50">
        <v>0</v>
      </c>
      <c r="E1041" s="31">
        <f t="shared" si="183"/>
        <v>0</v>
      </c>
      <c r="F1041" s="900">
        <v>-64365647</v>
      </c>
      <c r="G1041" s="899">
        <f t="shared" si="184"/>
        <v>-64348537.469999999</v>
      </c>
      <c r="H1041" s="50">
        <v>0</v>
      </c>
      <c r="I1041" s="31">
        <f t="shared" si="185"/>
        <v>0</v>
      </c>
      <c r="J1041" s="50">
        <v>0</v>
      </c>
      <c r="K1041" s="31">
        <f t="shared" si="186"/>
        <v>0</v>
      </c>
      <c r="L1041" s="50">
        <v>0</v>
      </c>
      <c r="M1041" s="31">
        <f t="shared" si="187"/>
        <v>0</v>
      </c>
      <c r="N1041" s="50">
        <v>0</v>
      </c>
      <c r="O1041" s="31">
        <f t="shared" si="188"/>
        <v>0</v>
      </c>
      <c r="P1041" s="51" t="s">
        <v>1985</v>
      </c>
      <c r="Q1041" s="51"/>
    </row>
    <row r="1042" spans="1:17" x14ac:dyDescent="0.25">
      <c r="A1042" s="10">
        <v>44454</v>
      </c>
      <c r="B1042" s="594">
        <v>0</v>
      </c>
      <c r="C1042" s="31">
        <f t="shared" si="182"/>
        <v>44298534.759999998</v>
      </c>
      <c r="D1042" s="50">
        <v>0</v>
      </c>
      <c r="E1042" s="31">
        <f t="shared" si="183"/>
        <v>0</v>
      </c>
      <c r="F1042" s="900">
        <v>265618.14444444055</v>
      </c>
      <c r="G1042" s="899">
        <f t="shared" si="184"/>
        <v>-64082919.329999998</v>
      </c>
      <c r="H1042" s="50">
        <v>0</v>
      </c>
      <c r="I1042" s="31">
        <f t="shared" si="185"/>
        <v>0</v>
      </c>
      <c r="J1042" s="50">
        <v>0</v>
      </c>
      <c r="K1042" s="31">
        <f t="shared" si="186"/>
        <v>0</v>
      </c>
      <c r="L1042" s="50">
        <v>0</v>
      </c>
      <c r="M1042" s="31">
        <f t="shared" si="187"/>
        <v>0</v>
      </c>
      <c r="N1042" s="50">
        <v>0</v>
      </c>
      <c r="O1042" s="31">
        <f t="shared" si="188"/>
        <v>0</v>
      </c>
      <c r="P1042" s="51" t="s">
        <v>3537</v>
      </c>
      <c r="Q1042" s="51"/>
    </row>
    <row r="1043" spans="1:17" x14ac:dyDescent="0.25">
      <c r="A1043" s="10">
        <v>44454</v>
      </c>
      <c r="B1043" s="594">
        <v>4000000</v>
      </c>
      <c r="C1043" s="31">
        <f t="shared" si="182"/>
        <v>48298534.759999998</v>
      </c>
      <c r="D1043" s="50">
        <v>-4000000</v>
      </c>
      <c r="E1043" s="31">
        <f t="shared" si="183"/>
        <v>-4000000</v>
      </c>
      <c r="F1043" s="900">
        <v>0</v>
      </c>
      <c r="G1043" s="899">
        <f t="shared" si="184"/>
        <v>-64082919.329999998</v>
      </c>
      <c r="H1043" s="50">
        <v>0</v>
      </c>
      <c r="I1043" s="31">
        <f t="shared" si="185"/>
        <v>0</v>
      </c>
      <c r="J1043" s="50">
        <v>0</v>
      </c>
      <c r="K1043" s="31">
        <f t="shared" si="186"/>
        <v>0</v>
      </c>
      <c r="L1043" s="50">
        <v>0</v>
      </c>
      <c r="M1043" s="31">
        <f t="shared" si="187"/>
        <v>0</v>
      </c>
      <c r="N1043" s="50">
        <v>0</v>
      </c>
      <c r="O1043" s="31">
        <f t="shared" si="188"/>
        <v>0</v>
      </c>
      <c r="P1043" s="51" t="s">
        <v>831</v>
      </c>
      <c r="Q1043" s="51"/>
    </row>
    <row r="1044" spans="1:17" x14ac:dyDescent="0.25">
      <c r="A1044" s="10">
        <v>44454</v>
      </c>
      <c r="B1044" s="594">
        <v>2000000</v>
      </c>
      <c r="C1044" s="31">
        <f t="shared" si="182"/>
        <v>50298534.759999998</v>
      </c>
      <c r="D1044" s="50">
        <v>-2000000</v>
      </c>
      <c r="E1044" s="31">
        <f t="shared" si="183"/>
        <v>-6000000</v>
      </c>
      <c r="F1044" s="900">
        <v>0</v>
      </c>
      <c r="G1044" s="899">
        <f t="shared" si="184"/>
        <v>-64082919.329999998</v>
      </c>
      <c r="H1044" s="50">
        <v>0</v>
      </c>
      <c r="I1044" s="31">
        <f t="shared" si="185"/>
        <v>0</v>
      </c>
      <c r="J1044" s="50">
        <v>0</v>
      </c>
      <c r="K1044" s="31">
        <f t="shared" si="186"/>
        <v>0</v>
      </c>
      <c r="L1044" s="50">
        <v>0</v>
      </c>
      <c r="M1044" s="31">
        <f t="shared" si="187"/>
        <v>0</v>
      </c>
      <c r="N1044" s="50">
        <v>0</v>
      </c>
      <c r="O1044" s="31">
        <f t="shared" si="188"/>
        <v>0</v>
      </c>
      <c r="P1044" s="51" t="s">
        <v>880</v>
      </c>
      <c r="Q1044" s="51"/>
    </row>
    <row r="1045" spans="1:17" x14ac:dyDescent="0.25">
      <c r="A1045" s="10">
        <v>44454</v>
      </c>
      <c r="B1045" s="594">
        <v>2000000</v>
      </c>
      <c r="C1045" s="31">
        <f t="shared" si="182"/>
        <v>52298534.759999998</v>
      </c>
      <c r="D1045" s="50">
        <v>-2000000</v>
      </c>
      <c r="E1045" s="31">
        <f t="shared" si="183"/>
        <v>-8000000</v>
      </c>
      <c r="F1045" s="900">
        <v>0</v>
      </c>
      <c r="G1045" s="899">
        <f t="shared" si="184"/>
        <v>-64082919.329999998</v>
      </c>
      <c r="H1045" s="50">
        <v>0</v>
      </c>
      <c r="I1045" s="31">
        <f t="shared" si="185"/>
        <v>0</v>
      </c>
      <c r="J1045" s="50">
        <v>0</v>
      </c>
      <c r="K1045" s="31">
        <f t="shared" si="186"/>
        <v>0</v>
      </c>
      <c r="L1045" s="50">
        <v>0</v>
      </c>
      <c r="M1045" s="31">
        <f t="shared" si="187"/>
        <v>0</v>
      </c>
      <c r="N1045" s="50">
        <v>0</v>
      </c>
      <c r="O1045" s="31">
        <f t="shared" si="188"/>
        <v>0</v>
      </c>
      <c r="P1045" s="51" t="s">
        <v>1697</v>
      </c>
      <c r="Q1045" s="51"/>
    </row>
    <row r="1046" spans="1:17" x14ac:dyDescent="0.25">
      <c r="A1046" s="10">
        <v>44454</v>
      </c>
      <c r="B1046" s="594">
        <v>4000000</v>
      </c>
      <c r="C1046" s="31">
        <f t="shared" si="182"/>
        <v>56298534.759999998</v>
      </c>
      <c r="D1046" s="50">
        <v>0</v>
      </c>
      <c r="E1046" s="31">
        <f t="shared" si="183"/>
        <v>-8000000</v>
      </c>
      <c r="F1046" s="900">
        <v>-4000000</v>
      </c>
      <c r="G1046" s="899">
        <f t="shared" si="184"/>
        <v>-68082919.329999998</v>
      </c>
      <c r="H1046" s="50">
        <v>0</v>
      </c>
      <c r="I1046" s="31">
        <f t="shared" si="185"/>
        <v>0</v>
      </c>
      <c r="J1046" s="50">
        <v>0</v>
      </c>
      <c r="K1046" s="31">
        <f t="shared" si="186"/>
        <v>0</v>
      </c>
      <c r="L1046" s="50">
        <v>0</v>
      </c>
      <c r="M1046" s="31">
        <f t="shared" si="187"/>
        <v>0</v>
      </c>
      <c r="N1046" s="50">
        <v>0</v>
      </c>
      <c r="O1046" s="31">
        <f t="shared" si="188"/>
        <v>0</v>
      </c>
      <c r="P1046" s="51" t="s">
        <v>1012</v>
      </c>
      <c r="Q1046" s="51"/>
    </row>
    <row r="1047" spans="1:17" x14ac:dyDescent="0.25">
      <c r="A1047" s="10">
        <v>44454</v>
      </c>
      <c r="B1047" s="594">
        <v>0</v>
      </c>
      <c r="C1047" s="31">
        <f t="shared" si="182"/>
        <v>56298534.759999998</v>
      </c>
      <c r="D1047" s="50">
        <v>66682.17</v>
      </c>
      <c r="E1047" s="31">
        <f t="shared" si="183"/>
        <v>-7933317.8300000001</v>
      </c>
      <c r="F1047" s="50">
        <v>0</v>
      </c>
      <c r="G1047" s="899">
        <f t="shared" si="184"/>
        <v>-68082919.329999998</v>
      </c>
      <c r="H1047" s="50">
        <v>0</v>
      </c>
      <c r="I1047" s="31">
        <f t="shared" si="185"/>
        <v>0</v>
      </c>
      <c r="J1047" s="50">
        <v>0</v>
      </c>
      <c r="K1047" s="31">
        <f t="shared" si="186"/>
        <v>0</v>
      </c>
      <c r="L1047" s="50">
        <v>0</v>
      </c>
      <c r="M1047" s="31">
        <f t="shared" si="187"/>
        <v>0</v>
      </c>
      <c r="N1047" s="50">
        <v>0</v>
      </c>
      <c r="O1047" s="31">
        <f t="shared" si="188"/>
        <v>0</v>
      </c>
      <c r="P1047" s="51" t="s">
        <v>3536</v>
      </c>
      <c r="Q1047" s="51"/>
    </row>
    <row r="1048" spans="1:17" x14ac:dyDescent="0.25">
      <c r="A1048" s="10">
        <v>44454</v>
      </c>
      <c r="B1048" s="594">
        <v>0</v>
      </c>
      <c r="C1048" s="31">
        <f t="shared" si="182"/>
        <v>56298534.759999998</v>
      </c>
      <c r="D1048" s="50">
        <v>96710.02</v>
      </c>
      <c r="E1048" s="31">
        <f t="shared" si="183"/>
        <v>-7836607.8099999996</v>
      </c>
      <c r="F1048" s="900">
        <v>0</v>
      </c>
      <c r="G1048" s="899">
        <f t="shared" si="184"/>
        <v>-68082919.329999998</v>
      </c>
      <c r="H1048" s="50">
        <v>0</v>
      </c>
      <c r="I1048" s="31">
        <f t="shared" si="185"/>
        <v>0</v>
      </c>
      <c r="J1048" s="50">
        <v>0</v>
      </c>
      <c r="K1048" s="31">
        <f t="shared" si="186"/>
        <v>0</v>
      </c>
      <c r="L1048" s="50">
        <v>0</v>
      </c>
      <c r="M1048" s="31">
        <f t="shared" si="187"/>
        <v>0</v>
      </c>
      <c r="N1048" s="50">
        <v>0</v>
      </c>
      <c r="O1048" s="31">
        <f t="shared" si="188"/>
        <v>0</v>
      </c>
      <c r="P1048" s="51" t="s">
        <v>3536</v>
      </c>
      <c r="Q1048" s="51"/>
    </row>
    <row r="1049" spans="1:17" x14ac:dyDescent="0.25">
      <c r="A1049" s="10">
        <v>44454</v>
      </c>
      <c r="B1049" s="594">
        <v>0</v>
      </c>
      <c r="C1049" s="31">
        <f t="shared" si="182"/>
        <v>56298534.759999998</v>
      </c>
      <c r="D1049" s="50">
        <v>0</v>
      </c>
      <c r="E1049" s="31">
        <f t="shared" si="183"/>
        <v>-7836607.8099999996</v>
      </c>
      <c r="F1049" s="900">
        <v>68100000</v>
      </c>
      <c r="G1049" s="899">
        <f t="shared" si="184"/>
        <v>17080.669999999998</v>
      </c>
      <c r="H1049" s="50">
        <v>0</v>
      </c>
      <c r="I1049" s="31">
        <f t="shared" si="185"/>
        <v>0</v>
      </c>
      <c r="J1049" s="50">
        <v>0</v>
      </c>
      <c r="K1049" s="31">
        <f t="shared" si="186"/>
        <v>0</v>
      </c>
      <c r="L1049" s="50">
        <v>0</v>
      </c>
      <c r="M1049" s="31">
        <f t="shared" si="187"/>
        <v>0</v>
      </c>
      <c r="N1049" s="50">
        <v>0</v>
      </c>
      <c r="O1049" s="31">
        <f t="shared" si="188"/>
        <v>0</v>
      </c>
      <c r="P1049" s="51" t="s">
        <v>3538</v>
      </c>
      <c r="Q1049" s="51"/>
    </row>
    <row r="1050" spans="1:17" x14ac:dyDescent="0.25">
      <c r="A1050" s="10">
        <v>44454</v>
      </c>
      <c r="B1050" s="594">
        <v>0</v>
      </c>
      <c r="C1050" s="31">
        <f t="shared" si="182"/>
        <v>56298534.759999998</v>
      </c>
      <c r="D1050" s="50">
        <v>0</v>
      </c>
      <c r="E1050" s="31">
        <f t="shared" si="183"/>
        <v>-7836607.8099999996</v>
      </c>
      <c r="F1050" s="900">
        <v>0</v>
      </c>
      <c r="G1050" s="899">
        <f t="shared" si="184"/>
        <v>17080.669999999998</v>
      </c>
      <c r="H1050" s="50">
        <v>0</v>
      </c>
      <c r="I1050" s="31">
        <f t="shared" si="185"/>
        <v>0</v>
      </c>
      <c r="J1050" s="50">
        <v>0</v>
      </c>
      <c r="K1050" s="31">
        <f t="shared" si="186"/>
        <v>0</v>
      </c>
      <c r="L1050" s="50">
        <v>0</v>
      </c>
      <c r="M1050" s="31">
        <f t="shared" si="187"/>
        <v>0</v>
      </c>
      <c r="N1050" s="50">
        <v>0</v>
      </c>
      <c r="O1050" s="31">
        <f t="shared" si="188"/>
        <v>0</v>
      </c>
      <c r="P1050" s="51" t="s">
        <v>3539</v>
      </c>
      <c r="Q1050" s="51"/>
    </row>
    <row r="1051" spans="1:17" x14ac:dyDescent="0.25">
      <c r="A1051" s="10">
        <v>44454</v>
      </c>
      <c r="B1051" s="594">
        <v>0</v>
      </c>
      <c r="C1051" s="31">
        <f t="shared" si="182"/>
        <v>56298534.759999998</v>
      </c>
      <c r="D1051" s="50">
        <v>8000000</v>
      </c>
      <c r="E1051" s="31">
        <f t="shared" si="183"/>
        <v>163392.19</v>
      </c>
      <c r="F1051" s="900">
        <v>0</v>
      </c>
      <c r="G1051" s="899">
        <f t="shared" si="184"/>
        <v>17080.669999999998</v>
      </c>
      <c r="H1051" s="50">
        <v>0</v>
      </c>
      <c r="I1051" s="31">
        <f t="shared" si="185"/>
        <v>0</v>
      </c>
      <c r="J1051" s="50">
        <v>0</v>
      </c>
      <c r="K1051" s="31">
        <f t="shared" si="186"/>
        <v>0</v>
      </c>
      <c r="L1051" s="50">
        <v>0</v>
      </c>
      <c r="M1051" s="31">
        <f t="shared" si="187"/>
        <v>0</v>
      </c>
      <c r="N1051" s="50">
        <v>0</v>
      </c>
      <c r="O1051" s="31">
        <f t="shared" si="188"/>
        <v>0</v>
      </c>
      <c r="P1051" s="51" t="s">
        <v>2046</v>
      </c>
      <c r="Q1051" s="51"/>
    </row>
    <row r="1052" spans="1:17" x14ac:dyDescent="0.25">
      <c r="A1052" s="10">
        <v>44454</v>
      </c>
      <c r="B1052" s="594">
        <v>0</v>
      </c>
      <c r="C1052" s="31">
        <f t="shared" si="182"/>
        <v>56298534.759999998</v>
      </c>
      <c r="D1052" s="50">
        <v>-163392.19</v>
      </c>
      <c r="E1052" s="31">
        <f t="shared" si="183"/>
        <v>0</v>
      </c>
      <c r="F1052" s="900">
        <v>0</v>
      </c>
      <c r="G1052" s="899">
        <f t="shared" si="184"/>
        <v>17080.669999999998</v>
      </c>
      <c r="H1052" s="50">
        <v>0</v>
      </c>
      <c r="I1052" s="31">
        <f t="shared" si="185"/>
        <v>0</v>
      </c>
      <c r="J1052" s="50">
        <v>0</v>
      </c>
      <c r="K1052" s="31">
        <f t="shared" si="186"/>
        <v>0</v>
      </c>
      <c r="L1052" s="50">
        <v>0</v>
      </c>
      <c r="M1052" s="31">
        <f t="shared" si="187"/>
        <v>0</v>
      </c>
      <c r="N1052" s="50">
        <v>0</v>
      </c>
      <c r="O1052" s="31">
        <f t="shared" si="188"/>
        <v>0</v>
      </c>
      <c r="P1052" s="51" t="s">
        <v>845</v>
      </c>
      <c r="Q1052" s="51"/>
    </row>
    <row r="1053" spans="1:17" x14ac:dyDescent="0.25">
      <c r="A1053" s="10">
        <v>44455</v>
      </c>
      <c r="B1053" s="594">
        <v>0</v>
      </c>
      <c r="C1053" s="31">
        <f t="shared" ref="C1053:C1116" si="189">ROUND(B1053+C1052,2)</f>
        <v>56298534.759999998</v>
      </c>
      <c r="D1053" s="50">
        <v>107791.62</v>
      </c>
      <c r="E1053" s="31">
        <f t="shared" ref="E1053:E1116" si="190">ROUND(D1053+E1052,2)</f>
        <v>107791.62</v>
      </c>
      <c r="F1053" s="900">
        <v>30666.11</v>
      </c>
      <c r="G1053" s="899">
        <f t="shared" ref="G1053:G1116" si="191">ROUND(F1053+G1052,2)</f>
        <v>47746.78</v>
      </c>
      <c r="H1053" s="50">
        <v>0</v>
      </c>
      <c r="I1053" s="31">
        <f t="shared" ref="I1053:I1116" si="192">ROUND(H1053+I1052,2)</f>
        <v>0</v>
      </c>
      <c r="J1053" s="50">
        <v>0</v>
      </c>
      <c r="K1053" s="31">
        <f t="shared" ref="K1053:K1116" si="193">ROUND(J1053+K1052,2)</f>
        <v>0</v>
      </c>
      <c r="L1053" s="50">
        <v>0</v>
      </c>
      <c r="M1053" s="31">
        <f t="shared" ref="M1053:M1116" si="194">ROUND(L1053+M1052,2)</f>
        <v>0</v>
      </c>
      <c r="N1053" s="50">
        <v>0</v>
      </c>
      <c r="O1053" s="31">
        <f t="shared" ref="O1053:O1116" si="195">ROUND(N1053+O1052,2)</f>
        <v>0</v>
      </c>
      <c r="P1053" s="51" t="s">
        <v>3541</v>
      </c>
      <c r="Q1053" s="51"/>
    </row>
    <row r="1054" spans="1:17" x14ac:dyDescent="0.25">
      <c r="A1054" s="10">
        <v>44455</v>
      </c>
      <c r="B1054" s="594">
        <v>0</v>
      </c>
      <c r="C1054" s="31">
        <f t="shared" si="189"/>
        <v>56298534.759999998</v>
      </c>
      <c r="D1054" s="50">
        <v>-6312.04</v>
      </c>
      <c r="E1054" s="31">
        <f t="shared" si="190"/>
        <v>101479.58</v>
      </c>
      <c r="F1054" s="900">
        <v>0</v>
      </c>
      <c r="G1054" s="899">
        <f t="shared" si="191"/>
        <v>47746.78</v>
      </c>
      <c r="H1054" s="50">
        <v>6312.04</v>
      </c>
      <c r="I1054" s="31">
        <f t="shared" si="192"/>
        <v>6312.04</v>
      </c>
      <c r="J1054" s="50">
        <v>0</v>
      </c>
      <c r="K1054" s="31">
        <f t="shared" si="193"/>
        <v>0</v>
      </c>
      <c r="L1054" s="50">
        <v>0</v>
      </c>
      <c r="M1054" s="31">
        <f t="shared" si="194"/>
        <v>0</v>
      </c>
      <c r="N1054" s="50">
        <v>0</v>
      </c>
      <c r="O1054" s="31">
        <f t="shared" si="195"/>
        <v>0</v>
      </c>
      <c r="P1054" s="51" t="s">
        <v>3543</v>
      </c>
      <c r="Q1054" s="51"/>
    </row>
    <row r="1055" spans="1:17" x14ac:dyDescent="0.25">
      <c r="A1055" s="10">
        <v>44455</v>
      </c>
      <c r="B1055" s="594">
        <v>0</v>
      </c>
      <c r="C1055" s="31">
        <f t="shared" si="189"/>
        <v>56298534.759999998</v>
      </c>
      <c r="D1055" s="50">
        <v>-48750.517962580459</v>
      </c>
      <c r="E1055" s="31">
        <f t="shared" si="190"/>
        <v>52729.06</v>
      </c>
      <c r="F1055" s="900">
        <v>0</v>
      </c>
      <c r="G1055" s="899">
        <f t="shared" si="191"/>
        <v>47746.78</v>
      </c>
      <c r="H1055" s="50">
        <v>0</v>
      </c>
      <c r="I1055" s="31">
        <f t="shared" si="192"/>
        <v>6312.04</v>
      </c>
      <c r="J1055" s="50">
        <v>0</v>
      </c>
      <c r="K1055" s="31">
        <f t="shared" si="193"/>
        <v>0</v>
      </c>
      <c r="L1055" s="50">
        <v>48750.517962580503</v>
      </c>
      <c r="M1055" s="31">
        <f t="shared" si="194"/>
        <v>48750.52</v>
      </c>
      <c r="N1055" s="50">
        <v>0</v>
      </c>
      <c r="O1055" s="31">
        <f t="shared" si="195"/>
        <v>0</v>
      </c>
      <c r="P1055" s="51" t="s">
        <v>3542</v>
      </c>
      <c r="Q1055" s="51"/>
    </row>
    <row r="1056" spans="1:17" x14ac:dyDescent="0.25">
      <c r="A1056" s="10">
        <v>44455</v>
      </c>
      <c r="B1056" s="594">
        <v>0</v>
      </c>
      <c r="C1056" s="31">
        <f t="shared" si="189"/>
        <v>56298534.759999998</v>
      </c>
      <c r="D1056" s="50">
        <v>-66682.17</v>
      </c>
      <c r="E1056" s="31">
        <f t="shared" si="190"/>
        <v>-13953.11</v>
      </c>
      <c r="F1056" s="900">
        <v>0</v>
      </c>
      <c r="G1056" s="899">
        <f t="shared" si="191"/>
        <v>47746.78</v>
      </c>
      <c r="H1056" s="50">
        <v>0</v>
      </c>
      <c r="I1056" s="31">
        <f t="shared" si="192"/>
        <v>6312.04</v>
      </c>
      <c r="J1056" s="50">
        <v>0</v>
      </c>
      <c r="K1056" s="31">
        <f t="shared" si="193"/>
        <v>0</v>
      </c>
      <c r="L1056" s="50">
        <v>0</v>
      </c>
      <c r="M1056" s="31">
        <f t="shared" si="194"/>
        <v>48750.52</v>
      </c>
      <c r="N1056" s="50">
        <v>0</v>
      </c>
      <c r="O1056" s="31">
        <f t="shared" si="195"/>
        <v>0</v>
      </c>
      <c r="P1056" s="51" t="s">
        <v>3544</v>
      </c>
      <c r="Q1056" s="51"/>
    </row>
    <row r="1057" spans="1:17" x14ac:dyDescent="0.25">
      <c r="A1057" s="10">
        <v>44455</v>
      </c>
      <c r="B1057" s="594">
        <v>0</v>
      </c>
      <c r="C1057" s="31">
        <f t="shared" si="189"/>
        <v>56298534.759999998</v>
      </c>
      <c r="D1057" s="50">
        <v>-96710.02</v>
      </c>
      <c r="E1057" s="31">
        <f t="shared" si="190"/>
        <v>-110663.13</v>
      </c>
      <c r="F1057" s="900">
        <v>0</v>
      </c>
      <c r="G1057" s="899">
        <f t="shared" si="191"/>
        <v>47746.78</v>
      </c>
      <c r="H1057" s="50">
        <v>0</v>
      </c>
      <c r="I1057" s="31">
        <f t="shared" si="192"/>
        <v>6312.04</v>
      </c>
      <c r="J1057" s="50">
        <v>0</v>
      </c>
      <c r="K1057" s="31">
        <f t="shared" si="193"/>
        <v>0</v>
      </c>
      <c r="L1057" s="50">
        <v>0</v>
      </c>
      <c r="M1057" s="31">
        <f t="shared" si="194"/>
        <v>48750.52</v>
      </c>
      <c r="N1057" s="50">
        <v>0</v>
      </c>
      <c r="O1057" s="31">
        <f t="shared" si="195"/>
        <v>0</v>
      </c>
      <c r="P1057" s="51" t="s">
        <v>3544</v>
      </c>
      <c r="Q1057" s="51"/>
    </row>
    <row r="1058" spans="1:17" x14ac:dyDescent="0.25">
      <c r="A1058" s="10">
        <v>44455</v>
      </c>
      <c r="B1058" s="594">
        <v>0</v>
      </c>
      <c r="C1058" s="31">
        <f t="shared" si="189"/>
        <v>56298534.759999998</v>
      </c>
      <c r="D1058" s="50">
        <v>0</v>
      </c>
      <c r="E1058" s="31">
        <f t="shared" si="190"/>
        <v>-110663.13</v>
      </c>
      <c r="F1058" s="900">
        <v>0</v>
      </c>
      <c r="G1058" s="899">
        <f t="shared" si="191"/>
        <v>47746.78</v>
      </c>
      <c r="H1058" s="50">
        <v>0</v>
      </c>
      <c r="I1058" s="31">
        <f t="shared" si="192"/>
        <v>6312.04</v>
      </c>
      <c r="J1058" s="50">
        <v>0</v>
      </c>
      <c r="K1058" s="31">
        <f t="shared" si="193"/>
        <v>0</v>
      </c>
      <c r="L1058" s="50">
        <v>-48750.52</v>
      </c>
      <c r="M1058" s="31">
        <f t="shared" si="194"/>
        <v>0</v>
      </c>
      <c r="N1058" s="50">
        <v>0</v>
      </c>
      <c r="O1058" s="31">
        <f t="shared" si="195"/>
        <v>0</v>
      </c>
      <c r="P1058" s="51" t="s">
        <v>3545</v>
      </c>
      <c r="Q1058" s="51"/>
    </row>
    <row r="1059" spans="1:17" x14ac:dyDescent="0.25">
      <c r="A1059" s="10">
        <v>44455</v>
      </c>
      <c r="B1059" s="594">
        <v>0</v>
      </c>
      <c r="C1059" s="31">
        <f t="shared" si="189"/>
        <v>56298534.759999998</v>
      </c>
      <c r="D1059" s="50">
        <v>0</v>
      </c>
      <c r="E1059" s="31">
        <f t="shared" si="190"/>
        <v>-110663.13</v>
      </c>
      <c r="F1059" s="900">
        <v>0</v>
      </c>
      <c r="G1059" s="899">
        <f t="shared" si="191"/>
        <v>47746.78</v>
      </c>
      <c r="H1059" s="50">
        <v>-147.66999999999999</v>
      </c>
      <c r="I1059" s="31">
        <f t="shared" si="192"/>
        <v>6164.37</v>
      </c>
      <c r="J1059" s="50">
        <v>0</v>
      </c>
      <c r="K1059" s="31">
        <f t="shared" si="193"/>
        <v>0</v>
      </c>
      <c r="L1059" s="50">
        <v>0</v>
      </c>
      <c r="M1059" s="31">
        <f t="shared" si="194"/>
        <v>0</v>
      </c>
      <c r="N1059" s="50">
        <v>0</v>
      </c>
      <c r="O1059" s="31">
        <f t="shared" si="195"/>
        <v>0</v>
      </c>
      <c r="P1059" s="51" t="s">
        <v>3152</v>
      </c>
      <c r="Q1059" s="51"/>
    </row>
    <row r="1060" spans="1:17" x14ac:dyDescent="0.25">
      <c r="A1060" s="10">
        <v>44455</v>
      </c>
      <c r="B1060" s="594">
        <v>0</v>
      </c>
      <c r="C1060" s="31">
        <f t="shared" si="189"/>
        <v>56298534.759999998</v>
      </c>
      <c r="D1060" s="50">
        <f>-E1059</f>
        <v>110663.13</v>
      </c>
      <c r="E1060" s="31">
        <f t="shared" si="190"/>
        <v>0</v>
      </c>
      <c r="F1060" s="900">
        <v>0</v>
      </c>
      <c r="G1060" s="899">
        <f t="shared" si="191"/>
        <v>47746.78</v>
      </c>
      <c r="H1060" s="50">
        <f>-I1059</f>
        <v>-6164.37</v>
      </c>
      <c r="I1060" s="31">
        <f t="shared" si="192"/>
        <v>0</v>
      </c>
      <c r="J1060" s="50">
        <v>0</v>
      </c>
      <c r="K1060" s="31">
        <f t="shared" si="193"/>
        <v>0</v>
      </c>
      <c r="L1060" s="50">
        <v>0</v>
      </c>
      <c r="M1060" s="31">
        <f t="shared" si="194"/>
        <v>0</v>
      </c>
      <c r="N1060" s="50">
        <v>0</v>
      </c>
      <c r="O1060" s="31">
        <f t="shared" si="195"/>
        <v>0</v>
      </c>
      <c r="P1060" s="51" t="s">
        <v>845</v>
      </c>
      <c r="Q1060" s="51"/>
    </row>
    <row r="1061" spans="1:17" x14ac:dyDescent="0.25">
      <c r="A1061" s="10">
        <v>44456</v>
      </c>
      <c r="B1061" s="594">
        <v>0</v>
      </c>
      <c r="C1061" s="31">
        <f t="shared" si="189"/>
        <v>56298534.759999998</v>
      </c>
      <c r="D1061" s="50">
        <v>-105379.91</v>
      </c>
      <c r="E1061" s="31">
        <f t="shared" si="190"/>
        <v>-105379.91</v>
      </c>
      <c r="F1061" s="900">
        <v>0</v>
      </c>
      <c r="G1061" s="899">
        <f t="shared" si="191"/>
        <v>47746.78</v>
      </c>
      <c r="H1061" s="50">
        <v>0</v>
      </c>
      <c r="I1061" s="31">
        <f t="shared" si="192"/>
        <v>0</v>
      </c>
      <c r="J1061" s="50">
        <v>0</v>
      </c>
      <c r="K1061" s="31">
        <f t="shared" si="193"/>
        <v>0</v>
      </c>
      <c r="L1061" s="50">
        <v>0</v>
      </c>
      <c r="M1061" s="31">
        <f t="shared" si="194"/>
        <v>0</v>
      </c>
      <c r="N1061" s="50">
        <v>0</v>
      </c>
      <c r="O1061" s="31">
        <f t="shared" si="195"/>
        <v>0</v>
      </c>
      <c r="P1061" s="51" t="s">
        <v>3547</v>
      </c>
      <c r="Q1061" s="51"/>
    </row>
    <row r="1062" spans="1:17" x14ac:dyDescent="0.25">
      <c r="A1062" s="10">
        <v>44456</v>
      </c>
      <c r="B1062" s="594">
        <v>0</v>
      </c>
      <c r="C1062" s="31">
        <f t="shared" si="189"/>
        <v>56298534.759999998</v>
      </c>
      <c r="D1062" s="50">
        <v>105379.91</v>
      </c>
      <c r="E1062" s="31">
        <f t="shared" si="190"/>
        <v>0</v>
      </c>
      <c r="F1062" s="900">
        <v>0</v>
      </c>
      <c r="G1062" s="899">
        <f t="shared" si="191"/>
        <v>47746.78</v>
      </c>
      <c r="H1062" s="50">
        <v>0</v>
      </c>
      <c r="I1062" s="31">
        <f t="shared" si="192"/>
        <v>0</v>
      </c>
      <c r="J1062" s="50">
        <v>0</v>
      </c>
      <c r="K1062" s="31">
        <f t="shared" si="193"/>
        <v>0</v>
      </c>
      <c r="L1062" s="50">
        <v>0</v>
      </c>
      <c r="M1062" s="31">
        <f t="shared" si="194"/>
        <v>0</v>
      </c>
      <c r="N1062" s="50">
        <v>0</v>
      </c>
      <c r="O1062" s="31">
        <f t="shared" si="195"/>
        <v>0</v>
      </c>
      <c r="P1062" s="51" t="s">
        <v>845</v>
      </c>
      <c r="Q1062" s="51"/>
    </row>
    <row r="1063" spans="1:17" x14ac:dyDescent="0.25">
      <c r="A1063" s="10">
        <v>44459</v>
      </c>
      <c r="B1063" s="594">
        <v>0</v>
      </c>
      <c r="C1063" s="31">
        <f t="shared" si="189"/>
        <v>56298534.759999998</v>
      </c>
      <c r="D1063" s="50">
        <v>1686473.17</v>
      </c>
      <c r="E1063" s="31">
        <f t="shared" si="190"/>
        <v>1686473.17</v>
      </c>
      <c r="F1063" s="900">
        <v>0</v>
      </c>
      <c r="G1063" s="899">
        <f t="shared" si="191"/>
        <v>47746.78</v>
      </c>
      <c r="H1063" s="50">
        <v>0</v>
      </c>
      <c r="I1063" s="31">
        <f t="shared" si="192"/>
        <v>0</v>
      </c>
      <c r="J1063" s="50">
        <v>0</v>
      </c>
      <c r="K1063" s="31">
        <f t="shared" si="193"/>
        <v>0</v>
      </c>
      <c r="L1063" s="50">
        <v>0</v>
      </c>
      <c r="M1063" s="31">
        <f t="shared" si="194"/>
        <v>0</v>
      </c>
      <c r="N1063" s="50">
        <v>0</v>
      </c>
      <c r="O1063" s="31">
        <f t="shared" si="195"/>
        <v>0</v>
      </c>
      <c r="P1063" s="51" t="s">
        <v>3548</v>
      </c>
      <c r="Q1063" s="51"/>
    </row>
    <row r="1064" spans="1:17" x14ac:dyDescent="0.25">
      <c r="A1064" s="10">
        <v>44459</v>
      </c>
      <c r="B1064" s="594">
        <v>0</v>
      </c>
      <c r="C1064" s="31">
        <f t="shared" si="189"/>
        <v>56298534.759999998</v>
      </c>
      <c r="D1064" s="50">
        <v>-1686473.17</v>
      </c>
      <c r="E1064" s="31">
        <f t="shared" si="190"/>
        <v>0</v>
      </c>
      <c r="F1064" s="900">
        <v>0</v>
      </c>
      <c r="G1064" s="899">
        <f t="shared" si="191"/>
        <v>47746.78</v>
      </c>
      <c r="H1064" s="50">
        <v>0</v>
      </c>
      <c r="I1064" s="31">
        <f t="shared" si="192"/>
        <v>0</v>
      </c>
      <c r="J1064" s="50">
        <v>0</v>
      </c>
      <c r="K1064" s="31">
        <f t="shared" si="193"/>
        <v>0</v>
      </c>
      <c r="L1064" s="50">
        <v>0</v>
      </c>
      <c r="M1064" s="31">
        <f t="shared" si="194"/>
        <v>0</v>
      </c>
      <c r="N1064" s="50">
        <v>0</v>
      </c>
      <c r="O1064" s="31">
        <f t="shared" si="195"/>
        <v>0</v>
      </c>
      <c r="P1064" s="51" t="s">
        <v>845</v>
      </c>
      <c r="Q1064" s="51"/>
    </row>
    <row r="1065" spans="1:17" x14ac:dyDescent="0.25">
      <c r="A1065" s="10">
        <v>44461</v>
      </c>
      <c r="B1065" s="594">
        <v>2000000</v>
      </c>
      <c r="C1065" s="31">
        <f t="shared" si="189"/>
        <v>58298534.759999998</v>
      </c>
      <c r="D1065" s="50">
        <v>-2000000</v>
      </c>
      <c r="E1065" s="31">
        <f t="shared" si="190"/>
        <v>-2000000</v>
      </c>
      <c r="F1065" s="900">
        <v>0</v>
      </c>
      <c r="G1065" s="899">
        <f t="shared" si="191"/>
        <v>47746.78</v>
      </c>
      <c r="H1065" s="50">
        <v>0</v>
      </c>
      <c r="I1065" s="31">
        <f t="shared" si="192"/>
        <v>0</v>
      </c>
      <c r="J1065" s="50">
        <v>0</v>
      </c>
      <c r="K1065" s="31">
        <f t="shared" si="193"/>
        <v>0</v>
      </c>
      <c r="L1065" s="50">
        <v>0</v>
      </c>
      <c r="M1065" s="31">
        <f t="shared" si="194"/>
        <v>0</v>
      </c>
      <c r="N1065" s="50">
        <v>0</v>
      </c>
      <c r="O1065" s="31">
        <f t="shared" si="195"/>
        <v>0</v>
      </c>
      <c r="P1065" s="51" t="s">
        <v>2980</v>
      </c>
      <c r="Q1065" s="51"/>
    </row>
    <row r="1066" spans="1:17" x14ac:dyDescent="0.25">
      <c r="A1066" s="10">
        <v>44461</v>
      </c>
      <c r="B1066" s="594">
        <v>0</v>
      </c>
      <c r="C1066" s="31">
        <f t="shared" si="189"/>
        <v>58298534.759999998</v>
      </c>
      <c r="D1066" s="50">
        <v>2000000</v>
      </c>
      <c r="E1066" s="31">
        <f t="shared" si="190"/>
        <v>0</v>
      </c>
      <c r="F1066" s="900">
        <v>0</v>
      </c>
      <c r="G1066" s="899">
        <f t="shared" si="191"/>
        <v>47746.78</v>
      </c>
      <c r="H1066" s="50">
        <v>0</v>
      </c>
      <c r="I1066" s="31">
        <f t="shared" si="192"/>
        <v>0</v>
      </c>
      <c r="J1066" s="50">
        <v>0</v>
      </c>
      <c r="K1066" s="31">
        <f t="shared" si="193"/>
        <v>0</v>
      </c>
      <c r="L1066" s="50">
        <v>0</v>
      </c>
      <c r="M1066" s="31">
        <f t="shared" si="194"/>
        <v>0</v>
      </c>
      <c r="N1066" s="50">
        <v>0</v>
      </c>
      <c r="O1066" s="31">
        <f t="shared" si="195"/>
        <v>0</v>
      </c>
      <c r="P1066" s="51" t="s">
        <v>845</v>
      </c>
      <c r="Q1066" s="51"/>
    </row>
    <row r="1067" spans="1:17" x14ac:dyDescent="0.25">
      <c r="A1067" s="10">
        <v>44463</v>
      </c>
      <c r="B1067" s="594">
        <v>0</v>
      </c>
      <c r="C1067" s="31">
        <f t="shared" si="189"/>
        <v>58298534.759999998</v>
      </c>
      <c r="D1067" s="50">
        <v>322.59999999962702</v>
      </c>
      <c r="E1067" s="31">
        <f t="shared" si="190"/>
        <v>322.60000000000002</v>
      </c>
      <c r="F1067" s="900">
        <v>0</v>
      </c>
      <c r="G1067" s="899">
        <f t="shared" si="191"/>
        <v>47746.78</v>
      </c>
      <c r="H1067" s="50">
        <v>0</v>
      </c>
      <c r="I1067" s="31">
        <f t="shared" si="192"/>
        <v>0</v>
      </c>
      <c r="J1067" s="50">
        <v>0</v>
      </c>
      <c r="K1067" s="31">
        <f t="shared" si="193"/>
        <v>0</v>
      </c>
      <c r="L1067" s="50">
        <v>0</v>
      </c>
      <c r="M1067" s="31">
        <f t="shared" si="194"/>
        <v>0</v>
      </c>
      <c r="N1067" s="50">
        <v>0</v>
      </c>
      <c r="O1067" s="31">
        <f t="shared" si="195"/>
        <v>0</v>
      </c>
      <c r="P1067" s="51" t="s">
        <v>2820</v>
      </c>
      <c r="Q1067" s="51"/>
    </row>
    <row r="1068" spans="1:17" x14ac:dyDescent="0.25">
      <c r="A1068" s="10">
        <v>44463</v>
      </c>
      <c r="B1068" s="594">
        <v>0</v>
      </c>
      <c r="C1068" s="31">
        <f t="shared" si="189"/>
        <v>58298534.759999998</v>
      </c>
      <c r="D1068" s="50">
        <v>1500000</v>
      </c>
      <c r="E1068" s="31">
        <f t="shared" si="190"/>
        <v>1500322.6</v>
      </c>
      <c r="F1068" s="900">
        <v>0</v>
      </c>
      <c r="G1068" s="899">
        <f t="shared" si="191"/>
        <v>47746.78</v>
      </c>
      <c r="H1068" s="50">
        <v>0</v>
      </c>
      <c r="I1068" s="31">
        <f t="shared" si="192"/>
        <v>0</v>
      </c>
      <c r="J1068" s="50">
        <v>0</v>
      </c>
      <c r="K1068" s="31">
        <f t="shared" si="193"/>
        <v>0</v>
      </c>
      <c r="L1068" s="50">
        <v>0</v>
      </c>
      <c r="M1068" s="31">
        <f t="shared" si="194"/>
        <v>0</v>
      </c>
      <c r="N1068" s="50">
        <v>0</v>
      </c>
      <c r="O1068" s="31">
        <f t="shared" si="195"/>
        <v>0</v>
      </c>
      <c r="P1068" s="51" t="s">
        <v>3582</v>
      </c>
      <c r="Q1068" s="51"/>
    </row>
    <row r="1069" spans="1:17" x14ac:dyDescent="0.25">
      <c r="A1069" s="10">
        <v>44463</v>
      </c>
      <c r="B1069" s="594">
        <v>1200000</v>
      </c>
      <c r="C1069" s="31">
        <f t="shared" si="189"/>
        <v>59498534.759999998</v>
      </c>
      <c r="D1069" s="50">
        <v>-1200784.8</v>
      </c>
      <c r="E1069" s="31">
        <f t="shared" si="190"/>
        <v>299537.8</v>
      </c>
      <c r="F1069" s="900">
        <v>0</v>
      </c>
      <c r="G1069" s="899">
        <f t="shared" si="191"/>
        <v>47746.78</v>
      </c>
      <c r="H1069" s="50">
        <v>0</v>
      </c>
      <c r="I1069" s="31">
        <f t="shared" si="192"/>
        <v>0</v>
      </c>
      <c r="J1069" s="50">
        <v>0</v>
      </c>
      <c r="K1069" s="31">
        <f t="shared" si="193"/>
        <v>0</v>
      </c>
      <c r="L1069" s="50">
        <v>0</v>
      </c>
      <c r="M1069" s="31">
        <f t="shared" si="194"/>
        <v>0</v>
      </c>
      <c r="N1069" s="50">
        <v>0</v>
      </c>
      <c r="O1069" s="31">
        <f t="shared" si="195"/>
        <v>0</v>
      </c>
      <c r="P1069" s="51" t="s">
        <v>880</v>
      </c>
      <c r="Q1069" s="51"/>
    </row>
    <row r="1070" spans="1:17" x14ac:dyDescent="0.25">
      <c r="A1070" s="10">
        <v>44463</v>
      </c>
      <c r="B1070" s="594">
        <v>0</v>
      </c>
      <c r="C1070" s="31">
        <f t="shared" si="189"/>
        <v>59498534.759999998</v>
      </c>
      <c r="D1070" s="50">
        <f>-E1069</f>
        <v>-299537.8</v>
      </c>
      <c r="E1070" s="31">
        <f t="shared" si="190"/>
        <v>0</v>
      </c>
      <c r="F1070" s="900">
        <v>0</v>
      </c>
      <c r="G1070" s="899">
        <f t="shared" si="191"/>
        <v>47746.78</v>
      </c>
      <c r="H1070" s="50">
        <v>0</v>
      </c>
      <c r="I1070" s="31">
        <f t="shared" si="192"/>
        <v>0</v>
      </c>
      <c r="J1070" s="50">
        <v>0</v>
      </c>
      <c r="K1070" s="31">
        <f t="shared" si="193"/>
        <v>0</v>
      </c>
      <c r="L1070" s="50">
        <v>0</v>
      </c>
      <c r="M1070" s="31">
        <f t="shared" si="194"/>
        <v>0</v>
      </c>
      <c r="N1070" s="50">
        <v>0</v>
      </c>
      <c r="O1070" s="31">
        <f t="shared" si="195"/>
        <v>0</v>
      </c>
      <c r="P1070" s="51" t="s">
        <v>845</v>
      </c>
      <c r="Q1070" s="51"/>
    </row>
    <row r="1071" spans="1:17" x14ac:dyDescent="0.25">
      <c r="A1071" s="10">
        <v>44466</v>
      </c>
      <c r="B1071" s="594">
        <v>1000000</v>
      </c>
      <c r="C1071" s="31">
        <f t="shared" si="189"/>
        <v>60498534.759999998</v>
      </c>
      <c r="D1071" s="50">
        <v>0</v>
      </c>
      <c r="E1071" s="31">
        <f t="shared" si="190"/>
        <v>0</v>
      </c>
      <c r="F1071" s="900">
        <v>-1000000</v>
      </c>
      <c r="G1071" s="899">
        <f t="shared" si="191"/>
        <v>-952253.22</v>
      </c>
      <c r="H1071" s="50">
        <v>0</v>
      </c>
      <c r="I1071" s="31">
        <f t="shared" si="192"/>
        <v>0</v>
      </c>
      <c r="J1071" s="50">
        <v>0</v>
      </c>
      <c r="K1071" s="31">
        <f t="shared" si="193"/>
        <v>0</v>
      </c>
      <c r="L1071" s="50">
        <v>0</v>
      </c>
      <c r="M1071" s="31">
        <f t="shared" si="194"/>
        <v>0</v>
      </c>
      <c r="N1071" s="50">
        <v>0</v>
      </c>
      <c r="O1071" s="31">
        <f t="shared" si="195"/>
        <v>0</v>
      </c>
      <c r="P1071" s="51" t="s">
        <v>3133</v>
      </c>
      <c r="Q1071" s="51"/>
    </row>
    <row r="1072" spans="1:17" x14ac:dyDescent="0.25">
      <c r="A1072" s="10">
        <v>44466</v>
      </c>
      <c r="B1072" s="594">
        <v>0</v>
      </c>
      <c r="C1072" s="31">
        <f t="shared" si="189"/>
        <v>60498534.759999998</v>
      </c>
      <c r="D1072" s="50">
        <v>0</v>
      </c>
      <c r="E1072" s="31">
        <f t="shared" si="190"/>
        <v>0</v>
      </c>
      <c r="F1072" s="900">
        <v>1000000</v>
      </c>
      <c r="G1072" s="899">
        <f t="shared" si="191"/>
        <v>47746.78</v>
      </c>
      <c r="H1072" s="50">
        <v>0</v>
      </c>
      <c r="I1072" s="31">
        <f t="shared" si="192"/>
        <v>0</v>
      </c>
      <c r="J1072" s="50">
        <v>0</v>
      </c>
      <c r="K1072" s="31">
        <f t="shared" si="193"/>
        <v>0</v>
      </c>
      <c r="L1072" s="50">
        <v>0</v>
      </c>
      <c r="M1072" s="31">
        <f t="shared" si="194"/>
        <v>0</v>
      </c>
      <c r="N1072" s="50">
        <v>0</v>
      </c>
      <c r="O1072" s="31">
        <f t="shared" si="195"/>
        <v>0</v>
      </c>
      <c r="P1072" s="51" t="s">
        <v>3435</v>
      </c>
      <c r="Q1072" s="51"/>
    </row>
    <row r="1073" spans="1:17" x14ac:dyDescent="0.25">
      <c r="A1073" s="10">
        <v>44468</v>
      </c>
      <c r="B1073" s="594">
        <v>500000</v>
      </c>
      <c r="C1073" s="31">
        <f t="shared" si="189"/>
        <v>60998534.759999998</v>
      </c>
      <c r="D1073" s="50">
        <v>0</v>
      </c>
      <c r="E1073" s="31">
        <f t="shared" si="190"/>
        <v>0</v>
      </c>
      <c r="F1073" s="900">
        <v>-500000</v>
      </c>
      <c r="G1073" s="899">
        <f t="shared" si="191"/>
        <v>-452253.22</v>
      </c>
      <c r="H1073" s="50">
        <v>0</v>
      </c>
      <c r="I1073" s="31">
        <f t="shared" si="192"/>
        <v>0</v>
      </c>
      <c r="J1073" s="50">
        <v>0</v>
      </c>
      <c r="K1073" s="31">
        <f t="shared" si="193"/>
        <v>0</v>
      </c>
      <c r="L1073" s="50">
        <v>0</v>
      </c>
      <c r="M1073" s="31">
        <f t="shared" si="194"/>
        <v>0</v>
      </c>
      <c r="N1073" s="50">
        <v>0</v>
      </c>
      <c r="O1073" s="31">
        <f t="shared" si="195"/>
        <v>0</v>
      </c>
      <c r="P1073" s="51" t="s">
        <v>1012</v>
      </c>
      <c r="Q1073" s="51"/>
    </row>
    <row r="1074" spans="1:17" x14ac:dyDescent="0.25">
      <c r="A1074" s="10">
        <v>44468</v>
      </c>
      <c r="B1074" s="594">
        <v>0</v>
      </c>
      <c r="C1074" s="31">
        <f t="shared" si="189"/>
        <v>60998534.759999998</v>
      </c>
      <c r="D1074" s="50">
        <v>0</v>
      </c>
      <c r="E1074" s="31">
        <f t="shared" si="190"/>
        <v>0</v>
      </c>
      <c r="F1074" s="900">
        <v>500000</v>
      </c>
      <c r="G1074" s="899">
        <f t="shared" si="191"/>
        <v>47746.78</v>
      </c>
      <c r="H1074" s="50">
        <v>0</v>
      </c>
      <c r="I1074" s="31">
        <f t="shared" si="192"/>
        <v>0</v>
      </c>
      <c r="J1074" s="50">
        <v>0</v>
      </c>
      <c r="K1074" s="31">
        <f t="shared" si="193"/>
        <v>0</v>
      </c>
      <c r="L1074" s="50">
        <v>0</v>
      </c>
      <c r="M1074" s="31">
        <f t="shared" si="194"/>
        <v>0</v>
      </c>
      <c r="N1074" s="50">
        <v>0</v>
      </c>
      <c r="O1074" s="31">
        <f t="shared" si="195"/>
        <v>0</v>
      </c>
      <c r="P1074" s="51" t="s">
        <v>3435</v>
      </c>
      <c r="Q1074" s="51"/>
    </row>
    <row r="1075" spans="1:17" x14ac:dyDescent="0.25">
      <c r="A1075" s="10">
        <v>44469</v>
      </c>
      <c r="B1075" s="594">
        <v>0</v>
      </c>
      <c r="C1075" s="31">
        <f t="shared" si="189"/>
        <v>60998534.759999998</v>
      </c>
      <c r="D1075" s="50">
        <v>0</v>
      </c>
      <c r="E1075" s="31">
        <f t="shared" si="190"/>
        <v>0</v>
      </c>
      <c r="F1075" s="1109">
        <v>28.88</v>
      </c>
      <c r="G1075" s="899">
        <f t="shared" si="191"/>
        <v>47775.66</v>
      </c>
      <c r="H1075" s="50">
        <v>0</v>
      </c>
      <c r="I1075" s="31">
        <f t="shared" si="192"/>
        <v>0</v>
      </c>
      <c r="J1075" s="50">
        <v>0</v>
      </c>
      <c r="K1075" s="31">
        <f t="shared" si="193"/>
        <v>0</v>
      </c>
      <c r="L1075" s="50">
        <v>0</v>
      </c>
      <c r="M1075" s="31">
        <f t="shared" si="194"/>
        <v>0</v>
      </c>
      <c r="N1075" s="50">
        <v>0</v>
      </c>
      <c r="O1075" s="31">
        <f t="shared" si="195"/>
        <v>0</v>
      </c>
      <c r="P1075" s="1110" t="s">
        <v>3595</v>
      </c>
      <c r="Q1075" s="51"/>
    </row>
    <row r="1076" spans="1:17" x14ac:dyDescent="0.25">
      <c r="A1076" s="10">
        <v>44470</v>
      </c>
      <c r="B1076" s="594">
        <v>0</v>
      </c>
      <c r="C1076" s="31">
        <f t="shared" si="189"/>
        <v>60998534.759999998</v>
      </c>
      <c r="D1076" s="50">
        <v>1498871.25</v>
      </c>
      <c r="E1076" s="31">
        <f t="shared" si="190"/>
        <v>1498871.25</v>
      </c>
      <c r="F1076" s="900">
        <v>0</v>
      </c>
      <c r="G1076" s="899">
        <f t="shared" si="191"/>
        <v>47775.66</v>
      </c>
      <c r="H1076" s="50">
        <v>0</v>
      </c>
      <c r="I1076" s="31">
        <f t="shared" si="192"/>
        <v>0</v>
      </c>
      <c r="J1076" s="50">
        <v>0</v>
      </c>
      <c r="K1076" s="31">
        <f t="shared" si="193"/>
        <v>0</v>
      </c>
      <c r="L1076" s="50">
        <v>0</v>
      </c>
      <c r="M1076" s="31">
        <f t="shared" si="194"/>
        <v>0</v>
      </c>
      <c r="N1076" s="50">
        <v>0</v>
      </c>
      <c r="O1076" s="31">
        <f t="shared" si="195"/>
        <v>0</v>
      </c>
      <c r="P1076" s="51" t="s">
        <v>3597</v>
      </c>
      <c r="Q1076" s="51"/>
    </row>
    <row r="1077" spans="1:17" x14ac:dyDescent="0.25">
      <c r="A1077" s="10">
        <v>44470</v>
      </c>
      <c r="B1077" s="594">
        <v>0</v>
      </c>
      <c r="C1077" s="31">
        <f t="shared" si="189"/>
        <v>60998534.759999998</v>
      </c>
      <c r="D1077" s="50">
        <v>-1500037.92</v>
      </c>
      <c r="E1077" s="31">
        <f t="shared" si="190"/>
        <v>-1166.67</v>
      </c>
      <c r="F1077" s="900">
        <v>0</v>
      </c>
      <c r="G1077" s="899">
        <f t="shared" si="191"/>
        <v>47775.66</v>
      </c>
      <c r="H1077" s="50">
        <v>0</v>
      </c>
      <c r="I1077" s="31">
        <f t="shared" si="192"/>
        <v>0</v>
      </c>
      <c r="J1077" s="50">
        <v>0</v>
      </c>
      <c r="K1077" s="31">
        <f t="shared" si="193"/>
        <v>0</v>
      </c>
      <c r="L1077" s="50">
        <v>0</v>
      </c>
      <c r="M1077" s="31">
        <f t="shared" si="194"/>
        <v>0</v>
      </c>
      <c r="N1077" s="50">
        <v>0</v>
      </c>
      <c r="O1077" s="31">
        <f t="shared" si="195"/>
        <v>0</v>
      </c>
      <c r="P1077" s="51" t="s">
        <v>3598</v>
      </c>
      <c r="Q1077" s="51"/>
    </row>
    <row r="1078" spans="1:17" x14ac:dyDescent="0.25">
      <c r="A1078" s="10">
        <v>44470</v>
      </c>
      <c r="B1078" s="594">
        <v>0</v>
      </c>
      <c r="C1078" s="31">
        <f t="shared" si="189"/>
        <v>60998534.759999998</v>
      </c>
      <c r="D1078" s="50">
        <v>-625.91999999999996</v>
      </c>
      <c r="E1078" s="31">
        <f t="shared" si="190"/>
        <v>-1792.59</v>
      </c>
      <c r="F1078" s="900">
        <v>0</v>
      </c>
      <c r="G1078" s="899">
        <f t="shared" si="191"/>
        <v>47775.66</v>
      </c>
      <c r="H1078" s="50">
        <v>0</v>
      </c>
      <c r="I1078" s="31">
        <f t="shared" si="192"/>
        <v>0</v>
      </c>
      <c r="J1078" s="50">
        <v>0</v>
      </c>
      <c r="K1078" s="31">
        <f t="shared" si="193"/>
        <v>0</v>
      </c>
      <c r="L1078" s="50">
        <v>0</v>
      </c>
      <c r="M1078" s="31">
        <f t="shared" si="194"/>
        <v>0</v>
      </c>
      <c r="N1078" s="50">
        <v>0</v>
      </c>
      <c r="O1078" s="31">
        <f t="shared" si="195"/>
        <v>0</v>
      </c>
      <c r="P1078" s="51" t="s">
        <v>3547</v>
      </c>
      <c r="Q1078" s="51"/>
    </row>
    <row r="1079" spans="1:17" x14ac:dyDescent="0.25">
      <c r="A1079" s="10">
        <v>44470</v>
      </c>
      <c r="B1079" s="594">
        <v>0</v>
      </c>
      <c r="C1079" s="31">
        <f t="shared" si="189"/>
        <v>60998534.759999998</v>
      </c>
      <c r="D1079" s="50">
        <v>937281.02</v>
      </c>
      <c r="E1079" s="31">
        <f t="shared" si="190"/>
        <v>935488.43</v>
      </c>
      <c r="F1079" s="900">
        <v>0</v>
      </c>
      <c r="G1079" s="899">
        <f t="shared" si="191"/>
        <v>47775.66</v>
      </c>
      <c r="H1079" s="50">
        <v>0</v>
      </c>
      <c r="I1079" s="31">
        <f t="shared" si="192"/>
        <v>0</v>
      </c>
      <c r="J1079" s="50">
        <v>0</v>
      </c>
      <c r="K1079" s="31">
        <f t="shared" si="193"/>
        <v>0</v>
      </c>
      <c r="L1079" s="50">
        <v>0</v>
      </c>
      <c r="M1079" s="31">
        <f t="shared" si="194"/>
        <v>0</v>
      </c>
      <c r="N1079" s="50">
        <v>0</v>
      </c>
      <c r="O1079" s="31">
        <f t="shared" si="195"/>
        <v>0</v>
      </c>
      <c r="P1079" s="51" t="s">
        <v>845</v>
      </c>
      <c r="Q1079" s="51"/>
    </row>
    <row r="1080" spans="1:17" x14ac:dyDescent="0.25">
      <c r="A1080" s="10">
        <v>44473</v>
      </c>
      <c r="B1080" s="594">
        <v>0</v>
      </c>
      <c r="C1080" s="31">
        <f t="shared" si="189"/>
        <v>60998534.759999998</v>
      </c>
      <c r="D1080" s="50">
        <v>171839.12</v>
      </c>
      <c r="E1080" s="31">
        <f t="shared" si="190"/>
        <v>1107327.55</v>
      </c>
      <c r="F1080" s="900">
        <v>0</v>
      </c>
      <c r="G1080" s="899">
        <f t="shared" si="191"/>
        <v>47775.66</v>
      </c>
      <c r="H1080" s="50">
        <v>0</v>
      </c>
      <c r="I1080" s="31">
        <f t="shared" si="192"/>
        <v>0</v>
      </c>
      <c r="J1080" s="50">
        <v>0</v>
      </c>
      <c r="K1080" s="31">
        <f t="shared" si="193"/>
        <v>0</v>
      </c>
      <c r="L1080" s="50">
        <v>0</v>
      </c>
      <c r="M1080" s="31">
        <f t="shared" si="194"/>
        <v>0</v>
      </c>
      <c r="N1080" s="50">
        <v>0</v>
      </c>
      <c r="O1080" s="31">
        <f t="shared" si="195"/>
        <v>0</v>
      </c>
      <c r="P1080" s="51" t="s">
        <v>3602</v>
      </c>
      <c r="Q1080" s="51"/>
    </row>
    <row r="1081" spans="1:17" x14ac:dyDescent="0.25">
      <c r="A1081" s="10">
        <v>44473</v>
      </c>
      <c r="B1081" s="594">
        <v>0</v>
      </c>
      <c r="C1081" s="31">
        <f t="shared" si="189"/>
        <v>60998534.759999998</v>
      </c>
      <c r="D1081" s="50">
        <f>-E1080</f>
        <v>-1107327.55</v>
      </c>
      <c r="E1081" s="31">
        <f t="shared" si="190"/>
        <v>0</v>
      </c>
      <c r="F1081" s="900">
        <v>0</v>
      </c>
      <c r="G1081" s="899">
        <f t="shared" si="191"/>
        <v>47775.66</v>
      </c>
      <c r="H1081" s="50">
        <v>0</v>
      </c>
      <c r="I1081" s="31">
        <f t="shared" si="192"/>
        <v>0</v>
      </c>
      <c r="J1081" s="50">
        <v>0</v>
      </c>
      <c r="K1081" s="31">
        <f t="shared" si="193"/>
        <v>0</v>
      </c>
      <c r="L1081" s="50">
        <v>0</v>
      </c>
      <c r="M1081" s="31">
        <f t="shared" si="194"/>
        <v>0</v>
      </c>
      <c r="N1081" s="50">
        <v>0</v>
      </c>
      <c r="O1081" s="31">
        <f t="shared" si="195"/>
        <v>0</v>
      </c>
      <c r="P1081" s="51" t="s">
        <v>845</v>
      </c>
      <c r="Q1081" s="51"/>
    </row>
    <row r="1082" spans="1:17" x14ac:dyDescent="0.25">
      <c r="A1082" s="10">
        <v>44473</v>
      </c>
      <c r="B1082" s="594">
        <v>0</v>
      </c>
      <c r="C1082" s="31">
        <f t="shared" si="189"/>
        <v>60998534.759999998</v>
      </c>
      <c r="D1082" s="50">
        <v>26.96</v>
      </c>
      <c r="E1082" s="31">
        <f t="shared" si="190"/>
        <v>26.96</v>
      </c>
      <c r="F1082" s="900">
        <v>0</v>
      </c>
      <c r="G1082" s="899">
        <f t="shared" si="191"/>
        <v>47775.66</v>
      </c>
      <c r="H1082" s="50">
        <v>1.5</v>
      </c>
      <c r="I1082" s="31">
        <f t="shared" si="192"/>
        <v>1.5</v>
      </c>
      <c r="J1082" s="50">
        <v>0</v>
      </c>
      <c r="K1082" s="31">
        <f t="shared" si="193"/>
        <v>0</v>
      </c>
      <c r="L1082" s="50">
        <v>0</v>
      </c>
      <c r="M1082" s="31">
        <f t="shared" si="194"/>
        <v>0</v>
      </c>
      <c r="N1082" s="50">
        <v>0</v>
      </c>
      <c r="O1082" s="31">
        <f t="shared" si="195"/>
        <v>0</v>
      </c>
      <c r="P1082" s="51" t="s">
        <v>3603</v>
      </c>
      <c r="Q1082" s="51"/>
    </row>
    <row r="1083" spans="1:17" x14ac:dyDescent="0.25">
      <c r="A1083" s="10">
        <v>44473</v>
      </c>
      <c r="B1083" s="594">
        <v>0</v>
      </c>
      <c r="C1083" s="31">
        <f t="shared" si="189"/>
        <v>60998534.759999998</v>
      </c>
      <c r="D1083" s="50">
        <f>-E1082</f>
        <v>-26.96</v>
      </c>
      <c r="E1083" s="31">
        <f t="shared" si="190"/>
        <v>0</v>
      </c>
      <c r="F1083" s="900">
        <v>0</v>
      </c>
      <c r="G1083" s="899">
        <f t="shared" si="191"/>
        <v>47775.66</v>
      </c>
      <c r="H1083" s="50">
        <f>-I1082</f>
        <v>-1.5</v>
      </c>
      <c r="I1083" s="31">
        <f t="shared" si="192"/>
        <v>0</v>
      </c>
      <c r="J1083" s="50">
        <v>0</v>
      </c>
      <c r="K1083" s="31">
        <f t="shared" si="193"/>
        <v>0</v>
      </c>
      <c r="L1083" s="50">
        <v>0</v>
      </c>
      <c r="M1083" s="31">
        <f t="shared" si="194"/>
        <v>0</v>
      </c>
      <c r="N1083" s="50">
        <v>0</v>
      </c>
      <c r="O1083" s="31">
        <f t="shared" si="195"/>
        <v>0</v>
      </c>
      <c r="P1083" s="51" t="s">
        <v>845</v>
      </c>
      <c r="Q1083" s="51"/>
    </row>
    <row r="1084" spans="1:17" x14ac:dyDescent="0.25">
      <c r="A1084" s="10">
        <v>44474</v>
      </c>
      <c r="B1084" s="594">
        <v>-1049084</v>
      </c>
      <c r="C1084" s="31">
        <f t="shared" si="189"/>
        <v>59949450.759999998</v>
      </c>
      <c r="D1084" s="50">
        <v>959490</v>
      </c>
      <c r="E1084" s="31">
        <f t="shared" si="190"/>
        <v>959490</v>
      </c>
      <c r="F1084" s="900">
        <v>0</v>
      </c>
      <c r="G1084" s="899">
        <f t="shared" si="191"/>
        <v>47775.66</v>
      </c>
      <c r="H1084" s="50">
        <v>0</v>
      </c>
      <c r="I1084" s="31">
        <f t="shared" si="192"/>
        <v>0</v>
      </c>
      <c r="J1084" s="50">
        <v>0</v>
      </c>
      <c r="K1084" s="31">
        <f t="shared" si="193"/>
        <v>0</v>
      </c>
      <c r="L1084" s="50">
        <v>0</v>
      </c>
      <c r="M1084" s="31">
        <f t="shared" si="194"/>
        <v>0</v>
      </c>
      <c r="N1084" s="50">
        <v>0</v>
      </c>
      <c r="O1084" s="31">
        <f t="shared" si="195"/>
        <v>0</v>
      </c>
      <c r="P1084" s="51" t="s">
        <v>880</v>
      </c>
      <c r="Q1084" s="51"/>
    </row>
    <row r="1085" spans="1:17" x14ac:dyDescent="0.25">
      <c r="A1085" s="10">
        <v>44474</v>
      </c>
      <c r="B1085" s="594">
        <v>0</v>
      </c>
      <c r="C1085" s="31">
        <f t="shared" si="189"/>
        <v>59949450.759999998</v>
      </c>
      <c r="D1085" s="50">
        <v>1165.1099999999999</v>
      </c>
      <c r="E1085" s="31">
        <f t="shared" si="190"/>
        <v>960655.11</v>
      </c>
      <c r="F1085" s="900">
        <v>0</v>
      </c>
      <c r="G1085" s="899">
        <f t="shared" si="191"/>
        <v>47775.66</v>
      </c>
      <c r="H1085" s="50">
        <v>0</v>
      </c>
      <c r="I1085" s="31">
        <f t="shared" si="192"/>
        <v>0</v>
      </c>
      <c r="J1085" s="50">
        <v>0</v>
      </c>
      <c r="K1085" s="31">
        <f t="shared" si="193"/>
        <v>0</v>
      </c>
      <c r="L1085" s="50">
        <v>0</v>
      </c>
      <c r="M1085" s="31">
        <f t="shared" si="194"/>
        <v>0</v>
      </c>
      <c r="N1085" s="50">
        <v>0</v>
      </c>
      <c r="O1085" s="31">
        <f t="shared" si="195"/>
        <v>0</v>
      </c>
      <c r="P1085" s="51" t="s">
        <v>845</v>
      </c>
      <c r="Q1085" s="51"/>
    </row>
    <row r="1086" spans="1:17" x14ac:dyDescent="0.25">
      <c r="A1086" s="10">
        <v>44475</v>
      </c>
      <c r="B1086" s="594">
        <v>0</v>
      </c>
      <c r="C1086" s="31">
        <f t="shared" si="189"/>
        <v>59949450.759999998</v>
      </c>
      <c r="D1086" s="50">
        <f>-E1085</f>
        <v>-960655.11</v>
      </c>
      <c r="E1086" s="31">
        <f t="shared" si="190"/>
        <v>0</v>
      </c>
      <c r="F1086" s="900">
        <v>0</v>
      </c>
      <c r="G1086" s="899">
        <f t="shared" si="191"/>
        <v>47775.66</v>
      </c>
      <c r="H1086" s="50">
        <v>0</v>
      </c>
      <c r="I1086" s="31">
        <f t="shared" si="192"/>
        <v>0</v>
      </c>
      <c r="J1086" s="50">
        <v>0</v>
      </c>
      <c r="K1086" s="31">
        <f t="shared" si="193"/>
        <v>0</v>
      </c>
      <c r="L1086" s="50">
        <v>0</v>
      </c>
      <c r="M1086" s="31">
        <f t="shared" si="194"/>
        <v>0</v>
      </c>
      <c r="N1086" s="50">
        <v>0</v>
      </c>
      <c r="O1086" s="31">
        <f t="shared" si="195"/>
        <v>0</v>
      </c>
      <c r="P1086" s="51" t="s">
        <v>845</v>
      </c>
      <c r="Q1086" s="51"/>
    </row>
    <row r="1087" spans="1:17" x14ac:dyDescent="0.25">
      <c r="A1087" s="10">
        <v>44477</v>
      </c>
      <c r="B1087" s="594">
        <v>0</v>
      </c>
      <c r="C1087" s="31">
        <f t="shared" si="189"/>
        <v>59949450.759999998</v>
      </c>
      <c r="D1087" s="50">
        <v>-9880.6628130562603</v>
      </c>
      <c r="E1087" s="31">
        <f t="shared" si="190"/>
        <v>-9880.66</v>
      </c>
      <c r="F1087" s="900">
        <v>0</v>
      </c>
      <c r="G1087" s="899">
        <f t="shared" si="191"/>
        <v>47775.66</v>
      </c>
      <c r="H1087" s="50">
        <v>0</v>
      </c>
      <c r="I1087" s="31">
        <f t="shared" si="192"/>
        <v>0</v>
      </c>
      <c r="J1087" s="50">
        <v>0</v>
      </c>
      <c r="K1087" s="31">
        <f t="shared" si="193"/>
        <v>0</v>
      </c>
      <c r="L1087" s="50">
        <v>0</v>
      </c>
      <c r="M1087" s="31">
        <f t="shared" si="194"/>
        <v>0</v>
      </c>
      <c r="N1087" s="50">
        <v>0</v>
      </c>
      <c r="O1087" s="31">
        <f t="shared" si="195"/>
        <v>0</v>
      </c>
      <c r="P1087" s="51" t="s">
        <v>2844</v>
      </c>
      <c r="Q1087" s="51"/>
    </row>
    <row r="1088" spans="1:17" x14ac:dyDescent="0.25">
      <c r="A1088" s="10">
        <v>44477</v>
      </c>
      <c r="B1088" s="594">
        <v>0</v>
      </c>
      <c r="C1088" s="31">
        <f t="shared" si="189"/>
        <v>59949450.759999998</v>
      </c>
      <c r="D1088" s="50">
        <v>2000000</v>
      </c>
      <c r="E1088" s="31">
        <f t="shared" si="190"/>
        <v>1990119.34</v>
      </c>
      <c r="F1088" s="900">
        <v>0</v>
      </c>
      <c r="G1088" s="899">
        <f t="shared" si="191"/>
        <v>47775.66</v>
      </c>
      <c r="H1088" s="50">
        <v>0</v>
      </c>
      <c r="I1088" s="31">
        <f t="shared" si="192"/>
        <v>0</v>
      </c>
      <c r="J1088" s="50">
        <v>0</v>
      </c>
      <c r="K1088" s="31">
        <f t="shared" si="193"/>
        <v>0</v>
      </c>
      <c r="L1088" s="50">
        <v>0</v>
      </c>
      <c r="M1088" s="31">
        <f t="shared" si="194"/>
        <v>0</v>
      </c>
      <c r="N1088" s="50">
        <v>0</v>
      </c>
      <c r="O1088" s="31">
        <f t="shared" si="195"/>
        <v>0</v>
      </c>
      <c r="P1088" s="51" t="s">
        <v>3619</v>
      </c>
      <c r="Q1088" s="51"/>
    </row>
    <row r="1089" spans="1:17" x14ac:dyDescent="0.25">
      <c r="A1089" s="10">
        <v>44477</v>
      </c>
      <c r="B1089" s="594">
        <v>3000000</v>
      </c>
      <c r="C1089" s="31">
        <f t="shared" si="189"/>
        <v>62949450.759999998</v>
      </c>
      <c r="D1089" s="50">
        <v>-3004534.83</v>
      </c>
      <c r="E1089" s="31">
        <f t="shared" si="190"/>
        <v>-1014415.49</v>
      </c>
      <c r="F1089" s="900">
        <v>0</v>
      </c>
      <c r="G1089" s="899">
        <f t="shared" si="191"/>
        <v>47775.66</v>
      </c>
      <c r="H1089" s="50">
        <v>0</v>
      </c>
      <c r="I1089" s="31">
        <f t="shared" si="192"/>
        <v>0</v>
      </c>
      <c r="J1089" s="50">
        <v>0</v>
      </c>
      <c r="K1089" s="31">
        <f t="shared" si="193"/>
        <v>0</v>
      </c>
      <c r="L1089" s="50">
        <v>0</v>
      </c>
      <c r="M1089" s="31">
        <f t="shared" si="194"/>
        <v>0</v>
      </c>
      <c r="N1089" s="50">
        <v>0</v>
      </c>
      <c r="O1089" s="31">
        <f t="shared" si="195"/>
        <v>0</v>
      </c>
      <c r="P1089" s="51" t="s">
        <v>831</v>
      </c>
      <c r="Q1089" s="51"/>
    </row>
    <row r="1090" spans="1:17" x14ac:dyDescent="0.25">
      <c r="A1090" s="10">
        <v>44477</v>
      </c>
      <c r="B1090" s="594">
        <v>0</v>
      </c>
      <c r="C1090" s="31">
        <f t="shared" si="189"/>
        <v>62949450.759999998</v>
      </c>
      <c r="D1090" s="50">
        <v>0.4</v>
      </c>
      <c r="E1090" s="31">
        <f t="shared" si="190"/>
        <v>-1014415.09</v>
      </c>
      <c r="F1090" s="900">
        <v>0</v>
      </c>
      <c r="G1090" s="899">
        <f t="shared" si="191"/>
        <v>47775.66</v>
      </c>
      <c r="H1090" s="50">
        <v>0</v>
      </c>
      <c r="I1090" s="31">
        <f t="shared" si="192"/>
        <v>0</v>
      </c>
      <c r="J1090" s="50">
        <v>0</v>
      </c>
      <c r="K1090" s="31">
        <f t="shared" si="193"/>
        <v>0</v>
      </c>
      <c r="L1090" s="50">
        <v>0</v>
      </c>
      <c r="M1090" s="31">
        <f t="shared" si="194"/>
        <v>0</v>
      </c>
      <c r="N1090" s="50">
        <v>0</v>
      </c>
      <c r="O1090" s="31">
        <f t="shared" si="195"/>
        <v>0</v>
      </c>
      <c r="P1090" s="51" t="s">
        <v>3620</v>
      </c>
      <c r="Q1090" s="51"/>
    </row>
    <row r="1091" spans="1:17" x14ac:dyDescent="0.25">
      <c r="A1091" s="10">
        <v>44477</v>
      </c>
      <c r="B1091" s="594">
        <v>0</v>
      </c>
      <c r="C1091" s="31">
        <f t="shared" si="189"/>
        <v>62949450.759999998</v>
      </c>
      <c r="D1091" s="50">
        <f>-E1090</f>
        <v>1014415.09</v>
      </c>
      <c r="E1091" s="31">
        <f t="shared" si="190"/>
        <v>0</v>
      </c>
      <c r="F1091" s="900">
        <v>0</v>
      </c>
      <c r="G1091" s="899">
        <f t="shared" si="191"/>
        <v>47775.66</v>
      </c>
      <c r="H1091" s="50">
        <v>0</v>
      </c>
      <c r="I1091" s="31">
        <f t="shared" si="192"/>
        <v>0</v>
      </c>
      <c r="J1091" s="50">
        <v>0</v>
      </c>
      <c r="K1091" s="31">
        <f t="shared" si="193"/>
        <v>0</v>
      </c>
      <c r="L1091" s="50">
        <v>0</v>
      </c>
      <c r="M1091" s="31">
        <f t="shared" si="194"/>
        <v>0</v>
      </c>
      <c r="N1091" s="50">
        <v>0</v>
      </c>
      <c r="O1091" s="31">
        <f t="shared" si="195"/>
        <v>0</v>
      </c>
      <c r="P1091" s="51" t="s">
        <v>845</v>
      </c>
      <c r="Q1091" s="51"/>
    </row>
    <row r="1092" spans="1:17" x14ac:dyDescent="0.25">
      <c r="A1092" s="10">
        <v>44481</v>
      </c>
      <c r="B1092" s="594">
        <v>4000000</v>
      </c>
      <c r="C1092" s="31">
        <f t="shared" si="189"/>
        <v>66949450.759999998</v>
      </c>
      <c r="D1092" s="50">
        <v>0</v>
      </c>
      <c r="E1092" s="31">
        <f t="shared" si="190"/>
        <v>0</v>
      </c>
      <c r="F1092" s="900">
        <v>0</v>
      </c>
      <c r="G1092" s="899">
        <f t="shared" si="191"/>
        <v>47775.66</v>
      </c>
      <c r="H1092" s="50">
        <v>0</v>
      </c>
      <c r="I1092" s="31">
        <f t="shared" si="192"/>
        <v>0</v>
      </c>
      <c r="J1092" s="50">
        <v>0</v>
      </c>
      <c r="K1092" s="31">
        <f t="shared" si="193"/>
        <v>0</v>
      </c>
      <c r="L1092" s="50">
        <v>0</v>
      </c>
      <c r="M1092" s="31">
        <f t="shared" si="194"/>
        <v>0</v>
      </c>
      <c r="N1092" s="50">
        <v>0</v>
      </c>
      <c r="O1092" s="31">
        <f t="shared" si="195"/>
        <v>0</v>
      </c>
      <c r="P1092" s="51" t="s">
        <v>1697</v>
      </c>
      <c r="Q1092" s="51"/>
    </row>
    <row r="1093" spans="1:17" x14ac:dyDescent="0.25">
      <c r="A1093" s="10">
        <v>44481</v>
      </c>
      <c r="B1093" s="594">
        <v>0</v>
      </c>
      <c r="C1093" s="31">
        <f t="shared" si="189"/>
        <v>66949450.759999998</v>
      </c>
      <c r="D1093" s="50">
        <v>4000000</v>
      </c>
      <c r="E1093" s="31">
        <f t="shared" si="190"/>
        <v>4000000</v>
      </c>
      <c r="F1093" s="900">
        <v>0</v>
      </c>
      <c r="G1093" s="899">
        <f t="shared" si="191"/>
        <v>47775.66</v>
      </c>
      <c r="H1093" s="50">
        <v>0</v>
      </c>
      <c r="I1093" s="31">
        <f t="shared" si="192"/>
        <v>0</v>
      </c>
      <c r="J1093" s="50">
        <v>0</v>
      </c>
      <c r="K1093" s="31">
        <f t="shared" si="193"/>
        <v>0</v>
      </c>
      <c r="L1093" s="50">
        <v>0</v>
      </c>
      <c r="M1093" s="31">
        <f t="shared" si="194"/>
        <v>0</v>
      </c>
      <c r="N1093" s="50">
        <v>0</v>
      </c>
      <c r="O1093" s="31">
        <f t="shared" si="195"/>
        <v>0</v>
      </c>
      <c r="P1093" s="51" t="s">
        <v>2071</v>
      </c>
      <c r="Q1093" s="51"/>
    </row>
    <row r="1094" spans="1:17" x14ac:dyDescent="0.25">
      <c r="A1094" s="10">
        <v>44481</v>
      </c>
      <c r="B1094" s="594">
        <v>0</v>
      </c>
      <c r="C1094" s="31">
        <f t="shared" si="189"/>
        <v>66949450.759999998</v>
      </c>
      <c r="D1094" s="50">
        <v>-7173</v>
      </c>
      <c r="E1094" s="31">
        <f t="shared" si="190"/>
        <v>3992827</v>
      </c>
      <c r="F1094" s="900">
        <v>0</v>
      </c>
      <c r="G1094" s="899">
        <f t="shared" si="191"/>
        <v>47775.66</v>
      </c>
      <c r="H1094" s="50">
        <v>0</v>
      </c>
      <c r="I1094" s="31">
        <f t="shared" si="192"/>
        <v>0</v>
      </c>
      <c r="J1094" s="50">
        <v>0</v>
      </c>
      <c r="K1094" s="31">
        <f t="shared" si="193"/>
        <v>0</v>
      </c>
      <c r="L1094" s="50">
        <v>0</v>
      </c>
      <c r="M1094" s="31">
        <f t="shared" si="194"/>
        <v>0</v>
      </c>
      <c r="N1094" s="50">
        <v>0</v>
      </c>
      <c r="O1094" s="31">
        <f t="shared" si="195"/>
        <v>0</v>
      </c>
      <c r="P1094" s="51" t="s">
        <v>3624</v>
      </c>
      <c r="Q1094" s="51"/>
    </row>
    <row r="1095" spans="1:17" x14ac:dyDescent="0.25">
      <c r="A1095" s="10">
        <v>44481</v>
      </c>
      <c r="B1095" s="594">
        <v>0</v>
      </c>
      <c r="C1095" s="31">
        <f t="shared" si="189"/>
        <v>66949450.759999998</v>
      </c>
      <c r="D1095" s="50">
        <f>-E1094</f>
        <v>-3992827</v>
      </c>
      <c r="E1095" s="31">
        <f t="shared" si="190"/>
        <v>0</v>
      </c>
      <c r="F1095" s="900">
        <v>0</v>
      </c>
      <c r="G1095" s="899">
        <f t="shared" si="191"/>
        <v>47775.66</v>
      </c>
      <c r="H1095" s="50">
        <v>0</v>
      </c>
      <c r="I1095" s="31">
        <f t="shared" si="192"/>
        <v>0</v>
      </c>
      <c r="J1095" s="50">
        <v>0</v>
      </c>
      <c r="K1095" s="31">
        <f t="shared" si="193"/>
        <v>0</v>
      </c>
      <c r="L1095" s="50">
        <v>0</v>
      </c>
      <c r="M1095" s="31">
        <f t="shared" si="194"/>
        <v>0</v>
      </c>
      <c r="N1095" s="50">
        <v>0</v>
      </c>
      <c r="O1095" s="31">
        <f t="shared" si="195"/>
        <v>0</v>
      </c>
      <c r="P1095" s="51" t="s">
        <v>845</v>
      </c>
      <c r="Q1095" s="51"/>
    </row>
    <row r="1096" spans="1:17" x14ac:dyDescent="0.25">
      <c r="A1096" s="10">
        <v>44481</v>
      </c>
      <c r="B1096" s="594">
        <v>0</v>
      </c>
      <c r="C1096" s="31">
        <f t="shared" si="189"/>
        <v>66949450.759999998</v>
      </c>
      <c r="D1096" s="50">
        <v>-4000000</v>
      </c>
      <c r="E1096" s="31">
        <f t="shared" si="190"/>
        <v>-4000000</v>
      </c>
      <c r="F1096" s="900">
        <v>0</v>
      </c>
      <c r="G1096" s="899">
        <f t="shared" si="191"/>
        <v>47775.66</v>
      </c>
      <c r="H1096" s="50">
        <v>0</v>
      </c>
      <c r="I1096" s="31">
        <f t="shared" si="192"/>
        <v>0</v>
      </c>
      <c r="J1096" s="50">
        <v>0</v>
      </c>
      <c r="K1096" s="31">
        <f t="shared" si="193"/>
        <v>0</v>
      </c>
      <c r="L1096" s="50">
        <v>0</v>
      </c>
      <c r="M1096" s="31">
        <f t="shared" si="194"/>
        <v>0</v>
      </c>
      <c r="N1096" s="50">
        <v>0</v>
      </c>
      <c r="O1096" s="31">
        <f t="shared" si="195"/>
        <v>0</v>
      </c>
      <c r="P1096" s="51" t="s">
        <v>3625</v>
      </c>
      <c r="Q1096" s="51"/>
    </row>
    <row r="1097" spans="1:17" x14ac:dyDescent="0.25">
      <c r="A1097" s="10">
        <v>44482</v>
      </c>
      <c r="B1097" s="594">
        <v>0</v>
      </c>
      <c r="C1097" s="31">
        <f t="shared" si="189"/>
        <v>66949450.759999998</v>
      </c>
      <c r="D1097" s="50">
        <v>4000000</v>
      </c>
      <c r="E1097" s="31">
        <f t="shared" si="190"/>
        <v>0</v>
      </c>
      <c r="F1097" s="900">
        <v>0</v>
      </c>
      <c r="G1097" s="899">
        <f t="shared" si="191"/>
        <v>47775.66</v>
      </c>
      <c r="H1097" s="50">
        <v>0</v>
      </c>
      <c r="I1097" s="31">
        <f t="shared" si="192"/>
        <v>0</v>
      </c>
      <c r="J1097" s="50">
        <v>0</v>
      </c>
      <c r="K1097" s="31">
        <f t="shared" si="193"/>
        <v>0</v>
      </c>
      <c r="L1097" s="50">
        <v>0</v>
      </c>
      <c r="M1097" s="31">
        <f t="shared" si="194"/>
        <v>0</v>
      </c>
      <c r="N1097" s="50">
        <v>0</v>
      </c>
      <c r="O1097" s="31">
        <f t="shared" si="195"/>
        <v>0</v>
      </c>
      <c r="P1097" s="51" t="s">
        <v>845</v>
      </c>
      <c r="Q1097" s="51"/>
    </row>
    <row r="1098" spans="1:17" x14ac:dyDescent="0.25">
      <c r="A1098" s="10">
        <v>44483</v>
      </c>
      <c r="B1098" s="594">
        <v>1000000</v>
      </c>
      <c r="C1098" s="31">
        <f t="shared" si="189"/>
        <v>67949450.760000005</v>
      </c>
      <c r="D1098" s="50">
        <v>0</v>
      </c>
      <c r="E1098" s="31">
        <f t="shared" si="190"/>
        <v>0</v>
      </c>
      <c r="F1098" s="900">
        <v>-1000000</v>
      </c>
      <c r="G1098" s="899">
        <f t="shared" si="191"/>
        <v>-952224.34</v>
      </c>
      <c r="H1098" s="50">
        <v>0</v>
      </c>
      <c r="I1098" s="31">
        <f t="shared" si="192"/>
        <v>0</v>
      </c>
      <c r="J1098" s="50">
        <v>0</v>
      </c>
      <c r="K1098" s="31">
        <f t="shared" si="193"/>
        <v>0</v>
      </c>
      <c r="L1098" s="50">
        <v>0</v>
      </c>
      <c r="M1098" s="31">
        <f t="shared" si="194"/>
        <v>0</v>
      </c>
      <c r="N1098" s="50">
        <v>0</v>
      </c>
      <c r="O1098" s="31">
        <f t="shared" si="195"/>
        <v>0</v>
      </c>
      <c r="P1098" s="51" t="s">
        <v>3133</v>
      </c>
      <c r="Q1098" s="51"/>
    </row>
    <row r="1099" spans="1:17" x14ac:dyDescent="0.25">
      <c r="A1099" s="10">
        <v>44483</v>
      </c>
      <c r="B1099" s="594">
        <v>0</v>
      </c>
      <c r="C1099" s="31">
        <f t="shared" si="189"/>
        <v>67949450.760000005</v>
      </c>
      <c r="D1099" s="50">
        <v>0</v>
      </c>
      <c r="E1099" s="31">
        <f t="shared" si="190"/>
        <v>0</v>
      </c>
      <c r="F1099" s="900">
        <v>1000000</v>
      </c>
      <c r="G1099" s="899">
        <f t="shared" si="191"/>
        <v>47775.66</v>
      </c>
      <c r="H1099" s="50">
        <v>0</v>
      </c>
      <c r="I1099" s="31">
        <f t="shared" si="192"/>
        <v>0</v>
      </c>
      <c r="J1099" s="50">
        <v>0</v>
      </c>
      <c r="K1099" s="31">
        <f t="shared" si="193"/>
        <v>0</v>
      </c>
      <c r="L1099" s="50">
        <v>0</v>
      </c>
      <c r="M1099" s="31">
        <f t="shared" si="194"/>
        <v>0</v>
      </c>
      <c r="N1099" s="50">
        <v>0</v>
      </c>
      <c r="O1099" s="31">
        <f t="shared" si="195"/>
        <v>0</v>
      </c>
      <c r="P1099" s="51" t="s">
        <v>3435</v>
      </c>
      <c r="Q1099" s="51"/>
    </row>
    <row r="1100" spans="1:17" x14ac:dyDescent="0.25">
      <c r="A1100" s="10">
        <v>44487</v>
      </c>
      <c r="B1100" s="594">
        <v>0</v>
      </c>
      <c r="C1100" s="31">
        <f t="shared" si="189"/>
        <v>67949450.760000005</v>
      </c>
      <c r="D1100" s="50">
        <v>0</v>
      </c>
      <c r="E1100" s="31">
        <f t="shared" si="190"/>
        <v>0</v>
      </c>
      <c r="F1100" s="900">
        <v>0</v>
      </c>
      <c r="G1100" s="899">
        <f t="shared" si="191"/>
        <v>47775.66</v>
      </c>
      <c r="H1100" s="50">
        <v>-147.19000000014057</v>
      </c>
      <c r="I1100" s="31">
        <f t="shared" si="192"/>
        <v>-147.19</v>
      </c>
      <c r="J1100" s="50">
        <v>0</v>
      </c>
      <c r="K1100" s="31">
        <f t="shared" si="193"/>
        <v>0</v>
      </c>
      <c r="L1100" s="50">
        <v>0</v>
      </c>
      <c r="M1100" s="31">
        <f t="shared" si="194"/>
        <v>0</v>
      </c>
      <c r="N1100" s="50">
        <v>0</v>
      </c>
      <c r="O1100" s="31">
        <f t="shared" si="195"/>
        <v>0</v>
      </c>
      <c r="P1100" s="51" t="s">
        <v>3152</v>
      </c>
      <c r="Q1100" s="51"/>
    </row>
    <row r="1101" spans="1:17" x14ac:dyDescent="0.25">
      <c r="A1101" s="10">
        <v>44487</v>
      </c>
      <c r="B1101" s="594">
        <v>0</v>
      </c>
      <c r="C1101" s="31">
        <f t="shared" si="189"/>
        <v>67949450.760000005</v>
      </c>
      <c r="D1101" s="50">
        <v>0</v>
      </c>
      <c r="E1101" s="31">
        <f t="shared" si="190"/>
        <v>0</v>
      </c>
      <c r="F1101" s="900">
        <v>0</v>
      </c>
      <c r="G1101" s="899">
        <f t="shared" si="191"/>
        <v>47775.66</v>
      </c>
      <c r="H1101" s="50">
        <v>147.190000000141</v>
      </c>
      <c r="I1101" s="31">
        <f t="shared" si="192"/>
        <v>0</v>
      </c>
      <c r="J1101" s="50">
        <v>0</v>
      </c>
      <c r="K1101" s="31">
        <f t="shared" si="193"/>
        <v>0</v>
      </c>
      <c r="L1101" s="50">
        <v>0</v>
      </c>
      <c r="M1101" s="31">
        <f t="shared" si="194"/>
        <v>0</v>
      </c>
      <c r="N1101" s="50">
        <v>0</v>
      </c>
      <c r="O1101" s="31">
        <f t="shared" si="195"/>
        <v>0</v>
      </c>
      <c r="P1101" s="51" t="s">
        <v>845</v>
      </c>
      <c r="Q1101" s="51"/>
    </row>
    <row r="1102" spans="1:17" x14ac:dyDescent="0.25">
      <c r="A1102" s="10">
        <v>44488</v>
      </c>
      <c r="B1102" s="594">
        <v>0</v>
      </c>
      <c r="C1102" s="31">
        <f t="shared" si="189"/>
        <v>67949450.760000005</v>
      </c>
      <c r="D1102" s="50">
        <v>48899.73</v>
      </c>
      <c r="E1102" s="31">
        <f t="shared" si="190"/>
        <v>48899.73</v>
      </c>
      <c r="F1102" s="900">
        <v>-42000</v>
      </c>
      <c r="G1102" s="899">
        <f t="shared" si="191"/>
        <v>5775.66</v>
      </c>
      <c r="H1102" s="50">
        <v>0</v>
      </c>
      <c r="I1102" s="31">
        <f t="shared" si="192"/>
        <v>0</v>
      </c>
      <c r="J1102" s="50">
        <v>0</v>
      </c>
      <c r="K1102" s="31">
        <f t="shared" si="193"/>
        <v>0</v>
      </c>
      <c r="L1102" s="50">
        <v>0</v>
      </c>
      <c r="M1102" s="31">
        <f t="shared" si="194"/>
        <v>0</v>
      </c>
      <c r="N1102" s="50">
        <v>0</v>
      </c>
      <c r="O1102" s="31">
        <f t="shared" si="195"/>
        <v>0</v>
      </c>
      <c r="P1102" s="51" t="s">
        <v>3417</v>
      </c>
      <c r="Q1102" s="51"/>
    </row>
    <row r="1103" spans="1:17" x14ac:dyDescent="0.25">
      <c r="A1103" s="10">
        <v>44488</v>
      </c>
      <c r="B1103" s="594">
        <v>0</v>
      </c>
      <c r="C1103" s="31">
        <f t="shared" si="189"/>
        <v>67949450.760000005</v>
      </c>
      <c r="D1103" s="50">
        <v>-1139750.1599999999</v>
      </c>
      <c r="E1103" s="31">
        <f t="shared" si="190"/>
        <v>-1090850.43</v>
      </c>
      <c r="F1103" s="900">
        <v>0</v>
      </c>
      <c r="G1103" s="899">
        <f t="shared" si="191"/>
        <v>5775.66</v>
      </c>
      <c r="H1103" s="50">
        <v>0</v>
      </c>
      <c r="I1103" s="31">
        <f t="shared" si="192"/>
        <v>0</v>
      </c>
      <c r="J1103" s="50">
        <v>0</v>
      </c>
      <c r="K1103" s="31">
        <f t="shared" si="193"/>
        <v>0</v>
      </c>
      <c r="L1103" s="50">
        <v>0</v>
      </c>
      <c r="M1103" s="31">
        <f t="shared" si="194"/>
        <v>0</v>
      </c>
      <c r="N1103" s="50">
        <v>0</v>
      </c>
      <c r="O1103" s="31">
        <f t="shared" si="195"/>
        <v>0</v>
      </c>
      <c r="P1103" s="51" t="s">
        <v>3656</v>
      </c>
      <c r="Q1103" s="51"/>
    </row>
    <row r="1104" spans="1:17" x14ac:dyDescent="0.25">
      <c r="A1104" s="10">
        <v>44488</v>
      </c>
      <c r="B1104" s="594">
        <v>0</v>
      </c>
      <c r="C1104" s="31">
        <f t="shared" si="189"/>
        <v>67949450.760000005</v>
      </c>
      <c r="D1104" s="50">
        <v>1000000</v>
      </c>
      <c r="E1104" s="31">
        <f t="shared" si="190"/>
        <v>-90850.43</v>
      </c>
      <c r="F1104" s="900">
        <v>0</v>
      </c>
      <c r="G1104" s="899">
        <f t="shared" si="191"/>
        <v>5775.66</v>
      </c>
      <c r="H1104" s="50">
        <v>0</v>
      </c>
      <c r="I1104" s="31">
        <f t="shared" si="192"/>
        <v>0</v>
      </c>
      <c r="J1104" s="50">
        <v>0</v>
      </c>
      <c r="K1104" s="31">
        <f t="shared" si="193"/>
        <v>0</v>
      </c>
      <c r="L1104" s="50">
        <v>0</v>
      </c>
      <c r="M1104" s="31">
        <f t="shared" si="194"/>
        <v>0</v>
      </c>
      <c r="N1104" s="50">
        <v>0</v>
      </c>
      <c r="O1104" s="31">
        <f t="shared" si="195"/>
        <v>0</v>
      </c>
      <c r="P1104" s="51" t="s">
        <v>3582</v>
      </c>
      <c r="Q1104" s="51"/>
    </row>
    <row r="1105" spans="1:17" x14ac:dyDescent="0.25">
      <c r="A1105" s="10">
        <v>44488</v>
      </c>
      <c r="B1105" s="594">
        <v>0</v>
      </c>
      <c r="C1105" s="31">
        <f t="shared" si="189"/>
        <v>67949450.760000005</v>
      </c>
      <c r="D1105" s="50">
        <f>-E1104</f>
        <v>90850.43</v>
      </c>
      <c r="E1105" s="31">
        <f t="shared" si="190"/>
        <v>0</v>
      </c>
      <c r="F1105" s="900">
        <v>0</v>
      </c>
      <c r="G1105" s="899">
        <f t="shared" si="191"/>
        <v>5775.66</v>
      </c>
      <c r="H1105" s="50">
        <v>0</v>
      </c>
      <c r="I1105" s="31">
        <f t="shared" si="192"/>
        <v>0</v>
      </c>
      <c r="J1105" s="50">
        <v>0</v>
      </c>
      <c r="K1105" s="31">
        <f t="shared" si="193"/>
        <v>0</v>
      </c>
      <c r="L1105" s="50">
        <v>0</v>
      </c>
      <c r="M1105" s="31">
        <f t="shared" si="194"/>
        <v>0</v>
      </c>
      <c r="N1105" s="50">
        <v>0</v>
      </c>
      <c r="O1105" s="31">
        <f t="shared" si="195"/>
        <v>0</v>
      </c>
      <c r="P1105" s="51" t="s">
        <v>845</v>
      </c>
      <c r="Q1105" s="51"/>
    </row>
    <row r="1106" spans="1:17" x14ac:dyDescent="0.25">
      <c r="A1106" s="10">
        <v>44488</v>
      </c>
      <c r="B1106" s="594">
        <v>2100000</v>
      </c>
      <c r="C1106" s="31">
        <f t="shared" si="189"/>
        <v>70049450.760000005</v>
      </c>
      <c r="D1106" s="50">
        <v>0</v>
      </c>
      <c r="E1106" s="31">
        <f t="shared" si="190"/>
        <v>0</v>
      </c>
      <c r="F1106" s="900">
        <v>0</v>
      </c>
      <c r="G1106" s="899">
        <f t="shared" si="191"/>
        <v>5775.66</v>
      </c>
      <c r="H1106" s="50">
        <v>0</v>
      </c>
      <c r="I1106" s="31">
        <f t="shared" si="192"/>
        <v>0</v>
      </c>
      <c r="J1106" s="50">
        <v>0</v>
      </c>
      <c r="K1106" s="31">
        <f t="shared" si="193"/>
        <v>0</v>
      </c>
      <c r="L1106" s="50">
        <v>0</v>
      </c>
      <c r="M1106" s="31">
        <f t="shared" si="194"/>
        <v>0</v>
      </c>
      <c r="N1106" s="50">
        <v>0</v>
      </c>
      <c r="O1106" s="31">
        <f t="shared" si="195"/>
        <v>0</v>
      </c>
      <c r="P1106" s="51" t="s">
        <v>1012</v>
      </c>
      <c r="Q1106" s="51"/>
    </row>
    <row r="1107" spans="1:17" x14ac:dyDescent="0.25">
      <c r="A1107" s="10">
        <v>44489</v>
      </c>
      <c r="B1107" s="594">
        <v>3000000</v>
      </c>
      <c r="C1107" s="31">
        <f t="shared" si="189"/>
        <v>73049450.760000005</v>
      </c>
      <c r="D1107" s="50">
        <v>-3006973.75</v>
      </c>
      <c r="E1107" s="31">
        <f t="shared" si="190"/>
        <v>-3006973.75</v>
      </c>
      <c r="F1107" s="900">
        <v>0</v>
      </c>
      <c r="G1107" s="899">
        <f t="shared" si="191"/>
        <v>5775.66</v>
      </c>
      <c r="H1107" s="50">
        <v>0</v>
      </c>
      <c r="I1107" s="31">
        <f t="shared" si="192"/>
        <v>0</v>
      </c>
      <c r="J1107" s="50">
        <v>0</v>
      </c>
      <c r="K1107" s="31">
        <f t="shared" si="193"/>
        <v>0</v>
      </c>
      <c r="L1107" s="50">
        <v>0</v>
      </c>
      <c r="M1107" s="31">
        <f t="shared" si="194"/>
        <v>0</v>
      </c>
      <c r="N1107" s="50">
        <v>0</v>
      </c>
      <c r="O1107" s="31">
        <f t="shared" si="195"/>
        <v>0</v>
      </c>
      <c r="P1107" s="51" t="s">
        <v>1697</v>
      </c>
      <c r="Q1107" s="51"/>
    </row>
    <row r="1108" spans="1:17" x14ac:dyDescent="0.25">
      <c r="A1108" s="10">
        <v>44489</v>
      </c>
      <c r="B1108" s="594">
        <v>0</v>
      </c>
      <c r="C1108" s="31">
        <f t="shared" si="189"/>
        <v>73049450.760000005</v>
      </c>
      <c r="D1108" s="50">
        <v>3000000</v>
      </c>
      <c r="E1108" s="31">
        <f t="shared" si="190"/>
        <v>-6973.75</v>
      </c>
      <c r="F1108" s="900">
        <v>0</v>
      </c>
      <c r="G1108" s="899">
        <f t="shared" si="191"/>
        <v>5775.66</v>
      </c>
      <c r="H1108" s="50">
        <v>0</v>
      </c>
      <c r="I1108" s="31">
        <f t="shared" si="192"/>
        <v>0</v>
      </c>
      <c r="J1108" s="50">
        <v>0</v>
      </c>
      <c r="K1108" s="31">
        <f t="shared" si="193"/>
        <v>0</v>
      </c>
      <c r="L1108" s="50">
        <v>0</v>
      </c>
      <c r="M1108" s="31">
        <f t="shared" si="194"/>
        <v>0</v>
      </c>
      <c r="N1108" s="50">
        <v>0</v>
      </c>
      <c r="O1108" s="31">
        <f t="shared" si="195"/>
        <v>0</v>
      </c>
      <c r="P1108" s="51" t="s">
        <v>3282</v>
      </c>
      <c r="Q1108" s="51"/>
    </row>
    <row r="1109" spans="1:17" x14ac:dyDescent="0.25">
      <c r="A1109" s="10">
        <v>44489</v>
      </c>
      <c r="B1109" s="594">
        <v>0</v>
      </c>
      <c r="C1109" s="31">
        <f t="shared" si="189"/>
        <v>73049450.760000005</v>
      </c>
      <c r="D1109" s="50">
        <f>-E1108</f>
        <v>6973.75</v>
      </c>
      <c r="E1109" s="31">
        <f t="shared" si="190"/>
        <v>0</v>
      </c>
      <c r="F1109" s="900">
        <v>0</v>
      </c>
      <c r="G1109" s="899">
        <f t="shared" si="191"/>
        <v>5775.66</v>
      </c>
      <c r="H1109" s="50">
        <v>0</v>
      </c>
      <c r="I1109" s="31">
        <f t="shared" si="192"/>
        <v>0</v>
      </c>
      <c r="J1109" s="50">
        <v>0</v>
      </c>
      <c r="K1109" s="31">
        <f t="shared" si="193"/>
        <v>0</v>
      </c>
      <c r="L1109" s="50">
        <v>0</v>
      </c>
      <c r="M1109" s="31">
        <f t="shared" si="194"/>
        <v>0</v>
      </c>
      <c r="N1109" s="50">
        <v>0</v>
      </c>
      <c r="O1109" s="31">
        <f t="shared" si="195"/>
        <v>0</v>
      </c>
      <c r="P1109" s="51" t="s">
        <v>845</v>
      </c>
      <c r="Q1109" s="51"/>
    </row>
    <row r="1110" spans="1:17" x14ac:dyDescent="0.25">
      <c r="A1110" s="10">
        <v>44494</v>
      </c>
      <c r="B1110" s="594">
        <v>2000000</v>
      </c>
      <c r="C1110" s="31">
        <f t="shared" si="189"/>
        <v>75049450.760000005</v>
      </c>
      <c r="D1110" s="50">
        <v>0</v>
      </c>
      <c r="E1110" s="31">
        <f t="shared" si="190"/>
        <v>0</v>
      </c>
      <c r="F1110" s="900">
        <v>-2004888.89</v>
      </c>
      <c r="G1110" s="899">
        <f t="shared" si="191"/>
        <v>-1999113.23</v>
      </c>
      <c r="H1110" s="50">
        <v>0</v>
      </c>
      <c r="I1110" s="31">
        <f t="shared" si="192"/>
        <v>0</v>
      </c>
      <c r="J1110" s="50">
        <v>0</v>
      </c>
      <c r="K1110" s="31">
        <f t="shared" si="193"/>
        <v>0</v>
      </c>
      <c r="L1110" s="50">
        <v>0</v>
      </c>
      <c r="M1110" s="31">
        <f t="shared" si="194"/>
        <v>0</v>
      </c>
      <c r="N1110" s="50">
        <v>0</v>
      </c>
      <c r="O1110" s="31">
        <f t="shared" si="195"/>
        <v>0</v>
      </c>
      <c r="P1110" s="51" t="s">
        <v>3420</v>
      </c>
      <c r="Q1110" s="51"/>
    </row>
    <row r="1111" spans="1:17" x14ac:dyDescent="0.25">
      <c r="A1111" s="10">
        <v>44494</v>
      </c>
      <c r="B1111" s="594">
        <v>0</v>
      </c>
      <c r="C1111" s="31">
        <f t="shared" si="189"/>
        <v>75049450.760000005</v>
      </c>
      <c r="D1111" s="50">
        <v>0</v>
      </c>
      <c r="E1111" s="31">
        <f t="shared" si="190"/>
        <v>0</v>
      </c>
      <c r="F1111" s="900">
        <v>2004888.89</v>
      </c>
      <c r="G1111" s="899">
        <f t="shared" si="191"/>
        <v>5775.66</v>
      </c>
      <c r="H1111" s="50">
        <v>0</v>
      </c>
      <c r="I1111" s="31">
        <f t="shared" si="192"/>
        <v>0</v>
      </c>
      <c r="J1111" s="50">
        <v>0</v>
      </c>
      <c r="K1111" s="31">
        <f t="shared" si="193"/>
        <v>0</v>
      </c>
      <c r="L1111" s="50">
        <v>0</v>
      </c>
      <c r="M1111" s="31">
        <f t="shared" si="194"/>
        <v>0</v>
      </c>
      <c r="N1111" s="50">
        <v>0</v>
      </c>
      <c r="O1111" s="31">
        <f t="shared" si="195"/>
        <v>0</v>
      </c>
      <c r="P1111" s="51" t="s">
        <v>3435</v>
      </c>
      <c r="Q1111" s="51"/>
    </row>
    <row r="1112" spans="1:17" x14ac:dyDescent="0.25">
      <c r="A1112" s="10">
        <v>44498</v>
      </c>
      <c r="B1112" s="594">
        <v>1000000</v>
      </c>
      <c r="C1112" s="31">
        <f t="shared" si="189"/>
        <v>76049450.760000005</v>
      </c>
      <c r="D1112" s="50">
        <v>0</v>
      </c>
      <c r="E1112" s="31">
        <f t="shared" si="190"/>
        <v>0</v>
      </c>
      <c r="F1112" s="900">
        <v>0</v>
      </c>
      <c r="G1112" s="899">
        <f t="shared" si="191"/>
        <v>5775.66</v>
      </c>
      <c r="H1112" s="50">
        <v>0</v>
      </c>
      <c r="I1112" s="31">
        <f t="shared" si="192"/>
        <v>0</v>
      </c>
      <c r="J1112" s="50">
        <v>0</v>
      </c>
      <c r="K1112" s="31">
        <f t="shared" si="193"/>
        <v>0</v>
      </c>
      <c r="L1112" s="50">
        <v>0</v>
      </c>
      <c r="M1112" s="31">
        <f t="shared" si="194"/>
        <v>0</v>
      </c>
      <c r="N1112" s="50">
        <v>0</v>
      </c>
      <c r="O1112" s="31">
        <f t="shared" si="195"/>
        <v>0</v>
      </c>
      <c r="P1112" s="51" t="s">
        <v>3133</v>
      </c>
      <c r="Q1112" s="51"/>
    </row>
    <row r="1113" spans="1:17" x14ac:dyDescent="0.25">
      <c r="A1113" s="10">
        <v>44501</v>
      </c>
      <c r="B1113" s="594">
        <v>5700000</v>
      </c>
      <c r="C1113" s="31">
        <f t="shared" si="189"/>
        <v>81749450.760000005</v>
      </c>
      <c r="D1113" s="50">
        <v>0</v>
      </c>
      <c r="E1113" s="31">
        <f t="shared" si="190"/>
        <v>0</v>
      </c>
      <c r="F1113" s="900">
        <v>-5711906.6699999999</v>
      </c>
      <c r="G1113" s="899">
        <f t="shared" si="191"/>
        <v>-5706131.0099999998</v>
      </c>
      <c r="H1113" s="50">
        <v>0</v>
      </c>
      <c r="I1113" s="31">
        <f t="shared" si="192"/>
        <v>0</v>
      </c>
      <c r="J1113" s="50">
        <v>0</v>
      </c>
      <c r="K1113" s="31">
        <f t="shared" si="193"/>
        <v>0</v>
      </c>
      <c r="L1113" s="50">
        <v>0</v>
      </c>
      <c r="M1113" s="31">
        <f t="shared" si="194"/>
        <v>0</v>
      </c>
      <c r="N1113" s="50">
        <v>0</v>
      </c>
      <c r="O1113" s="31">
        <f t="shared" si="195"/>
        <v>0</v>
      </c>
      <c r="P1113" s="51" t="s">
        <v>1012</v>
      </c>
      <c r="Q1113" s="51"/>
    </row>
    <row r="1114" spans="1:17" x14ac:dyDescent="0.25">
      <c r="A1114" s="10">
        <v>44501</v>
      </c>
      <c r="B1114" s="594">
        <v>0</v>
      </c>
      <c r="C1114" s="31">
        <f t="shared" si="189"/>
        <v>81749450.760000005</v>
      </c>
      <c r="D1114" s="50">
        <v>0</v>
      </c>
      <c r="E1114" s="31">
        <f t="shared" si="190"/>
        <v>0</v>
      </c>
      <c r="F1114" s="900">
        <v>5711906.6699999999</v>
      </c>
      <c r="G1114" s="899">
        <f t="shared" si="191"/>
        <v>5775.66</v>
      </c>
      <c r="H1114" s="50">
        <v>0</v>
      </c>
      <c r="I1114" s="31">
        <f t="shared" si="192"/>
        <v>0</v>
      </c>
      <c r="J1114" s="50">
        <v>0</v>
      </c>
      <c r="K1114" s="31">
        <f t="shared" si="193"/>
        <v>0</v>
      </c>
      <c r="L1114" s="50">
        <v>0</v>
      </c>
      <c r="M1114" s="31">
        <f t="shared" si="194"/>
        <v>0</v>
      </c>
      <c r="N1114" s="50">
        <v>0</v>
      </c>
      <c r="O1114" s="31">
        <f t="shared" si="195"/>
        <v>0</v>
      </c>
      <c r="P1114" s="51" t="s">
        <v>3435</v>
      </c>
      <c r="Q1114" s="51"/>
    </row>
    <row r="1115" spans="1:17" x14ac:dyDescent="0.25">
      <c r="A1115" s="10">
        <v>44501</v>
      </c>
      <c r="B1115" s="594">
        <v>0</v>
      </c>
      <c r="C1115" s="31">
        <f t="shared" si="189"/>
        <v>81749450.760000005</v>
      </c>
      <c r="D1115" s="50">
        <v>1724521.26</v>
      </c>
      <c r="E1115" s="31">
        <f t="shared" si="190"/>
        <v>1724521.26</v>
      </c>
      <c r="F1115" s="900">
        <v>0</v>
      </c>
      <c r="G1115" s="899">
        <f t="shared" si="191"/>
        <v>5775.66</v>
      </c>
      <c r="H1115" s="50">
        <v>0</v>
      </c>
      <c r="I1115" s="31">
        <f t="shared" si="192"/>
        <v>0</v>
      </c>
      <c r="J1115" s="50">
        <v>0</v>
      </c>
      <c r="K1115" s="31">
        <f t="shared" si="193"/>
        <v>0</v>
      </c>
      <c r="L1115" s="50">
        <v>0</v>
      </c>
      <c r="M1115" s="31">
        <f t="shared" si="194"/>
        <v>0</v>
      </c>
      <c r="N1115" s="50">
        <v>0</v>
      </c>
      <c r="O1115" s="31">
        <f t="shared" si="195"/>
        <v>0</v>
      </c>
      <c r="P1115" s="51" t="s">
        <v>3924</v>
      </c>
      <c r="Q1115" s="51"/>
    </row>
    <row r="1116" spans="1:17" x14ac:dyDescent="0.25">
      <c r="A1116" s="10">
        <v>44501</v>
      </c>
      <c r="B1116" s="594">
        <v>0</v>
      </c>
      <c r="C1116" s="31">
        <f t="shared" si="189"/>
        <v>81749450.760000005</v>
      </c>
      <c r="D1116" s="50">
        <v>-1724521.26</v>
      </c>
      <c r="E1116" s="31">
        <f t="shared" si="190"/>
        <v>0</v>
      </c>
      <c r="F1116" s="900">
        <v>0</v>
      </c>
      <c r="G1116" s="899">
        <f t="shared" si="191"/>
        <v>5775.66</v>
      </c>
      <c r="H1116" s="50">
        <v>0</v>
      </c>
      <c r="I1116" s="31">
        <f t="shared" si="192"/>
        <v>0</v>
      </c>
      <c r="J1116" s="50">
        <v>0</v>
      </c>
      <c r="K1116" s="31">
        <f t="shared" si="193"/>
        <v>0</v>
      </c>
      <c r="L1116" s="50">
        <v>0</v>
      </c>
      <c r="M1116" s="31">
        <f t="shared" si="194"/>
        <v>0</v>
      </c>
      <c r="N1116" s="50">
        <v>0</v>
      </c>
      <c r="O1116" s="31">
        <f t="shared" si="195"/>
        <v>0</v>
      </c>
      <c r="P1116" s="51" t="s">
        <v>845</v>
      </c>
      <c r="Q1116" s="51"/>
    </row>
    <row r="1117" spans="1:17" x14ac:dyDescent="0.25">
      <c r="A1117" s="10">
        <v>44502</v>
      </c>
      <c r="B1117" s="594">
        <v>0</v>
      </c>
      <c r="C1117" s="31">
        <f t="shared" ref="C1117:C1180" si="196">ROUND(B1117+C1116,2)</f>
        <v>81749450.760000005</v>
      </c>
      <c r="D1117" s="50">
        <v>28.53</v>
      </c>
      <c r="E1117" s="31">
        <f t="shared" ref="E1117:E1180" si="197">ROUND(D1117+E1116,2)</f>
        <v>28.53</v>
      </c>
      <c r="F1117" s="900">
        <v>0</v>
      </c>
      <c r="G1117" s="899">
        <f t="shared" ref="G1117:G1180" si="198">ROUND(F1117+G1116,2)</f>
        <v>5775.66</v>
      </c>
      <c r="H1117" s="50">
        <v>1.6</v>
      </c>
      <c r="I1117" s="31">
        <f t="shared" ref="I1117:I1180" si="199">ROUND(H1117+I1116,2)</f>
        <v>1.6</v>
      </c>
      <c r="J1117" s="50">
        <v>0</v>
      </c>
      <c r="K1117" s="31">
        <f t="shared" ref="K1117:K1180" si="200">ROUND(J1117+K1116,2)</f>
        <v>0</v>
      </c>
      <c r="L1117" s="50">
        <v>0</v>
      </c>
      <c r="M1117" s="31">
        <f t="shared" ref="M1117:M1180" si="201">ROUND(L1117+M1116,2)</f>
        <v>0</v>
      </c>
      <c r="N1117" s="50">
        <v>0</v>
      </c>
      <c r="O1117" s="31">
        <f t="shared" ref="O1117:O1180" si="202">ROUND(N1117+O1116,2)</f>
        <v>0</v>
      </c>
      <c r="P1117" s="51" t="s">
        <v>3928</v>
      </c>
      <c r="Q1117" s="51"/>
    </row>
    <row r="1118" spans="1:17" x14ac:dyDescent="0.25">
      <c r="A1118" s="10">
        <v>44502</v>
      </c>
      <c r="B1118" s="594">
        <v>3000000</v>
      </c>
      <c r="C1118" s="31">
        <f t="shared" si="196"/>
        <v>84749450.760000005</v>
      </c>
      <c r="D1118" s="50">
        <v>-3009464</v>
      </c>
      <c r="E1118" s="31">
        <f t="shared" si="197"/>
        <v>-3009435.47</v>
      </c>
      <c r="F1118" s="900">
        <v>0</v>
      </c>
      <c r="G1118" s="899">
        <f t="shared" si="198"/>
        <v>5775.66</v>
      </c>
      <c r="H1118" s="50">
        <v>0</v>
      </c>
      <c r="I1118" s="31">
        <f t="shared" si="199"/>
        <v>1.6</v>
      </c>
      <c r="J1118" s="50">
        <v>0</v>
      </c>
      <c r="K1118" s="31">
        <f t="shared" si="200"/>
        <v>0</v>
      </c>
      <c r="L1118" s="50">
        <v>0</v>
      </c>
      <c r="M1118" s="31">
        <f t="shared" si="201"/>
        <v>0</v>
      </c>
      <c r="N1118" s="50">
        <v>0</v>
      </c>
      <c r="O1118" s="31">
        <f t="shared" si="202"/>
        <v>0</v>
      </c>
      <c r="P1118" s="51" t="s">
        <v>831</v>
      </c>
      <c r="Q1118" s="51"/>
    </row>
    <row r="1119" spans="1:17" x14ac:dyDescent="0.25">
      <c r="A1119" s="10">
        <v>44502</v>
      </c>
      <c r="B1119" s="594">
        <v>0</v>
      </c>
      <c r="C1119" s="31">
        <f t="shared" si="196"/>
        <v>84749450.760000005</v>
      </c>
      <c r="D1119" s="50">
        <v>3000000</v>
      </c>
      <c r="E1119" s="31">
        <f t="shared" si="197"/>
        <v>-9435.4699999999993</v>
      </c>
      <c r="F1119" s="900">
        <v>0</v>
      </c>
      <c r="G1119" s="899">
        <f t="shared" si="198"/>
        <v>5775.66</v>
      </c>
      <c r="H1119" s="50">
        <v>0</v>
      </c>
      <c r="I1119" s="31">
        <f t="shared" si="199"/>
        <v>1.6</v>
      </c>
      <c r="J1119" s="50">
        <v>0</v>
      </c>
      <c r="K1119" s="31">
        <f t="shared" si="200"/>
        <v>0</v>
      </c>
      <c r="L1119" s="50">
        <v>0</v>
      </c>
      <c r="M1119" s="31">
        <f t="shared" si="201"/>
        <v>0</v>
      </c>
      <c r="N1119" s="50">
        <v>0</v>
      </c>
      <c r="O1119" s="31">
        <f t="shared" si="202"/>
        <v>0</v>
      </c>
      <c r="P1119" s="51" t="s">
        <v>3282</v>
      </c>
      <c r="Q1119" s="51"/>
    </row>
    <row r="1120" spans="1:17" x14ac:dyDescent="0.25">
      <c r="A1120" s="10">
        <v>44502</v>
      </c>
      <c r="B1120" s="594">
        <v>2000000</v>
      </c>
      <c r="C1120" s="31">
        <f t="shared" si="196"/>
        <v>86749450.760000005</v>
      </c>
      <c r="D1120" s="50">
        <v>0</v>
      </c>
      <c r="E1120" s="31">
        <f t="shared" si="197"/>
        <v>-9435.4699999999993</v>
      </c>
      <c r="F1120" s="900">
        <v>-2005866.67</v>
      </c>
      <c r="G1120" s="899">
        <f t="shared" si="198"/>
        <v>-2000091.01</v>
      </c>
      <c r="H1120" s="50">
        <v>0</v>
      </c>
      <c r="I1120" s="31">
        <f t="shared" si="199"/>
        <v>1.6</v>
      </c>
      <c r="J1120" s="50">
        <v>0</v>
      </c>
      <c r="K1120" s="31">
        <f t="shared" si="200"/>
        <v>0</v>
      </c>
      <c r="L1120" s="50">
        <v>0</v>
      </c>
      <c r="M1120" s="31">
        <f t="shared" si="201"/>
        <v>0</v>
      </c>
      <c r="N1120" s="50">
        <v>0</v>
      </c>
      <c r="O1120" s="31">
        <f t="shared" si="202"/>
        <v>0</v>
      </c>
      <c r="P1120" s="51" t="s">
        <v>3420</v>
      </c>
      <c r="Q1120" s="51"/>
    </row>
    <row r="1121" spans="1:17" x14ac:dyDescent="0.25">
      <c r="A1121" s="10">
        <v>44502</v>
      </c>
      <c r="B1121" s="594">
        <v>0</v>
      </c>
      <c r="C1121" s="31">
        <f t="shared" si="196"/>
        <v>86749450.760000005</v>
      </c>
      <c r="D1121" s="50">
        <v>0</v>
      </c>
      <c r="E1121" s="31">
        <f t="shared" si="197"/>
        <v>-9435.4699999999993</v>
      </c>
      <c r="F1121" s="900">
        <v>2005866.67</v>
      </c>
      <c r="G1121" s="899">
        <f t="shared" si="198"/>
        <v>5775.66</v>
      </c>
      <c r="H1121" s="50">
        <v>0</v>
      </c>
      <c r="I1121" s="31">
        <f t="shared" si="199"/>
        <v>1.6</v>
      </c>
      <c r="J1121" s="50">
        <v>0</v>
      </c>
      <c r="K1121" s="31">
        <f t="shared" si="200"/>
        <v>0</v>
      </c>
      <c r="L1121" s="50">
        <v>0</v>
      </c>
      <c r="M1121" s="31">
        <f t="shared" si="201"/>
        <v>0</v>
      </c>
      <c r="N1121" s="50">
        <v>0</v>
      </c>
      <c r="O1121" s="31">
        <f t="shared" si="202"/>
        <v>0</v>
      </c>
      <c r="P1121" s="51" t="s">
        <v>3435</v>
      </c>
      <c r="Q1121" s="51"/>
    </row>
    <row r="1122" spans="1:17" x14ac:dyDescent="0.25">
      <c r="A1122" s="10">
        <v>44502</v>
      </c>
      <c r="B1122" s="594">
        <v>0</v>
      </c>
      <c r="C1122" s="31">
        <f t="shared" si="196"/>
        <v>86749450.760000005</v>
      </c>
      <c r="D1122" s="50">
        <v>9435.4699999999993</v>
      </c>
      <c r="E1122" s="31">
        <f t="shared" si="197"/>
        <v>0</v>
      </c>
      <c r="F1122" s="900">
        <v>0</v>
      </c>
      <c r="G1122" s="899">
        <f t="shared" si="198"/>
        <v>5775.66</v>
      </c>
      <c r="H1122" s="50">
        <f>-I1121</f>
        <v>-1.6</v>
      </c>
      <c r="I1122" s="31">
        <f t="shared" si="199"/>
        <v>0</v>
      </c>
      <c r="J1122" s="50">
        <v>0</v>
      </c>
      <c r="K1122" s="31">
        <f t="shared" si="200"/>
        <v>0</v>
      </c>
      <c r="L1122" s="50">
        <v>0</v>
      </c>
      <c r="M1122" s="31">
        <f t="shared" si="201"/>
        <v>0</v>
      </c>
      <c r="N1122" s="50">
        <v>0</v>
      </c>
      <c r="O1122" s="31">
        <f t="shared" si="202"/>
        <v>0</v>
      </c>
      <c r="P1122" s="51" t="s">
        <v>845</v>
      </c>
      <c r="Q1122" s="51"/>
    </row>
    <row r="1123" spans="1:17" x14ac:dyDescent="0.25">
      <c r="A1123" s="10">
        <v>44503</v>
      </c>
      <c r="B1123" s="594">
        <v>0</v>
      </c>
      <c r="C1123" s="31">
        <f t="shared" si="196"/>
        <v>86749450.760000005</v>
      </c>
      <c r="D1123" s="50">
        <v>764615.63</v>
      </c>
      <c r="E1123" s="31">
        <f t="shared" si="197"/>
        <v>764615.63</v>
      </c>
      <c r="F1123" s="900">
        <v>0</v>
      </c>
      <c r="G1123" s="899">
        <f t="shared" si="198"/>
        <v>5775.66</v>
      </c>
      <c r="H1123" s="50">
        <v>0</v>
      </c>
      <c r="I1123" s="31">
        <f t="shared" si="199"/>
        <v>0</v>
      </c>
      <c r="J1123" s="50">
        <v>0</v>
      </c>
      <c r="K1123" s="31">
        <f t="shared" si="200"/>
        <v>0</v>
      </c>
      <c r="L1123" s="50">
        <v>0</v>
      </c>
      <c r="M1123" s="31">
        <f t="shared" si="201"/>
        <v>0</v>
      </c>
      <c r="N1123" s="50">
        <v>0</v>
      </c>
      <c r="O1123" s="31">
        <f t="shared" si="202"/>
        <v>0</v>
      </c>
      <c r="P1123" s="51" t="s">
        <v>3929</v>
      </c>
      <c r="Q1123" s="51"/>
    </row>
    <row r="1124" spans="1:17" x14ac:dyDescent="0.25">
      <c r="A1124" s="10">
        <v>44503</v>
      </c>
      <c r="B1124" s="594">
        <v>0</v>
      </c>
      <c r="C1124" s="31">
        <f t="shared" si="196"/>
        <v>86749450.760000005</v>
      </c>
      <c r="D1124" s="50">
        <f>-E1123</f>
        <v>-764615.63</v>
      </c>
      <c r="E1124" s="31">
        <f t="shared" si="197"/>
        <v>0</v>
      </c>
      <c r="F1124" s="900">
        <v>0</v>
      </c>
      <c r="G1124" s="899">
        <f t="shared" si="198"/>
        <v>5775.66</v>
      </c>
      <c r="H1124" s="50">
        <v>0</v>
      </c>
      <c r="I1124" s="31">
        <f t="shared" si="199"/>
        <v>0</v>
      </c>
      <c r="J1124" s="50">
        <v>0</v>
      </c>
      <c r="K1124" s="31">
        <f t="shared" si="200"/>
        <v>0</v>
      </c>
      <c r="L1124" s="50">
        <v>0</v>
      </c>
      <c r="M1124" s="31">
        <f t="shared" si="201"/>
        <v>0</v>
      </c>
      <c r="N1124" s="50">
        <v>0</v>
      </c>
      <c r="O1124" s="31">
        <f t="shared" si="202"/>
        <v>0</v>
      </c>
      <c r="P1124" s="51" t="s">
        <v>845</v>
      </c>
      <c r="Q1124" s="51"/>
    </row>
    <row r="1125" spans="1:17" x14ac:dyDescent="0.25">
      <c r="A1125" s="10">
        <v>44504</v>
      </c>
      <c r="B1125" s="594">
        <v>0</v>
      </c>
      <c r="C1125" s="31">
        <f t="shared" si="196"/>
        <v>86749450.760000005</v>
      </c>
      <c r="D1125" s="50">
        <v>-787837.49</v>
      </c>
      <c r="E1125" s="31">
        <f t="shared" si="197"/>
        <v>-787837.49</v>
      </c>
      <c r="F1125" s="900">
        <v>0</v>
      </c>
      <c r="G1125" s="899">
        <f t="shared" si="198"/>
        <v>5775.66</v>
      </c>
      <c r="H1125" s="50">
        <v>0</v>
      </c>
      <c r="I1125" s="31">
        <f t="shared" si="199"/>
        <v>0</v>
      </c>
      <c r="J1125" s="50">
        <v>0</v>
      </c>
      <c r="K1125" s="31">
        <f t="shared" si="200"/>
        <v>0</v>
      </c>
      <c r="L1125" s="50">
        <v>0</v>
      </c>
      <c r="M1125" s="31">
        <f t="shared" si="201"/>
        <v>0</v>
      </c>
      <c r="N1125" s="50">
        <v>0</v>
      </c>
      <c r="O1125" s="31">
        <f t="shared" si="202"/>
        <v>0</v>
      </c>
      <c r="P1125" s="51" t="s">
        <v>3933</v>
      </c>
      <c r="Q1125" s="51"/>
    </row>
    <row r="1126" spans="1:17" x14ac:dyDescent="0.25">
      <c r="A1126" s="10">
        <v>44504</v>
      </c>
      <c r="B1126" s="594">
        <v>0</v>
      </c>
      <c r="C1126" s="31">
        <f t="shared" si="196"/>
        <v>86749450.760000005</v>
      </c>
      <c r="D1126" s="50">
        <f>-E1125</f>
        <v>787837.49</v>
      </c>
      <c r="E1126" s="31">
        <f t="shared" si="197"/>
        <v>0</v>
      </c>
      <c r="F1126" s="900">
        <v>0</v>
      </c>
      <c r="G1126" s="899">
        <f t="shared" si="198"/>
        <v>5775.66</v>
      </c>
      <c r="H1126" s="50">
        <v>0</v>
      </c>
      <c r="I1126" s="31">
        <f t="shared" si="199"/>
        <v>0</v>
      </c>
      <c r="J1126" s="50">
        <v>0</v>
      </c>
      <c r="K1126" s="31">
        <f t="shared" si="200"/>
        <v>0</v>
      </c>
      <c r="L1126" s="50">
        <v>0</v>
      </c>
      <c r="M1126" s="31">
        <f t="shared" si="201"/>
        <v>0</v>
      </c>
      <c r="N1126" s="50">
        <v>0</v>
      </c>
      <c r="O1126" s="31">
        <f t="shared" si="202"/>
        <v>0</v>
      </c>
      <c r="P1126" s="51" t="s">
        <v>845</v>
      </c>
      <c r="Q1126" s="51"/>
    </row>
    <row r="1127" spans="1:17" x14ac:dyDescent="0.25">
      <c r="A1127" s="10">
        <v>44505</v>
      </c>
      <c r="B1127" s="594">
        <v>5000000</v>
      </c>
      <c r="C1127" s="31">
        <f t="shared" si="196"/>
        <v>91749450.760000005</v>
      </c>
      <c r="D1127" s="50">
        <f>-B1127-16759.17</f>
        <v>-5016759.17</v>
      </c>
      <c r="E1127" s="31">
        <f t="shared" si="197"/>
        <v>-5016759.17</v>
      </c>
      <c r="F1127" s="900">
        <v>0</v>
      </c>
      <c r="G1127" s="899">
        <f t="shared" si="198"/>
        <v>5775.66</v>
      </c>
      <c r="H1127" s="50">
        <v>0</v>
      </c>
      <c r="I1127" s="31">
        <f t="shared" si="199"/>
        <v>0</v>
      </c>
      <c r="J1127" s="50">
        <v>0</v>
      </c>
      <c r="K1127" s="31">
        <f t="shared" si="200"/>
        <v>0</v>
      </c>
      <c r="L1127" s="50">
        <v>0</v>
      </c>
      <c r="M1127" s="31">
        <f t="shared" si="201"/>
        <v>0</v>
      </c>
      <c r="N1127" s="50">
        <v>0</v>
      </c>
      <c r="O1127" s="31">
        <f t="shared" si="202"/>
        <v>0</v>
      </c>
      <c r="P1127" s="51" t="s">
        <v>831</v>
      </c>
      <c r="Q1127" s="51"/>
    </row>
    <row r="1128" spans="1:17" x14ac:dyDescent="0.25">
      <c r="A1128" s="10">
        <v>44505</v>
      </c>
      <c r="B1128" s="594">
        <v>2000000</v>
      </c>
      <c r="C1128" s="31">
        <f t="shared" si="196"/>
        <v>93749450.760000005</v>
      </c>
      <c r="D1128" s="50">
        <v>-2006774.5</v>
      </c>
      <c r="E1128" s="31">
        <f t="shared" si="197"/>
        <v>-7023533.6699999999</v>
      </c>
      <c r="F1128" s="900">
        <v>0</v>
      </c>
      <c r="G1128" s="899">
        <f t="shared" si="198"/>
        <v>5775.66</v>
      </c>
      <c r="H1128" s="50">
        <v>0</v>
      </c>
      <c r="I1128" s="31">
        <f t="shared" si="199"/>
        <v>0</v>
      </c>
      <c r="J1128" s="50">
        <v>0</v>
      </c>
      <c r="K1128" s="31">
        <f t="shared" si="200"/>
        <v>0</v>
      </c>
      <c r="L1128" s="50">
        <v>0</v>
      </c>
      <c r="M1128" s="31">
        <f t="shared" si="201"/>
        <v>0</v>
      </c>
      <c r="N1128" s="50">
        <v>0</v>
      </c>
      <c r="O1128" s="31">
        <f t="shared" si="202"/>
        <v>0</v>
      </c>
      <c r="P1128" s="51" t="s">
        <v>1697</v>
      </c>
      <c r="Q1128" s="51"/>
    </row>
    <row r="1129" spans="1:17" x14ac:dyDescent="0.25">
      <c r="A1129" s="10">
        <v>44505</v>
      </c>
      <c r="B1129" s="594">
        <v>0</v>
      </c>
      <c r="C1129" s="31">
        <f t="shared" si="196"/>
        <v>93749450.760000005</v>
      </c>
      <c r="D1129" s="50">
        <v>7000000</v>
      </c>
      <c r="E1129" s="31">
        <f t="shared" si="197"/>
        <v>-23533.67</v>
      </c>
      <c r="F1129" s="900">
        <v>0</v>
      </c>
      <c r="G1129" s="899">
        <f t="shared" si="198"/>
        <v>5775.66</v>
      </c>
      <c r="H1129" s="50">
        <v>0</v>
      </c>
      <c r="I1129" s="31">
        <f t="shared" si="199"/>
        <v>0</v>
      </c>
      <c r="J1129" s="50">
        <v>0</v>
      </c>
      <c r="K1129" s="31">
        <f t="shared" si="200"/>
        <v>0</v>
      </c>
      <c r="L1129" s="50">
        <v>0</v>
      </c>
      <c r="M1129" s="31">
        <f t="shared" si="201"/>
        <v>0</v>
      </c>
      <c r="N1129" s="50">
        <v>0</v>
      </c>
      <c r="O1129" s="31">
        <f t="shared" si="202"/>
        <v>0</v>
      </c>
      <c r="P1129" s="51" t="s">
        <v>3282</v>
      </c>
      <c r="Q1129" s="51"/>
    </row>
    <row r="1130" spans="1:17" x14ac:dyDescent="0.25">
      <c r="A1130" s="10">
        <v>44505</v>
      </c>
      <c r="B1130" s="594">
        <v>0</v>
      </c>
      <c r="C1130" s="31">
        <f t="shared" si="196"/>
        <v>93749450.760000005</v>
      </c>
      <c r="D1130" s="50">
        <v>2900.93</v>
      </c>
      <c r="E1130" s="31">
        <f t="shared" si="197"/>
        <v>-20632.740000000002</v>
      </c>
      <c r="F1130" s="900">
        <v>0</v>
      </c>
      <c r="G1130" s="899">
        <f t="shared" si="198"/>
        <v>5775.66</v>
      </c>
      <c r="H1130" s="50">
        <v>0</v>
      </c>
      <c r="I1130" s="31">
        <f t="shared" si="199"/>
        <v>0</v>
      </c>
      <c r="J1130" s="50">
        <v>0</v>
      </c>
      <c r="K1130" s="31">
        <f t="shared" si="200"/>
        <v>0</v>
      </c>
      <c r="L1130" s="50">
        <v>0</v>
      </c>
      <c r="M1130" s="31">
        <f t="shared" si="201"/>
        <v>0</v>
      </c>
      <c r="N1130" s="50">
        <v>0</v>
      </c>
      <c r="O1130" s="31">
        <f t="shared" si="202"/>
        <v>0</v>
      </c>
      <c r="P1130" s="51" t="s">
        <v>2947</v>
      </c>
      <c r="Q1130" s="51"/>
    </row>
    <row r="1131" spans="1:17" x14ac:dyDescent="0.25">
      <c r="A1131" s="10">
        <v>44505</v>
      </c>
      <c r="B1131" s="594">
        <v>0</v>
      </c>
      <c r="C1131" s="31">
        <f t="shared" si="196"/>
        <v>93749450.760000005</v>
      </c>
      <c r="D1131" s="50">
        <v>646.09</v>
      </c>
      <c r="E1131" s="31">
        <f t="shared" si="197"/>
        <v>-19986.650000000001</v>
      </c>
      <c r="F1131" s="900">
        <v>0</v>
      </c>
      <c r="G1131" s="899">
        <f t="shared" si="198"/>
        <v>5775.66</v>
      </c>
      <c r="H1131" s="50">
        <v>0</v>
      </c>
      <c r="I1131" s="31">
        <f t="shared" si="199"/>
        <v>0</v>
      </c>
      <c r="J1131" s="50">
        <v>0</v>
      </c>
      <c r="K1131" s="31">
        <f t="shared" si="200"/>
        <v>0</v>
      </c>
      <c r="L1131" s="50">
        <v>0</v>
      </c>
      <c r="M1131" s="31">
        <f t="shared" si="201"/>
        <v>0</v>
      </c>
      <c r="N1131" s="50">
        <v>0</v>
      </c>
      <c r="O1131" s="31">
        <f t="shared" si="202"/>
        <v>0</v>
      </c>
      <c r="P1131" s="51" t="s">
        <v>3934</v>
      </c>
      <c r="Q1131" s="51"/>
    </row>
    <row r="1132" spans="1:17" x14ac:dyDescent="0.25">
      <c r="A1132" s="10">
        <v>44505</v>
      </c>
      <c r="B1132" s="594">
        <v>0</v>
      </c>
      <c r="C1132" s="31">
        <f t="shared" si="196"/>
        <v>93749450.760000005</v>
      </c>
      <c r="D1132" s="50">
        <v>19986.650000000001</v>
      </c>
      <c r="E1132" s="31">
        <f t="shared" si="197"/>
        <v>0</v>
      </c>
      <c r="F1132" s="900">
        <v>0</v>
      </c>
      <c r="G1132" s="899">
        <f t="shared" si="198"/>
        <v>5775.66</v>
      </c>
      <c r="H1132" s="50">
        <v>0</v>
      </c>
      <c r="I1132" s="31">
        <f t="shared" si="199"/>
        <v>0</v>
      </c>
      <c r="J1132" s="50">
        <v>0</v>
      </c>
      <c r="K1132" s="31">
        <f t="shared" si="200"/>
        <v>0</v>
      </c>
      <c r="L1132" s="50">
        <v>0</v>
      </c>
      <c r="M1132" s="31">
        <f t="shared" si="201"/>
        <v>0</v>
      </c>
      <c r="N1132" s="50">
        <v>0</v>
      </c>
      <c r="O1132" s="31">
        <f t="shared" si="202"/>
        <v>0</v>
      </c>
      <c r="P1132" s="51" t="s">
        <v>845</v>
      </c>
      <c r="Q1132" s="51"/>
    </row>
    <row r="1133" spans="1:17" x14ac:dyDescent="0.25">
      <c r="A1133" s="10">
        <v>44515</v>
      </c>
      <c r="B1133" s="594">
        <v>0</v>
      </c>
      <c r="C1133" s="31">
        <f t="shared" si="196"/>
        <v>93749450.760000005</v>
      </c>
      <c r="D1133" s="50">
        <v>9000</v>
      </c>
      <c r="E1133" s="31">
        <f t="shared" si="197"/>
        <v>9000</v>
      </c>
      <c r="F1133" s="900">
        <v>0</v>
      </c>
      <c r="G1133" s="899">
        <f t="shared" si="198"/>
        <v>5775.66</v>
      </c>
      <c r="H1133" s="50">
        <v>0</v>
      </c>
      <c r="I1133" s="31">
        <f t="shared" si="199"/>
        <v>0</v>
      </c>
      <c r="J1133" s="50">
        <v>0</v>
      </c>
      <c r="K1133" s="31">
        <f t="shared" si="200"/>
        <v>0</v>
      </c>
      <c r="L1133" s="50">
        <v>0</v>
      </c>
      <c r="M1133" s="31">
        <f t="shared" si="201"/>
        <v>0</v>
      </c>
      <c r="N1133" s="50">
        <v>0</v>
      </c>
      <c r="O1133" s="31">
        <f t="shared" si="202"/>
        <v>0</v>
      </c>
      <c r="P1133" s="51" t="s">
        <v>3937</v>
      </c>
      <c r="Q1133" s="51"/>
    </row>
    <row r="1134" spans="1:17" x14ac:dyDescent="0.25">
      <c r="A1134" s="10">
        <v>44515</v>
      </c>
      <c r="B1134" s="594">
        <v>0</v>
      </c>
      <c r="C1134" s="31">
        <f t="shared" si="196"/>
        <v>93749450.760000005</v>
      </c>
      <c r="D1134" s="50">
        <v>6500</v>
      </c>
      <c r="E1134" s="31">
        <f t="shared" si="197"/>
        <v>15500</v>
      </c>
      <c r="F1134" s="900">
        <v>0</v>
      </c>
      <c r="G1134" s="899">
        <f t="shared" si="198"/>
        <v>5775.66</v>
      </c>
      <c r="H1134" s="50">
        <v>0</v>
      </c>
      <c r="I1134" s="31">
        <f t="shared" si="199"/>
        <v>0</v>
      </c>
      <c r="J1134" s="50">
        <v>0</v>
      </c>
      <c r="K1134" s="31">
        <f t="shared" si="200"/>
        <v>0</v>
      </c>
      <c r="L1134" s="50">
        <v>0</v>
      </c>
      <c r="M1134" s="31">
        <f t="shared" si="201"/>
        <v>0</v>
      </c>
      <c r="N1134" s="50">
        <v>0</v>
      </c>
      <c r="O1134" s="31">
        <f t="shared" si="202"/>
        <v>0</v>
      </c>
      <c r="P1134" s="51" t="s">
        <v>3938</v>
      </c>
      <c r="Q1134" s="51"/>
    </row>
    <row r="1135" spans="1:17" x14ac:dyDescent="0.25">
      <c r="A1135" s="10">
        <v>44515</v>
      </c>
      <c r="B1135" s="594">
        <v>0</v>
      </c>
      <c r="C1135" s="31">
        <f t="shared" si="196"/>
        <v>93749450.760000005</v>
      </c>
      <c r="D1135" s="50">
        <v>-2900.93</v>
      </c>
      <c r="E1135" s="31">
        <f t="shared" si="197"/>
        <v>12599.07</v>
      </c>
      <c r="F1135" s="900">
        <v>0</v>
      </c>
      <c r="G1135" s="899">
        <f t="shared" si="198"/>
        <v>5775.66</v>
      </c>
      <c r="H1135" s="50">
        <v>0</v>
      </c>
      <c r="I1135" s="31">
        <f t="shared" si="199"/>
        <v>0</v>
      </c>
      <c r="J1135" s="50">
        <v>0</v>
      </c>
      <c r="K1135" s="31">
        <f t="shared" si="200"/>
        <v>0</v>
      </c>
      <c r="L1135" s="50">
        <v>0</v>
      </c>
      <c r="M1135" s="31">
        <f t="shared" si="201"/>
        <v>0</v>
      </c>
      <c r="N1135" s="50">
        <v>0</v>
      </c>
      <c r="O1135" s="31">
        <f t="shared" si="202"/>
        <v>0</v>
      </c>
      <c r="P1135" s="51" t="s">
        <v>3940</v>
      </c>
      <c r="Q1135" s="51"/>
    </row>
    <row r="1136" spans="1:17" x14ac:dyDescent="0.25">
      <c r="A1136" s="10">
        <v>44515</v>
      </c>
      <c r="B1136" s="594">
        <v>0</v>
      </c>
      <c r="C1136" s="31">
        <f t="shared" si="196"/>
        <v>93749450.760000005</v>
      </c>
      <c r="D1136" s="50">
        <f>-E1135</f>
        <v>-12599.07</v>
      </c>
      <c r="E1136" s="31">
        <f t="shared" si="197"/>
        <v>0</v>
      </c>
      <c r="F1136" s="900">
        <v>0</v>
      </c>
      <c r="G1136" s="899">
        <f t="shared" si="198"/>
        <v>5775.66</v>
      </c>
      <c r="H1136" s="50">
        <v>0</v>
      </c>
      <c r="I1136" s="31">
        <f t="shared" si="199"/>
        <v>0</v>
      </c>
      <c r="J1136" s="50">
        <v>0</v>
      </c>
      <c r="K1136" s="31">
        <f t="shared" si="200"/>
        <v>0</v>
      </c>
      <c r="L1136" s="50">
        <v>0</v>
      </c>
      <c r="M1136" s="31">
        <f t="shared" si="201"/>
        <v>0</v>
      </c>
      <c r="N1136" s="50">
        <v>0</v>
      </c>
      <c r="O1136" s="31">
        <f t="shared" si="202"/>
        <v>0</v>
      </c>
      <c r="P1136" s="51" t="s">
        <v>845</v>
      </c>
      <c r="Q1136" s="51"/>
    </row>
    <row r="1137" spans="1:17" x14ac:dyDescent="0.25">
      <c r="A1137" s="10">
        <v>44516</v>
      </c>
      <c r="B1137" s="594">
        <v>0</v>
      </c>
      <c r="C1137" s="31">
        <f t="shared" si="196"/>
        <v>93749450.760000005</v>
      </c>
      <c r="D1137" s="50">
        <v>-1109429.46</v>
      </c>
      <c r="E1137" s="31">
        <f t="shared" si="197"/>
        <v>-1109429.46</v>
      </c>
      <c r="F1137" s="900">
        <v>0</v>
      </c>
      <c r="G1137" s="899">
        <f t="shared" si="198"/>
        <v>5775.66</v>
      </c>
      <c r="H1137" s="50">
        <v>0</v>
      </c>
      <c r="I1137" s="31">
        <f t="shared" si="199"/>
        <v>0</v>
      </c>
      <c r="J1137" s="50">
        <v>0</v>
      </c>
      <c r="K1137" s="31">
        <f t="shared" si="200"/>
        <v>0</v>
      </c>
      <c r="L1137" s="50">
        <v>0</v>
      </c>
      <c r="M1137" s="31">
        <f t="shared" si="201"/>
        <v>0</v>
      </c>
      <c r="N1137" s="50">
        <v>0</v>
      </c>
      <c r="O1137" s="31">
        <f t="shared" si="202"/>
        <v>0</v>
      </c>
      <c r="P1137" s="51" t="s">
        <v>2844</v>
      </c>
      <c r="Q1137" s="51"/>
    </row>
    <row r="1138" spans="1:17" x14ac:dyDescent="0.25">
      <c r="A1138" s="10">
        <v>44516</v>
      </c>
      <c r="B1138" s="594">
        <v>0</v>
      </c>
      <c r="C1138" s="31">
        <f t="shared" si="196"/>
        <v>93749450.760000005</v>
      </c>
      <c r="D1138" s="50">
        <v>1000000</v>
      </c>
      <c r="E1138" s="31">
        <f t="shared" si="197"/>
        <v>-109429.46</v>
      </c>
      <c r="F1138" s="900">
        <v>0</v>
      </c>
      <c r="G1138" s="899">
        <f t="shared" si="198"/>
        <v>5775.66</v>
      </c>
      <c r="H1138" s="50">
        <v>0</v>
      </c>
      <c r="I1138" s="31">
        <f t="shared" si="199"/>
        <v>0</v>
      </c>
      <c r="J1138" s="50">
        <v>0</v>
      </c>
      <c r="K1138" s="31">
        <f t="shared" si="200"/>
        <v>0</v>
      </c>
      <c r="L1138" s="50">
        <v>0</v>
      </c>
      <c r="M1138" s="31">
        <f t="shared" si="201"/>
        <v>0</v>
      </c>
      <c r="N1138" s="50">
        <v>0</v>
      </c>
      <c r="O1138" s="31">
        <f t="shared" si="202"/>
        <v>0</v>
      </c>
      <c r="P1138" s="51" t="s">
        <v>2071</v>
      </c>
      <c r="Q1138" s="51"/>
    </row>
    <row r="1139" spans="1:17" x14ac:dyDescent="0.25">
      <c r="A1139" s="10">
        <v>44516</v>
      </c>
      <c r="B1139" s="594">
        <v>0</v>
      </c>
      <c r="C1139" s="31">
        <f t="shared" si="196"/>
        <v>93749450.760000005</v>
      </c>
      <c r="D1139" s="50">
        <v>0</v>
      </c>
      <c r="E1139" s="31">
        <f t="shared" si="197"/>
        <v>-109429.46</v>
      </c>
      <c r="F1139" s="900">
        <v>0</v>
      </c>
      <c r="G1139" s="899">
        <f t="shared" si="198"/>
        <v>5775.66</v>
      </c>
      <c r="H1139" s="50">
        <v>-7041.22</v>
      </c>
      <c r="I1139" s="31">
        <f t="shared" si="199"/>
        <v>-7041.22</v>
      </c>
      <c r="J1139" s="50">
        <v>0</v>
      </c>
      <c r="K1139" s="31">
        <f t="shared" si="200"/>
        <v>0</v>
      </c>
      <c r="L1139" s="50">
        <v>0</v>
      </c>
      <c r="M1139" s="31">
        <f t="shared" si="201"/>
        <v>0</v>
      </c>
      <c r="N1139" s="50">
        <v>0</v>
      </c>
      <c r="O1139" s="31">
        <f t="shared" si="202"/>
        <v>0</v>
      </c>
      <c r="P1139" s="51" t="s">
        <v>3942</v>
      </c>
      <c r="Q1139" s="51"/>
    </row>
    <row r="1140" spans="1:17" x14ac:dyDescent="0.25">
      <c r="A1140" s="10">
        <v>44516</v>
      </c>
      <c r="B1140" s="594">
        <v>0</v>
      </c>
      <c r="C1140" s="31">
        <f t="shared" si="196"/>
        <v>93749450.760000005</v>
      </c>
      <c r="D1140" s="50">
        <v>0</v>
      </c>
      <c r="E1140" s="31">
        <f t="shared" si="197"/>
        <v>-109429.46</v>
      </c>
      <c r="F1140" s="900">
        <v>0</v>
      </c>
      <c r="G1140" s="899">
        <f t="shared" si="198"/>
        <v>5775.66</v>
      </c>
      <c r="H1140" s="50">
        <v>-500</v>
      </c>
      <c r="I1140" s="31">
        <f t="shared" si="199"/>
        <v>-7541.22</v>
      </c>
      <c r="J1140" s="50">
        <v>0</v>
      </c>
      <c r="K1140" s="31">
        <f t="shared" si="200"/>
        <v>0</v>
      </c>
      <c r="L1140" s="50">
        <v>0</v>
      </c>
      <c r="M1140" s="31">
        <f t="shared" si="201"/>
        <v>0</v>
      </c>
      <c r="N1140" s="50">
        <v>0</v>
      </c>
      <c r="O1140" s="31">
        <f t="shared" si="202"/>
        <v>0</v>
      </c>
      <c r="P1140" s="51" t="s">
        <v>3942</v>
      </c>
      <c r="Q1140" s="51"/>
    </row>
    <row r="1141" spans="1:17" x14ac:dyDescent="0.25">
      <c r="A1141" s="10">
        <v>44516</v>
      </c>
      <c r="B1141" s="594">
        <v>0</v>
      </c>
      <c r="C1141" s="31">
        <f t="shared" si="196"/>
        <v>93749450.760000005</v>
      </c>
      <c r="D1141" s="50">
        <f>-E1140</f>
        <v>109429.46</v>
      </c>
      <c r="E1141" s="31">
        <f t="shared" si="197"/>
        <v>0</v>
      </c>
      <c r="F1141" s="900">
        <v>0</v>
      </c>
      <c r="G1141" s="899">
        <f t="shared" si="198"/>
        <v>5775.66</v>
      </c>
      <c r="H1141" s="50">
        <f>-I1140</f>
        <v>7541.22</v>
      </c>
      <c r="I1141" s="31">
        <f t="shared" si="199"/>
        <v>0</v>
      </c>
      <c r="J1141" s="50">
        <v>0</v>
      </c>
      <c r="K1141" s="31">
        <f t="shared" si="200"/>
        <v>0</v>
      </c>
      <c r="L1141" s="50">
        <v>0</v>
      </c>
      <c r="M1141" s="31">
        <f t="shared" si="201"/>
        <v>0</v>
      </c>
      <c r="N1141" s="50">
        <v>0</v>
      </c>
      <c r="O1141" s="31">
        <f t="shared" si="202"/>
        <v>0</v>
      </c>
      <c r="P1141" s="51" t="s">
        <v>845</v>
      </c>
      <c r="Q1141" s="51"/>
    </row>
    <row r="1142" spans="1:17" x14ac:dyDescent="0.25">
      <c r="A1142" s="10">
        <v>44518</v>
      </c>
      <c r="B1142" s="594">
        <v>0</v>
      </c>
      <c r="C1142" s="31">
        <f t="shared" si="196"/>
        <v>93749450.760000005</v>
      </c>
      <c r="D1142" s="50">
        <v>0</v>
      </c>
      <c r="E1142" s="31">
        <f t="shared" si="197"/>
        <v>0</v>
      </c>
      <c r="F1142" s="900">
        <v>0</v>
      </c>
      <c r="G1142" s="899">
        <f t="shared" si="198"/>
        <v>5775.66</v>
      </c>
      <c r="H1142" s="50">
        <v>-147.38</v>
      </c>
      <c r="I1142" s="31">
        <f t="shared" si="199"/>
        <v>-147.38</v>
      </c>
      <c r="J1142" s="50">
        <v>0</v>
      </c>
      <c r="K1142" s="31">
        <f t="shared" si="200"/>
        <v>0</v>
      </c>
      <c r="L1142" s="50">
        <v>0</v>
      </c>
      <c r="M1142" s="31">
        <f t="shared" si="201"/>
        <v>0</v>
      </c>
      <c r="N1142" s="50">
        <v>0</v>
      </c>
      <c r="O1142" s="31">
        <f t="shared" si="202"/>
        <v>0</v>
      </c>
      <c r="P1142" s="51" t="s">
        <v>3972</v>
      </c>
      <c r="Q1142" s="51"/>
    </row>
    <row r="1143" spans="1:17" x14ac:dyDescent="0.25">
      <c r="A1143" s="10">
        <v>44519</v>
      </c>
      <c r="B1143" s="594">
        <v>0</v>
      </c>
      <c r="C1143" s="31">
        <f t="shared" si="196"/>
        <v>93749450.760000005</v>
      </c>
      <c r="D1143" s="50">
        <v>0</v>
      </c>
      <c r="E1143" s="31">
        <f t="shared" si="197"/>
        <v>0</v>
      </c>
      <c r="F1143" s="900">
        <v>0</v>
      </c>
      <c r="G1143" s="899">
        <f t="shared" si="198"/>
        <v>5775.66</v>
      </c>
      <c r="H1143" s="50">
        <v>147.38</v>
      </c>
      <c r="I1143" s="31">
        <f t="shared" si="199"/>
        <v>0</v>
      </c>
      <c r="J1143" s="50">
        <v>0</v>
      </c>
      <c r="K1143" s="31">
        <f t="shared" si="200"/>
        <v>0</v>
      </c>
      <c r="L1143" s="50">
        <v>0</v>
      </c>
      <c r="M1143" s="31">
        <f t="shared" si="201"/>
        <v>0</v>
      </c>
      <c r="N1143" s="50">
        <v>0</v>
      </c>
      <c r="O1143" s="31">
        <f t="shared" si="202"/>
        <v>0</v>
      </c>
      <c r="P1143" s="51" t="s">
        <v>845</v>
      </c>
      <c r="Q1143" s="51"/>
    </row>
    <row r="1144" spans="1:17" x14ac:dyDescent="0.25">
      <c r="A1144" s="10">
        <v>44524</v>
      </c>
      <c r="B1144" s="594">
        <v>0</v>
      </c>
      <c r="C1144" s="31">
        <f t="shared" si="196"/>
        <v>93749450.760000005</v>
      </c>
      <c r="D1144" s="50">
        <v>24073.52</v>
      </c>
      <c r="E1144" s="31">
        <f t="shared" si="197"/>
        <v>24073.52</v>
      </c>
      <c r="F1144" s="900">
        <v>0</v>
      </c>
      <c r="G1144" s="899">
        <f t="shared" si="198"/>
        <v>5775.66</v>
      </c>
      <c r="H1144" s="50">
        <v>0</v>
      </c>
      <c r="I1144" s="31">
        <f t="shared" si="199"/>
        <v>0</v>
      </c>
      <c r="J1144" s="50">
        <v>0</v>
      </c>
      <c r="K1144" s="31">
        <f t="shared" si="200"/>
        <v>0</v>
      </c>
      <c r="L1144" s="50">
        <v>0</v>
      </c>
      <c r="M1144" s="31">
        <f t="shared" si="201"/>
        <v>0</v>
      </c>
      <c r="N1144" s="50">
        <v>0</v>
      </c>
      <c r="O1144" s="31">
        <f t="shared" si="202"/>
        <v>0</v>
      </c>
      <c r="P1144" s="51" t="s">
        <v>2947</v>
      </c>
      <c r="Q1144" s="51"/>
    </row>
    <row r="1145" spans="1:17" x14ac:dyDescent="0.25">
      <c r="A1145" s="10">
        <v>44524</v>
      </c>
      <c r="B1145" s="594">
        <v>0</v>
      </c>
      <c r="C1145" s="31">
        <f t="shared" si="196"/>
        <v>93749450.760000005</v>
      </c>
      <c r="D1145" s="50">
        <f>-D1144</f>
        <v>-24073.52</v>
      </c>
      <c r="E1145" s="31">
        <f t="shared" si="197"/>
        <v>0</v>
      </c>
      <c r="F1145" s="900">
        <v>0</v>
      </c>
      <c r="G1145" s="899">
        <f t="shared" si="198"/>
        <v>5775.66</v>
      </c>
      <c r="H1145" s="50">
        <v>0</v>
      </c>
      <c r="I1145" s="31">
        <f t="shared" si="199"/>
        <v>0</v>
      </c>
      <c r="J1145" s="50">
        <v>0</v>
      </c>
      <c r="K1145" s="31">
        <f t="shared" si="200"/>
        <v>0</v>
      </c>
      <c r="L1145" s="50">
        <v>0</v>
      </c>
      <c r="M1145" s="31">
        <f t="shared" si="201"/>
        <v>0</v>
      </c>
      <c r="N1145" s="50">
        <v>0</v>
      </c>
      <c r="O1145" s="31">
        <f t="shared" si="202"/>
        <v>0</v>
      </c>
      <c r="P1145" s="51" t="s">
        <v>845</v>
      </c>
      <c r="Q1145" s="51"/>
    </row>
    <row r="1146" spans="1:17" x14ac:dyDescent="0.25">
      <c r="A1146" s="10">
        <v>44526</v>
      </c>
      <c r="B1146" s="594">
        <v>0</v>
      </c>
      <c r="C1146" s="31">
        <f t="shared" si="196"/>
        <v>93749450.760000005</v>
      </c>
      <c r="D1146" s="50">
        <v>7652.06</v>
      </c>
      <c r="E1146" s="31">
        <f t="shared" si="197"/>
        <v>7652.06</v>
      </c>
      <c r="F1146" s="900">
        <v>0</v>
      </c>
      <c r="G1146" s="899">
        <f t="shared" si="198"/>
        <v>5775.66</v>
      </c>
      <c r="H1146" s="50">
        <v>0</v>
      </c>
      <c r="I1146" s="31">
        <f t="shared" si="199"/>
        <v>0</v>
      </c>
      <c r="J1146" s="50">
        <v>0</v>
      </c>
      <c r="K1146" s="31">
        <f t="shared" si="200"/>
        <v>0</v>
      </c>
      <c r="L1146" s="50">
        <v>0</v>
      </c>
      <c r="M1146" s="31">
        <f t="shared" si="201"/>
        <v>0</v>
      </c>
      <c r="N1146" s="50">
        <v>0</v>
      </c>
      <c r="O1146" s="31">
        <f t="shared" si="202"/>
        <v>0</v>
      </c>
      <c r="P1146" s="51" t="s">
        <v>3934</v>
      </c>
      <c r="Q1146" s="51"/>
    </row>
    <row r="1147" spans="1:17" x14ac:dyDescent="0.25">
      <c r="A1147" s="10">
        <v>44526</v>
      </c>
      <c r="B1147" s="594">
        <v>0</v>
      </c>
      <c r="C1147" s="31">
        <f t="shared" si="196"/>
        <v>93749450.760000005</v>
      </c>
      <c r="D1147" s="50">
        <v>-7652.06</v>
      </c>
      <c r="E1147" s="31">
        <f t="shared" si="197"/>
        <v>0</v>
      </c>
      <c r="F1147" s="900">
        <v>0</v>
      </c>
      <c r="G1147" s="899">
        <f t="shared" si="198"/>
        <v>5775.66</v>
      </c>
      <c r="H1147" s="50">
        <v>0</v>
      </c>
      <c r="I1147" s="31">
        <f t="shared" si="199"/>
        <v>0</v>
      </c>
      <c r="J1147" s="50">
        <v>0</v>
      </c>
      <c r="K1147" s="31">
        <f t="shared" si="200"/>
        <v>0</v>
      </c>
      <c r="L1147" s="50">
        <v>0</v>
      </c>
      <c r="M1147" s="31">
        <f t="shared" si="201"/>
        <v>0</v>
      </c>
      <c r="N1147" s="50">
        <v>0</v>
      </c>
      <c r="O1147" s="31">
        <f t="shared" si="202"/>
        <v>0</v>
      </c>
      <c r="P1147" s="51" t="s">
        <v>845</v>
      </c>
      <c r="Q1147" s="51"/>
    </row>
    <row r="1148" spans="1:17" x14ac:dyDescent="0.25">
      <c r="A1148" s="10">
        <v>44529</v>
      </c>
      <c r="B1148" s="594">
        <v>0</v>
      </c>
      <c r="C1148" s="31">
        <f t="shared" si="196"/>
        <v>93749450.760000005</v>
      </c>
      <c r="D1148" s="50">
        <v>262000</v>
      </c>
      <c r="E1148" s="31">
        <f t="shared" si="197"/>
        <v>262000</v>
      </c>
      <c r="F1148" s="900">
        <v>0</v>
      </c>
      <c r="G1148" s="899">
        <f t="shared" si="198"/>
        <v>5775.66</v>
      </c>
      <c r="H1148" s="50">
        <v>0</v>
      </c>
      <c r="I1148" s="31">
        <f t="shared" si="199"/>
        <v>0</v>
      </c>
      <c r="J1148" s="50">
        <v>0</v>
      </c>
      <c r="K1148" s="31">
        <f t="shared" si="200"/>
        <v>0</v>
      </c>
      <c r="L1148" s="50">
        <v>0</v>
      </c>
      <c r="M1148" s="31">
        <f t="shared" si="201"/>
        <v>0</v>
      </c>
      <c r="N1148" s="50">
        <v>0</v>
      </c>
      <c r="O1148" s="31">
        <f t="shared" si="202"/>
        <v>0</v>
      </c>
      <c r="P1148" s="51" t="s">
        <v>2831</v>
      </c>
      <c r="Q1148" s="51"/>
    </row>
    <row r="1149" spans="1:17" x14ac:dyDescent="0.25">
      <c r="A1149" s="10">
        <v>44529</v>
      </c>
      <c r="B1149" s="594">
        <v>0</v>
      </c>
      <c r="C1149" s="31">
        <f t="shared" si="196"/>
        <v>93749450.760000005</v>
      </c>
      <c r="D1149" s="50">
        <v>-262000</v>
      </c>
      <c r="E1149" s="31">
        <f t="shared" si="197"/>
        <v>0</v>
      </c>
      <c r="F1149" s="900">
        <v>0</v>
      </c>
      <c r="G1149" s="899">
        <f t="shared" si="198"/>
        <v>5775.66</v>
      </c>
      <c r="H1149" s="50">
        <v>0</v>
      </c>
      <c r="I1149" s="31">
        <f t="shared" si="199"/>
        <v>0</v>
      </c>
      <c r="J1149" s="50">
        <v>0</v>
      </c>
      <c r="K1149" s="31">
        <f t="shared" si="200"/>
        <v>0</v>
      </c>
      <c r="L1149" s="50">
        <v>0</v>
      </c>
      <c r="M1149" s="31">
        <f t="shared" si="201"/>
        <v>0</v>
      </c>
      <c r="N1149" s="50">
        <v>0</v>
      </c>
      <c r="O1149" s="31">
        <f t="shared" si="202"/>
        <v>0</v>
      </c>
      <c r="P1149" s="51" t="s">
        <v>845</v>
      </c>
      <c r="Q1149" s="51"/>
    </row>
    <row r="1150" spans="1:17" x14ac:dyDescent="0.25">
      <c r="A1150" s="10">
        <v>44530</v>
      </c>
      <c r="B1150" s="594">
        <v>0</v>
      </c>
      <c r="C1150" s="31">
        <f t="shared" si="196"/>
        <v>93749450.760000005</v>
      </c>
      <c r="D1150" s="50">
        <v>-17223.93</v>
      </c>
      <c r="E1150" s="31">
        <f t="shared" si="197"/>
        <v>-17223.93</v>
      </c>
      <c r="F1150" s="900">
        <v>0</v>
      </c>
      <c r="G1150" s="899">
        <f t="shared" si="198"/>
        <v>5775.66</v>
      </c>
      <c r="H1150" s="50">
        <f>-D1150</f>
        <v>17223.93</v>
      </c>
      <c r="I1150" s="31">
        <f t="shared" si="199"/>
        <v>17223.93</v>
      </c>
      <c r="J1150" s="50">
        <v>0</v>
      </c>
      <c r="K1150" s="31">
        <f t="shared" si="200"/>
        <v>0</v>
      </c>
      <c r="L1150" s="50">
        <v>0</v>
      </c>
      <c r="M1150" s="31">
        <f t="shared" si="201"/>
        <v>0</v>
      </c>
      <c r="N1150" s="50">
        <v>0</v>
      </c>
      <c r="O1150" s="31">
        <f t="shared" si="202"/>
        <v>0</v>
      </c>
      <c r="P1150" s="51" t="s">
        <v>1155</v>
      </c>
      <c r="Q1150" s="51"/>
    </row>
    <row r="1151" spans="1:17" x14ac:dyDescent="0.25">
      <c r="A1151" s="10">
        <v>44530</v>
      </c>
      <c r="B1151" s="594">
        <v>0</v>
      </c>
      <c r="C1151" s="31">
        <f t="shared" si="196"/>
        <v>93749450.760000005</v>
      </c>
      <c r="D1151" s="50">
        <v>-132869.34</v>
      </c>
      <c r="E1151" s="31">
        <f t="shared" si="197"/>
        <v>-150093.26999999999</v>
      </c>
      <c r="F1151" s="900">
        <v>0</v>
      </c>
      <c r="G1151" s="899">
        <f t="shared" si="198"/>
        <v>5775.66</v>
      </c>
      <c r="H1151" s="50">
        <v>0</v>
      </c>
      <c r="I1151" s="31">
        <f t="shared" si="199"/>
        <v>17223.93</v>
      </c>
      <c r="J1151" s="50">
        <v>0</v>
      </c>
      <c r="K1151" s="31">
        <f t="shared" si="200"/>
        <v>0</v>
      </c>
      <c r="L1151" s="50">
        <f>-D1151</f>
        <v>132869.34</v>
      </c>
      <c r="M1151" s="31">
        <f t="shared" si="201"/>
        <v>132869.34</v>
      </c>
      <c r="N1151" s="50">
        <v>0</v>
      </c>
      <c r="O1151" s="31">
        <f t="shared" si="202"/>
        <v>0</v>
      </c>
      <c r="P1151" s="51" t="s">
        <v>3398</v>
      </c>
      <c r="Q1151" s="51"/>
    </row>
    <row r="1152" spans="1:17" x14ac:dyDescent="0.25">
      <c r="A1152" s="10">
        <v>44530</v>
      </c>
      <c r="B1152" s="594">
        <v>0</v>
      </c>
      <c r="C1152" s="31">
        <f t="shared" si="196"/>
        <v>93749450.760000005</v>
      </c>
      <c r="D1152" s="50">
        <v>129734.88</v>
      </c>
      <c r="E1152" s="31">
        <f t="shared" si="197"/>
        <v>-20358.39</v>
      </c>
      <c r="F1152" s="900">
        <v>0</v>
      </c>
      <c r="G1152" s="899">
        <f t="shared" si="198"/>
        <v>5775.66</v>
      </c>
      <c r="H1152" s="50">
        <v>0</v>
      </c>
      <c r="I1152" s="31">
        <f t="shared" si="199"/>
        <v>17223.93</v>
      </c>
      <c r="J1152" s="50">
        <v>0</v>
      </c>
      <c r="K1152" s="31">
        <f t="shared" si="200"/>
        <v>0</v>
      </c>
      <c r="L1152" s="50">
        <v>0</v>
      </c>
      <c r="M1152" s="31">
        <f t="shared" si="201"/>
        <v>132869.34</v>
      </c>
      <c r="N1152" s="50">
        <v>0</v>
      </c>
      <c r="O1152" s="31">
        <f t="shared" si="202"/>
        <v>0</v>
      </c>
      <c r="P1152" s="51" t="s">
        <v>3997</v>
      </c>
      <c r="Q1152" s="51"/>
    </row>
    <row r="1153" spans="1:17" x14ac:dyDescent="0.25">
      <c r="A1153" s="10">
        <v>44530</v>
      </c>
      <c r="B1153" s="594">
        <v>0</v>
      </c>
      <c r="C1153" s="31">
        <f t="shared" si="196"/>
        <v>93749450.760000005</v>
      </c>
      <c r="D1153" s="50">
        <v>128987.5</v>
      </c>
      <c r="E1153" s="31">
        <f t="shared" si="197"/>
        <v>108629.11</v>
      </c>
      <c r="F1153" s="900">
        <v>0</v>
      </c>
      <c r="G1153" s="899">
        <f t="shared" si="198"/>
        <v>5775.66</v>
      </c>
      <c r="H1153" s="50">
        <v>0</v>
      </c>
      <c r="I1153" s="31">
        <f t="shared" si="199"/>
        <v>17223.93</v>
      </c>
      <c r="J1153" s="50">
        <v>0</v>
      </c>
      <c r="K1153" s="31">
        <f t="shared" si="200"/>
        <v>0</v>
      </c>
      <c r="L1153" s="50">
        <v>0</v>
      </c>
      <c r="M1153" s="31">
        <f t="shared" si="201"/>
        <v>132869.34</v>
      </c>
      <c r="N1153" s="50">
        <v>0</v>
      </c>
      <c r="O1153" s="31">
        <f t="shared" si="202"/>
        <v>0</v>
      </c>
      <c r="P1153" s="51" t="s">
        <v>3998</v>
      </c>
      <c r="Q1153" s="51"/>
    </row>
    <row r="1154" spans="1:17" x14ac:dyDescent="0.25">
      <c r="A1154" s="10">
        <v>44530</v>
      </c>
      <c r="B1154" s="594">
        <v>0</v>
      </c>
      <c r="C1154" s="31">
        <f t="shared" si="196"/>
        <v>93749450.760000005</v>
      </c>
      <c r="D1154" s="50">
        <v>-108629.11</v>
      </c>
      <c r="E1154" s="31">
        <f t="shared" si="197"/>
        <v>0</v>
      </c>
      <c r="F1154" s="900">
        <v>0</v>
      </c>
      <c r="G1154" s="899">
        <f t="shared" si="198"/>
        <v>5775.66</v>
      </c>
      <c r="H1154" s="50">
        <f>-I1153</f>
        <v>-17223.93</v>
      </c>
      <c r="I1154" s="31">
        <f t="shared" si="199"/>
        <v>0</v>
      </c>
      <c r="J1154" s="50">
        <v>0</v>
      </c>
      <c r="K1154" s="31">
        <f t="shared" si="200"/>
        <v>0</v>
      </c>
      <c r="L1154" s="50">
        <f>-M1153</f>
        <v>-132869.34</v>
      </c>
      <c r="M1154" s="31">
        <f t="shared" si="201"/>
        <v>0</v>
      </c>
      <c r="N1154" s="50">
        <v>0</v>
      </c>
      <c r="O1154" s="31">
        <f t="shared" si="202"/>
        <v>0</v>
      </c>
      <c r="P1154" s="51" t="s">
        <v>845</v>
      </c>
      <c r="Q1154" s="51"/>
    </row>
    <row r="1155" spans="1:17" x14ac:dyDescent="0.25">
      <c r="A1155" s="10">
        <v>44531</v>
      </c>
      <c r="B1155" s="594">
        <v>0</v>
      </c>
      <c r="C1155" s="31">
        <f t="shared" si="196"/>
        <v>93749450.760000005</v>
      </c>
      <c r="D1155" s="50">
        <v>0</v>
      </c>
      <c r="E1155" s="31">
        <f t="shared" si="197"/>
        <v>0</v>
      </c>
      <c r="F1155" s="900">
        <v>0</v>
      </c>
      <c r="G1155" s="899">
        <f t="shared" si="198"/>
        <v>5775.66</v>
      </c>
      <c r="H1155" s="50">
        <v>0</v>
      </c>
      <c r="I1155" s="31">
        <f t="shared" si="199"/>
        <v>0</v>
      </c>
      <c r="J1155" s="50">
        <v>0</v>
      </c>
      <c r="K1155" s="31">
        <f t="shared" si="200"/>
        <v>0</v>
      </c>
      <c r="L1155" s="50">
        <v>-132869.34</v>
      </c>
      <c r="M1155" s="31">
        <f t="shared" si="201"/>
        <v>-132869.34</v>
      </c>
      <c r="N1155" s="50">
        <v>0</v>
      </c>
      <c r="O1155" s="31">
        <f t="shared" si="202"/>
        <v>0</v>
      </c>
      <c r="P1155" s="51" t="s">
        <v>4014</v>
      </c>
      <c r="Q1155" s="51"/>
    </row>
    <row r="1156" spans="1:17" x14ac:dyDescent="0.25">
      <c r="A1156" s="10">
        <v>44531</v>
      </c>
      <c r="B1156" s="594">
        <v>0</v>
      </c>
      <c r="C1156" s="31">
        <f t="shared" si="196"/>
        <v>93749450.760000005</v>
      </c>
      <c r="D1156" s="50">
        <v>0</v>
      </c>
      <c r="E1156" s="31">
        <f t="shared" si="197"/>
        <v>0</v>
      </c>
      <c r="F1156" s="900">
        <v>0</v>
      </c>
      <c r="G1156" s="899">
        <f t="shared" si="198"/>
        <v>5775.66</v>
      </c>
      <c r="H1156" s="50">
        <v>0</v>
      </c>
      <c r="I1156" s="31">
        <f t="shared" si="199"/>
        <v>0</v>
      </c>
      <c r="J1156" s="50">
        <v>0</v>
      </c>
      <c r="K1156" s="31">
        <f t="shared" si="200"/>
        <v>0</v>
      </c>
      <c r="L1156" s="50">
        <v>132869.34</v>
      </c>
      <c r="M1156" s="31">
        <f t="shared" si="201"/>
        <v>0</v>
      </c>
      <c r="N1156" s="50">
        <v>0</v>
      </c>
      <c r="O1156" s="31">
        <f t="shared" si="202"/>
        <v>0</v>
      </c>
      <c r="P1156" s="51" t="s">
        <v>845</v>
      </c>
      <c r="Q1156" s="51"/>
    </row>
    <row r="1157" spans="1:17" x14ac:dyDescent="0.25">
      <c r="A1157" s="10">
        <v>44532</v>
      </c>
      <c r="B1157" s="594">
        <v>0</v>
      </c>
      <c r="C1157" s="31">
        <f t="shared" si="196"/>
        <v>93749450.760000005</v>
      </c>
      <c r="D1157" s="50">
        <f>-D1152</f>
        <v>-129734.88</v>
      </c>
      <c r="E1157" s="31">
        <f t="shared" si="197"/>
        <v>-129734.88</v>
      </c>
      <c r="F1157" s="900">
        <v>0</v>
      </c>
      <c r="G1157" s="899">
        <f t="shared" si="198"/>
        <v>5775.66</v>
      </c>
      <c r="H1157" s="50">
        <v>0</v>
      </c>
      <c r="I1157" s="31">
        <f t="shared" si="199"/>
        <v>0</v>
      </c>
      <c r="J1157" s="50">
        <v>0</v>
      </c>
      <c r="K1157" s="31">
        <f t="shared" si="200"/>
        <v>0</v>
      </c>
      <c r="L1157" s="50">
        <v>0</v>
      </c>
      <c r="M1157" s="31">
        <f t="shared" si="201"/>
        <v>0</v>
      </c>
      <c r="N1157" s="50">
        <v>0</v>
      </c>
      <c r="O1157" s="31">
        <f t="shared" si="202"/>
        <v>0</v>
      </c>
      <c r="P1157" s="51" t="s">
        <v>4022</v>
      </c>
      <c r="Q1157" s="51"/>
    </row>
    <row r="1158" spans="1:17" x14ac:dyDescent="0.25">
      <c r="A1158" s="10">
        <v>44532</v>
      </c>
      <c r="B1158" s="594">
        <v>0</v>
      </c>
      <c r="C1158" s="31">
        <f t="shared" si="196"/>
        <v>93749450.760000005</v>
      </c>
      <c r="D1158" s="50">
        <v>200.99</v>
      </c>
      <c r="E1158" s="31">
        <f t="shared" si="197"/>
        <v>-129533.89</v>
      </c>
      <c r="F1158" s="900">
        <v>0</v>
      </c>
      <c r="G1158" s="899">
        <f t="shared" si="198"/>
        <v>5775.66</v>
      </c>
      <c r="H1158" s="50">
        <v>0</v>
      </c>
      <c r="I1158" s="31">
        <f t="shared" si="199"/>
        <v>0</v>
      </c>
      <c r="J1158" s="50">
        <v>0</v>
      </c>
      <c r="K1158" s="31">
        <f t="shared" si="200"/>
        <v>0</v>
      </c>
      <c r="L1158" s="50">
        <v>0</v>
      </c>
      <c r="M1158" s="31">
        <f t="shared" si="201"/>
        <v>0</v>
      </c>
      <c r="N1158" s="50">
        <v>0</v>
      </c>
      <c r="O1158" s="31">
        <f t="shared" si="202"/>
        <v>0</v>
      </c>
      <c r="P1158" s="51" t="s">
        <v>4023</v>
      </c>
      <c r="Q1158" s="51"/>
    </row>
    <row r="1159" spans="1:17" x14ac:dyDescent="0.25">
      <c r="A1159" s="10">
        <v>44532</v>
      </c>
      <c r="B1159" s="594">
        <v>0</v>
      </c>
      <c r="C1159" s="31">
        <f t="shared" si="196"/>
        <v>93749450.760000005</v>
      </c>
      <c r="D1159" s="50">
        <v>-764615.63</v>
      </c>
      <c r="E1159" s="31">
        <f t="shared" si="197"/>
        <v>-894149.52</v>
      </c>
      <c r="F1159" s="900">
        <v>0</v>
      </c>
      <c r="G1159" s="899">
        <f t="shared" si="198"/>
        <v>5775.66</v>
      </c>
      <c r="H1159" s="50">
        <v>0</v>
      </c>
      <c r="I1159" s="31">
        <f t="shared" si="199"/>
        <v>0</v>
      </c>
      <c r="J1159" s="50">
        <v>0</v>
      </c>
      <c r="K1159" s="31">
        <f t="shared" si="200"/>
        <v>0</v>
      </c>
      <c r="L1159" s="50">
        <v>0</v>
      </c>
      <c r="M1159" s="31">
        <f t="shared" si="201"/>
        <v>0</v>
      </c>
      <c r="N1159" s="50">
        <v>0</v>
      </c>
      <c r="O1159" s="31">
        <f t="shared" si="202"/>
        <v>0</v>
      </c>
      <c r="P1159" s="51" t="s">
        <v>4024</v>
      </c>
      <c r="Q1159" s="51"/>
    </row>
    <row r="1160" spans="1:17" x14ac:dyDescent="0.25">
      <c r="A1160" s="10">
        <v>44532</v>
      </c>
      <c r="B1160" s="594">
        <v>0</v>
      </c>
      <c r="C1160" s="31">
        <f t="shared" si="196"/>
        <v>93749450.760000005</v>
      </c>
      <c r="D1160" s="50">
        <v>-945683.75</v>
      </c>
      <c r="E1160" s="31">
        <f t="shared" si="197"/>
        <v>-1839833.27</v>
      </c>
      <c r="F1160" s="900">
        <v>0</v>
      </c>
      <c r="G1160" s="899">
        <f t="shared" si="198"/>
        <v>5775.66</v>
      </c>
      <c r="H1160" s="50">
        <v>0</v>
      </c>
      <c r="I1160" s="31">
        <f t="shared" si="199"/>
        <v>0</v>
      </c>
      <c r="J1160" s="50">
        <v>0</v>
      </c>
      <c r="K1160" s="31">
        <f t="shared" si="200"/>
        <v>0</v>
      </c>
      <c r="L1160" s="50">
        <v>0</v>
      </c>
      <c r="M1160" s="31">
        <f t="shared" si="201"/>
        <v>0</v>
      </c>
      <c r="N1160" s="50">
        <v>0</v>
      </c>
      <c r="O1160" s="31">
        <f t="shared" si="202"/>
        <v>0</v>
      </c>
      <c r="P1160" s="51" t="s">
        <v>4025</v>
      </c>
      <c r="Q1160" s="51"/>
    </row>
    <row r="1161" spans="1:17" x14ac:dyDescent="0.25">
      <c r="A1161" s="10">
        <v>44532</v>
      </c>
      <c r="B1161" s="594">
        <v>0</v>
      </c>
      <c r="C1161" s="31">
        <f t="shared" si="196"/>
        <v>93749450.760000005</v>
      </c>
      <c r="D1161" s="50">
        <v>129533.89</v>
      </c>
      <c r="E1161" s="31">
        <f t="shared" si="197"/>
        <v>-1710299.38</v>
      </c>
      <c r="F1161" s="900">
        <v>0</v>
      </c>
      <c r="G1161" s="899">
        <f t="shared" si="198"/>
        <v>5775.66</v>
      </c>
      <c r="H1161" s="50">
        <v>0</v>
      </c>
      <c r="I1161" s="31">
        <f t="shared" si="199"/>
        <v>0</v>
      </c>
      <c r="J1161" s="50">
        <v>0</v>
      </c>
      <c r="K1161" s="31">
        <f t="shared" si="200"/>
        <v>0</v>
      </c>
      <c r="L1161" s="50">
        <v>0</v>
      </c>
      <c r="M1161" s="31">
        <f t="shared" si="201"/>
        <v>0</v>
      </c>
      <c r="N1161" s="50">
        <v>0</v>
      </c>
      <c r="O1161" s="31">
        <f t="shared" si="202"/>
        <v>0</v>
      </c>
      <c r="P1161" s="51" t="s">
        <v>845</v>
      </c>
      <c r="Q1161" s="51"/>
    </row>
    <row r="1162" spans="1:17" x14ac:dyDescent="0.25">
      <c r="A1162" s="10">
        <v>44532</v>
      </c>
      <c r="B1162" s="594">
        <v>0</v>
      </c>
      <c r="C1162" s="31">
        <f t="shared" si="196"/>
        <v>93749450.760000005</v>
      </c>
      <c r="D1162" s="50">
        <v>65.330000000540167</v>
      </c>
      <c r="E1162" s="31">
        <f t="shared" si="197"/>
        <v>-1710234.05</v>
      </c>
      <c r="F1162" s="900">
        <v>0</v>
      </c>
      <c r="G1162" s="899">
        <f t="shared" si="198"/>
        <v>5775.66</v>
      </c>
      <c r="H1162" s="50">
        <v>1.5</v>
      </c>
      <c r="I1162" s="31">
        <f t="shared" si="199"/>
        <v>1.5</v>
      </c>
      <c r="J1162" s="50">
        <v>0</v>
      </c>
      <c r="K1162" s="31">
        <f t="shared" si="200"/>
        <v>0</v>
      </c>
      <c r="L1162" s="50">
        <v>0.11388888901914385</v>
      </c>
      <c r="M1162" s="31">
        <f t="shared" si="201"/>
        <v>0.11</v>
      </c>
      <c r="N1162" s="50">
        <v>0</v>
      </c>
      <c r="O1162" s="31">
        <f t="shared" si="202"/>
        <v>0</v>
      </c>
      <c r="P1162" s="51" t="s">
        <v>2718</v>
      </c>
      <c r="Q1162" s="51"/>
    </row>
    <row r="1163" spans="1:17" x14ac:dyDescent="0.25">
      <c r="A1163" s="10">
        <v>44532</v>
      </c>
      <c r="B1163" s="594">
        <v>0</v>
      </c>
      <c r="C1163" s="31">
        <f t="shared" si="196"/>
        <v>93749450.760000005</v>
      </c>
      <c r="D1163" s="50">
        <v>-65.330000000540167</v>
      </c>
      <c r="E1163" s="31">
        <f t="shared" si="197"/>
        <v>-1710299.38</v>
      </c>
      <c r="F1163" s="900">
        <v>0</v>
      </c>
      <c r="G1163" s="899">
        <f t="shared" si="198"/>
        <v>5775.66</v>
      </c>
      <c r="H1163" s="50">
        <v>-1.5</v>
      </c>
      <c r="I1163" s="31">
        <f t="shared" si="199"/>
        <v>0</v>
      </c>
      <c r="J1163" s="50">
        <v>0</v>
      </c>
      <c r="K1163" s="31">
        <f t="shared" si="200"/>
        <v>0</v>
      </c>
      <c r="L1163" s="50">
        <v>-0.11388888901914385</v>
      </c>
      <c r="M1163" s="31">
        <f t="shared" si="201"/>
        <v>0</v>
      </c>
      <c r="N1163" s="50">
        <v>0</v>
      </c>
      <c r="O1163" s="31">
        <f t="shared" si="202"/>
        <v>0</v>
      </c>
      <c r="P1163" s="51" t="s">
        <v>845</v>
      </c>
      <c r="Q1163" s="51"/>
    </row>
    <row r="1164" spans="1:17" x14ac:dyDescent="0.25">
      <c r="A1164" s="10">
        <v>44533</v>
      </c>
      <c r="B1164" s="594">
        <v>0</v>
      </c>
      <c r="C1164" s="31">
        <f t="shared" si="196"/>
        <v>93749450.760000005</v>
      </c>
      <c r="D1164" s="50">
        <v>-262000</v>
      </c>
      <c r="E1164" s="31">
        <f t="shared" si="197"/>
        <v>-1972299.38</v>
      </c>
      <c r="F1164" s="900">
        <v>0</v>
      </c>
      <c r="G1164" s="899">
        <f t="shared" si="198"/>
        <v>5775.66</v>
      </c>
      <c r="H1164" s="50">
        <v>0</v>
      </c>
      <c r="I1164" s="31">
        <f t="shared" si="199"/>
        <v>0</v>
      </c>
      <c r="J1164" s="50">
        <v>0</v>
      </c>
      <c r="K1164" s="31">
        <f t="shared" si="200"/>
        <v>0</v>
      </c>
      <c r="L1164" s="50">
        <v>0</v>
      </c>
      <c r="M1164" s="31">
        <f t="shared" si="201"/>
        <v>0</v>
      </c>
      <c r="N1164" s="50">
        <v>0</v>
      </c>
      <c r="O1164" s="31">
        <f t="shared" si="202"/>
        <v>0</v>
      </c>
      <c r="P1164" s="51" t="s">
        <v>4026</v>
      </c>
      <c r="Q1164" s="51"/>
    </row>
    <row r="1165" spans="1:17" x14ac:dyDescent="0.25">
      <c r="A1165" s="10">
        <v>44533</v>
      </c>
      <c r="B1165" s="594">
        <v>0</v>
      </c>
      <c r="C1165" s="31">
        <f t="shared" si="196"/>
        <v>93749450.760000005</v>
      </c>
      <c r="D1165" s="50">
        <v>1972299.38</v>
      </c>
      <c r="E1165" s="31">
        <f t="shared" si="197"/>
        <v>0</v>
      </c>
      <c r="F1165" s="900">
        <v>0</v>
      </c>
      <c r="G1165" s="899">
        <f t="shared" si="198"/>
        <v>5775.66</v>
      </c>
      <c r="H1165" s="50">
        <v>0</v>
      </c>
      <c r="I1165" s="31">
        <f t="shared" si="199"/>
        <v>0</v>
      </c>
      <c r="J1165" s="50">
        <v>0</v>
      </c>
      <c r="K1165" s="31">
        <f t="shared" si="200"/>
        <v>0</v>
      </c>
      <c r="L1165" s="50">
        <v>0</v>
      </c>
      <c r="M1165" s="31">
        <f t="shared" si="201"/>
        <v>0</v>
      </c>
      <c r="N1165" s="50">
        <v>0</v>
      </c>
      <c r="O1165" s="31">
        <f t="shared" si="202"/>
        <v>0</v>
      </c>
      <c r="P1165" s="51" t="s">
        <v>845</v>
      </c>
      <c r="Q1165" s="51"/>
    </row>
    <row r="1166" spans="1:17" x14ac:dyDescent="0.25">
      <c r="A1166" s="10">
        <v>44536</v>
      </c>
      <c r="B1166" s="594">
        <v>3000000</v>
      </c>
      <c r="C1166" s="31">
        <f t="shared" si="196"/>
        <v>96749450.760000005</v>
      </c>
      <c r="D1166" s="50">
        <v>0</v>
      </c>
      <c r="E1166" s="31">
        <f t="shared" si="197"/>
        <v>0</v>
      </c>
      <c r="F1166" s="900">
        <v>-3010933.33</v>
      </c>
      <c r="G1166" s="899">
        <f t="shared" si="198"/>
        <v>-3005157.67</v>
      </c>
      <c r="H1166" s="50">
        <v>0</v>
      </c>
      <c r="I1166" s="31">
        <f t="shared" si="199"/>
        <v>0</v>
      </c>
      <c r="J1166" s="50">
        <v>0</v>
      </c>
      <c r="K1166" s="31">
        <f t="shared" si="200"/>
        <v>0</v>
      </c>
      <c r="L1166" s="50">
        <v>0</v>
      </c>
      <c r="M1166" s="31">
        <f t="shared" si="201"/>
        <v>0</v>
      </c>
      <c r="N1166" s="50">
        <v>0</v>
      </c>
      <c r="O1166" s="31">
        <f t="shared" si="202"/>
        <v>0</v>
      </c>
      <c r="P1166" s="51" t="s">
        <v>1012</v>
      </c>
      <c r="Q1166" s="51"/>
    </row>
    <row r="1167" spans="1:17" x14ac:dyDescent="0.25">
      <c r="A1167" s="10">
        <v>44536</v>
      </c>
      <c r="B1167" s="594">
        <v>0</v>
      </c>
      <c r="C1167" s="31">
        <f t="shared" si="196"/>
        <v>96749450.760000005</v>
      </c>
      <c r="D1167" s="50">
        <v>0</v>
      </c>
      <c r="E1167" s="31">
        <f t="shared" si="197"/>
        <v>0</v>
      </c>
      <c r="F1167" s="900">
        <f>-F1166</f>
        <v>3010933.33</v>
      </c>
      <c r="G1167" s="899">
        <f t="shared" si="198"/>
        <v>5775.66</v>
      </c>
      <c r="H1167" s="50">
        <v>0</v>
      </c>
      <c r="I1167" s="31">
        <f t="shared" si="199"/>
        <v>0</v>
      </c>
      <c r="J1167" s="50">
        <v>0</v>
      </c>
      <c r="K1167" s="31">
        <f t="shared" si="200"/>
        <v>0</v>
      </c>
      <c r="L1167" s="50">
        <v>0</v>
      </c>
      <c r="M1167" s="31">
        <f t="shared" si="201"/>
        <v>0</v>
      </c>
      <c r="N1167" s="50">
        <v>0</v>
      </c>
      <c r="O1167" s="31">
        <f t="shared" si="202"/>
        <v>0</v>
      </c>
      <c r="P1167" s="51" t="s">
        <v>3435</v>
      </c>
      <c r="Q1167" s="51"/>
    </row>
    <row r="1168" spans="1:17" x14ac:dyDescent="0.25">
      <c r="A1168" s="10">
        <v>44536</v>
      </c>
      <c r="B1168" s="594">
        <v>2600000</v>
      </c>
      <c r="C1168" s="31">
        <f t="shared" si="196"/>
        <v>99349450.760000005</v>
      </c>
      <c r="D1168" s="50">
        <v>0</v>
      </c>
      <c r="E1168" s="31">
        <f t="shared" si="197"/>
        <v>0</v>
      </c>
      <c r="F1168" s="900">
        <v>-2613028.89</v>
      </c>
      <c r="G1168" s="899">
        <f t="shared" si="198"/>
        <v>-2607253.23</v>
      </c>
      <c r="H1168" s="50">
        <v>0</v>
      </c>
      <c r="I1168" s="31">
        <f t="shared" si="199"/>
        <v>0</v>
      </c>
      <c r="J1168" s="50">
        <v>0</v>
      </c>
      <c r="K1168" s="31">
        <f t="shared" si="200"/>
        <v>0</v>
      </c>
      <c r="L1168" s="50">
        <v>0</v>
      </c>
      <c r="M1168" s="31">
        <f t="shared" si="201"/>
        <v>0</v>
      </c>
      <c r="N1168" s="50">
        <v>0</v>
      </c>
      <c r="O1168" s="31">
        <f t="shared" si="202"/>
        <v>0</v>
      </c>
      <c r="P1168" s="51" t="s">
        <v>3420</v>
      </c>
      <c r="Q1168" s="51"/>
    </row>
    <row r="1169" spans="1:17" x14ac:dyDescent="0.25">
      <c r="A1169" s="10">
        <v>44536</v>
      </c>
      <c r="B1169" s="594">
        <v>0</v>
      </c>
      <c r="C1169" s="31">
        <f t="shared" si="196"/>
        <v>99349450.760000005</v>
      </c>
      <c r="D1169" s="50">
        <v>0</v>
      </c>
      <c r="E1169" s="31">
        <f t="shared" si="197"/>
        <v>0</v>
      </c>
      <c r="F1169" s="900">
        <f>-F1168</f>
        <v>2613028.89</v>
      </c>
      <c r="G1169" s="899">
        <f t="shared" si="198"/>
        <v>5775.66</v>
      </c>
      <c r="H1169" s="50">
        <v>0</v>
      </c>
      <c r="I1169" s="31">
        <f t="shared" si="199"/>
        <v>0</v>
      </c>
      <c r="J1169" s="50">
        <v>0</v>
      </c>
      <c r="K1169" s="31">
        <f t="shared" si="200"/>
        <v>0</v>
      </c>
      <c r="L1169" s="50">
        <v>0</v>
      </c>
      <c r="M1169" s="31">
        <f t="shared" si="201"/>
        <v>0</v>
      </c>
      <c r="N1169" s="50">
        <v>0</v>
      </c>
      <c r="O1169" s="31">
        <f t="shared" si="202"/>
        <v>0</v>
      </c>
      <c r="P1169" s="51" t="s">
        <v>3435</v>
      </c>
      <c r="Q1169" s="51"/>
    </row>
    <row r="1170" spans="1:17" x14ac:dyDescent="0.25">
      <c r="A1170" s="10">
        <v>44537</v>
      </c>
      <c r="B1170" s="594">
        <v>0</v>
      </c>
      <c r="C1170" s="31">
        <f t="shared" si="196"/>
        <v>99349450.760000005</v>
      </c>
      <c r="D1170" s="50">
        <v>-128987.5</v>
      </c>
      <c r="E1170" s="31">
        <f t="shared" si="197"/>
        <v>-128987.5</v>
      </c>
      <c r="F1170" s="900">
        <v>0</v>
      </c>
      <c r="G1170" s="899">
        <f t="shared" si="198"/>
        <v>5775.66</v>
      </c>
      <c r="H1170" s="50">
        <v>0</v>
      </c>
      <c r="I1170" s="31">
        <f t="shared" si="199"/>
        <v>0</v>
      </c>
      <c r="J1170" s="50">
        <v>0</v>
      </c>
      <c r="K1170" s="31">
        <f t="shared" si="200"/>
        <v>0</v>
      </c>
      <c r="L1170" s="50">
        <v>0</v>
      </c>
      <c r="M1170" s="31">
        <f t="shared" si="201"/>
        <v>0</v>
      </c>
      <c r="N1170" s="50">
        <v>0</v>
      </c>
      <c r="O1170" s="31">
        <f t="shared" si="202"/>
        <v>0</v>
      </c>
      <c r="P1170" s="51" t="s">
        <v>2944</v>
      </c>
      <c r="Q1170" s="51"/>
    </row>
    <row r="1171" spans="1:17" x14ac:dyDescent="0.25">
      <c r="A1171" s="10">
        <v>44537</v>
      </c>
      <c r="B1171" s="594">
        <v>0</v>
      </c>
      <c r="C1171" s="31">
        <f t="shared" si="196"/>
        <v>99349450.760000005</v>
      </c>
      <c r="D1171" s="50">
        <v>-24073.52</v>
      </c>
      <c r="E1171" s="31">
        <f t="shared" si="197"/>
        <v>-153061.01999999999</v>
      </c>
      <c r="F1171" s="900">
        <v>0</v>
      </c>
      <c r="G1171" s="899">
        <f t="shared" si="198"/>
        <v>5775.66</v>
      </c>
      <c r="H1171" s="50">
        <v>0</v>
      </c>
      <c r="I1171" s="31">
        <f t="shared" si="199"/>
        <v>0</v>
      </c>
      <c r="J1171" s="50">
        <v>0</v>
      </c>
      <c r="K1171" s="31">
        <f t="shared" si="200"/>
        <v>0</v>
      </c>
      <c r="L1171" s="50">
        <v>0</v>
      </c>
      <c r="M1171" s="31">
        <f t="shared" si="201"/>
        <v>0</v>
      </c>
      <c r="N1171" s="50">
        <v>0</v>
      </c>
      <c r="O1171" s="31">
        <f t="shared" si="202"/>
        <v>0</v>
      </c>
      <c r="P1171" s="51" t="s">
        <v>3940</v>
      </c>
      <c r="Q1171" s="51"/>
    </row>
    <row r="1172" spans="1:17" x14ac:dyDescent="0.25">
      <c r="A1172" s="10">
        <v>44537</v>
      </c>
      <c r="B1172" s="594">
        <v>0</v>
      </c>
      <c r="C1172" s="31">
        <f t="shared" si="196"/>
        <v>99349450.760000005</v>
      </c>
      <c r="D1172" s="50">
        <f>-E1171</f>
        <v>153061.01999999999</v>
      </c>
      <c r="E1172" s="31">
        <f t="shared" si="197"/>
        <v>0</v>
      </c>
      <c r="F1172" s="900">
        <v>0</v>
      </c>
      <c r="G1172" s="899">
        <f t="shared" si="198"/>
        <v>5775.66</v>
      </c>
      <c r="H1172" s="50">
        <v>0</v>
      </c>
      <c r="I1172" s="31">
        <f t="shared" si="199"/>
        <v>0</v>
      </c>
      <c r="J1172" s="50">
        <v>0</v>
      </c>
      <c r="K1172" s="31">
        <f t="shared" si="200"/>
        <v>0</v>
      </c>
      <c r="L1172" s="50">
        <v>0</v>
      </c>
      <c r="M1172" s="31">
        <f t="shared" si="201"/>
        <v>0</v>
      </c>
      <c r="N1172" s="50">
        <v>0</v>
      </c>
      <c r="O1172" s="31">
        <f t="shared" si="202"/>
        <v>0</v>
      </c>
      <c r="P1172" s="51" t="s">
        <v>845</v>
      </c>
      <c r="Q1172" s="51"/>
    </row>
    <row r="1173" spans="1:17" x14ac:dyDescent="0.25">
      <c r="A1173" s="10">
        <v>44540</v>
      </c>
      <c r="B1173" s="594">
        <v>5000000</v>
      </c>
      <c r="C1173" s="31">
        <f t="shared" si="196"/>
        <v>104349450.76000001</v>
      </c>
      <c r="D1173" s="50">
        <v>-5028559.17</v>
      </c>
      <c r="E1173" s="31">
        <f t="shared" si="197"/>
        <v>-5028559.17</v>
      </c>
      <c r="F1173" s="900">
        <v>0</v>
      </c>
      <c r="G1173" s="899">
        <f t="shared" si="198"/>
        <v>5775.66</v>
      </c>
      <c r="H1173" s="50">
        <v>0</v>
      </c>
      <c r="I1173" s="31">
        <f t="shared" si="199"/>
        <v>0</v>
      </c>
      <c r="J1173" s="50">
        <v>0</v>
      </c>
      <c r="K1173" s="31">
        <f t="shared" si="200"/>
        <v>0</v>
      </c>
      <c r="L1173" s="50">
        <v>0</v>
      </c>
      <c r="M1173" s="31">
        <f t="shared" si="201"/>
        <v>0</v>
      </c>
      <c r="N1173" s="50">
        <v>0</v>
      </c>
      <c r="O1173" s="31">
        <f t="shared" si="202"/>
        <v>0</v>
      </c>
      <c r="P1173" s="51" t="s">
        <v>1697</v>
      </c>
      <c r="Q1173" s="51"/>
    </row>
    <row r="1174" spans="1:17" x14ac:dyDescent="0.25">
      <c r="A1174" s="10">
        <v>44540</v>
      </c>
      <c r="B1174" s="594">
        <v>300000</v>
      </c>
      <c r="C1174" s="31">
        <f t="shared" si="196"/>
        <v>104649450.76000001</v>
      </c>
      <c r="D1174" s="50">
        <v>-300000</v>
      </c>
      <c r="E1174" s="31">
        <f t="shared" si="197"/>
        <v>-5328559.17</v>
      </c>
      <c r="F1174" s="900">
        <v>0</v>
      </c>
      <c r="G1174" s="899">
        <f t="shared" si="198"/>
        <v>5775.66</v>
      </c>
      <c r="H1174" s="50">
        <v>0</v>
      </c>
      <c r="I1174" s="31">
        <f t="shared" si="199"/>
        <v>0</v>
      </c>
      <c r="J1174" s="50">
        <v>0</v>
      </c>
      <c r="K1174" s="31">
        <f t="shared" si="200"/>
        <v>0</v>
      </c>
      <c r="L1174" s="50">
        <v>0</v>
      </c>
      <c r="M1174" s="31">
        <f t="shared" si="201"/>
        <v>0</v>
      </c>
      <c r="N1174" s="50">
        <v>0</v>
      </c>
      <c r="O1174" s="31">
        <f t="shared" si="202"/>
        <v>0</v>
      </c>
      <c r="P1174" s="51" t="s">
        <v>2980</v>
      </c>
      <c r="Q1174" s="51"/>
    </row>
    <row r="1175" spans="1:17" x14ac:dyDescent="0.25">
      <c r="A1175" s="10">
        <v>44540</v>
      </c>
      <c r="B1175" s="594">
        <v>0</v>
      </c>
      <c r="C1175" s="31">
        <f t="shared" si="196"/>
        <v>104649450.76000001</v>
      </c>
      <c r="D1175" s="50">
        <v>5500000</v>
      </c>
      <c r="E1175" s="31">
        <f t="shared" si="197"/>
        <v>171440.83</v>
      </c>
      <c r="F1175" s="900">
        <v>0</v>
      </c>
      <c r="G1175" s="899">
        <f t="shared" si="198"/>
        <v>5775.66</v>
      </c>
      <c r="H1175" s="50">
        <v>0</v>
      </c>
      <c r="I1175" s="31">
        <f t="shared" si="199"/>
        <v>0</v>
      </c>
      <c r="J1175" s="50">
        <v>0</v>
      </c>
      <c r="K1175" s="31">
        <f t="shared" si="200"/>
        <v>0</v>
      </c>
      <c r="L1175" s="50">
        <v>0</v>
      </c>
      <c r="M1175" s="31">
        <f t="shared" si="201"/>
        <v>0</v>
      </c>
      <c r="N1175" s="50">
        <v>0</v>
      </c>
      <c r="O1175" s="31">
        <f t="shared" si="202"/>
        <v>0</v>
      </c>
      <c r="P1175" s="51" t="s">
        <v>2071</v>
      </c>
      <c r="Q1175" s="51"/>
    </row>
    <row r="1176" spans="1:17" x14ac:dyDescent="0.25">
      <c r="A1176" s="10">
        <v>44540</v>
      </c>
      <c r="B1176" s="594">
        <v>0</v>
      </c>
      <c r="C1176" s="31">
        <f t="shared" si="196"/>
        <v>104649450.76000001</v>
      </c>
      <c r="D1176" s="50">
        <f>-E1175</f>
        <v>-171440.83</v>
      </c>
      <c r="E1176" s="31">
        <f t="shared" si="197"/>
        <v>0</v>
      </c>
      <c r="F1176" s="900">
        <v>0</v>
      </c>
      <c r="G1176" s="899">
        <f t="shared" si="198"/>
        <v>5775.66</v>
      </c>
      <c r="H1176" s="50">
        <v>0</v>
      </c>
      <c r="I1176" s="31">
        <f t="shared" si="199"/>
        <v>0</v>
      </c>
      <c r="J1176" s="50">
        <v>0</v>
      </c>
      <c r="K1176" s="31">
        <f t="shared" si="200"/>
        <v>0</v>
      </c>
      <c r="L1176" s="50">
        <v>0</v>
      </c>
      <c r="M1176" s="31">
        <f t="shared" si="201"/>
        <v>0</v>
      </c>
      <c r="N1176" s="50">
        <v>0</v>
      </c>
      <c r="O1176" s="31">
        <f t="shared" si="202"/>
        <v>0</v>
      </c>
      <c r="P1176" s="51" t="s">
        <v>845</v>
      </c>
      <c r="Q1176" s="51"/>
    </row>
    <row r="1177" spans="1:17" x14ac:dyDescent="0.25">
      <c r="A1177" s="10">
        <v>44545</v>
      </c>
      <c r="B1177" s="594">
        <v>0</v>
      </c>
      <c r="C1177" s="31">
        <f t="shared" si="196"/>
        <v>104649450.76000001</v>
      </c>
      <c r="D1177" s="50">
        <v>-3399.46</v>
      </c>
      <c r="E1177" s="31">
        <f t="shared" si="197"/>
        <v>-3399.46</v>
      </c>
      <c r="F1177" s="900">
        <v>0</v>
      </c>
      <c r="G1177" s="899">
        <f t="shared" si="198"/>
        <v>5775.66</v>
      </c>
      <c r="H1177" s="50">
        <v>3399.46</v>
      </c>
      <c r="I1177" s="31">
        <f t="shared" si="199"/>
        <v>3399.46</v>
      </c>
      <c r="J1177" s="50">
        <v>0</v>
      </c>
      <c r="K1177" s="31">
        <f t="shared" si="200"/>
        <v>0</v>
      </c>
      <c r="L1177" s="50">
        <v>0</v>
      </c>
      <c r="M1177" s="31">
        <f t="shared" si="201"/>
        <v>0</v>
      </c>
      <c r="N1177" s="50">
        <v>0</v>
      </c>
      <c r="O1177" s="31">
        <f t="shared" si="202"/>
        <v>0</v>
      </c>
      <c r="P1177" s="51" t="s">
        <v>1155</v>
      </c>
      <c r="Q1177" s="51"/>
    </row>
    <row r="1178" spans="1:17" x14ac:dyDescent="0.25">
      <c r="A1178" s="10">
        <v>44545</v>
      </c>
      <c r="B1178" s="594">
        <v>0</v>
      </c>
      <c r="C1178" s="31">
        <f t="shared" si="196"/>
        <v>104649450.76000001</v>
      </c>
      <c r="D1178" s="50">
        <v>-26201.65</v>
      </c>
      <c r="E1178" s="31">
        <f t="shared" si="197"/>
        <v>-29601.11</v>
      </c>
      <c r="F1178" s="900">
        <v>0</v>
      </c>
      <c r="G1178" s="899">
        <f t="shared" si="198"/>
        <v>5775.66</v>
      </c>
      <c r="H1178" s="50">
        <v>0</v>
      </c>
      <c r="I1178" s="31">
        <f t="shared" si="199"/>
        <v>3399.46</v>
      </c>
      <c r="J1178" s="50">
        <v>0</v>
      </c>
      <c r="K1178" s="31">
        <f t="shared" si="200"/>
        <v>0</v>
      </c>
      <c r="L1178" s="50">
        <v>26201.65</v>
      </c>
      <c r="M1178" s="31">
        <f t="shared" si="201"/>
        <v>26201.65</v>
      </c>
      <c r="N1178" s="50">
        <v>0</v>
      </c>
      <c r="O1178" s="31">
        <f t="shared" si="202"/>
        <v>0</v>
      </c>
      <c r="P1178" s="51" t="s">
        <v>1156</v>
      </c>
      <c r="Q1178" s="51"/>
    </row>
    <row r="1179" spans="1:17" x14ac:dyDescent="0.25">
      <c r="A1179" s="10">
        <v>44545</v>
      </c>
      <c r="B1179" s="594">
        <v>0</v>
      </c>
      <c r="C1179" s="31">
        <f t="shared" si="196"/>
        <v>104649450.76000001</v>
      </c>
      <c r="D1179" s="50">
        <v>0</v>
      </c>
      <c r="E1179" s="31">
        <f t="shared" si="197"/>
        <v>-29601.11</v>
      </c>
      <c r="F1179" s="900">
        <v>0</v>
      </c>
      <c r="G1179" s="899">
        <f t="shared" si="198"/>
        <v>5775.66</v>
      </c>
      <c r="H1179" s="50">
        <v>0</v>
      </c>
      <c r="I1179" s="31">
        <f t="shared" si="199"/>
        <v>3399.46</v>
      </c>
      <c r="J1179" s="50">
        <v>0</v>
      </c>
      <c r="K1179" s="31">
        <f t="shared" si="200"/>
        <v>0</v>
      </c>
      <c r="L1179" s="50">
        <v>-26201.65</v>
      </c>
      <c r="M1179" s="31">
        <f t="shared" si="201"/>
        <v>0</v>
      </c>
      <c r="N1179" s="50">
        <v>0</v>
      </c>
      <c r="O1179" s="31">
        <f t="shared" si="202"/>
        <v>0</v>
      </c>
      <c r="P1179" s="51" t="s">
        <v>1591</v>
      </c>
      <c r="Q1179" s="51"/>
    </row>
    <row r="1180" spans="1:17" x14ac:dyDescent="0.25">
      <c r="A1180" s="10">
        <v>44545</v>
      </c>
      <c r="B1180" s="594">
        <v>0</v>
      </c>
      <c r="C1180" s="31">
        <f t="shared" si="196"/>
        <v>104649450.76000001</v>
      </c>
      <c r="D1180" s="50">
        <v>1396.29</v>
      </c>
      <c r="E1180" s="31">
        <f t="shared" si="197"/>
        <v>-28204.82</v>
      </c>
      <c r="F1180" s="900">
        <v>0</v>
      </c>
      <c r="G1180" s="899">
        <f t="shared" si="198"/>
        <v>5775.66</v>
      </c>
      <c r="H1180" s="50">
        <v>0</v>
      </c>
      <c r="I1180" s="31">
        <f t="shared" si="199"/>
        <v>3399.46</v>
      </c>
      <c r="J1180" s="50">
        <v>0</v>
      </c>
      <c r="K1180" s="31">
        <f t="shared" si="200"/>
        <v>0</v>
      </c>
      <c r="L1180" s="50">
        <v>0</v>
      </c>
      <c r="M1180" s="31">
        <f t="shared" si="201"/>
        <v>0</v>
      </c>
      <c r="N1180" s="50">
        <v>0</v>
      </c>
      <c r="O1180" s="31">
        <f t="shared" si="202"/>
        <v>0</v>
      </c>
      <c r="P1180" s="51" t="s">
        <v>4504</v>
      </c>
      <c r="Q1180" s="51"/>
    </row>
    <row r="1181" spans="1:17" x14ac:dyDescent="0.25">
      <c r="A1181" s="10">
        <v>44545</v>
      </c>
      <c r="B1181" s="594">
        <v>0</v>
      </c>
      <c r="C1181" s="31">
        <f t="shared" ref="C1181:C1244" si="203">ROUND(B1181+C1180,2)</f>
        <v>104649450.76000001</v>
      </c>
      <c r="D1181" s="50">
        <v>0</v>
      </c>
      <c r="E1181" s="31">
        <f t="shared" ref="E1181:E1244" si="204">ROUND(D1181+E1180,2)</f>
        <v>-28204.82</v>
      </c>
      <c r="F1181" s="900">
        <v>-89427733.192734167</v>
      </c>
      <c r="G1181" s="899">
        <f t="shared" ref="G1181:G1244" si="205">ROUND(F1181+G1180,2)</f>
        <v>-89421957.530000001</v>
      </c>
      <c r="H1181" s="50">
        <v>0</v>
      </c>
      <c r="I1181" s="31">
        <f t="shared" ref="I1181:I1244" si="206">ROUND(H1181+I1180,2)</f>
        <v>3399.46</v>
      </c>
      <c r="J1181" s="50">
        <v>0</v>
      </c>
      <c r="K1181" s="31">
        <f t="shared" ref="K1181:K1244" si="207">ROUND(J1181+K1180,2)</f>
        <v>0</v>
      </c>
      <c r="L1181" s="50">
        <v>0</v>
      </c>
      <c r="M1181" s="31">
        <f t="shared" ref="M1181:M1244" si="208">ROUND(L1181+M1180,2)</f>
        <v>0</v>
      </c>
      <c r="N1181" s="50">
        <v>0</v>
      </c>
      <c r="O1181" s="31">
        <f t="shared" ref="O1181:O1244" si="209">ROUND(N1181+O1180,2)</f>
        <v>0</v>
      </c>
      <c r="P1181" s="51" t="s">
        <v>1985</v>
      </c>
      <c r="Q1181" s="51"/>
    </row>
    <row r="1182" spans="1:17" x14ac:dyDescent="0.25">
      <c r="A1182" s="10">
        <v>44545</v>
      </c>
      <c r="B1182" s="594">
        <v>0</v>
      </c>
      <c r="C1182" s="31">
        <f t="shared" si="203"/>
        <v>104649450.76000001</v>
      </c>
      <c r="D1182" s="50">
        <v>30219.58</v>
      </c>
      <c r="E1182" s="31">
        <f t="shared" si="204"/>
        <v>2014.76</v>
      </c>
      <c r="F1182" s="900">
        <v>0</v>
      </c>
      <c r="G1182" s="899">
        <f t="shared" si="205"/>
        <v>-89421957.530000001</v>
      </c>
      <c r="H1182" s="50">
        <v>0</v>
      </c>
      <c r="I1182" s="31">
        <f t="shared" si="206"/>
        <v>3399.46</v>
      </c>
      <c r="J1182" s="50">
        <v>0</v>
      </c>
      <c r="K1182" s="31">
        <f t="shared" si="207"/>
        <v>0</v>
      </c>
      <c r="L1182" s="50">
        <v>0</v>
      </c>
      <c r="M1182" s="31">
        <f t="shared" si="208"/>
        <v>0</v>
      </c>
      <c r="N1182" s="50">
        <v>0</v>
      </c>
      <c r="O1182" s="31">
        <f t="shared" si="209"/>
        <v>0</v>
      </c>
      <c r="P1182" s="51" t="s">
        <v>4503</v>
      </c>
      <c r="Q1182" s="51"/>
    </row>
    <row r="1183" spans="1:17" x14ac:dyDescent="0.25">
      <c r="A1183" s="10">
        <v>44545</v>
      </c>
      <c r="B1183" s="594">
        <v>0</v>
      </c>
      <c r="C1183" s="31">
        <f t="shared" si="203"/>
        <v>104649450.76000001</v>
      </c>
      <c r="D1183" s="50">
        <v>0</v>
      </c>
      <c r="E1183" s="31">
        <f t="shared" si="204"/>
        <v>2014.76</v>
      </c>
      <c r="F1183" s="900">
        <v>427658.61222222145</v>
      </c>
      <c r="G1183" s="899">
        <f t="shared" si="205"/>
        <v>-88994298.920000002</v>
      </c>
      <c r="H1183" s="50">
        <v>0</v>
      </c>
      <c r="I1183" s="31">
        <f t="shared" si="206"/>
        <v>3399.46</v>
      </c>
      <c r="J1183" s="50">
        <v>0</v>
      </c>
      <c r="K1183" s="31">
        <f t="shared" si="207"/>
        <v>0</v>
      </c>
      <c r="L1183" s="50">
        <v>0</v>
      </c>
      <c r="M1183" s="31">
        <f t="shared" si="208"/>
        <v>0</v>
      </c>
      <c r="N1183" s="50">
        <v>0</v>
      </c>
      <c r="O1183" s="31">
        <f t="shared" si="209"/>
        <v>0</v>
      </c>
      <c r="P1183" s="51" t="s">
        <v>4413</v>
      </c>
      <c r="Q1183" s="51"/>
    </row>
    <row r="1184" spans="1:17" x14ac:dyDescent="0.25">
      <c r="A1184" s="10">
        <v>44545</v>
      </c>
      <c r="B1184" s="594">
        <v>0</v>
      </c>
      <c r="C1184" s="31">
        <f t="shared" si="203"/>
        <v>104649450.76000001</v>
      </c>
      <c r="D1184" s="50">
        <v>89901.232471300871</v>
      </c>
      <c r="E1184" s="31">
        <f t="shared" si="204"/>
        <v>91915.99</v>
      </c>
      <c r="F1184" s="900">
        <v>0</v>
      </c>
      <c r="G1184" s="899">
        <f t="shared" si="205"/>
        <v>-88994298.920000002</v>
      </c>
      <c r="H1184" s="50">
        <v>0</v>
      </c>
      <c r="I1184" s="31">
        <f t="shared" si="206"/>
        <v>3399.46</v>
      </c>
      <c r="J1184" s="50">
        <v>0</v>
      </c>
      <c r="K1184" s="31">
        <f t="shared" si="207"/>
        <v>0</v>
      </c>
      <c r="L1184" s="50">
        <v>0</v>
      </c>
      <c r="M1184" s="31">
        <f t="shared" si="208"/>
        <v>0</v>
      </c>
      <c r="N1184" s="50">
        <v>0</v>
      </c>
      <c r="O1184" s="31">
        <f t="shared" si="209"/>
        <v>0</v>
      </c>
      <c r="P1184" s="51" t="s">
        <v>4414</v>
      </c>
      <c r="Q1184" s="51"/>
    </row>
    <row r="1185" spans="1:17" x14ac:dyDescent="0.25">
      <c r="A1185" s="10">
        <v>44545</v>
      </c>
      <c r="B1185" s="594">
        <v>0</v>
      </c>
      <c r="C1185" s="31">
        <f t="shared" si="203"/>
        <v>104649450.76000001</v>
      </c>
      <c r="D1185" s="50">
        <v>0</v>
      </c>
      <c r="E1185" s="31">
        <f t="shared" si="204"/>
        <v>91915.99</v>
      </c>
      <c r="F1185" s="900">
        <v>25492.638887624998</v>
      </c>
      <c r="G1185" s="899">
        <f t="shared" si="205"/>
        <v>-88968806.280000001</v>
      </c>
      <c r="H1185" s="50">
        <v>0</v>
      </c>
      <c r="I1185" s="31">
        <f t="shared" si="206"/>
        <v>3399.46</v>
      </c>
      <c r="J1185" s="50">
        <v>0</v>
      </c>
      <c r="K1185" s="31">
        <f t="shared" si="207"/>
        <v>0</v>
      </c>
      <c r="L1185" s="50">
        <v>0</v>
      </c>
      <c r="M1185" s="31">
        <f t="shared" si="208"/>
        <v>0</v>
      </c>
      <c r="N1185" s="50">
        <v>0</v>
      </c>
      <c r="O1185" s="31">
        <f t="shared" si="209"/>
        <v>0</v>
      </c>
      <c r="P1185" s="51" t="s">
        <v>4415</v>
      </c>
      <c r="Q1185" s="51"/>
    </row>
    <row r="1186" spans="1:17" x14ac:dyDescent="0.25">
      <c r="A1186" s="10">
        <v>44545</v>
      </c>
      <c r="B1186" s="1127">
        <v>-1042500.31435725</v>
      </c>
      <c r="C1186" s="1128">
        <f t="shared" si="203"/>
        <v>103606950.45</v>
      </c>
      <c r="D1186" s="1129">
        <f>-B1186*0</f>
        <v>0</v>
      </c>
      <c r="E1186" s="1128">
        <f t="shared" si="204"/>
        <v>91915.99</v>
      </c>
      <c r="F1186" s="1130">
        <v>0</v>
      </c>
      <c r="G1186" s="1131">
        <f t="shared" si="205"/>
        <v>-88968806.280000001</v>
      </c>
      <c r="H1186" s="1129">
        <v>0</v>
      </c>
      <c r="I1186" s="1128">
        <f t="shared" si="206"/>
        <v>3399.46</v>
      </c>
      <c r="J1186" s="1129">
        <v>0</v>
      </c>
      <c r="K1186" s="1128">
        <f t="shared" si="207"/>
        <v>0</v>
      </c>
      <c r="L1186" s="1129">
        <v>0</v>
      </c>
      <c r="M1186" s="1128">
        <f t="shared" si="208"/>
        <v>0</v>
      </c>
      <c r="N1186" s="1129">
        <v>0</v>
      </c>
      <c r="O1186" s="1128">
        <f t="shared" si="209"/>
        <v>0</v>
      </c>
      <c r="P1186" s="1132" t="s">
        <v>831</v>
      </c>
      <c r="Q1186" s="51" t="s">
        <v>4416</v>
      </c>
    </row>
    <row r="1187" spans="1:17" x14ac:dyDescent="0.25">
      <c r="A1187" s="10">
        <v>44545</v>
      </c>
      <c r="B1187" s="1127">
        <v>-414208.56346318551</v>
      </c>
      <c r="C1187" s="1128">
        <f t="shared" si="203"/>
        <v>103192741.89</v>
      </c>
      <c r="D1187" s="1129">
        <f>-B1187*0</f>
        <v>0</v>
      </c>
      <c r="E1187" s="1128">
        <f t="shared" si="204"/>
        <v>91915.99</v>
      </c>
      <c r="F1187" s="1130">
        <v>0</v>
      </c>
      <c r="G1187" s="1131">
        <f t="shared" si="205"/>
        <v>-88968806.280000001</v>
      </c>
      <c r="H1187" s="1129">
        <v>0</v>
      </c>
      <c r="I1187" s="1128">
        <f t="shared" si="206"/>
        <v>3399.46</v>
      </c>
      <c r="J1187" s="1129">
        <v>0</v>
      </c>
      <c r="K1187" s="1128">
        <f t="shared" si="207"/>
        <v>0</v>
      </c>
      <c r="L1187" s="1129">
        <v>0</v>
      </c>
      <c r="M1187" s="1128">
        <f t="shared" si="208"/>
        <v>0</v>
      </c>
      <c r="N1187" s="1129">
        <v>0</v>
      </c>
      <c r="O1187" s="1128">
        <f t="shared" si="209"/>
        <v>0</v>
      </c>
      <c r="P1187" s="1132" t="s">
        <v>880</v>
      </c>
      <c r="Q1187" s="51" t="s">
        <v>4417</v>
      </c>
    </row>
    <row r="1188" spans="1:17" x14ac:dyDescent="0.25">
      <c r="A1188" s="10">
        <v>44545</v>
      </c>
      <c r="B1188" s="594">
        <v>800000</v>
      </c>
      <c r="C1188" s="31">
        <f t="shared" si="203"/>
        <v>103992741.89</v>
      </c>
      <c r="D1188" s="50">
        <f t="shared" ref="D1188:D1189" si="210">-B1188</f>
        <v>-800000</v>
      </c>
      <c r="E1188" s="31">
        <f t="shared" si="204"/>
        <v>-708084.01</v>
      </c>
      <c r="F1188" s="900">
        <v>0</v>
      </c>
      <c r="G1188" s="899">
        <f t="shared" si="205"/>
        <v>-88968806.280000001</v>
      </c>
      <c r="H1188" s="50">
        <v>0</v>
      </c>
      <c r="I1188" s="31">
        <f t="shared" si="206"/>
        <v>3399.46</v>
      </c>
      <c r="J1188" s="50">
        <v>0</v>
      </c>
      <c r="K1188" s="31">
        <f t="shared" si="207"/>
        <v>0</v>
      </c>
      <c r="L1188" s="50">
        <v>0</v>
      </c>
      <c r="M1188" s="31">
        <f t="shared" si="208"/>
        <v>0</v>
      </c>
      <c r="N1188" s="50">
        <v>0</v>
      </c>
      <c r="O1188" s="31">
        <f t="shared" si="209"/>
        <v>0</v>
      </c>
      <c r="P1188" s="51" t="s">
        <v>2661</v>
      </c>
      <c r="Q1188" s="51" t="s">
        <v>4418</v>
      </c>
    </row>
    <row r="1189" spans="1:17" x14ac:dyDescent="0.25">
      <c r="A1189" s="10">
        <v>44545</v>
      </c>
      <c r="B1189" s="594">
        <v>2000000</v>
      </c>
      <c r="C1189" s="31">
        <f t="shared" si="203"/>
        <v>105992741.89</v>
      </c>
      <c r="D1189" s="50">
        <f t="shared" si="210"/>
        <v>-2000000</v>
      </c>
      <c r="E1189" s="31">
        <f t="shared" si="204"/>
        <v>-2708084.01</v>
      </c>
      <c r="F1189" s="900">
        <v>0</v>
      </c>
      <c r="G1189" s="899">
        <f t="shared" si="205"/>
        <v>-88968806.280000001</v>
      </c>
      <c r="H1189" s="50">
        <v>0</v>
      </c>
      <c r="I1189" s="31">
        <f t="shared" si="206"/>
        <v>3399.46</v>
      </c>
      <c r="J1189" s="50">
        <v>0</v>
      </c>
      <c r="K1189" s="31">
        <f t="shared" si="207"/>
        <v>0</v>
      </c>
      <c r="L1189" s="50">
        <v>0</v>
      </c>
      <c r="M1189" s="31">
        <f t="shared" si="208"/>
        <v>0</v>
      </c>
      <c r="N1189" s="50">
        <v>0</v>
      </c>
      <c r="O1189" s="31">
        <f t="shared" si="209"/>
        <v>0</v>
      </c>
      <c r="P1189" s="51" t="s">
        <v>2980</v>
      </c>
      <c r="Q1189" s="51" t="s">
        <v>4418</v>
      </c>
    </row>
    <row r="1190" spans="1:17" x14ac:dyDescent="0.25">
      <c r="A1190" s="10">
        <v>44545</v>
      </c>
      <c r="B1190" s="594">
        <v>6000000</v>
      </c>
      <c r="C1190" s="31">
        <f t="shared" si="203"/>
        <v>111992741.89</v>
      </c>
      <c r="D1190" s="50">
        <v>0</v>
      </c>
      <c r="E1190" s="31">
        <f t="shared" si="204"/>
        <v>-2708084.01</v>
      </c>
      <c r="F1190" s="900">
        <f>-B1190</f>
        <v>-6000000</v>
      </c>
      <c r="G1190" s="899">
        <f t="shared" si="205"/>
        <v>-94968806.280000001</v>
      </c>
      <c r="H1190" s="50">
        <v>0</v>
      </c>
      <c r="I1190" s="31">
        <f t="shared" si="206"/>
        <v>3399.46</v>
      </c>
      <c r="J1190" s="50">
        <v>0</v>
      </c>
      <c r="K1190" s="31">
        <f t="shared" si="207"/>
        <v>0</v>
      </c>
      <c r="L1190" s="50">
        <v>0</v>
      </c>
      <c r="M1190" s="31">
        <f t="shared" si="208"/>
        <v>0</v>
      </c>
      <c r="N1190" s="50">
        <v>0</v>
      </c>
      <c r="O1190" s="31">
        <f t="shared" si="209"/>
        <v>0</v>
      </c>
      <c r="P1190" s="51" t="s">
        <v>1012</v>
      </c>
      <c r="Q1190" s="51" t="s">
        <v>4418</v>
      </c>
    </row>
    <row r="1191" spans="1:17" x14ac:dyDescent="0.25">
      <c r="A1191" s="10">
        <v>44545</v>
      </c>
      <c r="B1191" s="594">
        <v>0</v>
      </c>
      <c r="C1191" s="31">
        <f t="shared" si="203"/>
        <v>111992741.89</v>
      </c>
      <c r="D1191" s="50">
        <v>0</v>
      </c>
      <c r="E1191" s="31">
        <f t="shared" si="204"/>
        <v>-2708084.01</v>
      </c>
      <c r="F1191" s="900">
        <v>76400619.75</v>
      </c>
      <c r="G1191" s="899">
        <f t="shared" si="205"/>
        <v>-18568186.530000001</v>
      </c>
      <c r="H1191" s="50">
        <v>0</v>
      </c>
      <c r="I1191" s="31">
        <f t="shared" si="206"/>
        <v>3399.46</v>
      </c>
      <c r="J1191" s="50">
        <v>0</v>
      </c>
      <c r="K1191" s="31">
        <f t="shared" si="207"/>
        <v>0</v>
      </c>
      <c r="L1191" s="50">
        <v>0</v>
      </c>
      <c r="M1191" s="31">
        <f t="shared" si="208"/>
        <v>0</v>
      </c>
      <c r="N1191" s="50">
        <v>0</v>
      </c>
      <c r="O1191" s="31">
        <f t="shared" si="209"/>
        <v>0</v>
      </c>
      <c r="P1191" s="51" t="s">
        <v>4425</v>
      </c>
      <c r="Q1191" s="51"/>
    </row>
    <row r="1192" spans="1:17" x14ac:dyDescent="0.25">
      <c r="A1192" s="10">
        <v>44545</v>
      </c>
      <c r="B1192" s="594">
        <v>0</v>
      </c>
      <c r="C1192" s="31">
        <f t="shared" si="203"/>
        <v>111992741.89</v>
      </c>
      <c r="D1192" s="50">
        <v>0</v>
      </c>
      <c r="E1192" s="31">
        <f t="shared" si="204"/>
        <v>-2708084.01</v>
      </c>
      <c r="F1192" s="900">
        <v>18600000</v>
      </c>
      <c r="G1192" s="899">
        <f t="shared" si="205"/>
        <v>31813.47</v>
      </c>
      <c r="H1192" s="50">
        <v>0</v>
      </c>
      <c r="I1192" s="31">
        <f t="shared" si="206"/>
        <v>3399.46</v>
      </c>
      <c r="J1192" s="50">
        <v>0</v>
      </c>
      <c r="K1192" s="31">
        <f t="shared" si="207"/>
        <v>0</v>
      </c>
      <c r="L1192" s="50">
        <v>0</v>
      </c>
      <c r="M1192" s="31">
        <f t="shared" si="208"/>
        <v>0</v>
      </c>
      <c r="N1192" s="50">
        <v>0</v>
      </c>
      <c r="O1192" s="31">
        <f t="shared" si="209"/>
        <v>0</v>
      </c>
      <c r="P1192" s="51" t="s">
        <v>4426</v>
      </c>
      <c r="Q1192" s="51"/>
    </row>
    <row r="1193" spans="1:17" x14ac:dyDescent="0.25">
      <c r="A1193" s="10">
        <v>44545</v>
      </c>
      <c r="B1193" s="594">
        <v>-1443680.5425466895</v>
      </c>
      <c r="C1193" s="31">
        <f t="shared" si="203"/>
        <v>110549061.34999999</v>
      </c>
      <c r="D1193" s="50">
        <v>0</v>
      </c>
      <c r="E1193" s="31">
        <f t="shared" si="204"/>
        <v>-2708084.01</v>
      </c>
      <c r="F1193" s="900">
        <v>0</v>
      </c>
      <c r="G1193" s="899">
        <f t="shared" si="205"/>
        <v>31813.47</v>
      </c>
      <c r="H1193" s="50">
        <v>0</v>
      </c>
      <c r="I1193" s="31">
        <f t="shared" si="206"/>
        <v>3399.46</v>
      </c>
      <c r="J1193" s="50">
        <v>0</v>
      </c>
      <c r="K1193" s="31">
        <f t="shared" si="207"/>
        <v>0</v>
      </c>
      <c r="L1193" s="50">
        <v>0</v>
      </c>
      <c r="M1193" s="31">
        <f t="shared" si="208"/>
        <v>0</v>
      </c>
      <c r="N1193" s="50">
        <v>0</v>
      </c>
      <c r="O1193" s="31">
        <f t="shared" si="209"/>
        <v>0</v>
      </c>
      <c r="P1193" s="51" t="s">
        <v>831</v>
      </c>
      <c r="Q1193" s="51"/>
    </row>
    <row r="1194" spans="1:17" x14ac:dyDescent="0.25">
      <c r="A1194" s="10">
        <v>44545</v>
      </c>
      <c r="B1194" s="594">
        <v>-184965.87913078628</v>
      </c>
      <c r="C1194" s="31">
        <f t="shared" si="203"/>
        <v>110364095.47</v>
      </c>
      <c r="D1194" s="50">
        <v>0</v>
      </c>
      <c r="E1194" s="31">
        <f t="shared" si="204"/>
        <v>-2708084.01</v>
      </c>
      <c r="F1194" s="900">
        <v>0</v>
      </c>
      <c r="G1194" s="899">
        <f t="shared" si="205"/>
        <v>31813.47</v>
      </c>
      <c r="H1194" s="50">
        <v>0</v>
      </c>
      <c r="I1194" s="31">
        <f t="shared" si="206"/>
        <v>3399.46</v>
      </c>
      <c r="J1194" s="50">
        <v>0</v>
      </c>
      <c r="K1194" s="31">
        <f t="shared" si="207"/>
        <v>0</v>
      </c>
      <c r="L1194" s="50">
        <v>0</v>
      </c>
      <c r="M1194" s="31">
        <f t="shared" si="208"/>
        <v>0</v>
      </c>
      <c r="N1194" s="50">
        <v>0</v>
      </c>
      <c r="O1194" s="31">
        <f t="shared" si="209"/>
        <v>0</v>
      </c>
      <c r="P1194" s="51" t="s">
        <v>880</v>
      </c>
      <c r="Q1194" s="51"/>
    </row>
    <row r="1195" spans="1:17" x14ac:dyDescent="0.25">
      <c r="A1195" s="10">
        <v>44545</v>
      </c>
      <c r="B1195" s="594">
        <v>0</v>
      </c>
      <c r="C1195" s="31">
        <f t="shared" ref="C1195" si="211">ROUND(B1195+C1194,2)</f>
        <v>110364095.47</v>
      </c>
      <c r="D1195" s="50">
        <v>2800000</v>
      </c>
      <c r="E1195" s="31">
        <f t="shared" ref="E1195" si="212">ROUND(D1195+E1194,2)</f>
        <v>91915.99</v>
      </c>
      <c r="F1195" s="900">
        <v>0</v>
      </c>
      <c r="G1195" s="899">
        <f t="shared" ref="G1195" si="213">ROUND(F1195+G1194,2)</f>
        <v>31813.47</v>
      </c>
      <c r="H1195" s="50">
        <v>0</v>
      </c>
      <c r="I1195" s="31">
        <f t="shared" ref="I1195" si="214">ROUND(H1195+I1194,2)</f>
        <v>3399.46</v>
      </c>
      <c r="J1195" s="50">
        <v>0</v>
      </c>
      <c r="K1195" s="31">
        <f t="shared" ref="K1195" si="215">ROUND(J1195+K1194,2)</f>
        <v>0</v>
      </c>
      <c r="L1195" s="50">
        <v>0</v>
      </c>
      <c r="M1195" s="31">
        <f t="shared" ref="M1195" si="216">ROUND(L1195+M1194,2)</f>
        <v>0</v>
      </c>
      <c r="N1195" s="50">
        <v>0</v>
      </c>
      <c r="O1195" s="31">
        <f t="shared" ref="O1195" si="217">ROUND(N1195+O1194,2)</f>
        <v>0</v>
      </c>
      <c r="P1195" s="51" t="s">
        <v>4429</v>
      </c>
      <c r="Q1195" s="51"/>
    </row>
    <row r="1196" spans="1:17" x14ac:dyDescent="0.25">
      <c r="A1196" s="10">
        <v>44545</v>
      </c>
      <c r="B1196" s="594">
        <v>0</v>
      </c>
      <c r="C1196" s="31">
        <f t="shared" ref="C1196" si="218">ROUND(B1196+C1195,2)</f>
        <v>110364095.47</v>
      </c>
      <c r="D1196" s="50">
        <v>-2014.76</v>
      </c>
      <c r="E1196" s="31">
        <f t="shared" ref="E1196" si="219">ROUND(D1196+E1195,2)</f>
        <v>89901.23</v>
      </c>
      <c r="F1196" s="900">
        <v>0</v>
      </c>
      <c r="G1196" s="899">
        <f t="shared" ref="G1196" si="220">ROUND(F1196+G1195,2)</f>
        <v>31813.47</v>
      </c>
      <c r="H1196" s="50">
        <v>-3399.45999999999</v>
      </c>
      <c r="I1196" s="31">
        <f t="shared" ref="I1196" si="221">ROUND(H1196+I1195,2)</f>
        <v>0</v>
      </c>
      <c r="J1196" s="50">
        <v>0</v>
      </c>
      <c r="K1196" s="31">
        <f t="shared" ref="K1196" si="222">ROUND(J1196+K1195,2)</f>
        <v>0</v>
      </c>
      <c r="L1196" s="50">
        <v>-26201.65</v>
      </c>
      <c r="M1196" s="31">
        <f t="shared" ref="M1196" si="223">ROUND(L1196+M1195,2)</f>
        <v>-26201.65</v>
      </c>
      <c r="N1196" s="50">
        <v>0</v>
      </c>
      <c r="O1196" s="31">
        <f t="shared" ref="O1196" si="224">ROUND(N1196+O1195,2)</f>
        <v>0</v>
      </c>
      <c r="P1196" s="51" t="s">
        <v>845</v>
      </c>
      <c r="Q1196" s="51"/>
    </row>
    <row r="1197" spans="1:17" x14ac:dyDescent="0.25">
      <c r="A1197" s="10">
        <v>44546</v>
      </c>
      <c r="B1197" s="594">
        <v>3000000</v>
      </c>
      <c r="C1197" s="31">
        <f t="shared" si="203"/>
        <v>113364095.47</v>
      </c>
      <c r="D1197" s="50">
        <v>0</v>
      </c>
      <c r="E1197" s="31">
        <f t="shared" si="204"/>
        <v>89901.23</v>
      </c>
      <c r="F1197" s="900">
        <v>-3000000</v>
      </c>
      <c r="G1197" s="899">
        <f t="shared" si="205"/>
        <v>-2968186.53</v>
      </c>
      <c r="H1197" s="50">
        <v>0</v>
      </c>
      <c r="I1197" s="31">
        <f t="shared" si="206"/>
        <v>0</v>
      </c>
      <c r="J1197" s="50">
        <v>0</v>
      </c>
      <c r="K1197" s="31">
        <f t="shared" si="207"/>
        <v>0</v>
      </c>
      <c r="L1197" s="50">
        <v>0</v>
      </c>
      <c r="M1197" s="31">
        <f t="shared" si="208"/>
        <v>-26201.65</v>
      </c>
      <c r="N1197" s="50">
        <v>0</v>
      </c>
      <c r="O1197" s="31">
        <f t="shared" si="209"/>
        <v>0</v>
      </c>
      <c r="P1197" s="51" t="s">
        <v>3133</v>
      </c>
      <c r="Q1197" s="51"/>
    </row>
    <row r="1198" spans="1:17" x14ac:dyDescent="0.25">
      <c r="A1198" s="10">
        <v>44546</v>
      </c>
      <c r="B1198" s="594">
        <v>0</v>
      </c>
      <c r="C1198" s="31">
        <f t="shared" si="203"/>
        <v>113364095.47</v>
      </c>
      <c r="D1198" s="50">
        <v>0</v>
      </c>
      <c r="E1198" s="31">
        <f t="shared" si="204"/>
        <v>89901.23</v>
      </c>
      <c r="F1198" s="900">
        <f>-F1197</f>
        <v>3000000</v>
      </c>
      <c r="G1198" s="899">
        <f t="shared" si="205"/>
        <v>31813.47</v>
      </c>
      <c r="H1198" s="50">
        <v>0</v>
      </c>
      <c r="I1198" s="31">
        <f t="shared" si="206"/>
        <v>0</v>
      </c>
      <c r="J1198" s="50">
        <v>0</v>
      </c>
      <c r="K1198" s="31">
        <f t="shared" si="207"/>
        <v>0</v>
      </c>
      <c r="L1198" s="50">
        <v>0</v>
      </c>
      <c r="M1198" s="31">
        <f t="shared" si="208"/>
        <v>-26201.65</v>
      </c>
      <c r="N1198" s="50">
        <v>0</v>
      </c>
      <c r="O1198" s="31">
        <f t="shared" si="209"/>
        <v>0</v>
      </c>
      <c r="P1198" s="51" t="s">
        <v>4430</v>
      </c>
      <c r="Q1198" s="51"/>
    </row>
    <row r="1199" spans="1:17" x14ac:dyDescent="0.25">
      <c r="A1199" s="10">
        <v>44546</v>
      </c>
      <c r="B1199" s="594">
        <v>0</v>
      </c>
      <c r="C1199" s="31">
        <f t="shared" si="203"/>
        <v>113364095.47</v>
      </c>
      <c r="D1199" s="50">
        <v>0</v>
      </c>
      <c r="E1199" s="31">
        <f t="shared" si="204"/>
        <v>89901.23</v>
      </c>
      <c r="F1199" s="900">
        <f t="shared" ref="F1199:F1200" si="225">-F1198</f>
        <v>-3000000</v>
      </c>
      <c r="G1199" s="899">
        <f t="shared" si="205"/>
        <v>-2968186.53</v>
      </c>
      <c r="H1199" s="50">
        <v>0</v>
      </c>
      <c r="I1199" s="31">
        <f t="shared" si="206"/>
        <v>0</v>
      </c>
      <c r="J1199" s="50">
        <v>0</v>
      </c>
      <c r="K1199" s="31">
        <f t="shared" si="207"/>
        <v>0</v>
      </c>
      <c r="L1199" s="50">
        <v>0</v>
      </c>
      <c r="M1199" s="31">
        <f t="shared" si="208"/>
        <v>-26201.65</v>
      </c>
      <c r="N1199" s="50">
        <v>0</v>
      </c>
      <c r="O1199" s="31">
        <f t="shared" si="209"/>
        <v>0</v>
      </c>
      <c r="P1199" s="51" t="s">
        <v>4431</v>
      </c>
      <c r="Q1199" s="51"/>
    </row>
    <row r="1200" spans="1:17" x14ac:dyDescent="0.25">
      <c r="A1200" s="10">
        <v>44546</v>
      </c>
      <c r="B1200" s="594">
        <v>0</v>
      </c>
      <c r="C1200" s="31">
        <f t="shared" si="203"/>
        <v>113364095.47</v>
      </c>
      <c r="D1200" s="50">
        <v>0</v>
      </c>
      <c r="E1200" s="31">
        <f t="shared" si="204"/>
        <v>89901.23</v>
      </c>
      <c r="F1200" s="900">
        <f t="shared" si="225"/>
        <v>3000000</v>
      </c>
      <c r="G1200" s="899">
        <f t="shared" si="205"/>
        <v>31813.47</v>
      </c>
      <c r="H1200" s="50">
        <v>0</v>
      </c>
      <c r="I1200" s="31">
        <f t="shared" si="206"/>
        <v>0</v>
      </c>
      <c r="J1200" s="50">
        <v>0</v>
      </c>
      <c r="K1200" s="31">
        <f t="shared" si="207"/>
        <v>0</v>
      </c>
      <c r="L1200" s="50">
        <v>0</v>
      </c>
      <c r="M1200" s="31">
        <f t="shared" si="208"/>
        <v>-26201.65</v>
      </c>
      <c r="N1200" s="50">
        <v>0</v>
      </c>
      <c r="O1200" s="31">
        <f t="shared" si="209"/>
        <v>0</v>
      </c>
      <c r="P1200" s="51" t="s">
        <v>4432</v>
      </c>
      <c r="Q1200" s="51"/>
    </row>
    <row r="1201" spans="1:17" x14ac:dyDescent="0.25">
      <c r="A1201" s="10">
        <v>44546</v>
      </c>
      <c r="B1201" s="594">
        <v>0</v>
      </c>
      <c r="C1201" s="31">
        <f t="shared" si="203"/>
        <v>113364095.47</v>
      </c>
      <c r="D1201" s="50">
        <v>0</v>
      </c>
      <c r="E1201" s="31">
        <f t="shared" si="204"/>
        <v>89901.23</v>
      </c>
      <c r="F1201" s="900">
        <v>0</v>
      </c>
      <c r="G1201" s="899">
        <f t="shared" si="205"/>
        <v>31813.47</v>
      </c>
      <c r="H1201" s="50">
        <v>-5352.07</v>
      </c>
      <c r="I1201" s="31">
        <f t="shared" si="206"/>
        <v>-5352.07</v>
      </c>
      <c r="J1201" s="50">
        <v>0</v>
      </c>
      <c r="K1201" s="31">
        <f t="shared" si="207"/>
        <v>0</v>
      </c>
      <c r="L1201" s="50">
        <v>0</v>
      </c>
      <c r="M1201" s="31">
        <f t="shared" si="208"/>
        <v>-26201.65</v>
      </c>
      <c r="N1201" s="50">
        <v>0</v>
      </c>
      <c r="O1201" s="31">
        <f t="shared" si="209"/>
        <v>0</v>
      </c>
      <c r="P1201" s="51" t="s">
        <v>4439</v>
      </c>
      <c r="Q1201" s="51"/>
    </row>
    <row r="1202" spans="1:17" x14ac:dyDescent="0.25">
      <c r="A1202" s="10">
        <v>44546</v>
      </c>
      <c r="B1202" s="594">
        <v>0</v>
      </c>
      <c r="C1202" s="31">
        <f t="shared" si="203"/>
        <v>113364095.47</v>
      </c>
      <c r="D1202" s="50">
        <v>0</v>
      </c>
      <c r="E1202" s="31">
        <f t="shared" si="204"/>
        <v>89901.23</v>
      </c>
      <c r="F1202" s="900">
        <v>0</v>
      </c>
      <c r="G1202" s="899">
        <f t="shared" si="205"/>
        <v>31813.47</v>
      </c>
      <c r="H1202" s="50">
        <v>5352.07</v>
      </c>
      <c r="I1202" s="31">
        <f t="shared" si="206"/>
        <v>0</v>
      </c>
      <c r="J1202" s="50">
        <v>0</v>
      </c>
      <c r="K1202" s="31">
        <f t="shared" si="207"/>
        <v>0</v>
      </c>
      <c r="L1202" s="50">
        <v>26201.65</v>
      </c>
      <c r="M1202" s="31">
        <f t="shared" si="208"/>
        <v>0</v>
      </c>
      <c r="N1202" s="50">
        <v>0</v>
      </c>
      <c r="O1202" s="31">
        <f t="shared" si="209"/>
        <v>0</v>
      </c>
      <c r="P1202" s="51" t="s">
        <v>845</v>
      </c>
      <c r="Q1202" s="51"/>
    </row>
    <row r="1203" spans="1:17" x14ac:dyDescent="0.25">
      <c r="A1203" s="10">
        <v>44547</v>
      </c>
      <c r="B1203" s="594">
        <v>0</v>
      </c>
      <c r="C1203" s="31">
        <f t="shared" si="203"/>
        <v>113364095.47</v>
      </c>
      <c r="D1203" s="50">
        <v>1405.21</v>
      </c>
      <c r="E1203" s="31">
        <f t="shared" si="204"/>
        <v>91306.44</v>
      </c>
      <c r="F1203" s="900">
        <v>0</v>
      </c>
      <c r="G1203" s="899">
        <f t="shared" si="205"/>
        <v>31813.47</v>
      </c>
      <c r="H1203" s="50">
        <v>0</v>
      </c>
      <c r="I1203" s="31">
        <f t="shared" si="206"/>
        <v>0</v>
      </c>
      <c r="J1203" s="50">
        <v>0</v>
      </c>
      <c r="K1203" s="31">
        <f t="shared" si="207"/>
        <v>0</v>
      </c>
      <c r="L1203" s="50">
        <v>0</v>
      </c>
      <c r="M1203" s="31">
        <f t="shared" si="208"/>
        <v>0</v>
      </c>
      <c r="N1203" s="50">
        <v>0</v>
      </c>
      <c r="O1203" s="31">
        <f t="shared" si="209"/>
        <v>0</v>
      </c>
      <c r="P1203" s="51" t="s">
        <v>4440</v>
      </c>
      <c r="Q1203" s="51"/>
    </row>
    <row r="1204" spans="1:17" x14ac:dyDescent="0.25">
      <c r="A1204" s="10">
        <v>44547</v>
      </c>
      <c r="B1204" s="594">
        <v>0</v>
      </c>
      <c r="C1204" s="31">
        <f t="shared" si="203"/>
        <v>113364095.47</v>
      </c>
      <c r="D1204" s="50">
        <v>349.55</v>
      </c>
      <c r="E1204" s="31">
        <f t="shared" si="204"/>
        <v>91655.99</v>
      </c>
      <c r="F1204" s="900">
        <v>0</v>
      </c>
      <c r="G1204" s="899">
        <f t="shared" si="205"/>
        <v>31813.47</v>
      </c>
      <c r="H1204" s="50">
        <v>0</v>
      </c>
      <c r="I1204" s="31">
        <f t="shared" si="206"/>
        <v>0</v>
      </c>
      <c r="J1204" s="50">
        <v>0</v>
      </c>
      <c r="K1204" s="31">
        <f t="shared" si="207"/>
        <v>0</v>
      </c>
      <c r="L1204" s="50">
        <v>0</v>
      </c>
      <c r="M1204" s="31">
        <f t="shared" si="208"/>
        <v>0</v>
      </c>
      <c r="N1204" s="50">
        <v>0</v>
      </c>
      <c r="O1204" s="31">
        <f t="shared" si="209"/>
        <v>0</v>
      </c>
      <c r="P1204" s="51" t="s">
        <v>4441</v>
      </c>
      <c r="Q1204" s="51"/>
    </row>
    <row r="1205" spans="1:17" x14ac:dyDescent="0.25">
      <c r="A1205" s="10">
        <v>44547</v>
      </c>
      <c r="B1205" s="594">
        <v>0</v>
      </c>
      <c r="C1205" s="31">
        <f t="shared" si="203"/>
        <v>113364095.47</v>
      </c>
      <c r="D1205" s="50">
        <v>-91655.99</v>
      </c>
      <c r="E1205" s="31">
        <f t="shared" si="204"/>
        <v>0</v>
      </c>
      <c r="F1205" s="900">
        <v>0</v>
      </c>
      <c r="G1205" s="899">
        <f t="shared" si="205"/>
        <v>31813.47</v>
      </c>
      <c r="H1205" s="50">
        <v>0</v>
      </c>
      <c r="I1205" s="31">
        <f t="shared" si="206"/>
        <v>0</v>
      </c>
      <c r="J1205" s="50">
        <v>0</v>
      </c>
      <c r="K1205" s="31">
        <f t="shared" si="207"/>
        <v>0</v>
      </c>
      <c r="L1205" s="50">
        <v>0</v>
      </c>
      <c r="M1205" s="31">
        <f t="shared" si="208"/>
        <v>0</v>
      </c>
      <c r="N1205" s="50">
        <v>0</v>
      </c>
      <c r="O1205" s="31">
        <f t="shared" si="209"/>
        <v>0</v>
      </c>
      <c r="P1205" s="51" t="s">
        <v>845</v>
      </c>
      <c r="Q1205" s="51"/>
    </row>
    <row r="1206" spans="1:17" x14ac:dyDescent="0.25">
      <c r="A1206" s="10">
        <v>44551</v>
      </c>
      <c r="B1206" s="594">
        <v>0</v>
      </c>
      <c r="C1206" s="31">
        <f t="shared" si="203"/>
        <v>113364095.47</v>
      </c>
      <c r="D1206" s="50">
        <v>-190577980.57527485</v>
      </c>
      <c r="E1206" s="31">
        <f t="shared" si="204"/>
        <v>-190577980.58000001</v>
      </c>
      <c r="F1206" s="900">
        <v>0</v>
      </c>
      <c r="G1206" s="899">
        <f t="shared" si="205"/>
        <v>31813.47</v>
      </c>
      <c r="H1206" s="50">
        <v>0</v>
      </c>
      <c r="I1206" s="31">
        <f t="shared" si="206"/>
        <v>0</v>
      </c>
      <c r="J1206" s="50">
        <v>0</v>
      </c>
      <c r="K1206" s="31">
        <f t="shared" si="207"/>
        <v>0</v>
      </c>
      <c r="L1206" s="50">
        <v>0</v>
      </c>
      <c r="M1206" s="31">
        <f t="shared" si="208"/>
        <v>0</v>
      </c>
      <c r="N1206" s="50">
        <v>0</v>
      </c>
      <c r="O1206" s="31">
        <f t="shared" si="209"/>
        <v>0</v>
      </c>
      <c r="P1206" s="51" t="s">
        <v>2045</v>
      </c>
      <c r="Q1206" s="51"/>
    </row>
    <row r="1207" spans="1:17" x14ac:dyDescent="0.25">
      <c r="A1207" s="10">
        <v>44551</v>
      </c>
      <c r="B1207" s="594">
        <v>0</v>
      </c>
      <c r="C1207" s="31">
        <f t="shared" si="203"/>
        <v>113364095.47</v>
      </c>
      <c r="D1207" s="50">
        <v>190427182.69999999</v>
      </c>
      <c r="E1207" s="31">
        <f t="shared" si="204"/>
        <v>-150797.88</v>
      </c>
      <c r="F1207" s="900">
        <v>0</v>
      </c>
      <c r="G1207" s="899">
        <f t="shared" si="205"/>
        <v>31813.47</v>
      </c>
      <c r="H1207" s="50">
        <v>0</v>
      </c>
      <c r="I1207" s="31">
        <f t="shared" si="206"/>
        <v>0</v>
      </c>
      <c r="J1207" s="50">
        <v>0</v>
      </c>
      <c r="K1207" s="31">
        <f t="shared" si="207"/>
        <v>0</v>
      </c>
      <c r="L1207" s="50">
        <v>0</v>
      </c>
      <c r="M1207" s="31">
        <f t="shared" si="208"/>
        <v>0</v>
      </c>
      <c r="N1207" s="50">
        <v>0</v>
      </c>
      <c r="O1207" s="31">
        <f t="shared" si="209"/>
        <v>0</v>
      </c>
      <c r="P1207" s="51" t="s">
        <v>4443</v>
      </c>
      <c r="Q1207" s="51"/>
    </row>
    <row r="1208" spans="1:17" x14ac:dyDescent="0.25">
      <c r="A1208" s="10">
        <v>44551</v>
      </c>
      <c r="B1208" s="594">
        <v>1200000</v>
      </c>
      <c r="C1208" s="31">
        <f t="shared" si="203"/>
        <v>114564095.47</v>
      </c>
      <c r="D1208" s="50">
        <v>-1200540.55</v>
      </c>
      <c r="E1208" s="31">
        <f t="shared" si="204"/>
        <v>-1351338.43</v>
      </c>
      <c r="F1208" s="900">
        <v>0</v>
      </c>
      <c r="G1208" s="899">
        <f t="shared" si="205"/>
        <v>31813.47</v>
      </c>
      <c r="H1208" s="50">
        <v>0</v>
      </c>
      <c r="I1208" s="31">
        <f t="shared" si="206"/>
        <v>0</v>
      </c>
      <c r="J1208" s="50">
        <v>0</v>
      </c>
      <c r="K1208" s="31">
        <f t="shared" si="207"/>
        <v>0</v>
      </c>
      <c r="L1208" s="50">
        <v>0</v>
      </c>
      <c r="M1208" s="31">
        <f t="shared" si="208"/>
        <v>0</v>
      </c>
      <c r="N1208" s="50">
        <v>0</v>
      </c>
      <c r="O1208" s="31">
        <f t="shared" si="209"/>
        <v>0</v>
      </c>
      <c r="P1208" s="51" t="s">
        <v>880</v>
      </c>
      <c r="Q1208" s="51"/>
    </row>
    <row r="1209" spans="1:17" x14ac:dyDescent="0.25">
      <c r="A1209" s="10">
        <v>44551</v>
      </c>
      <c r="B1209" s="594">
        <v>0</v>
      </c>
      <c r="C1209" s="31">
        <f t="shared" si="203"/>
        <v>114564095.47</v>
      </c>
      <c r="D1209" s="50">
        <v>881910.09</v>
      </c>
      <c r="E1209" s="31">
        <f t="shared" si="204"/>
        <v>-469428.34</v>
      </c>
      <c r="F1209" s="900">
        <v>0</v>
      </c>
      <c r="G1209" s="899">
        <f t="shared" si="205"/>
        <v>31813.47</v>
      </c>
      <c r="H1209" s="50">
        <v>0</v>
      </c>
      <c r="I1209" s="31">
        <f t="shared" si="206"/>
        <v>0</v>
      </c>
      <c r="J1209" s="50">
        <v>0</v>
      </c>
      <c r="K1209" s="31">
        <f t="shared" si="207"/>
        <v>0</v>
      </c>
      <c r="L1209" s="50">
        <v>0</v>
      </c>
      <c r="M1209" s="31">
        <f t="shared" si="208"/>
        <v>0</v>
      </c>
      <c r="N1209" s="50">
        <v>0</v>
      </c>
      <c r="O1209" s="31">
        <f t="shared" si="209"/>
        <v>0</v>
      </c>
      <c r="P1209" s="51" t="s">
        <v>845</v>
      </c>
      <c r="Q1209" s="51"/>
    </row>
    <row r="1210" spans="1:17" x14ac:dyDescent="0.25">
      <c r="A1210" s="10">
        <v>44552</v>
      </c>
      <c r="B1210" s="594">
        <v>0</v>
      </c>
      <c r="C1210" s="31">
        <f t="shared" si="203"/>
        <v>114564095.47</v>
      </c>
      <c r="D1210" s="50">
        <v>400000</v>
      </c>
      <c r="E1210" s="31">
        <f t="shared" si="204"/>
        <v>-69428.34</v>
      </c>
      <c r="F1210" s="900">
        <v>0</v>
      </c>
      <c r="G1210" s="899">
        <f t="shared" si="205"/>
        <v>31813.47</v>
      </c>
      <c r="H1210" s="50">
        <v>0</v>
      </c>
      <c r="I1210" s="31">
        <f t="shared" si="206"/>
        <v>0</v>
      </c>
      <c r="J1210" s="50">
        <v>0</v>
      </c>
      <c r="K1210" s="31">
        <f t="shared" si="207"/>
        <v>0</v>
      </c>
      <c r="L1210" s="50">
        <v>0</v>
      </c>
      <c r="M1210" s="31">
        <f t="shared" si="208"/>
        <v>0</v>
      </c>
      <c r="N1210" s="50">
        <v>0</v>
      </c>
      <c r="O1210" s="31">
        <f t="shared" si="209"/>
        <v>0</v>
      </c>
      <c r="P1210" s="51" t="s">
        <v>4444</v>
      </c>
      <c r="Q1210" s="51"/>
    </row>
    <row r="1211" spans="1:17" x14ac:dyDescent="0.25">
      <c r="A1211" s="10">
        <v>44552</v>
      </c>
      <c r="B1211" s="594">
        <v>0</v>
      </c>
      <c r="C1211" s="31">
        <f t="shared" si="203"/>
        <v>114564095.47</v>
      </c>
      <c r="D1211" s="50">
        <v>800000</v>
      </c>
      <c r="E1211" s="31">
        <f t="shared" si="204"/>
        <v>730571.66</v>
      </c>
      <c r="F1211" s="900">
        <v>0</v>
      </c>
      <c r="G1211" s="899">
        <f t="shared" si="205"/>
        <v>31813.47</v>
      </c>
      <c r="H1211" s="50">
        <v>0</v>
      </c>
      <c r="I1211" s="31">
        <f t="shared" si="206"/>
        <v>0</v>
      </c>
      <c r="J1211" s="50">
        <v>0</v>
      </c>
      <c r="K1211" s="31">
        <f t="shared" si="207"/>
        <v>0</v>
      </c>
      <c r="L1211" s="50">
        <v>0</v>
      </c>
      <c r="M1211" s="31">
        <f t="shared" si="208"/>
        <v>0</v>
      </c>
      <c r="N1211" s="50">
        <v>0</v>
      </c>
      <c r="O1211" s="31">
        <f t="shared" si="209"/>
        <v>0</v>
      </c>
      <c r="P1211" s="51" t="s">
        <v>4445</v>
      </c>
      <c r="Q1211" s="51"/>
    </row>
    <row r="1212" spans="1:17" x14ac:dyDescent="0.25">
      <c r="A1212" s="10">
        <v>44552</v>
      </c>
      <c r="B1212" s="594">
        <v>0</v>
      </c>
      <c r="C1212" s="31">
        <f t="shared" si="203"/>
        <v>114564095.47</v>
      </c>
      <c r="D1212" s="50">
        <v>-730571.67</v>
      </c>
      <c r="E1212" s="31">
        <f t="shared" si="204"/>
        <v>-0.01</v>
      </c>
      <c r="F1212" s="900">
        <v>0</v>
      </c>
      <c r="G1212" s="899">
        <f t="shared" si="205"/>
        <v>31813.47</v>
      </c>
      <c r="H1212" s="50">
        <v>0</v>
      </c>
      <c r="I1212" s="31">
        <f t="shared" si="206"/>
        <v>0</v>
      </c>
      <c r="J1212" s="50">
        <v>0</v>
      </c>
      <c r="K1212" s="31">
        <f t="shared" si="207"/>
        <v>0</v>
      </c>
      <c r="L1212" s="50">
        <v>0</v>
      </c>
      <c r="M1212" s="31">
        <f t="shared" si="208"/>
        <v>0</v>
      </c>
      <c r="N1212" s="50">
        <v>0</v>
      </c>
      <c r="O1212" s="31">
        <f t="shared" si="209"/>
        <v>0</v>
      </c>
      <c r="P1212" s="51" t="s">
        <v>845</v>
      </c>
      <c r="Q1212" s="51"/>
    </row>
    <row r="1213" spans="1:17" x14ac:dyDescent="0.25">
      <c r="A1213" s="10">
        <v>44553</v>
      </c>
      <c r="B1213" s="594">
        <v>5000000</v>
      </c>
      <c r="C1213" s="31">
        <f t="shared" si="203"/>
        <v>119564095.47</v>
      </c>
      <c r="D1213" s="50">
        <v>-5002753.0599999996</v>
      </c>
      <c r="E1213" s="31">
        <f t="shared" si="204"/>
        <v>-5002753.07</v>
      </c>
      <c r="F1213" s="900">
        <v>0</v>
      </c>
      <c r="G1213" s="899">
        <f t="shared" si="205"/>
        <v>31813.47</v>
      </c>
      <c r="H1213" s="50">
        <v>0</v>
      </c>
      <c r="I1213" s="31">
        <f t="shared" si="206"/>
        <v>0</v>
      </c>
      <c r="J1213" s="50">
        <v>0</v>
      </c>
      <c r="K1213" s="31">
        <f t="shared" si="207"/>
        <v>0</v>
      </c>
      <c r="L1213" s="50">
        <v>0</v>
      </c>
      <c r="M1213" s="31">
        <f t="shared" si="208"/>
        <v>0</v>
      </c>
      <c r="N1213" s="50">
        <v>0</v>
      </c>
      <c r="O1213" s="31">
        <f t="shared" si="209"/>
        <v>0</v>
      </c>
      <c r="P1213" s="51" t="s">
        <v>1697</v>
      </c>
      <c r="Q1213" s="51"/>
    </row>
    <row r="1214" spans="1:17" x14ac:dyDescent="0.25">
      <c r="A1214" s="10">
        <v>44553</v>
      </c>
      <c r="B1214" s="594">
        <v>0</v>
      </c>
      <c r="C1214" s="31">
        <f t="shared" si="203"/>
        <v>119564095.47</v>
      </c>
      <c r="D1214" s="50">
        <f>-D1213</f>
        <v>5002753.0599999996</v>
      </c>
      <c r="E1214" s="31">
        <f t="shared" si="204"/>
        <v>-0.01</v>
      </c>
      <c r="F1214" s="900">
        <v>0</v>
      </c>
      <c r="G1214" s="899">
        <f t="shared" si="205"/>
        <v>31813.47</v>
      </c>
      <c r="H1214" s="50">
        <v>0</v>
      </c>
      <c r="I1214" s="31">
        <f t="shared" si="206"/>
        <v>0</v>
      </c>
      <c r="J1214" s="50">
        <v>0</v>
      </c>
      <c r="K1214" s="31">
        <f t="shared" si="207"/>
        <v>0</v>
      </c>
      <c r="L1214" s="50">
        <v>0</v>
      </c>
      <c r="M1214" s="31">
        <f t="shared" si="208"/>
        <v>0</v>
      </c>
      <c r="N1214" s="50">
        <v>0</v>
      </c>
      <c r="O1214" s="31">
        <f t="shared" si="209"/>
        <v>0</v>
      </c>
      <c r="P1214" s="51" t="s">
        <v>4447</v>
      </c>
      <c r="Q1214" s="51"/>
    </row>
    <row r="1215" spans="1:17" x14ac:dyDescent="0.25">
      <c r="A1215" s="10">
        <v>44553</v>
      </c>
      <c r="B1215" s="594">
        <v>0</v>
      </c>
      <c r="C1215" s="31">
        <f t="shared" si="203"/>
        <v>119564095.47</v>
      </c>
      <c r="D1215" s="50">
        <f>-D1214</f>
        <v>-5002753.0599999996</v>
      </c>
      <c r="E1215" s="31">
        <f t="shared" si="204"/>
        <v>-5002753.07</v>
      </c>
      <c r="F1215" s="900">
        <v>0</v>
      </c>
      <c r="G1215" s="899">
        <f t="shared" si="205"/>
        <v>31813.47</v>
      </c>
      <c r="H1215" s="50">
        <v>0</v>
      </c>
      <c r="I1215" s="31">
        <f t="shared" si="206"/>
        <v>0</v>
      </c>
      <c r="J1215" s="50">
        <v>0</v>
      </c>
      <c r="K1215" s="31">
        <f t="shared" si="207"/>
        <v>0</v>
      </c>
      <c r="L1215" s="50">
        <v>0</v>
      </c>
      <c r="M1215" s="31">
        <f t="shared" si="208"/>
        <v>0</v>
      </c>
      <c r="N1215" s="50">
        <v>0</v>
      </c>
      <c r="O1215" s="31">
        <f t="shared" si="209"/>
        <v>0</v>
      </c>
      <c r="P1215" s="51" t="s">
        <v>4448</v>
      </c>
      <c r="Q1215" s="51"/>
    </row>
    <row r="1216" spans="1:17" x14ac:dyDescent="0.25">
      <c r="A1216" s="10">
        <v>44553</v>
      </c>
      <c r="B1216" s="594">
        <v>0</v>
      </c>
      <c r="C1216" s="31">
        <f t="shared" si="203"/>
        <v>119564095.47</v>
      </c>
      <c r="D1216" s="50">
        <v>5000000</v>
      </c>
      <c r="E1216" s="31">
        <f t="shared" si="204"/>
        <v>-2753.07</v>
      </c>
      <c r="F1216" s="900">
        <v>0</v>
      </c>
      <c r="G1216" s="899">
        <f t="shared" si="205"/>
        <v>31813.47</v>
      </c>
      <c r="H1216" s="50">
        <v>0</v>
      </c>
      <c r="I1216" s="31">
        <f t="shared" si="206"/>
        <v>0</v>
      </c>
      <c r="J1216" s="50">
        <v>0</v>
      </c>
      <c r="K1216" s="31">
        <f t="shared" si="207"/>
        <v>0</v>
      </c>
      <c r="L1216" s="50">
        <v>0</v>
      </c>
      <c r="M1216" s="31">
        <f t="shared" si="208"/>
        <v>0</v>
      </c>
      <c r="N1216" s="50">
        <v>0</v>
      </c>
      <c r="O1216" s="31">
        <f t="shared" si="209"/>
        <v>0</v>
      </c>
      <c r="P1216" s="51" t="s">
        <v>4449</v>
      </c>
      <c r="Q1216" s="51"/>
    </row>
    <row r="1217" spans="1:17" x14ac:dyDescent="0.25">
      <c r="A1217" s="10">
        <v>44553</v>
      </c>
      <c r="B1217" s="594">
        <v>0</v>
      </c>
      <c r="C1217" s="31">
        <f t="shared" si="203"/>
        <v>119564095.47</v>
      </c>
      <c r="D1217" s="50">
        <v>2753.0600000000559</v>
      </c>
      <c r="E1217" s="31">
        <f t="shared" si="204"/>
        <v>-0.01</v>
      </c>
      <c r="F1217" s="900">
        <v>0</v>
      </c>
      <c r="G1217" s="899">
        <f t="shared" si="205"/>
        <v>31813.47</v>
      </c>
      <c r="H1217" s="50">
        <v>0</v>
      </c>
      <c r="I1217" s="31">
        <f t="shared" si="206"/>
        <v>0</v>
      </c>
      <c r="J1217" s="50">
        <v>0</v>
      </c>
      <c r="K1217" s="31">
        <f t="shared" si="207"/>
        <v>0</v>
      </c>
      <c r="L1217" s="50">
        <v>0</v>
      </c>
      <c r="M1217" s="31">
        <f t="shared" si="208"/>
        <v>0</v>
      </c>
      <c r="N1217" s="50">
        <v>0</v>
      </c>
      <c r="O1217" s="31">
        <f t="shared" si="209"/>
        <v>0</v>
      </c>
      <c r="P1217" s="51" t="s">
        <v>845</v>
      </c>
      <c r="Q1217" s="51"/>
    </row>
    <row r="1218" spans="1:17" x14ac:dyDescent="0.25">
      <c r="A1218" s="10">
        <v>44557</v>
      </c>
      <c r="B1218" s="594">
        <v>0</v>
      </c>
      <c r="C1218" s="31">
        <f t="shared" si="203"/>
        <v>119564095.47</v>
      </c>
      <c r="D1218" s="50">
        <v>0</v>
      </c>
      <c r="E1218" s="31">
        <f t="shared" si="204"/>
        <v>-0.01</v>
      </c>
      <c r="F1218" s="900">
        <v>74.56000000000131</v>
      </c>
      <c r="G1218" s="899">
        <f t="shared" si="205"/>
        <v>31888.03</v>
      </c>
      <c r="H1218" s="50">
        <v>0</v>
      </c>
      <c r="I1218" s="31">
        <f t="shared" si="206"/>
        <v>0</v>
      </c>
      <c r="J1218" s="50">
        <v>0</v>
      </c>
      <c r="K1218" s="31">
        <f t="shared" si="207"/>
        <v>0</v>
      </c>
      <c r="L1218" s="50">
        <v>0</v>
      </c>
      <c r="M1218" s="31">
        <f t="shared" si="208"/>
        <v>0</v>
      </c>
      <c r="N1218" s="50">
        <v>0</v>
      </c>
      <c r="O1218" s="31">
        <f t="shared" si="209"/>
        <v>0</v>
      </c>
      <c r="P1218" s="51" t="s">
        <v>4485</v>
      </c>
      <c r="Q1218" s="51"/>
    </row>
    <row r="1219" spans="1:17" x14ac:dyDescent="0.25">
      <c r="A1219" s="10">
        <v>44557</v>
      </c>
      <c r="B1219" s="594">
        <v>1250000</v>
      </c>
      <c r="C1219" s="31">
        <f t="shared" si="203"/>
        <v>120814095.47</v>
      </c>
      <c r="D1219" s="50">
        <v>-1250000</v>
      </c>
      <c r="E1219" s="31">
        <f t="shared" si="204"/>
        <v>-1250000.01</v>
      </c>
      <c r="F1219" s="900">
        <v>0</v>
      </c>
      <c r="G1219" s="899">
        <f t="shared" si="205"/>
        <v>31888.03</v>
      </c>
      <c r="H1219" s="50">
        <v>0</v>
      </c>
      <c r="I1219" s="31">
        <f t="shared" si="206"/>
        <v>0</v>
      </c>
      <c r="J1219" s="50">
        <v>0</v>
      </c>
      <c r="K1219" s="31">
        <f t="shared" si="207"/>
        <v>0</v>
      </c>
      <c r="L1219" s="50">
        <v>0</v>
      </c>
      <c r="M1219" s="31">
        <f t="shared" si="208"/>
        <v>0</v>
      </c>
      <c r="N1219" s="50">
        <v>0</v>
      </c>
      <c r="O1219" s="31">
        <f t="shared" si="209"/>
        <v>0</v>
      </c>
      <c r="P1219" s="51" t="s">
        <v>2980</v>
      </c>
      <c r="Q1219" s="51"/>
    </row>
    <row r="1220" spans="1:17" x14ac:dyDescent="0.25">
      <c r="A1220" s="10">
        <v>44557</v>
      </c>
      <c r="B1220" s="594">
        <v>0</v>
      </c>
      <c r="C1220" s="31">
        <f t="shared" si="203"/>
        <v>120814095.47</v>
      </c>
      <c r="D1220" s="50">
        <f>-D1219</f>
        <v>1250000</v>
      </c>
      <c r="E1220" s="31">
        <f t="shared" si="204"/>
        <v>-0.01</v>
      </c>
      <c r="F1220" s="900">
        <v>0</v>
      </c>
      <c r="G1220" s="899">
        <f t="shared" si="205"/>
        <v>31888.03</v>
      </c>
      <c r="H1220" s="50">
        <v>0</v>
      </c>
      <c r="I1220" s="31">
        <f t="shared" si="206"/>
        <v>0</v>
      </c>
      <c r="J1220" s="50">
        <v>0</v>
      </c>
      <c r="K1220" s="31">
        <f t="shared" si="207"/>
        <v>0</v>
      </c>
      <c r="L1220" s="50">
        <v>0</v>
      </c>
      <c r="M1220" s="31">
        <f t="shared" si="208"/>
        <v>0</v>
      </c>
      <c r="N1220" s="50">
        <v>0</v>
      </c>
      <c r="O1220" s="31">
        <f t="shared" si="209"/>
        <v>0</v>
      </c>
      <c r="P1220" s="51" t="s">
        <v>4490</v>
      </c>
      <c r="Q1220" s="51"/>
    </row>
    <row r="1221" spans="1:17" x14ac:dyDescent="0.25">
      <c r="A1221" s="10">
        <v>44557</v>
      </c>
      <c r="B1221" s="594">
        <v>0</v>
      </c>
      <c r="C1221" s="31">
        <f t="shared" si="203"/>
        <v>120814095.47</v>
      </c>
      <c r="D1221" s="50">
        <f t="shared" ref="D1221:D1222" si="226">-D1220</f>
        <v>-1250000</v>
      </c>
      <c r="E1221" s="31">
        <f t="shared" si="204"/>
        <v>-1250000.01</v>
      </c>
      <c r="F1221" s="900">
        <v>0</v>
      </c>
      <c r="G1221" s="899">
        <f t="shared" si="205"/>
        <v>31888.03</v>
      </c>
      <c r="H1221" s="50">
        <v>0</v>
      </c>
      <c r="I1221" s="31">
        <f t="shared" si="206"/>
        <v>0</v>
      </c>
      <c r="J1221" s="50">
        <v>0</v>
      </c>
      <c r="K1221" s="31">
        <f t="shared" si="207"/>
        <v>0</v>
      </c>
      <c r="L1221" s="50">
        <v>0</v>
      </c>
      <c r="M1221" s="31">
        <f t="shared" si="208"/>
        <v>0</v>
      </c>
      <c r="N1221" s="50">
        <v>0</v>
      </c>
      <c r="O1221" s="31">
        <f t="shared" si="209"/>
        <v>0</v>
      </c>
      <c r="P1221" s="51" t="s">
        <v>4491</v>
      </c>
      <c r="Q1221" s="51"/>
    </row>
    <row r="1222" spans="1:17" x14ac:dyDescent="0.25">
      <c r="A1222" s="10">
        <v>44557</v>
      </c>
      <c r="B1222" s="594">
        <v>0</v>
      </c>
      <c r="C1222" s="31">
        <f t="shared" si="203"/>
        <v>120814095.47</v>
      </c>
      <c r="D1222" s="50">
        <f t="shared" si="226"/>
        <v>1250000</v>
      </c>
      <c r="E1222" s="31">
        <f t="shared" si="204"/>
        <v>-0.01</v>
      </c>
      <c r="F1222" s="900">
        <v>0</v>
      </c>
      <c r="G1222" s="899">
        <f t="shared" si="205"/>
        <v>31888.03</v>
      </c>
      <c r="H1222" s="50">
        <v>0</v>
      </c>
      <c r="I1222" s="31">
        <f t="shared" si="206"/>
        <v>0</v>
      </c>
      <c r="J1222" s="50">
        <v>0</v>
      </c>
      <c r="K1222" s="31">
        <f t="shared" si="207"/>
        <v>0</v>
      </c>
      <c r="L1222" s="50">
        <v>0</v>
      </c>
      <c r="M1222" s="31">
        <f t="shared" si="208"/>
        <v>0</v>
      </c>
      <c r="N1222" s="50">
        <v>0</v>
      </c>
      <c r="O1222" s="31">
        <f t="shared" si="209"/>
        <v>0</v>
      </c>
      <c r="P1222" s="51" t="s">
        <v>4492</v>
      </c>
      <c r="Q1222" s="51"/>
    </row>
    <row r="1223" spans="1:17" x14ac:dyDescent="0.25">
      <c r="A1223" s="10">
        <v>44557</v>
      </c>
      <c r="B1223" s="594">
        <v>0</v>
      </c>
      <c r="C1223" s="31">
        <f t="shared" si="203"/>
        <v>120814095.47</v>
      </c>
      <c r="D1223" s="50">
        <v>-150000</v>
      </c>
      <c r="E1223" s="31">
        <f t="shared" si="204"/>
        <v>-150000.01</v>
      </c>
      <c r="F1223" s="900">
        <v>0</v>
      </c>
      <c r="G1223" s="899">
        <f t="shared" si="205"/>
        <v>31888.03</v>
      </c>
      <c r="H1223" s="50">
        <v>0</v>
      </c>
      <c r="I1223" s="31">
        <f t="shared" si="206"/>
        <v>0</v>
      </c>
      <c r="J1223" s="50">
        <v>0</v>
      </c>
      <c r="K1223" s="31">
        <f t="shared" si="207"/>
        <v>0</v>
      </c>
      <c r="L1223" s="50">
        <v>0</v>
      </c>
      <c r="M1223" s="31">
        <f t="shared" si="208"/>
        <v>0</v>
      </c>
      <c r="N1223" s="50">
        <v>0</v>
      </c>
      <c r="O1223" s="31">
        <f t="shared" si="209"/>
        <v>0</v>
      </c>
      <c r="P1223" s="51" t="s">
        <v>4493</v>
      </c>
      <c r="Q1223" s="51"/>
    </row>
    <row r="1224" spans="1:17" x14ac:dyDescent="0.25">
      <c r="A1224" s="10">
        <v>44557</v>
      </c>
      <c r="B1224" s="594">
        <v>0</v>
      </c>
      <c r="C1224" s="31">
        <f t="shared" si="203"/>
        <v>120814095.47</v>
      </c>
      <c r="D1224" s="50">
        <v>150000</v>
      </c>
      <c r="E1224" s="31">
        <f t="shared" si="204"/>
        <v>-0.01</v>
      </c>
      <c r="F1224" s="900">
        <v>0</v>
      </c>
      <c r="G1224" s="899">
        <f t="shared" si="205"/>
        <v>31888.03</v>
      </c>
      <c r="H1224" s="50">
        <v>0</v>
      </c>
      <c r="I1224" s="31">
        <f t="shared" si="206"/>
        <v>0</v>
      </c>
      <c r="J1224" s="50">
        <v>0</v>
      </c>
      <c r="K1224" s="31">
        <f t="shared" si="207"/>
        <v>0</v>
      </c>
      <c r="L1224" s="50">
        <v>0</v>
      </c>
      <c r="M1224" s="31">
        <f t="shared" si="208"/>
        <v>0</v>
      </c>
      <c r="N1224" s="50">
        <v>0</v>
      </c>
      <c r="O1224" s="31">
        <f t="shared" si="209"/>
        <v>0</v>
      </c>
      <c r="P1224" s="51" t="s">
        <v>845</v>
      </c>
      <c r="Q1224" s="51"/>
    </row>
    <row r="1225" spans="1:17" x14ac:dyDescent="0.25">
      <c r="A1225" s="10">
        <v>44559</v>
      </c>
      <c r="B1225" s="594">
        <v>200000</v>
      </c>
      <c r="C1225" s="31">
        <f t="shared" si="203"/>
        <v>121014095.47</v>
      </c>
      <c r="D1225" s="50">
        <v>-200000</v>
      </c>
      <c r="E1225" s="31">
        <f t="shared" si="204"/>
        <v>-200000.01</v>
      </c>
      <c r="F1225" s="900">
        <v>0</v>
      </c>
      <c r="G1225" s="899">
        <f t="shared" si="205"/>
        <v>31888.03</v>
      </c>
      <c r="H1225" s="50">
        <v>0</v>
      </c>
      <c r="I1225" s="31">
        <f t="shared" si="206"/>
        <v>0</v>
      </c>
      <c r="J1225" s="50">
        <v>0</v>
      </c>
      <c r="K1225" s="31">
        <f t="shared" si="207"/>
        <v>0</v>
      </c>
      <c r="L1225" s="50">
        <v>0</v>
      </c>
      <c r="M1225" s="31">
        <f t="shared" si="208"/>
        <v>0</v>
      </c>
      <c r="N1225" s="50">
        <v>0</v>
      </c>
      <c r="O1225" s="31">
        <f t="shared" si="209"/>
        <v>0</v>
      </c>
      <c r="P1225" s="51" t="s">
        <v>2980</v>
      </c>
      <c r="Q1225" s="51"/>
    </row>
    <row r="1226" spans="1:17" x14ac:dyDescent="0.25">
      <c r="A1226" s="10">
        <v>44559</v>
      </c>
      <c r="B1226" s="594">
        <v>0</v>
      </c>
      <c r="C1226" s="31">
        <f t="shared" si="203"/>
        <v>121014095.47</v>
      </c>
      <c r="D1226" s="50">
        <f>-D1225</f>
        <v>200000</v>
      </c>
      <c r="E1226" s="31">
        <f t="shared" si="204"/>
        <v>-0.01</v>
      </c>
      <c r="F1226" s="900">
        <v>0</v>
      </c>
      <c r="G1226" s="899">
        <f t="shared" si="205"/>
        <v>31888.03</v>
      </c>
      <c r="H1226" s="50">
        <v>0</v>
      </c>
      <c r="I1226" s="31">
        <f t="shared" si="206"/>
        <v>0</v>
      </c>
      <c r="J1226" s="50">
        <v>0</v>
      </c>
      <c r="K1226" s="31">
        <f t="shared" si="207"/>
        <v>0</v>
      </c>
      <c r="L1226" s="50">
        <v>0</v>
      </c>
      <c r="M1226" s="31">
        <f t="shared" si="208"/>
        <v>0</v>
      </c>
      <c r="N1226" s="50">
        <v>0</v>
      </c>
      <c r="O1226" s="31">
        <f t="shared" si="209"/>
        <v>0</v>
      </c>
      <c r="P1226" s="51" t="s">
        <v>4494</v>
      </c>
      <c r="Q1226" s="51"/>
    </row>
    <row r="1227" spans="1:17" x14ac:dyDescent="0.25">
      <c r="A1227" s="10">
        <v>44559</v>
      </c>
      <c r="B1227" s="594">
        <v>0</v>
      </c>
      <c r="C1227" s="31">
        <f t="shared" si="203"/>
        <v>121014095.47</v>
      </c>
      <c r="D1227" s="50">
        <f t="shared" ref="D1227" si="227">-D1226</f>
        <v>-200000</v>
      </c>
      <c r="E1227" s="31">
        <f t="shared" si="204"/>
        <v>-200000.01</v>
      </c>
      <c r="F1227" s="900">
        <v>0</v>
      </c>
      <c r="G1227" s="899">
        <f t="shared" si="205"/>
        <v>31888.03</v>
      </c>
      <c r="H1227" s="50">
        <v>0</v>
      </c>
      <c r="I1227" s="31">
        <f t="shared" si="206"/>
        <v>0</v>
      </c>
      <c r="J1227" s="50">
        <v>0</v>
      </c>
      <c r="K1227" s="31">
        <f t="shared" si="207"/>
        <v>0</v>
      </c>
      <c r="L1227" s="50">
        <v>0</v>
      </c>
      <c r="M1227" s="31">
        <f t="shared" si="208"/>
        <v>0</v>
      </c>
      <c r="N1227" s="50">
        <v>0</v>
      </c>
      <c r="O1227" s="31">
        <f t="shared" si="209"/>
        <v>0</v>
      </c>
      <c r="P1227" s="51" t="s">
        <v>4495</v>
      </c>
      <c r="Q1227" s="51"/>
    </row>
    <row r="1228" spans="1:17" x14ac:dyDescent="0.25">
      <c r="A1228" s="10">
        <v>44559</v>
      </c>
      <c r="B1228" s="594">
        <v>0</v>
      </c>
      <c r="C1228" s="31">
        <f t="shared" si="203"/>
        <v>121014095.47</v>
      </c>
      <c r="D1228" s="50">
        <v>0</v>
      </c>
      <c r="E1228" s="31">
        <f t="shared" si="204"/>
        <v>-200000.01</v>
      </c>
      <c r="F1228" s="900">
        <v>75000</v>
      </c>
      <c r="G1228" s="899">
        <f t="shared" si="205"/>
        <v>106888.03</v>
      </c>
      <c r="H1228" s="50">
        <v>0</v>
      </c>
      <c r="I1228" s="31">
        <f t="shared" si="206"/>
        <v>0</v>
      </c>
      <c r="J1228" s="50">
        <v>0</v>
      </c>
      <c r="K1228" s="31">
        <f t="shared" si="207"/>
        <v>0</v>
      </c>
      <c r="L1228" s="50">
        <v>0</v>
      </c>
      <c r="M1228" s="31">
        <f t="shared" si="208"/>
        <v>0</v>
      </c>
      <c r="N1228" s="50">
        <v>0</v>
      </c>
      <c r="O1228" s="31">
        <f t="shared" si="209"/>
        <v>0</v>
      </c>
      <c r="P1228" s="51" t="s">
        <v>4496</v>
      </c>
      <c r="Q1228" s="51"/>
    </row>
    <row r="1229" spans="1:17" x14ac:dyDescent="0.25">
      <c r="A1229" s="10">
        <v>44559</v>
      </c>
      <c r="B1229" s="594">
        <v>0</v>
      </c>
      <c r="C1229" s="31">
        <f t="shared" si="203"/>
        <v>121014095.47</v>
      </c>
      <c r="D1229" s="50">
        <v>-75000</v>
      </c>
      <c r="E1229" s="31">
        <f t="shared" si="204"/>
        <v>-275000.01</v>
      </c>
      <c r="F1229" s="900">
        <v>0</v>
      </c>
      <c r="G1229" s="899">
        <f t="shared" si="205"/>
        <v>106888.03</v>
      </c>
      <c r="H1229" s="50">
        <v>0</v>
      </c>
      <c r="I1229" s="31">
        <f t="shared" si="206"/>
        <v>0</v>
      </c>
      <c r="J1229" s="50">
        <v>0</v>
      </c>
      <c r="K1229" s="31">
        <f t="shared" si="207"/>
        <v>0</v>
      </c>
      <c r="L1229" s="50">
        <v>75000</v>
      </c>
      <c r="M1229" s="31">
        <f t="shared" si="208"/>
        <v>75000</v>
      </c>
      <c r="N1229" s="50">
        <v>0</v>
      </c>
      <c r="O1229" s="31">
        <f t="shared" si="209"/>
        <v>0</v>
      </c>
      <c r="P1229" s="51" t="s">
        <v>4497</v>
      </c>
      <c r="Q1229" s="51"/>
    </row>
    <row r="1230" spans="1:17" x14ac:dyDescent="0.25">
      <c r="A1230" s="10">
        <v>44559</v>
      </c>
      <c r="B1230" s="594">
        <v>0</v>
      </c>
      <c r="C1230" s="31">
        <f t="shared" si="203"/>
        <v>121014095.47</v>
      </c>
      <c r="D1230" s="50">
        <v>0</v>
      </c>
      <c r="E1230" s="31">
        <f t="shared" si="204"/>
        <v>-275000.01</v>
      </c>
      <c r="F1230" s="900">
        <v>0</v>
      </c>
      <c r="G1230" s="899">
        <f t="shared" si="205"/>
        <v>106888.03</v>
      </c>
      <c r="H1230" s="50">
        <v>0</v>
      </c>
      <c r="I1230" s="31">
        <f t="shared" si="206"/>
        <v>0</v>
      </c>
      <c r="J1230" s="50">
        <v>0</v>
      </c>
      <c r="K1230" s="31">
        <f t="shared" si="207"/>
        <v>0</v>
      </c>
      <c r="L1230" s="50">
        <v>-75000</v>
      </c>
      <c r="M1230" s="31">
        <f t="shared" si="208"/>
        <v>0</v>
      </c>
      <c r="N1230" s="50">
        <v>0</v>
      </c>
      <c r="O1230" s="31">
        <f t="shared" si="209"/>
        <v>0</v>
      </c>
      <c r="P1230" s="51" t="s">
        <v>4498</v>
      </c>
      <c r="Q1230" s="51"/>
    </row>
    <row r="1231" spans="1:17" x14ac:dyDescent="0.25">
      <c r="A1231" s="10">
        <v>44559</v>
      </c>
      <c r="B1231" s="594">
        <v>0</v>
      </c>
      <c r="C1231" s="31">
        <f t="shared" si="203"/>
        <v>121014095.47</v>
      </c>
      <c r="D1231" s="50">
        <v>275000</v>
      </c>
      <c r="E1231" s="31">
        <f t="shared" si="204"/>
        <v>-0.01</v>
      </c>
      <c r="F1231" s="900">
        <v>0</v>
      </c>
      <c r="G1231" s="899">
        <f t="shared" si="205"/>
        <v>106888.03</v>
      </c>
      <c r="H1231" s="50">
        <v>0</v>
      </c>
      <c r="I1231" s="31">
        <f t="shared" si="206"/>
        <v>0</v>
      </c>
      <c r="J1231" s="50">
        <v>0</v>
      </c>
      <c r="K1231" s="31">
        <f t="shared" si="207"/>
        <v>0</v>
      </c>
      <c r="L1231" s="50">
        <v>-75000</v>
      </c>
      <c r="M1231" s="31">
        <f t="shared" si="208"/>
        <v>-75000</v>
      </c>
      <c r="N1231" s="50">
        <v>0</v>
      </c>
      <c r="O1231" s="31">
        <f t="shared" si="209"/>
        <v>0</v>
      </c>
      <c r="P1231" s="51" t="s">
        <v>845</v>
      </c>
      <c r="Q1231" s="51"/>
    </row>
    <row r="1232" spans="1:17" x14ac:dyDescent="0.25">
      <c r="A1232" s="10">
        <v>44560</v>
      </c>
      <c r="B1232" s="594">
        <v>0</v>
      </c>
      <c r="C1232" s="31">
        <f t="shared" si="203"/>
        <v>121014095.47</v>
      </c>
      <c r="D1232" s="50">
        <v>120594.38</v>
      </c>
      <c r="E1232" s="31">
        <f t="shared" si="204"/>
        <v>120594.37</v>
      </c>
      <c r="F1232" s="900">
        <v>-106500</v>
      </c>
      <c r="G1232" s="899">
        <f t="shared" si="205"/>
        <v>388.03</v>
      </c>
      <c r="H1232" s="50">
        <v>0</v>
      </c>
      <c r="I1232" s="31">
        <f t="shared" si="206"/>
        <v>0</v>
      </c>
      <c r="J1232" s="50">
        <v>0</v>
      </c>
      <c r="K1232" s="31">
        <f t="shared" si="207"/>
        <v>0</v>
      </c>
      <c r="L1232" s="50">
        <v>0</v>
      </c>
      <c r="M1232" s="31">
        <f t="shared" si="208"/>
        <v>-75000</v>
      </c>
      <c r="N1232" s="50">
        <v>0</v>
      </c>
      <c r="O1232" s="31">
        <f t="shared" si="209"/>
        <v>0</v>
      </c>
      <c r="P1232" s="51" t="s">
        <v>2288</v>
      </c>
      <c r="Q1232" s="900"/>
    </row>
    <row r="1233" spans="1:17" x14ac:dyDescent="0.25">
      <c r="A1233" s="10">
        <v>44560</v>
      </c>
      <c r="B1233" s="594">
        <v>0</v>
      </c>
      <c r="C1233" s="31">
        <f t="shared" si="203"/>
        <v>121014095.47</v>
      </c>
      <c r="D1233" s="50">
        <v>-120594.38</v>
      </c>
      <c r="E1233" s="31">
        <f t="shared" si="204"/>
        <v>-0.01</v>
      </c>
      <c r="F1233" s="900">
        <v>0</v>
      </c>
      <c r="G1233" s="899">
        <f t="shared" si="205"/>
        <v>388.03</v>
      </c>
      <c r="H1233" s="50">
        <v>0</v>
      </c>
      <c r="I1233" s="31">
        <f t="shared" si="206"/>
        <v>0</v>
      </c>
      <c r="J1233" s="50">
        <v>0</v>
      </c>
      <c r="K1233" s="31">
        <f t="shared" si="207"/>
        <v>0</v>
      </c>
      <c r="L1233" s="50">
        <v>75000</v>
      </c>
      <c r="M1233" s="31">
        <f t="shared" si="208"/>
        <v>0</v>
      </c>
      <c r="N1233" s="50">
        <v>0</v>
      </c>
      <c r="O1233" s="31">
        <f t="shared" si="209"/>
        <v>0</v>
      </c>
      <c r="P1233" s="51" t="s">
        <v>845</v>
      </c>
      <c r="Q1233" s="900"/>
    </row>
    <row r="1234" spans="1:17" x14ac:dyDescent="0.25">
      <c r="A1234" s="10">
        <v>44561</v>
      </c>
      <c r="B1234" s="594">
        <v>0</v>
      </c>
      <c r="C1234" s="31">
        <f t="shared" si="203"/>
        <v>121014095.47</v>
      </c>
      <c r="D1234" s="50">
        <v>-3626.09</v>
      </c>
      <c r="E1234" s="31">
        <f t="shared" si="204"/>
        <v>-3626.1</v>
      </c>
      <c r="F1234" s="900">
        <v>0</v>
      </c>
      <c r="G1234" s="899">
        <f t="shared" si="205"/>
        <v>388.03</v>
      </c>
      <c r="H1234" s="50">
        <v>3626.09</v>
      </c>
      <c r="I1234" s="31">
        <f t="shared" si="206"/>
        <v>3626.09</v>
      </c>
      <c r="J1234" s="50">
        <v>0</v>
      </c>
      <c r="K1234" s="31">
        <f t="shared" si="207"/>
        <v>0</v>
      </c>
      <c r="L1234" s="50">
        <v>0</v>
      </c>
      <c r="M1234" s="31">
        <f t="shared" si="208"/>
        <v>0</v>
      </c>
      <c r="N1234" s="50">
        <v>0</v>
      </c>
      <c r="O1234" s="31">
        <f t="shared" si="209"/>
        <v>0</v>
      </c>
      <c r="P1234" s="51" t="s">
        <v>1155</v>
      </c>
      <c r="Q1234" s="900"/>
    </row>
    <row r="1235" spans="1:17" x14ac:dyDescent="0.25">
      <c r="A1235" s="10">
        <v>44561</v>
      </c>
      <c r="B1235" s="594">
        <v>0</v>
      </c>
      <c r="C1235" s="31">
        <f t="shared" si="203"/>
        <v>121014095.47</v>
      </c>
      <c r="D1235" s="50">
        <v>-29409.86</v>
      </c>
      <c r="E1235" s="31">
        <f t="shared" si="204"/>
        <v>-33035.96</v>
      </c>
      <c r="F1235" s="900">
        <v>0</v>
      </c>
      <c r="G1235" s="899">
        <f t="shared" si="205"/>
        <v>388.03</v>
      </c>
      <c r="H1235" s="50">
        <v>0</v>
      </c>
      <c r="I1235" s="31">
        <f t="shared" si="206"/>
        <v>3626.09</v>
      </c>
      <c r="J1235" s="50">
        <v>0</v>
      </c>
      <c r="K1235" s="31">
        <f t="shared" si="207"/>
        <v>0</v>
      </c>
      <c r="L1235" s="50">
        <v>29409.859999999993</v>
      </c>
      <c r="M1235" s="31">
        <f t="shared" si="208"/>
        <v>29409.86</v>
      </c>
      <c r="N1235" s="50">
        <v>0</v>
      </c>
      <c r="O1235" s="31">
        <f t="shared" si="209"/>
        <v>0</v>
      </c>
      <c r="P1235" s="51" t="s">
        <v>1156</v>
      </c>
      <c r="Q1235" s="51"/>
    </row>
    <row r="1236" spans="1:17" x14ac:dyDescent="0.25">
      <c r="A1236" s="10">
        <v>44561</v>
      </c>
      <c r="B1236" s="594">
        <v>0</v>
      </c>
      <c r="C1236" s="31">
        <f t="shared" si="203"/>
        <v>121014095.47</v>
      </c>
      <c r="D1236" s="50">
        <v>0</v>
      </c>
      <c r="E1236" s="31">
        <f t="shared" si="204"/>
        <v>-33035.96</v>
      </c>
      <c r="F1236" s="900">
        <v>0</v>
      </c>
      <c r="G1236" s="899">
        <f t="shared" si="205"/>
        <v>388.03</v>
      </c>
      <c r="H1236" s="50">
        <v>-146.93</v>
      </c>
      <c r="I1236" s="31">
        <f t="shared" si="206"/>
        <v>3479.16</v>
      </c>
      <c r="J1236" s="50">
        <v>0</v>
      </c>
      <c r="K1236" s="31">
        <f t="shared" si="207"/>
        <v>0</v>
      </c>
      <c r="L1236" s="50">
        <v>0</v>
      </c>
      <c r="M1236" s="31">
        <f t="shared" si="208"/>
        <v>29409.86</v>
      </c>
      <c r="N1236" s="50">
        <v>0</v>
      </c>
      <c r="O1236" s="31">
        <f t="shared" si="209"/>
        <v>0</v>
      </c>
      <c r="P1236" s="51" t="s">
        <v>4499</v>
      </c>
      <c r="Q1236" s="51"/>
    </row>
    <row r="1237" spans="1:17" x14ac:dyDescent="0.25">
      <c r="A1237" s="10">
        <v>44561</v>
      </c>
      <c r="B1237" s="594">
        <v>0</v>
      </c>
      <c r="C1237" s="31">
        <f t="shared" si="203"/>
        <v>121014095.47</v>
      </c>
      <c r="D1237" s="50">
        <v>33035.949999999997</v>
      </c>
      <c r="E1237" s="31">
        <f t="shared" si="204"/>
        <v>-0.01</v>
      </c>
      <c r="F1237" s="900">
        <v>0</v>
      </c>
      <c r="G1237" s="899">
        <f t="shared" si="205"/>
        <v>388.03</v>
      </c>
      <c r="H1237" s="50">
        <f>-I1235</f>
        <v>-3626.09</v>
      </c>
      <c r="I1237" s="31">
        <f t="shared" si="206"/>
        <v>-146.93</v>
      </c>
      <c r="J1237" s="50">
        <v>0</v>
      </c>
      <c r="K1237" s="31">
        <f t="shared" si="207"/>
        <v>0</v>
      </c>
      <c r="L1237" s="50">
        <f>-M1236</f>
        <v>-29409.86</v>
      </c>
      <c r="M1237" s="31">
        <f t="shared" si="208"/>
        <v>0</v>
      </c>
      <c r="N1237" s="50">
        <v>0</v>
      </c>
      <c r="O1237" s="31">
        <f t="shared" si="209"/>
        <v>0</v>
      </c>
      <c r="P1237" s="51" t="s">
        <v>845</v>
      </c>
      <c r="Q1237" s="51"/>
    </row>
    <row r="1238" spans="1:17" x14ac:dyDescent="0.25">
      <c r="A1238" s="10">
        <v>44561</v>
      </c>
      <c r="B1238" s="594">
        <v>0</v>
      </c>
      <c r="C1238" s="31">
        <f t="shared" si="203"/>
        <v>121014095.47</v>
      </c>
      <c r="D1238" s="50">
        <v>0</v>
      </c>
      <c r="E1238" s="31">
        <f t="shared" si="204"/>
        <v>-0.01</v>
      </c>
      <c r="F1238" s="900">
        <v>-76371757.293650001</v>
      </c>
      <c r="G1238" s="899">
        <f t="shared" si="205"/>
        <v>-76371369.260000005</v>
      </c>
      <c r="H1238" s="50">
        <v>0</v>
      </c>
      <c r="I1238" s="31">
        <f t="shared" si="206"/>
        <v>-146.93</v>
      </c>
      <c r="J1238" s="50">
        <v>0</v>
      </c>
      <c r="K1238" s="31">
        <f t="shared" si="207"/>
        <v>0</v>
      </c>
      <c r="L1238" s="50">
        <v>0</v>
      </c>
      <c r="M1238" s="31">
        <f t="shared" si="208"/>
        <v>0</v>
      </c>
      <c r="N1238" s="50">
        <v>0</v>
      </c>
      <c r="O1238" s="31">
        <f t="shared" si="209"/>
        <v>0</v>
      </c>
      <c r="P1238" s="51" t="s">
        <v>4500</v>
      </c>
      <c r="Q1238" s="51"/>
    </row>
    <row r="1239" spans="1:17" x14ac:dyDescent="0.25">
      <c r="A1239" s="10">
        <v>44561</v>
      </c>
      <c r="B1239" s="594">
        <v>0</v>
      </c>
      <c r="C1239" s="31">
        <f t="shared" si="203"/>
        <v>121014095.47</v>
      </c>
      <c r="D1239" s="50">
        <v>0</v>
      </c>
      <c r="E1239" s="31">
        <f t="shared" si="204"/>
        <v>-0.01</v>
      </c>
      <c r="F1239" s="900">
        <v>76400619.75</v>
      </c>
      <c r="G1239" s="899">
        <f t="shared" si="205"/>
        <v>29250.49</v>
      </c>
      <c r="H1239" s="50">
        <v>0</v>
      </c>
      <c r="I1239" s="31">
        <f t="shared" si="206"/>
        <v>-146.93</v>
      </c>
      <c r="J1239" s="50">
        <v>0</v>
      </c>
      <c r="K1239" s="31">
        <f t="shared" si="207"/>
        <v>0</v>
      </c>
      <c r="L1239" s="50">
        <v>0</v>
      </c>
      <c r="M1239" s="31">
        <f t="shared" si="208"/>
        <v>0</v>
      </c>
      <c r="N1239" s="50">
        <v>0</v>
      </c>
      <c r="O1239" s="31">
        <f t="shared" si="209"/>
        <v>0</v>
      </c>
      <c r="P1239" s="51" t="s">
        <v>4501</v>
      </c>
      <c r="Q1239" s="51"/>
    </row>
    <row r="1240" spans="1:17" x14ac:dyDescent="0.25">
      <c r="A1240" s="10">
        <v>44564</v>
      </c>
      <c r="B1240" s="594">
        <v>0</v>
      </c>
      <c r="C1240" s="31">
        <f t="shared" si="203"/>
        <v>121014095.47</v>
      </c>
      <c r="D1240" s="50">
        <v>0</v>
      </c>
      <c r="E1240" s="31">
        <f t="shared" si="204"/>
        <v>-0.01</v>
      </c>
      <c r="F1240" s="900">
        <v>0</v>
      </c>
      <c r="G1240" s="899">
        <f t="shared" si="205"/>
        <v>29250.49</v>
      </c>
      <c r="H1240" s="50">
        <f>-I1239</f>
        <v>146.93</v>
      </c>
      <c r="I1240" s="31">
        <f t="shared" si="206"/>
        <v>0</v>
      </c>
      <c r="J1240" s="50">
        <v>0</v>
      </c>
      <c r="K1240" s="31">
        <f t="shared" si="207"/>
        <v>0</v>
      </c>
      <c r="L1240" s="50">
        <v>0</v>
      </c>
      <c r="M1240" s="31">
        <f t="shared" si="208"/>
        <v>0</v>
      </c>
      <c r="N1240" s="50">
        <v>0</v>
      </c>
      <c r="O1240" s="31">
        <f t="shared" si="209"/>
        <v>0</v>
      </c>
      <c r="P1240" s="51" t="s">
        <v>845</v>
      </c>
      <c r="Q1240" s="51"/>
    </row>
    <row r="1241" spans="1:17" x14ac:dyDescent="0.25">
      <c r="A1241" s="10">
        <v>44565</v>
      </c>
      <c r="B1241" s="594">
        <v>0</v>
      </c>
      <c r="C1241" s="31">
        <f t="shared" si="203"/>
        <v>121014095.47</v>
      </c>
      <c r="D1241" s="50">
        <v>1300000</v>
      </c>
      <c r="E1241" s="31">
        <f t="shared" si="204"/>
        <v>1299999.99</v>
      </c>
      <c r="F1241" s="900">
        <v>0</v>
      </c>
      <c r="G1241" s="899">
        <f t="shared" si="205"/>
        <v>29250.49</v>
      </c>
      <c r="H1241" s="50">
        <v>0</v>
      </c>
      <c r="I1241" s="31">
        <f t="shared" si="206"/>
        <v>0</v>
      </c>
      <c r="J1241" s="50">
        <v>0</v>
      </c>
      <c r="K1241" s="31">
        <f t="shared" si="207"/>
        <v>0</v>
      </c>
      <c r="L1241" s="50">
        <v>0</v>
      </c>
      <c r="M1241" s="31">
        <f t="shared" si="208"/>
        <v>0</v>
      </c>
      <c r="N1241" s="50">
        <v>0</v>
      </c>
      <c r="O1241" s="31">
        <f t="shared" si="209"/>
        <v>0</v>
      </c>
      <c r="P1241" s="51" t="s">
        <v>4507</v>
      </c>
      <c r="Q1241" s="51"/>
    </row>
    <row r="1242" spans="1:17" x14ac:dyDescent="0.25">
      <c r="A1242" s="10">
        <v>44565</v>
      </c>
      <c r="B1242" s="594">
        <v>1250000</v>
      </c>
      <c r="C1242" s="31">
        <f t="shared" si="203"/>
        <v>122264095.47</v>
      </c>
      <c r="D1242" s="50">
        <v>-1250000</v>
      </c>
      <c r="E1242" s="31">
        <f t="shared" si="204"/>
        <v>49999.99</v>
      </c>
      <c r="F1242" s="900">
        <v>0</v>
      </c>
      <c r="G1242" s="899">
        <f t="shared" si="205"/>
        <v>29250.49</v>
      </c>
      <c r="H1242" s="50">
        <v>0</v>
      </c>
      <c r="I1242" s="31">
        <f t="shared" si="206"/>
        <v>0</v>
      </c>
      <c r="J1242" s="50">
        <v>0</v>
      </c>
      <c r="K1242" s="31">
        <f t="shared" si="207"/>
        <v>0</v>
      </c>
      <c r="L1242" s="50">
        <v>0</v>
      </c>
      <c r="M1242" s="31">
        <f t="shared" si="208"/>
        <v>0</v>
      </c>
      <c r="N1242" s="50">
        <v>0</v>
      </c>
      <c r="O1242" s="31">
        <f t="shared" si="209"/>
        <v>0</v>
      </c>
      <c r="P1242" s="51" t="s">
        <v>2980</v>
      </c>
      <c r="Q1242" s="51"/>
    </row>
    <row r="1243" spans="1:17" x14ac:dyDescent="0.25">
      <c r="A1243" s="10">
        <v>44565</v>
      </c>
      <c r="B1243" s="594">
        <v>1800000</v>
      </c>
      <c r="C1243" s="31">
        <f t="shared" si="203"/>
        <v>124064095.47</v>
      </c>
      <c r="D1243" s="50">
        <v>0</v>
      </c>
      <c r="E1243" s="31">
        <f t="shared" si="204"/>
        <v>49999.99</v>
      </c>
      <c r="F1243" s="900">
        <v>0</v>
      </c>
      <c r="G1243" s="899">
        <f t="shared" si="205"/>
        <v>29250.49</v>
      </c>
      <c r="H1243" s="50">
        <v>0</v>
      </c>
      <c r="I1243" s="31">
        <f t="shared" si="206"/>
        <v>0</v>
      </c>
      <c r="J1243" s="50">
        <v>0</v>
      </c>
      <c r="K1243" s="31">
        <f t="shared" si="207"/>
        <v>0</v>
      </c>
      <c r="L1243" s="50">
        <v>0</v>
      </c>
      <c r="M1243" s="31">
        <f t="shared" si="208"/>
        <v>0</v>
      </c>
      <c r="N1243" s="50">
        <v>0</v>
      </c>
      <c r="O1243" s="31">
        <f t="shared" si="209"/>
        <v>0</v>
      </c>
      <c r="P1243" s="51" t="s">
        <v>3420</v>
      </c>
      <c r="Q1243" s="51"/>
    </row>
    <row r="1244" spans="1:17" x14ac:dyDescent="0.25">
      <c r="A1244" s="10">
        <v>44565</v>
      </c>
      <c r="B1244" s="594">
        <v>0</v>
      </c>
      <c r="C1244" s="31">
        <f t="shared" si="203"/>
        <v>124064095.47</v>
      </c>
      <c r="D1244" s="50">
        <v>22.82</v>
      </c>
      <c r="E1244" s="31">
        <f t="shared" si="204"/>
        <v>50022.81</v>
      </c>
      <c r="F1244" s="900">
        <v>0</v>
      </c>
      <c r="G1244" s="899">
        <f t="shared" si="205"/>
        <v>29250.49</v>
      </c>
      <c r="H1244" s="50">
        <v>1.86</v>
      </c>
      <c r="I1244" s="31">
        <f t="shared" si="206"/>
        <v>1.86</v>
      </c>
      <c r="J1244" s="50">
        <v>0</v>
      </c>
      <c r="K1244" s="31">
        <f t="shared" si="207"/>
        <v>0</v>
      </c>
      <c r="L1244" s="50">
        <v>0.1</v>
      </c>
      <c r="M1244" s="31">
        <f t="shared" si="208"/>
        <v>0.1</v>
      </c>
      <c r="N1244" s="50">
        <v>0</v>
      </c>
      <c r="O1244" s="31">
        <f t="shared" si="209"/>
        <v>0</v>
      </c>
      <c r="P1244" s="51" t="s">
        <v>2718</v>
      </c>
      <c r="Q1244" s="51"/>
    </row>
    <row r="1245" spans="1:17" x14ac:dyDescent="0.25">
      <c r="A1245" s="10">
        <v>44565</v>
      </c>
      <c r="B1245" s="594">
        <v>0</v>
      </c>
      <c r="C1245" s="31">
        <f t="shared" ref="C1245:C1308" si="228">ROUND(B1245+C1244,2)</f>
        <v>124064095.47</v>
      </c>
      <c r="D1245" s="50">
        <v>0</v>
      </c>
      <c r="E1245" s="31">
        <f t="shared" ref="E1245:E1308" si="229">ROUND(D1245+E1244,2)</f>
        <v>50022.81</v>
      </c>
      <c r="F1245" s="900">
        <v>0</v>
      </c>
      <c r="G1245" s="899">
        <f t="shared" ref="G1245:G1308" si="230">ROUND(F1245+G1244,2)</f>
        <v>29250.49</v>
      </c>
      <c r="H1245" s="50">
        <v>0</v>
      </c>
      <c r="I1245" s="31">
        <f t="shared" ref="I1245:I1308" si="231">ROUND(H1245+I1244,2)</f>
        <v>1.86</v>
      </c>
      <c r="J1245" s="50">
        <v>0</v>
      </c>
      <c r="K1245" s="31">
        <f t="shared" ref="K1245:K1308" si="232">ROUND(J1245+K1244,2)</f>
        <v>0</v>
      </c>
      <c r="L1245" s="50">
        <v>-29409.86</v>
      </c>
      <c r="M1245" s="31">
        <f t="shared" ref="M1245:M1308" si="233">ROUND(L1245+M1244,2)</f>
        <v>-29409.759999999998</v>
      </c>
      <c r="N1245" s="50">
        <v>0</v>
      </c>
      <c r="O1245" s="31">
        <f t="shared" ref="O1245:O1308" si="234">ROUND(N1245+O1244,2)</f>
        <v>0</v>
      </c>
      <c r="P1245" s="51" t="s">
        <v>4508</v>
      </c>
      <c r="Q1245" s="51"/>
    </row>
    <row r="1246" spans="1:17" x14ac:dyDescent="0.25">
      <c r="A1246" s="10">
        <v>44565</v>
      </c>
      <c r="B1246" s="594">
        <v>0</v>
      </c>
      <c r="C1246" s="31">
        <f t="shared" si="228"/>
        <v>124064095.47</v>
      </c>
      <c r="D1246" s="50">
        <v>-50022.81</v>
      </c>
      <c r="E1246" s="31">
        <f t="shared" si="229"/>
        <v>0</v>
      </c>
      <c r="F1246" s="900">
        <v>0</v>
      </c>
      <c r="G1246" s="899">
        <f t="shared" si="230"/>
        <v>29250.49</v>
      </c>
      <c r="H1246" s="50">
        <v>-1.86</v>
      </c>
      <c r="I1246" s="31">
        <f t="shared" si="231"/>
        <v>0</v>
      </c>
      <c r="J1246" s="50">
        <v>0</v>
      </c>
      <c r="K1246" s="31">
        <f t="shared" si="232"/>
        <v>0</v>
      </c>
      <c r="L1246" s="50">
        <f>-M1245</f>
        <v>29409.759999999998</v>
      </c>
      <c r="M1246" s="31">
        <f t="shared" si="233"/>
        <v>0</v>
      </c>
      <c r="N1246" s="50">
        <v>0</v>
      </c>
      <c r="O1246" s="31">
        <f t="shared" si="234"/>
        <v>0</v>
      </c>
      <c r="P1246" s="51" t="s">
        <v>845</v>
      </c>
      <c r="Q1246" s="51"/>
    </row>
    <row r="1247" spans="1:17" x14ac:dyDescent="0.25">
      <c r="A1247" s="10">
        <v>44567</v>
      </c>
      <c r="B1247" s="594">
        <v>0</v>
      </c>
      <c r="C1247" s="31">
        <f t="shared" si="228"/>
        <v>124064095.47</v>
      </c>
      <c r="D1247" s="50">
        <v>1998279.72</v>
      </c>
      <c r="E1247" s="31">
        <f t="shared" si="229"/>
        <v>1998279.72</v>
      </c>
      <c r="F1247" s="900">
        <v>0</v>
      </c>
      <c r="G1247" s="899">
        <f t="shared" si="230"/>
        <v>29250.49</v>
      </c>
      <c r="H1247" s="50">
        <v>0</v>
      </c>
      <c r="I1247" s="31">
        <f t="shared" si="231"/>
        <v>0</v>
      </c>
      <c r="J1247" s="50">
        <v>0</v>
      </c>
      <c r="K1247" s="31">
        <f t="shared" si="232"/>
        <v>0</v>
      </c>
      <c r="L1247" s="50">
        <v>0</v>
      </c>
      <c r="M1247" s="31">
        <f t="shared" si="233"/>
        <v>0</v>
      </c>
      <c r="N1247" s="50">
        <v>0</v>
      </c>
      <c r="O1247" s="31">
        <f t="shared" si="234"/>
        <v>0</v>
      </c>
      <c r="P1247" s="51" t="s">
        <v>4507</v>
      </c>
      <c r="Q1247" s="51"/>
    </row>
    <row r="1248" spans="1:17" x14ac:dyDescent="0.25">
      <c r="A1248" s="10">
        <v>44567</v>
      </c>
      <c r="B1248" s="50">
        <v>2000000</v>
      </c>
      <c r="C1248" s="31">
        <f t="shared" si="228"/>
        <v>126064095.47</v>
      </c>
      <c r="D1248" s="50">
        <v>-2002997.81</v>
      </c>
      <c r="E1248" s="31">
        <f t="shared" si="229"/>
        <v>-4718.09</v>
      </c>
      <c r="F1248" s="900">
        <v>0</v>
      </c>
      <c r="G1248" s="899">
        <f t="shared" si="230"/>
        <v>29250.49</v>
      </c>
      <c r="H1248" s="50">
        <v>0</v>
      </c>
      <c r="I1248" s="31">
        <f t="shared" si="231"/>
        <v>0</v>
      </c>
      <c r="J1248" s="50">
        <v>0</v>
      </c>
      <c r="K1248" s="31">
        <f t="shared" si="232"/>
        <v>0</v>
      </c>
      <c r="L1248" s="50">
        <v>0</v>
      </c>
      <c r="M1248" s="31">
        <f t="shared" si="233"/>
        <v>0</v>
      </c>
      <c r="N1248" s="50">
        <v>0</v>
      </c>
      <c r="O1248" s="31">
        <f t="shared" si="234"/>
        <v>0</v>
      </c>
      <c r="P1248" s="51" t="s">
        <v>831</v>
      </c>
      <c r="Q1248" s="51"/>
    </row>
    <row r="1249" spans="1:17" x14ac:dyDescent="0.25">
      <c r="A1249" s="10">
        <v>44567</v>
      </c>
      <c r="B1249" s="594">
        <v>0</v>
      </c>
      <c r="C1249" s="31">
        <f t="shared" si="228"/>
        <v>126064095.47</v>
      </c>
      <c r="D1249" s="50">
        <f>-E1248</f>
        <v>4718.09</v>
      </c>
      <c r="E1249" s="31">
        <f t="shared" si="229"/>
        <v>0</v>
      </c>
      <c r="F1249" s="900">
        <v>0</v>
      </c>
      <c r="G1249" s="899">
        <f t="shared" si="230"/>
        <v>29250.49</v>
      </c>
      <c r="H1249" s="50">
        <v>0</v>
      </c>
      <c r="I1249" s="31">
        <f t="shared" si="231"/>
        <v>0</v>
      </c>
      <c r="J1249" s="50">
        <v>0</v>
      </c>
      <c r="K1249" s="31">
        <f t="shared" si="232"/>
        <v>0</v>
      </c>
      <c r="L1249" s="50">
        <v>0</v>
      </c>
      <c r="M1249" s="31">
        <f t="shared" si="233"/>
        <v>0</v>
      </c>
      <c r="N1249" s="50">
        <v>0</v>
      </c>
      <c r="O1249" s="31">
        <f t="shared" si="234"/>
        <v>0</v>
      </c>
      <c r="P1249" s="51" t="s">
        <v>845</v>
      </c>
      <c r="Q1249" s="51"/>
    </row>
    <row r="1250" spans="1:17" x14ac:dyDescent="0.25">
      <c r="A1250" s="10">
        <v>44574</v>
      </c>
      <c r="B1250" s="594">
        <v>500000</v>
      </c>
      <c r="C1250" s="31">
        <f t="shared" si="228"/>
        <v>126564095.47</v>
      </c>
      <c r="D1250" s="50">
        <f>-B1250</f>
        <v>-500000</v>
      </c>
      <c r="E1250" s="31">
        <f t="shared" si="229"/>
        <v>-500000</v>
      </c>
      <c r="F1250" s="900">
        <v>0</v>
      </c>
      <c r="G1250" s="899">
        <f t="shared" si="230"/>
        <v>29250.49</v>
      </c>
      <c r="H1250" s="50">
        <v>0</v>
      </c>
      <c r="I1250" s="31">
        <f t="shared" si="231"/>
        <v>0</v>
      </c>
      <c r="J1250" s="50">
        <v>0</v>
      </c>
      <c r="K1250" s="31">
        <f t="shared" si="232"/>
        <v>0</v>
      </c>
      <c r="L1250" s="50">
        <v>0</v>
      </c>
      <c r="M1250" s="31">
        <f t="shared" si="233"/>
        <v>0</v>
      </c>
      <c r="N1250" s="50">
        <v>0</v>
      </c>
      <c r="O1250" s="31">
        <f t="shared" si="234"/>
        <v>0</v>
      </c>
      <c r="P1250" s="51" t="s">
        <v>2661</v>
      </c>
      <c r="Q1250" s="51"/>
    </row>
    <row r="1251" spans="1:17" x14ac:dyDescent="0.25">
      <c r="A1251" s="10">
        <v>44574</v>
      </c>
      <c r="B1251" s="594">
        <v>0</v>
      </c>
      <c r="C1251" s="31">
        <f t="shared" si="228"/>
        <v>126564095.47</v>
      </c>
      <c r="D1251" s="50">
        <f>-D1250</f>
        <v>500000</v>
      </c>
      <c r="E1251" s="31">
        <f t="shared" si="229"/>
        <v>0</v>
      </c>
      <c r="F1251" s="900">
        <v>0</v>
      </c>
      <c r="G1251" s="899">
        <f t="shared" si="230"/>
        <v>29250.49</v>
      </c>
      <c r="H1251" s="50">
        <v>0</v>
      </c>
      <c r="I1251" s="31">
        <f t="shared" si="231"/>
        <v>0</v>
      </c>
      <c r="J1251" s="50">
        <v>0</v>
      </c>
      <c r="K1251" s="31">
        <f t="shared" si="232"/>
        <v>0</v>
      </c>
      <c r="L1251" s="50">
        <v>0</v>
      </c>
      <c r="M1251" s="31">
        <f t="shared" si="233"/>
        <v>0</v>
      </c>
      <c r="N1251" s="50">
        <v>0</v>
      </c>
      <c r="O1251" s="31">
        <f t="shared" si="234"/>
        <v>0</v>
      </c>
      <c r="P1251" s="51" t="s">
        <v>3128</v>
      </c>
      <c r="Q1251" s="51"/>
    </row>
    <row r="1252" spans="1:17" x14ac:dyDescent="0.25">
      <c r="A1252" s="10">
        <v>44575</v>
      </c>
      <c r="B1252" s="594">
        <v>0</v>
      </c>
      <c r="C1252" s="31">
        <f t="shared" si="228"/>
        <v>126564095.47</v>
      </c>
      <c r="D1252" s="50">
        <v>0</v>
      </c>
      <c r="E1252" s="31">
        <f t="shared" si="229"/>
        <v>0</v>
      </c>
      <c r="F1252" s="900">
        <v>27974.899306252599</v>
      </c>
      <c r="G1252" s="899">
        <f t="shared" si="230"/>
        <v>57225.39</v>
      </c>
      <c r="H1252" s="50">
        <v>0</v>
      </c>
      <c r="I1252" s="31">
        <f t="shared" si="231"/>
        <v>0</v>
      </c>
      <c r="J1252" s="50">
        <v>0</v>
      </c>
      <c r="K1252" s="31">
        <f t="shared" si="232"/>
        <v>0</v>
      </c>
      <c r="L1252" s="50">
        <v>0</v>
      </c>
      <c r="M1252" s="31">
        <f t="shared" si="233"/>
        <v>0</v>
      </c>
      <c r="N1252" s="50">
        <v>0</v>
      </c>
      <c r="O1252" s="31">
        <f t="shared" si="234"/>
        <v>0</v>
      </c>
      <c r="P1252" s="51" t="s">
        <v>4567</v>
      </c>
      <c r="Q1252" s="51"/>
    </row>
    <row r="1253" spans="1:17" x14ac:dyDescent="0.25">
      <c r="A1253" s="10">
        <v>44579</v>
      </c>
      <c r="B1253" s="594">
        <v>0</v>
      </c>
      <c r="C1253" s="31">
        <f t="shared" si="228"/>
        <v>126564095.47</v>
      </c>
      <c r="D1253" s="50">
        <v>0</v>
      </c>
      <c r="E1253" s="31">
        <f t="shared" si="229"/>
        <v>0</v>
      </c>
      <c r="F1253" s="900">
        <v>23402242.5</v>
      </c>
      <c r="G1253" s="899">
        <f t="shared" si="230"/>
        <v>23459467.890000001</v>
      </c>
      <c r="H1253" s="50">
        <v>0</v>
      </c>
      <c r="I1253" s="31">
        <f t="shared" si="231"/>
        <v>0</v>
      </c>
      <c r="J1253" s="50">
        <v>0</v>
      </c>
      <c r="K1253" s="31">
        <f t="shared" si="232"/>
        <v>0</v>
      </c>
      <c r="L1253" s="50">
        <v>0</v>
      </c>
      <c r="M1253" s="31">
        <f t="shared" si="233"/>
        <v>0</v>
      </c>
      <c r="N1253" s="50">
        <v>0</v>
      </c>
      <c r="O1253" s="31">
        <f t="shared" si="234"/>
        <v>0</v>
      </c>
      <c r="P1253" s="51" t="s">
        <v>4568</v>
      </c>
      <c r="Q1253" s="51"/>
    </row>
    <row r="1254" spans="1:17" x14ac:dyDescent="0.25">
      <c r="A1254" s="10">
        <v>44579</v>
      </c>
      <c r="B1254" s="594">
        <v>0</v>
      </c>
      <c r="C1254" s="31">
        <f t="shared" si="228"/>
        <v>126564095.47</v>
      </c>
      <c r="D1254" s="50">
        <v>0</v>
      </c>
      <c r="E1254" s="31">
        <f t="shared" si="229"/>
        <v>0</v>
      </c>
      <c r="F1254" s="900">
        <v>-23402200</v>
      </c>
      <c r="G1254" s="899">
        <f t="shared" si="230"/>
        <v>57267.89</v>
      </c>
      <c r="H1254" s="50">
        <v>0</v>
      </c>
      <c r="I1254" s="31">
        <f t="shared" si="231"/>
        <v>0</v>
      </c>
      <c r="J1254" s="50">
        <v>0</v>
      </c>
      <c r="K1254" s="31">
        <f t="shared" si="232"/>
        <v>0</v>
      </c>
      <c r="L1254" s="50">
        <v>0</v>
      </c>
      <c r="M1254" s="31">
        <f t="shared" si="233"/>
        <v>0</v>
      </c>
      <c r="N1254" s="50">
        <v>0</v>
      </c>
      <c r="O1254" s="31">
        <f t="shared" si="234"/>
        <v>0</v>
      </c>
      <c r="P1254" s="51" t="s">
        <v>4569</v>
      </c>
      <c r="Q1254" s="51"/>
    </row>
    <row r="1255" spans="1:17" x14ac:dyDescent="0.25">
      <c r="A1255" s="10">
        <v>44579</v>
      </c>
      <c r="B1255" s="594">
        <v>0</v>
      </c>
      <c r="C1255" s="31">
        <f t="shared" si="228"/>
        <v>126564095.47</v>
      </c>
      <c r="D1255" s="50">
        <v>1003.7800000000279</v>
      </c>
      <c r="E1255" s="31">
        <f t="shared" si="229"/>
        <v>1003.78</v>
      </c>
      <c r="F1255" s="900">
        <v>0</v>
      </c>
      <c r="G1255" s="899">
        <f t="shared" si="230"/>
        <v>57267.89</v>
      </c>
      <c r="H1255" s="50">
        <v>0</v>
      </c>
      <c r="I1255" s="31">
        <f t="shared" si="231"/>
        <v>0</v>
      </c>
      <c r="J1255" s="50">
        <v>0</v>
      </c>
      <c r="K1255" s="31">
        <f t="shared" si="232"/>
        <v>0</v>
      </c>
      <c r="L1255" s="50">
        <v>0</v>
      </c>
      <c r="M1255" s="31">
        <f t="shared" si="233"/>
        <v>0</v>
      </c>
      <c r="N1255" s="50">
        <v>0</v>
      </c>
      <c r="O1255" s="31">
        <f t="shared" si="234"/>
        <v>0</v>
      </c>
      <c r="P1255" s="51" t="s">
        <v>4571</v>
      </c>
      <c r="Q1255" s="51"/>
    </row>
    <row r="1256" spans="1:17" x14ac:dyDescent="0.25">
      <c r="A1256" s="10">
        <v>44579</v>
      </c>
      <c r="B1256" s="594">
        <v>0</v>
      </c>
      <c r="C1256" s="31">
        <f t="shared" si="228"/>
        <v>126564095.47</v>
      </c>
      <c r="D1256" s="50">
        <f>-D1255</f>
        <v>-1003.7800000000279</v>
      </c>
      <c r="E1256" s="31">
        <f t="shared" si="229"/>
        <v>0</v>
      </c>
      <c r="F1256" s="900">
        <v>0</v>
      </c>
      <c r="G1256" s="899">
        <f t="shared" si="230"/>
        <v>57267.89</v>
      </c>
      <c r="H1256" s="50">
        <v>0</v>
      </c>
      <c r="I1256" s="31">
        <f t="shared" si="231"/>
        <v>0</v>
      </c>
      <c r="J1256" s="50">
        <v>0</v>
      </c>
      <c r="K1256" s="31">
        <f t="shared" si="232"/>
        <v>0</v>
      </c>
      <c r="L1256" s="50">
        <v>0</v>
      </c>
      <c r="M1256" s="31">
        <f t="shared" si="233"/>
        <v>0</v>
      </c>
      <c r="N1256" s="50">
        <v>0</v>
      </c>
      <c r="O1256" s="31">
        <f t="shared" si="234"/>
        <v>0</v>
      </c>
      <c r="P1256" s="51" t="s">
        <v>845</v>
      </c>
      <c r="Q1256" s="51"/>
    </row>
    <row r="1257" spans="1:17" x14ac:dyDescent="0.25">
      <c r="A1257" s="10">
        <v>44580</v>
      </c>
      <c r="B1257" s="594">
        <v>0</v>
      </c>
      <c r="C1257" s="31">
        <f t="shared" si="228"/>
        <v>126564095.47</v>
      </c>
      <c r="D1257" s="50">
        <v>-123992.17775915191</v>
      </c>
      <c r="E1257" s="31">
        <f t="shared" si="229"/>
        <v>-123992.18</v>
      </c>
      <c r="F1257" s="900">
        <v>0</v>
      </c>
      <c r="G1257" s="899">
        <f t="shared" si="230"/>
        <v>57267.89</v>
      </c>
      <c r="H1257" s="50">
        <v>0</v>
      </c>
      <c r="I1257" s="31">
        <f t="shared" si="231"/>
        <v>0</v>
      </c>
      <c r="J1257" s="50">
        <v>0</v>
      </c>
      <c r="K1257" s="31">
        <f t="shared" si="232"/>
        <v>0</v>
      </c>
      <c r="L1257" s="50">
        <v>0</v>
      </c>
      <c r="M1257" s="31">
        <f t="shared" si="233"/>
        <v>0</v>
      </c>
      <c r="N1257" s="50">
        <v>0</v>
      </c>
      <c r="O1257" s="31">
        <f t="shared" si="234"/>
        <v>0</v>
      </c>
      <c r="P1257" s="51" t="s">
        <v>3547</v>
      </c>
      <c r="Q1257" s="51"/>
    </row>
    <row r="1258" spans="1:17" x14ac:dyDescent="0.25">
      <c r="A1258" s="10">
        <v>44580</v>
      </c>
      <c r="B1258" s="594">
        <v>300000</v>
      </c>
      <c r="C1258" s="31">
        <f t="shared" si="228"/>
        <v>126864095.47</v>
      </c>
      <c r="D1258" s="50">
        <v>0</v>
      </c>
      <c r="E1258" s="31">
        <f t="shared" si="229"/>
        <v>-123992.18</v>
      </c>
      <c r="F1258" s="900">
        <v>0</v>
      </c>
      <c r="G1258" s="899">
        <f t="shared" si="230"/>
        <v>57267.89</v>
      </c>
      <c r="H1258" s="50">
        <v>0</v>
      </c>
      <c r="I1258" s="31">
        <f t="shared" si="231"/>
        <v>0</v>
      </c>
      <c r="J1258" s="50">
        <v>0</v>
      </c>
      <c r="K1258" s="31">
        <f t="shared" si="232"/>
        <v>0</v>
      </c>
      <c r="L1258" s="50">
        <v>0</v>
      </c>
      <c r="M1258" s="31">
        <f t="shared" si="233"/>
        <v>0</v>
      </c>
      <c r="N1258" s="50">
        <v>0</v>
      </c>
      <c r="O1258" s="31">
        <f t="shared" si="234"/>
        <v>0</v>
      </c>
      <c r="P1258" s="51" t="s">
        <v>3133</v>
      </c>
      <c r="Q1258" s="51"/>
    </row>
    <row r="1259" spans="1:17" x14ac:dyDescent="0.25">
      <c r="A1259" s="10">
        <v>44580</v>
      </c>
      <c r="B1259" s="594">
        <v>0</v>
      </c>
      <c r="C1259" s="31">
        <f t="shared" si="228"/>
        <v>126864095.47</v>
      </c>
      <c r="D1259" s="50">
        <v>123992.18</v>
      </c>
      <c r="E1259" s="31">
        <f t="shared" si="229"/>
        <v>0</v>
      </c>
      <c r="F1259" s="900">
        <v>0</v>
      </c>
      <c r="G1259" s="899">
        <f t="shared" si="230"/>
        <v>57267.89</v>
      </c>
      <c r="H1259" s="50">
        <v>0</v>
      </c>
      <c r="I1259" s="31">
        <f t="shared" si="231"/>
        <v>0</v>
      </c>
      <c r="J1259" s="50">
        <v>0</v>
      </c>
      <c r="K1259" s="31">
        <f t="shared" si="232"/>
        <v>0</v>
      </c>
      <c r="L1259" s="50">
        <v>0</v>
      </c>
      <c r="M1259" s="31">
        <f t="shared" si="233"/>
        <v>0</v>
      </c>
      <c r="N1259" s="50">
        <v>0</v>
      </c>
      <c r="O1259" s="31">
        <f t="shared" si="234"/>
        <v>0</v>
      </c>
      <c r="P1259" s="51" t="s">
        <v>845</v>
      </c>
      <c r="Q1259" s="51"/>
    </row>
    <row r="1260" spans="1:17" x14ac:dyDescent="0.25">
      <c r="A1260" s="10">
        <v>44582</v>
      </c>
      <c r="B1260" s="594">
        <v>0</v>
      </c>
      <c r="C1260" s="31">
        <f t="shared" si="228"/>
        <v>126864095.47</v>
      </c>
      <c r="D1260" s="50">
        <v>0</v>
      </c>
      <c r="E1260" s="31">
        <f t="shared" si="229"/>
        <v>0</v>
      </c>
      <c r="F1260" s="900">
        <v>0</v>
      </c>
      <c r="G1260" s="899">
        <f t="shared" si="230"/>
        <v>57267.89</v>
      </c>
      <c r="H1260" s="50">
        <v>-161.35</v>
      </c>
      <c r="I1260" s="31">
        <f t="shared" si="231"/>
        <v>-161.35</v>
      </c>
      <c r="J1260" s="50">
        <v>0</v>
      </c>
      <c r="K1260" s="31">
        <f t="shared" si="232"/>
        <v>0</v>
      </c>
      <c r="L1260" s="50">
        <v>0</v>
      </c>
      <c r="M1260" s="31">
        <f t="shared" si="233"/>
        <v>0</v>
      </c>
      <c r="N1260" s="50">
        <v>0</v>
      </c>
      <c r="O1260" s="31">
        <f t="shared" si="234"/>
        <v>0</v>
      </c>
      <c r="P1260" s="51" t="s">
        <v>2694</v>
      </c>
      <c r="Q1260" s="51"/>
    </row>
    <row r="1261" spans="1:17" x14ac:dyDescent="0.25">
      <c r="A1261" s="10">
        <v>44582</v>
      </c>
      <c r="B1261" s="594">
        <v>0</v>
      </c>
      <c r="C1261" s="31">
        <f t="shared" si="228"/>
        <v>126864095.47</v>
      </c>
      <c r="D1261" s="50">
        <v>0</v>
      </c>
      <c r="E1261" s="31">
        <f t="shared" si="229"/>
        <v>0</v>
      </c>
      <c r="F1261" s="900">
        <v>0</v>
      </c>
      <c r="G1261" s="899">
        <f t="shared" si="230"/>
        <v>57267.89</v>
      </c>
      <c r="H1261" s="50">
        <v>161.35</v>
      </c>
      <c r="I1261" s="31">
        <f t="shared" si="231"/>
        <v>0</v>
      </c>
      <c r="J1261" s="50">
        <v>0</v>
      </c>
      <c r="K1261" s="31">
        <f t="shared" si="232"/>
        <v>0</v>
      </c>
      <c r="L1261" s="50">
        <v>0</v>
      </c>
      <c r="M1261" s="31">
        <f t="shared" si="233"/>
        <v>0</v>
      </c>
      <c r="N1261" s="50">
        <v>0</v>
      </c>
      <c r="O1261" s="31">
        <f t="shared" si="234"/>
        <v>0</v>
      </c>
      <c r="P1261" s="51" t="s">
        <v>845</v>
      </c>
      <c r="Q1261" s="51"/>
    </row>
    <row r="1262" spans="1:17" x14ac:dyDescent="0.25">
      <c r="A1262" s="10">
        <v>44585</v>
      </c>
      <c r="B1262" s="594">
        <v>0</v>
      </c>
      <c r="C1262" s="31">
        <f t="shared" si="228"/>
        <v>126864095.47</v>
      </c>
      <c r="D1262" s="50">
        <v>308000</v>
      </c>
      <c r="E1262" s="31">
        <f t="shared" si="229"/>
        <v>308000</v>
      </c>
      <c r="F1262" s="900">
        <v>0</v>
      </c>
      <c r="G1262" s="899">
        <f t="shared" si="230"/>
        <v>57267.89</v>
      </c>
      <c r="H1262" s="50">
        <v>0</v>
      </c>
      <c r="I1262" s="31">
        <f t="shared" si="231"/>
        <v>0</v>
      </c>
      <c r="J1262" s="50">
        <v>0</v>
      </c>
      <c r="K1262" s="31">
        <f t="shared" si="232"/>
        <v>0</v>
      </c>
      <c r="L1262" s="50">
        <v>0</v>
      </c>
      <c r="M1262" s="31">
        <f t="shared" si="233"/>
        <v>0</v>
      </c>
      <c r="N1262" s="50">
        <v>0</v>
      </c>
      <c r="O1262" s="31">
        <f t="shared" si="234"/>
        <v>0</v>
      </c>
      <c r="P1262" s="51" t="s">
        <v>2831</v>
      </c>
      <c r="Q1262" s="51"/>
    </row>
    <row r="1263" spans="1:17" x14ac:dyDescent="0.25">
      <c r="A1263" s="10">
        <v>44585</v>
      </c>
      <c r="B1263" s="594">
        <v>0</v>
      </c>
      <c r="C1263" s="31">
        <f t="shared" si="228"/>
        <v>126864095.47</v>
      </c>
      <c r="D1263" s="50">
        <v>0</v>
      </c>
      <c r="E1263" s="31">
        <f t="shared" si="229"/>
        <v>308000</v>
      </c>
      <c r="F1263" s="900">
        <v>0</v>
      </c>
      <c r="G1263" s="899">
        <f t="shared" si="230"/>
        <v>57267.89</v>
      </c>
      <c r="H1263" s="50">
        <v>0</v>
      </c>
      <c r="I1263" s="31">
        <f t="shared" si="231"/>
        <v>0</v>
      </c>
      <c r="J1263" s="50">
        <v>0</v>
      </c>
      <c r="K1263" s="31">
        <f t="shared" si="232"/>
        <v>0</v>
      </c>
      <c r="L1263" s="50">
        <v>0</v>
      </c>
      <c r="M1263" s="31">
        <f t="shared" si="233"/>
        <v>0</v>
      </c>
      <c r="N1263" s="50">
        <v>0</v>
      </c>
      <c r="O1263" s="31">
        <f t="shared" si="234"/>
        <v>0</v>
      </c>
      <c r="P1263" s="51" t="s">
        <v>4572</v>
      </c>
      <c r="Q1263" s="51"/>
    </row>
    <row r="1264" spans="1:17" x14ac:dyDescent="0.25">
      <c r="A1264" s="10">
        <v>44585</v>
      </c>
      <c r="B1264" s="594">
        <v>0</v>
      </c>
      <c r="C1264" s="31">
        <f t="shared" si="228"/>
        <v>126864095.47</v>
      </c>
      <c r="D1264" s="50">
        <f>-E1263</f>
        <v>-308000</v>
      </c>
      <c r="E1264" s="31">
        <f t="shared" si="229"/>
        <v>0</v>
      </c>
      <c r="F1264" s="900">
        <v>0</v>
      </c>
      <c r="G1264" s="899">
        <f t="shared" si="230"/>
        <v>57267.89</v>
      </c>
      <c r="H1264" s="50">
        <v>0</v>
      </c>
      <c r="I1264" s="31">
        <f t="shared" si="231"/>
        <v>0</v>
      </c>
      <c r="J1264" s="50">
        <v>0</v>
      </c>
      <c r="K1264" s="31">
        <f t="shared" si="232"/>
        <v>0</v>
      </c>
      <c r="L1264" s="50">
        <v>0</v>
      </c>
      <c r="M1264" s="31">
        <f t="shared" si="233"/>
        <v>0</v>
      </c>
      <c r="N1264" s="50">
        <v>0</v>
      </c>
      <c r="O1264" s="31">
        <f t="shared" si="234"/>
        <v>0</v>
      </c>
      <c r="P1264" s="51" t="s">
        <v>845</v>
      </c>
      <c r="Q1264" s="51"/>
    </row>
    <row r="1265" spans="1:17" x14ac:dyDescent="0.25">
      <c r="A1265" s="10">
        <v>44586</v>
      </c>
      <c r="B1265" s="594">
        <v>0</v>
      </c>
      <c r="C1265" s="31">
        <f t="shared" si="228"/>
        <v>126864095.47</v>
      </c>
      <c r="D1265" s="50">
        <v>-1003.78</v>
      </c>
      <c r="E1265" s="31">
        <f t="shared" si="229"/>
        <v>-1003.78</v>
      </c>
      <c r="F1265" s="900">
        <v>0</v>
      </c>
      <c r="G1265" s="899">
        <f t="shared" si="230"/>
        <v>57267.89</v>
      </c>
      <c r="H1265" s="50">
        <v>0</v>
      </c>
      <c r="I1265" s="31">
        <f t="shared" si="231"/>
        <v>0</v>
      </c>
      <c r="J1265" s="50">
        <v>0</v>
      </c>
      <c r="K1265" s="31">
        <f t="shared" si="232"/>
        <v>0</v>
      </c>
      <c r="L1265" s="50">
        <v>0</v>
      </c>
      <c r="M1265" s="31">
        <f t="shared" si="233"/>
        <v>0</v>
      </c>
      <c r="N1265" s="50">
        <v>0</v>
      </c>
      <c r="O1265" s="31">
        <f t="shared" si="234"/>
        <v>0</v>
      </c>
      <c r="P1265" s="51" t="s">
        <v>4574</v>
      </c>
      <c r="Q1265" s="51"/>
    </row>
    <row r="1266" spans="1:17" x14ac:dyDescent="0.25">
      <c r="A1266" s="10">
        <v>44586</v>
      </c>
      <c r="B1266" s="594">
        <v>0</v>
      </c>
      <c r="C1266" s="31">
        <f t="shared" si="228"/>
        <v>126864095.47</v>
      </c>
      <c r="D1266" s="50">
        <v>0</v>
      </c>
      <c r="E1266" s="31">
        <f t="shared" si="229"/>
        <v>-1003.78</v>
      </c>
      <c r="F1266" s="900">
        <v>0</v>
      </c>
      <c r="G1266" s="899">
        <f t="shared" si="230"/>
        <v>57267.89</v>
      </c>
      <c r="H1266" s="50">
        <v>0</v>
      </c>
      <c r="I1266" s="31">
        <f t="shared" si="231"/>
        <v>0</v>
      </c>
      <c r="J1266" s="50">
        <v>0</v>
      </c>
      <c r="K1266" s="31">
        <f t="shared" si="232"/>
        <v>0</v>
      </c>
      <c r="L1266" s="50">
        <v>0</v>
      </c>
      <c r="M1266" s="31">
        <f t="shared" si="233"/>
        <v>0</v>
      </c>
      <c r="N1266" s="50">
        <v>0</v>
      </c>
      <c r="O1266" s="31">
        <f t="shared" si="234"/>
        <v>0</v>
      </c>
      <c r="P1266" s="51" t="s">
        <v>4575</v>
      </c>
      <c r="Q1266" s="51"/>
    </row>
    <row r="1267" spans="1:17" x14ac:dyDescent="0.25">
      <c r="A1267" s="10">
        <v>44586</v>
      </c>
      <c r="B1267" s="594">
        <v>0</v>
      </c>
      <c r="C1267" s="31">
        <f t="shared" si="228"/>
        <v>126864095.47</v>
      </c>
      <c r="D1267" s="50">
        <v>-276.33999999999997</v>
      </c>
      <c r="E1267" s="31">
        <f t="shared" si="229"/>
        <v>-1280.1199999999999</v>
      </c>
      <c r="F1267" s="900">
        <v>0</v>
      </c>
      <c r="G1267" s="899">
        <f t="shared" si="230"/>
        <v>57267.89</v>
      </c>
      <c r="H1267" s="50">
        <v>0</v>
      </c>
      <c r="I1267" s="31">
        <f t="shared" si="231"/>
        <v>0</v>
      </c>
      <c r="J1267" s="50">
        <v>0</v>
      </c>
      <c r="K1267" s="31">
        <f t="shared" si="232"/>
        <v>0</v>
      </c>
      <c r="L1267" s="50">
        <v>0</v>
      </c>
      <c r="M1267" s="31">
        <f t="shared" si="233"/>
        <v>0</v>
      </c>
      <c r="N1267" s="50">
        <v>0</v>
      </c>
      <c r="O1267" s="31">
        <f t="shared" si="234"/>
        <v>0</v>
      </c>
      <c r="P1267" s="51" t="s">
        <v>4574</v>
      </c>
      <c r="Q1267" s="51"/>
    </row>
    <row r="1268" spans="1:17" x14ac:dyDescent="0.25">
      <c r="A1268" s="10">
        <v>44586</v>
      </c>
      <c r="B1268" s="594">
        <v>0</v>
      </c>
      <c r="C1268" s="31">
        <f t="shared" si="228"/>
        <v>126864095.47</v>
      </c>
      <c r="D1268" s="50">
        <f>-E1267</f>
        <v>1280.1199999999999</v>
      </c>
      <c r="E1268" s="31">
        <f t="shared" si="229"/>
        <v>0</v>
      </c>
      <c r="F1268" s="900">
        <v>0</v>
      </c>
      <c r="G1268" s="899">
        <f t="shared" si="230"/>
        <v>57267.89</v>
      </c>
      <c r="H1268" s="50">
        <v>0</v>
      </c>
      <c r="I1268" s="31">
        <f t="shared" si="231"/>
        <v>0</v>
      </c>
      <c r="J1268" s="50">
        <v>0</v>
      </c>
      <c r="K1268" s="31">
        <f t="shared" si="232"/>
        <v>0</v>
      </c>
      <c r="L1268" s="50">
        <v>0</v>
      </c>
      <c r="M1268" s="31">
        <f t="shared" si="233"/>
        <v>0</v>
      </c>
      <c r="N1268" s="50">
        <v>0</v>
      </c>
      <c r="O1268" s="31">
        <f t="shared" si="234"/>
        <v>0</v>
      </c>
      <c r="P1268" s="51" t="s">
        <v>845</v>
      </c>
      <c r="Q1268" s="51"/>
    </row>
    <row r="1269" spans="1:17" x14ac:dyDescent="0.25">
      <c r="A1269" s="10">
        <v>44587</v>
      </c>
      <c r="B1269" s="594">
        <v>1300000</v>
      </c>
      <c r="C1269" s="31">
        <f t="shared" si="228"/>
        <v>128164095.47</v>
      </c>
      <c r="D1269" s="50">
        <v>-1300000</v>
      </c>
      <c r="E1269" s="31">
        <f t="shared" si="229"/>
        <v>-1300000</v>
      </c>
      <c r="F1269" s="900">
        <v>0</v>
      </c>
      <c r="G1269" s="899">
        <f t="shared" si="230"/>
        <v>57267.89</v>
      </c>
      <c r="H1269" s="50">
        <v>0</v>
      </c>
      <c r="I1269" s="31">
        <f t="shared" si="231"/>
        <v>0</v>
      </c>
      <c r="J1269" s="50">
        <v>0</v>
      </c>
      <c r="K1269" s="31">
        <f t="shared" si="232"/>
        <v>0</v>
      </c>
      <c r="L1269" s="50">
        <v>0</v>
      </c>
      <c r="M1269" s="31">
        <f t="shared" si="233"/>
        <v>0</v>
      </c>
      <c r="N1269" s="50">
        <v>0</v>
      </c>
      <c r="O1269" s="31">
        <f t="shared" si="234"/>
        <v>0</v>
      </c>
      <c r="P1269" s="51" t="s">
        <v>2661</v>
      </c>
      <c r="Q1269" s="51"/>
    </row>
    <row r="1270" spans="1:17" x14ac:dyDescent="0.25">
      <c r="A1270" s="10">
        <v>44587</v>
      </c>
      <c r="B1270" s="594">
        <v>0</v>
      </c>
      <c r="C1270" s="31">
        <f t="shared" si="228"/>
        <v>128164095.47</v>
      </c>
      <c r="D1270" s="50">
        <v>1300000</v>
      </c>
      <c r="E1270" s="31">
        <f t="shared" si="229"/>
        <v>0</v>
      </c>
      <c r="F1270" s="900">
        <v>0</v>
      </c>
      <c r="G1270" s="899">
        <f t="shared" si="230"/>
        <v>57267.89</v>
      </c>
      <c r="H1270" s="50">
        <v>0</v>
      </c>
      <c r="I1270" s="31">
        <f t="shared" si="231"/>
        <v>0</v>
      </c>
      <c r="J1270" s="50">
        <v>0</v>
      </c>
      <c r="K1270" s="31">
        <f t="shared" si="232"/>
        <v>0</v>
      </c>
      <c r="L1270" s="50">
        <v>0</v>
      </c>
      <c r="M1270" s="31">
        <f t="shared" si="233"/>
        <v>0</v>
      </c>
      <c r="N1270" s="50">
        <v>0</v>
      </c>
      <c r="O1270" s="31">
        <f t="shared" si="234"/>
        <v>0</v>
      </c>
      <c r="P1270" s="51" t="s">
        <v>3282</v>
      </c>
      <c r="Q1270" s="51"/>
    </row>
    <row r="1271" spans="1:17" x14ac:dyDescent="0.25">
      <c r="A1271" s="10">
        <v>44587</v>
      </c>
      <c r="B1271" s="594">
        <v>0</v>
      </c>
      <c r="C1271" s="31">
        <f t="shared" si="228"/>
        <v>128164095.47</v>
      </c>
      <c r="D1271" s="50">
        <v>150000</v>
      </c>
      <c r="E1271" s="31">
        <f t="shared" si="229"/>
        <v>150000</v>
      </c>
      <c r="F1271" s="900">
        <v>0</v>
      </c>
      <c r="G1271" s="899">
        <f t="shared" si="230"/>
        <v>57267.89</v>
      </c>
      <c r="H1271" s="50">
        <v>0</v>
      </c>
      <c r="I1271" s="31">
        <f t="shared" si="231"/>
        <v>0</v>
      </c>
      <c r="J1271" s="50">
        <v>0</v>
      </c>
      <c r="K1271" s="31">
        <f t="shared" si="232"/>
        <v>0</v>
      </c>
      <c r="L1271" s="50">
        <v>0</v>
      </c>
      <c r="M1271" s="31">
        <f t="shared" si="233"/>
        <v>0</v>
      </c>
      <c r="N1271" s="50">
        <v>0</v>
      </c>
      <c r="O1271" s="31">
        <f t="shared" si="234"/>
        <v>0</v>
      </c>
      <c r="P1271" s="51" t="s">
        <v>4578</v>
      </c>
      <c r="Q1271" s="51"/>
    </row>
    <row r="1272" spans="1:17" x14ac:dyDescent="0.25">
      <c r="A1272" s="10">
        <v>44587</v>
      </c>
      <c r="B1272" s="594">
        <v>0</v>
      </c>
      <c r="C1272" s="31">
        <f t="shared" si="228"/>
        <v>128164095.47</v>
      </c>
      <c r="D1272" s="50">
        <v>276.33999999999997</v>
      </c>
      <c r="E1272" s="31">
        <f t="shared" si="229"/>
        <v>150276.34</v>
      </c>
      <c r="F1272" s="900">
        <v>0</v>
      </c>
      <c r="G1272" s="899">
        <f t="shared" si="230"/>
        <v>57267.89</v>
      </c>
      <c r="H1272" s="50">
        <v>0</v>
      </c>
      <c r="I1272" s="31">
        <f t="shared" si="231"/>
        <v>0</v>
      </c>
      <c r="J1272" s="50">
        <v>0</v>
      </c>
      <c r="K1272" s="31">
        <f t="shared" si="232"/>
        <v>0</v>
      </c>
      <c r="L1272" s="50">
        <v>0</v>
      </c>
      <c r="M1272" s="31">
        <f t="shared" si="233"/>
        <v>0</v>
      </c>
      <c r="N1272" s="50">
        <v>0</v>
      </c>
      <c r="O1272" s="31">
        <f t="shared" si="234"/>
        <v>0</v>
      </c>
      <c r="P1272" s="51" t="s">
        <v>4575</v>
      </c>
      <c r="Q1272" s="51"/>
    </row>
    <row r="1273" spans="1:17" x14ac:dyDescent="0.25">
      <c r="A1273" s="10">
        <v>44587</v>
      </c>
      <c r="B1273" s="594">
        <v>0</v>
      </c>
      <c r="C1273" s="31">
        <f t="shared" si="228"/>
        <v>128164095.47</v>
      </c>
      <c r="D1273" s="50">
        <v>-150276.34</v>
      </c>
      <c r="E1273" s="31">
        <f t="shared" si="229"/>
        <v>0</v>
      </c>
      <c r="F1273" s="900">
        <v>0</v>
      </c>
      <c r="G1273" s="899">
        <f t="shared" si="230"/>
        <v>57267.89</v>
      </c>
      <c r="H1273" s="50">
        <v>0</v>
      </c>
      <c r="I1273" s="31">
        <f t="shared" si="231"/>
        <v>0</v>
      </c>
      <c r="J1273" s="50">
        <v>0</v>
      </c>
      <c r="K1273" s="31">
        <f t="shared" si="232"/>
        <v>0</v>
      </c>
      <c r="L1273" s="50">
        <v>0</v>
      </c>
      <c r="M1273" s="31">
        <f t="shared" si="233"/>
        <v>0</v>
      </c>
      <c r="N1273" s="50">
        <v>0</v>
      </c>
      <c r="O1273" s="31">
        <f t="shared" si="234"/>
        <v>0</v>
      </c>
      <c r="P1273" s="51" t="s">
        <v>845</v>
      </c>
      <c r="Q1273" s="51"/>
    </row>
    <row r="1274" spans="1:17" x14ac:dyDescent="0.25">
      <c r="A1274" s="10">
        <v>44588</v>
      </c>
      <c r="B1274" s="594">
        <v>0</v>
      </c>
      <c r="C1274" s="31">
        <f t="shared" si="228"/>
        <v>128164095.47</v>
      </c>
      <c r="D1274" s="50">
        <v>-192695.59345577657</v>
      </c>
      <c r="E1274" s="31">
        <f t="shared" si="229"/>
        <v>-192695.59</v>
      </c>
      <c r="F1274" s="900">
        <v>0</v>
      </c>
      <c r="G1274" s="899">
        <f t="shared" si="230"/>
        <v>57267.89</v>
      </c>
      <c r="H1274" s="50">
        <v>0</v>
      </c>
      <c r="I1274" s="31">
        <f t="shared" si="231"/>
        <v>0</v>
      </c>
      <c r="J1274" s="50">
        <v>0</v>
      </c>
      <c r="K1274" s="31">
        <f t="shared" si="232"/>
        <v>0</v>
      </c>
      <c r="L1274" s="50">
        <v>0</v>
      </c>
      <c r="M1274" s="31">
        <f t="shared" si="233"/>
        <v>0</v>
      </c>
      <c r="N1274" s="50">
        <v>0</v>
      </c>
      <c r="O1274" s="31">
        <f t="shared" si="234"/>
        <v>0</v>
      </c>
      <c r="P1274" s="51" t="s">
        <v>2820</v>
      </c>
      <c r="Q1274" s="51"/>
    </row>
    <row r="1275" spans="1:17" x14ac:dyDescent="0.25">
      <c r="A1275" s="10">
        <v>44588</v>
      </c>
      <c r="B1275" s="594">
        <v>0</v>
      </c>
      <c r="C1275" s="31">
        <f t="shared" si="228"/>
        <v>128164095.47</v>
      </c>
      <c r="D1275" s="50">
        <v>-308000</v>
      </c>
      <c r="E1275" s="31">
        <f t="shared" si="229"/>
        <v>-500695.59</v>
      </c>
      <c r="F1275" s="900">
        <v>0</v>
      </c>
      <c r="G1275" s="899">
        <f t="shared" si="230"/>
        <v>57267.89</v>
      </c>
      <c r="H1275" s="50">
        <v>0</v>
      </c>
      <c r="I1275" s="31">
        <f t="shared" si="231"/>
        <v>0</v>
      </c>
      <c r="J1275" s="50">
        <v>0</v>
      </c>
      <c r="K1275" s="31">
        <f t="shared" si="232"/>
        <v>0</v>
      </c>
      <c r="L1275" s="50">
        <v>0</v>
      </c>
      <c r="M1275" s="31">
        <f t="shared" si="233"/>
        <v>0</v>
      </c>
      <c r="N1275" s="50">
        <v>0</v>
      </c>
      <c r="O1275" s="31">
        <f t="shared" si="234"/>
        <v>0</v>
      </c>
      <c r="P1275" s="51" t="s">
        <v>2299</v>
      </c>
      <c r="Q1275" s="51"/>
    </row>
    <row r="1276" spans="1:17" x14ac:dyDescent="0.25">
      <c r="A1276" s="10">
        <v>44588</v>
      </c>
      <c r="B1276" s="594">
        <v>0</v>
      </c>
      <c r="C1276" s="31">
        <f t="shared" si="228"/>
        <v>128164095.47</v>
      </c>
      <c r="D1276" s="50">
        <v>500695.59</v>
      </c>
      <c r="E1276" s="31">
        <f t="shared" si="229"/>
        <v>0</v>
      </c>
      <c r="F1276" s="900">
        <v>0</v>
      </c>
      <c r="G1276" s="899">
        <f t="shared" si="230"/>
        <v>57267.89</v>
      </c>
      <c r="H1276" s="50">
        <v>0</v>
      </c>
      <c r="I1276" s="31">
        <f t="shared" si="231"/>
        <v>0</v>
      </c>
      <c r="J1276" s="50">
        <v>0</v>
      </c>
      <c r="K1276" s="31">
        <f t="shared" si="232"/>
        <v>0</v>
      </c>
      <c r="L1276" s="50">
        <v>0</v>
      </c>
      <c r="M1276" s="31">
        <f t="shared" si="233"/>
        <v>0</v>
      </c>
      <c r="N1276" s="50">
        <v>0</v>
      </c>
      <c r="O1276" s="31">
        <f t="shared" si="234"/>
        <v>0</v>
      </c>
      <c r="P1276" s="51" t="s">
        <v>845</v>
      </c>
      <c r="Q1276" s="51"/>
    </row>
    <row r="1277" spans="1:17" x14ac:dyDescent="0.25">
      <c r="A1277" s="10">
        <v>44594</v>
      </c>
      <c r="B1277" s="594">
        <v>0</v>
      </c>
      <c r="C1277" s="31">
        <f t="shared" si="228"/>
        <v>128164095.47</v>
      </c>
      <c r="D1277" s="50">
        <v>12.24</v>
      </c>
      <c r="E1277" s="31">
        <f t="shared" si="229"/>
        <v>12.24</v>
      </c>
      <c r="F1277" s="900">
        <v>0</v>
      </c>
      <c r="G1277" s="899">
        <f t="shared" si="230"/>
        <v>57267.89</v>
      </c>
      <c r="H1277" s="50">
        <v>1.9</v>
      </c>
      <c r="I1277" s="31">
        <f t="shared" si="231"/>
        <v>1.9</v>
      </c>
      <c r="J1277" s="50">
        <v>0</v>
      </c>
      <c r="K1277" s="31">
        <f t="shared" si="232"/>
        <v>0</v>
      </c>
      <c r="L1277" s="50">
        <v>0.05</v>
      </c>
      <c r="M1277" s="31">
        <f t="shared" si="233"/>
        <v>0.05</v>
      </c>
      <c r="N1277" s="50">
        <v>0</v>
      </c>
      <c r="O1277" s="31">
        <f t="shared" si="234"/>
        <v>0</v>
      </c>
      <c r="P1277" s="51" t="s">
        <v>2718</v>
      </c>
      <c r="Q1277" s="51"/>
    </row>
    <row r="1278" spans="1:17" x14ac:dyDescent="0.25">
      <c r="A1278" s="10">
        <v>44594</v>
      </c>
      <c r="B1278" s="594">
        <v>0</v>
      </c>
      <c r="C1278" s="31">
        <f t="shared" si="228"/>
        <v>128164095.47</v>
      </c>
      <c r="D1278" s="50">
        <v>-12.24</v>
      </c>
      <c r="E1278" s="31">
        <f t="shared" si="229"/>
        <v>0</v>
      </c>
      <c r="F1278" s="900">
        <v>0</v>
      </c>
      <c r="G1278" s="899">
        <f t="shared" si="230"/>
        <v>57267.89</v>
      </c>
      <c r="H1278" s="50">
        <v>-1.9</v>
      </c>
      <c r="I1278" s="31">
        <f t="shared" si="231"/>
        <v>0</v>
      </c>
      <c r="J1278" s="50">
        <v>0</v>
      </c>
      <c r="K1278" s="31">
        <f t="shared" si="232"/>
        <v>0</v>
      </c>
      <c r="L1278" s="50">
        <v>-0.05</v>
      </c>
      <c r="M1278" s="31">
        <f t="shared" si="233"/>
        <v>0</v>
      </c>
      <c r="N1278" s="50">
        <v>0</v>
      </c>
      <c r="O1278" s="31">
        <f t="shared" si="234"/>
        <v>0</v>
      </c>
      <c r="P1278" s="51" t="s">
        <v>845</v>
      </c>
      <c r="Q1278" s="51"/>
    </row>
    <row r="1279" spans="1:17" x14ac:dyDescent="0.25">
      <c r="A1279" s="10">
        <v>44595</v>
      </c>
      <c r="B1279" s="594">
        <v>0</v>
      </c>
      <c r="C1279" s="31">
        <f t="shared" si="228"/>
        <v>128164095.47</v>
      </c>
      <c r="D1279" s="50">
        <v>226120.7</v>
      </c>
      <c r="E1279" s="31">
        <f t="shared" si="229"/>
        <v>226120.7</v>
      </c>
      <c r="F1279" s="900">
        <v>0</v>
      </c>
      <c r="G1279" s="899">
        <f t="shared" si="230"/>
        <v>57267.89</v>
      </c>
      <c r="H1279" s="50">
        <v>0</v>
      </c>
      <c r="I1279" s="31">
        <f t="shared" si="231"/>
        <v>0</v>
      </c>
      <c r="J1279" s="50">
        <v>0</v>
      </c>
      <c r="K1279" s="31">
        <f t="shared" si="232"/>
        <v>0</v>
      </c>
      <c r="L1279" s="50">
        <v>0</v>
      </c>
      <c r="M1279" s="31">
        <f t="shared" si="233"/>
        <v>0</v>
      </c>
      <c r="N1279" s="50">
        <v>0</v>
      </c>
      <c r="O1279" s="31">
        <f t="shared" si="234"/>
        <v>0</v>
      </c>
      <c r="P1279" s="51" t="s">
        <v>4502</v>
      </c>
      <c r="Q1279" s="51"/>
    </row>
    <row r="1280" spans="1:17" x14ac:dyDescent="0.25">
      <c r="A1280" s="10">
        <v>44595</v>
      </c>
      <c r="B1280" s="594">
        <v>0</v>
      </c>
      <c r="C1280" s="31">
        <f t="shared" si="228"/>
        <v>128164095.47</v>
      </c>
      <c r="D1280" s="50">
        <v>31926.16</v>
      </c>
      <c r="E1280" s="31">
        <f t="shared" si="229"/>
        <v>258046.86</v>
      </c>
      <c r="F1280" s="900">
        <v>0</v>
      </c>
      <c r="G1280" s="899">
        <f t="shared" si="230"/>
        <v>57267.89</v>
      </c>
      <c r="H1280" s="50">
        <v>0</v>
      </c>
      <c r="I1280" s="31">
        <f t="shared" si="231"/>
        <v>0</v>
      </c>
      <c r="J1280" s="50">
        <v>0</v>
      </c>
      <c r="K1280" s="31">
        <f t="shared" si="232"/>
        <v>0</v>
      </c>
      <c r="L1280" s="50">
        <v>0</v>
      </c>
      <c r="M1280" s="31">
        <f t="shared" si="233"/>
        <v>0</v>
      </c>
      <c r="N1280" s="50">
        <v>0</v>
      </c>
      <c r="O1280" s="31">
        <f t="shared" si="234"/>
        <v>0</v>
      </c>
      <c r="P1280" s="51" t="s">
        <v>4588</v>
      </c>
      <c r="Q1280" s="51"/>
    </row>
    <row r="1281" spans="1:17" x14ac:dyDescent="0.25">
      <c r="A1281" s="10">
        <v>44595</v>
      </c>
      <c r="B1281" s="594">
        <v>0</v>
      </c>
      <c r="C1281" s="31">
        <f t="shared" si="228"/>
        <v>128164095.47</v>
      </c>
      <c r="D1281" s="50">
        <v>1042500.8599999994</v>
      </c>
      <c r="E1281" s="31">
        <f t="shared" si="229"/>
        <v>1300547.72</v>
      </c>
      <c r="F1281" s="900">
        <v>0</v>
      </c>
      <c r="G1281" s="899">
        <f t="shared" si="230"/>
        <v>57267.89</v>
      </c>
      <c r="H1281" s="50">
        <v>0</v>
      </c>
      <c r="I1281" s="31">
        <f t="shared" si="231"/>
        <v>0</v>
      </c>
      <c r="J1281" s="50">
        <v>0</v>
      </c>
      <c r="K1281" s="31">
        <f t="shared" si="232"/>
        <v>0</v>
      </c>
      <c r="L1281" s="50">
        <v>0</v>
      </c>
      <c r="M1281" s="31">
        <f t="shared" si="233"/>
        <v>0</v>
      </c>
      <c r="N1281" s="50">
        <v>0</v>
      </c>
      <c r="O1281" s="31">
        <f t="shared" si="234"/>
        <v>0</v>
      </c>
      <c r="P1281" s="51" t="s">
        <v>4589</v>
      </c>
      <c r="Q1281" s="51"/>
    </row>
    <row r="1282" spans="1:17" x14ac:dyDescent="0.25">
      <c r="A1282" s="10">
        <v>44595</v>
      </c>
      <c r="B1282" s="594">
        <v>0</v>
      </c>
      <c r="C1282" s="31">
        <f t="shared" si="228"/>
        <v>128164095.47</v>
      </c>
      <c r="D1282" s="50">
        <v>414208.16999999993</v>
      </c>
      <c r="E1282" s="31">
        <f t="shared" si="229"/>
        <v>1714755.89</v>
      </c>
      <c r="F1282" s="900">
        <v>0</v>
      </c>
      <c r="G1282" s="899">
        <f t="shared" si="230"/>
        <v>57267.89</v>
      </c>
      <c r="H1282" s="50">
        <v>0</v>
      </c>
      <c r="I1282" s="31">
        <f t="shared" si="231"/>
        <v>0</v>
      </c>
      <c r="J1282" s="50">
        <v>0</v>
      </c>
      <c r="K1282" s="31">
        <f t="shared" si="232"/>
        <v>0</v>
      </c>
      <c r="L1282" s="50">
        <v>0</v>
      </c>
      <c r="M1282" s="31">
        <f t="shared" si="233"/>
        <v>0</v>
      </c>
      <c r="N1282" s="50">
        <v>0</v>
      </c>
      <c r="O1282" s="31">
        <f t="shared" si="234"/>
        <v>0</v>
      </c>
      <c r="P1282" s="51" t="s">
        <v>4590</v>
      </c>
      <c r="Q1282" s="51"/>
    </row>
    <row r="1283" spans="1:17" x14ac:dyDescent="0.25">
      <c r="A1283" s="10">
        <v>44595</v>
      </c>
      <c r="B1283" s="594">
        <v>0</v>
      </c>
      <c r="C1283" s="31">
        <f t="shared" si="228"/>
        <v>128164095.47</v>
      </c>
      <c r="D1283" s="50">
        <v>1149589.321717225</v>
      </c>
      <c r="E1283" s="31">
        <f t="shared" si="229"/>
        <v>2864345.21</v>
      </c>
      <c r="F1283" s="900">
        <v>0</v>
      </c>
      <c r="G1283" s="899">
        <f t="shared" si="230"/>
        <v>57267.89</v>
      </c>
      <c r="H1283" s="50">
        <v>0</v>
      </c>
      <c r="I1283" s="31">
        <f t="shared" si="231"/>
        <v>0</v>
      </c>
      <c r="J1283" s="50">
        <v>0</v>
      </c>
      <c r="K1283" s="31">
        <f t="shared" si="232"/>
        <v>0</v>
      </c>
      <c r="L1283" s="50">
        <v>0</v>
      </c>
      <c r="M1283" s="31">
        <f t="shared" si="233"/>
        <v>0</v>
      </c>
      <c r="N1283" s="50">
        <v>0</v>
      </c>
      <c r="O1283" s="31">
        <f t="shared" si="234"/>
        <v>0</v>
      </c>
      <c r="P1283" s="51" t="s">
        <v>4591</v>
      </c>
      <c r="Q1283" s="51"/>
    </row>
    <row r="1284" spans="1:17" x14ac:dyDescent="0.25">
      <c r="A1284" s="10">
        <v>44595</v>
      </c>
      <c r="B1284" s="594">
        <v>0</v>
      </c>
      <c r="C1284" s="31">
        <f t="shared" si="228"/>
        <v>128164095.47</v>
      </c>
      <c r="D1284" s="50">
        <v>2371757</v>
      </c>
      <c r="E1284" s="31">
        <f t="shared" si="229"/>
        <v>5236102.21</v>
      </c>
      <c r="F1284" s="900">
        <v>0</v>
      </c>
      <c r="G1284" s="899">
        <f t="shared" si="230"/>
        <v>57267.89</v>
      </c>
      <c r="H1284" s="50">
        <v>0</v>
      </c>
      <c r="I1284" s="31">
        <f t="shared" si="231"/>
        <v>0</v>
      </c>
      <c r="J1284" s="50">
        <v>0</v>
      </c>
      <c r="K1284" s="31">
        <f t="shared" si="232"/>
        <v>0</v>
      </c>
      <c r="L1284" s="50">
        <v>0</v>
      </c>
      <c r="M1284" s="31">
        <f t="shared" si="233"/>
        <v>0</v>
      </c>
      <c r="N1284" s="50">
        <v>0</v>
      </c>
      <c r="O1284" s="31">
        <f t="shared" si="234"/>
        <v>0</v>
      </c>
      <c r="P1284" s="51" t="s">
        <v>4592</v>
      </c>
      <c r="Q1284" s="51"/>
    </row>
    <row r="1285" spans="1:17" x14ac:dyDescent="0.25">
      <c r="A1285" s="10">
        <v>44595</v>
      </c>
      <c r="B1285" s="594">
        <v>0</v>
      </c>
      <c r="C1285" s="31">
        <f t="shared" si="228"/>
        <v>128164095.47</v>
      </c>
      <c r="D1285" s="50">
        <v>740863.81000000041</v>
      </c>
      <c r="E1285" s="31">
        <f t="shared" si="229"/>
        <v>5976966.0199999996</v>
      </c>
      <c r="F1285" s="900">
        <v>0</v>
      </c>
      <c r="G1285" s="899">
        <f t="shared" si="230"/>
        <v>57267.89</v>
      </c>
      <c r="H1285" s="50">
        <v>0</v>
      </c>
      <c r="I1285" s="31">
        <f t="shared" si="231"/>
        <v>0</v>
      </c>
      <c r="J1285" s="50">
        <v>0</v>
      </c>
      <c r="K1285" s="31">
        <f t="shared" si="232"/>
        <v>0</v>
      </c>
      <c r="L1285" s="50">
        <v>0</v>
      </c>
      <c r="M1285" s="31">
        <f t="shared" si="233"/>
        <v>0</v>
      </c>
      <c r="N1285" s="50">
        <v>0</v>
      </c>
      <c r="O1285" s="31">
        <f t="shared" si="234"/>
        <v>0</v>
      </c>
      <c r="P1285" s="51" t="s">
        <v>4593</v>
      </c>
      <c r="Q1285" s="51"/>
    </row>
    <row r="1286" spans="1:17" x14ac:dyDescent="0.25">
      <c r="A1286" s="10">
        <v>44595</v>
      </c>
      <c r="B1286" s="594">
        <v>10000000</v>
      </c>
      <c r="C1286" s="31">
        <f t="shared" si="228"/>
        <v>138164095.47</v>
      </c>
      <c r="D1286" s="50">
        <v>1000</v>
      </c>
      <c r="E1286" s="31">
        <f t="shared" si="229"/>
        <v>5977966.0199999996</v>
      </c>
      <c r="F1286" s="900">
        <v>0</v>
      </c>
      <c r="G1286" s="899">
        <f t="shared" si="230"/>
        <v>57267.89</v>
      </c>
      <c r="H1286" s="50">
        <v>0</v>
      </c>
      <c r="I1286" s="31">
        <f t="shared" si="231"/>
        <v>0</v>
      </c>
      <c r="J1286" s="50">
        <v>0</v>
      </c>
      <c r="K1286" s="31">
        <f t="shared" si="232"/>
        <v>0</v>
      </c>
      <c r="L1286" s="50">
        <v>0</v>
      </c>
      <c r="M1286" s="31">
        <f t="shared" si="233"/>
        <v>0</v>
      </c>
      <c r="N1286" s="50">
        <v>0</v>
      </c>
      <c r="O1286" s="31">
        <f t="shared" si="234"/>
        <v>0</v>
      </c>
      <c r="P1286" s="51" t="s">
        <v>4601</v>
      </c>
      <c r="Q1286" s="51"/>
    </row>
    <row r="1287" spans="1:17" x14ac:dyDescent="0.25">
      <c r="A1287" s="10">
        <v>44595</v>
      </c>
      <c r="B1287" s="594">
        <v>10000000</v>
      </c>
      <c r="C1287" s="31">
        <f t="shared" ref="C1287:C1289" si="235">ROUND(B1287+C1286,2)</f>
        <v>148164095.47</v>
      </c>
      <c r="D1287" s="50">
        <f>-B1287</f>
        <v>-10000000</v>
      </c>
      <c r="E1287" s="31">
        <f t="shared" ref="E1287:E1289" si="236">ROUND(D1287+E1286,2)</f>
        <v>-4022033.98</v>
      </c>
      <c r="F1287" s="900">
        <v>0</v>
      </c>
      <c r="G1287" s="899">
        <f t="shared" ref="G1287:G1289" si="237">ROUND(F1287+G1286,2)</f>
        <v>57267.89</v>
      </c>
      <c r="H1287" s="50">
        <v>0</v>
      </c>
      <c r="I1287" s="31">
        <f t="shared" ref="I1287:I1289" si="238">ROUND(H1287+I1286,2)</f>
        <v>0</v>
      </c>
      <c r="J1287" s="50">
        <v>0</v>
      </c>
      <c r="K1287" s="31">
        <f t="shared" ref="K1287:K1289" si="239">ROUND(J1287+K1286,2)</f>
        <v>0</v>
      </c>
      <c r="L1287" s="50">
        <v>0</v>
      </c>
      <c r="M1287" s="31">
        <f t="shared" ref="M1287:M1289" si="240">ROUND(L1287+M1286,2)</f>
        <v>0</v>
      </c>
      <c r="N1287" s="50">
        <v>0</v>
      </c>
      <c r="O1287" s="31">
        <f t="shared" ref="O1287:O1289" si="241">ROUND(N1287+O1286,2)</f>
        <v>0</v>
      </c>
      <c r="P1287" s="51" t="s">
        <v>4600</v>
      </c>
      <c r="Q1287" s="51"/>
    </row>
    <row r="1288" spans="1:17" x14ac:dyDescent="0.25">
      <c r="A1288" s="10">
        <v>44595</v>
      </c>
      <c r="B1288" s="594">
        <v>0</v>
      </c>
      <c r="C1288" s="31">
        <f t="shared" si="235"/>
        <v>148164095.47</v>
      </c>
      <c r="D1288" s="50">
        <v>5000000</v>
      </c>
      <c r="E1288" s="31">
        <f t="shared" si="236"/>
        <v>977966.02</v>
      </c>
      <c r="F1288" s="900">
        <v>0</v>
      </c>
      <c r="G1288" s="899">
        <f t="shared" si="237"/>
        <v>57267.89</v>
      </c>
      <c r="H1288" s="50">
        <v>0</v>
      </c>
      <c r="I1288" s="31">
        <f t="shared" si="238"/>
        <v>0</v>
      </c>
      <c r="J1288" s="50">
        <v>0</v>
      </c>
      <c r="K1288" s="31">
        <f t="shared" si="239"/>
        <v>0</v>
      </c>
      <c r="L1288" s="50">
        <v>0</v>
      </c>
      <c r="M1288" s="31">
        <f t="shared" si="240"/>
        <v>0</v>
      </c>
      <c r="N1288" s="50">
        <v>0</v>
      </c>
      <c r="O1288" s="31">
        <f t="shared" si="241"/>
        <v>0</v>
      </c>
      <c r="P1288" s="51" t="s">
        <v>2071</v>
      </c>
      <c r="Q1288" s="51"/>
    </row>
    <row r="1289" spans="1:17" x14ac:dyDescent="0.25">
      <c r="A1289" s="10">
        <v>44595</v>
      </c>
      <c r="B1289" s="594">
        <v>0</v>
      </c>
      <c r="C1289" s="31">
        <f t="shared" si="235"/>
        <v>148164095.47</v>
      </c>
      <c r="D1289" s="50">
        <f>-E1288</f>
        <v>-977966.02</v>
      </c>
      <c r="E1289" s="31">
        <f t="shared" si="236"/>
        <v>0</v>
      </c>
      <c r="F1289" s="900">
        <v>0</v>
      </c>
      <c r="G1289" s="899">
        <f t="shared" si="237"/>
        <v>57267.89</v>
      </c>
      <c r="H1289" s="50">
        <v>0</v>
      </c>
      <c r="I1289" s="31">
        <f t="shared" si="238"/>
        <v>0</v>
      </c>
      <c r="J1289" s="50">
        <v>0</v>
      </c>
      <c r="K1289" s="31">
        <f t="shared" si="239"/>
        <v>0</v>
      </c>
      <c r="L1289" s="50">
        <v>0</v>
      </c>
      <c r="M1289" s="31">
        <f t="shared" si="240"/>
        <v>0</v>
      </c>
      <c r="N1289" s="50">
        <v>0</v>
      </c>
      <c r="O1289" s="31">
        <f t="shared" si="241"/>
        <v>0</v>
      </c>
      <c r="P1289" s="51" t="s">
        <v>845</v>
      </c>
      <c r="Q1289" s="51"/>
    </row>
    <row r="1290" spans="1:17" x14ac:dyDescent="0.25">
      <c r="A1290" s="10">
        <v>44595</v>
      </c>
      <c r="B1290" s="594">
        <v>0</v>
      </c>
      <c r="C1290" s="31">
        <f t="shared" si="228"/>
        <v>148164095.47</v>
      </c>
      <c r="D1290" s="50">
        <v>0</v>
      </c>
      <c r="E1290" s="31">
        <f t="shared" si="229"/>
        <v>0</v>
      </c>
      <c r="F1290" s="900">
        <f>39573056.25-39600669.35</f>
        <v>-27613.10000000149</v>
      </c>
      <c r="G1290" s="899">
        <f t="shared" si="230"/>
        <v>29654.79</v>
      </c>
      <c r="H1290" s="50">
        <v>0</v>
      </c>
      <c r="I1290" s="31">
        <f t="shared" si="231"/>
        <v>0</v>
      </c>
      <c r="J1290" s="50">
        <v>0</v>
      </c>
      <c r="K1290" s="31">
        <f t="shared" si="232"/>
        <v>0</v>
      </c>
      <c r="L1290" s="50">
        <v>0</v>
      </c>
      <c r="M1290" s="31">
        <f t="shared" si="233"/>
        <v>0</v>
      </c>
      <c r="N1290" s="50">
        <v>0</v>
      </c>
      <c r="O1290" s="31">
        <f t="shared" si="234"/>
        <v>0</v>
      </c>
      <c r="P1290" s="51" t="s">
        <v>4602</v>
      </c>
      <c r="Q1290" s="51"/>
    </row>
    <row r="1291" spans="1:17" x14ac:dyDescent="0.25">
      <c r="A1291" s="10">
        <v>44595</v>
      </c>
      <c r="B1291" s="594">
        <v>0</v>
      </c>
      <c r="C1291" s="31">
        <f t="shared" si="228"/>
        <v>148164095.47</v>
      </c>
      <c r="D1291" s="50">
        <v>0</v>
      </c>
      <c r="E1291" s="31">
        <f t="shared" si="229"/>
        <v>0</v>
      </c>
      <c r="F1291" s="900">
        <v>0</v>
      </c>
      <c r="G1291" s="899">
        <f t="shared" si="230"/>
        <v>29654.79</v>
      </c>
      <c r="H1291" s="50">
        <v>0</v>
      </c>
      <c r="I1291" s="31">
        <f t="shared" si="231"/>
        <v>0</v>
      </c>
      <c r="J1291" s="50">
        <v>0</v>
      </c>
      <c r="K1291" s="31">
        <f t="shared" si="232"/>
        <v>0</v>
      </c>
      <c r="L1291" s="50">
        <v>0</v>
      </c>
      <c r="M1291" s="31">
        <f t="shared" si="233"/>
        <v>0</v>
      </c>
      <c r="N1291" s="50">
        <v>0</v>
      </c>
      <c r="O1291" s="31">
        <f t="shared" si="234"/>
        <v>0</v>
      </c>
      <c r="P1291" s="51" t="s">
        <v>845</v>
      </c>
      <c r="Q1291" s="51"/>
    </row>
    <row r="1292" spans="1:17" x14ac:dyDescent="0.25">
      <c r="A1292" s="10">
        <v>44596</v>
      </c>
      <c r="B1292" s="594">
        <v>0</v>
      </c>
      <c r="C1292" s="31">
        <f t="shared" si="228"/>
        <v>148164095.47</v>
      </c>
      <c r="D1292" s="50">
        <v>0</v>
      </c>
      <c r="E1292" s="31">
        <f t="shared" si="229"/>
        <v>0</v>
      </c>
      <c r="F1292" s="900">
        <v>-30410012.989999998</v>
      </c>
      <c r="G1292" s="899">
        <f t="shared" si="230"/>
        <v>-30380358.199999999</v>
      </c>
      <c r="H1292" s="50">
        <v>0</v>
      </c>
      <c r="I1292" s="31">
        <f t="shared" si="231"/>
        <v>0</v>
      </c>
      <c r="J1292" s="50">
        <v>0</v>
      </c>
      <c r="K1292" s="31">
        <f t="shared" si="232"/>
        <v>0</v>
      </c>
      <c r="L1292" s="50">
        <v>0</v>
      </c>
      <c r="M1292" s="31">
        <f t="shared" si="233"/>
        <v>0</v>
      </c>
      <c r="N1292" s="50">
        <v>0</v>
      </c>
      <c r="O1292" s="31">
        <f t="shared" si="234"/>
        <v>0</v>
      </c>
      <c r="P1292" s="51" t="s">
        <v>4569</v>
      </c>
      <c r="Q1292" s="51"/>
    </row>
    <row r="1293" spans="1:17" x14ac:dyDescent="0.25">
      <c r="A1293" s="10">
        <v>44596</v>
      </c>
      <c r="B1293" s="594">
        <v>0</v>
      </c>
      <c r="C1293" s="31">
        <f t="shared" si="228"/>
        <v>148164095.47</v>
      </c>
      <c r="D1293" s="50">
        <v>0</v>
      </c>
      <c r="E1293" s="31">
        <f t="shared" si="229"/>
        <v>0</v>
      </c>
      <c r="F1293" s="900">
        <v>30437550</v>
      </c>
      <c r="G1293" s="899">
        <f t="shared" si="230"/>
        <v>57191.8</v>
      </c>
      <c r="H1293" s="50">
        <v>0</v>
      </c>
      <c r="I1293" s="31">
        <f t="shared" si="231"/>
        <v>0</v>
      </c>
      <c r="J1293" s="50">
        <v>0</v>
      </c>
      <c r="K1293" s="31">
        <f t="shared" si="232"/>
        <v>0</v>
      </c>
      <c r="L1293" s="50">
        <v>0</v>
      </c>
      <c r="M1293" s="31">
        <f t="shared" si="233"/>
        <v>0</v>
      </c>
      <c r="N1293" s="50">
        <v>0</v>
      </c>
      <c r="O1293" s="31">
        <f t="shared" si="234"/>
        <v>0</v>
      </c>
      <c r="P1293" s="51" t="s">
        <v>4608</v>
      </c>
      <c r="Q1293" s="51"/>
    </row>
    <row r="1294" spans="1:17" x14ac:dyDescent="0.25">
      <c r="A1294" s="10">
        <v>44600</v>
      </c>
      <c r="B1294" s="594">
        <v>1250000</v>
      </c>
      <c r="C1294" s="31">
        <f t="shared" si="228"/>
        <v>149414095.47</v>
      </c>
      <c r="D1294" s="50">
        <v>0</v>
      </c>
      <c r="E1294" s="31">
        <f t="shared" si="229"/>
        <v>0</v>
      </c>
      <c r="F1294" s="900">
        <v>0</v>
      </c>
      <c r="G1294" s="899">
        <f t="shared" si="230"/>
        <v>57191.8</v>
      </c>
      <c r="H1294" s="50">
        <v>0</v>
      </c>
      <c r="I1294" s="31">
        <f t="shared" si="231"/>
        <v>0</v>
      </c>
      <c r="J1294" s="50">
        <v>0</v>
      </c>
      <c r="K1294" s="31">
        <f t="shared" si="232"/>
        <v>0</v>
      </c>
      <c r="L1294" s="50">
        <v>0</v>
      </c>
      <c r="M1294" s="31">
        <f t="shared" si="233"/>
        <v>0</v>
      </c>
      <c r="N1294" s="50">
        <v>0</v>
      </c>
      <c r="O1294" s="31">
        <f t="shared" si="234"/>
        <v>0</v>
      </c>
      <c r="P1294" s="51" t="s">
        <v>3420</v>
      </c>
      <c r="Q1294" s="51"/>
    </row>
    <row r="1295" spans="1:17" x14ac:dyDescent="0.25">
      <c r="A1295" s="10">
        <v>44602</v>
      </c>
      <c r="B1295" s="594">
        <v>2000000</v>
      </c>
      <c r="C1295" s="31">
        <f t="shared" si="228"/>
        <v>151414095.47</v>
      </c>
      <c r="D1295" s="50">
        <v>0</v>
      </c>
      <c r="E1295" s="31">
        <f t="shared" si="229"/>
        <v>0</v>
      </c>
      <c r="F1295" s="900">
        <v>0</v>
      </c>
      <c r="G1295" s="899">
        <f t="shared" si="230"/>
        <v>57191.8</v>
      </c>
      <c r="H1295" s="50">
        <v>0</v>
      </c>
      <c r="I1295" s="31">
        <f t="shared" si="231"/>
        <v>0</v>
      </c>
      <c r="J1295" s="50">
        <v>0</v>
      </c>
      <c r="K1295" s="31">
        <f t="shared" si="232"/>
        <v>0</v>
      </c>
      <c r="L1295" s="50">
        <v>0</v>
      </c>
      <c r="M1295" s="31">
        <f t="shared" si="233"/>
        <v>0</v>
      </c>
      <c r="N1295" s="50">
        <v>0</v>
      </c>
      <c r="O1295" s="31">
        <f t="shared" si="234"/>
        <v>0</v>
      </c>
      <c r="P1295" s="51" t="s">
        <v>4623</v>
      </c>
      <c r="Q1295" s="51"/>
    </row>
    <row r="1296" spans="1:17" x14ac:dyDescent="0.25">
      <c r="A1296" s="10">
        <v>44603</v>
      </c>
      <c r="B1296" s="594">
        <v>0</v>
      </c>
      <c r="C1296" s="31">
        <f t="shared" si="228"/>
        <v>151414095.47</v>
      </c>
      <c r="D1296" s="50">
        <v>2000000</v>
      </c>
      <c r="E1296" s="31">
        <f t="shared" si="229"/>
        <v>2000000</v>
      </c>
      <c r="F1296" s="900">
        <v>0</v>
      </c>
      <c r="G1296" s="899">
        <f t="shared" si="230"/>
        <v>57191.8</v>
      </c>
      <c r="H1296" s="50">
        <v>0</v>
      </c>
      <c r="I1296" s="31">
        <f t="shared" si="231"/>
        <v>0</v>
      </c>
      <c r="J1296" s="50">
        <v>0</v>
      </c>
      <c r="K1296" s="31">
        <f t="shared" si="232"/>
        <v>0</v>
      </c>
      <c r="L1296" s="50">
        <v>0</v>
      </c>
      <c r="M1296" s="31">
        <f t="shared" si="233"/>
        <v>0</v>
      </c>
      <c r="N1296" s="50">
        <v>0</v>
      </c>
      <c r="O1296" s="31">
        <f t="shared" si="234"/>
        <v>0</v>
      </c>
      <c r="P1296" s="51" t="s">
        <v>2071</v>
      </c>
      <c r="Q1296" s="51"/>
    </row>
    <row r="1297" spans="1:17" x14ac:dyDescent="0.25">
      <c r="A1297" s="10">
        <v>44603</v>
      </c>
      <c r="B1297" s="594">
        <v>0</v>
      </c>
      <c r="C1297" s="31">
        <f t="shared" si="228"/>
        <v>151414095.47</v>
      </c>
      <c r="D1297" s="50">
        <v>-2000000</v>
      </c>
      <c r="E1297" s="31">
        <f t="shared" si="229"/>
        <v>0</v>
      </c>
      <c r="F1297" s="900">
        <v>0</v>
      </c>
      <c r="G1297" s="899">
        <f t="shared" si="230"/>
        <v>57191.8</v>
      </c>
      <c r="H1297" s="50">
        <v>0</v>
      </c>
      <c r="I1297" s="31">
        <f t="shared" si="231"/>
        <v>0</v>
      </c>
      <c r="J1297" s="50">
        <v>0</v>
      </c>
      <c r="K1297" s="31">
        <f t="shared" si="232"/>
        <v>0</v>
      </c>
      <c r="L1297" s="50">
        <v>0</v>
      </c>
      <c r="M1297" s="31">
        <f t="shared" si="233"/>
        <v>0</v>
      </c>
      <c r="N1297" s="50">
        <v>0</v>
      </c>
      <c r="O1297" s="31">
        <f t="shared" si="234"/>
        <v>0</v>
      </c>
      <c r="P1297" s="51" t="s">
        <v>2070</v>
      </c>
      <c r="Q1297" s="51"/>
    </row>
    <row r="1298" spans="1:17" x14ac:dyDescent="0.25">
      <c r="A1298" s="10">
        <v>44606</v>
      </c>
      <c r="B1298" s="594">
        <v>0</v>
      </c>
      <c r="C1298" s="31">
        <f t="shared" si="228"/>
        <v>151414095.47</v>
      </c>
      <c r="D1298" s="50">
        <v>0</v>
      </c>
      <c r="E1298" s="31">
        <f t="shared" si="229"/>
        <v>0</v>
      </c>
      <c r="F1298" s="900">
        <v>-99757243.300812498</v>
      </c>
      <c r="G1298" s="899">
        <f t="shared" si="230"/>
        <v>-99700051.5</v>
      </c>
      <c r="H1298" s="50">
        <v>0</v>
      </c>
      <c r="I1298" s="31">
        <f t="shared" si="231"/>
        <v>0</v>
      </c>
      <c r="J1298" s="50">
        <v>0</v>
      </c>
      <c r="K1298" s="31">
        <f t="shared" si="232"/>
        <v>0</v>
      </c>
      <c r="L1298" s="50">
        <v>0</v>
      </c>
      <c r="M1298" s="31">
        <f t="shared" si="233"/>
        <v>0</v>
      </c>
      <c r="N1298" s="50">
        <v>0</v>
      </c>
      <c r="O1298" s="31">
        <f t="shared" si="234"/>
        <v>0</v>
      </c>
      <c r="P1298" s="51" t="s">
        <v>4628</v>
      </c>
      <c r="Q1298" s="51"/>
    </row>
    <row r="1299" spans="1:17" x14ac:dyDescent="0.25">
      <c r="A1299" s="10">
        <v>44606</v>
      </c>
      <c r="B1299" s="594">
        <v>0</v>
      </c>
      <c r="C1299" s="31">
        <f t="shared" si="228"/>
        <v>151414095.47</v>
      </c>
      <c r="D1299" s="50">
        <v>0</v>
      </c>
      <c r="E1299" s="31">
        <f t="shared" si="229"/>
        <v>0</v>
      </c>
      <c r="F1299" s="900">
        <v>-30432899.818750001</v>
      </c>
      <c r="G1299" s="899">
        <f t="shared" si="230"/>
        <v>-130132951.31999999</v>
      </c>
      <c r="H1299" s="50">
        <v>0</v>
      </c>
      <c r="I1299" s="31">
        <f t="shared" si="231"/>
        <v>0</v>
      </c>
      <c r="J1299" s="50">
        <v>0</v>
      </c>
      <c r="K1299" s="31">
        <f t="shared" si="232"/>
        <v>0</v>
      </c>
      <c r="L1299" s="50">
        <v>0</v>
      </c>
      <c r="M1299" s="31">
        <f t="shared" si="233"/>
        <v>0</v>
      </c>
      <c r="N1299" s="50">
        <v>0</v>
      </c>
      <c r="O1299" s="31">
        <f t="shared" si="234"/>
        <v>0</v>
      </c>
      <c r="P1299" s="51" t="s">
        <v>4629</v>
      </c>
      <c r="Q1299" s="51"/>
    </row>
    <row r="1300" spans="1:17" x14ac:dyDescent="0.25">
      <c r="A1300" s="10">
        <v>44606</v>
      </c>
      <c r="B1300" s="594">
        <v>0</v>
      </c>
      <c r="C1300" s="31">
        <f t="shared" si="228"/>
        <v>151414095.47</v>
      </c>
      <c r="D1300" s="50">
        <v>0</v>
      </c>
      <c r="E1300" s="31">
        <f t="shared" si="229"/>
        <v>0</v>
      </c>
      <c r="F1300" s="900">
        <v>100138817.52</v>
      </c>
      <c r="G1300" s="899">
        <f t="shared" si="230"/>
        <v>-29994133.800000001</v>
      </c>
      <c r="H1300" s="50">
        <v>0</v>
      </c>
      <c r="I1300" s="31">
        <f t="shared" si="231"/>
        <v>0</v>
      </c>
      <c r="J1300" s="50">
        <v>0</v>
      </c>
      <c r="K1300" s="31">
        <f t="shared" si="232"/>
        <v>0</v>
      </c>
      <c r="L1300" s="50">
        <v>0</v>
      </c>
      <c r="M1300" s="31">
        <f t="shared" si="233"/>
        <v>0</v>
      </c>
      <c r="N1300" s="50">
        <v>0</v>
      </c>
      <c r="O1300" s="31">
        <f t="shared" si="234"/>
        <v>0</v>
      </c>
      <c r="P1300" s="51" t="s">
        <v>4630</v>
      </c>
      <c r="Q1300" s="51"/>
    </row>
    <row r="1301" spans="1:17" x14ac:dyDescent="0.25">
      <c r="A1301" s="10">
        <v>44606</v>
      </c>
      <c r="B1301" s="594">
        <v>0</v>
      </c>
      <c r="C1301" s="31">
        <f t="shared" si="228"/>
        <v>151414095.47</v>
      </c>
      <c r="D1301" s="50">
        <v>0</v>
      </c>
      <c r="E1301" s="31">
        <f t="shared" si="229"/>
        <v>0</v>
      </c>
      <c r="F1301" s="900">
        <v>30156984</v>
      </c>
      <c r="G1301" s="899">
        <f t="shared" si="230"/>
        <v>162850.20000000001</v>
      </c>
      <c r="H1301" s="50">
        <v>0</v>
      </c>
      <c r="I1301" s="31">
        <f t="shared" si="231"/>
        <v>0</v>
      </c>
      <c r="J1301" s="50">
        <v>0</v>
      </c>
      <c r="K1301" s="31">
        <f t="shared" si="232"/>
        <v>0</v>
      </c>
      <c r="L1301" s="50">
        <v>0</v>
      </c>
      <c r="M1301" s="31">
        <f t="shared" si="233"/>
        <v>0</v>
      </c>
      <c r="N1301" s="50">
        <v>0</v>
      </c>
      <c r="O1301" s="31">
        <f t="shared" si="234"/>
        <v>0</v>
      </c>
      <c r="P1301" s="51" t="s">
        <v>4631</v>
      </c>
      <c r="Q1301" s="51"/>
    </row>
    <row r="1302" spans="1:17" x14ac:dyDescent="0.25">
      <c r="A1302" s="10">
        <v>44607</v>
      </c>
      <c r="B1302" s="594">
        <v>0</v>
      </c>
      <c r="C1302" s="31">
        <f t="shared" si="228"/>
        <v>151414095.47</v>
      </c>
      <c r="D1302" s="50">
        <v>35134.379999999997</v>
      </c>
      <c r="E1302" s="31">
        <f t="shared" si="229"/>
        <v>35134.379999999997</v>
      </c>
      <c r="F1302" s="900">
        <v>0</v>
      </c>
      <c r="G1302" s="899">
        <f t="shared" si="230"/>
        <v>162850.20000000001</v>
      </c>
      <c r="H1302" s="50">
        <v>0</v>
      </c>
      <c r="I1302" s="31">
        <f t="shared" si="231"/>
        <v>0</v>
      </c>
      <c r="J1302" s="50">
        <v>0</v>
      </c>
      <c r="K1302" s="31">
        <f t="shared" si="232"/>
        <v>0</v>
      </c>
      <c r="L1302" s="50">
        <v>0</v>
      </c>
      <c r="M1302" s="31">
        <f t="shared" si="233"/>
        <v>0</v>
      </c>
      <c r="N1302" s="50">
        <v>0</v>
      </c>
      <c r="O1302" s="31">
        <f t="shared" si="234"/>
        <v>0</v>
      </c>
      <c r="P1302" s="51" t="s">
        <v>4633</v>
      </c>
      <c r="Q1302" s="51"/>
    </row>
    <row r="1303" spans="1:17" x14ac:dyDescent="0.25">
      <c r="A1303" s="10">
        <v>44607</v>
      </c>
      <c r="B1303" s="594">
        <v>0</v>
      </c>
      <c r="C1303" s="31">
        <f t="shared" si="228"/>
        <v>151414095.47</v>
      </c>
      <c r="D1303" s="50">
        <v>35134.379999999997</v>
      </c>
      <c r="E1303" s="31">
        <f t="shared" si="229"/>
        <v>70268.759999999995</v>
      </c>
      <c r="F1303" s="900">
        <v>0</v>
      </c>
      <c r="G1303" s="899">
        <f t="shared" si="230"/>
        <v>162850.20000000001</v>
      </c>
      <c r="H1303" s="50">
        <v>0</v>
      </c>
      <c r="I1303" s="31">
        <f t="shared" si="231"/>
        <v>0</v>
      </c>
      <c r="J1303" s="50">
        <v>0</v>
      </c>
      <c r="K1303" s="31">
        <f t="shared" si="232"/>
        <v>0</v>
      </c>
      <c r="L1303" s="50">
        <v>0</v>
      </c>
      <c r="M1303" s="31">
        <f t="shared" si="233"/>
        <v>0</v>
      </c>
      <c r="N1303" s="50">
        <v>0</v>
      </c>
      <c r="O1303" s="31">
        <f t="shared" si="234"/>
        <v>0</v>
      </c>
      <c r="P1303" s="51" t="s">
        <v>4633</v>
      </c>
      <c r="Q1303" s="51"/>
    </row>
    <row r="1304" spans="1:17" x14ac:dyDescent="0.25">
      <c r="A1304" s="10">
        <v>44607</v>
      </c>
      <c r="B1304" s="594">
        <v>0</v>
      </c>
      <c r="C1304" s="31">
        <f t="shared" si="228"/>
        <v>151414095.47</v>
      </c>
      <c r="D1304" s="50">
        <v>446.880000000005</v>
      </c>
      <c r="E1304" s="31">
        <f t="shared" si="229"/>
        <v>70715.64</v>
      </c>
      <c r="F1304" s="900">
        <v>0</v>
      </c>
      <c r="G1304" s="899">
        <f t="shared" si="230"/>
        <v>162850.20000000001</v>
      </c>
      <c r="H1304" s="50">
        <v>0</v>
      </c>
      <c r="I1304" s="31">
        <f t="shared" si="231"/>
        <v>0</v>
      </c>
      <c r="J1304" s="50">
        <v>0</v>
      </c>
      <c r="K1304" s="31">
        <f t="shared" si="232"/>
        <v>0</v>
      </c>
      <c r="L1304" s="50">
        <v>0</v>
      </c>
      <c r="M1304" s="31">
        <f t="shared" si="233"/>
        <v>0</v>
      </c>
      <c r="N1304" s="50">
        <v>0</v>
      </c>
      <c r="O1304" s="31">
        <f t="shared" si="234"/>
        <v>0</v>
      </c>
      <c r="P1304" s="51" t="s">
        <v>4633</v>
      </c>
      <c r="Q1304" s="51"/>
    </row>
    <row r="1305" spans="1:17" x14ac:dyDescent="0.25">
      <c r="A1305" s="10">
        <v>44607</v>
      </c>
      <c r="B1305" s="594">
        <v>0</v>
      </c>
      <c r="C1305" s="31">
        <f t="shared" si="228"/>
        <v>151414095.47</v>
      </c>
      <c r="D1305" s="50">
        <v>-70715.64</v>
      </c>
      <c r="E1305" s="31">
        <f t="shared" si="229"/>
        <v>0</v>
      </c>
      <c r="F1305" s="900">
        <v>0</v>
      </c>
      <c r="G1305" s="899">
        <f t="shared" si="230"/>
        <v>162850.20000000001</v>
      </c>
      <c r="H1305" s="50">
        <v>0</v>
      </c>
      <c r="I1305" s="31">
        <f t="shared" si="231"/>
        <v>0</v>
      </c>
      <c r="J1305" s="50">
        <v>0</v>
      </c>
      <c r="K1305" s="31">
        <f t="shared" si="232"/>
        <v>0</v>
      </c>
      <c r="L1305" s="50">
        <v>0</v>
      </c>
      <c r="M1305" s="31">
        <f t="shared" si="233"/>
        <v>0</v>
      </c>
      <c r="N1305" s="50">
        <v>0</v>
      </c>
      <c r="O1305" s="31">
        <f t="shared" si="234"/>
        <v>0</v>
      </c>
      <c r="P1305" s="51" t="s">
        <v>845</v>
      </c>
      <c r="Q1305" s="51"/>
    </row>
    <row r="1306" spans="1:17" x14ac:dyDescent="0.25">
      <c r="A1306" s="10">
        <v>44608</v>
      </c>
      <c r="B1306" s="594">
        <v>0</v>
      </c>
      <c r="C1306" s="31">
        <f t="shared" si="228"/>
        <v>151414095.47</v>
      </c>
      <c r="D1306" s="50">
        <v>-797084.79</v>
      </c>
      <c r="E1306" s="31">
        <f t="shared" si="229"/>
        <v>-797084.79</v>
      </c>
      <c r="F1306" s="900">
        <v>0</v>
      </c>
      <c r="G1306" s="899">
        <f t="shared" si="230"/>
        <v>162850.20000000001</v>
      </c>
      <c r="H1306" s="50">
        <v>0</v>
      </c>
      <c r="I1306" s="31">
        <f t="shared" si="231"/>
        <v>0</v>
      </c>
      <c r="J1306" s="50">
        <v>0</v>
      </c>
      <c r="K1306" s="31">
        <f t="shared" si="232"/>
        <v>0</v>
      </c>
      <c r="L1306" s="50">
        <v>0</v>
      </c>
      <c r="M1306" s="31">
        <f t="shared" si="233"/>
        <v>0</v>
      </c>
      <c r="N1306" s="50">
        <v>0</v>
      </c>
      <c r="O1306" s="31">
        <f t="shared" si="234"/>
        <v>0</v>
      </c>
      <c r="P1306" s="51" t="s">
        <v>2820</v>
      </c>
      <c r="Q1306" s="51"/>
    </row>
    <row r="1307" spans="1:17" x14ac:dyDescent="0.25">
      <c r="A1307" s="10">
        <v>44608</v>
      </c>
      <c r="B1307" s="594">
        <v>0</v>
      </c>
      <c r="C1307" s="31">
        <f t="shared" si="228"/>
        <v>151414095.47</v>
      </c>
      <c r="D1307" s="50">
        <v>390148.3</v>
      </c>
      <c r="E1307" s="31">
        <f t="shared" si="229"/>
        <v>-406936.49</v>
      </c>
      <c r="F1307" s="900">
        <v>0</v>
      </c>
      <c r="G1307" s="899">
        <f t="shared" si="230"/>
        <v>162850.20000000001</v>
      </c>
      <c r="H1307" s="50">
        <v>0</v>
      </c>
      <c r="I1307" s="31">
        <f t="shared" si="231"/>
        <v>0</v>
      </c>
      <c r="J1307" s="50">
        <v>0</v>
      </c>
      <c r="K1307" s="31">
        <f t="shared" si="232"/>
        <v>0</v>
      </c>
      <c r="L1307" s="50">
        <v>0</v>
      </c>
      <c r="M1307" s="31">
        <f t="shared" si="233"/>
        <v>0</v>
      </c>
      <c r="N1307" s="50">
        <v>0</v>
      </c>
      <c r="O1307" s="31">
        <f t="shared" si="234"/>
        <v>0</v>
      </c>
      <c r="P1307" s="51" t="s">
        <v>4634</v>
      </c>
      <c r="Q1307" s="51"/>
    </row>
    <row r="1308" spans="1:17" x14ac:dyDescent="0.25">
      <c r="A1308" s="10">
        <v>44608</v>
      </c>
      <c r="B1308" s="594">
        <v>0</v>
      </c>
      <c r="C1308" s="31">
        <f t="shared" si="228"/>
        <v>151414095.47</v>
      </c>
      <c r="D1308" s="50">
        <v>50000</v>
      </c>
      <c r="E1308" s="31">
        <f t="shared" si="229"/>
        <v>-356936.49</v>
      </c>
      <c r="F1308" s="900">
        <v>0</v>
      </c>
      <c r="G1308" s="899">
        <f t="shared" si="230"/>
        <v>162850.20000000001</v>
      </c>
      <c r="H1308" s="50">
        <v>0</v>
      </c>
      <c r="I1308" s="31">
        <f t="shared" si="231"/>
        <v>0</v>
      </c>
      <c r="J1308" s="50">
        <v>0</v>
      </c>
      <c r="K1308" s="31">
        <f t="shared" si="232"/>
        <v>0</v>
      </c>
      <c r="L1308" s="50">
        <v>0</v>
      </c>
      <c r="M1308" s="31">
        <f t="shared" si="233"/>
        <v>0</v>
      </c>
      <c r="N1308" s="50">
        <v>0</v>
      </c>
      <c r="O1308" s="31">
        <f t="shared" si="234"/>
        <v>0</v>
      </c>
      <c r="P1308" s="51" t="s">
        <v>4635</v>
      </c>
      <c r="Q1308" s="51"/>
    </row>
    <row r="1309" spans="1:17" x14ac:dyDescent="0.25">
      <c r="A1309" s="10">
        <v>44608</v>
      </c>
      <c r="B1309" s="594">
        <v>0</v>
      </c>
      <c r="C1309" s="31">
        <f t="shared" ref="C1309:C1372" si="242">ROUND(B1309+C1308,2)</f>
        <v>151414095.47</v>
      </c>
      <c r="D1309" s="50">
        <v>-50000</v>
      </c>
      <c r="E1309" s="31">
        <f t="shared" ref="E1309:E1372" si="243">ROUND(D1309+E1308,2)</f>
        <v>-406936.49</v>
      </c>
      <c r="F1309" s="900">
        <v>0</v>
      </c>
      <c r="G1309" s="899">
        <f t="shared" ref="G1309:G1372" si="244">ROUND(F1309+G1308,2)</f>
        <v>162850.20000000001</v>
      </c>
      <c r="H1309" s="50">
        <v>0</v>
      </c>
      <c r="I1309" s="31">
        <f t="shared" ref="I1309:I1372" si="245">ROUND(H1309+I1308,2)</f>
        <v>0</v>
      </c>
      <c r="J1309" s="50">
        <v>0</v>
      </c>
      <c r="K1309" s="31">
        <f t="shared" ref="K1309:K1372" si="246">ROUND(J1309+K1308,2)</f>
        <v>0</v>
      </c>
      <c r="L1309" s="50">
        <v>50000</v>
      </c>
      <c r="M1309" s="31">
        <f t="shared" ref="M1309:M1372" si="247">ROUND(L1309+M1308,2)</f>
        <v>50000</v>
      </c>
      <c r="N1309" s="50">
        <v>0</v>
      </c>
      <c r="O1309" s="31">
        <f t="shared" ref="O1309:O1372" si="248">ROUND(N1309+O1308,2)</f>
        <v>0</v>
      </c>
      <c r="P1309" s="51" t="s">
        <v>2384</v>
      </c>
      <c r="Q1309" s="51"/>
    </row>
    <row r="1310" spans="1:17" x14ac:dyDescent="0.25">
      <c r="A1310" s="10">
        <v>44608</v>
      </c>
      <c r="B1310" s="594">
        <v>0</v>
      </c>
      <c r="C1310" s="31">
        <f t="shared" si="242"/>
        <v>151414095.47</v>
      </c>
      <c r="D1310" s="50">
        <v>0</v>
      </c>
      <c r="E1310" s="31">
        <f t="shared" si="243"/>
        <v>-406936.49</v>
      </c>
      <c r="F1310" s="900">
        <v>0</v>
      </c>
      <c r="G1310" s="899">
        <f t="shared" si="244"/>
        <v>162850.20000000001</v>
      </c>
      <c r="H1310" s="50">
        <v>0</v>
      </c>
      <c r="I1310" s="31">
        <f t="shared" si="245"/>
        <v>0</v>
      </c>
      <c r="J1310" s="50">
        <v>0</v>
      </c>
      <c r="K1310" s="31">
        <f t="shared" si="246"/>
        <v>0</v>
      </c>
      <c r="L1310" s="50">
        <v>-50000</v>
      </c>
      <c r="M1310" s="31">
        <f t="shared" si="247"/>
        <v>0</v>
      </c>
      <c r="N1310" s="50">
        <v>0</v>
      </c>
      <c r="O1310" s="31">
        <f t="shared" si="248"/>
        <v>0</v>
      </c>
      <c r="P1310" s="51" t="s">
        <v>4636</v>
      </c>
      <c r="Q1310" s="51"/>
    </row>
    <row r="1311" spans="1:17" x14ac:dyDescent="0.25">
      <c r="A1311" s="10">
        <v>44608</v>
      </c>
      <c r="B1311" s="594">
        <v>0</v>
      </c>
      <c r="C1311" s="31">
        <f t="shared" si="242"/>
        <v>151414095.47</v>
      </c>
      <c r="D1311" s="50">
        <v>406936.49</v>
      </c>
      <c r="E1311" s="31">
        <f t="shared" si="243"/>
        <v>0</v>
      </c>
      <c r="F1311" s="900">
        <v>0</v>
      </c>
      <c r="G1311" s="899">
        <f t="shared" si="244"/>
        <v>162850.20000000001</v>
      </c>
      <c r="H1311" s="50">
        <v>0</v>
      </c>
      <c r="I1311" s="31">
        <f t="shared" si="245"/>
        <v>0</v>
      </c>
      <c r="J1311" s="50">
        <v>0</v>
      </c>
      <c r="K1311" s="31">
        <f t="shared" si="246"/>
        <v>0</v>
      </c>
      <c r="L1311" s="50">
        <v>0</v>
      </c>
      <c r="M1311" s="31">
        <f t="shared" si="247"/>
        <v>0</v>
      </c>
      <c r="N1311" s="50">
        <v>0</v>
      </c>
      <c r="O1311" s="31">
        <f t="shared" si="248"/>
        <v>0</v>
      </c>
      <c r="P1311" s="51" t="s">
        <v>845</v>
      </c>
      <c r="Q1311" s="51"/>
    </row>
    <row r="1312" spans="1:17" x14ac:dyDescent="0.25">
      <c r="A1312" s="10">
        <v>44614</v>
      </c>
      <c r="B1312" s="594">
        <v>0</v>
      </c>
      <c r="C1312" s="31">
        <f t="shared" si="242"/>
        <v>151414095.47</v>
      </c>
      <c r="D1312" s="50">
        <v>-35581.26</v>
      </c>
      <c r="E1312" s="31">
        <f t="shared" si="243"/>
        <v>-35581.26</v>
      </c>
      <c r="F1312" s="900">
        <v>0</v>
      </c>
      <c r="G1312" s="899">
        <f t="shared" si="244"/>
        <v>162850.20000000001</v>
      </c>
      <c r="H1312" s="50">
        <v>0</v>
      </c>
      <c r="I1312" s="31">
        <f t="shared" si="245"/>
        <v>0</v>
      </c>
      <c r="J1312" s="50">
        <v>0</v>
      </c>
      <c r="K1312" s="31">
        <f t="shared" si="246"/>
        <v>0</v>
      </c>
      <c r="L1312" s="50">
        <v>0</v>
      </c>
      <c r="M1312" s="31">
        <f t="shared" si="247"/>
        <v>0</v>
      </c>
      <c r="N1312" s="50">
        <v>0</v>
      </c>
      <c r="O1312" s="31">
        <f t="shared" si="248"/>
        <v>0</v>
      </c>
      <c r="P1312" s="51" t="s">
        <v>4823</v>
      </c>
      <c r="Q1312" s="51"/>
    </row>
    <row r="1313" spans="1:17" x14ac:dyDescent="0.25">
      <c r="A1313" s="10">
        <v>44614</v>
      </c>
      <c r="B1313" s="594">
        <v>0</v>
      </c>
      <c r="C1313" s="31">
        <f t="shared" si="242"/>
        <v>151414095.47</v>
      </c>
      <c r="D1313" s="50">
        <v>0</v>
      </c>
      <c r="E1313" s="31">
        <f t="shared" si="243"/>
        <v>-35581.26</v>
      </c>
      <c r="F1313" s="900">
        <v>0</v>
      </c>
      <c r="G1313" s="899">
        <f t="shared" si="244"/>
        <v>162850.20000000001</v>
      </c>
      <c r="H1313" s="50">
        <v>-162.41</v>
      </c>
      <c r="I1313" s="31">
        <f t="shared" si="245"/>
        <v>-162.41</v>
      </c>
      <c r="J1313" s="50">
        <v>0</v>
      </c>
      <c r="K1313" s="31">
        <f t="shared" si="246"/>
        <v>0</v>
      </c>
      <c r="L1313" s="50">
        <v>0</v>
      </c>
      <c r="M1313" s="31">
        <f t="shared" si="247"/>
        <v>0</v>
      </c>
      <c r="N1313" s="50">
        <v>0</v>
      </c>
      <c r="O1313" s="31">
        <f t="shared" si="248"/>
        <v>0</v>
      </c>
      <c r="P1313" s="51" t="s">
        <v>4824</v>
      </c>
      <c r="Q1313" s="51"/>
    </row>
    <row r="1314" spans="1:17" x14ac:dyDescent="0.25">
      <c r="A1314" s="10">
        <v>44614</v>
      </c>
      <c r="B1314" s="594">
        <v>0</v>
      </c>
      <c r="C1314" s="31">
        <f t="shared" si="242"/>
        <v>151414095.47</v>
      </c>
      <c r="D1314" s="50">
        <f>-E1313</f>
        <v>35581.26</v>
      </c>
      <c r="E1314" s="31">
        <f t="shared" si="243"/>
        <v>0</v>
      </c>
      <c r="F1314" s="900">
        <v>0</v>
      </c>
      <c r="G1314" s="899">
        <f t="shared" si="244"/>
        <v>162850.20000000001</v>
      </c>
      <c r="H1314" s="50">
        <f>-I1313</f>
        <v>162.41</v>
      </c>
      <c r="I1314" s="31">
        <f t="shared" si="245"/>
        <v>0</v>
      </c>
      <c r="J1314" s="50">
        <v>0</v>
      </c>
      <c r="K1314" s="31">
        <f t="shared" si="246"/>
        <v>0</v>
      </c>
      <c r="L1314" s="50">
        <v>0</v>
      </c>
      <c r="M1314" s="31">
        <f t="shared" si="247"/>
        <v>0</v>
      </c>
      <c r="N1314" s="50">
        <v>0</v>
      </c>
      <c r="O1314" s="31">
        <f t="shared" si="248"/>
        <v>0</v>
      </c>
      <c r="P1314" s="51" t="s">
        <v>845</v>
      </c>
      <c r="Q1314" s="51"/>
    </row>
    <row r="1315" spans="1:17" x14ac:dyDescent="0.25">
      <c r="A1315" s="10">
        <v>44616</v>
      </c>
      <c r="B1315" s="594">
        <v>0</v>
      </c>
      <c r="C1315" s="31">
        <f t="shared" si="242"/>
        <v>151414095.47</v>
      </c>
      <c r="D1315" s="50">
        <v>25472.028282776475</v>
      </c>
      <c r="E1315" s="31">
        <f t="shared" si="243"/>
        <v>25472.03</v>
      </c>
      <c r="F1315" s="900">
        <v>0</v>
      </c>
      <c r="G1315" s="899">
        <f t="shared" si="244"/>
        <v>162850.20000000001</v>
      </c>
      <c r="H1315" s="50">
        <v>0</v>
      </c>
      <c r="I1315" s="31">
        <f t="shared" si="245"/>
        <v>0</v>
      </c>
      <c r="J1315" s="50">
        <v>0</v>
      </c>
      <c r="K1315" s="31">
        <f t="shared" si="246"/>
        <v>0</v>
      </c>
      <c r="L1315" s="50">
        <v>0</v>
      </c>
      <c r="M1315" s="31">
        <f t="shared" si="247"/>
        <v>0</v>
      </c>
      <c r="N1315" s="50">
        <v>0</v>
      </c>
      <c r="O1315" s="31">
        <f t="shared" si="248"/>
        <v>0</v>
      </c>
      <c r="P1315" s="51" t="s">
        <v>4825</v>
      </c>
      <c r="Q1315" s="51"/>
    </row>
    <row r="1316" spans="1:17" x14ac:dyDescent="0.25">
      <c r="A1316" s="10">
        <v>44616</v>
      </c>
      <c r="B1316" s="594">
        <v>0</v>
      </c>
      <c r="C1316" s="31">
        <f t="shared" si="242"/>
        <v>151414095.47</v>
      </c>
      <c r="D1316" s="50">
        <v>2753.0600000023842</v>
      </c>
      <c r="E1316" s="31">
        <f t="shared" si="243"/>
        <v>28225.09</v>
      </c>
      <c r="F1316" s="900">
        <v>0</v>
      </c>
      <c r="G1316" s="899">
        <f t="shared" si="244"/>
        <v>162850.20000000001</v>
      </c>
      <c r="H1316" s="50">
        <v>0</v>
      </c>
      <c r="I1316" s="31">
        <f t="shared" si="245"/>
        <v>0</v>
      </c>
      <c r="J1316" s="50">
        <v>0</v>
      </c>
      <c r="K1316" s="31">
        <f t="shared" si="246"/>
        <v>0</v>
      </c>
      <c r="L1316" s="50">
        <v>0</v>
      </c>
      <c r="M1316" s="31">
        <f t="shared" si="247"/>
        <v>0</v>
      </c>
      <c r="N1316" s="50">
        <v>0</v>
      </c>
      <c r="O1316" s="31">
        <f t="shared" si="248"/>
        <v>0</v>
      </c>
      <c r="P1316" s="51" t="s">
        <v>4826</v>
      </c>
      <c r="Q1316" s="51"/>
    </row>
    <row r="1317" spans="1:17" x14ac:dyDescent="0.25">
      <c r="A1317" s="10">
        <v>44616</v>
      </c>
      <c r="B1317" s="594">
        <v>0</v>
      </c>
      <c r="C1317" s="31">
        <f t="shared" si="242"/>
        <v>151414095.47</v>
      </c>
      <c r="D1317" s="50">
        <v>424695.12000000477</v>
      </c>
      <c r="E1317" s="31">
        <f t="shared" si="243"/>
        <v>452920.21</v>
      </c>
      <c r="F1317" s="900">
        <v>0</v>
      </c>
      <c r="G1317" s="899">
        <f t="shared" si="244"/>
        <v>162850.20000000001</v>
      </c>
      <c r="H1317" s="50">
        <v>0</v>
      </c>
      <c r="I1317" s="31">
        <f t="shared" si="245"/>
        <v>0</v>
      </c>
      <c r="J1317" s="50">
        <v>0</v>
      </c>
      <c r="K1317" s="31">
        <f t="shared" si="246"/>
        <v>0</v>
      </c>
      <c r="L1317" s="50">
        <v>0</v>
      </c>
      <c r="M1317" s="31">
        <f t="shared" si="247"/>
        <v>0</v>
      </c>
      <c r="N1317" s="50">
        <v>0</v>
      </c>
      <c r="O1317" s="31">
        <f t="shared" si="248"/>
        <v>0</v>
      </c>
      <c r="P1317" s="51" t="s">
        <v>4827</v>
      </c>
      <c r="Q1317" s="51"/>
    </row>
    <row r="1318" spans="1:17" x14ac:dyDescent="0.25">
      <c r="A1318" s="10">
        <v>44616</v>
      </c>
      <c r="B1318" s="594">
        <v>0</v>
      </c>
      <c r="C1318" s="31">
        <f t="shared" si="242"/>
        <v>151414095.47</v>
      </c>
      <c r="D1318" s="50">
        <v>167408.75160059333</v>
      </c>
      <c r="E1318" s="31">
        <f t="shared" si="243"/>
        <v>620328.95999999996</v>
      </c>
      <c r="F1318" s="900">
        <v>0</v>
      </c>
      <c r="G1318" s="899">
        <f t="shared" si="244"/>
        <v>162850.20000000001</v>
      </c>
      <c r="H1318" s="50">
        <v>0</v>
      </c>
      <c r="I1318" s="31">
        <f t="shared" si="245"/>
        <v>0</v>
      </c>
      <c r="J1318" s="50">
        <v>0</v>
      </c>
      <c r="K1318" s="31">
        <f t="shared" si="246"/>
        <v>0</v>
      </c>
      <c r="L1318" s="50">
        <v>0</v>
      </c>
      <c r="M1318" s="31">
        <f t="shared" si="247"/>
        <v>0</v>
      </c>
      <c r="N1318" s="50">
        <v>0</v>
      </c>
      <c r="O1318" s="31">
        <f t="shared" si="248"/>
        <v>0</v>
      </c>
      <c r="P1318" s="51" t="s">
        <v>4828</v>
      </c>
      <c r="Q1318" s="51"/>
    </row>
    <row r="1319" spans="1:17" x14ac:dyDescent="0.25">
      <c r="A1319" s="10">
        <v>44616</v>
      </c>
      <c r="B1319" s="594">
        <v>0</v>
      </c>
      <c r="C1319" s="31">
        <f t="shared" si="242"/>
        <v>151414095.47</v>
      </c>
      <c r="D1319" s="50">
        <f>-SUM(D1315:D1318)</f>
        <v>-620328.95988337696</v>
      </c>
      <c r="E1319" s="31">
        <f t="shared" si="243"/>
        <v>0</v>
      </c>
      <c r="F1319" s="900">
        <v>0</v>
      </c>
      <c r="G1319" s="899">
        <f t="shared" si="244"/>
        <v>162850.20000000001</v>
      </c>
      <c r="H1319" s="50">
        <v>0</v>
      </c>
      <c r="I1319" s="31">
        <f t="shared" si="245"/>
        <v>0</v>
      </c>
      <c r="J1319" s="50">
        <v>0</v>
      </c>
      <c r="K1319" s="31">
        <f t="shared" si="246"/>
        <v>0</v>
      </c>
      <c r="L1319" s="50">
        <v>0</v>
      </c>
      <c r="M1319" s="31">
        <f t="shared" si="247"/>
        <v>0</v>
      </c>
      <c r="N1319" s="50">
        <v>0</v>
      </c>
      <c r="O1319" s="31">
        <f t="shared" si="248"/>
        <v>0</v>
      </c>
      <c r="P1319" s="51" t="s">
        <v>4829</v>
      </c>
      <c r="Q1319" s="51"/>
    </row>
    <row r="1320" spans="1:17" x14ac:dyDescent="0.25">
      <c r="A1320" s="10">
        <v>44620</v>
      </c>
      <c r="B1320" s="594">
        <v>0</v>
      </c>
      <c r="C1320" s="31">
        <f t="shared" si="242"/>
        <v>151414095.47</v>
      </c>
      <c r="D1320" s="50">
        <v>-120000</v>
      </c>
      <c r="E1320" s="31">
        <f t="shared" si="243"/>
        <v>-120000</v>
      </c>
      <c r="F1320" s="900">
        <v>0</v>
      </c>
      <c r="G1320" s="899">
        <f t="shared" si="244"/>
        <v>162850.20000000001</v>
      </c>
      <c r="H1320" s="50">
        <v>0</v>
      </c>
      <c r="I1320" s="31">
        <f t="shared" si="245"/>
        <v>0</v>
      </c>
      <c r="J1320" s="50">
        <v>0</v>
      </c>
      <c r="K1320" s="31">
        <f t="shared" si="246"/>
        <v>0</v>
      </c>
      <c r="L1320" s="50">
        <v>0</v>
      </c>
      <c r="M1320" s="31">
        <f t="shared" si="247"/>
        <v>0</v>
      </c>
      <c r="N1320" s="50">
        <v>120000</v>
      </c>
      <c r="O1320" s="31">
        <f t="shared" si="248"/>
        <v>120000</v>
      </c>
      <c r="P1320" s="51" t="s">
        <v>4892</v>
      </c>
      <c r="Q1320" s="51"/>
    </row>
    <row r="1321" spans="1:17" x14ac:dyDescent="0.25">
      <c r="A1321" s="10">
        <v>44620</v>
      </c>
      <c r="B1321" s="594">
        <v>0</v>
      </c>
      <c r="C1321" s="31">
        <f t="shared" si="242"/>
        <v>151414095.47</v>
      </c>
      <c r="D1321" s="50">
        <v>0</v>
      </c>
      <c r="E1321" s="31">
        <f t="shared" si="243"/>
        <v>-120000</v>
      </c>
      <c r="F1321" s="900">
        <v>0</v>
      </c>
      <c r="G1321" s="899">
        <f t="shared" si="244"/>
        <v>162850.20000000001</v>
      </c>
      <c r="H1321" s="50">
        <v>0</v>
      </c>
      <c r="I1321" s="31">
        <f t="shared" si="245"/>
        <v>0</v>
      </c>
      <c r="J1321" s="50">
        <v>0</v>
      </c>
      <c r="K1321" s="31">
        <f t="shared" si="246"/>
        <v>0</v>
      </c>
      <c r="L1321" s="50">
        <v>0</v>
      </c>
      <c r="M1321" s="31">
        <f t="shared" si="247"/>
        <v>0</v>
      </c>
      <c r="N1321" s="50">
        <v>-120000</v>
      </c>
      <c r="O1321" s="31">
        <f t="shared" si="248"/>
        <v>0</v>
      </c>
      <c r="P1321" s="51" t="s">
        <v>4893</v>
      </c>
      <c r="Q1321" s="51"/>
    </row>
    <row r="1322" spans="1:17" x14ac:dyDescent="0.25">
      <c r="A1322" s="10">
        <v>44620</v>
      </c>
      <c r="B1322" s="594">
        <v>0</v>
      </c>
      <c r="C1322" s="31">
        <f t="shared" si="242"/>
        <v>151414095.47</v>
      </c>
      <c r="D1322" s="50">
        <v>120000</v>
      </c>
      <c r="E1322" s="31">
        <f t="shared" si="243"/>
        <v>0</v>
      </c>
      <c r="F1322" s="900">
        <v>0</v>
      </c>
      <c r="G1322" s="899">
        <f t="shared" si="244"/>
        <v>162850.20000000001</v>
      </c>
      <c r="H1322" s="50">
        <v>0</v>
      </c>
      <c r="I1322" s="31">
        <f t="shared" si="245"/>
        <v>0</v>
      </c>
      <c r="J1322" s="50">
        <v>0</v>
      </c>
      <c r="K1322" s="31">
        <f t="shared" si="246"/>
        <v>0</v>
      </c>
      <c r="L1322" s="50">
        <v>0</v>
      </c>
      <c r="M1322" s="31">
        <f t="shared" si="247"/>
        <v>0</v>
      </c>
      <c r="N1322" s="50">
        <v>0</v>
      </c>
      <c r="O1322" s="31">
        <f t="shared" si="248"/>
        <v>0</v>
      </c>
      <c r="P1322" s="51" t="s">
        <v>845</v>
      </c>
      <c r="Q1322" s="51"/>
    </row>
    <row r="1323" spans="1:17" x14ac:dyDescent="0.25">
      <c r="A1323" s="10">
        <v>44622</v>
      </c>
      <c r="B1323" s="594">
        <v>0</v>
      </c>
      <c r="C1323" s="31">
        <f t="shared" si="242"/>
        <v>151414095.47</v>
      </c>
      <c r="D1323" s="50">
        <v>0</v>
      </c>
      <c r="E1323" s="31">
        <f t="shared" si="243"/>
        <v>0</v>
      </c>
      <c r="F1323" s="900">
        <v>29209.919999999998</v>
      </c>
      <c r="G1323" s="899">
        <f t="shared" si="244"/>
        <v>192060.12</v>
      </c>
      <c r="H1323" s="50">
        <v>0</v>
      </c>
      <c r="I1323" s="31">
        <f t="shared" si="245"/>
        <v>0</v>
      </c>
      <c r="J1323" s="50">
        <v>0</v>
      </c>
      <c r="K1323" s="31">
        <f t="shared" si="246"/>
        <v>0</v>
      </c>
      <c r="L1323" s="50">
        <v>0</v>
      </c>
      <c r="M1323" s="31">
        <f t="shared" si="247"/>
        <v>0</v>
      </c>
      <c r="N1323" s="50">
        <v>0</v>
      </c>
      <c r="O1323" s="31">
        <f t="shared" si="248"/>
        <v>0</v>
      </c>
      <c r="P1323" s="51" t="s">
        <v>4894</v>
      </c>
      <c r="Q1323" s="51"/>
    </row>
    <row r="1324" spans="1:17" x14ac:dyDescent="0.25">
      <c r="A1324" s="10">
        <v>44622</v>
      </c>
      <c r="B1324" s="594">
        <v>0</v>
      </c>
      <c r="C1324" s="31">
        <f t="shared" si="242"/>
        <v>151414095.47</v>
      </c>
      <c r="D1324" s="50">
        <v>0</v>
      </c>
      <c r="E1324" s="31">
        <f t="shared" si="243"/>
        <v>0</v>
      </c>
      <c r="F1324" s="900">
        <v>100.63</v>
      </c>
      <c r="G1324" s="899">
        <f t="shared" si="244"/>
        <v>192160.75</v>
      </c>
      <c r="H1324" s="50">
        <v>0</v>
      </c>
      <c r="I1324" s="31">
        <f t="shared" si="245"/>
        <v>0</v>
      </c>
      <c r="J1324" s="50">
        <v>0</v>
      </c>
      <c r="K1324" s="31">
        <f t="shared" si="246"/>
        <v>0</v>
      </c>
      <c r="L1324" s="50">
        <v>0</v>
      </c>
      <c r="M1324" s="31">
        <f t="shared" si="247"/>
        <v>0</v>
      </c>
      <c r="N1324" s="50">
        <v>0</v>
      </c>
      <c r="O1324" s="31">
        <f t="shared" si="248"/>
        <v>0</v>
      </c>
      <c r="P1324" s="51" t="s">
        <v>4895</v>
      </c>
      <c r="Q1324" s="51"/>
    </row>
    <row r="1325" spans="1:17" x14ac:dyDescent="0.25">
      <c r="A1325" s="10">
        <v>44622</v>
      </c>
      <c r="B1325" s="594">
        <v>0</v>
      </c>
      <c r="C1325" s="31">
        <f t="shared" si="242"/>
        <v>151414095.47</v>
      </c>
      <c r="D1325" s="50">
        <v>600000</v>
      </c>
      <c r="E1325" s="31">
        <f t="shared" si="243"/>
        <v>600000</v>
      </c>
      <c r="F1325" s="900">
        <v>0</v>
      </c>
      <c r="G1325" s="899">
        <f t="shared" si="244"/>
        <v>192160.75</v>
      </c>
      <c r="H1325" s="50">
        <v>0</v>
      </c>
      <c r="I1325" s="31">
        <f t="shared" si="245"/>
        <v>0</v>
      </c>
      <c r="J1325" s="50">
        <v>0</v>
      </c>
      <c r="K1325" s="31">
        <f t="shared" si="246"/>
        <v>0</v>
      </c>
      <c r="L1325" s="50">
        <v>0</v>
      </c>
      <c r="M1325" s="31">
        <f t="shared" si="247"/>
        <v>0</v>
      </c>
      <c r="N1325" s="50">
        <v>0</v>
      </c>
      <c r="O1325" s="31">
        <f t="shared" si="248"/>
        <v>0</v>
      </c>
      <c r="P1325" s="51" t="s">
        <v>4896</v>
      </c>
      <c r="Q1325" s="51"/>
    </row>
    <row r="1326" spans="1:17" x14ac:dyDescent="0.25">
      <c r="A1326" s="10">
        <v>44622</v>
      </c>
      <c r="B1326" s="594">
        <v>0</v>
      </c>
      <c r="C1326" s="31">
        <f t="shared" si="242"/>
        <v>151414095.47</v>
      </c>
      <c r="D1326" s="50">
        <v>-600000</v>
      </c>
      <c r="E1326" s="31">
        <f t="shared" si="243"/>
        <v>0</v>
      </c>
      <c r="F1326" s="900">
        <v>0</v>
      </c>
      <c r="G1326" s="899">
        <f t="shared" si="244"/>
        <v>192160.75</v>
      </c>
      <c r="H1326" s="50">
        <v>0</v>
      </c>
      <c r="I1326" s="31">
        <f t="shared" si="245"/>
        <v>0</v>
      </c>
      <c r="J1326" s="50">
        <v>600000</v>
      </c>
      <c r="K1326" s="31">
        <f t="shared" si="246"/>
        <v>600000</v>
      </c>
      <c r="L1326" s="50">
        <v>0</v>
      </c>
      <c r="M1326" s="31">
        <f t="shared" si="247"/>
        <v>0</v>
      </c>
      <c r="N1326" s="50">
        <v>0</v>
      </c>
      <c r="O1326" s="31">
        <f t="shared" si="248"/>
        <v>0</v>
      </c>
      <c r="P1326" s="51" t="s">
        <v>4897</v>
      </c>
      <c r="Q1326" s="51"/>
    </row>
    <row r="1327" spans="1:17" x14ac:dyDescent="0.25">
      <c r="A1327" s="10">
        <v>44622</v>
      </c>
      <c r="B1327" s="594">
        <v>0</v>
      </c>
      <c r="C1327" s="31">
        <f t="shared" si="242"/>
        <v>151414095.47</v>
      </c>
      <c r="D1327" s="50">
        <v>-6500</v>
      </c>
      <c r="E1327" s="31">
        <f t="shared" si="243"/>
        <v>-6500</v>
      </c>
      <c r="F1327" s="900">
        <v>0</v>
      </c>
      <c r="G1327" s="899">
        <f t="shared" si="244"/>
        <v>192160.75</v>
      </c>
      <c r="H1327" s="50">
        <v>0</v>
      </c>
      <c r="I1327" s="31">
        <f t="shared" si="245"/>
        <v>0</v>
      </c>
      <c r="J1327" s="50">
        <v>0</v>
      </c>
      <c r="K1327" s="31">
        <f t="shared" si="246"/>
        <v>600000</v>
      </c>
      <c r="L1327" s="50">
        <v>0</v>
      </c>
      <c r="M1327" s="31">
        <f t="shared" si="247"/>
        <v>0</v>
      </c>
      <c r="N1327" s="50">
        <v>0</v>
      </c>
      <c r="O1327" s="31">
        <f t="shared" si="248"/>
        <v>0</v>
      </c>
      <c r="P1327" s="51" t="s">
        <v>4898</v>
      </c>
      <c r="Q1327" s="51"/>
    </row>
    <row r="1328" spans="1:17" x14ac:dyDescent="0.25">
      <c r="A1328" s="10">
        <v>44622</v>
      </c>
      <c r="B1328" s="594">
        <v>0</v>
      </c>
      <c r="C1328" s="31">
        <f t="shared" si="242"/>
        <v>151414095.47</v>
      </c>
      <c r="D1328" s="50">
        <v>24.89</v>
      </c>
      <c r="E1328" s="31">
        <f t="shared" si="243"/>
        <v>-6475.11</v>
      </c>
      <c r="F1328" s="900">
        <v>0</v>
      </c>
      <c r="G1328" s="899">
        <f t="shared" si="244"/>
        <v>192160.75</v>
      </c>
      <c r="H1328" s="50">
        <v>1.720000000019791</v>
      </c>
      <c r="I1328" s="31">
        <f t="shared" si="245"/>
        <v>1.72</v>
      </c>
      <c r="J1328" s="50">
        <v>0</v>
      </c>
      <c r="K1328" s="31">
        <f t="shared" si="246"/>
        <v>600000</v>
      </c>
      <c r="L1328" s="50">
        <v>0.04</v>
      </c>
      <c r="M1328" s="31">
        <f t="shared" si="247"/>
        <v>0.04</v>
      </c>
      <c r="N1328" s="50">
        <v>0</v>
      </c>
      <c r="O1328" s="31">
        <f t="shared" si="248"/>
        <v>0</v>
      </c>
      <c r="P1328" s="51" t="s">
        <v>4899</v>
      </c>
      <c r="Q1328" s="51"/>
    </row>
    <row r="1329" spans="1:17" x14ac:dyDescent="0.25">
      <c r="A1329" s="10">
        <v>44622</v>
      </c>
      <c r="B1329" s="594">
        <v>0</v>
      </c>
      <c r="C1329" s="31">
        <f t="shared" si="242"/>
        <v>151414095.47</v>
      </c>
      <c r="D1329" s="50">
        <v>0</v>
      </c>
      <c r="E1329" s="31">
        <f t="shared" si="243"/>
        <v>-6475.11</v>
      </c>
      <c r="F1329" s="900">
        <v>0</v>
      </c>
      <c r="G1329" s="899">
        <f t="shared" si="244"/>
        <v>192160.75</v>
      </c>
      <c r="H1329" s="50">
        <v>-29300</v>
      </c>
      <c r="I1329" s="31">
        <f t="shared" si="245"/>
        <v>-29298.28</v>
      </c>
      <c r="J1329" s="50">
        <v>0</v>
      </c>
      <c r="K1329" s="31">
        <f t="shared" si="246"/>
        <v>600000</v>
      </c>
      <c r="L1329" s="50">
        <v>0</v>
      </c>
      <c r="M1329" s="31">
        <f t="shared" si="247"/>
        <v>0.04</v>
      </c>
      <c r="N1329" s="50">
        <v>0</v>
      </c>
      <c r="O1329" s="31">
        <f t="shared" si="248"/>
        <v>0</v>
      </c>
      <c r="P1329" s="51" t="s">
        <v>4900</v>
      </c>
      <c r="Q1329" s="51"/>
    </row>
    <row r="1330" spans="1:17" x14ac:dyDescent="0.25">
      <c r="A1330" s="10">
        <v>44622</v>
      </c>
      <c r="B1330" s="594">
        <v>0</v>
      </c>
      <c r="C1330" s="31">
        <f t="shared" si="242"/>
        <v>151414095.47</v>
      </c>
      <c r="D1330" s="50">
        <v>713000</v>
      </c>
      <c r="E1330" s="31">
        <f t="shared" si="243"/>
        <v>706524.89</v>
      </c>
      <c r="F1330" s="900">
        <v>0</v>
      </c>
      <c r="G1330" s="899">
        <f t="shared" si="244"/>
        <v>192160.75</v>
      </c>
      <c r="H1330" s="50">
        <v>0</v>
      </c>
      <c r="I1330" s="31">
        <f t="shared" si="245"/>
        <v>-29298.28</v>
      </c>
      <c r="J1330" s="50">
        <v>0</v>
      </c>
      <c r="K1330" s="31">
        <f t="shared" si="246"/>
        <v>600000</v>
      </c>
      <c r="L1330" s="50">
        <v>0</v>
      </c>
      <c r="M1330" s="31">
        <f t="shared" si="247"/>
        <v>0.04</v>
      </c>
      <c r="N1330" s="50">
        <v>0</v>
      </c>
      <c r="O1330" s="31">
        <f t="shared" si="248"/>
        <v>0</v>
      </c>
      <c r="P1330" s="51" t="s">
        <v>3281</v>
      </c>
      <c r="Q1330" s="51"/>
    </row>
    <row r="1331" spans="1:17" x14ac:dyDescent="0.25">
      <c r="A1331" s="10">
        <v>44622</v>
      </c>
      <c r="B1331" s="594">
        <v>0</v>
      </c>
      <c r="C1331" s="31">
        <f t="shared" si="242"/>
        <v>151414095.47</v>
      </c>
      <c r="D1331" s="50">
        <v>-713000</v>
      </c>
      <c r="E1331" s="31">
        <f t="shared" si="243"/>
        <v>-6475.11</v>
      </c>
      <c r="F1331" s="900">
        <v>0</v>
      </c>
      <c r="G1331" s="899">
        <f t="shared" si="244"/>
        <v>192160.75</v>
      </c>
      <c r="H1331" s="50">
        <f>-I1330</f>
        <v>29298.28</v>
      </c>
      <c r="I1331" s="31">
        <f t="shared" si="245"/>
        <v>0</v>
      </c>
      <c r="J1331" s="50">
        <v>0</v>
      </c>
      <c r="K1331" s="31">
        <f t="shared" si="246"/>
        <v>600000</v>
      </c>
      <c r="L1331" s="50">
        <v>-0.04</v>
      </c>
      <c r="M1331" s="31">
        <f t="shared" si="247"/>
        <v>0</v>
      </c>
      <c r="N1331" s="50">
        <v>0</v>
      </c>
      <c r="O1331" s="31">
        <f t="shared" si="248"/>
        <v>0</v>
      </c>
      <c r="P1331" s="51" t="s">
        <v>845</v>
      </c>
      <c r="Q1331" s="51"/>
    </row>
    <row r="1332" spans="1:17" x14ac:dyDescent="0.25">
      <c r="A1332" s="10">
        <v>44623</v>
      </c>
      <c r="B1332" s="594">
        <v>0</v>
      </c>
      <c r="C1332" s="31">
        <f t="shared" si="242"/>
        <v>151414095.47</v>
      </c>
      <c r="D1332" s="50">
        <v>-713000</v>
      </c>
      <c r="E1332" s="31">
        <f t="shared" si="243"/>
        <v>-719475.11</v>
      </c>
      <c r="F1332" s="900">
        <v>0</v>
      </c>
      <c r="G1332" s="899">
        <f t="shared" si="244"/>
        <v>192160.75</v>
      </c>
      <c r="H1332" s="50">
        <v>0</v>
      </c>
      <c r="I1332" s="31">
        <f t="shared" si="245"/>
        <v>0</v>
      </c>
      <c r="J1332" s="50">
        <v>713000</v>
      </c>
      <c r="K1332" s="31">
        <f t="shared" si="246"/>
        <v>1313000</v>
      </c>
      <c r="L1332" s="50">
        <v>0</v>
      </c>
      <c r="M1332" s="31">
        <f t="shared" si="247"/>
        <v>0</v>
      </c>
      <c r="N1332" s="50">
        <v>0</v>
      </c>
      <c r="O1332" s="31">
        <f t="shared" si="248"/>
        <v>0</v>
      </c>
      <c r="P1332" s="51" t="s">
        <v>4901</v>
      </c>
      <c r="Q1332" s="51"/>
    </row>
    <row r="1333" spans="1:17" x14ac:dyDescent="0.25">
      <c r="A1333" s="10">
        <v>44623</v>
      </c>
      <c r="B1333" s="594">
        <v>0</v>
      </c>
      <c r="C1333" s="31">
        <f t="shared" si="242"/>
        <v>151414095.47</v>
      </c>
      <c r="D1333" s="50">
        <v>0</v>
      </c>
      <c r="E1333" s="31">
        <f t="shared" si="243"/>
        <v>-719475.11</v>
      </c>
      <c r="F1333" s="900">
        <v>0</v>
      </c>
      <c r="G1333" s="899">
        <f t="shared" si="244"/>
        <v>192160.75</v>
      </c>
      <c r="H1333" s="50">
        <v>0</v>
      </c>
      <c r="I1333" s="31">
        <f t="shared" si="245"/>
        <v>0</v>
      </c>
      <c r="J1333" s="50">
        <v>-355000</v>
      </c>
      <c r="K1333" s="31">
        <f t="shared" si="246"/>
        <v>958000</v>
      </c>
      <c r="L1333" s="50">
        <v>0</v>
      </c>
      <c r="M1333" s="31">
        <f t="shared" si="247"/>
        <v>0</v>
      </c>
      <c r="N1333" s="50">
        <v>0</v>
      </c>
      <c r="O1333" s="31">
        <f t="shared" si="248"/>
        <v>0</v>
      </c>
      <c r="P1333" s="51" t="s">
        <v>3286</v>
      </c>
      <c r="Q1333" s="51"/>
    </row>
    <row r="1334" spans="1:17" x14ac:dyDescent="0.25">
      <c r="A1334" s="10">
        <v>44623</v>
      </c>
      <c r="B1334" s="594">
        <v>0</v>
      </c>
      <c r="C1334" s="31">
        <f t="shared" si="242"/>
        <v>151414095.47</v>
      </c>
      <c r="D1334" s="50">
        <f>-E1333</f>
        <v>719475.11</v>
      </c>
      <c r="E1334" s="31">
        <f t="shared" si="243"/>
        <v>0</v>
      </c>
      <c r="F1334" s="900">
        <v>0</v>
      </c>
      <c r="G1334" s="899">
        <f t="shared" si="244"/>
        <v>192160.75</v>
      </c>
      <c r="H1334" s="50">
        <v>0</v>
      </c>
      <c r="I1334" s="31">
        <f t="shared" si="245"/>
        <v>0</v>
      </c>
      <c r="J1334" s="50">
        <v>0</v>
      </c>
      <c r="K1334" s="31">
        <f t="shared" si="246"/>
        <v>958000</v>
      </c>
      <c r="L1334" s="50">
        <v>0</v>
      </c>
      <c r="M1334" s="31">
        <f t="shared" si="247"/>
        <v>0</v>
      </c>
      <c r="N1334" s="50">
        <v>0</v>
      </c>
      <c r="O1334" s="31">
        <f t="shared" si="248"/>
        <v>0</v>
      </c>
      <c r="P1334" s="51" t="s">
        <v>845</v>
      </c>
      <c r="Q1334" s="51"/>
    </row>
    <row r="1335" spans="1:17" x14ac:dyDescent="0.25">
      <c r="A1335" s="10">
        <v>44627</v>
      </c>
      <c r="B1335" s="594">
        <v>0</v>
      </c>
      <c r="C1335" s="31">
        <f t="shared" si="242"/>
        <v>151414095.47</v>
      </c>
      <c r="D1335" s="50">
        <v>98278.48</v>
      </c>
      <c r="E1335" s="31">
        <f t="shared" si="243"/>
        <v>98278.48</v>
      </c>
      <c r="F1335" s="900">
        <v>-90000</v>
      </c>
      <c r="G1335" s="899">
        <f t="shared" si="244"/>
        <v>102160.75</v>
      </c>
      <c r="H1335" s="50">
        <v>0</v>
      </c>
      <c r="I1335" s="31">
        <f t="shared" si="245"/>
        <v>0</v>
      </c>
      <c r="J1335" s="50">
        <v>0</v>
      </c>
      <c r="K1335" s="31">
        <f t="shared" si="246"/>
        <v>958000</v>
      </c>
      <c r="L1335" s="50">
        <v>0</v>
      </c>
      <c r="M1335" s="31">
        <f t="shared" si="247"/>
        <v>0</v>
      </c>
      <c r="N1335" s="50">
        <v>0</v>
      </c>
      <c r="O1335" s="31">
        <f t="shared" si="248"/>
        <v>0</v>
      </c>
      <c r="P1335" s="51" t="s">
        <v>4963</v>
      </c>
      <c r="Q1335" s="51"/>
    </row>
    <row r="1336" spans="1:17" x14ac:dyDescent="0.25">
      <c r="A1336" s="10">
        <v>44627</v>
      </c>
      <c r="B1336" s="594">
        <v>0</v>
      </c>
      <c r="C1336" s="31">
        <f t="shared" si="242"/>
        <v>151414095.47</v>
      </c>
      <c r="D1336" s="50">
        <v>0</v>
      </c>
      <c r="E1336" s="31">
        <f t="shared" si="243"/>
        <v>98278.48</v>
      </c>
      <c r="F1336" s="900">
        <v>265315.36</v>
      </c>
      <c r="G1336" s="899">
        <f t="shared" si="244"/>
        <v>367476.11</v>
      </c>
      <c r="H1336" s="50">
        <v>0</v>
      </c>
      <c r="I1336" s="31">
        <f t="shared" si="245"/>
        <v>0</v>
      </c>
      <c r="J1336" s="50">
        <v>0</v>
      </c>
      <c r="K1336" s="31">
        <f t="shared" si="246"/>
        <v>958000</v>
      </c>
      <c r="L1336" s="50">
        <v>0</v>
      </c>
      <c r="M1336" s="31">
        <f t="shared" si="247"/>
        <v>0</v>
      </c>
      <c r="N1336" s="50">
        <v>0</v>
      </c>
      <c r="O1336" s="31">
        <f t="shared" si="248"/>
        <v>0</v>
      </c>
      <c r="P1336" s="51" t="s">
        <v>4964</v>
      </c>
      <c r="Q1336" s="51"/>
    </row>
    <row r="1337" spans="1:17" x14ac:dyDescent="0.25">
      <c r="A1337" s="10">
        <v>44627</v>
      </c>
      <c r="B1337" s="594">
        <v>1000000</v>
      </c>
      <c r="C1337" s="31">
        <f t="shared" si="242"/>
        <v>152414095.47</v>
      </c>
      <c r="D1337" s="50">
        <v>0</v>
      </c>
      <c r="E1337" s="31">
        <f t="shared" si="243"/>
        <v>98278.48</v>
      </c>
      <c r="F1337" s="900">
        <v>0</v>
      </c>
      <c r="G1337" s="899">
        <f t="shared" si="244"/>
        <v>367476.11</v>
      </c>
      <c r="H1337" s="50">
        <v>0</v>
      </c>
      <c r="I1337" s="31">
        <f t="shared" si="245"/>
        <v>0</v>
      </c>
      <c r="J1337" s="50">
        <v>0</v>
      </c>
      <c r="K1337" s="31">
        <f t="shared" si="246"/>
        <v>958000</v>
      </c>
      <c r="L1337" s="50">
        <v>0</v>
      </c>
      <c r="M1337" s="31">
        <f t="shared" si="247"/>
        <v>0</v>
      </c>
      <c r="N1337" s="50">
        <v>0</v>
      </c>
      <c r="O1337" s="31">
        <f t="shared" si="248"/>
        <v>0</v>
      </c>
      <c r="P1337" s="51" t="s">
        <v>3133</v>
      </c>
      <c r="Q1337" s="51"/>
    </row>
    <row r="1338" spans="1:17" x14ac:dyDescent="0.25">
      <c r="A1338" s="10">
        <v>44627</v>
      </c>
      <c r="B1338" s="594">
        <v>0</v>
      </c>
      <c r="C1338" s="31">
        <f t="shared" si="242"/>
        <v>152414095.47</v>
      </c>
      <c r="D1338" s="50">
        <f>-E1337</f>
        <v>-98278.48</v>
      </c>
      <c r="E1338" s="31">
        <f t="shared" si="243"/>
        <v>0</v>
      </c>
      <c r="F1338" s="900">
        <v>0</v>
      </c>
      <c r="G1338" s="899">
        <f t="shared" si="244"/>
        <v>367476.11</v>
      </c>
      <c r="H1338" s="50">
        <v>0</v>
      </c>
      <c r="I1338" s="31">
        <f t="shared" si="245"/>
        <v>0</v>
      </c>
      <c r="J1338" s="50">
        <v>0</v>
      </c>
      <c r="K1338" s="31">
        <f t="shared" si="246"/>
        <v>958000</v>
      </c>
      <c r="L1338" s="50">
        <v>0</v>
      </c>
      <c r="M1338" s="31">
        <f t="shared" si="247"/>
        <v>0</v>
      </c>
      <c r="N1338" s="50">
        <v>0</v>
      </c>
      <c r="O1338" s="31">
        <f t="shared" si="248"/>
        <v>0</v>
      </c>
      <c r="P1338" s="51" t="s">
        <v>845</v>
      </c>
      <c r="Q1338" s="51"/>
    </row>
    <row r="1339" spans="1:17" x14ac:dyDescent="0.25">
      <c r="A1339" s="10">
        <v>44628</v>
      </c>
      <c r="B1339" s="594">
        <v>0</v>
      </c>
      <c r="C1339" s="31">
        <f t="shared" si="242"/>
        <v>152414095.47</v>
      </c>
      <c r="D1339" s="50">
        <v>-1700593</v>
      </c>
      <c r="E1339" s="31">
        <f t="shared" si="243"/>
        <v>-1700593</v>
      </c>
      <c r="F1339" s="900">
        <v>0</v>
      </c>
      <c r="G1339" s="899">
        <f t="shared" si="244"/>
        <v>367476.11</v>
      </c>
      <c r="H1339" s="50">
        <v>0</v>
      </c>
      <c r="I1339" s="31">
        <f t="shared" si="245"/>
        <v>0</v>
      </c>
      <c r="J1339" s="50">
        <v>0</v>
      </c>
      <c r="K1339" s="31">
        <f t="shared" si="246"/>
        <v>958000</v>
      </c>
      <c r="L1339" s="50">
        <v>0</v>
      </c>
      <c r="M1339" s="31">
        <f t="shared" si="247"/>
        <v>0</v>
      </c>
      <c r="N1339" s="50">
        <v>0</v>
      </c>
      <c r="O1339" s="31">
        <f t="shared" si="248"/>
        <v>0</v>
      </c>
      <c r="P1339" s="51" t="s">
        <v>4965</v>
      </c>
      <c r="Q1339" s="51"/>
    </row>
    <row r="1340" spans="1:17" x14ac:dyDescent="0.25">
      <c r="A1340" s="10">
        <v>44628</v>
      </c>
      <c r="B1340" s="594">
        <v>0</v>
      </c>
      <c r="C1340" s="31">
        <f t="shared" si="242"/>
        <v>152414095.47</v>
      </c>
      <c r="D1340" s="50">
        <v>1600000</v>
      </c>
      <c r="E1340" s="31">
        <f t="shared" si="243"/>
        <v>-100593</v>
      </c>
      <c r="F1340" s="900">
        <v>0</v>
      </c>
      <c r="G1340" s="899">
        <f t="shared" si="244"/>
        <v>367476.11</v>
      </c>
      <c r="H1340" s="50">
        <v>0</v>
      </c>
      <c r="I1340" s="31">
        <f t="shared" si="245"/>
        <v>0</v>
      </c>
      <c r="J1340" s="50">
        <v>0</v>
      </c>
      <c r="K1340" s="31">
        <f t="shared" si="246"/>
        <v>958000</v>
      </c>
      <c r="L1340" s="50">
        <v>0</v>
      </c>
      <c r="M1340" s="31">
        <f t="shared" si="247"/>
        <v>0</v>
      </c>
      <c r="N1340" s="50">
        <v>0</v>
      </c>
      <c r="O1340" s="31">
        <f t="shared" si="248"/>
        <v>0</v>
      </c>
      <c r="P1340" s="51" t="s">
        <v>4966</v>
      </c>
      <c r="Q1340" s="51"/>
    </row>
    <row r="1341" spans="1:17" x14ac:dyDescent="0.25">
      <c r="A1341" s="10">
        <v>44628</v>
      </c>
      <c r="B1341" s="594">
        <v>0</v>
      </c>
      <c r="C1341" s="31">
        <f t="shared" si="242"/>
        <v>152414095.47</v>
      </c>
      <c r="D1341" s="50">
        <v>424695.12000000477</v>
      </c>
      <c r="E1341" s="31">
        <f t="shared" si="243"/>
        <v>324102.12</v>
      </c>
      <c r="F1341" s="900">
        <v>0</v>
      </c>
      <c r="G1341" s="899">
        <f t="shared" si="244"/>
        <v>367476.11</v>
      </c>
      <c r="H1341" s="50">
        <v>0</v>
      </c>
      <c r="I1341" s="31">
        <f t="shared" si="245"/>
        <v>0</v>
      </c>
      <c r="J1341" s="50">
        <v>0</v>
      </c>
      <c r="K1341" s="31">
        <f t="shared" si="246"/>
        <v>958000</v>
      </c>
      <c r="L1341" s="50">
        <v>0</v>
      </c>
      <c r="M1341" s="31">
        <f t="shared" si="247"/>
        <v>0</v>
      </c>
      <c r="N1341" s="50">
        <v>0</v>
      </c>
      <c r="O1341" s="31">
        <f t="shared" si="248"/>
        <v>0</v>
      </c>
      <c r="P1341" s="51" t="s">
        <v>4830</v>
      </c>
      <c r="Q1341" s="51"/>
    </row>
    <row r="1342" spans="1:17" x14ac:dyDescent="0.25">
      <c r="A1342" s="10">
        <v>44628</v>
      </c>
      <c r="B1342" s="594">
        <v>0</v>
      </c>
      <c r="C1342" s="31">
        <f t="shared" si="242"/>
        <v>152414095.47</v>
      </c>
      <c r="D1342" s="50">
        <f>-E1341</f>
        <v>-324102.12</v>
      </c>
      <c r="E1342" s="31">
        <f t="shared" si="243"/>
        <v>0</v>
      </c>
      <c r="F1342" s="900">
        <v>0</v>
      </c>
      <c r="G1342" s="899">
        <f t="shared" si="244"/>
        <v>367476.11</v>
      </c>
      <c r="H1342" s="50">
        <v>0</v>
      </c>
      <c r="I1342" s="31">
        <f t="shared" si="245"/>
        <v>0</v>
      </c>
      <c r="J1342" s="50">
        <v>0</v>
      </c>
      <c r="K1342" s="31">
        <f t="shared" si="246"/>
        <v>958000</v>
      </c>
      <c r="L1342" s="50">
        <v>0</v>
      </c>
      <c r="M1342" s="31">
        <f t="shared" si="247"/>
        <v>0</v>
      </c>
      <c r="N1342" s="50">
        <v>0</v>
      </c>
      <c r="O1342" s="31">
        <f t="shared" si="248"/>
        <v>0</v>
      </c>
      <c r="P1342" s="51" t="s">
        <v>845</v>
      </c>
      <c r="Q1342" s="51"/>
    </row>
    <row r="1343" spans="1:17" x14ac:dyDescent="0.25">
      <c r="A1343" s="10">
        <v>44629</v>
      </c>
      <c r="B1343" s="594">
        <v>0</v>
      </c>
      <c r="C1343" s="31">
        <f t="shared" si="242"/>
        <v>152414095.47</v>
      </c>
      <c r="D1343" s="50">
        <v>0</v>
      </c>
      <c r="E1343" s="31">
        <f t="shared" si="243"/>
        <v>0</v>
      </c>
      <c r="F1343" s="900">
        <v>0</v>
      </c>
      <c r="G1343" s="899">
        <f t="shared" si="244"/>
        <v>367476.11</v>
      </c>
      <c r="H1343" s="50">
        <v>0</v>
      </c>
      <c r="I1343" s="31">
        <f t="shared" si="245"/>
        <v>0</v>
      </c>
      <c r="J1343" s="50">
        <v>1220000</v>
      </c>
      <c r="K1343" s="31">
        <f t="shared" si="246"/>
        <v>2178000</v>
      </c>
      <c r="L1343" s="50">
        <v>0</v>
      </c>
      <c r="M1343" s="31">
        <f t="shared" si="247"/>
        <v>0</v>
      </c>
      <c r="N1343" s="50">
        <v>0</v>
      </c>
      <c r="O1343" s="31">
        <f t="shared" si="248"/>
        <v>0</v>
      </c>
      <c r="P1343" s="51" t="s">
        <v>4990</v>
      </c>
      <c r="Q1343" s="51"/>
    </row>
    <row r="1344" spans="1:17" x14ac:dyDescent="0.25">
      <c r="A1344" s="10">
        <v>44629</v>
      </c>
      <c r="B1344" s="594">
        <v>0</v>
      </c>
      <c r="C1344" s="31">
        <f t="shared" si="242"/>
        <v>152414095.47</v>
      </c>
      <c r="D1344" s="50">
        <v>0</v>
      </c>
      <c r="E1344" s="31">
        <f t="shared" si="243"/>
        <v>0</v>
      </c>
      <c r="F1344" s="900">
        <v>0</v>
      </c>
      <c r="G1344" s="899">
        <f t="shared" si="244"/>
        <v>367476.11</v>
      </c>
      <c r="H1344" s="50">
        <v>0</v>
      </c>
      <c r="I1344" s="31">
        <f t="shared" si="245"/>
        <v>0</v>
      </c>
      <c r="J1344" s="50">
        <v>-370000</v>
      </c>
      <c r="K1344" s="31">
        <f t="shared" si="246"/>
        <v>1808000</v>
      </c>
      <c r="L1344" s="50">
        <v>0</v>
      </c>
      <c r="M1344" s="31">
        <f t="shared" si="247"/>
        <v>0</v>
      </c>
      <c r="N1344" s="50">
        <v>0</v>
      </c>
      <c r="O1344" s="31">
        <f t="shared" si="248"/>
        <v>0</v>
      </c>
      <c r="P1344" s="51" t="s">
        <v>4991</v>
      </c>
      <c r="Q1344" s="51"/>
    </row>
    <row r="1345" spans="1:17" x14ac:dyDescent="0.25">
      <c r="A1345" s="10">
        <v>44630</v>
      </c>
      <c r="B1345" s="594">
        <v>0</v>
      </c>
      <c r="C1345" s="31">
        <f t="shared" si="242"/>
        <v>152414095.47</v>
      </c>
      <c r="D1345" s="50">
        <v>0</v>
      </c>
      <c r="E1345" s="31">
        <f t="shared" si="243"/>
        <v>0</v>
      </c>
      <c r="F1345" s="900">
        <v>0</v>
      </c>
      <c r="G1345" s="899">
        <f t="shared" si="244"/>
        <v>367476.11</v>
      </c>
      <c r="H1345" s="50">
        <v>0</v>
      </c>
      <c r="I1345" s="31">
        <f t="shared" si="245"/>
        <v>0</v>
      </c>
      <c r="J1345" s="50">
        <v>-350000</v>
      </c>
      <c r="K1345" s="31">
        <f t="shared" si="246"/>
        <v>1458000</v>
      </c>
      <c r="L1345" s="50">
        <v>0</v>
      </c>
      <c r="M1345" s="31">
        <f t="shared" si="247"/>
        <v>0</v>
      </c>
      <c r="N1345" s="50">
        <v>0</v>
      </c>
      <c r="O1345" s="31">
        <f t="shared" si="248"/>
        <v>0</v>
      </c>
      <c r="P1345" s="51" t="s">
        <v>4991</v>
      </c>
      <c r="Q1345" s="51"/>
    </row>
    <row r="1346" spans="1:17" x14ac:dyDescent="0.25">
      <c r="A1346" s="10">
        <v>44631</v>
      </c>
      <c r="B1346" s="594">
        <v>0</v>
      </c>
      <c r="C1346" s="31">
        <f t="shared" si="242"/>
        <v>152414095.47</v>
      </c>
      <c r="D1346" s="50">
        <v>0</v>
      </c>
      <c r="E1346" s="31">
        <f t="shared" si="243"/>
        <v>0</v>
      </c>
      <c r="F1346" s="900">
        <v>0</v>
      </c>
      <c r="G1346" s="899">
        <f t="shared" si="244"/>
        <v>367476.11</v>
      </c>
      <c r="H1346" s="50">
        <v>0</v>
      </c>
      <c r="I1346" s="31">
        <f t="shared" si="245"/>
        <v>0</v>
      </c>
      <c r="J1346" s="50">
        <v>-285000</v>
      </c>
      <c r="K1346" s="31">
        <f t="shared" si="246"/>
        <v>1173000</v>
      </c>
      <c r="L1346" s="50">
        <v>0</v>
      </c>
      <c r="M1346" s="31">
        <f t="shared" si="247"/>
        <v>0</v>
      </c>
      <c r="N1346" s="50">
        <v>0</v>
      </c>
      <c r="O1346" s="31">
        <f t="shared" si="248"/>
        <v>0</v>
      </c>
      <c r="P1346" s="51" t="s">
        <v>4992</v>
      </c>
      <c r="Q1346" s="51"/>
    </row>
    <row r="1347" spans="1:17" x14ac:dyDescent="0.25">
      <c r="A1347" s="10">
        <v>44631</v>
      </c>
      <c r="B1347" s="594">
        <v>0</v>
      </c>
      <c r="C1347" s="31">
        <f t="shared" si="242"/>
        <v>152414095.47</v>
      </c>
      <c r="D1347" s="50">
        <v>0</v>
      </c>
      <c r="E1347" s="31">
        <f t="shared" si="243"/>
        <v>0</v>
      </c>
      <c r="F1347" s="900">
        <v>0</v>
      </c>
      <c r="G1347" s="899">
        <f t="shared" si="244"/>
        <v>367476.11</v>
      </c>
      <c r="H1347" s="50">
        <v>0</v>
      </c>
      <c r="I1347" s="31">
        <f t="shared" si="245"/>
        <v>0</v>
      </c>
      <c r="J1347" s="50">
        <v>-530000</v>
      </c>
      <c r="K1347" s="31">
        <f t="shared" si="246"/>
        <v>643000</v>
      </c>
      <c r="L1347" s="50">
        <v>0</v>
      </c>
      <c r="M1347" s="31">
        <f t="shared" si="247"/>
        <v>0</v>
      </c>
      <c r="N1347" s="50">
        <v>0</v>
      </c>
      <c r="O1347" s="31">
        <f t="shared" si="248"/>
        <v>0</v>
      </c>
      <c r="P1347" s="51" t="s">
        <v>4991</v>
      </c>
      <c r="Q1347" s="51"/>
    </row>
    <row r="1348" spans="1:17" x14ac:dyDescent="0.25">
      <c r="A1348" s="10">
        <v>44634</v>
      </c>
      <c r="B1348" s="594">
        <v>600000</v>
      </c>
      <c r="C1348" s="31">
        <f t="shared" si="242"/>
        <v>153014095.47</v>
      </c>
      <c r="D1348" s="50">
        <v>-600000</v>
      </c>
      <c r="E1348" s="31">
        <f t="shared" si="243"/>
        <v>-600000</v>
      </c>
      <c r="F1348" s="900">
        <v>0</v>
      </c>
      <c r="G1348" s="899">
        <f t="shared" si="244"/>
        <v>367476.11</v>
      </c>
      <c r="H1348" s="50">
        <v>0</v>
      </c>
      <c r="I1348" s="31">
        <f t="shared" si="245"/>
        <v>0</v>
      </c>
      <c r="J1348" s="50">
        <v>0</v>
      </c>
      <c r="K1348" s="31">
        <f t="shared" si="246"/>
        <v>643000</v>
      </c>
      <c r="L1348" s="50">
        <v>0</v>
      </c>
      <c r="M1348" s="31">
        <f t="shared" si="247"/>
        <v>0</v>
      </c>
      <c r="N1348" s="50">
        <v>0</v>
      </c>
      <c r="O1348" s="31">
        <f t="shared" si="248"/>
        <v>0</v>
      </c>
      <c r="P1348" s="51" t="s">
        <v>2661</v>
      </c>
      <c r="Q1348" s="51"/>
    </row>
    <row r="1349" spans="1:17" x14ac:dyDescent="0.25">
      <c r="A1349" s="10">
        <v>44634</v>
      </c>
      <c r="B1349" s="594">
        <v>0</v>
      </c>
      <c r="C1349" s="31">
        <f t="shared" si="242"/>
        <v>153014095.47</v>
      </c>
      <c r="D1349" s="50">
        <v>0</v>
      </c>
      <c r="E1349" s="31">
        <f t="shared" si="243"/>
        <v>-600000</v>
      </c>
      <c r="F1349" s="900">
        <v>0</v>
      </c>
      <c r="G1349" s="899">
        <f t="shared" si="244"/>
        <v>367476.11</v>
      </c>
      <c r="H1349" s="50">
        <v>0</v>
      </c>
      <c r="I1349" s="31">
        <f t="shared" si="245"/>
        <v>0</v>
      </c>
      <c r="J1349" s="50">
        <v>0</v>
      </c>
      <c r="K1349" s="31">
        <f t="shared" si="246"/>
        <v>643000</v>
      </c>
      <c r="L1349" s="50">
        <v>0</v>
      </c>
      <c r="M1349" s="31">
        <f t="shared" si="247"/>
        <v>0</v>
      </c>
      <c r="N1349" s="50">
        <v>0</v>
      </c>
      <c r="O1349" s="31">
        <f t="shared" si="248"/>
        <v>0</v>
      </c>
      <c r="P1349" s="51" t="s">
        <v>3282</v>
      </c>
      <c r="Q1349" s="51"/>
    </row>
    <row r="1350" spans="1:17" x14ac:dyDescent="0.25">
      <c r="A1350" s="10">
        <v>44634</v>
      </c>
      <c r="B1350" s="594">
        <v>0</v>
      </c>
      <c r="C1350" s="31">
        <f t="shared" si="242"/>
        <v>153014095.47</v>
      </c>
      <c r="D1350" s="50">
        <v>0</v>
      </c>
      <c r="E1350" s="31">
        <f t="shared" si="243"/>
        <v>-600000</v>
      </c>
      <c r="F1350" s="900">
        <v>11868.52</v>
      </c>
      <c r="G1350" s="899">
        <f t="shared" si="244"/>
        <v>379344.63</v>
      </c>
      <c r="H1350" s="50">
        <v>0</v>
      </c>
      <c r="I1350" s="31">
        <f t="shared" si="245"/>
        <v>0</v>
      </c>
      <c r="J1350" s="50">
        <v>0</v>
      </c>
      <c r="K1350" s="31">
        <f t="shared" si="246"/>
        <v>643000</v>
      </c>
      <c r="L1350" s="50">
        <v>0</v>
      </c>
      <c r="M1350" s="31">
        <f t="shared" si="247"/>
        <v>0</v>
      </c>
      <c r="N1350" s="50">
        <v>0</v>
      </c>
      <c r="O1350" s="31">
        <f t="shared" si="248"/>
        <v>0</v>
      </c>
      <c r="P1350" s="51" t="s">
        <v>4993</v>
      </c>
      <c r="Q1350" s="51"/>
    </row>
    <row r="1351" spans="1:17" x14ac:dyDescent="0.25">
      <c r="A1351" s="10">
        <v>44634</v>
      </c>
      <c r="B1351" s="594">
        <v>0</v>
      </c>
      <c r="C1351" s="31">
        <f t="shared" si="242"/>
        <v>153014095.47</v>
      </c>
      <c r="D1351" s="50">
        <v>0</v>
      </c>
      <c r="E1351" s="31">
        <f t="shared" si="243"/>
        <v>-600000</v>
      </c>
      <c r="F1351" s="900">
        <v>206185.04</v>
      </c>
      <c r="G1351" s="899">
        <f t="shared" si="244"/>
        <v>585529.67000000004</v>
      </c>
      <c r="H1351" s="50">
        <v>0</v>
      </c>
      <c r="I1351" s="31">
        <f t="shared" si="245"/>
        <v>0</v>
      </c>
      <c r="J1351" s="50">
        <v>0</v>
      </c>
      <c r="K1351" s="31">
        <f t="shared" si="246"/>
        <v>643000</v>
      </c>
      <c r="L1351" s="50">
        <v>0</v>
      </c>
      <c r="M1351" s="31">
        <f t="shared" si="247"/>
        <v>0</v>
      </c>
      <c r="N1351" s="50">
        <v>0</v>
      </c>
      <c r="O1351" s="31">
        <f t="shared" si="248"/>
        <v>0</v>
      </c>
      <c r="P1351" s="51" t="s">
        <v>4994</v>
      </c>
      <c r="Q1351" s="51"/>
    </row>
    <row r="1352" spans="1:17" x14ac:dyDescent="0.25">
      <c r="A1352" s="10">
        <v>44634</v>
      </c>
      <c r="B1352" s="594">
        <v>0</v>
      </c>
      <c r="C1352" s="31">
        <f t="shared" si="242"/>
        <v>153014095.47</v>
      </c>
      <c r="D1352" s="50">
        <f>-E1351</f>
        <v>600000</v>
      </c>
      <c r="E1352" s="31">
        <f t="shared" si="243"/>
        <v>0</v>
      </c>
      <c r="F1352" s="900">
        <v>0</v>
      </c>
      <c r="G1352" s="899">
        <f t="shared" si="244"/>
        <v>585529.67000000004</v>
      </c>
      <c r="H1352" s="50">
        <v>0</v>
      </c>
      <c r="I1352" s="31">
        <f t="shared" si="245"/>
        <v>0</v>
      </c>
      <c r="J1352" s="50">
        <v>0</v>
      </c>
      <c r="K1352" s="31">
        <f t="shared" si="246"/>
        <v>643000</v>
      </c>
      <c r="L1352" s="50">
        <v>0</v>
      </c>
      <c r="M1352" s="31">
        <f t="shared" si="247"/>
        <v>0</v>
      </c>
      <c r="N1352" s="50">
        <v>0</v>
      </c>
      <c r="O1352" s="31">
        <f t="shared" si="248"/>
        <v>0</v>
      </c>
      <c r="P1352" s="51" t="s">
        <v>845</v>
      </c>
      <c r="Q1352" s="51"/>
    </row>
    <row r="1353" spans="1:17" x14ac:dyDescent="0.25">
      <c r="A1353" s="10">
        <v>44635</v>
      </c>
      <c r="B1353" s="594">
        <v>0</v>
      </c>
      <c r="C1353" s="31">
        <f t="shared" si="242"/>
        <v>153014095.47</v>
      </c>
      <c r="D1353" s="50">
        <v>600000</v>
      </c>
      <c r="E1353" s="31">
        <f t="shared" si="243"/>
        <v>600000</v>
      </c>
      <c r="F1353" s="900">
        <v>0</v>
      </c>
      <c r="G1353" s="899">
        <f t="shared" si="244"/>
        <v>585529.67000000004</v>
      </c>
      <c r="H1353" s="50">
        <v>0</v>
      </c>
      <c r="I1353" s="31">
        <f t="shared" si="245"/>
        <v>0</v>
      </c>
      <c r="J1353" s="50">
        <v>0</v>
      </c>
      <c r="K1353" s="31">
        <f t="shared" si="246"/>
        <v>643000</v>
      </c>
      <c r="L1353" s="50">
        <v>0</v>
      </c>
      <c r="M1353" s="31">
        <f t="shared" si="247"/>
        <v>0</v>
      </c>
      <c r="N1353" s="50">
        <v>0</v>
      </c>
      <c r="O1353" s="31">
        <f t="shared" si="248"/>
        <v>0</v>
      </c>
      <c r="P1353" s="51" t="s">
        <v>5013</v>
      </c>
      <c r="Q1353" s="51"/>
    </row>
    <row r="1354" spans="1:17" x14ac:dyDescent="0.25">
      <c r="A1354" s="10">
        <v>44635</v>
      </c>
      <c r="B1354" s="594">
        <v>5000000</v>
      </c>
      <c r="C1354" s="31">
        <f t="shared" si="242"/>
        <v>158014095.47</v>
      </c>
      <c r="D1354" s="50">
        <f>-B1354</f>
        <v>-5000000</v>
      </c>
      <c r="E1354" s="31">
        <f t="shared" si="243"/>
        <v>-4400000</v>
      </c>
      <c r="F1354" s="900">
        <v>0</v>
      </c>
      <c r="G1354" s="899">
        <f t="shared" si="244"/>
        <v>585529.67000000004</v>
      </c>
      <c r="H1354" s="50">
        <v>0</v>
      </c>
      <c r="I1354" s="31">
        <f t="shared" si="245"/>
        <v>0</v>
      </c>
      <c r="J1354" s="50">
        <v>0</v>
      </c>
      <c r="K1354" s="31">
        <f t="shared" si="246"/>
        <v>643000</v>
      </c>
      <c r="L1354" s="50">
        <v>0</v>
      </c>
      <c r="M1354" s="31">
        <f t="shared" si="247"/>
        <v>0</v>
      </c>
      <c r="N1354" s="50">
        <v>0</v>
      </c>
      <c r="O1354" s="31">
        <f t="shared" si="248"/>
        <v>0</v>
      </c>
      <c r="P1354" s="51" t="s">
        <v>831</v>
      </c>
      <c r="Q1354" s="51"/>
    </row>
    <row r="1355" spans="1:17" x14ac:dyDescent="0.25">
      <c r="A1355" s="10">
        <v>44635</v>
      </c>
      <c r="B1355" s="594">
        <v>200000</v>
      </c>
      <c r="C1355" s="31">
        <f t="shared" si="242"/>
        <v>158214095.47</v>
      </c>
      <c r="D1355" s="50">
        <f>-B1355</f>
        <v>-200000</v>
      </c>
      <c r="E1355" s="31">
        <f t="shared" si="243"/>
        <v>-4600000</v>
      </c>
      <c r="F1355" s="900">
        <v>0</v>
      </c>
      <c r="G1355" s="899">
        <f t="shared" si="244"/>
        <v>585529.67000000004</v>
      </c>
      <c r="H1355" s="50">
        <v>0</v>
      </c>
      <c r="I1355" s="31">
        <f t="shared" si="245"/>
        <v>0</v>
      </c>
      <c r="J1355" s="50">
        <v>0</v>
      </c>
      <c r="K1355" s="31">
        <f t="shared" si="246"/>
        <v>643000</v>
      </c>
      <c r="L1355" s="50">
        <v>0</v>
      </c>
      <c r="M1355" s="31">
        <f t="shared" si="247"/>
        <v>0</v>
      </c>
      <c r="N1355" s="50">
        <v>0</v>
      </c>
      <c r="O1355" s="31">
        <f t="shared" si="248"/>
        <v>0</v>
      </c>
      <c r="P1355" s="51" t="s">
        <v>4623</v>
      </c>
      <c r="Q1355" s="51"/>
    </row>
    <row r="1356" spans="1:17" x14ac:dyDescent="0.25">
      <c r="A1356" s="10">
        <v>44635</v>
      </c>
      <c r="B1356" s="594">
        <v>500000</v>
      </c>
      <c r="C1356" s="31">
        <f t="shared" si="242"/>
        <v>158714095.47</v>
      </c>
      <c r="D1356" s="50">
        <f>-B1356</f>
        <v>-500000</v>
      </c>
      <c r="E1356" s="31">
        <f t="shared" si="243"/>
        <v>-5100000</v>
      </c>
      <c r="F1356" s="900">
        <v>0</v>
      </c>
      <c r="G1356" s="899">
        <f t="shared" si="244"/>
        <v>585529.67000000004</v>
      </c>
      <c r="H1356" s="50">
        <v>0</v>
      </c>
      <c r="I1356" s="31">
        <f t="shared" si="245"/>
        <v>0</v>
      </c>
      <c r="J1356" s="50">
        <v>0</v>
      </c>
      <c r="K1356" s="31">
        <f t="shared" si="246"/>
        <v>643000</v>
      </c>
      <c r="L1356" s="50">
        <v>0</v>
      </c>
      <c r="M1356" s="31">
        <f t="shared" si="247"/>
        <v>0</v>
      </c>
      <c r="N1356" s="50">
        <v>0</v>
      </c>
      <c r="O1356" s="31">
        <f t="shared" si="248"/>
        <v>0</v>
      </c>
      <c r="P1356" s="51" t="s">
        <v>2980</v>
      </c>
      <c r="Q1356" s="51"/>
    </row>
    <row r="1357" spans="1:17" x14ac:dyDescent="0.25">
      <c r="A1357" s="10">
        <v>44635</v>
      </c>
      <c r="B1357" s="594">
        <v>500000</v>
      </c>
      <c r="C1357" s="31">
        <f t="shared" si="242"/>
        <v>159214095.47</v>
      </c>
      <c r="D1357" s="50">
        <f>-B1357</f>
        <v>-500000</v>
      </c>
      <c r="E1357" s="31">
        <f t="shared" si="243"/>
        <v>-5600000</v>
      </c>
      <c r="F1357" s="900">
        <v>0</v>
      </c>
      <c r="G1357" s="899">
        <f t="shared" si="244"/>
        <v>585529.67000000004</v>
      </c>
      <c r="H1357" s="50">
        <v>0</v>
      </c>
      <c r="I1357" s="31">
        <f t="shared" si="245"/>
        <v>0</v>
      </c>
      <c r="J1357" s="50">
        <v>0</v>
      </c>
      <c r="K1357" s="31">
        <f t="shared" si="246"/>
        <v>643000</v>
      </c>
      <c r="L1357" s="50">
        <v>0</v>
      </c>
      <c r="M1357" s="31">
        <f t="shared" si="247"/>
        <v>0</v>
      </c>
      <c r="N1357" s="50">
        <v>0</v>
      </c>
      <c r="O1357" s="31">
        <f t="shared" si="248"/>
        <v>0</v>
      </c>
      <c r="P1357" s="51" t="s">
        <v>2980</v>
      </c>
      <c r="Q1357" s="51"/>
    </row>
    <row r="1358" spans="1:17" x14ac:dyDescent="0.25">
      <c r="A1358" s="10">
        <v>44635</v>
      </c>
      <c r="B1358" s="594">
        <v>500000</v>
      </c>
      <c r="C1358" s="31">
        <f t="shared" si="242"/>
        <v>159714095.47</v>
      </c>
      <c r="D1358" s="50">
        <f>-B1358</f>
        <v>-500000</v>
      </c>
      <c r="E1358" s="31">
        <f t="shared" si="243"/>
        <v>-6100000</v>
      </c>
      <c r="F1358" s="900">
        <v>0</v>
      </c>
      <c r="G1358" s="899">
        <f t="shared" si="244"/>
        <v>585529.67000000004</v>
      </c>
      <c r="H1358" s="50">
        <v>0</v>
      </c>
      <c r="I1358" s="31">
        <f t="shared" si="245"/>
        <v>0</v>
      </c>
      <c r="J1358" s="50">
        <v>0</v>
      </c>
      <c r="K1358" s="31">
        <f t="shared" si="246"/>
        <v>643000</v>
      </c>
      <c r="L1358" s="50">
        <v>0</v>
      </c>
      <c r="M1358" s="31">
        <f t="shared" si="247"/>
        <v>0</v>
      </c>
      <c r="N1358" s="50">
        <v>0</v>
      </c>
      <c r="O1358" s="31">
        <f t="shared" si="248"/>
        <v>0</v>
      </c>
      <c r="P1358" s="51" t="s">
        <v>880</v>
      </c>
      <c r="Q1358" s="51"/>
    </row>
    <row r="1359" spans="1:17" x14ac:dyDescent="0.25">
      <c r="A1359" s="10">
        <v>44635</v>
      </c>
      <c r="B1359" s="594">
        <v>0</v>
      </c>
      <c r="C1359" s="31">
        <f t="shared" si="242"/>
        <v>159714095.47</v>
      </c>
      <c r="D1359" s="50">
        <v>7000000</v>
      </c>
      <c r="E1359" s="31">
        <f t="shared" si="243"/>
        <v>900000</v>
      </c>
      <c r="F1359" s="900">
        <v>0</v>
      </c>
      <c r="G1359" s="899">
        <f t="shared" si="244"/>
        <v>585529.67000000004</v>
      </c>
      <c r="H1359" s="50">
        <v>0</v>
      </c>
      <c r="I1359" s="31">
        <f t="shared" si="245"/>
        <v>0</v>
      </c>
      <c r="J1359" s="50">
        <v>0</v>
      </c>
      <c r="K1359" s="31">
        <f t="shared" si="246"/>
        <v>643000</v>
      </c>
      <c r="L1359" s="50">
        <v>0</v>
      </c>
      <c r="M1359" s="31">
        <f t="shared" si="247"/>
        <v>0</v>
      </c>
      <c r="N1359" s="50">
        <v>0</v>
      </c>
      <c r="O1359" s="31">
        <f t="shared" si="248"/>
        <v>0</v>
      </c>
      <c r="P1359" s="51" t="s">
        <v>3282</v>
      </c>
      <c r="Q1359" s="51"/>
    </row>
    <row r="1360" spans="1:17" x14ac:dyDescent="0.25">
      <c r="A1360" s="10">
        <v>44635</v>
      </c>
      <c r="B1360" s="594">
        <v>0</v>
      </c>
      <c r="C1360" s="31">
        <f t="shared" si="242"/>
        <v>159714095.47</v>
      </c>
      <c r="D1360" s="50">
        <v>0</v>
      </c>
      <c r="E1360" s="31">
        <f t="shared" si="243"/>
        <v>900000</v>
      </c>
      <c r="F1360" s="900">
        <v>0</v>
      </c>
      <c r="G1360" s="899">
        <f t="shared" si="244"/>
        <v>585529.67000000004</v>
      </c>
      <c r="H1360" s="50">
        <v>0</v>
      </c>
      <c r="I1360" s="31">
        <f t="shared" si="245"/>
        <v>0</v>
      </c>
      <c r="J1360" s="50">
        <v>-73000</v>
      </c>
      <c r="K1360" s="31">
        <f t="shared" si="246"/>
        <v>570000</v>
      </c>
      <c r="L1360" s="50">
        <v>0</v>
      </c>
      <c r="M1360" s="31">
        <f t="shared" si="247"/>
        <v>0</v>
      </c>
      <c r="N1360" s="50">
        <v>0</v>
      </c>
      <c r="O1360" s="31">
        <f t="shared" si="248"/>
        <v>0</v>
      </c>
      <c r="P1360" s="51" t="s">
        <v>3286</v>
      </c>
      <c r="Q1360" s="51"/>
    </row>
    <row r="1361" spans="1:17" x14ac:dyDescent="0.25">
      <c r="A1361" s="10">
        <v>44635</v>
      </c>
      <c r="B1361" s="594">
        <v>0</v>
      </c>
      <c r="C1361" s="31">
        <f t="shared" si="242"/>
        <v>159714095.47</v>
      </c>
      <c r="D1361" s="50">
        <v>0</v>
      </c>
      <c r="E1361" s="31">
        <f t="shared" si="243"/>
        <v>900000</v>
      </c>
      <c r="F1361" s="900">
        <v>0</v>
      </c>
      <c r="G1361" s="899">
        <f t="shared" si="244"/>
        <v>585529.67000000004</v>
      </c>
      <c r="H1361" s="50">
        <v>-7000</v>
      </c>
      <c r="I1361" s="31">
        <f t="shared" si="245"/>
        <v>-7000</v>
      </c>
      <c r="J1361" s="50">
        <v>0</v>
      </c>
      <c r="K1361" s="31">
        <f t="shared" si="246"/>
        <v>570000</v>
      </c>
      <c r="L1361" s="50">
        <v>0</v>
      </c>
      <c r="M1361" s="31">
        <f t="shared" si="247"/>
        <v>0</v>
      </c>
      <c r="N1361" s="50">
        <v>0</v>
      </c>
      <c r="O1361" s="31">
        <f t="shared" si="248"/>
        <v>0</v>
      </c>
      <c r="P1361" s="51" t="s">
        <v>5021</v>
      </c>
      <c r="Q1361" s="51"/>
    </row>
    <row r="1362" spans="1:17" x14ac:dyDescent="0.25">
      <c r="A1362" s="10">
        <v>44635</v>
      </c>
      <c r="B1362" s="594">
        <v>0</v>
      </c>
      <c r="C1362" s="31">
        <f t="shared" si="242"/>
        <v>159714095.47</v>
      </c>
      <c r="D1362" s="50">
        <v>-151238.78</v>
      </c>
      <c r="E1362" s="31">
        <f t="shared" si="243"/>
        <v>748761.22</v>
      </c>
      <c r="F1362" s="900">
        <v>0</v>
      </c>
      <c r="G1362" s="899">
        <f t="shared" si="244"/>
        <v>585529.67000000004</v>
      </c>
      <c r="H1362" s="50">
        <v>0</v>
      </c>
      <c r="I1362" s="31">
        <f t="shared" si="245"/>
        <v>-7000</v>
      </c>
      <c r="J1362" s="50">
        <v>0</v>
      </c>
      <c r="K1362" s="31">
        <f t="shared" si="246"/>
        <v>570000</v>
      </c>
      <c r="L1362" s="50">
        <v>151238.78</v>
      </c>
      <c r="M1362" s="31">
        <f t="shared" si="247"/>
        <v>151238.78</v>
      </c>
      <c r="N1362" s="50">
        <v>0</v>
      </c>
      <c r="O1362" s="31">
        <f t="shared" si="248"/>
        <v>0</v>
      </c>
      <c r="P1362" s="51" t="s">
        <v>5023</v>
      </c>
      <c r="Q1362" s="51"/>
    </row>
    <row r="1363" spans="1:17" x14ac:dyDescent="0.25">
      <c r="A1363" s="10">
        <v>44635</v>
      </c>
      <c r="B1363" s="594">
        <v>0</v>
      </c>
      <c r="C1363" s="31">
        <f t="shared" si="242"/>
        <v>159714095.47</v>
      </c>
      <c r="D1363" s="50">
        <v>-16770.669999999998</v>
      </c>
      <c r="E1363" s="31">
        <f t="shared" si="243"/>
        <v>731990.55</v>
      </c>
      <c r="F1363" s="900">
        <v>0</v>
      </c>
      <c r="G1363" s="899">
        <f t="shared" si="244"/>
        <v>585529.67000000004</v>
      </c>
      <c r="H1363" s="50">
        <v>0</v>
      </c>
      <c r="I1363" s="31">
        <f t="shared" si="245"/>
        <v>-7000</v>
      </c>
      <c r="J1363" s="50">
        <v>0</v>
      </c>
      <c r="K1363" s="31">
        <f t="shared" si="246"/>
        <v>570000</v>
      </c>
      <c r="L1363" s="50">
        <v>0</v>
      </c>
      <c r="M1363" s="31">
        <f t="shared" si="247"/>
        <v>151238.78</v>
      </c>
      <c r="N1363" s="50">
        <v>0</v>
      </c>
      <c r="O1363" s="31">
        <f t="shared" si="248"/>
        <v>0</v>
      </c>
      <c r="P1363" s="51" t="s">
        <v>5024</v>
      </c>
      <c r="Q1363" s="51"/>
    </row>
    <row r="1364" spans="1:17" x14ac:dyDescent="0.25">
      <c r="A1364" s="10">
        <v>44635</v>
      </c>
      <c r="B1364" s="594">
        <v>0</v>
      </c>
      <c r="C1364" s="31">
        <f t="shared" si="242"/>
        <v>159714095.47</v>
      </c>
      <c r="D1364" s="50">
        <v>0</v>
      </c>
      <c r="E1364" s="31">
        <f t="shared" si="243"/>
        <v>731990.55</v>
      </c>
      <c r="F1364" s="900">
        <v>0</v>
      </c>
      <c r="G1364" s="899">
        <f t="shared" si="244"/>
        <v>585529.67000000004</v>
      </c>
      <c r="H1364" s="50">
        <v>0</v>
      </c>
      <c r="I1364" s="31">
        <f t="shared" si="245"/>
        <v>-7000</v>
      </c>
      <c r="J1364" s="50">
        <v>0</v>
      </c>
      <c r="K1364" s="31">
        <f t="shared" si="246"/>
        <v>570000</v>
      </c>
      <c r="L1364" s="50">
        <v>-151238.78</v>
      </c>
      <c r="M1364" s="31">
        <f t="shared" si="247"/>
        <v>0</v>
      </c>
      <c r="N1364" s="50">
        <v>0</v>
      </c>
      <c r="O1364" s="31">
        <f t="shared" si="248"/>
        <v>0</v>
      </c>
      <c r="P1364" s="51" t="s">
        <v>1591</v>
      </c>
      <c r="Q1364" s="51"/>
    </row>
    <row r="1365" spans="1:17" x14ac:dyDescent="0.25">
      <c r="A1365" s="10">
        <v>44635</v>
      </c>
      <c r="B1365" s="594">
        <v>0</v>
      </c>
      <c r="C1365" s="31">
        <f t="shared" si="242"/>
        <v>159714095.47</v>
      </c>
      <c r="D1365" s="50">
        <f>-E1364</f>
        <v>-731990.55</v>
      </c>
      <c r="E1365" s="31">
        <f t="shared" si="243"/>
        <v>0</v>
      </c>
      <c r="F1365" s="900">
        <v>0</v>
      </c>
      <c r="G1365" s="899">
        <f t="shared" si="244"/>
        <v>585529.67000000004</v>
      </c>
      <c r="H1365" s="50">
        <f>-I1364</f>
        <v>7000</v>
      </c>
      <c r="I1365" s="31">
        <f t="shared" si="245"/>
        <v>0</v>
      </c>
      <c r="J1365" s="50">
        <v>0</v>
      </c>
      <c r="K1365" s="31">
        <f t="shared" si="246"/>
        <v>570000</v>
      </c>
      <c r="L1365" s="50">
        <v>0</v>
      </c>
      <c r="M1365" s="31">
        <f t="shared" si="247"/>
        <v>0</v>
      </c>
      <c r="N1365" s="50">
        <v>0</v>
      </c>
      <c r="O1365" s="31">
        <f t="shared" si="248"/>
        <v>0</v>
      </c>
      <c r="P1365" s="51" t="s">
        <v>845</v>
      </c>
      <c r="Q1365" s="51"/>
    </row>
    <row r="1366" spans="1:17" x14ac:dyDescent="0.25">
      <c r="A1366" s="10">
        <v>44635</v>
      </c>
      <c r="B1366" s="594">
        <v>1100000</v>
      </c>
      <c r="C1366" s="31">
        <f t="shared" si="242"/>
        <v>160814095.47</v>
      </c>
      <c r="D1366" s="50">
        <v>0</v>
      </c>
      <c r="E1366" s="31">
        <f t="shared" si="243"/>
        <v>0</v>
      </c>
      <c r="F1366" s="900">
        <v>0</v>
      </c>
      <c r="G1366" s="899">
        <f t="shared" si="244"/>
        <v>585529.67000000004</v>
      </c>
      <c r="H1366" s="50">
        <v>0</v>
      </c>
      <c r="I1366" s="31">
        <f t="shared" si="245"/>
        <v>0</v>
      </c>
      <c r="J1366" s="50">
        <v>0</v>
      </c>
      <c r="K1366" s="31">
        <f t="shared" si="246"/>
        <v>570000</v>
      </c>
      <c r="L1366" s="50">
        <v>0</v>
      </c>
      <c r="M1366" s="31">
        <f t="shared" si="247"/>
        <v>0</v>
      </c>
      <c r="N1366" s="50">
        <v>0</v>
      </c>
      <c r="O1366" s="31">
        <f t="shared" si="248"/>
        <v>0</v>
      </c>
      <c r="P1366" s="51" t="s">
        <v>3420</v>
      </c>
      <c r="Q1366" s="51"/>
    </row>
    <row r="1367" spans="1:17" x14ac:dyDescent="0.25">
      <c r="A1367" s="10">
        <v>44635</v>
      </c>
      <c r="B1367" s="594">
        <v>-6.1430960595607758</v>
      </c>
      <c r="C1367" s="31">
        <f t="shared" si="242"/>
        <v>160814089.33000001</v>
      </c>
      <c r="D1367" s="50">
        <v>0</v>
      </c>
      <c r="E1367" s="31">
        <f t="shared" si="243"/>
        <v>0</v>
      </c>
      <c r="F1367" s="900">
        <v>0</v>
      </c>
      <c r="G1367" s="899">
        <f t="shared" si="244"/>
        <v>585529.67000000004</v>
      </c>
      <c r="H1367" s="50">
        <v>0</v>
      </c>
      <c r="I1367" s="31">
        <f t="shared" si="245"/>
        <v>0</v>
      </c>
      <c r="J1367" s="50">
        <v>0</v>
      </c>
      <c r="K1367" s="31">
        <f t="shared" si="246"/>
        <v>570000</v>
      </c>
      <c r="L1367" s="50">
        <v>0</v>
      </c>
      <c r="M1367" s="31">
        <f t="shared" si="247"/>
        <v>0</v>
      </c>
      <c r="N1367" s="50">
        <v>0</v>
      </c>
      <c r="O1367" s="31">
        <f t="shared" si="248"/>
        <v>0</v>
      </c>
      <c r="P1367" s="51" t="s">
        <v>831</v>
      </c>
      <c r="Q1367" s="51" t="s">
        <v>5025</v>
      </c>
    </row>
    <row r="1368" spans="1:17" x14ac:dyDescent="0.25">
      <c r="A1368" s="10">
        <v>44635</v>
      </c>
      <c r="B1368" s="594">
        <v>-2272456.5580777396</v>
      </c>
      <c r="C1368" s="31">
        <f t="shared" si="242"/>
        <v>158541632.77000001</v>
      </c>
      <c r="D1368" s="50">
        <v>0</v>
      </c>
      <c r="E1368" s="31">
        <f t="shared" si="243"/>
        <v>0</v>
      </c>
      <c r="F1368" s="900">
        <v>0</v>
      </c>
      <c r="G1368" s="899">
        <f t="shared" si="244"/>
        <v>585529.67000000004</v>
      </c>
      <c r="H1368" s="50">
        <v>0</v>
      </c>
      <c r="I1368" s="31">
        <f t="shared" si="245"/>
        <v>0</v>
      </c>
      <c r="J1368" s="50">
        <v>0</v>
      </c>
      <c r="K1368" s="31">
        <f t="shared" si="246"/>
        <v>570000</v>
      </c>
      <c r="L1368" s="50">
        <v>0</v>
      </c>
      <c r="M1368" s="31">
        <f t="shared" si="247"/>
        <v>0</v>
      </c>
      <c r="N1368" s="50">
        <v>0</v>
      </c>
      <c r="O1368" s="31">
        <f t="shared" si="248"/>
        <v>0</v>
      </c>
      <c r="P1368" s="51" t="s">
        <v>880</v>
      </c>
      <c r="Q1368" s="51"/>
    </row>
    <row r="1369" spans="1:17" x14ac:dyDescent="0.25">
      <c r="A1369" s="10">
        <v>44635</v>
      </c>
      <c r="B1369" s="594">
        <v>-2371756</v>
      </c>
      <c r="C1369" s="31">
        <f t="shared" si="242"/>
        <v>156169876.77000001</v>
      </c>
      <c r="D1369" s="50">
        <v>0</v>
      </c>
      <c r="E1369" s="31">
        <f t="shared" si="243"/>
        <v>0</v>
      </c>
      <c r="F1369" s="900">
        <v>0</v>
      </c>
      <c r="G1369" s="899">
        <f t="shared" si="244"/>
        <v>585529.67000000004</v>
      </c>
      <c r="H1369" s="50">
        <v>0</v>
      </c>
      <c r="I1369" s="31">
        <f t="shared" si="245"/>
        <v>0</v>
      </c>
      <c r="J1369" s="50">
        <v>0</v>
      </c>
      <c r="K1369" s="31">
        <f t="shared" si="246"/>
        <v>570000</v>
      </c>
      <c r="L1369" s="50">
        <v>0</v>
      </c>
      <c r="M1369" s="31">
        <f t="shared" si="247"/>
        <v>0</v>
      </c>
      <c r="N1369" s="50">
        <v>0</v>
      </c>
      <c r="O1369" s="31">
        <f t="shared" si="248"/>
        <v>0</v>
      </c>
      <c r="P1369" s="51" t="s">
        <v>1697</v>
      </c>
      <c r="Q1369" s="51"/>
    </row>
    <row r="1370" spans="1:17" x14ac:dyDescent="0.25">
      <c r="A1370" s="10">
        <v>44635</v>
      </c>
      <c r="B1370" s="594">
        <v>-1165558.7600000016</v>
      </c>
      <c r="C1370" s="31">
        <f t="shared" si="242"/>
        <v>155004318.00999999</v>
      </c>
      <c r="D1370" s="50">
        <v>0</v>
      </c>
      <c r="E1370" s="31">
        <f t="shared" si="243"/>
        <v>0</v>
      </c>
      <c r="F1370" s="900">
        <v>0</v>
      </c>
      <c r="G1370" s="899">
        <f t="shared" si="244"/>
        <v>585529.67000000004</v>
      </c>
      <c r="H1370" s="50">
        <v>0</v>
      </c>
      <c r="I1370" s="31">
        <f t="shared" si="245"/>
        <v>0</v>
      </c>
      <c r="J1370" s="50">
        <v>0</v>
      </c>
      <c r="K1370" s="31">
        <f t="shared" si="246"/>
        <v>570000</v>
      </c>
      <c r="L1370" s="50">
        <v>0</v>
      </c>
      <c r="M1370" s="31">
        <f t="shared" si="247"/>
        <v>0</v>
      </c>
      <c r="N1370" s="50">
        <v>0</v>
      </c>
      <c r="O1370" s="31">
        <f t="shared" si="248"/>
        <v>0</v>
      </c>
      <c r="P1370" s="51" t="s">
        <v>2980</v>
      </c>
      <c r="Q1370" s="51"/>
    </row>
    <row r="1371" spans="1:17" x14ac:dyDescent="0.25">
      <c r="A1371" s="10">
        <v>44635</v>
      </c>
      <c r="B1371" s="594">
        <v>-525305.1099999994</v>
      </c>
      <c r="C1371" s="31">
        <f t="shared" si="242"/>
        <v>154479012.90000001</v>
      </c>
      <c r="D1371" s="50">
        <v>0</v>
      </c>
      <c r="E1371" s="31">
        <f t="shared" si="243"/>
        <v>0</v>
      </c>
      <c r="F1371" s="900">
        <v>0</v>
      </c>
      <c r="G1371" s="899">
        <f t="shared" si="244"/>
        <v>585529.67000000004</v>
      </c>
      <c r="H1371" s="50">
        <v>0</v>
      </c>
      <c r="I1371" s="31">
        <f t="shared" si="245"/>
        <v>0</v>
      </c>
      <c r="J1371" s="50">
        <v>0</v>
      </c>
      <c r="K1371" s="31">
        <f t="shared" si="246"/>
        <v>570000</v>
      </c>
      <c r="L1371" s="50">
        <v>0</v>
      </c>
      <c r="M1371" s="31">
        <f t="shared" si="247"/>
        <v>0</v>
      </c>
      <c r="N1371" s="50">
        <v>0</v>
      </c>
      <c r="O1371" s="31">
        <f t="shared" si="248"/>
        <v>0</v>
      </c>
      <c r="P1371" s="51" t="s">
        <v>3420</v>
      </c>
      <c r="Q1371" s="51"/>
    </row>
    <row r="1372" spans="1:17" x14ac:dyDescent="0.25">
      <c r="A1372" s="10">
        <v>44636</v>
      </c>
      <c r="B1372" s="594">
        <v>0</v>
      </c>
      <c r="C1372" s="31">
        <f t="shared" si="242"/>
        <v>154479012.90000001</v>
      </c>
      <c r="D1372" s="50">
        <v>-203933.67</v>
      </c>
      <c r="E1372" s="31">
        <f t="shared" si="243"/>
        <v>-203933.67</v>
      </c>
      <c r="F1372" s="900">
        <v>0</v>
      </c>
      <c r="G1372" s="899">
        <f t="shared" si="244"/>
        <v>585529.67000000004</v>
      </c>
      <c r="H1372" s="50">
        <v>0</v>
      </c>
      <c r="I1372" s="31">
        <f t="shared" si="245"/>
        <v>0</v>
      </c>
      <c r="J1372" s="50">
        <v>0</v>
      </c>
      <c r="K1372" s="31">
        <f t="shared" si="246"/>
        <v>570000</v>
      </c>
      <c r="L1372" s="50">
        <v>0</v>
      </c>
      <c r="M1372" s="31">
        <f t="shared" si="247"/>
        <v>0</v>
      </c>
      <c r="N1372" s="50">
        <v>0</v>
      </c>
      <c r="O1372" s="31">
        <f t="shared" si="248"/>
        <v>0</v>
      </c>
      <c r="P1372" s="51" t="s">
        <v>5026</v>
      </c>
      <c r="Q1372" s="51"/>
    </row>
    <row r="1373" spans="1:17" x14ac:dyDescent="0.25">
      <c r="A1373" s="10">
        <v>44636</v>
      </c>
      <c r="B1373" s="594">
        <v>0</v>
      </c>
      <c r="C1373" s="31">
        <f t="shared" ref="C1373:C1436" si="249">ROUND(B1373+C1372,2)</f>
        <v>154479012.90000001</v>
      </c>
      <c r="D1373" s="50">
        <v>0</v>
      </c>
      <c r="E1373" s="31">
        <f t="shared" ref="E1373:E1436" si="250">ROUND(D1373+E1372,2)</f>
        <v>-203933.67</v>
      </c>
      <c r="F1373" s="900">
        <v>0</v>
      </c>
      <c r="G1373" s="899">
        <f t="shared" ref="G1373:G1436" si="251">ROUND(F1373+G1372,2)</f>
        <v>585529.67000000004</v>
      </c>
      <c r="H1373" s="50">
        <v>0</v>
      </c>
      <c r="I1373" s="31">
        <f t="shared" ref="I1373:I1436" si="252">ROUND(H1373+I1372,2)</f>
        <v>0</v>
      </c>
      <c r="J1373" s="50">
        <v>0</v>
      </c>
      <c r="K1373" s="31">
        <f t="shared" ref="K1373:K1436" si="253">ROUND(J1373+K1372,2)</f>
        <v>570000</v>
      </c>
      <c r="L1373" s="50">
        <v>0</v>
      </c>
      <c r="M1373" s="31">
        <f t="shared" ref="M1373:M1436" si="254">ROUND(L1373+M1372,2)</f>
        <v>0</v>
      </c>
      <c r="N1373" s="50">
        <v>0</v>
      </c>
      <c r="O1373" s="31">
        <f t="shared" ref="O1373:O1436" si="255">ROUND(N1373+O1372,2)</f>
        <v>0</v>
      </c>
      <c r="P1373" s="51" t="s">
        <v>5022</v>
      </c>
      <c r="Q1373" s="51"/>
    </row>
    <row r="1374" spans="1:17" x14ac:dyDescent="0.25">
      <c r="A1374" s="10">
        <v>44636</v>
      </c>
      <c r="B1374" s="594">
        <v>0</v>
      </c>
      <c r="C1374" s="31">
        <f t="shared" si="249"/>
        <v>154479012.90000001</v>
      </c>
      <c r="D1374" s="50">
        <v>16770.669999999998</v>
      </c>
      <c r="E1374" s="31">
        <f t="shared" si="250"/>
        <v>-187163</v>
      </c>
      <c r="F1374" s="900">
        <v>0</v>
      </c>
      <c r="G1374" s="899">
        <f t="shared" si="251"/>
        <v>585529.67000000004</v>
      </c>
      <c r="H1374" s="50">
        <v>0</v>
      </c>
      <c r="I1374" s="31">
        <f t="shared" si="252"/>
        <v>0</v>
      </c>
      <c r="J1374" s="50">
        <v>0</v>
      </c>
      <c r="K1374" s="31">
        <f t="shared" si="253"/>
        <v>570000</v>
      </c>
      <c r="L1374" s="50">
        <v>0</v>
      </c>
      <c r="M1374" s="31">
        <f t="shared" si="254"/>
        <v>0</v>
      </c>
      <c r="N1374" s="50">
        <v>0</v>
      </c>
      <c r="O1374" s="31">
        <f t="shared" si="255"/>
        <v>0</v>
      </c>
      <c r="P1374" s="51" t="s">
        <v>5027</v>
      </c>
      <c r="Q1374" s="51"/>
    </row>
    <row r="1375" spans="1:17" x14ac:dyDescent="0.25">
      <c r="A1375" s="10">
        <v>44636</v>
      </c>
      <c r="B1375" s="594">
        <v>0</v>
      </c>
      <c r="C1375" s="31">
        <f t="shared" si="249"/>
        <v>154479012.90000001</v>
      </c>
      <c r="D1375" s="50">
        <v>-16770.669999999998</v>
      </c>
      <c r="E1375" s="31">
        <f t="shared" si="250"/>
        <v>-203933.67</v>
      </c>
      <c r="F1375" s="900">
        <v>0</v>
      </c>
      <c r="G1375" s="899">
        <f t="shared" si="251"/>
        <v>585529.67000000004</v>
      </c>
      <c r="H1375" s="50">
        <v>16770.669999999998</v>
      </c>
      <c r="I1375" s="31">
        <f t="shared" si="252"/>
        <v>16770.669999999998</v>
      </c>
      <c r="J1375" s="50">
        <v>0</v>
      </c>
      <c r="K1375" s="31">
        <f t="shared" si="253"/>
        <v>570000</v>
      </c>
      <c r="L1375" s="50">
        <v>0</v>
      </c>
      <c r="M1375" s="31">
        <f t="shared" si="254"/>
        <v>0</v>
      </c>
      <c r="N1375" s="50">
        <v>0</v>
      </c>
      <c r="O1375" s="31">
        <f t="shared" si="255"/>
        <v>0</v>
      </c>
      <c r="P1375" s="51" t="s">
        <v>5028</v>
      </c>
      <c r="Q1375" s="51"/>
    </row>
    <row r="1376" spans="1:17" x14ac:dyDescent="0.25">
      <c r="A1376" s="10">
        <v>44636</v>
      </c>
      <c r="B1376" s="594">
        <v>0</v>
      </c>
      <c r="C1376" s="31">
        <f t="shared" si="249"/>
        <v>154479012.90000001</v>
      </c>
      <c r="D1376" s="50">
        <v>846410.33</v>
      </c>
      <c r="E1376" s="31">
        <f t="shared" si="250"/>
        <v>642476.66</v>
      </c>
      <c r="F1376" s="900">
        <v>0</v>
      </c>
      <c r="G1376" s="899">
        <f t="shared" si="251"/>
        <v>585529.67000000004</v>
      </c>
      <c r="H1376" s="50">
        <v>0</v>
      </c>
      <c r="I1376" s="31">
        <f t="shared" si="252"/>
        <v>16770.669999999998</v>
      </c>
      <c r="J1376" s="50">
        <v>0</v>
      </c>
      <c r="K1376" s="31">
        <f t="shared" si="253"/>
        <v>570000</v>
      </c>
      <c r="L1376" s="50">
        <v>0</v>
      </c>
      <c r="M1376" s="31">
        <f t="shared" si="254"/>
        <v>0</v>
      </c>
      <c r="N1376" s="50">
        <v>0</v>
      </c>
      <c r="O1376" s="31">
        <f t="shared" si="255"/>
        <v>0</v>
      </c>
      <c r="P1376" s="51" t="s">
        <v>5029</v>
      </c>
      <c r="Q1376" s="51"/>
    </row>
    <row r="1377" spans="1:17" x14ac:dyDescent="0.25">
      <c r="A1377" s="10">
        <v>44636</v>
      </c>
      <c r="B1377" s="594">
        <v>0</v>
      </c>
      <c r="C1377" s="31">
        <f t="shared" si="249"/>
        <v>154479012.90000001</v>
      </c>
      <c r="D1377" s="50">
        <f>-E1376</f>
        <v>-642476.66</v>
      </c>
      <c r="E1377" s="31">
        <f t="shared" si="250"/>
        <v>0</v>
      </c>
      <c r="F1377" s="900">
        <v>0</v>
      </c>
      <c r="G1377" s="899">
        <f t="shared" si="251"/>
        <v>585529.67000000004</v>
      </c>
      <c r="H1377" s="50">
        <f>-I1376</f>
        <v>-16770.669999999998</v>
      </c>
      <c r="I1377" s="31">
        <f t="shared" si="252"/>
        <v>0</v>
      </c>
      <c r="J1377" s="50">
        <v>0</v>
      </c>
      <c r="K1377" s="31">
        <f t="shared" si="253"/>
        <v>570000</v>
      </c>
      <c r="L1377" s="50">
        <v>0</v>
      </c>
      <c r="M1377" s="31">
        <f t="shared" si="254"/>
        <v>0</v>
      </c>
      <c r="N1377" s="50">
        <v>0</v>
      </c>
      <c r="O1377" s="31">
        <f t="shared" si="255"/>
        <v>0</v>
      </c>
      <c r="P1377" s="51" t="s">
        <v>845</v>
      </c>
      <c r="Q1377" s="51"/>
    </row>
    <row r="1378" spans="1:17" x14ac:dyDescent="0.25">
      <c r="A1378" s="10">
        <v>44637</v>
      </c>
      <c r="B1378" s="594">
        <v>0</v>
      </c>
      <c r="C1378" s="31">
        <f t="shared" si="249"/>
        <v>154479012.90000001</v>
      </c>
      <c r="D1378" s="50">
        <v>-217835490.17999998</v>
      </c>
      <c r="E1378" s="31">
        <f t="shared" si="250"/>
        <v>-217835490.18000001</v>
      </c>
      <c r="F1378" s="900">
        <v>0</v>
      </c>
      <c r="G1378" s="899">
        <f t="shared" si="251"/>
        <v>585529.67000000004</v>
      </c>
      <c r="H1378" s="50">
        <v>0</v>
      </c>
      <c r="I1378" s="31">
        <f t="shared" si="252"/>
        <v>0</v>
      </c>
      <c r="J1378" s="50">
        <v>0</v>
      </c>
      <c r="K1378" s="31">
        <f t="shared" si="253"/>
        <v>570000</v>
      </c>
      <c r="L1378" s="50">
        <v>0</v>
      </c>
      <c r="M1378" s="31">
        <f t="shared" si="254"/>
        <v>0</v>
      </c>
      <c r="N1378" s="50">
        <v>0</v>
      </c>
      <c r="O1378" s="31">
        <f t="shared" si="255"/>
        <v>0</v>
      </c>
      <c r="P1378" s="51" t="s">
        <v>5030</v>
      </c>
      <c r="Q1378" s="51"/>
    </row>
    <row r="1379" spans="1:17" x14ac:dyDescent="0.25">
      <c r="A1379" s="10">
        <v>44637</v>
      </c>
      <c r="B1379" s="594">
        <v>0</v>
      </c>
      <c r="C1379" s="31">
        <f t="shared" si="249"/>
        <v>154479012.90000001</v>
      </c>
      <c r="D1379" s="50">
        <v>217500000</v>
      </c>
      <c r="E1379" s="31">
        <f t="shared" si="250"/>
        <v>-335490.18</v>
      </c>
      <c r="F1379" s="900">
        <v>0</v>
      </c>
      <c r="G1379" s="899">
        <f t="shared" si="251"/>
        <v>585529.67000000004</v>
      </c>
      <c r="H1379" s="50">
        <v>0</v>
      </c>
      <c r="I1379" s="31">
        <f t="shared" si="252"/>
        <v>0</v>
      </c>
      <c r="J1379" s="50">
        <v>0</v>
      </c>
      <c r="K1379" s="31">
        <f t="shared" si="253"/>
        <v>570000</v>
      </c>
      <c r="L1379" s="50">
        <v>0</v>
      </c>
      <c r="M1379" s="31">
        <f t="shared" si="254"/>
        <v>0</v>
      </c>
      <c r="N1379" s="50">
        <v>0</v>
      </c>
      <c r="O1379" s="31">
        <f t="shared" si="255"/>
        <v>0</v>
      </c>
      <c r="P1379" s="51" t="s">
        <v>5031</v>
      </c>
      <c r="Q1379" s="51"/>
    </row>
    <row r="1380" spans="1:17" x14ac:dyDescent="0.25">
      <c r="A1380" s="10">
        <v>44637</v>
      </c>
      <c r="B1380" s="594">
        <v>0</v>
      </c>
      <c r="C1380" s="31">
        <f t="shared" si="249"/>
        <v>154479012.90000001</v>
      </c>
      <c r="D1380" s="50">
        <v>0</v>
      </c>
      <c r="E1380" s="31">
        <f t="shared" si="250"/>
        <v>-335490.18</v>
      </c>
      <c r="F1380" s="900">
        <v>-97531.576666667315</v>
      </c>
      <c r="G1380" s="899">
        <f t="shared" si="251"/>
        <v>487998.09</v>
      </c>
      <c r="H1380" s="50">
        <v>0</v>
      </c>
      <c r="I1380" s="31">
        <f t="shared" si="252"/>
        <v>0</v>
      </c>
      <c r="J1380" s="50">
        <v>0</v>
      </c>
      <c r="K1380" s="31">
        <f t="shared" si="253"/>
        <v>570000</v>
      </c>
      <c r="L1380" s="50">
        <v>0</v>
      </c>
      <c r="M1380" s="31">
        <f t="shared" si="254"/>
        <v>0</v>
      </c>
      <c r="N1380" s="50">
        <v>0</v>
      </c>
      <c r="O1380" s="31">
        <f t="shared" si="255"/>
        <v>0</v>
      </c>
      <c r="P1380" s="51" t="s">
        <v>5035</v>
      </c>
      <c r="Q1380" s="51"/>
    </row>
    <row r="1381" spans="1:17" x14ac:dyDescent="0.25">
      <c r="A1381" s="10">
        <v>44637</v>
      </c>
      <c r="B1381" s="594">
        <v>0</v>
      </c>
      <c r="C1381" s="31">
        <f t="shared" si="249"/>
        <v>154479012.90000001</v>
      </c>
      <c r="D1381" s="50">
        <v>335490.18</v>
      </c>
      <c r="E1381" s="31">
        <f t="shared" si="250"/>
        <v>0</v>
      </c>
      <c r="F1381" s="900">
        <v>0</v>
      </c>
      <c r="G1381" s="899">
        <f t="shared" si="251"/>
        <v>487998.09</v>
      </c>
      <c r="H1381" s="50">
        <v>0</v>
      </c>
      <c r="I1381" s="31">
        <f t="shared" si="252"/>
        <v>0</v>
      </c>
      <c r="J1381" s="50">
        <v>0</v>
      </c>
      <c r="K1381" s="31">
        <f t="shared" si="253"/>
        <v>570000</v>
      </c>
      <c r="L1381" s="50">
        <v>0</v>
      </c>
      <c r="M1381" s="31">
        <f t="shared" si="254"/>
        <v>0</v>
      </c>
      <c r="N1381" s="50">
        <v>0</v>
      </c>
      <c r="O1381" s="31">
        <f t="shared" si="255"/>
        <v>0</v>
      </c>
      <c r="P1381" s="51" t="s">
        <v>845</v>
      </c>
      <c r="Q1381" s="51"/>
    </row>
    <row r="1382" spans="1:17" x14ac:dyDescent="0.25">
      <c r="A1382" s="10">
        <v>44637</v>
      </c>
      <c r="B1382" s="594">
        <v>0</v>
      </c>
      <c r="C1382" s="31">
        <f t="shared" si="249"/>
        <v>154479012.90000001</v>
      </c>
      <c r="D1382" s="50">
        <v>0</v>
      </c>
      <c r="E1382" s="31">
        <f t="shared" si="250"/>
        <v>0</v>
      </c>
      <c r="F1382" s="900">
        <v>0</v>
      </c>
      <c r="G1382" s="899">
        <f t="shared" si="251"/>
        <v>487998.09</v>
      </c>
      <c r="H1382" s="50">
        <v>-160.80000000000001</v>
      </c>
      <c r="I1382" s="31">
        <f t="shared" si="252"/>
        <v>-160.80000000000001</v>
      </c>
      <c r="J1382" s="50">
        <v>0</v>
      </c>
      <c r="K1382" s="31">
        <f t="shared" si="253"/>
        <v>570000</v>
      </c>
      <c r="L1382" s="50">
        <v>0</v>
      </c>
      <c r="M1382" s="31">
        <f t="shared" si="254"/>
        <v>0</v>
      </c>
      <c r="N1382" s="50">
        <v>0</v>
      </c>
      <c r="O1382" s="31">
        <f t="shared" si="255"/>
        <v>0</v>
      </c>
      <c r="P1382" s="51" t="s">
        <v>5021</v>
      </c>
      <c r="Q1382" s="51"/>
    </row>
    <row r="1383" spans="1:17" x14ac:dyDescent="0.25">
      <c r="A1383" s="10">
        <v>44637</v>
      </c>
      <c r="B1383" s="594">
        <v>0</v>
      </c>
      <c r="C1383" s="31">
        <f t="shared" si="249"/>
        <v>154479012.90000001</v>
      </c>
      <c r="D1383" s="50">
        <v>0</v>
      </c>
      <c r="E1383" s="31">
        <f t="shared" si="250"/>
        <v>0</v>
      </c>
      <c r="F1383" s="900">
        <v>0</v>
      </c>
      <c r="G1383" s="899">
        <f t="shared" si="251"/>
        <v>487998.09</v>
      </c>
      <c r="H1383" s="50">
        <v>160.80000000000001</v>
      </c>
      <c r="I1383" s="31">
        <f t="shared" si="252"/>
        <v>0</v>
      </c>
      <c r="J1383" s="50">
        <v>0</v>
      </c>
      <c r="K1383" s="31">
        <f t="shared" si="253"/>
        <v>570000</v>
      </c>
      <c r="L1383" s="50">
        <v>0</v>
      </c>
      <c r="M1383" s="31">
        <f t="shared" si="254"/>
        <v>0</v>
      </c>
      <c r="N1383" s="50">
        <v>0</v>
      </c>
      <c r="O1383" s="31">
        <f t="shared" si="255"/>
        <v>0</v>
      </c>
      <c r="P1383" s="51" t="s">
        <v>845</v>
      </c>
      <c r="Q1383" s="51"/>
    </row>
    <row r="1384" spans="1:17" x14ac:dyDescent="0.25">
      <c r="A1384" s="10">
        <v>44638</v>
      </c>
      <c r="B1384" s="594">
        <v>0</v>
      </c>
      <c r="C1384" s="31">
        <f t="shared" si="249"/>
        <v>154479012.90000001</v>
      </c>
      <c r="D1384" s="50">
        <v>-600030</v>
      </c>
      <c r="E1384" s="31">
        <f t="shared" si="250"/>
        <v>-600030</v>
      </c>
      <c r="F1384" s="900">
        <v>0</v>
      </c>
      <c r="G1384" s="899">
        <f t="shared" si="251"/>
        <v>487998.09</v>
      </c>
      <c r="H1384" s="50">
        <v>0</v>
      </c>
      <c r="I1384" s="31">
        <f t="shared" si="252"/>
        <v>0</v>
      </c>
      <c r="J1384" s="50">
        <v>0</v>
      </c>
      <c r="K1384" s="31">
        <f t="shared" si="253"/>
        <v>570000</v>
      </c>
      <c r="L1384" s="50">
        <v>0</v>
      </c>
      <c r="M1384" s="31">
        <f t="shared" si="254"/>
        <v>0</v>
      </c>
      <c r="N1384" s="50">
        <v>0</v>
      </c>
      <c r="O1384" s="31">
        <f t="shared" si="255"/>
        <v>0</v>
      </c>
      <c r="P1384" s="51" t="s">
        <v>5030</v>
      </c>
      <c r="Q1384" s="51"/>
    </row>
    <row r="1385" spans="1:17" x14ac:dyDescent="0.25">
      <c r="A1385" s="10">
        <v>44638</v>
      </c>
      <c r="B1385" s="594">
        <v>0</v>
      </c>
      <c r="C1385" s="31">
        <f t="shared" si="249"/>
        <v>154479012.90000001</v>
      </c>
      <c r="D1385" s="50">
        <v>600030</v>
      </c>
      <c r="E1385" s="31">
        <f t="shared" si="250"/>
        <v>0</v>
      </c>
      <c r="F1385" s="900">
        <v>0</v>
      </c>
      <c r="G1385" s="899">
        <f t="shared" si="251"/>
        <v>487998.09</v>
      </c>
      <c r="H1385" s="50">
        <v>0</v>
      </c>
      <c r="I1385" s="31">
        <f t="shared" si="252"/>
        <v>0</v>
      </c>
      <c r="J1385" s="50">
        <v>0</v>
      </c>
      <c r="K1385" s="31">
        <f t="shared" si="253"/>
        <v>570000</v>
      </c>
      <c r="L1385" s="50">
        <v>0</v>
      </c>
      <c r="M1385" s="31">
        <f t="shared" si="254"/>
        <v>0</v>
      </c>
      <c r="N1385" s="50">
        <v>0</v>
      </c>
      <c r="O1385" s="31">
        <f t="shared" si="255"/>
        <v>0</v>
      </c>
      <c r="P1385" s="51" t="s">
        <v>845</v>
      </c>
      <c r="Q1385" s="51"/>
    </row>
    <row r="1386" spans="1:17" x14ac:dyDescent="0.25">
      <c r="A1386" s="10">
        <v>44642</v>
      </c>
      <c r="B1386" s="594">
        <v>0</v>
      </c>
      <c r="C1386" s="31">
        <f t="shared" si="249"/>
        <v>154479012.90000001</v>
      </c>
      <c r="D1386" s="50">
        <v>800000</v>
      </c>
      <c r="E1386" s="31">
        <f t="shared" si="250"/>
        <v>800000</v>
      </c>
      <c r="F1386" s="900">
        <v>0</v>
      </c>
      <c r="G1386" s="899">
        <f t="shared" si="251"/>
        <v>487998.09</v>
      </c>
      <c r="H1386" s="50">
        <v>0</v>
      </c>
      <c r="I1386" s="31">
        <f t="shared" si="252"/>
        <v>0</v>
      </c>
      <c r="J1386" s="50">
        <v>0</v>
      </c>
      <c r="K1386" s="31">
        <f t="shared" si="253"/>
        <v>570000</v>
      </c>
      <c r="L1386" s="50">
        <v>0</v>
      </c>
      <c r="M1386" s="31">
        <f t="shared" si="254"/>
        <v>0</v>
      </c>
      <c r="N1386" s="50">
        <v>0</v>
      </c>
      <c r="O1386" s="31">
        <f t="shared" si="255"/>
        <v>0</v>
      </c>
      <c r="P1386" s="51" t="s">
        <v>2071</v>
      </c>
      <c r="Q1386" s="51"/>
    </row>
    <row r="1387" spans="1:17" x14ac:dyDescent="0.25">
      <c r="A1387" s="10">
        <v>44642</v>
      </c>
      <c r="B1387" s="594">
        <v>1700000</v>
      </c>
      <c r="C1387" s="31">
        <f t="shared" si="249"/>
        <v>156179012.90000001</v>
      </c>
      <c r="D1387" s="50">
        <v>-1700000</v>
      </c>
      <c r="E1387" s="31">
        <f t="shared" si="250"/>
        <v>-900000</v>
      </c>
      <c r="F1387" s="900">
        <v>0</v>
      </c>
      <c r="G1387" s="899">
        <f t="shared" si="251"/>
        <v>487998.09</v>
      </c>
      <c r="H1387" s="50">
        <v>0</v>
      </c>
      <c r="I1387" s="31">
        <f t="shared" si="252"/>
        <v>0</v>
      </c>
      <c r="J1387" s="50">
        <v>0</v>
      </c>
      <c r="K1387" s="31">
        <f t="shared" si="253"/>
        <v>570000</v>
      </c>
      <c r="L1387" s="50">
        <v>0</v>
      </c>
      <c r="M1387" s="31">
        <f t="shared" si="254"/>
        <v>0</v>
      </c>
      <c r="N1387" s="50">
        <v>0</v>
      </c>
      <c r="O1387" s="31">
        <f t="shared" si="255"/>
        <v>0</v>
      </c>
      <c r="P1387" s="51" t="s">
        <v>2661</v>
      </c>
      <c r="Q1387" s="51"/>
    </row>
    <row r="1388" spans="1:17" x14ac:dyDescent="0.25">
      <c r="A1388" s="10">
        <v>44642</v>
      </c>
      <c r="B1388" s="594">
        <v>0</v>
      </c>
      <c r="C1388" s="31">
        <f t="shared" si="249"/>
        <v>156179012.90000001</v>
      </c>
      <c r="D1388" s="50">
        <v>-33144.270000010729</v>
      </c>
      <c r="E1388" s="31">
        <f t="shared" si="250"/>
        <v>-933144.27</v>
      </c>
      <c r="F1388" s="900">
        <v>0</v>
      </c>
      <c r="G1388" s="899">
        <f t="shared" si="251"/>
        <v>487998.09</v>
      </c>
      <c r="H1388" s="50">
        <v>0</v>
      </c>
      <c r="I1388" s="31">
        <f t="shared" si="252"/>
        <v>0</v>
      </c>
      <c r="J1388" s="50">
        <v>0</v>
      </c>
      <c r="K1388" s="31">
        <f t="shared" si="253"/>
        <v>570000</v>
      </c>
      <c r="L1388" s="50">
        <v>0</v>
      </c>
      <c r="M1388" s="31">
        <f t="shared" si="254"/>
        <v>0</v>
      </c>
      <c r="N1388" s="50">
        <v>0</v>
      </c>
      <c r="O1388" s="31">
        <f t="shared" si="255"/>
        <v>0</v>
      </c>
      <c r="P1388" s="51" t="s">
        <v>5049</v>
      </c>
      <c r="Q1388" s="51"/>
    </row>
    <row r="1389" spans="1:17" x14ac:dyDescent="0.25">
      <c r="A1389" s="10">
        <v>44642</v>
      </c>
      <c r="B1389" s="594">
        <v>0</v>
      </c>
      <c r="C1389" s="31">
        <f t="shared" si="249"/>
        <v>156179012.90000001</v>
      </c>
      <c r="D1389" s="50">
        <f>-E1388</f>
        <v>933144.27</v>
      </c>
      <c r="E1389" s="31">
        <f t="shared" si="250"/>
        <v>0</v>
      </c>
      <c r="F1389" s="900">
        <v>0</v>
      </c>
      <c r="G1389" s="899">
        <f t="shared" si="251"/>
        <v>487998.09</v>
      </c>
      <c r="H1389" s="50">
        <v>0</v>
      </c>
      <c r="I1389" s="31">
        <f t="shared" si="252"/>
        <v>0</v>
      </c>
      <c r="J1389" s="50">
        <v>0</v>
      </c>
      <c r="K1389" s="31">
        <f t="shared" si="253"/>
        <v>570000</v>
      </c>
      <c r="L1389" s="50">
        <v>0</v>
      </c>
      <c r="M1389" s="31">
        <f t="shared" si="254"/>
        <v>0</v>
      </c>
      <c r="N1389" s="50">
        <v>0</v>
      </c>
      <c r="O1389" s="31">
        <f t="shared" si="255"/>
        <v>0</v>
      </c>
      <c r="P1389" s="51" t="s">
        <v>845</v>
      </c>
      <c r="Q1389" s="51"/>
    </row>
    <row r="1390" spans="1:17" x14ac:dyDescent="0.25">
      <c r="A1390" s="10">
        <v>44644</v>
      </c>
      <c r="B1390" s="594">
        <v>0</v>
      </c>
      <c r="C1390" s="31">
        <f t="shared" si="249"/>
        <v>156179012.90000001</v>
      </c>
      <c r="D1390" s="50">
        <v>-50</v>
      </c>
      <c r="E1390" s="31">
        <f t="shared" si="250"/>
        <v>-50</v>
      </c>
      <c r="F1390" s="900">
        <v>0</v>
      </c>
      <c r="G1390" s="899">
        <f t="shared" si="251"/>
        <v>487998.09</v>
      </c>
      <c r="H1390" s="50">
        <v>0</v>
      </c>
      <c r="I1390" s="31">
        <f t="shared" si="252"/>
        <v>0</v>
      </c>
      <c r="J1390" s="50">
        <v>0</v>
      </c>
      <c r="K1390" s="31">
        <f t="shared" si="253"/>
        <v>570000</v>
      </c>
      <c r="L1390" s="50">
        <v>0</v>
      </c>
      <c r="M1390" s="31">
        <f t="shared" si="254"/>
        <v>0</v>
      </c>
      <c r="N1390" s="50">
        <v>0</v>
      </c>
      <c r="O1390" s="31">
        <f t="shared" si="255"/>
        <v>0</v>
      </c>
      <c r="P1390" s="51" t="s">
        <v>5066</v>
      </c>
      <c r="Q1390" s="51"/>
    </row>
    <row r="1391" spans="1:17" x14ac:dyDescent="0.25">
      <c r="A1391" s="10">
        <v>44644</v>
      </c>
      <c r="B1391" s="594">
        <v>0</v>
      </c>
      <c r="C1391" s="31">
        <f t="shared" si="249"/>
        <v>156179012.90000001</v>
      </c>
      <c r="D1391" s="50">
        <v>33144.2700000107</v>
      </c>
      <c r="E1391" s="31">
        <f t="shared" si="250"/>
        <v>33094.269999999997</v>
      </c>
      <c r="F1391" s="900">
        <v>0</v>
      </c>
      <c r="G1391" s="899">
        <f t="shared" si="251"/>
        <v>487998.09</v>
      </c>
      <c r="H1391" s="50">
        <v>0</v>
      </c>
      <c r="I1391" s="31">
        <f t="shared" si="252"/>
        <v>0</v>
      </c>
      <c r="J1391" s="50">
        <v>0</v>
      </c>
      <c r="K1391" s="31">
        <f t="shared" si="253"/>
        <v>570000</v>
      </c>
      <c r="L1391" s="50">
        <v>0</v>
      </c>
      <c r="M1391" s="31">
        <f t="shared" si="254"/>
        <v>0</v>
      </c>
      <c r="N1391" s="50">
        <v>0</v>
      </c>
      <c r="O1391" s="31">
        <f t="shared" si="255"/>
        <v>0</v>
      </c>
      <c r="P1391" s="51" t="s">
        <v>5059</v>
      </c>
      <c r="Q1391" s="51"/>
    </row>
    <row r="1392" spans="1:17" x14ac:dyDescent="0.25">
      <c r="A1392" s="10">
        <v>44644</v>
      </c>
      <c r="B1392" s="594">
        <v>0</v>
      </c>
      <c r="C1392" s="31">
        <f t="shared" si="249"/>
        <v>156179012.90000001</v>
      </c>
      <c r="D1392" s="50">
        <v>-846410.33</v>
      </c>
      <c r="E1392" s="31">
        <f t="shared" si="250"/>
        <v>-813316.06</v>
      </c>
      <c r="F1392" s="900">
        <v>0</v>
      </c>
      <c r="G1392" s="899">
        <f t="shared" si="251"/>
        <v>487998.09</v>
      </c>
      <c r="H1392" s="50">
        <v>0</v>
      </c>
      <c r="I1392" s="31">
        <f t="shared" si="252"/>
        <v>0</v>
      </c>
      <c r="J1392" s="50">
        <v>0</v>
      </c>
      <c r="K1392" s="31">
        <f t="shared" si="253"/>
        <v>570000</v>
      </c>
      <c r="L1392" s="50">
        <v>0</v>
      </c>
      <c r="M1392" s="31">
        <f t="shared" si="254"/>
        <v>0</v>
      </c>
      <c r="N1392" s="50">
        <v>0</v>
      </c>
      <c r="O1392" s="31">
        <f t="shared" si="255"/>
        <v>0</v>
      </c>
      <c r="P1392" s="51" t="s">
        <v>5034</v>
      </c>
      <c r="Q1392" s="51"/>
    </row>
    <row r="1393" spans="1:17" x14ac:dyDescent="0.25">
      <c r="A1393" s="10">
        <v>44644</v>
      </c>
      <c r="B1393" s="594">
        <v>0</v>
      </c>
      <c r="C1393" s="31">
        <f t="shared" si="249"/>
        <v>156179012.90000001</v>
      </c>
      <c r="D1393" s="50">
        <v>217449059.93000001</v>
      </c>
      <c r="E1393" s="31">
        <f t="shared" si="250"/>
        <v>216635743.87</v>
      </c>
      <c r="F1393" s="900">
        <v>0</v>
      </c>
      <c r="G1393" s="899">
        <f t="shared" si="251"/>
        <v>487998.09</v>
      </c>
      <c r="H1393" s="50">
        <v>0</v>
      </c>
      <c r="I1393" s="31">
        <f t="shared" si="252"/>
        <v>0</v>
      </c>
      <c r="J1393" s="50">
        <v>0</v>
      </c>
      <c r="K1393" s="31">
        <f t="shared" si="253"/>
        <v>570000</v>
      </c>
      <c r="L1393" s="50">
        <v>0</v>
      </c>
      <c r="M1393" s="31">
        <f t="shared" si="254"/>
        <v>0</v>
      </c>
      <c r="N1393" s="50">
        <v>0</v>
      </c>
      <c r="O1393" s="31">
        <f t="shared" si="255"/>
        <v>0</v>
      </c>
      <c r="P1393" s="51" t="s">
        <v>5032</v>
      </c>
      <c r="Q1393" s="51"/>
    </row>
    <row r="1394" spans="1:17" x14ac:dyDescent="0.25">
      <c r="A1394" s="10">
        <v>44644</v>
      </c>
      <c r="B1394" s="594">
        <v>0</v>
      </c>
      <c r="C1394" s="31">
        <f t="shared" si="249"/>
        <v>156179012.90000001</v>
      </c>
      <c r="D1394" s="50">
        <v>-216338781</v>
      </c>
      <c r="E1394" s="31">
        <f t="shared" si="250"/>
        <v>296962.87</v>
      </c>
      <c r="F1394" s="900">
        <v>0</v>
      </c>
      <c r="G1394" s="899">
        <f t="shared" si="251"/>
        <v>487998.09</v>
      </c>
      <c r="H1394" s="50">
        <v>0</v>
      </c>
      <c r="I1394" s="31">
        <f t="shared" si="252"/>
        <v>0</v>
      </c>
      <c r="J1394" s="50">
        <v>0</v>
      </c>
      <c r="K1394" s="31">
        <f t="shared" si="253"/>
        <v>570000</v>
      </c>
      <c r="L1394" s="50">
        <v>0</v>
      </c>
      <c r="M1394" s="31">
        <f t="shared" si="254"/>
        <v>0</v>
      </c>
      <c r="N1394" s="50">
        <v>0</v>
      </c>
      <c r="O1394" s="31">
        <f t="shared" si="255"/>
        <v>0</v>
      </c>
      <c r="P1394" s="51" t="s">
        <v>5033</v>
      </c>
      <c r="Q1394" s="51"/>
    </row>
    <row r="1395" spans="1:17" x14ac:dyDescent="0.25">
      <c r="A1395" s="10">
        <v>44644</v>
      </c>
      <c r="B1395" s="594">
        <v>0</v>
      </c>
      <c r="C1395" s="31">
        <f t="shared" si="249"/>
        <v>156179012.90000001</v>
      </c>
      <c r="D1395" s="50">
        <v>-296962.87</v>
      </c>
      <c r="E1395" s="31">
        <f t="shared" si="250"/>
        <v>0</v>
      </c>
      <c r="F1395" s="900">
        <v>0</v>
      </c>
      <c r="G1395" s="899">
        <f t="shared" si="251"/>
        <v>487998.09</v>
      </c>
      <c r="H1395" s="50">
        <v>0</v>
      </c>
      <c r="I1395" s="31">
        <f t="shared" si="252"/>
        <v>0</v>
      </c>
      <c r="J1395" s="50">
        <v>0</v>
      </c>
      <c r="K1395" s="31">
        <f t="shared" si="253"/>
        <v>570000</v>
      </c>
      <c r="L1395" s="50">
        <v>0</v>
      </c>
      <c r="M1395" s="31">
        <f t="shared" si="254"/>
        <v>0</v>
      </c>
      <c r="N1395" s="50">
        <v>0</v>
      </c>
      <c r="O1395" s="31">
        <f t="shared" si="255"/>
        <v>0</v>
      </c>
      <c r="P1395" s="51" t="s">
        <v>845</v>
      </c>
      <c r="Q1395" s="51"/>
    </row>
    <row r="1396" spans="1:17" x14ac:dyDescent="0.25">
      <c r="A1396" s="10">
        <v>44645</v>
      </c>
      <c r="B1396" s="594">
        <v>300000</v>
      </c>
      <c r="C1396" s="31">
        <f t="shared" si="249"/>
        <v>156479012.90000001</v>
      </c>
      <c r="D1396" s="50">
        <v>-300000</v>
      </c>
      <c r="E1396" s="31">
        <f t="shared" si="250"/>
        <v>-300000</v>
      </c>
      <c r="F1396" s="900">
        <v>0</v>
      </c>
      <c r="G1396" s="899">
        <f t="shared" si="251"/>
        <v>487998.09</v>
      </c>
      <c r="H1396" s="50">
        <v>0</v>
      </c>
      <c r="I1396" s="31">
        <f t="shared" si="252"/>
        <v>0</v>
      </c>
      <c r="J1396" s="50">
        <v>0</v>
      </c>
      <c r="K1396" s="31">
        <f t="shared" si="253"/>
        <v>570000</v>
      </c>
      <c r="L1396" s="50">
        <v>0</v>
      </c>
      <c r="M1396" s="31">
        <f t="shared" si="254"/>
        <v>0</v>
      </c>
      <c r="N1396" s="50">
        <v>0</v>
      </c>
      <c r="O1396" s="31">
        <f t="shared" si="255"/>
        <v>0</v>
      </c>
      <c r="P1396" s="51" t="s">
        <v>2980</v>
      </c>
      <c r="Q1396" s="51"/>
    </row>
    <row r="1397" spans="1:17" x14ac:dyDescent="0.25">
      <c r="A1397" s="10">
        <v>44645</v>
      </c>
      <c r="B1397" s="594">
        <v>0</v>
      </c>
      <c r="C1397" s="31">
        <f t="shared" si="249"/>
        <v>156479012.90000001</v>
      </c>
      <c r="D1397" s="50">
        <v>300037.08</v>
      </c>
      <c r="E1397" s="31">
        <f t="shared" si="250"/>
        <v>37.08</v>
      </c>
      <c r="F1397" s="900">
        <v>0</v>
      </c>
      <c r="G1397" s="899">
        <f t="shared" si="251"/>
        <v>487998.09</v>
      </c>
      <c r="H1397" s="50">
        <v>0</v>
      </c>
      <c r="I1397" s="31">
        <f t="shared" si="252"/>
        <v>0</v>
      </c>
      <c r="J1397" s="50">
        <v>0</v>
      </c>
      <c r="K1397" s="31">
        <f t="shared" si="253"/>
        <v>570000</v>
      </c>
      <c r="L1397" s="50">
        <v>0</v>
      </c>
      <c r="M1397" s="31">
        <f t="shared" si="254"/>
        <v>0</v>
      </c>
      <c r="N1397" s="50">
        <v>0</v>
      </c>
      <c r="O1397" s="31">
        <f t="shared" si="255"/>
        <v>0</v>
      </c>
      <c r="P1397" s="51" t="s">
        <v>3282</v>
      </c>
      <c r="Q1397" s="51"/>
    </row>
    <row r="1398" spans="1:17" x14ac:dyDescent="0.25">
      <c r="A1398" s="10">
        <v>44645</v>
      </c>
      <c r="B1398" s="594">
        <v>0</v>
      </c>
      <c r="C1398" s="31">
        <f t="shared" si="249"/>
        <v>156479012.90000001</v>
      </c>
      <c r="D1398" s="50">
        <v>0</v>
      </c>
      <c r="E1398" s="31">
        <f t="shared" si="250"/>
        <v>37.08</v>
      </c>
      <c r="F1398" s="900">
        <v>-33144.2700000107</v>
      </c>
      <c r="G1398" s="899">
        <f t="shared" si="251"/>
        <v>454853.82</v>
      </c>
      <c r="H1398" s="50">
        <v>0</v>
      </c>
      <c r="I1398" s="31">
        <f t="shared" si="252"/>
        <v>0</v>
      </c>
      <c r="J1398" s="50">
        <v>0</v>
      </c>
      <c r="K1398" s="31">
        <f t="shared" si="253"/>
        <v>570000</v>
      </c>
      <c r="L1398" s="50">
        <v>0</v>
      </c>
      <c r="M1398" s="31">
        <f t="shared" si="254"/>
        <v>0</v>
      </c>
      <c r="N1398" s="50">
        <v>0</v>
      </c>
      <c r="O1398" s="31">
        <f t="shared" si="255"/>
        <v>0</v>
      </c>
      <c r="P1398" s="51" t="s">
        <v>5072</v>
      </c>
      <c r="Q1398" s="51"/>
    </row>
    <row r="1399" spans="1:17" x14ac:dyDescent="0.25">
      <c r="A1399" s="10">
        <v>44648</v>
      </c>
      <c r="B1399" s="594">
        <v>600000</v>
      </c>
      <c r="C1399" s="31">
        <f t="shared" si="249"/>
        <v>157079012.90000001</v>
      </c>
      <c r="D1399" s="50">
        <v>-600000</v>
      </c>
      <c r="E1399" s="31">
        <f t="shared" si="250"/>
        <v>-599962.92000000004</v>
      </c>
      <c r="F1399" s="900">
        <v>0</v>
      </c>
      <c r="G1399" s="899">
        <f t="shared" si="251"/>
        <v>454853.82</v>
      </c>
      <c r="H1399" s="50">
        <v>0</v>
      </c>
      <c r="I1399" s="31">
        <f t="shared" si="252"/>
        <v>0</v>
      </c>
      <c r="J1399" s="50">
        <v>0</v>
      </c>
      <c r="K1399" s="31">
        <f t="shared" si="253"/>
        <v>570000</v>
      </c>
      <c r="L1399" s="50">
        <v>0</v>
      </c>
      <c r="M1399" s="31">
        <f t="shared" si="254"/>
        <v>0</v>
      </c>
      <c r="N1399" s="50">
        <v>0</v>
      </c>
      <c r="O1399" s="31">
        <f t="shared" si="255"/>
        <v>0</v>
      </c>
      <c r="P1399" s="51" t="s">
        <v>2980</v>
      </c>
      <c r="Q1399" s="51"/>
    </row>
    <row r="1400" spans="1:17" x14ac:dyDescent="0.25">
      <c r="A1400" s="10">
        <v>44648</v>
      </c>
      <c r="B1400" s="594">
        <v>0</v>
      </c>
      <c r="C1400" s="31">
        <f t="shared" si="249"/>
        <v>157079012.90000001</v>
      </c>
      <c r="D1400" s="50">
        <v>300000</v>
      </c>
      <c r="E1400" s="31">
        <f t="shared" si="250"/>
        <v>-299962.92</v>
      </c>
      <c r="F1400" s="900">
        <v>0</v>
      </c>
      <c r="G1400" s="899">
        <f t="shared" si="251"/>
        <v>454853.82</v>
      </c>
      <c r="H1400" s="50">
        <v>0</v>
      </c>
      <c r="I1400" s="31">
        <f t="shared" si="252"/>
        <v>0</v>
      </c>
      <c r="J1400" s="50">
        <v>0</v>
      </c>
      <c r="K1400" s="31">
        <f t="shared" si="253"/>
        <v>570000</v>
      </c>
      <c r="L1400" s="50">
        <v>0</v>
      </c>
      <c r="M1400" s="31">
        <f t="shared" si="254"/>
        <v>0</v>
      </c>
      <c r="N1400" s="50">
        <v>0</v>
      </c>
      <c r="O1400" s="31">
        <f t="shared" si="255"/>
        <v>0</v>
      </c>
      <c r="P1400" s="51" t="s">
        <v>3282</v>
      </c>
      <c r="Q1400" s="51"/>
    </row>
    <row r="1401" spans="1:17" x14ac:dyDescent="0.25">
      <c r="A1401" s="10">
        <v>44648</v>
      </c>
      <c r="B1401" s="594">
        <v>0</v>
      </c>
      <c r="C1401" s="31">
        <f t="shared" si="249"/>
        <v>157079012.90000001</v>
      </c>
      <c r="D1401" s="50">
        <f>-E1400</f>
        <v>299962.92</v>
      </c>
      <c r="E1401" s="31">
        <f t="shared" si="250"/>
        <v>0</v>
      </c>
      <c r="F1401" s="900">
        <v>0</v>
      </c>
      <c r="G1401" s="899">
        <f t="shared" si="251"/>
        <v>454853.82</v>
      </c>
      <c r="H1401" s="50">
        <v>0</v>
      </c>
      <c r="I1401" s="31">
        <f t="shared" si="252"/>
        <v>0</v>
      </c>
      <c r="J1401" s="50">
        <v>0</v>
      </c>
      <c r="K1401" s="31">
        <f t="shared" si="253"/>
        <v>570000</v>
      </c>
      <c r="L1401" s="50">
        <v>0</v>
      </c>
      <c r="M1401" s="31">
        <f t="shared" si="254"/>
        <v>0</v>
      </c>
      <c r="N1401" s="50">
        <v>0</v>
      </c>
      <c r="O1401" s="31">
        <f t="shared" si="255"/>
        <v>0</v>
      </c>
      <c r="P1401" s="51" t="s">
        <v>845</v>
      </c>
      <c r="Q1401" s="51"/>
    </row>
    <row r="1402" spans="1:17" x14ac:dyDescent="0.25">
      <c r="A1402" s="10">
        <v>44651</v>
      </c>
      <c r="B1402" s="594">
        <v>0</v>
      </c>
      <c r="C1402" s="31">
        <f t="shared" si="249"/>
        <v>157079012.90000001</v>
      </c>
      <c r="D1402" s="50">
        <v>88067.42</v>
      </c>
      <c r="E1402" s="31">
        <f t="shared" si="250"/>
        <v>88067.42</v>
      </c>
      <c r="F1402" s="900">
        <v>19500</v>
      </c>
      <c r="G1402" s="899">
        <f t="shared" si="251"/>
        <v>474353.82</v>
      </c>
      <c r="H1402" s="50">
        <v>0</v>
      </c>
      <c r="I1402" s="31">
        <f t="shared" si="252"/>
        <v>0</v>
      </c>
      <c r="J1402" s="50">
        <v>0</v>
      </c>
      <c r="K1402" s="31">
        <f t="shared" si="253"/>
        <v>570000</v>
      </c>
      <c r="L1402" s="50">
        <v>0</v>
      </c>
      <c r="M1402" s="31">
        <f t="shared" si="254"/>
        <v>0</v>
      </c>
      <c r="N1402" s="50">
        <v>0</v>
      </c>
      <c r="O1402" s="31">
        <f t="shared" si="255"/>
        <v>0</v>
      </c>
      <c r="P1402" s="51" t="s">
        <v>5238</v>
      </c>
      <c r="Q1402" s="51"/>
    </row>
    <row r="1403" spans="1:17" x14ac:dyDescent="0.25">
      <c r="A1403" s="10">
        <v>44651</v>
      </c>
      <c r="B1403" s="594">
        <v>0</v>
      </c>
      <c r="C1403" s="31">
        <f t="shared" si="249"/>
        <v>157079012.90000001</v>
      </c>
      <c r="D1403" s="50">
        <v>-45000</v>
      </c>
      <c r="E1403" s="31">
        <f t="shared" si="250"/>
        <v>43067.42</v>
      </c>
      <c r="F1403" s="900">
        <v>0</v>
      </c>
      <c r="G1403" s="899">
        <f t="shared" si="251"/>
        <v>474353.82</v>
      </c>
      <c r="H1403" s="50">
        <v>0</v>
      </c>
      <c r="I1403" s="31">
        <f t="shared" si="252"/>
        <v>0</v>
      </c>
      <c r="J1403" s="50">
        <v>0</v>
      </c>
      <c r="K1403" s="31">
        <f t="shared" si="253"/>
        <v>570000</v>
      </c>
      <c r="L1403" s="50">
        <v>0</v>
      </c>
      <c r="M1403" s="31">
        <f t="shared" si="254"/>
        <v>0</v>
      </c>
      <c r="N1403" s="50">
        <v>45000</v>
      </c>
      <c r="O1403" s="31">
        <f t="shared" si="255"/>
        <v>45000</v>
      </c>
      <c r="P1403" s="51" t="s">
        <v>5242</v>
      </c>
      <c r="Q1403" s="51"/>
    </row>
    <row r="1404" spans="1:17" x14ac:dyDescent="0.25">
      <c r="A1404" s="10">
        <v>44651</v>
      </c>
      <c r="B1404" s="594">
        <v>0</v>
      </c>
      <c r="C1404" s="31">
        <f t="shared" si="249"/>
        <v>157079012.90000001</v>
      </c>
      <c r="D1404" s="50">
        <v>0</v>
      </c>
      <c r="E1404" s="31">
        <f t="shared" si="250"/>
        <v>43067.42</v>
      </c>
      <c r="F1404" s="900">
        <v>0</v>
      </c>
      <c r="G1404" s="899">
        <f t="shared" si="251"/>
        <v>474353.82</v>
      </c>
      <c r="H1404" s="50">
        <v>0</v>
      </c>
      <c r="I1404" s="31">
        <f t="shared" si="252"/>
        <v>0</v>
      </c>
      <c r="J1404" s="50">
        <v>0</v>
      </c>
      <c r="K1404" s="31">
        <f t="shared" si="253"/>
        <v>570000</v>
      </c>
      <c r="L1404" s="50">
        <v>0</v>
      </c>
      <c r="M1404" s="31">
        <f t="shared" si="254"/>
        <v>0</v>
      </c>
      <c r="N1404" s="50">
        <v>-45000</v>
      </c>
      <c r="O1404" s="31">
        <f t="shared" si="255"/>
        <v>0</v>
      </c>
      <c r="P1404" s="51" t="s">
        <v>5241</v>
      </c>
      <c r="Q1404" s="51"/>
    </row>
    <row r="1405" spans="1:17" x14ac:dyDescent="0.25">
      <c r="A1405" s="10">
        <v>44651</v>
      </c>
      <c r="B1405" s="594">
        <v>0</v>
      </c>
      <c r="C1405" s="31">
        <f t="shared" si="249"/>
        <v>157079012.90000001</v>
      </c>
      <c r="D1405" s="50">
        <f>-E1404</f>
        <v>-43067.42</v>
      </c>
      <c r="E1405" s="31">
        <f t="shared" si="250"/>
        <v>0</v>
      </c>
      <c r="F1405" s="900">
        <v>0</v>
      </c>
      <c r="G1405" s="899">
        <f t="shared" si="251"/>
        <v>474353.82</v>
      </c>
      <c r="H1405" s="50">
        <v>0</v>
      </c>
      <c r="I1405" s="31">
        <f t="shared" si="252"/>
        <v>0</v>
      </c>
      <c r="J1405" s="50">
        <v>0</v>
      </c>
      <c r="K1405" s="31">
        <f t="shared" si="253"/>
        <v>570000</v>
      </c>
      <c r="L1405" s="50">
        <v>0</v>
      </c>
      <c r="M1405" s="31">
        <f t="shared" si="254"/>
        <v>0</v>
      </c>
      <c r="N1405" s="50">
        <f>-O1404</f>
        <v>0</v>
      </c>
      <c r="O1405" s="31">
        <f t="shared" si="255"/>
        <v>0</v>
      </c>
      <c r="P1405" s="51" t="s">
        <v>845</v>
      </c>
      <c r="Q1405" s="51"/>
    </row>
    <row r="1406" spans="1:17" x14ac:dyDescent="0.25">
      <c r="A1406" s="10"/>
      <c r="B1406" s="594">
        <v>0</v>
      </c>
      <c r="C1406" s="31">
        <f t="shared" si="249"/>
        <v>157079012.90000001</v>
      </c>
      <c r="D1406" s="50">
        <v>0</v>
      </c>
      <c r="E1406" s="31">
        <f t="shared" si="250"/>
        <v>0</v>
      </c>
      <c r="F1406" s="900">
        <v>0</v>
      </c>
      <c r="G1406" s="899">
        <f t="shared" si="251"/>
        <v>474353.82</v>
      </c>
      <c r="H1406" s="50">
        <v>0</v>
      </c>
      <c r="I1406" s="31">
        <f t="shared" si="252"/>
        <v>0</v>
      </c>
      <c r="J1406" s="50">
        <v>0</v>
      </c>
      <c r="K1406" s="31">
        <f t="shared" si="253"/>
        <v>570000</v>
      </c>
      <c r="L1406" s="50">
        <v>0</v>
      </c>
      <c r="M1406" s="31">
        <f t="shared" si="254"/>
        <v>0</v>
      </c>
      <c r="N1406" s="50">
        <v>0</v>
      </c>
      <c r="O1406" s="31">
        <f t="shared" si="255"/>
        <v>0</v>
      </c>
      <c r="P1406" s="51"/>
      <c r="Q1406" s="51"/>
    </row>
    <row r="1407" spans="1:17" x14ac:dyDescent="0.25">
      <c r="A1407" s="10"/>
      <c r="B1407" s="594">
        <v>0</v>
      </c>
      <c r="C1407" s="31">
        <f t="shared" si="249"/>
        <v>157079012.90000001</v>
      </c>
      <c r="D1407" s="50">
        <v>0</v>
      </c>
      <c r="E1407" s="31">
        <f t="shared" si="250"/>
        <v>0</v>
      </c>
      <c r="F1407" s="900">
        <v>0</v>
      </c>
      <c r="G1407" s="899">
        <f t="shared" si="251"/>
        <v>474353.82</v>
      </c>
      <c r="H1407" s="50">
        <v>0</v>
      </c>
      <c r="I1407" s="31">
        <f t="shared" si="252"/>
        <v>0</v>
      </c>
      <c r="J1407" s="50">
        <v>0</v>
      </c>
      <c r="K1407" s="31">
        <f t="shared" si="253"/>
        <v>570000</v>
      </c>
      <c r="L1407" s="50">
        <v>0</v>
      </c>
      <c r="M1407" s="31">
        <f t="shared" si="254"/>
        <v>0</v>
      </c>
      <c r="N1407" s="50">
        <v>0</v>
      </c>
      <c r="O1407" s="31">
        <f t="shared" si="255"/>
        <v>0</v>
      </c>
      <c r="P1407" s="51"/>
      <c r="Q1407" s="51"/>
    </row>
    <row r="1408" spans="1:17" x14ac:dyDescent="0.25">
      <c r="A1408" s="10"/>
      <c r="B1408" s="594">
        <v>0</v>
      </c>
      <c r="C1408" s="31">
        <f t="shared" si="249"/>
        <v>157079012.90000001</v>
      </c>
      <c r="D1408" s="50">
        <v>0</v>
      </c>
      <c r="E1408" s="31">
        <f t="shared" si="250"/>
        <v>0</v>
      </c>
      <c r="F1408" s="900">
        <v>0</v>
      </c>
      <c r="G1408" s="899">
        <f t="shared" si="251"/>
        <v>474353.82</v>
      </c>
      <c r="H1408" s="50">
        <v>0</v>
      </c>
      <c r="I1408" s="31">
        <f t="shared" si="252"/>
        <v>0</v>
      </c>
      <c r="J1408" s="50">
        <v>0</v>
      </c>
      <c r="K1408" s="31">
        <f t="shared" si="253"/>
        <v>570000</v>
      </c>
      <c r="L1408" s="50">
        <v>0</v>
      </c>
      <c r="M1408" s="31">
        <f t="shared" si="254"/>
        <v>0</v>
      </c>
      <c r="N1408" s="50">
        <v>0</v>
      </c>
      <c r="O1408" s="31">
        <f t="shared" si="255"/>
        <v>0</v>
      </c>
      <c r="P1408" s="51"/>
      <c r="Q1408" s="51"/>
    </row>
    <row r="1409" spans="1:17" x14ac:dyDescent="0.25">
      <c r="A1409" s="10"/>
      <c r="B1409" s="594">
        <v>0</v>
      </c>
      <c r="C1409" s="31">
        <f t="shared" si="249"/>
        <v>157079012.90000001</v>
      </c>
      <c r="D1409" s="50">
        <v>0</v>
      </c>
      <c r="E1409" s="31">
        <f t="shared" si="250"/>
        <v>0</v>
      </c>
      <c r="F1409" s="900">
        <v>0</v>
      </c>
      <c r="G1409" s="899">
        <f t="shared" si="251"/>
        <v>474353.82</v>
      </c>
      <c r="H1409" s="50">
        <v>0</v>
      </c>
      <c r="I1409" s="31">
        <f t="shared" si="252"/>
        <v>0</v>
      </c>
      <c r="J1409" s="50">
        <v>0</v>
      </c>
      <c r="K1409" s="31">
        <f t="shared" si="253"/>
        <v>570000</v>
      </c>
      <c r="L1409" s="50">
        <v>0</v>
      </c>
      <c r="M1409" s="31">
        <f t="shared" si="254"/>
        <v>0</v>
      </c>
      <c r="N1409" s="50">
        <v>0</v>
      </c>
      <c r="O1409" s="31">
        <f t="shared" si="255"/>
        <v>0</v>
      </c>
      <c r="P1409" s="51"/>
      <c r="Q1409" s="51"/>
    </row>
    <row r="1410" spans="1:17" x14ac:dyDescent="0.25">
      <c r="A1410" s="10"/>
      <c r="B1410" s="594">
        <v>0</v>
      </c>
      <c r="C1410" s="31">
        <f t="shared" si="249"/>
        <v>157079012.90000001</v>
      </c>
      <c r="D1410" s="50">
        <v>0</v>
      </c>
      <c r="E1410" s="31">
        <f t="shared" si="250"/>
        <v>0</v>
      </c>
      <c r="F1410" s="900">
        <v>0</v>
      </c>
      <c r="G1410" s="899">
        <f t="shared" si="251"/>
        <v>474353.82</v>
      </c>
      <c r="H1410" s="50">
        <v>0</v>
      </c>
      <c r="I1410" s="31">
        <f t="shared" si="252"/>
        <v>0</v>
      </c>
      <c r="J1410" s="50">
        <v>0</v>
      </c>
      <c r="K1410" s="31">
        <f t="shared" si="253"/>
        <v>570000</v>
      </c>
      <c r="L1410" s="50">
        <v>0</v>
      </c>
      <c r="M1410" s="31">
        <f t="shared" si="254"/>
        <v>0</v>
      </c>
      <c r="N1410" s="50">
        <v>0</v>
      </c>
      <c r="O1410" s="31">
        <f t="shared" si="255"/>
        <v>0</v>
      </c>
      <c r="P1410" s="51"/>
      <c r="Q1410" s="51"/>
    </row>
    <row r="1411" spans="1:17" x14ac:dyDescent="0.25">
      <c r="A1411" s="10"/>
      <c r="B1411" s="594">
        <v>0</v>
      </c>
      <c r="C1411" s="31">
        <f t="shared" si="249"/>
        <v>157079012.90000001</v>
      </c>
      <c r="D1411" s="50">
        <v>0</v>
      </c>
      <c r="E1411" s="31">
        <f t="shared" si="250"/>
        <v>0</v>
      </c>
      <c r="F1411" s="900">
        <v>0</v>
      </c>
      <c r="G1411" s="899">
        <f t="shared" si="251"/>
        <v>474353.82</v>
      </c>
      <c r="H1411" s="50">
        <v>0</v>
      </c>
      <c r="I1411" s="31">
        <f t="shared" si="252"/>
        <v>0</v>
      </c>
      <c r="J1411" s="50">
        <v>0</v>
      </c>
      <c r="K1411" s="31">
        <f t="shared" si="253"/>
        <v>570000</v>
      </c>
      <c r="L1411" s="50">
        <v>0</v>
      </c>
      <c r="M1411" s="31">
        <f t="shared" si="254"/>
        <v>0</v>
      </c>
      <c r="N1411" s="50">
        <v>0</v>
      </c>
      <c r="O1411" s="31">
        <f t="shared" si="255"/>
        <v>0</v>
      </c>
      <c r="P1411" s="51"/>
      <c r="Q1411" s="51"/>
    </row>
    <row r="1412" spans="1:17" x14ac:dyDescent="0.25">
      <c r="A1412" s="10"/>
      <c r="B1412" s="594">
        <v>0</v>
      </c>
      <c r="C1412" s="31">
        <f t="shared" si="249"/>
        <v>157079012.90000001</v>
      </c>
      <c r="D1412" s="50">
        <v>0</v>
      </c>
      <c r="E1412" s="31">
        <f t="shared" si="250"/>
        <v>0</v>
      </c>
      <c r="F1412" s="900">
        <v>0</v>
      </c>
      <c r="G1412" s="899">
        <f t="shared" si="251"/>
        <v>474353.82</v>
      </c>
      <c r="H1412" s="50">
        <v>0</v>
      </c>
      <c r="I1412" s="31">
        <f t="shared" si="252"/>
        <v>0</v>
      </c>
      <c r="J1412" s="50">
        <v>0</v>
      </c>
      <c r="K1412" s="31">
        <f t="shared" si="253"/>
        <v>570000</v>
      </c>
      <c r="L1412" s="50">
        <v>0</v>
      </c>
      <c r="M1412" s="31">
        <f t="shared" si="254"/>
        <v>0</v>
      </c>
      <c r="N1412" s="50">
        <v>0</v>
      </c>
      <c r="O1412" s="31">
        <f t="shared" si="255"/>
        <v>0</v>
      </c>
      <c r="P1412" s="51"/>
      <c r="Q1412" s="51"/>
    </row>
    <row r="1413" spans="1:17" x14ac:dyDescent="0.25">
      <c r="A1413" s="10"/>
      <c r="B1413" s="594">
        <v>0</v>
      </c>
      <c r="C1413" s="31">
        <f t="shared" si="249"/>
        <v>157079012.90000001</v>
      </c>
      <c r="D1413" s="50">
        <v>0</v>
      </c>
      <c r="E1413" s="31">
        <f t="shared" si="250"/>
        <v>0</v>
      </c>
      <c r="F1413" s="900">
        <v>0</v>
      </c>
      <c r="G1413" s="899">
        <f t="shared" si="251"/>
        <v>474353.82</v>
      </c>
      <c r="H1413" s="50">
        <v>0</v>
      </c>
      <c r="I1413" s="31">
        <f t="shared" si="252"/>
        <v>0</v>
      </c>
      <c r="J1413" s="50">
        <v>0</v>
      </c>
      <c r="K1413" s="31">
        <f t="shared" si="253"/>
        <v>570000</v>
      </c>
      <c r="L1413" s="50">
        <v>0</v>
      </c>
      <c r="M1413" s="31">
        <f t="shared" si="254"/>
        <v>0</v>
      </c>
      <c r="N1413" s="50">
        <v>0</v>
      </c>
      <c r="O1413" s="31">
        <f t="shared" si="255"/>
        <v>0</v>
      </c>
      <c r="P1413" s="51"/>
      <c r="Q1413" s="51"/>
    </row>
    <row r="1414" spans="1:17" x14ac:dyDescent="0.25">
      <c r="A1414" s="10"/>
      <c r="B1414" s="594">
        <v>0</v>
      </c>
      <c r="C1414" s="31">
        <f t="shared" si="249"/>
        <v>157079012.90000001</v>
      </c>
      <c r="D1414" s="50">
        <v>0</v>
      </c>
      <c r="E1414" s="31">
        <f t="shared" si="250"/>
        <v>0</v>
      </c>
      <c r="F1414" s="900">
        <v>0</v>
      </c>
      <c r="G1414" s="899">
        <f t="shared" si="251"/>
        <v>474353.82</v>
      </c>
      <c r="H1414" s="50">
        <v>0</v>
      </c>
      <c r="I1414" s="31">
        <f t="shared" si="252"/>
        <v>0</v>
      </c>
      <c r="J1414" s="50">
        <v>0</v>
      </c>
      <c r="K1414" s="31">
        <f t="shared" si="253"/>
        <v>570000</v>
      </c>
      <c r="L1414" s="50">
        <v>0</v>
      </c>
      <c r="M1414" s="31">
        <f t="shared" si="254"/>
        <v>0</v>
      </c>
      <c r="N1414" s="50">
        <v>0</v>
      </c>
      <c r="O1414" s="31">
        <f t="shared" si="255"/>
        <v>0</v>
      </c>
      <c r="P1414" s="51"/>
      <c r="Q1414" s="51"/>
    </row>
    <row r="1415" spans="1:17" x14ac:dyDescent="0.25">
      <c r="A1415" s="10"/>
      <c r="B1415" s="594">
        <v>0</v>
      </c>
      <c r="C1415" s="31">
        <f t="shared" si="249"/>
        <v>157079012.90000001</v>
      </c>
      <c r="D1415" s="50">
        <v>0</v>
      </c>
      <c r="E1415" s="31">
        <f t="shared" si="250"/>
        <v>0</v>
      </c>
      <c r="F1415" s="900">
        <v>0</v>
      </c>
      <c r="G1415" s="899">
        <f t="shared" si="251"/>
        <v>474353.82</v>
      </c>
      <c r="H1415" s="50">
        <v>0</v>
      </c>
      <c r="I1415" s="31">
        <f t="shared" si="252"/>
        <v>0</v>
      </c>
      <c r="J1415" s="50">
        <v>0</v>
      </c>
      <c r="K1415" s="31">
        <f t="shared" si="253"/>
        <v>570000</v>
      </c>
      <c r="L1415" s="50">
        <v>0</v>
      </c>
      <c r="M1415" s="31">
        <f t="shared" si="254"/>
        <v>0</v>
      </c>
      <c r="N1415" s="50">
        <v>0</v>
      </c>
      <c r="O1415" s="31">
        <f t="shared" si="255"/>
        <v>0</v>
      </c>
      <c r="P1415" s="51"/>
      <c r="Q1415" s="51"/>
    </row>
    <row r="1416" spans="1:17" x14ac:dyDescent="0.25">
      <c r="A1416" s="10"/>
      <c r="B1416" s="594">
        <v>0</v>
      </c>
      <c r="C1416" s="31">
        <f t="shared" si="249"/>
        <v>157079012.90000001</v>
      </c>
      <c r="D1416" s="50">
        <v>0</v>
      </c>
      <c r="E1416" s="31">
        <f t="shared" si="250"/>
        <v>0</v>
      </c>
      <c r="F1416" s="900">
        <v>0</v>
      </c>
      <c r="G1416" s="899">
        <f t="shared" si="251"/>
        <v>474353.82</v>
      </c>
      <c r="H1416" s="50">
        <v>0</v>
      </c>
      <c r="I1416" s="31">
        <f t="shared" si="252"/>
        <v>0</v>
      </c>
      <c r="J1416" s="50">
        <v>0</v>
      </c>
      <c r="K1416" s="31">
        <f t="shared" si="253"/>
        <v>570000</v>
      </c>
      <c r="L1416" s="50">
        <v>0</v>
      </c>
      <c r="M1416" s="31">
        <f t="shared" si="254"/>
        <v>0</v>
      </c>
      <c r="N1416" s="50">
        <v>0</v>
      </c>
      <c r="O1416" s="31">
        <f t="shared" si="255"/>
        <v>0</v>
      </c>
      <c r="P1416" s="51"/>
      <c r="Q1416" s="51"/>
    </row>
    <row r="1417" spans="1:17" x14ac:dyDescent="0.25">
      <c r="A1417" s="10"/>
      <c r="B1417" s="594">
        <v>0</v>
      </c>
      <c r="C1417" s="31">
        <f t="shared" si="249"/>
        <v>157079012.90000001</v>
      </c>
      <c r="D1417" s="50">
        <v>0</v>
      </c>
      <c r="E1417" s="31">
        <f t="shared" si="250"/>
        <v>0</v>
      </c>
      <c r="F1417" s="900">
        <v>0</v>
      </c>
      <c r="G1417" s="899">
        <f t="shared" si="251"/>
        <v>474353.82</v>
      </c>
      <c r="H1417" s="50">
        <v>0</v>
      </c>
      <c r="I1417" s="31">
        <f t="shared" si="252"/>
        <v>0</v>
      </c>
      <c r="J1417" s="50">
        <v>0</v>
      </c>
      <c r="K1417" s="31">
        <f t="shared" si="253"/>
        <v>570000</v>
      </c>
      <c r="L1417" s="50">
        <v>0</v>
      </c>
      <c r="M1417" s="31">
        <f t="shared" si="254"/>
        <v>0</v>
      </c>
      <c r="N1417" s="50">
        <v>0</v>
      </c>
      <c r="O1417" s="31">
        <f t="shared" si="255"/>
        <v>0</v>
      </c>
      <c r="P1417" s="51"/>
      <c r="Q1417" s="51"/>
    </row>
    <row r="1418" spans="1:17" x14ac:dyDescent="0.25">
      <c r="A1418" s="10"/>
      <c r="B1418" s="594">
        <v>0</v>
      </c>
      <c r="C1418" s="31">
        <f t="shared" si="249"/>
        <v>157079012.90000001</v>
      </c>
      <c r="D1418" s="50">
        <v>0</v>
      </c>
      <c r="E1418" s="31">
        <f t="shared" si="250"/>
        <v>0</v>
      </c>
      <c r="F1418" s="900">
        <v>0</v>
      </c>
      <c r="G1418" s="899">
        <f t="shared" si="251"/>
        <v>474353.82</v>
      </c>
      <c r="H1418" s="50">
        <v>0</v>
      </c>
      <c r="I1418" s="31">
        <f t="shared" si="252"/>
        <v>0</v>
      </c>
      <c r="J1418" s="50">
        <v>0</v>
      </c>
      <c r="K1418" s="31">
        <f t="shared" si="253"/>
        <v>570000</v>
      </c>
      <c r="L1418" s="50">
        <v>0</v>
      </c>
      <c r="M1418" s="31">
        <f t="shared" si="254"/>
        <v>0</v>
      </c>
      <c r="N1418" s="50">
        <v>0</v>
      </c>
      <c r="O1418" s="31">
        <f t="shared" si="255"/>
        <v>0</v>
      </c>
      <c r="P1418" s="51"/>
      <c r="Q1418" s="51"/>
    </row>
    <row r="1419" spans="1:17" x14ac:dyDescent="0.25">
      <c r="A1419" s="10"/>
      <c r="B1419" s="594">
        <v>0</v>
      </c>
      <c r="C1419" s="31">
        <f t="shared" si="249"/>
        <v>157079012.90000001</v>
      </c>
      <c r="D1419" s="50">
        <v>0</v>
      </c>
      <c r="E1419" s="31">
        <f t="shared" si="250"/>
        <v>0</v>
      </c>
      <c r="F1419" s="900">
        <v>0</v>
      </c>
      <c r="G1419" s="899">
        <f t="shared" si="251"/>
        <v>474353.82</v>
      </c>
      <c r="H1419" s="50">
        <v>0</v>
      </c>
      <c r="I1419" s="31">
        <f t="shared" si="252"/>
        <v>0</v>
      </c>
      <c r="J1419" s="50">
        <v>0</v>
      </c>
      <c r="K1419" s="31">
        <f t="shared" si="253"/>
        <v>570000</v>
      </c>
      <c r="L1419" s="50">
        <v>0</v>
      </c>
      <c r="M1419" s="31">
        <f t="shared" si="254"/>
        <v>0</v>
      </c>
      <c r="N1419" s="50">
        <v>0</v>
      </c>
      <c r="O1419" s="31">
        <f t="shared" si="255"/>
        <v>0</v>
      </c>
      <c r="P1419" s="51"/>
      <c r="Q1419" s="51"/>
    </row>
    <row r="1420" spans="1:17" x14ac:dyDescent="0.25">
      <c r="A1420" s="10"/>
      <c r="B1420" s="594">
        <v>0</v>
      </c>
      <c r="C1420" s="31">
        <f t="shared" si="249"/>
        <v>157079012.90000001</v>
      </c>
      <c r="D1420" s="50">
        <v>0</v>
      </c>
      <c r="E1420" s="31">
        <f t="shared" si="250"/>
        <v>0</v>
      </c>
      <c r="F1420" s="900">
        <v>0</v>
      </c>
      <c r="G1420" s="899">
        <f t="shared" si="251"/>
        <v>474353.82</v>
      </c>
      <c r="H1420" s="50">
        <v>0</v>
      </c>
      <c r="I1420" s="31">
        <f t="shared" si="252"/>
        <v>0</v>
      </c>
      <c r="J1420" s="50">
        <v>0</v>
      </c>
      <c r="K1420" s="31">
        <f t="shared" si="253"/>
        <v>570000</v>
      </c>
      <c r="L1420" s="50">
        <v>0</v>
      </c>
      <c r="M1420" s="31">
        <f t="shared" si="254"/>
        <v>0</v>
      </c>
      <c r="N1420" s="50">
        <v>0</v>
      </c>
      <c r="O1420" s="31">
        <f t="shared" si="255"/>
        <v>0</v>
      </c>
      <c r="P1420" s="51"/>
      <c r="Q1420" s="51"/>
    </row>
    <row r="1421" spans="1:17" x14ac:dyDescent="0.25">
      <c r="A1421" s="10"/>
      <c r="B1421" s="594">
        <v>0</v>
      </c>
      <c r="C1421" s="31">
        <f t="shared" si="249"/>
        <v>157079012.90000001</v>
      </c>
      <c r="D1421" s="50">
        <v>0</v>
      </c>
      <c r="E1421" s="31">
        <f t="shared" si="250"/>
        <v>0</v>
      </c>
      <c r="F1421" s="900">
        <v>0</v>
      </c>
      <c r="G1421" s="899">
        <f t="shared" si="251"/>
        <v>474353.82</v>
      </c>
      <c r="H1421" s="50">
        <v>0</v>
      </c>
      <c r="I1421" s="31">
        <f t="shared" si="252"/>
        <v>0</v>
      </c>
      <c r="J1421" s="50">
        <v>0</v>
      </c>
      <c r="K1421" s="31">
        <f t="shared" si="253"/>
        <v>570000</v>
      </c>
      <c r="L1421" s="50">
        <v>0</v>
      </c>
      <c r="M1421" s="31">
        <f t="shared" si="254"/>
        <v>0</v>
      </c>
      <c r="N1421" s="50">
        <v>0</v>
      </c>
      <c r="O1421" s="31">
        <f t="shared" si="255"/>
        <v>0</v>
      </c>
      <c r="P1421" s="51"/>
      <c r="Q1421" s="51"/>
    </row>
    <row r="1422" spans="1:17" x14ac:dyDescent="0.25">
      <c r="A1422" s="10"/>
      <c r="B1422" s="594">
        <v>0</v>
      </c>
      <c r="C1422" s="31">
        <f t="shared" si="249"/>
        <v>157079012.90000001</v>
      </c>
      <c r="D1422" s="50">
        <v>0</v>
      </c>
      <c r="E1422" s="31">
        <f t="shared" si="250"/>
        <v>0</v>
      </c>
      <c r="F1422" s="900">
        <v>0</v>
      </c>
      <c r="G1422" s="899">
        <f t="shared" si="251"/>
        <v>474353.82</v>
      </c>
      <c r="H1422" s="50">
        <v>0</v>
      </c>
      <c r="I1422" s="31">
        <f t="shared" si="252"/>
        <v>0</v>
      </c>
      <c r="J1422" s="50">
        <v>0</v>
      </c>
      <c r="K1422" s="31">
        <f t="shared" si="253"/>
        <v>570000</v>
      </c>
      <c r="L1422" s="50">
        <v>0</v>
      </c>
      <c r="M1422" s="31">
        <f t="shared" si="254"/>
        <v>0</v>
      </c>
      <c r="N1422" s="50">
        <v>0</v>
      </c>
      <c r="O1422" s="31">
        <f t="shared" si="255"/>
        <v>0</v>
      </c>
      <c r="P1422" s="51"/>
      <c r="Q1422" s="51"/>
    </row>
    <row r="1423" spans="1:17" x14ac:dyDescent="0.25">
      <c r="A1423" s="10"/>
      <c r="B1423" s="594">
        <v>0</v>
      </c>
      <c r="C1423" s="31">
        <f t="shared" si="249"/>
        <v>157079012.90000001</v>
      </c>
      <c r="D1423" s="50">
        <v>0</v>
      </c>
      <c r="E1423" s="31">
        <f t="shared" si="250"/>
        <v>0</v>
      </c>
      <c r="F1423" s="900">
        <v>0</v>
      </c>
      <c r="G1423" s="899">
        <f t="shared" si="251"/>
        <v>474353.82</v>
      </c>
      <c r="H1423" s="50">
        <v>0</v>
      </c>
      <c r="I1423" s="31">
        <f t="shared" si="252"/>
        <v>0</v>
      </c>
      <c r="J1423" s="50">
        <v>0</v>
      </c>
      <c r="K1423" s="31">
        <f t="shared" si="253"/>
        <v>570000</v>
      </c>
      <c r="L1423" s="50">
        <v>0</v>
      </c>
      <c r="M1423" s="31">
        <f t="shared" si="254"/>
        <v>0</v>
      </c>
      <c r="N1423" s="50">
        <v>0</v>
      </c>
      <c r="O1423" s="31">
        <f t="shared" si="255"/>
        <v>0</v>
      </c>
      <c r="P1423" s="51"/>
      <c r="Q1423" s="51"/>
    </row>
    <row r="1424" spans="1:17" x14ac:dyDescent="0.25">
      <c r="A1424" s="10"/>
      <c r="B1424" s="594">
        <v>0</v>
      </c>
      <c r="C1424" s="31">
        <f t="shared" si="249"/>
        <v>157079012.90000001</v>
      </c>
      <c r="D1424" s="50">
        <v>0</v>
      </c>
      <c r="E1424" s="31">
        <f t="shared" si="250"/>
        <v>0</v>
      </c>
      <c r="F1424" s="900">
        <v>0</v>
      </c>
      <c r="G1424" s="899">
        <f t="shared" si="251"/>
        <v>474353.82</v>
      </c>
      <c r="H1424" s="50">
        <v>0</v>
      </c>
      <c r="I1424" s="31">
        <f t="shared" si="252"/>
        <v>0</v>
      </c>
      <c r="J1424" s="50">
        <v>0</v>
      </c>
      <c r="K1424" s="31">
        <f t="shared" si="253"/>
        <v>570000</v>
      </c>
      <c r="L1424" s="50">
        <v>0</v>
      </c>
      <c r="M1424" s="31">
        <f t="shared" si="254"/>
        <v>0</v>
      </c>
      <c r="N1424" s="50">
        <v>0</v>
      </c>
      <c r="O1424" s="31">
        <f t="shared" si="255"/>
        <v>0</v>
      </c>
      <c r="P1424" s="51"/>
      <c r="Q1424" s="51"/>
    </row>
    <row r="1425" spans="1:17" x14ac:dyDescent="0.25">
      <c r="A1425" s="10"/>
      <c r="B1425" s="594">
        <v>0</v>
      </c>
      <c r="C1425" s="31">
        <f t="shared" si="249"/>
        <v>157079012.90000001</v>
      </c>
      <c r="D1425" s="50">
        <v>0</v>
      </c>
      <c r="E1425" s="31">
        <f t="shared" si="250"/>
        <v>0</v>
      </c>
      <c r="F1425" s="900">
        <v>0</v>
      </c>
      <c r="G1425" s="899">
        <f t="shared" si="251"/>
        <v>474353.82</v>
      </c>
      <c r="H1425" s="50">
        <v>0</v>
      </c>
      <c r="I1425" s="31">
        <f t="shared" si="252"/>
        <v>0</v>
      </c>
      <c r="J1425" s="50">
        <v>0</v>
      </c>
      <c r="K1425" s="31">
        <f t="shared" si="253"/>
        <v>570000</v>
      </c>
      <c r="L1425" s="50">
        <v>0</v>
      </c>
      <c r="M1425" s="31">
        <f t="shared" si="254"/>
        <v>0</v>
      </c>
      <c r="N1425" s="50">
        <v>0</v>
      </c>
      <c r="O1425" s="31">
        <f t="shared" si="255"/>
        <v>0</v>
      </c>
      <c r="P1425" s="51"/>
      <c r="Q1425" s="51"/>
    </row>
    <row r="1426" spans="1:17" x14ac:dyDescent="0.25">
      <c r="A1426" s="10"/>
      <c r="B1426" s="594">
        <v>0</v>
      </c>
      <c r="C1426" s="31">
        <f t="shared" si="249"/>
        <v>157079012.90000001</v>
      </c>
      <c r="D1426" s="50">
        <v>0</v>
      </c>
      <c r="E1426" s="31">
        <f t="shared" si="250"/>
        <v>0</v>
      </c>
      <c r="F1426" s="900">
        <v>0</v>
      </c>
      <c r="G1426" s="899">
        <f t="shared" si="251"/>
        <v>474353.82</v>
      </c>
      <c r="H1426" s="50">
        <v>0</v>
      </c>
      <c r="I1426" s="31">
        <f t="shared" si="252"/>
        <v>0</v>
      </c>
      <c r="J1426" s="50">
        <v>0</v>
      </c>
      <c r="K1426" s="31">
        <f t="shared" si="253"/>
        <v>570000</v>
      </c>
      <c r="L1426" s="50">
        <v>0</v>
      </c>
      <c r="M1426" s="31">
        <f t="shared" si="254"/>
        <v>0</v>
      </c>
      <c r="N1426" s="50">
        <v>0</v>
      </c>
      <c r="O1426" s="31">
        <f t="shared" si="255"/>
        <v>0</v>
      </c>
      <c r="P1426" s="51"/>
      <c r="Q1426" s="51"/>
    </row>
    <row r="1427" spans="1:17" x14ac:dyDescent="0.25">
      <c r="A1427" s="10"/>
      <c r="B1427" s="594">
        <v>0</v>
      </c>
      <c r="C1427" s="31">
        <f t="shared" si="249"/>
        <v>157079012.90000001</v>
      </c>
      <c r="D1427" s="50">
        <v>0</v>
      </c>
      <c r="E1427" s="31">
        <f t="shared" si="250"/>
        <v>0</v>
      </c>
      <c r="F1427" s="900">
        <v>0</v>
      </c>
      <c r="G1427" s="899">
        <f t="shared" si="251"/>
        <v>474353.82</v>
      </c>
      <c r="H1427" s="50">
        <v>0</v>
      </c>
      <c r="I1427" s="31">
        <f t="shared" si="252"/>
        <v>0</v>
      </c>
      <c r="J1427" s="50">
        <v>0</v>
      </c>
      <c r="K1427" s="31">
        <f t="shared" si="253"/>
        <v>570000</v>
      </c>
      <c r="L1427" s="50">
        <v>0</v>
      </c>
      <c r="M1427" s="31">
        <f t="shared" si="254"/>
        <v>0</v>
      </c>
      <c r="N1427" s="50">
        <v>0</v>
      </c>
      <c r="O1427" s="31">
        <f t="shared" si="255"/>
        <v>0</v>
      </c>
      <c r="P1427" s="51"/>
      <c r="Q1427" s="51"/>
    </row>
    <row r="1428" spans="1:17" x14ac:dyDescent="0.25">
      <c r="A1428" s="10"/>
      <c r="B1428" s="594">
        <v>0</v>
      </c>
      <c r="C1428" s="31">
        <f t="shared" si="249"/>
        <v>157079012.90000001</v>
      </c>
      <c r="D1428" s="50">
        <v>0</v>
      </c>
      <c r="E1428" s="31">
        <f t="shared" si="250"/>
        <v>0</v>
      </c>
      <c r="F1428" s="900">
        <v>0</v>
      </c>
      <c r="G1428" s="899">
        <f t="shared" si="251"/>
        <v>474353.82</v>
      </c>
      <c r="H1428" s="50">
        <v>0</v>
      </c>
      <c r="I1428" s="31">
        <f t="shared" si="252"/>
        <v>0</v>
      </c>
      <c r="J1428" s="50">
        <v>0</v>
      </c>
      <c r="K1428" s="31">
        <f t="shared" si="253"/>
        <v>570000</v>
      </c>
      <c r="L1428" s="50">
        <v>0</v>
      </c>
      <c r="M1428" s="31">
        <f t="shared" si="254"/>
        <v>0</v>
      </c>
      <c r="N1428" s="50">
        <v>0</v>
      </c>
      <c r="O1428" s="31">
        <f t="shared" si="255"/>
        <v>0</v>
      </c>
      <c r="P1428" s="51"/>
      <c r="Q1428" s="51"/>
    </row>
    <row r="1429" spans="1:17" x14ac:dyDescent="0.25">
      <c r="A1429" s="10"/>
      <c r="B1429" s="594">
        <v>0</v>
      </c>
      <c r="C1429" s="31">
        <f t="shared" si="249"/>
        <v>157079012.90000001</v>
      </c>
      <c r="D1429" s="50">
        <v>0</v>
      </c>
      <c r="E1429" s="31">
        <f t="shared" si="250"/>
        <v>0</v>
      </c>
      <c r="F1429" s="900">
        <v>0</v>
      </c>
      <c r="G1429" s="899">
        <f t="shared" si="251"/>
        <v>474353.82</v>
      </c>
      <c r="H1429" s="50">
        <v>0</v>
      </c>
      <c r="I1429" s="31">
        <f t="shared" si="252"/>
        <v>0</v>
      </c>
      <c r="J1429" s="50">
        <v>0</v>
      </c>
      <c r="K1429" s="31">
        <f t="shared" si="253"/>
        <v>570000</v>
      </c>
      <c r="L1429" s="50">
        <v>0</v>
      </c>
      <c r="M1429" s="31">
        <f t="shared" si="254"/>
        <v>0</v>
      </c>
      <c r="N1429" s="50">
        <v>0</v>
      </c>
      <c r="O1429" s="31">
        <f t="shared" si="255"/>
        <v>0</v>
      </c>
      <c r="P1429" s="51"/>
      <c r="Q1429" s="51"/>
    </row>
    <row r="1430" spans="1:17" x14ac:dyDescent="0.25">
      <c r="A1430" s="10"/>
      <c r="B1430" s="594">
        <v>0</v>
      </c>
      <c r="C1430" s="31">
        <f t="shared" si="249"/>
        <v>157079012.90000001</v>
      </c>
      <c r="D1430" s="50">
        <v>0</v>
      </c>
      <c r="E1430" s="31">
        <f t="shared" si="250"/>
        <v>0</v>
      </c>
      <c r="F1430" s="900">
        <v>0</v>
      </c>
      <c r="G1430" s="899">
        <f t="shared" si="251"/>
        <v>474353.82</v>
      </c>
      <c r="H1430" s="50">
        <v>0</v>
      </c>
      <c r="I1430" s="31">
        <f t="shared" si="252"/>
        <v>0</v>
      </c>
      <c r="J1430" s="50">
        <v>0</v>
      </c>
      <c r="K1430" s="31">
        <f t="shared" si="253"/>
        <v>570000</v>
      </c>
      <c r="L1430" s="50">
        <v>0</v>
      </c>
      <c r="M1430" s="31">
        <f t="shared" si="254"/>
        <v>0</v>
      </c>
      <c r="N1430" s="50">
        <v>0</v>
      </c>
      <c r="O1430" s="31">
        <f t="shared" si="255"/>
        <v>0</v>
      </c>
      <c r="P1430" s="51"/>
      <c r="Q1430" s="51"/>
    </row>
    <row r="1431" spans="1:17" x14ac:dyDescent="0.25">
      <c r="A1431" s="10"/>
      <c r="B1431" s="594">
        <v>0</v>
      </c>
      <c r="C1431" s="31">
        <f t="shared" si="249"/>
        <v>157079012.90000001</v>
      </c>
      <c r="D1431" s="50">
        <v>0</v>
      </c>
      <c r="E1431" s="31">
        <f t="shared" si="250"/>
        <v>0</v>
      </c>
      <c r="F1431" s="900">
        <v>0</v>
      </c>
      <c r="G1431" s="899">
        <f t="shared" si="251"/>
        <v>474353.82</v>
      </c>
      <c r="H1431" s="50">
        <v>0</v>
      </c>
      <c r="I1431" s="31">
        <f t="shared" si="252"/>
        <v>0</v>
      </c>
      <c r="J1431" s="50">
        <v>0</v>
      </c>
      <c r="K1431" s="31">
        <f t="shared" si="253"/>
        <v>570000</v>
      </c>
      <c r="L1431" s="50">
        <v>0</v>
      </c>
      <c r="M1431" s="31">
        <f t="shared" si="254"/>
        <v>0</v>
      </c>
      <c r="N1431" s="50">
        <v>0</v>
      </c>
      <c r="O1431" s="31">
        <f t="shared" si="255"/>
        <v>0</v>
      </c>
      <c r="P1431" s="51"/>
      <c r="Q1431" s="51"/>
    </row>
    <row r="1432" spans="1:17" x14ac:dyDescent="0.25">
      <c r="A1432" s="10"/>
      <c r="B1432" s="594">
        <v>0</v>
      </c>
      <c r="C1432" s="31">
        <f t="shared" si="249"/>
        <v>157079012.90000001</v>
      </c>
      <c r="D1432" s="50">
        <v>0</v>
      </c>
      <c r="E1432" s="31">
        <f t="shared" si="250"/>
        <v>0</v>
      </c>
      <c r="F1432" s="900">
        <v>0</v>
      </c>
      <c r="G1432" s="899">
        <f t="shared" si="251"/>
        <v>474353.82</v>
      </c>
      <c r="H1432" s="50">
        <v>0</v>
      </c>
      <c r="I1432" s="31">
        <f t="shared" si="252"/>
        <v>0</v>
      </c>
      <c r="J1432" s="50">
        <v>0</v>
      </c>
      <c r="K1432" s="31">
        <f t="shared" si="253"/>
        <v>570000</v>
      </c>
      <c r="L1432" s="50">
        <v>0</v>
      </c>
      <c r="M1432" s="31">
        <f t="shared" si="254"/>
        <v>0</v>
      </c>
      <c r="N1432" s="50">
        <v>0</v>
      </c>
      <c r="O1432" s="31">
        <f t="shared" si="255"/>
        <v>0</v>
      </c>
      <c r="P1432" s="51"/>
      <c r="Q1432" s="51"/>
    </row>
    <row r="1433" spans="1:17" x14ac:dyDescent="0.25">
      <c r="A1433" s="10"/>
      <c r="B1433" s="594">
        <v>0</v>
      </c>
      <c r="C1433" s="31">
        <f t="shared" si="249"/>
        <v>157079012.90000001</v>
      </c>
      <c r="D1433" s="50">
        <v>0</v>
      </c>
      <c r="E1433" s="31">
        <f t="shared" si="250"/>
        <v>0</v>
      </c>
      <c r="F1433" s="900">
        <v>0</v>
      </c>
      <c r="G1433" s="899">
        <f t="shared" si="251"/>
        <v>474353.82</v>
      </c>
      <c r="H1433" s="50">
        <v>0</v>
      </c>
      <c r="I1433" s="31">
        <f t="shared" si="252"/>
        <v>0</v>
      </c>
      <c r="J1433" s="50">
        <v>0</v>
      </c>
      <c r="K1433" s="31">
        <f t="shared" si="253"/>
        <v>570000</v>
      </c>
      <c r="L1433" s="50">
        <v>0</v>
      </c>
      <c r="M1433" s="31">
        <f t="shared" si="254"/>
        <v>0</v>
      </c>
      <c r="N1433" s="50">
        <v>0</v>
      </c>
      <c r="O1433" s="31">
        <f t="shared" si="255"/>
        <v>0</v>
      </c>
      <c r="P1433" s="51"/>
      <c r="Q1433" s="51"/>
    </row>
    <row r="1434" spans="1:17" x14ac:dyDescent="0.25">
      <c r="A1434" s="10"/>
      <c r="B1434" s="594">
        <v>0</v>
      </c>
      <c r="C1434" s="31">
        <f t="shared" si="249"/>
        <v>157079012.90000001</v>
      </c>
      <c r="D1434" s="50">
        <v>0</v>
      </c>
      <c r="E1434" s="31">
        <f t="shared" si="250"/>
        <v>0</v>
      </c>
      <c r="F1434" s="900">
        <v>0</v>
      </c>
      <c r="G1434" s="899">
        <f t="shared" si="251"/>
        <v>474353.82</v>
      </c>
      <c r="H1434" s="50">
        <v>0</v>
      </c>
      <c r="I1434" s="31">
        <f t="shared" si="252"/>
        <v>0</v>
      </c>
      <c r="J1434" s="50">
        <v>0</v>
      </c>
      <c r="K1434" s="31">
        <f t="shared" si="253"/>
        <v>570000</v>
      </c>
      <c r="L1434" s="50">
        <v>0</v>
      </c>
      <c r="M1434" s="31">
        <f t="shared" si="254"/>
        <v>0</v>
      </c>
      <c r="N1434" s="50">
        <v>0</v>
      </c>
      <c r="O1434" s="31">
        <f t="shared" si="255"/>
        <v>0</v>
      </c>
      <c r="P1434" s="51"/>
      <c r="Q1434" s="51"/>
    </row>
    <row r="1435" spans="1:17" x14ac:dyDescent="0.25">
      <c r="A1435" s="10"/>
      <c r="B1435" s="594">
        <v>0</v>
      </c>
      <c r="C1435" s="31">
        <f t="shared" si="249"/>
        <v>157079012.90000001</v>
      </c>
      <c r="D1435" s="50">
        <v>0</v>
      </c>
      <c r="E1435" s="31">
        <f t="shared" si="250"/>
        <v>0</v>
      </c>
      <c r="F1435" s="900">
        <v>0</v>
      </c>
      <c r="G1435" s="899">
        <f t="shared" si="251"/>
        <v>474353.82</v>
      </c>
      <c r="H1435" s="50">
        <v>0</v>
      </c>
      <c r="I1435" s="31">
        <f t="shared" si="252"/>
        <v>0</v>
      </c>
      <c r="J1435" s="50">
        <v>0</v>
      </c>
      <c r="K1435" s="31">
        <f t="shared" si="253"/>
        <v>570000</v>
      </c>
      <c r="L1435" s="50">
        <v>0</v>
      </c>
      <c r="M1435" s="31">
        <f t="shared" si="254"/>
        <v>0</v>
      </c>
      <c r="N1435" s="50">
        <v>0</v>
      </c>
      <c r="O1435" s="31">
        <f t="shared" si="255"/>
        <v>0</v>
      </c>
      <c r="P1435" s="51"/>
      <c r="Q1435" s="51"/>
    </row>
    <row r="1436" spans="1:17" x14ac:dyDescent="0.25">
      <c r="A1436" s="10"/>
      <c r="B1436" s="594">
        <v>0</v>
      </c>
      <c r="C1436" s="31">
        <f t="shared" si="249"/>
        <v>157079012.90000001</v>
      </c>
      <c r="D1436" s="50">
        <v>0</v>
      </c>
      <c r="E1436" s="31">
        <f t="shared" si="250"/>
        <v>0</v>
      </c>
      <c r="F1436" s="900">
        <v>0</v>
      </c>
      <c r="G1436" s="899">
        <f t="shared" si="251"/>
        <v>474353.82</v>
      </c>
      <c r="H1436" s="50">
        <v>0</v>
      </c>
      <c r="I1436" s="31">
        <f t="shared" si="252"/>
        <v>0</v>
      </c>
      <c r="J1436" s="50">
        <v>0</v>
      </c>
      <c r="K1436" s="31">
        <f t="shared" si="253"/>
        <v>570000</v>
      </c>
      <c r="L1436" s="50">
        <v>0</v>
      </c>
      <c r="M1436" s="31">
        <f t="shared" si="254"/>
        <v>0</v>
      </c>
      <c r="N1436" s="50">
        <v>0</v>
      </c>
      <c r="O1436" s="31">
        <f t="shared" si="255"/>
        <v>0</v>
      </c>
      <c r="P1436" s="51"/>
      <c r="Q1436" s="51"/>
    </row>
    <row r="1437" spans="1:17" x14ac:dyDescent="0.25">
      <c r="A1437" s="10"/>
      <c r="B1437" s="594">
        <v>0</v>
      </c>
      <c r="C1437" s="31">
        <f t="shared" ref="C1437:C1447" si="256">ROUND(B1437+C1436,2)</f>
        <v>157079012.90000001</v>
      </c>
      <c r="D1437" s="50">
        <v>0</v>
      </c>
      <c r="E1437" s="31">
        <f t="shared" ref="E1437:E1447" si="257">ROUND(D1437+E1436,2)</f>
        <v>0</v>
      </c>
      <c r="F1437" s="900">
        <v>0</v>
      </c>
      <c r="G1437" s="899">
        <f t="shared" ref="G1437:G1447" si="258">ROUND(F1437+G1436,2)</f>
        <v>474353.82</v>
      </c>
      <c r="H1437" s="50">
        <v>0</v>
      </c>
      <c r="I1437" s="31">
        <f t="shared" ref="I1437:I1447" si="259">ROUND(H1437+I1436,2)</f>
        <v>0</v>
      </c>
      <c r="J1437" s="50">
        <v>0</v>
      </c>
      <c r="K1437" s="31">
        <f t="shared" ref="K1437:K1447" si="260">ROUND(J1437+K1436,2)</f>
        <v>570000</v>
      </c>
      <c r="L1437" s="50">
        <v>0</v>
      </c>
      <c r="M1437" s="31">
        <f t="shared" ref="M1437:M1447" si="261">ROUND(L1437+M1436,2)</f>
        <v>0</v>
      </c>
      <c r="N1437" s="50">
        <v>0</v>
      </c>
      <c r="O1437" s="31">
        <f t="shared" ref="O1437:O1447" si="262">ROUND(N1437+O1436,2)</f>
        <v>0</v>
      </c>
      <c r="P1437" s="51"/>
      <c r="Q1437" s="51"/>
    </row>
    <row r="1438" spans="1:17" x14ac:dyDescent="0.25">
      <c r="A1438" s="10"/>
      <c r="B1438" s="594">
        <v>0</v>
      </c>
      <c r="C1438" s="31">
        <f t="shared" si="256"/>
        <v>157079012.90000001</v>
      </c>
      <c r="D1438" s="50">
        <v>0</v>
      </c>
      <c r="E1438" s="31">
        <f t="shared" si="257"/>
        <v>0</v>
      </c>
      <c r="F1438" s="900">
        <v>0</v>
      </c>
      <c r="G1438" s="899">
        <f t="shared" si="258"/>
        <v>474353.82</v>
      </c>
      <c r="H1438" s="50">
        <v>0</v>
      </c>
      <c r="I1438" s="31">
        <f t="shared" si="259"/>
        <v>0</v>
      </c>
      <c r="J1438" s="50">
        <v>0</v>
      </c>
      <c r="K1438" s="31">
        <f t="shared" si="260"/>
        <v>570000</v>
      </c>
      <c r="L1438" s="50">
        <v>0</v>
      </c>
      <c r="M1438" s="31">
        <f t="shared" si="261"/>
        <v>0</v>
      </c>
      <c r="N1438" s="50">
        <v>0</v>
      </c>
      <c r="O1438" s="31">
        <f t="shared" si="262"/>
        <v>0</v>
      </c>
      <c r="P1438" s="51"/>
      <c r="Q1438" s="51"/>
    </row>
    <row r="1439" spans="1:17" x14ac:dyDescent="0.25">
      <c r="A1439" s="10"/>
      <c r="B1439" s="594">
        <v>0</v>
      </c>
      <c r="C1439" s="31">
        <f t="shared" si="256"/>
        <v>157079012.90000001</v>
      </c>
      <c r="D1439" s="50">
        <v>0</v>
      </c>
      <c r="E1439" s="31">
        <f t="shared" si="257"/>
        <v>0</v>
      </c>
      <c r="F1439" s="900">
        <v>0</v>
      </c>
      <c r="G1439" s="899">
        <f t="shared" si="258"/>
        <v>474353.82</v>
      </c>
      <c r="H1439" s="50">
        <v>0</v>
      </c>
      <c r="I1439" s="31">
        <f t="shared" si="259"/>
        <v>0</v>
      </c>
      <c r="J1439" s="50">
        <v>0</v>
      </c>
      <c r="K1439" s="31">
        <f t="shared" si="260"/>
        <v>570000</v>
      </c>
      <c r="L1439" s="50">
        <v>0</v>
      </c>
      <c r="M1439" s="31">
        <f t="shared" si="261"/>
        <v>0</v>
      </c>
      <c r="N1439" s="50">
        <v>0</v>
      </c>
      <c r="O1439" s="31">
        <f t="shared" si="262"/>
        <v>0</v>
      </c>
      <c r="P1439" s="51"/>
      <c r="Q1439" s="51"/>
    </row>
    <row r="1440" spans="1:17" x14ac:dyDescent="0.25">
      <c r="A1440" s="10"/>
      <c r="B1440" s="594">
        <v>0</v>
      </c>
      <c r="C1440" s="31">
        <f t="shared" si="256"/>
        <v>157079012.90000001</v>
      </c>
      <c r="D1440" s="50">
        <v>0</v>
      </c>
      <c r="E1440" s="31">
        <f t="shared" si="257"/>
        <v>0</v>
      </c>
      <c r="F1440" s="900">
        <v>0</v>
      </c>
      <c r="G1440" s="899">
        <f t="shared" si="258"/>
        <v>474353.82</v>
      </c>
      <c r="H1440" s="50">
        <v>0</v>
      </c>
      <c r="I1440" s="31">
        <f t="shared" si="259"/>
        <v>0</v>
      </c>
      <c r="J1440" s="50">
        <v>0</v>
      </c>
      <c r="K1440" s="31">
        <f t="shared" si="260"/>
        <v>570000</v>
      </c>
      <c r="L1440" s="50">
        <v>0</v>
      </c>
      <c r="M1440" s="31">
        <f t="shared" si="261"/>
        <v>0</v>
      </c>
      <c r="N1440" s="50">
        <v>0</v>
      </c>
      <c r="O1440" s="31">
        <f t="shared" si="262"/>
        <v>0</v>
      </c>
      <c r="P1440" s="51"/>
      <c r="Q1440" s="51"/>
    </row>
    <row r="1441" spans="1:17" x14ac:dyDescent="0.25">
      <c r="A1441" s="10"/>
      <c r="B1441" s="594">
        <v>0</v>
      </c>
      <c r="C1441" s="31">
        <f t="shared" si="256"/>
        <v>157079012.90000001</v>
      </c>
      <c r="D1441" s="50">
        <v>0</v>
      </c>
      <c r="E1441" s="31">
        <f t="shared" si="257"/>
        <v>0</v>
      </c>
      <c r="F1441" s="900">
        <v>0</v>
      </c>
      <c r="G1441" s="899">
        <f t="shared" si="258"/>
        <v>474353.82</v>
      </c>
      <c r="H1441" s="50">
        <v>0</v>
      </c>
      <c r="I1441" s="31">
        <f t="shared" si="259"/>
        <v>0</v>
      </c>
      <c r="J1441" s="50">
        <v>0</v>
      </c>
      <c r="K1441" s="31">
        <f t="shared" si="260"/>
        <v>570000</v>
      </c>
      <c r="L1441" s="50">
        <v>0</v>
      </c>
      <c r="M1441" s="31">
        <f t="shared" si="261"/>
        <v>0</v>
      </c>
      <c r="N1441" s="50">
        <v>0</v>
      </c>
      <c r="O1441" s="31">
        <f t="shared" si="262"/>
        <v>0</v>
      </c>
      <c r="P1441" s="51"/>
      <c r="Q1441" s="51"/>
    </row>
    <row r="1442" spans="1:17" x14ac:dyDescent="0.25">
      <c r="A1442" s="10"/>
      <c r="B1442" s="594">
        <v>0</v>
      </c>
      <c r="C1442" s="31">
        <f t="shared" si="256"/>
        <v>157079012.90000001</v>
      </c>
      <c r="D1442" s="50">
        <v>0</v>
      </c>
      <c r="E1442" s="31">
        <f t="shared" si="257"/>
        <v>0</v>
      </c>
      <c r="F1442" s="900">
        <v>0</v>
      </c>
      <c r="G1442" s="899">
        <f t="shared" si="258"/>
        <v>474353.82</v>
      </c>
      <c r="H1442" s="50">
        <v>0</v>
      </c>
      <c r="I1442" s="31">
        <f t="shared" si="259"/>
        <v>0</v>
      </c>
      <c r="J1442" s="50">
        <v>0</v>
      </c>
      <c r="K1442" s="31">
        <f t="shared" si="260"/>
        <v>570000</v>
      </c>
      <c r="L1442" s="50">
        <v>0</v>
      </c>
      <c r="M1442" s="31">
        <f t="shared" si="261"/>
        <v>0</v>
      </c>
      <c r="N1442" s="50">
        <v>0</v>
      </c>
      <c r="O1442" s="31">
        <f t="shared" si="262"/>
        <v>0</v>
      </c>
      <c r="P1442" s="51"/>
      <c r="Q1442" s="51"/>
    </row>
    <row r="1443" spans="1:17" x14ac:dyDescent="0.25">
      <c r="A1443" s="10"/>
      <c r="B1443" s="594">
        <v>0</v>
      </c>
      <c r="C1443" s="31">
        <f t="shared" si="256"/>
        <v>157079012.90000001</v>
      </c>
      <c r="D1443" s="50">
        <v>0</v>
      </c>
      <c r="E1443" s="31">
        <f t="shared" si="257"/>
        <v>0</v>
      </c>
      <c r="F1443" s="900">
        <v>0</v>
      </c>
      <c r="G1443" s="899">
        <f t="shared" si="258"/>
        <v>474353.82</v>
      </c>
      <c r="H1443" s="50">
        <v>0</v>
      </c>
      <c r="I1443" s="31">
        <f t="shared" si="259"/>
        <v>0</v>
      </c>
      <c r="J1443" s="50">
        <v>0</v>
      </c>
      <c r="K1443" s="31">
        <f t="shared" si="260"/>
        <v>570000</v>
      </c>
      <c r="L1443" s="50">
        <v>0</v>
      </c>
      <c r="M1443" s="31">
        <f t="shared" si="261"/>
        <v>0</v>
      </c>
      <c r="N1443" s="50">
        <v>0</v>
      </c>
      <c r="O1443" s="31">
        <f t="shared" si="262"/>
        <v>0</v>
      </c>
      <c r="P1443" s="51"/>
      <c r="Q1443" s="51"/>
    </row>
    <row r="1444" spans="1:17" x14ac:dyDescent="0.25">
      <c r="A1444" s="10"/>
      <c r="B1444" s="594">
        <v>0</v>
      </c>
      <c r="C1444" s="31">
        <f t="shared" si="256"/>
        <v>157079012.90000001</v>
      </c>
      <c r="D1444" s="50">
        <v>0</v>
      </c>
      <c r="E1444" s="31">
        <f t="shared" si="257"/>
        <v>0</v>
      </c>
      <c r="F1444" s="900">
        <v>0</v>
      </c>
      <c r="G1444" s="899">
        <f t="shared" si="258"/>
        <v>474353.82</v>
      </c>
      <c r="H1444" s="50">
        <v>0</v>
      </c>
      <c r="I1444" s="31">
        <f t="shared" si="259"/>
        <v>0</v>
      </c>
      <c r="J1444" s="50">
        <v>0</v>
      </c>
      <c r="K1444" s="31">
        <f t="shared" si="260"/>
        <v>570000</v>
      </c>
      <c r="L1444" s="50">
        <v>0</v>
      </c>
      <c r="M1444" s="31">
        <f t="shared" si="261"/>
        <v>0</v>
      </c>
      <c r="N1444" s="50">
        <v>0</v>
      </c>
      <c r="O1444" s="31">
        <f t="shared" si="262"/>
        <v>0</v>
      </c>
      <c r="P1444" s="51"/>
      <c r="Q1444" s="51"/>
    </row>
    <row r="1445" spans="1:17" x14ac:dyDescent="0.25">
      <c r="A1445" s="10"/>
      <c r="B1445" s="594">
        <v>0</v>
      </c>
      <c r="C1445" s="31">
        <f t="shared" si="256"/>
        <v>157079012.90000001</v>
      </c>
      <c r="D1445" s="50">
        <v>0</v>
      </c>
      <c r="E1445" s="31">
        <f t="shared" si="257"/>
        <v>0</v>
      </c>
      <c r="F1445" s="900">
        <v>0</v>
      </c>
      <c r="G1445" s="899">
        <f t="shared" si="258"/>
        <v>474353.82</v>
      </c>
      <c r="H1445" s="50">
        <v>0</v>
      </c>
      <c r="I1445" s="31">
        <f t="shared" si="259"/>
        <v>0</v>
      </c>
      <c r="J1445" s="50">
        <v>0</v>
      </c>
      <c r="K1445" s="31">
        <f t="shared" si="260"/>
        <v>570000</v>
      </c>
      <c r="L1445" s="50">
        <v>0</v>
      </c>
      <c r="M1445" s="31">
        <f t="shared" si="261"/>
        <v>0</v>
      </c>
      <c r="N1445" s="50">
        <v>0</v>
      </c>
      <c r="O1445" s="31">
        <f t="shared" si="262"/>
        <v>0</v>
      </c>
      <c r="P1445" s="51"/>
      <c r="Q1445" s="51"/>
    </row>
    <row r="1446" spans="1:17" x14ac:dyDescent="0.25">
      <c r="A1446" s="10"/>
      <c r="B1446" s="594">
        <v>0</v>
      </c>
      <c r="C1446" s="31">
        <f t="shared" si="256"/>
        <v>157079012.90000001</v>
      </c>
      <c r="D1446" s="50">
        <v>0</v>
      </c>
      <c r="E1446" s="31">
        <f t="shared" si="257"/>
        <v>0</v>
      </c>
      <c r="F1446" s="900">
        <v>0</v>
      </c>
      <c r="G1446" s="899">
        <f t="shared" si="258"/>
        <v>474353.82</v>
      </c>
      <c r="H1446" s="50">
        <v>0</v>
      </c>
      <c r="I1446" s="31">
        <f t="shared" si="259"/>
        <v>0</v>
      </c>
      <c r="J1446" s="50">
        <v>0</v>
      </c>
      <c r="K1446" s="31">
        <f t="shared" si="260"/>
        <v>570000</v>
      </c>
      <c r="L1446" s="50">
        <v>0</v>
      </c>
      <c r="M1446" s="31">
        <f t="shared" si="261"/>
        <v>0</v>
      </c>
      <c r="N1446" s="50">
        <v>0</v>
      </c>
      <c r="O1446" s="31">
        <f t="shared" si="262"/>
        <v>0</v>
      </c>
      <c r="P1446" s="51"/>
      <c r="Q1446" s="51"/>
    </row>
    <row r="1447" spans="1:17" x14ac:dyDescent="0.25">
      <c r="A1447" s="10"/>
      <c r="B1447" s="594">
        <v>0</v>
      </c>
      <c r="C1447" s="31">
        <f t="shared" si="256"/>
        <v>157079012.90000001</v>
      </c>
      <c r="D1447" s="50">
        <v>0</v>
      </c>
      <c r="E1447" s="31">
        <f t="shared" si="257"/>
        <v>0</v>
      </c>
      <c r="F1447" s="900">
        <v>0</v>
      </c>
      <c r="G1447" s="899">
        <f t="shared" si="258"/>
        <v>474353.82</v>
      </c>
      <c r="H1447" s="50">
        <v>0</v>
      </c>
      <c r="I1447" s="31">
        <f t="shared" si="259"/>
        <v>0</v>
      </c>
      <c r="J1447" s="50">
        <v>0</v>
      </c>
      <c r="K1447" s="31">
        <f t="shared" si="260"/>
        <v>570000</v>
      </c>
      <c r="L1447" s="50">
        <v>0</v>
      </c>
      <c r="M1447" s="31">
        <f t="shared" si="261"/>
        <v>0</v>
      </c>
      <c r="N1447" s="50">
        <v>0</v>
      </c>
      <c r="O1447" s="31">
        <f t="shared" si="262"/>
        <v>0</v>
      </c>
      <c r="P1447" s="51"/>
      <c r="Q1447" s="51"/>
    </row>
    <row r="1047881" spans="16:16" x14ac:dyDescent="0.25">
      <c r="P1047881" s="51"/>
    </row>
    <row r="1048576" spans="1:1" x14ac:dyDescent="0.25">
      <c r="A1048576" s="765"/>
    </row>
  </sheetData>
  <mergeCells count="9">
    <mergeCell ref="D2:E2"/>
    <mergeCell ref="H2:I2"/>
    <mergeCell ref="P2:P3"/>
    <mergeCell ref="A2:A3"/>
    <mergeCell ref="J2:K2"/>
    <mergeCell ref="N2:O2"/>
    <mergeCell ref="L2:M2"/>
    <mergeCell ref="B2:C2"/>
    <mergeCell ref="F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B1:V638"/>
  <sheetViews>
    <sheetView showGridLines="0" zoomScaleNormal="100" workbookViewId="0">
      <selection activeCell="L32" sqref="L32"/>
    </sheetView>
  </sheetViews>
  <sheetFormatPr defaultColWidth="9.140625" defaultRowHeight="15" x14ac:dyDescent="0.25"/>
  <cols>
    <col min="1" max="1" width="9.140625" style="2"/>
    <col min="2" max="2" width="19.85546875" style="2" bestFit="1" customWidth="1"/>
    <col min="3" max="3" width="12" style="2" customWidth="1"/>
    <col min="4" max="4" width="13.140625" style="2" bestFit="1" customWidth="1"/>
    <col min="5" max="5" width="14.140625" style="2" customWidth="1"/>
    <col min="6" max="7" width="15.5703125" style="2" customWidth="1"/>
    <col min="8" max="9" width="2.85546875" style="2" customWidth="1"/>
    <col min="10" max="11" width="13" style="2" customWidth="1"/>
    <col min="12" max="12" width="21.140625" style="2" customWidth="1"/>
    <col min="13" max="13" width="18.5703125" style="2" bestFit="1" customWidth="1"/>
    <col min="14" max="14" width="18.85546875" style="2" bestFit="1" customWidth="1"/>
    <col min="15" max="15" width="21.140625" style="2" bestFit="1" customWidth="1"/>
    <col min="16" max="16" width="15.140625" style="2" bestFit="1" customWidth="1"/>
    <col min="17" max="17" width="16.140625" style="2" customWidth="1"/>
    <col min="18" max="18" width="14.140625" style="2" bestFit="1" customWidth="1"/>
    <col min="19" max="19" width="10.140625" style="2" bestFit="1" customWidth="1"/>
    <col min="20" max="20" width="17.140625" style="2" bestFit="1" customWidth="1"/>
    <col min="21" max="21" width="15.140625" style="2" bestFit="1" customWidth="1"/>
    <col min="22" max="22" width="14.140625" style="2" bestFit="1" customWidth="1"/>
    <col min="23" max="16384" width="9.140625" style="2"/>
  </cols>
  <sheetData>
    <row r="1" spans="2:19" ht="15.75" thickBot="1" x14ac:dyDescent="0.3">
      <c r="I1" s="411"/>
    </row>
    <row r="2" spans="2:19" ht="16.5" thickTop="1" thickBot="1" x14ac:dyDescent="0.3">
      <c r="B2" s="1287" t="s">
        <v>431</v>
      </c>
      <c r="C2" s="1288"/>
      <c r="E2" s="2" t="s">
        <v>449</v>
      </c>
      <c r="F2" s="2" t="b">
        <f>AND(ABS(SUM(G6:G10))&lt;1,ABS(SUM(G13:G400))&lt;1)</f>
        <v>0</v>
      </c>
      <c r="G2" s="102"/>
      <c r="I2" s="411"/>
      <c r="J2" s="1287" t="s">
        <v>446</v>
      </c>
      <c r="K2" s="1288"/>
      <c r="M2" s="2" t="s">
        <v>449</v>
      </c>
      <c r="N2" s="2" t="b">
        <f>SUM(Q5:Q39)&lt;1</f>
        <v>0</v>
      </c>
      <c r="O2" s="2" t="s">
        <v>2716</v>
      </c>
    </row>
    <row r="3" spans="2:19" ht="16.5" thickTop="1" thickBot="1" x14ac:dyDescent="0.3">
      <c r="G3" s="102"/>
      <c r="I3" s="411"/>
    </row>
    <row r="4" spans="2:19" ht="16.5" thickTop="1" thickBot="1" x14ac:dyDescent="0.3">
      <c r="B4" s="1285" t="s">
        <v>444</v>
      </c>
      <c r="C4" s="1286"/>
      <c r="F4" s="765"/>
      <c r="G4" s="102"/>
      <c r="I4" s="411"/>
      <c r="J4" s="817" t="s">
        <v>772</v>
      </c>
      <c r="K4" s="817" t="s">
        <v>771</v>
      </c>
      <c r="L4" s="817" t="s">
        <v>773</v>
      </c>
      <c r="M4" s="817" t="s">
        <v>774</v>
      </c>
      <c r="N4" s="817" t="s">
        <v>775</v>
      </c>
      <c r="O4" s="817" t="s">
        <v>776</v>
      </c>
      <c r="P4" s="410" t="s">
        <v>450</v>
      </c>
      <c r="Q4" s="410" t="s">
        <v>448</v>
      </c>
    </row>
    <row r="5" spans="2:19" ht="15.75" thickTop="1" x14ac:dyDescent="0.25">
      <c r="B5" s="44" t="s">
        <v>434</v>
      </c>
      <c r="C5" s="44" t="s">
        <v>435</v>
      </c>
      <c r="D5" s="44" t="s">
        <v>130</v>
      </c>
      <c r="E5" s="44" t="s">
        <v>443</v>
      </c>
      <c r="F5" s="44" t="s">
        <v>447</v>
      </c>
      <c r="G5" s="44" t="s">
        <v>448</v>
      </c>
      <c r="H5" s="319"/>
      <c r="I5" s="411"/>
      <c r="J5" s="768">
        <v>44649</v>
      </c>
      <c r="K5" s="765" t="s">
        <v>4995</v>
      </c>
      <c r="L5" s="766">
        <v>211103</v>
      </c>
      <c r="M5" s="767">
        <v>72.760000000000005</v>
      </c>
      <c r="N5" s="767">
        <v>72.760000000000005</v>
      </c>
      <c r="O5" s="765" t="s">
        <v>4580</v>
      </c>
      <c r="P5" s="412">
        <f t="shared" ref="P5:P10" si="0">IF(O5="AVAILABLE",SUMIFS($E$6:$E$16,$C$6:$C$16,L5,$D$6:$D$16,K5)/MAX(IF(O5="AVAILABLE",COUNTIFS($D$6:$D$16,K5,$C$6:$C$16,L5),1),1),IF(O5="REPO COLLATERAL",SUMIFS($E$18:$E$53,$C$18:$C$53,L5,$D$18:$D$53,K5),0)/MAX(IF(O5="REPO COLLATERAL",COUNTIFS($D$19:$D$94,K5),1),1))</f>
        <v>0</v>
      </c>
      <c r="Q5" s="412">
        <f>IF(LEFT(K5,4)="RP00",0,IF(ISNA(VLOOKUP(L5,$C$6:$C$11,1,FALSE)),0,IF(L5&lt;&gt;"",ABS(N5-P5),0)))</f>
        <v>0</v>
      </c>
    </row>
    <row r="6" spans="2:19" x14ac:dyDescent="0.25">
      <c r="B6" s="765" t="s">
        <v>438</v>
      </c>
      <c r="C6" s="878">
        <v>540200</v>
      </c>
      <c r="D6" s="2" t="s">
        <v>844</v>
      </c>
      <c r="E6" s="117">
        <f>VLOOKUP(ValDate,'Money Fund Details'!A$12:W$5900,3,FALSE)</f>
        <v>188781.04000000015</v>
      </c>
      <c r="F6" s="117">
        <f>SUMIFS($N$5:$N$1000,$K$5:$K$1000,$D6,$L$5:$L$1000,$C6,$O$5:$O$1000,"AVAILABLE")</f>
        <v>145713.65</v>
      </c>
      <c r="G6" s="117">
        <f>ABS(E6-F6)</f>
        <v>43067.390000000159</v>
      </c>
      <c r="H6" s="117"/>
      <c r="I6" s="411"/>
      <c r="J6" s="768">
        <v>44649</v>
      </c>
      <c r="K6" s="765" t="s">
        <v>4995</v>
      </c>
      <c r="L6" s="766">
        <v>211104</v>
      </c>
      <c r="M6" s="767">
        <v>51291.46</v>
      </c>
      <c r="N6" s="767">
        <v>51291.46</v>
      </c>
      <c r="O6" s="765" t="s">
        <v>4580</v>
      </c>
      <c r="P6" s="412">
        <f t="shared" si="0"/>
        <v>0</v>
      </c>
      <c r="Q6" s="412">
        <f t="shared" ref="Q6:Q10" si="1">IF(LEFT(K6,4)="RP00",0,IF(ISNA(VLOOKUP(L6,$C$6:$C$11,1,FALSE)),0,IF(L6&lt;&gt;"",ABS(N6-P6),0)))</f>
        <v>0</v>
      </c>
      <c r="S6" s="102"/>
    </row>
    <row r="7" spans="2:19" x14ac:dyDescent="0.25">
      <c r="B7" s="765" t="s">
        <v>439</v>
      </c>
      <c r="C7" s="766">
        <v>761280</v>
      </c>
      <c r="D7" s="2" t="s">
        <v>844</v>
      </c>
      <c r="E7" s="117">
        <f>VLOOKUP(ValDate,'Money Fund Details'!A$12:W$5900,12,FALSE)</f>
        <v>0</v>
      </c>
      <c r="F7" s="117">
        <f>SUMIFS($N$5:$N$1000,$K$5:$K$1000,$D7,$L$5:$L$1000,$C7,$O$5:$O$1000,"AVAILABLE")</f>
        <v>0</v>
      </c>
      <c r="G7" s="117">
        <f>ABS(E7-F7)</f>
        <v>0</v>
      </c>
      <c r="H7" s="117"/>
      <c r="I7" s="411"/>
      <c r="J7" s="768">
        <v>44649</v>
      </c>
      <c r="K7" s="765" t="s">
        <v>4995</v>
      </c>
      <c r="L7" s="766">
        <v>277540</v>
      </c>
      <c r="M7" s="767">
        <v>102989583</v>
      </c>
      <c r="N7" s="767">
        <v>102989583</v>
      </c>
      <c r="O7" s="765" t="s">
        <v>4580</v>
      </c>
      <c r="P7" s="412">
        <f t="shared" si="0"/>
        <v>0</v>
      </c>
      <c r="Q7" s="412">
        <f t="shared" si="1"/>
        <v>0</v>
      </c>
      <c r="R7" s="117"/>
    </row>
    <row r="8" spans="2:19" x14ac:dyDescent="0.25">
      <c r="B8" s="765" t="s">
        <v>440</v>
      </c>
      <c r="C8" s="878">
        <v>540719</v>
      </c>
      <c r="D8" s="2" t="s">
        <v>844</v>
      </c>
      <c r="E8" s="117">
        <f>VLOOKUP(ValDate,'Money Fund Details'!A$12:W$5900,18,FALSE)</f>
        <v>0</v>
      </c>
      <c r="F8" s="117">
        <f>SUMIFS($N$5:$N$1000,$K$5:$K$1000,$D8,$L$5:$L$1000,$C8,$O$5:$O$1000,"AVAILABLE")</f>
        <v>0</v>
      </c>
      <c r="G8" s="117">
        <f>ABS(E8-F8)</f>
        <v>0</v>
      </c>
      <c r="H8" s="117"/>
      <c r="I8" s="411"/>
      <c r="J8" s="768">
        <v>44649</v>
      </c>
      <c r="K8" s="765" t="s">
        <v>4995</v>
      </c>
      <c r="L8" s="766">
        <v>278204</v>
      </c>
      <c r="M8" s="767">
        <v>38266705.490000002</v>
      </c>
      <c r="N8" s="767">
        <v>38266705.490000002</v>
      </c>
      <c r="O8" s="765" t="s">
        <v>4580</v>
      </c>
      <c r="P8" s="412">
        <f t="shared" si="0"/>
        <v>0</v>
      </c>
      <c r="Q8" s="412">
        <f t="shared" si="1"/>
        <v>0</v>
      </c>
    </row>
    <row r="9" spans="2:19" x14ac:dyDescent="0.25">
      <c r="B9" s="765" t="s">
        <v>441</v>
      </c>
      <c r="C9" s="878">
        <v>540730</v>
      </c>
      <c r="D9" s="2" t="s">
        <v>844</v>
      </c>
      <c r="E9" s="117">
        <f>VLOOKUP(ValDate,'Money Fund Details'!A$12:W$5900,9,FALSE)</f>
        <v>55849.709999999977</v>
      </c>
      <c r="F9" s="117">
        <f>SUMIFS($N$5:$N$1000,$K$5:$K$1000,$D9,$L$5:$L$1000,$C9,$O$5:$O$1000,"AVAILABLE")</f>
        <v>55849.71</v>
      </c>
      <c r="G9" s="117">
        <f>ABS(E9-F9)</f>
        <v>2.1827872842550278E-11</v>
      </c>
      <c r="H9" s="117"/>
      <c r="I9" s="411"/>
      <c r="J9" s="768">
        <v>44649</v>
      </c>
      <c r="K9" s="765" t="s">
        <v>4995</v>
      </c>
      <c r="L9" s="766">
        <v>278207</v>
      </c>
      <c r="M9" s="767">
        <v>147927.5</v>
      </c>
      <c r="N9" s="767">
        <v>147927.5</v>
      </c>
      <c r="O9" s="765" t="s">
        <v>4580</v>
      </c>
      <c r="P9" s="412">
        <f t="shared" si="0"/>
        <v>0</v>
      </c>
      <c r="Q9" s="412">
        <f t="shared" si="1"/>
        <v>0</v>
      </c>
      <c r="S9" s="102"/>
    </row>
    <row r="10" spans="2:19" x14ac:dyDescent="0.25">
      <c r="B10" s="765" t="s">
        <v>442</v>
      </c>
      <c r="C10" s="878">
        <v>540755</v>
      </c>
      <c r="D10" s="2" t="s">
        <v>844</v>
      </c>
      <c r="E10" s="117">
        <f>VLOOKUP(ValDate,'Money Fund Details'!A$12:W$5900,15,FALSE)</f>
        <v>26.980000000010332</v>
      </c>
      <c r="F10" s="117">
        <f>SUMIFS($N$5:$N$1000,$K$5:$K$1000,$D10,$L$5:$L$1000,$C10,$O$5:$O$1000,"AVAILABLE")</f>
        <v>26.98</v>
      </c>
      <c r="G10" s="117">
        <f>ABS(E10-F10)</f>
        <v>1.0331291377951857E-11</v>
      </c>
      <c r="H10" s="117"/>
      <c r="I10" s="411"/>
      <c r="J10" s="768">
        <v>44649</v>
      </c>
      <c r="K10" s="765" t="s">
        <v>4995</v>
      </c>
      <c r="L10" s="766">
        <v>278208</v>
      </c>
      <c r="M10" s="767">
        <v>18753.84</v>
      </c>
      <c r="N10" s="767">
        <v>18753.84</v>
      </c>
      <c r="O10" s="765" t="s">
        <v>4580</v>
      </c>
      <c r="P10" s="412">
        <f t="shared" si="0"/>
        <v>0</v>
      </c>
      <c r="Q10" s="412">
        <f t="shared" si="1"/>
        <v>0</v>
      </c>
    </row>
    <row r="11" spans="2:19" ht="15.75" thickBot="1" x14ac:dyDescent="0.3">
      <c r="B11" s="1"/>
      <c r="C11" s="1"/>
      <c r="D11" s="1"/>
      <c r="E11" s="1"/>
      <c r="F11" s="409"/>
      <c r="I11" s="411"/>
      <c r="J11" s="768">
        <v>44649</v>
      </c>
      <c r="K11" s="765" t="s">
        <v>4995</v>
      </c>
      <c r="L11" s="766">
        <v>349743</v>
      </c>
      <c r="M11" s="767">
        <v>33804.79</v>
      </c>
      <c r="N11" s="767">
        <v>33804.79</v>
      </c>
      <c r="O11" s="765" t="s">
        <v>4580</v>
      </c>
      <c r="P11" s="412">
        <f t="shared" ref="P11:P74" si="2">IF(O11="AVAILABLE",SUMIFS($E$6:$E$16,$C$6:$C$16,L11,$D$6:$D$16,K11)/MAX(IF(O11="AVAILABLE",COUNTIFS($D$6:$D$16,K11,$C$6:$C$16,L11),1),1),IF(O11="REPO COLLATERAL",SUMIFS($E$18:$E$53,$C$18:$C$53,L11,$D$18:$D$53,K11),0)/MAX(IF(O11="REPO COLLATERAL",COUNTIFS($D$19:$D$94,K11),1),1))</f>
        <v>0</v>
      </c>
      <c r="Q11" s="412">
        <f t="shared" ref="Q11:Q74" si="3">IF(LEFT(K11,4)="RP00",0,IF(ISNA(VLOOKUP(L11,$C$6:$C$11,1,FALSE)),0,IF(L11&lt;&gt;"",ABS(N11-P11),0)))</f>
        <v>0</v>
      </c>
    </row>
    <row r="12" spans="2:19" ht="16.5" thickTop="1" thickBot="1" x14ac:dyDescent="0.3">
      <c r="B12" s="1285" t="s">
        <v>445</v>
      </c>
      <c r="C12" s="1285"/>
      <c r="I12" s="411"/>
      <c r="J12" s="768">
        <v>44649</v>
      </c>
      <c r="K12" s="765" t="s">
        <v>4995</v>
      </c>
      <c r="L12" s="766">
        <v>350022</v>
      </c>
      <c r="M12" s="767">
        <v>59.27</v>
      </c>
      <c r="N12" s="767">
        <v>59.27</v>
      </c>
      <c r="O12" s="765" t="s">
        <v>4580</v>
      </c>
      <c r="P12" s="412">
        <f t="shared" si="2"/>
        <v>0</v>
      </c>
      <c r="Q12" s="412">
        <f t="shared" si="3"/>
        <v>0</v>
      </c>
    </row>
    <row r="13" spans="2:19" ht="15.75" thickTop="1" x14ac:dyDescent="0.25">
      <c r="B13" s="765" t="s">
        <v>438</v>
      </c>
      <c r="C13" s="766">
        <v>540200</v>
      </c>
      <c r="D13" s="877" t="str">
        <f>IF('Facilities &amp; Bond Details'!$C4,'Facilities &amp; Bond Details'!A4,"")</f>
        <v>XS1951177309</v>
      </c>
      <c r="E13" s="5">
        <f>SUMIF('Repo Details and VaR'!$B$51:$B$228,'Securities Reconciliation'!D13,'Repo Details and VaR'!$V$51:$V$228)+SUMIFS('Facilities &amp; Bond Details'!C$4:C$25,'Facilities &amp; Bond Details'!A$4:A$25,D13,'Facilities &amp; Bond Details'!J$4:J$25,"&lt;="&amp;ValDate)</f>
        <v>0</v>
      </c>
      <c r="F13" s="117">
        <f>SUMIFS($N$5:$N$38,$K$5:$K$38,$D13,$L$5:$L$38,$C13,$O$5:$O$38,"AVAILABLE")</f>
        <v>0</v>
      </c>
      <c r="G13" s="117">
        <f>ABS(E13-F13)</f>
        <v>0</v>
      </c>
      <c r="H13" s="117"/>
      <c r="I13" s="411"/>
      <c r="J13" s="768">
        <v>44649</v>
      </c>
      <c r="K13" s="765" t="s">
        <v>4995</v>
      </c>
      <c r="L13" s="766">
        <v>540213</v>
      </c>
      <c r="M13" s="767">
        <v>1.34</v>
      </c>
      <c r="N13" s="767">
        <v>1.34</v>
      </c>
      <c r="O13" s="765" t="s">
        <v>4580</v>
      </c>
      <c r="P13" s="412">
        <f t="shared" si="2"/>
        <v>0</v>
      </c>
      <c r="Q13" s="412">
        <f t="shared" si="3"/>
        <v>0</v>
      </c>
    </row>
    <row r="14" spans="2:19" x14ac:dyDescent="0.25">
      <c r="B14" s="765"/>
      <c r="C14" s="766">
        <v>540200</v>
      </c>
      <c r="D14" s="877" t="e">
        <f>IF('Facilities &amp; Bond Details'!#REF!,'Facilities &amp; Bond Details'!#REF!,"")</f>
        <v>#REF!</v>
      </c>
      <c r="E14" s="5">
        <f>SUMIF('Repo Details and VaR'!$B$51:$B$228,'Securities Reconciliation'!D14,'Repo Details and VaR'!$V$51:$V$228)+SUMIFS('Facilities &amp; Bond Details'!C$4:C$25,'Facilities &amp; Bond Details'!A$4:A$25,D14,'Facilities &amp; Bond Details'!J$4:J$25,"&lt;="&amp;ValDate)</f>
        <v>0</v>
      </c>
      <c r="F14" s="117">
        <f t="shared" ref="F14:F15" si="4">SUMIFS($N$5:$N$38,$K$5:$K$38,$D14,$L$5:$L$38,$C14,$O$5:$O$38,"AVAILABLE")</f>
        <v>0</v>
      </c>
      <c r="G14" s="117">
        <f t="shared" ref="G14:G15" si="5">ABS(E14-F14)</f>
        <v>0</v>
      </c>
      <c r="H14" s="117"/>
      <c r="I14" s="411"/>
      <c r="J14" s="768">
        <v>44649</v>
      </c>
      <c r="K14" s="765" t="s">
        <v>4995</v>
      </c>
      <c r="L14" s="766">
        <v>540756</v>
      </c>
      <c r="M14" s="767">
        <v>1.45</v>
      </c>
      <c r="N14" s="767">
        <v>1.45</v>
      </c>
      <c r="O14" s="765" t="s">
        <v>4580</v>
      </c>
      <c r="P14" s="412">
        <f t="shared" si="2"/>
        <v>0</v>
      </c>
      <c r="Q14" s="412">
        <f t="shared" si="3"/>
        <v>0</v>
      </c>
    </row>
    <row r="15" spans="2:19" x14ac:dyDescent="0.25">
      <c r="B15" s="765"/>
      <c r="C15" s="766">
        <v>540200</v>
      </c>
      <c r="D15" s="877" t="str">
        <f>IF('Facilities &amp; Bond Details'!$C16,'Facilities &amp; Bond Details'!A16,"")</f>
        <v>XS2004377136</v>
      </c>
      <c r="E15" s="5">
        <f>SUMIF('Repo Details and VaR'!$B$51:$B$228,'Securities Reconciliation'!D15,'Repo Details and VaR'!$V$51:$V$228)+SUMIFS('Facilities &amp; Bond Details'!C$4:C$25,'Facilities &amp; Bond Details'!A$4:A$25,D15,'Facilities &amp; Bond Details'!J$4:J$25,"&lt;="&amp;ValDate)</f>
        <v>0</v>
      </c>
      <c r="F15" s="117">
        <f t="shared" si="4"/>
        <v>0</v>
      </c>
      <c r="G15" s="117">
        <f t="shared" si="5"/>
        <v>0</v>
      </c>
      <c r="H15" s="117"/>
      <c r="I15" s="411"/>
      <c r="J15" s="768">
        <v>44649</v>
      </c>
      <c r="K15" s="765" t="s">
        <v>4995</v>
      </c>
      <c r="L15" s="766">
        <v>657718</v>
      </c>
      <c r="M15" s="767">
        <v>0.28999999999999998</v>
      </c>
      <c r="N15" s="767">
        <v>0.28999999999999998</v>
      </c>
      <c r="O15" s="765" t="s">
        <v>4580</v>
      </c>
      <c r="P15" s="412">
        <f t="shared" si="2"/>
        <v>0</v>
      </c>
      <c r="Q15" s="412">
        <f t="shared" si="3"/>
        <v>0</v>
      </c>
    </row>
    <row r="16" spans="2:19" ht="15.75" thickBot="1" x14ac:dyDescent="0.3">
      <c r="B16" s="1"/>
      <c r="C16" s="1"/>
      <c r="D16" s="1"/>
      <c r="E16" s="1"/>
      <c r="F16" s="1"/>
      <c r="I16" s="411"/>
      <c r="J16" s="768">
        <v>44649</v>
      </c>
      <c r="K16" s="765" t="s">
        <v>4995</v>
      </c>
      <c r="L16" s="766">
        <v>657720</v>
      </c>
      <c r="M16" s="767">
        <v>4770000.01</v>
      </c>
      <c r="N16" s="767">
        <v>4770000.01</v>
      </c>
      <c r="O16" s="765" t="s">
        <v>4580</v>
      </c>
      <c r="P16" s="412">
        <f t="shared" si="2"/>
        <v>0</v>
      </c>
      <c r="Q16" s="412">
        <f t="shared" si="3"/>
        <v>0</v>
      </c>
    </row>
    <row r="17" spans="2:21" ht="16.5" thickTop="1" thickBot="1" x14ac:dyDescent="0.3">
      <c r="B17" s="1285" t="s">
        <v>36</v>
      </c>
      <c r="C17" s="1285"/>
      <c r="I17" s="411"/>
      <c r="J17" s="768">
        <v>44649</v>
      </c>
      <c r="K17" s="765" t="s">
        <v>4995</v>
      </c>
      <c r="L17" s="766">
        <v>657723</v>
      </c>
      <c r="M17" s="767">
        <v>45660.12</v>
      </c>
      <c r="N17" s="767">
        <v>45660.12</v>
      </c>
      <c r="O17" s="765" t="s">
        <v>4580</v>
      </c>
      <c r="P17" s="412">
        <f t="shared" si="2"/>
        <v>0</v>
      </c>
      <c r="Q17" s="412">
        <f t="shared" si="3"/>
        <v>0</v>
      </c>
    </row>
    <row r="18" spans="2:21" ht="15.75" thickTop="1" x14ac:dyDescent="0.25">
      <c r="B18" s="765" t="s">
        <v>438</v>
      </c>
      <c r="C18" s="766">
        <v>540200</v>
      </c>
      <c r="D18" s="877" t="str">
        <f>IF('Repo Details and VaR'!$V50,'Repo Details and VaR'!B50,"")</f>
        <v/>
      </c>
      <c r="E18" s="5">
        <f>SUMIF('Repo Details and VaR'!$B$51:$B$228,'Securities Reconciliation'!D18,'Repo Details and VaR'!$V$51:$V$228)+SUMIFS('Facilities &amp; Bond Details'!C$4:C$25,'Facilities &amp; Bond Details'!A$4:A$25,D18,'Facilities &amp; Bond Details'!J$4:J$25,"&lt;="&amp;ValDate)</f>
        <v>0</v>
      </c>
      <c r="F18" s="117">
        <f>SUMIFS($N$5:$N$380,$K$5:$K$380,$D18,$L$5:$L$380,$C18,$O$5:$O$380,"AVAILABLE")</f>
        <v>0</v>
      </c>
      <c r="G18" s="117">
        <f>IF(D18="CASHUSD01",0,ABS(E18-F18))</f>
        <v>0</v>
      </c>
      <c r="H18" s="117"/>
      <c r="I18" s="411"/>
      <c r="J18" s="768">
        <v>44649</v>
      </c>
      <c r="K18" s="765" t="s">
        <v>4995</v>
      </c>
      <c r="L18" s="766">
        <v>990457</v>
      </c>
      <c r="M18" s="767">
        <v>3085788.76</v>
      </c>
      <c r="N18" s="767">
        <v>3085788.76</v>
      </c>
      <c r="O18" s="765" t="s">
        <v>4580</v>
      </c>
      <c r="P18" s="412">
        <f t="shared" si="2"/>
        <v>0</v>
      </c>
      <c r="Q18" s="412">
        <f t="shared" si="3"/>
        <v>0</v>
      </c>
    </row>
    <row r="19" spans="2:21" x14ac:dyDescent="0.25">
      <c r="B19" s="765"/>
      <c r="C19" s="766">
        <v>540200</v>
      </c>
      <c r="D19" s="877" t="str">
        <f>IF('Repo Details and VaR'!$V51,'Repo Details and VaR'!B51,"")</f>
        <v>9128287D6</v>
      </c>
      <c r="E19" s="5">
        <f>SUMIF('Repo Details and VaR'!$B$51:$B$228,'Securities Reconciliation'!D19,'Repo Details and VaR'!$V$51:$V$228)+SUMIFS('Facilities &amp; Bond Details'!C$4:C$25,'Facilities &amp; Bond Details'!A$4:A$25,D19,'Facilities &amp; Bond Details'!J$4:J$25,"&lt;="&amp;ValDate)</f>
        <v>1556000</v>
      </c>
      <c r="F19" s="117">
        <f t="shared" ref="F19:F82" si="6">SUMIFS($N$5:$N$380,$K$5:$K$380,$D19,$L$5:$L$380,$C19,$O$5:$O$380,"AVAILABLE")</f>
        <v>1048000</v>
      </c>
      <c r="G19" s="117">
        <f t="shared" ref="G19:G82" si="7">IF(D19="CASHUSD01",0,ABS(E19-F19))</f>
        <v>508000</v>
      </c>
      <c r="H19" s="117"/>
      <c r="I19" s="411"/>
      <c r="J19" s="768">
        <v>44649</v>
      </c>
      <c r="K19" s="765" t="s">
        <v>844</v>
      </c>
      <c r="L19" s="766">
        <v>540200</v>
      </c>
      <c r="M19" s="767">
        <v>145713.65</v>
      </c>
      <c r="N19" s="767">
        <v>145713.65</v>
      </c>
      <c r="O19" s="765" t="s">
        <v>4580</v>
      </c>
      <c r="P19" s="412">
        <f t="shared" si="2"/>
        <v>188781.04000000015</v>
      </c>
      <c r="Q19" s="412">
        <f t="shared" si="3"/>
        <v>43067.390000000159</v>
      </c>
    </row>
    <row r="20" spans="2:21" x14ac:dyDescent="0.25">
      <c r="B20" s="765"/>
      <c r="C20" s="766">
        <v>540200</v>
      </c>
      <c r="D20" s="877" t="str">
        <f>IF('Repo Details and VaR'!$V52,'Repo Details and VaR'!B52,"")</f>
        <v>9128287D6</v>
      </c>
      <c r="E20" s="5">
        <f>SUMIF('Repo Details and VaR'!$B$51:$B$228,'Securities Reconciliation'!D20,'Repo Details and VaR'!$V$51:$V$228)+SUMIFS('Facilities &amp; Bond Details'!C$4:C$25,'Facilities &amp; Bond Details'!A$4:A$25,D20,'Facilities &amp; Bond Details'!J$4:J$25,"&lt;="&amp;ValDate)</f>
        <v>1556000</v>
      </c>
      <c r="F20" s="117">
        <f t="shared" si="6"/>
        <v>1048000</v>
      </c>
      <c r="G20" s="117">
        <f t="shared" si="7"/>
        <v>508000</v>
      </c>
      <c r="H20" s="117"/>
      <c r="I20" s="411"/>
      <c r="J20" s="768">
        <v>44649</v>
      </c>
      <c r="K20" s="765" t="s">
        <v>844</v>
      </c>
      <c r="L20" s="766">
        <v>540730</v>
      </c>
      <c r="M20" s="767">
        <v>55849.71</v>
      </c>
      <c r="N20" s="767">
        <v>55849.71</v>
      </c>
      <c r="O20" s="765" t="s">
        <v>4580</v>
      </c>
      <c r="P20" s="412">
        <f t="shared" si="2"/>
        <v>55849.709999999977</v>
      </c>
      <c r="Q20" s="412">
        <f t="shared" si="3"/>
        <v>2.1827872842550278E-11</v>
      </c>
    </row>
    <row r="21" spans="2:21" x14ac:dyDescent="0.25">
      <c r="B21" s="765"/>
      <c r="C21" s="766">
        <v>540200</v>
      </c>
      <c r="D21" s="877" t="str">
        <f>IF('Repo Details and VaR'!$V53,'Repo Details and VaR'!B53,"")</f>
        <v>912828X70</v>
      </c>
      <c r="E21" s="5">
        <f>SUMIF('Repo Details and VaR'!$B$51:$B$228,'Securities Reconciliation'!D21,'Repo Details and VaR'!$V$51:$V$228)+SUMIFS('Facilities &amp; Bond Details'!C$4:C$25,'Facilities &amp; Bond Details'!A$4:A$25,D21,'Facilities &amp; Bond Details'!J$4:J$25,"&lt;="&amp;ValDate)</f>
        <v>198500</v>
      </c>
      <c r="F21" s="117">
        <f t="shared" si="6"/>
        <v>548500</v>
      </c>
      <c r="G21" s="117">
        <f t="shared" si="7"/>
        <v>350000</v>
      </c>
      <c r="H21" s="117"/>
      <c r="I21" s="411"/>
      <c r="J21" s="768">
        <v>44649</v>
      </c>
      <c r="K21" s="765" t="s">
        <v>844</v>
      </c>
      <c r="L21" s="766">
        <v>540755</v>
      </c>
      <c r="M21" s="767">
        <v>26.98</v>
      </c>
      <c r="N21" s="767">
        <v>26.98</v>
      </c>
      <c r="O21" s="765" t="s">
        <v>4580</v>
      </c>
      <c r="P21" s="412">
        <f t="shared" si="2"/>
        <v>26.980000000010332</v>
      </c>
      <c r="Q21" s="412">
        <f t="shared" si="3"/>
        <v>1.0331291377951857E-11</v>
      </c>
    </row>
    <row r="22" spans="2:21" x14ac:dyDescent="0.25">
      <c r="B22" s="765"/>
      <c r="C22" s="766">
        <v>540200</v>
      </c>
      <c r="D22" s="877" t="str">
        <f>IF('Repo Details and VaR'!$V54,'Repo Details and VaR'!B54,"")</f>
        <v>9128287D6</v>
      </c>
      <c r="E22" s="5">
        <f>SUMIF('Repo Details and VaR'!$B$51:$B$228,'Securities Reconciliation'!D22,'Repo Details and VaR'!$V$51:$V$228)+SUMIFS('Facilities &amp; Bond Details'!C$4:C$25,'Facilities &amp; Bond Details'!A$4:A$25,D22,'Facilities &amp; Bond Details'!J$4:J$25,"&lt;="&amp;ValDate)</f>
        <v>1556000</v>
      </c>
      <c r="F22" s="117">
        <f t="shared" si="6"/>
        <v>1048000</v>
      </c>
      <c r="G22" s="117">
        <f t="shared" si="7"/>
        <v>508000</v>
      </c>
      <c r="H22" s="117"/>
      <c r="I22" s="411"/>
      <c r="J22" s="768">
        <v>44649</v>
      </c>
      <c r="K22" s="765" t="s">
        <v>4996</v>
      </c>
      <c r="L22" s="766">
        <v>277540</v>
      </c>
      <c r="M22" s="767">
        <v>1750000</v>
      </c>
      <c r="N22" s="767">
        <v>1750000</v>
      </c>
      <c r="O22" s="765" t="s">
        <v>4580</v>
      </c>
      <c r="P22" s="412">
        <f t="shared" si="2"/>
        <v>0</v>
      </c>
      <c r="Q22" s="412">
        <f t="shared" si="3"/>
        <v>0</v>
      </c>
    </row>
    <row r="23" spans="2:21" x14ac:dyDescent="0.25">
      <c r="B23" s="765"/>
      <c r="C23" s="766">
        <v>540200</v>
      </c>
      <c r="D23" s="877" t="str">
        <f>IF('Repo Details and VaR'!$V55,'Repo Details and VaR'!B55,"")</f>
        <v>912828X70</v>
      </c>
      <c r="E23" s="5">
        <f>SUMIF('Repo Details and VaR'!$B$51:$B$228,'Securities Reconciliation'!D23,'Repo Details and VaR'!$V$51:$V$228)+SUMIFS('Facilities &amp; Bond Details'!C$4:C$25,'Facilities &amp; Bond Details'!A$4:A$25,D23,'Facilities &amp; Bond Details'!J$4:J$25,"&lt;="&amp;ValDate)</f>
        <v>198500</v>
      </c>
      <c r="F23" s="117">
        <f t="shared" si="6"/>
        <v>548500</v>
      </c>
      <c r="G23" s="117">
        <f t="shared" si="7"/>
        <v>350000</v>
      </c>
      <c r="H23" s="117"/>
      <c r="I23" s="411"/>
      <c r="J23" s="768">
        <v>44649</v>
      </c>
      <c r="K23" s="765" t="s">
        <v>5060</v>
      </c>
      <c r="L23" s="766">
        <v>540200</v>
      </c>
      <c r="M23" s="767"/>
      <c r="N23" s="767">
        <v>-300037.08</v>
      </c>
      <c r="O23" s="765"/>
      <c r="P23" s="412">
        <f t="shared" si="2"/>
        <v>0</v>
      </c>
      <c r="Q23" s="412">
        <f t="shared" si="3"/>
        <v>0</v>
      </c>
    </row>
    <row r="24" spans="2:21" x14ac:dyDescent="0.25">
      <c r="B24" s="765"/>
      <c r="C24" s="766">
        <v>540200</v>
      </c>
      <c r="D24" s="877" t="str">
        <f>IF('Repo Details and VaR'!$V56,'Repo Details and VaR'!B56,"")</f>
        <v>912828X70</v>
      </c>
      <c r="E24" s="5">
        <f>SUMIF('Repo Details and VaR'!$B$51:$B$228,'Securities Reconciliation'!D24,'Repo Details and VaR'!$V$51:$V$228)+SUMIFS('Facilities &amp; Bond Details'!C$4:C$25,'Facilities &amp; Bond Details'!A$4:A$25,D24,'Facilities &amp; Bond Details'!J$4:J$25,"&lt;="&amp;ValDate)</f>
        <v>198500</v>
      </c>
      <c r="F24" s="117">
        <f t="shared" si="6"/>
        <v>548500</v>
      </c>
      <c r="G24" s="117">
        <f t="shared" si="7"/>
        <v>350000</v>
      </c>
      <c r="H24" s="117"/>
      <c r="I24" s="411"/>
      <c r="J24" s="768">
        <v>44649</v>
      </c>
      <c r="K24" s="765" t="s">
        <v>5036</v>
      </c>
      <c r="L24" s="766">
        <v>540200</v>
      </c>
      <c r="M24" s="767"/>
      <c r="N24" s="767">
        <v>-45890617.420000002</v>
      </c>
      <c r="O24" s="765"/>
      <c r="P24" s="412">
        <f t="shared" si="2"/>
        <v>0</v>
      </c>
      <c r="Q24" s="412">
        <f t="shared" si="3"/>
        <v>0</v>
      </c>
    </row>
    <row r="25" spans="2:21" x14ac:dyDescent="0.25">
      <c r="B25" s="765"/>
      <c r="C25" s="766">
        <v>540200</v>
      </c>
      <c r="D25" s="877" t="str">
        <f>IF('Repo Details and VaR'!$V57,'Repo Details and VaR'!B57,"")</f>
        <v>912828X70</v>
      </c>
      <c r="E25" s="5">
        <f>SUMIF('Repo Details and VaR'!$B$51:$B$228,'Securities Reconciliation'!D25,'Repo Details and VaR'!$V$51:$V$228)+SUMIFS('Facilities &amp; Bond Details'!C$4:C$25,'Facilities &amp; Bond Details'!A$4:A$25,D25,'Facilities &amp; Bond Details'!J$4:J$25,"&lt;="&amp;ValDate)</f>
        <v>198500</v>
      </c>
      <c r="F25" s="117">
        <f t="shared" si="6"/>
        <v>548500</v>
      </c>
      <c r="G25" s="117">
        <f t="shared" si="7"/>
        <v>350000</v>
      </c>
      <c r="H25" s="117"/>
      <c r="I25" s="411"/>
      <c r="J25" s="768">
        <v>44649</v>
      </c>
      <c r="K25" s="765" t="s">
        <v>5037</v>
      </c>
      <c r="L25" s="766">
        <v>540200</v>
      </c>
      <c r="M25" s="767"/>
      <c r="N25" s="767">
        <v>-49554691.289999999</v>
      </c>
      <c r="O25" s="765"/>
      <c r="P25" s="412">
        <f t="shared" si="2"/>
        <v>0</v>
      </c>
      <c r="Q25" s="412">
        <f t="shared" si="3"/>
        <v>0</v>
      </c>
      <c r="U25" s="117"/>
    </row>
    <row r="26" spans="2:21" x14ac:dyDescent="0.25">
      <c r="B26" s="765"/>
      <c r="C26" s="766">
        <v>540200</v>
      </c>
      <c r="D26" s="877" t="str">
        <f>IF('Repo Details and VaR'!$V58,'Repo Details and VaR'!B58,"")</f>
        <v>912828X70</v>
      </c>
      <c r="E26" s="5">
        <f>SUMIF('Repo Details and VaR'!$B$51:$B$228,'Securities Reconciliation'!D26,'Repo Details and VaR'!$V$51:$V$228)+SUMIFS('Facilities &amp; Bond Details'!C$4:C$25,'Facilities &amp; Bond Details'!A$4:A$25,D26,'Facilities &amp; Bond Details'!J$4:J$25,"&lt;="&amp;ValDate)</f>
        <v>198500</v>
      </c>
      <c r="F26" s="117">
        <f t="shared" si="6"/>
        <v>548500</v>
      </c>
      <c r="G26" s="117">
        <f t="shared" si="7"/>
        <v>350000</v>
      </c>
      <c r="H26" s="117"/>
      <c r="I26" s="411"/>
      <c r="J26" s="768">
        <v>44649</v>
      </c>
      <c r="K26" s="765" t="s">
        <v>5038</v>
      </c>
      <c r="L26" s="766">
        <v>540200</v>
      </c>
      <c r="M26" s="767"/>
      <c r="N26" s="767">
        <v>-49554691.289999999</v>
      </c>
      <c r="O26" s="765"/>
      <c r="P26" s="412">
        <f t="shared" si="2"/>
        <v>0</v>
      </c>
      <c r="Q26" s="412">
        <f t="shared" si="3"/>
        <v>0</v>
      </c>
      <c r="R26" s="117"/>
      <c r="U26" s="102"/>
    </row>
    <row r="27" spans="2:21" x14ac:dyDescent="0.25">
      <c r="B27" s="765"/>
      <c r="C27" s="766">
        <v>540200</v>
      </c>
      <c r="D27" s="877" t="str">
        <f>IF('Repo Details and VaR'!$V59,'Repo Details and VaR'!B59,"")</f>
        <v>912828X70</v>
      </c>
      <c r="E27" s="5">
        <f>SUMIF('Repo Details and VaR'!$B$51:$B$228,'Securities Reconciliation'!D27,'Repo Details and VaR'!$V$51:$V$228)+SUMIFS('Facilities &amp; Bond Details'!C$4:C$25,'Facilities &amp; Bond Details'!A$4:A$25,D27,'Facilities &amp; Bond Details'!J$4:J$25,"&lt;="&amp;ValDate)</f>
        <v>198500</v>
      </c>
      <c r="F27" s="117">
        <f t="shared" si="6"/>
        <v>548500</v>
      </c>
      <c r="G27" s="117">
        <f t="shared" si="7"/>
        <v>350000</v>
      </c>
      <c r="H27" s="117"/>
      <c r="I27" s="411"/>
      <c r="J27" s="768">
        <v>44649</v>
      </c>
      <c r="K27" s="765" t="s">
        <v>5039</v>
      </c>
      <c r="L27" s="766">
        <v>540200</v>
      </c>
      <c r="M27" s="767"/>
      <c r="N27" s="767">
        <v>-22944969.989999998</v>
      </c>
      <c r="O27" s="765"/>
      <c r="P27" s="412">
        <f t="shared" si="2"/>
        <v>0</v>
      </c>
      <c r="Q27" s="412">
        <f t="shared" si="3"/>
        <v>0</v>
      </c>
      <c r="R27" s="102"/>
      <c r="U27" s="102"/>
    </row>
    <row r="28" spans="2:21" x14ac:dyDescent="0.25">
      <c r="B28" s="765"/>
      <c r="C28" s="766">
        <v>540200</v>
      </c>
      <c r="D28" s="877" t="str">
        <f>IF('Repo Details and VaR'!$V60,'Repo Details and VaR'!B60,"")</f>
        <v>912828X70</v>
      </c>
      <c r="E28" s="5">
        <f>SUMIF('Repo Details and VaR'!$B$51:$B$228,'Securities Reconciliation'!D28,'Repo Details and VaR'!$V$51:$V$228)+SUMIFS('Facilities &amp; Bond Details'!C$4:C$25,'Facilities &amp; Bond Details'!A$4:A$25,D28,'Facilities &amp; Bond Details'!J$4:J$25,"&lt;="&amp;ValDate)</f>
        <v>198500</v>
      </c>
      <c r="F28" s="117">
        <f t="shared" si="6"/>
        <v>548500</v>
      </c>
      <c r="G28" s="117">
        <f t="shared" si="7"/>
        <v>350000</v>
      </c>
      <c r="H28" s="117"/>
      <c r="I28" s="411"/>
      <c r="J28" s="768">
        <v>44649</v>
      </c>
      <c r="K28" s="765" t="s">
        <v>5040</v>
      </c>
      <c r="L28" s="766">
        <v>540200</v>
      </c>
      <c r="M28" s="767"/>
      <c r="N28" s="767">
        <v>-49555030.009999998</v>
      </c>
      <c r="O28" s="765"/>
      <c r="P28" s="412">
        <f t="shared" si="2"/>
        <v>0</v>
      </c>
      <c r="Q28" s="412">
        <f t="shared" si="3"/>
        <v>0</v>
      </c>
    </row>
    <row r="29" spans="2:21" x14ac:dyDescent="0.25">
      <c r="B29" s="765"/>
      <c r="C29" s="766">
        <v>540200</v>
      </c>
      <c r="D29" s="877" t="str">
        <f>IF('Repo Details and VaR'!$V61,'Repo Details and VaR'!B61,"")</f>
        <v>912828X70</v>
      </c>
      <c r="E29" s="5">
        <f>SUMIF('Repo Details and VaR'!$B$51:$B$228,'Securities Reconciliation'!D29,'Repo Details and VaR'!$V$51:$V$228)+SUMIFS('Facilities &amp; Bond Details'!C$4:C$25,'Facilities &amp; Bond Details'!A$4:A$25,D29,'Facilities &amp; Bond Details'!J$4:J$25,"&lt;="&amp;ValDate)</f>
        <v>198500</v>
      </c>
      <c r="F29" s="117">
        <f t="shared" si="6"/>
        <v>548500</v>
      </c>
      <c r="G29" s="117">
        <f t="shared" si="7"/>
        <v>350000</v>
      </c>
      <c r="H29" s="117"/>
      <c r="I29" s="411"/>
      <c r="J29" s="768">
        <v>44649</v>
      </c>
      <c r="K29" s="765" t="s">
        <v>5074</v>
      </c>
      <c r="L29" s="766">
        <v>540200</v>
      </c>
      <c r="M29" s="767"/>
      <c r="N29" s="767">
        <v>-300000</v>
      </c>
      <c r="O29" s="765"/>
      <c r="P29" s="412">
        <f t="shared" si="2"/>
        <v>0</v>
      </c>
      <c r="Q29" s="412">
        <f t="shared" si="3"/>
        <v>0</v>
      </c>
    </row>
    <row r="30" spans="2:21" x14ac:dyDescent="0.25">
      <c r="B30" s="765"/>
      <c r="C30" s="766">
        <v>540200</v>
      </c>
      <c r="D30" s="877" t="str">
        <f>IF('Repo Details and VaR'!$V62,'Repo Details and VaR'!B62,"")</f>
        <v>912828X70</v>
      </c>
      <c r="E30" s="5">
        <f>SUMIF('Repo Details and VaR'!$B$51:$B$228,'Securities Reconciliation'!D30,'Repo Details and VaR'!$V$51:$V$228)+SUMIFS('Facilities &amp; Bond Details'!C$4:C$25,'Facilities &amp; Bond Details'!A$4:A$25,D30,'Facilities &amp; Bond Details'!J$4:J$25,"&lt;="&amp;ValDate)</f>
        <v>198500</v>
      </c>
      <c r="F30" s="117">
        <f t="shared" si="6"/>
        <v>548500</v>
      </c>
      <c r="G30" s="117">
        <f t="shared" si="7"/>
        <v>350000</v>
      </c>
      <c r="H30" s="117"/>
      <c r="I30" s="411"/>
      <c r="J30" s="768">
        <v>44649</v>
      </c>
      <c r="K30" s="765" t="s">
        <v>5050</v>
      </c>
      <c r="L30" s="766">
        <v>540200</v>
      </c>
      <c r="M30" s="767"/>
      <c r="N30" s="767">
        <v>-800000</v>
      </c>
      <c r="O30" s="765"/>
      <c r="P30" s="412">
        <f t="shared" si="2"/>
        <v>0</v>
      </c>
      <c r="Q30" s="412">
        <f t="shared" si="3"/>
        <v>0</v>
      </c>
    </row>
    <row r="31" spans="2:21" x14ac:dyDescent="0.25">
      <c r="B31" s="765"/>
      <c r="C31" s="766">
        <v>540200</v>
      </c>
      <c r="D31" s="877" t="str">
        <f>IF('Repo Details and VaR'!$V63,'Repo Details and VaR'!B63,"")</f>
        <v>912828X70</v>
      </c>
      <c r="E31" s="5">
        <f>SUMIF('Repo Details and VaR'!$B$51:$B$228,'Securities Reconciliation'!D31,'Repo Details and VaR'!$V$51:$V$228)+SUMIFS('Facilities &amp; Bond Details'!C$4:C$25,'Facilities &amp; Bond Details'!A$4:A$25,D31,'Facilities &amp; Bond Details'!J$4:J$25,"&lt;="&amp;ValDate)</f>
        <v>198500</v>
      </c>
      <c r="F31" s="117">
        <f t="shared" si="6"/>
        <v>548500</v>
      </c>
      <c r="G31" s="117">
        <f t="shared" si="7"/>
        <v>350000</v>
      </c>
      <c r="H31" s="117"/>
      <c r="I31" s="411"/>
      <c r="J31" s="768">
        <v>44649</v>
      </c>
      <c r="K31" s="765" t="s">
        <v>5014</v>
      </c>
      <c r="L31" s="766">
        <v>540200</v>
      </c>
      <c r="M31" s="767"/>
      <c r="N31" s="767">
        <v>-6700000</v>
      </c>
      <c r="O31" s="765"/>
      <c r="P31" s="412">
        <f t="shared" si="2"/>
        <v>0</v>
      </c>
      <c r="Q31" s="412">
        <f t="shared" si="3"/>
        <v>0</v>
      </c>
    </row>
    <row r="32" spans="2:21" x14ac:dyDescent="0.25">
      <c r="B32" s="765"/>
      <c r="C32" s="766">
        <v>540200</v>
      </c>
      <c r="D32" s="877" t="str">
        <f>IF('Repo Details and VaR'!$V64,'Repo Details and VaR'!B64,"")</f>
        <v/>
      </c>
      <c r="E32" s="5">
        <f>SUMIF('Repo Details and VaR'!$B$51:$B$228,'Securities Reconciliation'!D32,'Repo Details and VaR'!$V$51:$V$228)+SUMIFS('Facilities &amp; Bond Details'!C$4:C$25,'Facilities &amp; Bond Details'!A$4:A$25,D32,'Facilities &amp; Bond Details'!J$4:J$25,"&lt;="&amp;ValDate)</f>
        <v>0</v>
      </c>
      <c r="F32" s="117">
        <f t="shared" si="6"/>
        <v>0</v>
      </c>
      <c r="G32" s="117">
        <f t="shared" si="7"/>
        <v>0</v>
      </c>
      <c r="H32" s="117"/>
      <c r="I32" s="411"/>
      <c r="J32" s="768">
        <v>44649</v>
      </c>
      <c r="K32" s="765" t="s">
        <v>4997</v>
      </c>
      <c r="L32" s="766">
        <v>540200</v>
      </c>
      <c r="M32" s="767">
        <v>-50898750</v>
      </c>
      <c r="N32" s="767">
        <v>-50898750</v>
      </c>
      <c r="O32" s="765"/>
      <c r="P32" s="412">
        <f t="shared" si="2"/>
        <v>0</v>
      </c>
      <c r="Q32" s="412">
        <f t="shared" si="3"/>
        <v>0</v>
      </c>
    </row>
    <row r="33" spans="3:19" x14ac:dyDescent="0.25">
      <c r="C33" s="766">
        <v>540200</v>
      </c>
      <c r="D33" s="877" t="str">
        <f>IF('Repo Details and VaR'!$V65,'Repo Details and VaR'!B65,"")</f>
        <v/>
      </c>
      <c r="E33" s="5">
        <f>SUMIF('Repo Details and VaR'!$B$51:$B$228,'Securities Reconciliation'!D33,'Repo Details and VaR'!$V$51:$V$228)+SUMIFS('Facilities &amp; Bond Details'!C$4:C$25,'Facilities &amp; Bond Details'!A$4:A$25,D33,'Facilities &amp; Bond Details'!J$4:J$25,"&lt;="&amp;ValDate)</f>
        <v>0</v>
      </c>
      <c r="F33" s="117">
        <f t="shared" si="6"/>
        <v>0</v>
      </c>
      <c r="G33" s="117">
        <f t="shared" si="7"/>
        <v>0</v>
      </c>
      <c r="H33" s="117"/>
      <c r="I33" s="411"/>
      <c r="J33" s="768">
        <v>44649</v>
      </c>
      <c r="K33" s="765" t="s">
        <v>4998</v>
      </c>
      <c r="L33" s="766">
        <v>540200</v>
      </c>
      <c r="M33" s="767">
        <v>-11856354.82</v>
      </c>
      <c r="N33" s="767">
        <v>-11856354.82</v>
      </c>
      <c r="O33" s="765"/>
      <c r="P33" s="412">
        <f t="shared" si="2"/>
        <v>0</v>
      </c>
      <c r="Q33" s="412">
        <f t="shared" si="3"/>
        <v>0</v>
      </c>
    </row>
    <row r="34" spans="3:19" x14ac:dyDescent="0.25">
      <c r="C34" s="766">
        <v>540200</v>
      </c>
      <c r="D34" s="877" t="str">
        <f>IF('Repo Details and VaR'!$V66,'Repo Details and VaR'!B66,"")</f>
        <v>9128287D6</v>
      </c>
      <c r="E34" s="5">
        <f>SUMIF('Repo Details and VaR'!$B$51:$B$228,'Securities Reconciliation'!D34,'Repo Details and VaR'!$V$51:$V$228)+SUMIFS('Facilities &amp; Bond Details'!C$4:C$25,'Facilities &amp; Bond Details'!A$4:A$25,D34,'Facilities &amp; Bond Details'!J$4:J$25,"&lt;="&amp;ValDate)</f>
        <v>1556000</v>
      </c>
      <c r="F34" s="117">
        <f t="shared" si="6"/>
        <v>1048000</v>
      </c>
      <c r="G34" s="117">
        <f t="shared" si="7"/>
        <v>508000</v>
      </c>
      <c r="H34" s="117"/>
      <c r="I34" s="411"/>
      <c r="J34" s="768">
        <v>44649</v>
      </c>
      <c r="K34" s="765" t="s">
        <v>4999</v>
      </c>
      <c r="L34" s="766">
        <v>540200</v>
      </c>
      <c r="M34" s="767">
        <v>-1500000</v>
      </c>
      <c r="N34" s="767">
        <v>-1500000</v>
      </c>
      <c r="O34" s="765"/>
      <c r="P34" s="412">
        <f t="shared" si="2"/>
        <v>0</v>
      </c>
      <c r="Q34" s="412">
        <f t="shared" si="3"/>
        <v>0</v>
      </c>
      <c r="S34" s="276"/>
    </row>
    <row r="35" spans="3:19" x14ac:dyDescent="0.25">
      <c r="C35" s="766">
        <v>540200</v>
      </c>
      <c r="D35" s="877" t="str">
        <f>IF('Repo Details and VaR'!$V68,'Repo Details and VaR'!B68,"")</f>
        <v/>
      </c>
      <c r="E35" s="5">
        <f>SUMIF('Repo Details and VaR'!$B$51:$B$228,'Securities Reconciliation'!D35,'Repo Details and VaR'!$V$51:$V$228)+SUMIFS('Facilities &amp; Bond Details'!C$4:C$25,'Facilities &amp; Bond Details'!A$4:A$25,D35,'Facilities &amp; Bond Details'!J$4:J$25,"&lt;="&amp;ValDate)</f>
        <v>0</v>
      </c>
      <c r="F35" s="117">
        <f t="shared" si="6"/>
        <v>0</v>
      </c>
      <c r="G35" s="117">
        <f t="shared" si="7"/>
        <v>0</v>
      </c>
      <c r="H35" s="117"/>
      <c r="I35" s="411"/>
      <c r="J35" s="768">
        <v>44649</v>
      </c>
      <c r="K35" s="765" t="s">
        <v>5000</v>
      </c>
      <c r="L35" s="766">
        <v>223031</v>
      </c>
      <c r="M35" s="767"/>
      <c r="N35" s="767">
        <v>17467500</v>
      </c>
      <c r="O35" s="765" t="s">
        <v>4585</v>
      </c>
      <c r="P35" s="412">
        <f t="shared" si="2"/>
        <v>0</v>
      </c>
      <c r="Q35" s="412">
        <f t="shared" si="3"/>
        <v>0</v>
      </c>
    </row>
    <row r="36" spans="3:19" x14ac:dyDescent="0.25">
      <c r="C36" s="766">
        <v>540200</v>
      </c>
      <c r="D36" s="877" t="str">
        <f>IF('Repo Details and VaR'!$V69,'Repo Details and VaR'!B69,"")</f>
        <v/>
      </c>
      <c r="E36" s="5">
        <f>SUMIF('Repo Details and VaR'!$B$51:$B$228,'Securities Reconciliation'!D36,'Repo Details and VaR'!$V$51:$V$228)+SUMIFS('Facilities &amp; Bond Details'!C$4:C$25,'Facilities &amp; Bond Details'!A$4:A$25,D36,'Facilities &amp; Bond Details'!J$4:J$25,"&lt;="&amp;ValDate)</f>
        <v>0</v>
      </c>
      <c r="F36" s="117">
        <f t="shared" si="6"/>
        <v>0</v>
      </c>
      <c r="G36" s="117">
        <f t="shared" si="7"/>
        <v>0</v>
      </c>
      <c r="H36" s="117"/>
      <c r="I36" s="411"/>
      <c r="J36" s="768">
        <v>44649</v>
      </c>
      <c r="K36" s="765" t="s">
        <v>5001</v>
      </c>
      <c r="L36" s="766">
        <v>223031</v>
      </c>
      <c r="M36" s="767"/>
      <c r="N36" s="767">
        <v>5679000</v>
      </c>
      <c r="O36" s="765" t="s">
        <v>4585</v>
      </c>
      <c r="P36" s="412">
        <f t="shared" si="2"/>
        <v>0</v>
      </c>
      <c r="Q36" s="412">
        <f t="shared" si="3"/>
        <v>0</v>
      </c>
      <c r="S36" s="102"/>
    </row>
    <row r="37" spans="3:19" x14ac:dyDescent="0.25">
      <c r="C37" s="766">
        <v>540200</v>
      </c>
      <c r="D37" s="877" t="str">
        <f>IF('Repo Details and VaR'!$V70,'Repo Details and VaR'!B70,"")</f>
        <v>FR0010916924</v>
      </c>
      <c r="E37" s="5">
        <f>SUMIF('Repo Details and VaR'!$B$51:$B$228,'Securities Reconciliation'!D37,'Repo Details and VaR'!$V$51:$V$228)+SUMIFS('Facilities &amp; Bond Details'!C$4:C$25,'Facilities &amp; Bond Details'!A$4:A$25,D37,'Facilities &amp; Bond Details'!J$4:J$25,"&lt;="&amp;ValDate)</f>
        <v>1704000</v>
      </c>
      <c r="F37" s="117">
        <f t="shared" si="6"/>
        <v>0</v>
      </c>
      <c r="G37" s="117">
        <f t="shared" si="7"/>
        <v>1704000</v>
      </c>
      <c r="H37" s="117"/>
      <c r="I37" s="411"/>
      <c r="J37" s="768">
        <v>44649</v>
      </c>
      <c r="K37" s="765" t="s">
        <v>2683</v>
      </c>
      <c r="L37" s="766">
        <v>540200</v>
      </c>
      <c r="M37" s="767">
        <v>3019191</v>
      </c>
      <c r="N37" s="767"/>
      <c r="O37" s="765" t="s">
        <v>4580</v>
      </c>
      <c r="P37" s="412">
        <f t="shared" si="2"/>
        <v>0</v>
      </c>
      <c r="Q37" s="412">
        <f t="shared" si="3"/>
        <v>0</v>
      </c>
    </row>
    <row r="38" spans="3:19" x14ac:dyDescent="0.25">
      <c r="C38" s="766">
        <v>540200</v>
      </c>
      <c r="D38" s="877" t="str">
        <f>IF('Repo Details and VaR'!$V71,'Repo Details and VaR'!B71,"")</f>
        <v/>
      </c>
      <c r="E38" s="5">
        <f>SUMIF('Repo Details and VaR'!$B$51:$B$228,'Securities Reconciliation'!D38,'Repo Details and VaR'!$V$51:$V$228)+SUMIFS('Facilities &amp; Bond Details'!C$4:C$25,'Facilities &amp; Bond Details'!A$4:A$25,D38,'Facilities &amp; Bond Details'!J$4:J$25,"&lt;="&amp;ValDate)</f>
        <v>0</v>
      </c>
      <c r="F38" s="117">
        <f t="shared" si="6"/>
        <v>0</v>
      </c>
      <c r="G38" s="117">
        <f t="shared" si="7"/>
        <v>0</v>
      </c>
      <c r="H38" s="117"/>
      <c r="I38" s="411"/>
      <c r="J38" s="768">
        <v>44649</v>
      </c>
      <c r="K38" s="765" t="s">
        <v>5002</v>
      </c>
      <c r="L38" s="766">
        <v>277540</v>
      </c>
      <c r="M38" s="767"/>
      <c r="N38" s="767">
        <v>3500000</v>
      </c>
      <c r="O38" s="765" t="s">
        <v>4585</v>
      </c>
      <c r="P38" s="412">
        <f t="shared" si="2"/>
        <v>0</v>
      </c>
      <c r="Q38" s="412">
        <f t="shared" si="3"/>
        <v>0</v>
      </c>
    </row>
    <row r="39" spans="3:19" x14ac:dyDescent="0.25">
      <c r="C39" s="766">
        <v>540200</v>
      </c>
      <c r="D39" s="877" t="str">
        <f>IF('Repo Details and VaR'!$V72,'Repo Details and VaR'!B72,"")</f>
        <v/>
      </c>
      <c r="E39" s="5">
        <f>SUMIF('Repo Details and VaR'!$B$51:$B$228,'Securities Reconciliation'!D39,'Repo Details and VaR'!$V$51:$V$228)+SUMIFS('Facilities &amp; Bond Details'!C$4:C$25,'Facilities &amp; Bond Details'!A$4:A$25,D39,'Facilities &amp; Bond Details'!J$4:J$25,"&lt;="&amp;ValDate)</f>
        <v>0</v>
      </c>
      <c r="F39" s="117">
        <f t="shared" si="6"/>
        <v>0</v>
      </c>
      <c r="G39" s="117">
        <f t="shared" si="7"/>
        <v>0</v>
      </c>
      <c r="H39" s="117"/>
      <c r="I39" s="411"/>
      <c r="J39" s="768">
        <v>44649</v>
      </c>
      <c r="K39" s="765" t="s">
        <v>5003</v>
      </c>
      <c r="L39" s="766">
        <v>277540</v>
      </c>
      <c r="M39" s="767"/>
      <c r="N39" s="767">
        <v>2500000</v>
      </c>
      <c r="O39" s="765" t="s">
        <v>4585</v>
      </c>
      <c r="P39" s="412">
        <f t="shared" si="2"/>
        <v>0</v>
      </c>
      <c r="Q39" s="412">
        <f t="shared" si="3"/>
        <v>0</v>
      </c>
    </row>
    <row r="40" spans="3:19" x14ac:dyDescent="0.25">
      <c r="C40" s="766">
        <v>540200</v>
      </c>
      <c r="D40" s="877" t="str">
        <f>IF('Repo Details and VaR'!$V73,'Repo Details and VaR'!B73,"")</f>
        <v>9128287D6</v>
      </c>
      <c r="E40" s="5">
        <f>SUMIF('Repo Details and VaR'!$B$51:$B$228,'Securities Reconciliation'!D40,'Repo Details and VaR'!$V$51:$V$228)+SUMIFS('Facilities &amp; Bond Details'!C$4:C$25,'Facilities &amp; Bond Details'!A$4:A$25,D40,'Facilities &amp; Bond Details'!J$4:J$25,"&lt;="&amp;ValDate)</f>
        <v>1556000</v>
      </c>
      <c r="F40" s="117">
        <f t="shared" si="6"/>
        <v>1048000</v>
      </c>
      <c r="G40" s="117">
        <f t="shared" si="7"/>
        <v>508000</v>
      </c>
      <c r="H40" s="117"/>
      <c r="I40" s="411"/>
      <c r="J40" s="768">
        <v>44649</v>
      </c>
      <c r="K40" s="765" t="s">
        <v>4412</v>
      </c>
      <c r="L40" s="766">
        <v>540200</v>
      </c>
      <c r="M40" s="767">
        <v>1704000</v>
      </c>
      <c r="N40" s="767">
        <v>1704000</v>
      </c>
      <c r="O40" s="765" t="s">
        <v>4580</v>
      </c>
      <c r="P40" s="412">
        <f t="shared" si="2"/>
        <v>0</v>
      </c>
      <c r="Q40" s="412">
        <f t="shared" si="3"/>
        <v>1704000</v>
      </c>
    </row>
    <row r="41" spans="3:19" x14ac:dyDescent="0.25">
      <c r="C41" s="766">
        <v>540200</v>
      </c>
      <c r="D41" s="877" t="str">
        <f>IF('Repo Details and VaR'!$V77,'Repo Details and VaR'!B77,"")</f>
        <v>9128287D6</v>
      </c>
      <c r="E41" s="5">
        <f>SUMIF('Repo Details and VaR'!$B$51:$B$228,'Securities Reconciliation'!D41,'Repo Details and VaR'!$V$51:$V$228)+SUMIFS('Facilities &amp; Bond Details'!C$4:C$25,'Facilities &amp; Bond Details'!A$4:A$25,D41,'Facilities &amp; Bond Details'!J$4:J$25,"&lt;="&amp;ValDate)</f>
        <v>1556000</v>
      </c>
      <c r="F41" s="117">
        <f t="shared" si="6"/>
        <v>1048000</v>
      </c>
      <c r="G41" s="117">
        <f t="shared" si="7"/>
        <v>508000</v>
      </c>
      <c r="H41" s="117"/>
      <c r="I41" s="411"/>
      <c r="J41" s="768">
        <v>44649</v>
      </c>
      <c r="K41" s="765" t="s">
        <v>5004</v>
      </c>
      <c r="L41" s="766">
        <v>223031</v>
      </c>
      <c r="M41" s="767"/>
      <c r="N41" s="767">
        <v>15309000</v>
      </c>
      <c r="O41" s="765" t="s">
        <v>4585</v>
      </c>
      <c r="P41" s="412">
        <f t="shared" si="2"/>
        <v>0</v>
      </c>
      <c r="Q41" s="412">
        <f t="shared" si="3"/>
        <v>0</v>
      </c>
    </row>
    <row r="42" spans="3:19" x14ac:dyDescent="0.25">
      <c r="C42" s="766">
        <v>540200</v>
      </c>
      <c r="D42" s="877" t="str">
        <f>IF('Repo Details and VaR'!$V78,'Repo Details and VaR'!B78,"")</f>
        <v>912828X70</v>
      </c>
      <c r="E42" s="5">
        <f>SUMIF('Repo Details and VaR'!$B$51:$B$228,'Securities Reconciliation'!D42,'Repo Details and VaR'!$V$51:$V$228)+SUMIFS('Facilities &amp; Bond Details'!C$4:C$25,'Facilities &amp; Bond Details'!A$4:A$25,D42,'Facilities &amp; Bond Details'!J$4:J$25,"&lt;="&amp;ValDate)</f>
        <v>198500</v>
      </c>
      <c r="F42" s="117">
        <f t="shared" si="6"/>
        <v>548500</v>
      </c>
      <c r="G42" s="117">
        <f t="shared" si="7"/>
        <v>350000</v>
      </c>
      <c r="H42" s="117"/>
      <c r="I42" s="411"/>
      <c r="J42" s="768">
        <v>44649</v>
      </c>
      <c r="K42" s="765" t="s">
        <v>3154</v>
      </c>
      <c r="L42" s="766">
        <v>277540</v>
      </c>
      <c r="M42" s="767"/>
      <c r="N42" s="767">
        <v>3500000</v>
      </c>
      <c r="O42" s="765" t="s">
        <v>4585</v>
      </c>
      <c r="P42" s="412">
        <f t="shared" si="2"/>
        <v>0</v>
      </c>
      <c r="Q42" s="412">
        <f t="shared" si="3"/>
        <v>0</v>
      </c>
    </row>
    <row r="43" spans="3:19" x14ac:dyDescent="0.25">
      <c r="C43" s="766">
        <v>540200</v>
      </c>
      <c r="D43" s="877" t="str">
        <f>IF('Repo Details and VaR'!$V79,'Repo Details and VaR'!B79,"")</f>
        <v>9128287D6</v>
      </c>
      <c r="E43" s="5">
        <f>SUMIF('Repo Details and VaR'!$B$51:$B$228,'Securities Reconciliation'!D43,'Repo Details and VaR'!$V$51:$V$228)+SUMIFS('Facilities &amp; Bond Details'!C$4:C$25,'Facilities &amp; Bond Details'!A$4:A$25,D43,'Facilities &amp; Bond Details'!J$4:J$25,"&lt;="&amp;ValDate)</f>
        <v>1556000</v>
      </c>
      <c r="F43" s="117">
        <f t="shared" si="6"/>
        <v>1048000</v>
      </c>
      <c r="G43" s="117">
        <f t="shared" si="7"/>
        <v>508000</v>
      </c>
      <c r="H43" s="117"/>
      <c r="I43" s="411"/>
      <c r="J43" s="768">
        <v>44649</v>
      </c>
      <c r="K43" s="765" t="s">
        <v>3444</v>
      </c>
      <c r="L43" s="766">
        <v>277540</v>
      </c>
      <c r="M43" s="767"/>
      <c r="N43" s="767">
        <v>1225000</v>
      </c>
      <c r="O43" s="765" t="s">
        <v>4585</v>
      </c>
      <c r="P43" s="412">
        <f t="shared" si="2"/>
        <v>0</v>
      </c>
      <c r="Q43" s="412">
        <f t="shared" si="3"/>
        <v>0</v>
      </c>
    </row>
    <row r="44" spans="3:19" x14ac:dyDescent="0.25">
      <c r="C44" s="766">
        <v>540200</v>
      </c>
      <c r="D44" s="877" t="str">
        <f>IF('Repo Details and VaR'!$V80,'Repo Details and VaR'!B80,"")</f>
        <v>9128287D6</v>
      </c>
      <c r="E44" s="5">
        <f>SUMIF('Repo Details and VaR'!$B$51:$B$228,'Securities Reconciliation'!D44,'Repo Details and VaR'!$V$51:$V$228)+SUMIFS('Facilities &amp; Bond Details'!C$4:C$25,'Facilities &amp; Bond Details'!A$4:A$25,D44,'Facilities &amp; Bond Details'!J$4:J$25,"&lt;="&amp;ValDate)</f>
        <v>1556000</v>
      </c>
      <c r="F44" s="117">
        <f t="shared" si="6"/>
        <v>1048000</v>
      </c>
      <c r="G44" s="117">
        <f t="shared" si="7"/>
        <v>508000</v>
      </c>
      <c r="H44" s="117"/>
      <c r="I44" s="411"/>
      <c r="J44" s="768">
        <v>44649</v>
      </c>
      <c r="K44" s="765" t="s">
        <v>3445</v>
      </c>
      <c r="L44" s="766">
        <v>277540</v>
      </c>
      <c r="M44" s="767"/>
      <c r="N44" s="767">
        <v>1500000</v>
      </c>
      <c r="O44" s="765" t="s">
        <v>4585</v>
      </c>
      <c r="P44" s="412">
        <f t="shared" si="2"/>
        <v>0</v>
      </c>
      <c r="Q44" s="412">
        <f t="shared" si="3"/>
        <v>0</v>
      </c>
    </row>
    <row r="45" spans="3:19" x14ac:dyDescent="0.25">
      <c r="C45" s="766">
        <v>540200</v>
      </c>
      <c r="D45" s="877" t="str">
        <f>IF('Repo Details and VaR'!$V81,'Repo Details and VaR'!B81,"")</f>
        <v/>
      </c>
      <c r="E45" s="5">
        <f>SUMIF('Repo Details and VaR'!$B$51:$B$228,'Securities Reconciliation'!D45,'Repo Details and VaR'!$V$51:$V$228)+SUMIFS('Facilities &amp; Bond Details'!C$4:C$25,'Facilities &amp; Bond Details'!A$4:A$25,D45,'Facilities &amp; Bond Details'!J$4:J$25,"&lt;="&amp;ValDate)</f>
        <v>0</v>
      </c>
      <c r="F45" s="117">
        <f t="shared" si="6"/>
        <v>0</v>
      </c>
      <c r="G45" s="117">
        <f t="shared" si="7"/>
        <v>0</v>
      </c>
      <c r="H45" s="117"/>
      <c r="I45" s="411"/>
      <c r="J45" s="768">
        <v>44649</v>
      </c>
      <c r="K45" s="765" t="s">
        <v>3642</v>
      </c>
      <c r="L45" s="766">
        <v>277540</v>
      </c>
      <c r="M45" s="767"/>
      <c r="N45" s="767">
        <v>890000</v>
      </c>
      <c r="O45" s="765" t="s">
        <v>4585</v>
      </c>
      <c r="P45" s="412">
        <f t="shared" si="2"/>
        <v>0</v>
      </c>
      <c r="Q45" s="412">
        <f t="shared" si="3"/>
        <v>0</v>
      </c>
    </row>
    <row r="46" spans="3:19" x14ac:dyDescent="0.25">
      <c r="C46" s="766">
        <v>540200</v>
      </c>
      <c r="D46" s="877" t="str">
        <f>IF('Repo Details and VaR'!$V82,'Repo Details and VaR'!B82,"")</f>
        <v/>
      </c>
      <c r="E46" s="5">
        <f>SUMIF('Repo Details and VaR'!$B$51:$B$228,'Securities Reconciliation'!D46,'Repo Details and VaR'!$V$51:$V$228)+SUMIFS('Facilities &amp; Bond Details'!C$4:C$25,'Facilities &amp; Bond Details'!A$4:A$25,D46,'Facilities &amp; Bond Details'!J$4:J$25,"&lt;="&amp;ValDate)</f>
        <v>0</v>
      </c>
      <c r="F46" s="117">
        <f t="shared" si="6"/>
        <v>0</v>
      </c>
      <c r="G46" s="117">
        <f t="shared" si="7"/>
        <v>0</v>
      </c>
      <c r="H46" s="117"/>
      <c r="I46" s="411"/>
      <c r="J46" s="768">
        <v>44649</v>
      </c>
      <c r="K46" s="765" t="s">
        <v>2855</v>
      </c>
      <c r="L46" s="766">
        <v>277540</v>
      </c>
      <c r="M46" s="767"/>
      <c r="N46" s="767">
        <v>94790581</v>
      </c>
      <c r="O46" s="765" t="s">
        <v>4585</v>
      </c>
      <c r="P46" s="412">
        <f t="shared" si="2"/>
        <v>0</v>
      </c>
      <c r="Q46" s="412">
        <f t="shared" si="3"/>
        <v>0</v>
      </c>
    </row>
    <row r="47" spans="3:19" x14ac:dyDescent="0.25">
      <c r="C47" s="766">
        <v>540200</v>
      </c>
      <c r="D47" s="877" t="str">
        <f>IF('Repo Details and VaR'!$V83,'Repo Details and VaR'!B83,"")</f>
        <v>FR0010916924</v>
      </c>
      <c r="E47" s="5">
        <f>SUMIF('Repo Details and VaR'!$B$51:$B$228,'Securities Reconciliation'!D47,'Repo Details and VaR'!$V$51:$V$228)+SUMIFS('Facilities &amp; Bond Details'!C$4:C$25,'Facilities &amp; Bond Details'!A$4:A$25,D47,'Facilities &amp; Bond Details'!J$4:J$25,"&lt;="&amp;ValDate)</f>
        <v>1704000</v>
      </c>
      <c r="F47" s="117">
        <f t="shared" si="6"/>
        <v>0</v>
      </c>
      <c r="G47" s="117">
        <f t="shared" si="7"/>
        <v>1704000</v>
      </c>
      <c r="H47" s="117"/>
      <c r="I47" s="411"/>
      <c r="J47" s="768">
        <v>44649</v>
      </c>
      <c r="K47" s="765" t="s">
        <v>2854</v>
      </c>
      <c r="L47" s="766">
        <v>277540</v>
      </c>
      <c r="M47" s="767"/>
      <c r="N47" s="767">
        <v>72371119</v>
      </c>
      <c r="O47" s="765" t="s">
        <v>4585</v>
      </c>
      <c r="P47" s="412">
        <f t="shared" si="2"/>
        <v>0</v>
      </c>
      <c r="Q47" s="412">
        <f t="shared" si="3"/>
        <v>0</v>
      </c>
    </row>
    <row r="48" spans="3:19" x14ac:dyDescent="0.25">
      <c r="C48" s="766">
        <v>540200</v>
      </c>
      <c r="D48" s="877" t="str">
        <f>IF('Repo Details and VaR'!$V84,'Repo Details and VaR'!B84,"")</f>
        <v>FR0010916924</v>
      </c>
      <c r="E48" s="5">
        <f>SUMIF('Repo Details and VaR'!$B$51:$B$228,'Securities Reconciliation'!D48,'Repo Details and VaR'!$V$51:$V$228)+SUMIFS('Facilities &amp; Bond Details'!C$4:C$25,'Facilities &amp; Bond Details'!A$4:A$25,D48,'Facilities &amp; Bond Details'!J$4:J$25,"&lt;="&amp;ValDate)</f>
        <v>1704000</v>
      </c>
      <c r="F48" s="117">
        <f t="shared" si="6"/>
        <v>0</v>
      </c>
      <c r="G48" s="117">
        <f t="shared" si="7"/>
        <v>1704000</v>
      </c>
      <c r="H48" s="117"/>
      <c r="I48" s="411"/>
      <c r="J48" s="768">
        <v>44649</v>
      </c>
      <c r="K48" s="765" t="s">
        <v>3130</v>
      </c>
      <c r="L48" s="766">
        <v>277540</v>
      </c>
      <c r="M48" s="767"/>
      <c r="N48" s="767">
        <v>9000000</v>
      </c>
      <c r="O48" s="765" t="s">
        <v>4585</v>
      </c>
      <c r="P48" s="412">
        <f t="shared" si="2"/>
        <v>0</v>
      </c>
      <c r="Q48" s="412">
        <f t="shared" si="3"/>
        <v>0</v>
      </c>
    </row>
    <row r="49" spans="3:22" x14ac:dyDescent="0.25">
      <c r="C49" s="766">
        <v>540200</v>
      </c>
      <c r="D49" s="877" t="str">
        <f>IF('Repo Details and VaR'!$V85,'Repo Details and VaR'!B85,"")</f>
        <v/>
      </c>
      <c r="E49" s="5">
        <f>SUMIF('Repo Details and VaR'!$B$51:$B$228,'Securities Reconciliation'!D49,'Repo Details and VaR'!$V$51:$V$228)+SUMIFS('Facilities &amp; Bond Details'!C$4:C$25,'Facilities &amp; Bond Details'!A$4:A$25,D49,'Facilities &amp; Bond Details'!J$4:J$25,"&lt;="&amp;ValDate)</f>
        <v>0</v>
      </c>
      <c r="F49" s="117">
        <f t="shared" si="6"/>
        <v>0</v>
      </c>
      <c r="G49" s="117">
        <f t="shared" si="7"/>
        <v>0</v>
      </c>
      <c r="H49" s="117"/>
      <c r="I49" s="411"/>
      <c r="J49" s="768">
        <v>44649</v>
      </c>
      <c r="K49" s="765" t="s">
        <v>4612</v>
      </c>
      <c r="L49" s="766">
        <v>277540</v>
      </c>
      <c r="M49" s="767"/>
      <c r="N49" s="767">
        <v>2000000</v>
      </c>
      <c r="O49" s="765" t="s">
        <v>4585</v>
      </c>
      <c r="P49" s="412">
        <f t="shared" si="2"/>
        <v>0</v>
      </c>
      <c r="Q49" s="412">
        <f t="shared" si="3"/>
        <v>0</v>
      </c>
    </row>
    <row r="50" spans="3:22" x14ac:dyDescent="0.25">
      <c r="C50" s="766">
        <v>540200</v>
      </c>
      <c r="D50" s="877" t="str">
        <f>IF('Repo Details and VaR'!$V86,'Repo Details and VaR'!B86,"")</f>
        <v/>
      </c>
      <c r="E50" s="5">
        <f>SUMIF('Repo Details and VaR'!$B$51:$B$228,'Securities Reconciliation'!D50,'Repo Details and VaR'!$V$51:$V$228)+SUMIFS('Facilities &amp; Bond Details'!C$4:C$25,'Facilities &amp; Bond Details'!A$4:A$25,D50,'Facilities &amp; Bond Details'!J$4:J$25,"&lt;="&amp;ValDate)</f>
        <v>0</v>
      </c>
      <c r="F50" s="117">
        <f t="shared" si="6"/>
        <v>0</v>
      </c>
      <c r="G50" s="117">
        <f t="shared" si="7"/>
        <v>0</v>
      </c>
      <c r="H50" s="117"/>
      <c r="I50" s="411"/>
      <c r="J50" s="768">
        <v>44649</v>
      </c>
      <c r="K50" s="765" t="s">
        <v>4956</v>
      </c>
      <c r="L50" s="766">
        <v>277540</v>
      </c>
      <c r="M50" s="767"/>
      <c r="N50" s="767">
        <v>4119000</v>
      </c>
      <c r="O50" s="765" t="s">
        <v>4585</v>
      </c>
      <c r="P50" s="412">
        <f t="shared" si="2"/>
        <v>0</v>
      </c>
      <c r="Q50" s="412">
        <f t="shared" si="3"/>
        <v>0</v>
      </c>
    </row>
    <row r="51" spans="3:22" x14ac:dyDescent="0.25">
      <c r="C51" s="766">
        <v>540200</v>
      </c>
      <c r="D51" s="877" t="str">
        <f>IF('Repo Details and VaR'!$V87,'Repo Details and VaR'!B87,"")</f>
        <v>9128287D6</v>
      </c>
      <c r="E51" s="5">
        <f>SUMIF('Repo Details and VaR'!$B$51:$B$228,'Securities Reconciliation'!D51,'Repo Details and VaR'!$V$51:$V$228)+SUMIFS('Facilities &amp; Bond Details'!C$4:C$25,'Facilities &amp; Bond Details'!A$4:A$25,D51,'Facilities &amp; Bond Details'!J$4:J$25,"&lt;="&amp;ValDate)</f>
        <v>1556000</v>
      </c>
      <c r="F51" s="117">
        <f t="shared" si="6"/>
        <v>1048000</v>
      </c>
      <c r="G51" s="117">
        <f t="shared" si="7"/>
        <v>508000</v>
      </c>
      <c r="H51" s="117"/>
      <c r="I51" s="411"/>
      <c r="J51" s="768">
        <v>44649</v>
      </c>
      <c r="K51" s="765" t="s">
        <v>1950</v>
      </c>
      <c r="L51" s="766">
        <v>277540</v>
      </c>
      <c r="M51" s="767"/>
      <c r="N51" s="767">
        <v>14925827</v>
      </c>
      <c r="O51" s="765" t="s">
        <v>4585</v>
      </c>
      <c r="P51" s="412">
        <f t="shared" si="2"/>
        <v>0</v>
      </c>
      <c r="Q51" s="412">
        <f t="shared" si="3"/>
        <v>0</v>
      </c>
    </row>
    <row r="52" spans="3:22" x14ac:dyDescent="0.25">
      <c r="C52" s="766">
        <v>540200</v>
      </c>
      <c r="D52" s="877" t="str">
        <f>IF('Repo Details and VaR'!$V91,'Repo Details and VaR'!B91,"")</f>
        <v>9128287D6</v>
      </c>
      <c r="E52" s="5">
        <f>SUMIF('Repo Details and VaR'!$B$51:$B$228,'Securities Reconciliation'!D52,'Repo Details and VaR'!$V$51:$V$228)+SUMIFS('Facilities &amp; Bond Details'!C$4:C$25,'Facilities &amp; Bond Details'!A$4:A$25,D52,'Facilities &amp; Bond Details'!J$4:J$25,"&lt;="&amp;ValDate)</f>
        <v>1556000</v>
      </c>
      <c r="F52" s="117">
        <f t="shared" si="6"/>
        <v>1048000</v>
      </c>
      <c r="G52" s="117">
        <f t="shared" si="7"/>
        <v>508000</v>
      </c>
      <c r="H52" s="117"/>
      <c r="I52" s="411"/>
      <c r="J52" s="768">
        <v>44649</v>
      </c>
      <c r="K52" s="765" t="s">
        <v>2024</v>
      </c>
      <c r="L52" s="766">
        <v>277540</v>
      </c>
      <c r="M52" s="767"/>
      <c r="N52" s="767">
        <v>1450000</v>
      </c>
      <c r="O52" s="765" t="s">
        <v>4585</v>
      </c>
      <c r="P52" s="412">
        <f t="shared" si="2"/>
        <v>0</v>
      </c>
      <c r="Q52" s="412">
        <f t="shared" si="3"/>
        <v>0</v>
      </c>
    </row>
    <row r="53" spans="3:22" x14ac:dyDescent="0.25">
      <c r="C53" s="766">
        <v>540200</v>
      </c>
      <c r="D53" s="877" t="str">
        <f>IF('Repo Details and VaR'!$V92,'Repo Details and VaR'!B92,"")</f>
        <v>9128287D6</v>
      </c>
      <c r="E53" s="5">
        <f>SUMIF('Repo Details and VaR'!$B$51:$B$228,'Securities Reconciliation'!D53,'Repo Details and VaR'!$V$51:$V$228)+SUMIFS('Facilities &amp; Bond Details'!C$4:C$25,'Facilities &amp; Bond Details'!A$4:A$25,D53,'Facilities &amp; Bond Details'!J$4:J$25,"&lt;="&amp;ValDate)</f>
        <v>1556000</v>
      </c>
      <c r="F53" s="117">
        <f t="shared" si="6"/>
        <v>1048000</v>
      </c>
      <c r="G53" s="117">
        <f t="shared" si="7"/>
        <v>508000</v>
      </c>
      <c r="H53" s="117"/>
      <c r="I53" s="411"/>
      <c r="J53" s="768">
        <v>44649</v>
      </c>
      <c r="K53" s="765" t="s">
        <v>3591</v>
      </c>
      <c r="L53" s="766">
        <v>277540</v>
      </c>
      <c r="M53" s="767"/>
      <c r="N53" s="767">
        <v>2676750</v>
      </c>
      <c r="O53" s="765" t="s">
        <v>4585</v>
      </c>
      <c r="P53" s="412">
        <f t="shared" si="2"/>
        <v>0</v>
      </c>
      <c r="Q53" s="412">
        <f>IF(LEFT(K53,4)="RP00",0,IF(ISNA(VLOOKUP(L53,$C$6:$C$11,1,FALSE)),0,IF(L53&lt;&gt;"",ABS(N53-P53),0)))</f>
        <v>0</v>
      </c>
    </row>
    <row r="54" spans="3:22" x14ac:dyDescent="0.25">
      <c r="C54" s="766">
        <v>540200</v>
      </c>
      <c r="D54" s="877" t="str">
        <f>IF('Repo Details and VaR'!$V93,'Repo Details and VaR'!B93,"")</f>
        <v>9128287D6</v>
      </c>
      <c r="E54" s="5">
        <f>SUMIF('Repo Details and VaR'!$B$51:$B$228,'Securities Reconciliation'!D54,'Repo Details and VaR'!$V$51:$V$228)+SUMIFS('Facilities &amp; Bond Details'!C$4:C$25,'Facilities &amp; Bond Details'!A$4:A$25,D54,'Facilities &amp; Bond Details'!J$4:J$25,"&lt;="&amp;ValDate)</f>
        <v>1556000</v>
      </c>
      <c r="F54" s="117">
        <f t="shared" si="6"/>
        <v>1048000</v>
      </c>
      <c r="G54" s="117">
        <f t="shared" si="7"/>
        <v>508000</v>
      </c>
      <c r="H54" s="117"/>
      <c r="I54" s="411"/>
      <c r="J54" s="768">
        <v>44649</v>
      </c>
      <c r="K54" s="765" t="s">
        <v>2578</v>
      </c>
      <c r="L54" s="766">
        <v>277540</v>
      </c>
      <c r="M54" s="767"/>
      <c r="N54" s="767">
        <v>2750000</v>
      </c>
      <c r="O54" s="765" t="s">
        <v>4585</v>
      </c>
      <c r="P54" s="412">
        <f t="shared" si="2"/>
        <v>0</v>
      </c>
      <c r="Q54" s="412">
        <f>IF(LEFT(K54,4)="RP00",0,IF(ISNA(VLOOKUP(L54,$C$6:$C$11,1,FALSE)),0,IF(L54&lt;&gt;"",ABS(N54-P54),0)))</f>
        <v>0</v>
      </c>
    </row>
    <row r="55" spans="3:22" x14ac:dyDescent="0.25">
      <c r="C55" s="766">
        <v>540200</v>
      </c>
      <c r="D55" s="877" t="str">
        <f>IF('Repo Details and VaR'!$V94,'Repo Details and VaR'!B94,"")</f>
        <v>9128287D6</v>
      </c>
      <c r="E55" s="5">
        <f>SUMIF('Repo Details and VaR'!$B$51:$B$228,'Securities Reconciliation'!D55,'Repo Details and VaR'!$V$51:$V$228)+SUMIFS('Facilities &amp; Bond Details'!C$4:C$25,'Facilities &amp; Bond Details'!A$4:A$25,D55,'Facilities &amp; Bond Details'!J$4:J$25,"&lt;="&amp;ValDate)</f>
        <v>1556000</v>
      </c>
      <c r="F55" s="117">
        <f t="shared" si="6"/>
        <v>1048000</v>
      </c>
      <c r="G55" s="117">
        <f t="shared" si="7"/>
        <v>508000</v>
      </c>
      <c r="H55" s="117"/>
      <c r="I55" s="411"/>
      <c r="J55" s="768">
        <v>44649</v>
      </c>
      <c r="K55" s="765" t="s">
        <v>2911</v>
      </c>
      <c r="L55" s="766">
        <v>277540</v>
      </c>
      <c r="M55" s="767"/>
      <c r="N55" s="767">
        <v>1000000</v>
      </c>
      <c r="O55" s="765" t="s">
        <v>4585</v>
      </c>
      <c r="P55" s="412">
        <f t="shared" si="2"/>
        <v>0</v>
      </c>
      <c r="Q55" s="412">
        <f>IF(LEFT(K55,4)="RP00",0,IF(ISNA(VLOOKUP(L55,$C$6:$C$11,1,FALSE)),0,IF(L55&lt;&gt;"",ABS(N55-P55),0)))</f>
        <v>0</v>
      </c>
    </row>
    <row r="56" spans="3:22" x14ac:dyDescent="0.25">
      <c r="C56" s="766">
        <v>540200</v>
      </c>
      <c r="D56" s="877" t="str">
        <f>IF('Repo Details and VaR'!$V95,'Repo Details and VaR'!B95,"")</f>
        <v>9128287D6</v>
      </c>
      <c r="E56" s="5">
        <f>SUMIF('Repo Details and VaR'!$B$51:$B$228,'Securities Reconciliation'!D56,'Repo Details and VaR'!$V$51:$V$228)+SUMIFS('Facilities &amp; Bond Details'!C$4:C$25,'Facilities &amp; Bond Details'!A$4:A$25,D56,'Facilities &amp; Bond Details'!J$4:J$25,"&lt;="&amp;ValDate)</f>
        <v>1556000</v>
      </c>
      <c r="F56" s="117">
        <f t="shared" si="6"/>
        <v>1048000</v>
      </c>
      <c r="G56" s="117">
        <f t="shared" si="7"/>
        <v>508000</v>
      </c>
      <c r="H56" s="117"/>
      <c r="I56" s="411"/>
      <c r="J56" s="768">
        <v>44649</v>
      </c>
      <c r="K56" s="765" t="s">
        <v>2576</v>
      </c>
      <c r="L56" s="766">
        <v>277540</v>
      </c>
      <c r="M56" s="767"/>
      <c r="N56" s="767">
        <v>797000</v>
      </c>
      <c r="O56" s="765" t="s">
        <v>4585</v>
      </c>
      <c r="P56" s="412">
        <f t="shared" si="2"/>
        <v>0</v>
      </c>
      <c r="Q56" s="412">
        <f t="shared" si="3"/>
        <v>0</v>
      </c>
    </row>
    <row r="57" spans="3:22" x14ac:dyDescent="0.25">
      <c r="C57" s="766">
        <v>540200</v>
      </c>
      <c r="D57" s="877" t="str">
        <f>IF('Repo Details and VaR'!$V96,'Repo Details and VaR'!B96,"")</f>
        <v>9128287D6</v>
      </c>
      <c r="E57" s="5">
        <f>SUMIF('Repo Details and VaR'!$B$51:$B$228,'Securities Reconciliation'!D57,'Repo Details and VaR'!$V$51:$V$228)+SUMIFS('Facilities &amp; Bond Details'!C$4:C$25,'Facilities &amp; Bond Details'!A$4:A$25,D57,'Facilities &amp; Bond Details'!J$4:J$25,"&lt;="&amp;ValDate)</f>
        <v>1556000</v>
      </c>
      <c r="F57" s="117">
        <f t="shared" si="6"/>
        <v>1048000</v>
      </c>
      <c r="G57" s="117">
        <f t="shared" si="7"/>
        <v>508000</v>
      </c>
      <c r="H57" s="117"/>
      <c r="I57" s="411"/>
      <c r="J57" s="768">
        <v>44649</v>
      </c>
      <c r="K57" s="765" t="s">
        <v>3629</v>
      </c>
      <c r="L57" s="766">
        <v>277540</v>
      </c>
      <c r="M57" s="767"/>
      <c r="N57" s="767">
        <v>4690500</v>
      </c>
      <c r="O57" s="765" t="s">
        <v>4585</v>
      </c>
      <c r="P57" s="412">
        <f t="shared" si="2"/>
        <v>0</v>
      </c>
      <c r="Q57" s="412">
        <f t="shared" si="3"/>
        <v>0</v>
      </c>
    </row>
    <row r="58" spans="3:22" x14ac:dyDescent="0.25">
      <c r="C58" s="766">
        <v>540200</v>
      </c>
      <c r="D58" s="877" t="str">
        <f>IF('Repo Details and VaR'!$V97,'Repo Details and VaR'!B97,"")</f>
        <v>9128287D6</v>
      </c>
      <c r="E58" s="5">
        <f>SUMIF('Repo Details and VaR'!$B$51:$B$228,'Securities Reconciliation'!D58,'Repo Details and VaR'!$V$51:$V$228)+SUMIFS('Facilities &amp; Bond Details'!C$4:C$25,'Facilities &amp; Bond Details'!A$4:A$25,D58,'Facilities &amp; Bond Details'!J$4:J$25,"&lt;="&amp;ValDate)</f>
        <v>1556000</v>
      </c>
      <c r="F58" s="117">
        <f t="shared" si="6"/>
        <v>1048000</v>
      </c>
      <c r="G58" s="117">
        <f t="shared" si="7"/>
        <v>508000</v>
      </c>
      <c r="H58" s="117"/>
      <c r="I58" s="411"/>
      <c r="J58" s="768">
        <v>44649</v>
      </c>
      <c r="K58" s="765" t="s">
        <v>5051</v>
      </c>
      <c r="L58" s="766">
        <v>277540</v>
      </c>
      <c r="M58" s="767"/>
      <c r="N58" s="767">
        <v>25000000</v>
      </c>
      <c r="O58" s="765" t="s">
        <v>4585</v>
      </c>
      <c r="P58" s="412">
        <f t="shared" si="2"/>
        <v>0</v>
      </c>
      <c r="Q58" s="412">
        <f t="shared" si="3"/>
        <v>0</v>
      </c>
    </row>
    <row r="59" spans="3:22" x14ac:dyDescent="0.25">
      <c r="C59" s="766">
        <v>540200</v>
      </c>
      <c r="D59" s="877" t="str">
        <f>IF('Repo Details and VaR'!$V98,'Repo Details and VaR'!B98,"")</f>
        <v>CASHUSD01</v>
      </c>
      <c r="E59" s="5">
        <f>SUMIF('Repo Details and VaR'!$B$51:$B$228,'Securities Reconciliation'!D59,'Repo Details and VaR'!$V$51:$V$228)+SUMIFS('Facilities &amp; Bond Details'!C$4:C$25,'Facilities &amp; Bond Details'!A$4:A$25,D59,'Facilities &amp; Bond Details'!J$4:J$25,"&lt;="&amp;ValDate)</f>
        <v>408048</v>
      </c>
      <c r="F59" s="117">
        <f t="shared" si="6"/>
        <v>0</v>
      </c>
      <c r="G59" s="117">
        <f t="shared" si="7"/>
        <v>0</v>
      </c>
      <c r="H59" s="117"/>
      <c r="I59" s="411"/>
      <c r="J59" s="768">
        <v>44649</v>
      </c>
      <c r="K59" s="765" t="s">
        <v>2523</v>
      </c>
      <c r="L59" s="766">
        <v>277540</v>
      </c>
      <c r="M59" s="767">
        <v>1000000</v>
      </c>
      <c r="N59" s="767"/>
      <c r="O59" s="765" t="s">
        <v>4580</v>
      </c>
      <c r="P59" s="412">
        <f t="shared" si="2"/>
        <v>0</v>
      </c>
      <c r="Q59" s="412">
        <f t="shared" si="3"/>
        <v>0</v>
      </c>
    </row>
    <row r="60" spans="3:22" x14ac:dyDescent="0.25">
      <c r="C60" s="766">
        <v>540200</v>
      </c>
      <c r="D60" s="877" t="str">
        <f>IF('Repo Details and VaR'!$V99,'Repo Details and VaR'!B99,"")</f>
        <v>912828X70</v>
      </c>
      <c r="E60" s="5">
        <f>SUMIF('Repo Details and VaR'!$B$51:$B$228,'Securities Reconciliation'!D60,'Repo Details and VaR'!$V$51:$V$228)+SUMIFS('Facilities &amp; Bond Details'!C$4:C$25,'Facilities &amp; Bond Details'!A$4:A$25,D60,'Facilities &amp; Bond Details'!J$4:J$25,"&lt;="&amp;ValDate)</f>
        <v>198500</v>
      </c>
      <c r="F60" s="117">
        <f t="shared" si="6"/>
        <v>548500</v>
      </c>
      <c r="G60" s="117">
        <f t="shared" si="7"/>
        <v>350000</v>
      </c>
      <c r="H60" s="117"/>
      <c r="I60" s="411"/>
      <c r="J60" s="768">
        <v>44649</v>
      </c>
      <c r="K60" s="765" t="s">
        <v>2523</v>
      </c>
      <c r="L60" s="766">
        <v>277540</v>
      </c>
      <c r="M60" s="767"/>
      <c r="N60" s="767">
        <v>1000000</v>
      </c>
      <c r="O60" s="765" t="s">
        <v>4585</v>
      </c>
      <c r="P60" s="412">
        <f t="shared" si="2"/>
        <v>0</v>
      </c>
      <c r="Q60" s="412">
        <f t="shared" si="3"/>
        <v>0</v>
      </c>
    </row>
    <row r="61" spans="3:22" x14ac:dyDescent="0.25">
      <c r="C61" s="766">
        <v>540200</v>
      </c>
      <c r="D61" s="877" t="str">
        <f>IF('Repo Details and VaR'!$V100,'Repo Details and VaR'!B100,"")</f>
        <v>ALMNDUSD2</v>
      </c>
      <c r="E61" s="5">
        <f>SUMIF('Repo Details and VaR'!$B$51:$B$228,'Securities Reconciliation'!D61,'Repo Details and VaR'!$V$51:$V$228)+SUMIFS('Facilities &amp; Bond Details'!C$4:C$25,'Facilities &amp; Bond Details'!A$4:A$25,D61,'Facilities &amp; Bond Details'!J$4:J$25,"&lt;="&amp;ValDate)</f>
        <v>0</v>
      </c>
      <c r="F61" s="117">
        <f t="shared" si="6"/>
        <v>0</v>
      </c>
      <c r="G61" s="117">
        <f t="shared" si="7"/>
        <v>0</v>
      </c>
      <c r="H61" s="117"/>
      <c r="I61" s="411"/>
      <c r="J61" s="768">
        <v>44649</v>
      </c>
      <c r="K61" s="765" t="s">
        <v>3526</v>
      </c>
      <c r="L61" s="766">
        <v>277540</v>
      </c>
      <c r="M61" s="767"/>
      <c r="N61" s="767">
        <v>4000000</v>
      </c>
      <c r="O61" s="765" t="s">
        <v>4585</v>
      </c>
      <c r="P61" s="412">
        <f t="shared" si="2"/>
        <v>0</v>
      </c>
      <c r="Q61" s="412">
        <f t="shared" si="3"/>
        <v>0</v>
      </c>
      <c r="S61"/>
      <c r="T61"/>
      <c r="U61" s="117"/>
      <c r="V61" s="117"/>
    </row>
    <row r="62" spans="3:22" x14ac:dyDescent="0.25">
      <c r="C62" s="766">
        <v>540200</v>
      </c>
      <c r="D62" s="877" t="str">
        <f>IF('Repo Details and VaR'!$V101,'Repo Details and VaR'!B101,"")</f>
        <v>912828X70</v>
      </c>
      <c r="E62" s="5">
        <f>SUMIF('Repo Details and VaR'!$B$51:$B$228,'Securities Reconciliation'!D62,'Repo Details and VaR'!$V$51:$V$228)+SUMIFS('Facilities &amp; Bond Details'!C$4:C$25,'Facilities &amp; Bond Details'!A$4:A$25,D62,'Facilities &amp; Bond Details'!J$4:J$25,"&lt;="&amp;ValDate)</f>
        <v>198500</v>
      </c>
      <c r="F62" s="117">
        <f t="shared" si="6"/>
        <v>548500</v>
      </c>
      <c r="G62" s="117">
        <f t="shared" si="7"/>
        <v>350000</v>
      </c>
      <c r="H62" s="117"/>
      <c r="I62" s="411"/>
      <c r="J62" s="768">
        <v>44649</v>
      </c>
      <c r="K62" s="765" t="s">
        <v>5073</v>
      </c>
      <c r="L62" s="766">
        <v>540200</v>
      </c>
      <c r="M62" s="767">
        <v>646000</v>
      </c>
      <c r="N62" s="767">
        <v>646000</v>
      </c>
      <c r="O62" s="765" t="s">
        <v>4580</v>
      </c>
      <c r="P62" s="412">
        <f t="shared" si="2"/>
        <v>0</v>
      </c>
      <c r="Q62" s="412">
        <f t="shared" si="3"/>
        <v>646000</v>
      </c>
      <c r="S62"/>
      <c r="T62"/>
      <c r="U62" s="117"/>
      <c r="V62" s="117"/>
    </row>
    <row r="63" spans="3:22" x14ac:dyDescent="0.25">
      <c r="C63" s="766">
        <v>540200</v>
      </c>
      <c r="D63" s="877" t="str">
        <f>IF('Repo Details and VaR'!$V102,'Repo Details and VaR'!B102,"")</f>
        <v>XS2225938831</v>
      </c>
      <c r="E63" s="5">
        <f>SUMIF('Repo Details and VaR'!$B$51:$B$228,'Securities Reconciliation'!D63,'Repo Details and VaR'!$V$51:$V$228)+SUMIFS('Facilities &amp; Bond Details'!C$4:C$25,'Facilities &amp; Bond Details'!A$4:A$25,D63,'Facilities &amp; Bond Details'!J$4:J$25,"&lt;="&amp;ValDate)</f>
        <v>0</v>
      </c>
      <c r="F63" s="117">
        <f t="shared" si="6"/>
        <v>0</v>
      </c>
      <c r="G63" s="117">
        <f t="shared" si="7"/>
        <v>0</v>
      </c>
      <c r="H63" s="117"/>
      <c r="I63" s="411"/>
      <c r="J63" s="768">
        <v>44649</v>
      </c>
      <c r="K63" s="765" t="s">
        <v>4579</v>
      </c>
      <c r="L63" s="766">
        <v>540200</v>
      </c>
      <c r="M63" s="767">
        <v>548500</v>
      </c>
      <c r="N63" s="767">
        <v>548500</v>
      </c>
      <c r="O63" s="765" t="s">
        <v>4580</v>
      </c>
      <c r="P63" s="412">
        <f t="shared" si="2"/>
        <v>0</v>
      </c>
      <c r="Q63" s="412">
        <f t="shared" si="3"/>
        <v>548500</v>
      </c>
      <c r="S63"/>
      <c r="T63"/>
      <c r="U63" s="117"/>
      <c r="V63" s="117"/>
    </row>
    <row r="64" spans="3:22" x14ac:dyDescent="0.25">
      <c r="C64" s="766">
        <v>540200</v>
      </c>
      <c r="D64" s="877" t="str">
        <f>IF('Repo Details and VaR'!$V103,'Repo Details and VaR'!B103,"")</f>
        <v>ALMNDUSD3</v>
      </c>
      <c r="E64" s="5">
        <f>SUMIF('Repo Details and VaR'!$B$51:$B$228,'Securities Reconciliation'!D64,'Repo Details and VaR'!$V$51:$V$228)+SUMIFS('Facilities &amp; Bond Details'!C$4:C$25,'Facilities &amp; Bond Details'!A$4:A$25,D64,'Facilities &amp; Bond Details'!J$4:J$25,"&lt;="&amp;ValDate)</f>
        <v>0</v>
      </c>
      <c r="F64" s="117">
        <f t="shared" si="6"/>
        <v>0</v>
      </c>
      <c r="G64" s="117">
        <f t="shared" si="7"/>
        <v>0</v>
      </c>
      <c r="H64" s="117"/>
      <c r="I64" s="411"/>
      <c r="J64" s="768">
        <v>44649</v>
      </c>
      <c r="K64" s="765" t="s">
        <v>4579</v>
      </c>
      <c r="L64" s="766">
        <v>540200</v>
      </c>
      <c r="M64" s="767">
        <v>227628000</v>
      </c>
      <c r="N64" s="767">
        <v>227628000</v>
      </c>
      <c r="O64" s="765" t="s">
        <v>4585</v>
      </c>
      <c r="P64" s="412">
        <f t="shared" si="2"/>
        <v>145566.66666666666</v>
      </c>
      <c r="Q64" s="412">
        <f t="shared" si="3"/>
        <v>227482433.33333334</v>
      </c>
      <c r="S64"/>
      <c r="T64"/>
      <c r="U64" s="117"/>
      <c r="V64" s="117"/>
    </row>
    <row r="65" spans="3:21" x14ac:dyDescent="0.25">
      <c r="C65" s="766">
        <v>540200</v>
      </c>
      <c r="D65" s="877" t="str">
        <f>IF('Repo Details and VaR'!$V104,'Repo Details and VaR'!B104,"")</f>
        <v>91282CCT6</v>
      </c>
      <c r="E65" s="5">
        <f>SUMIF('Repo Details and VaR'!$B$51:$B$228,'Securities Reconciliation'!D65,'Repo Details and VaR'!$V$51:$V$228)+SUMIFS('Facilities &amp; Bond Details'!C$4:C$25,'Facilities &amp; Bond Details'!A$4:A$25,D65,'Facilities &amp; Bond Details'!J$4:J$25,"&lt;="&amp;ValDate)</f>
        <v>646000</v>
      </c>
      <c r="F65" s="117">
        <f t="shared" si="6"/>
        <v>646000</v>
      </c>
      <c r="G65" s="117">
        <f t="shared" si="7"/>
        <v>0</v>
      </c>
      <c r="H65" s="117"/>
      <c r="I65" s="411"/>
      <c r="J65" s="768">
        <v>44649</v>
      </c>
      <c r="K65" s="765" t="s">
        <v>5005</v>
      </c>
      <c r="L65" s="766">
        <v>540200</v>
      </c>
      <c r="M65" s="767">
        <v>800000</v>
      </c>
      <c r="N65" s="767">
        <v>800000</v>
      </c>
      <c r="O65" s="765" t="s">
        <v>4585</v>
      </c>
      <c r="P65" s="412">
        <f t="shared" si="2"/>
        <v>0</v>
      </c>
      <c r="Q65" s="412">
        <f t="shared" si="3"/>
        <v>800000</v>
      </c>
      <c r="S65"/>
      <c r="T65"/>
      <c r="U65" s="117"/>
    </row>
    <row r="66" spans="3:21" x14ac:dyDescent="0.25">
      <c r="C66" s="766">
        <v>540200</v>
      </c>
      <c r="D66" s="877" t="str">
        <f>IF('Repo Details and VaR'!$V105,'Repo Details and VaR'!B105,"")</f>
        <v>912828X70</v>
      </c>
      <c r="E66" s="5">
        <f>SUMIF('Repo Details and VaR'!$B$51:$B$228,'Securities Reconciliation'!D66,'Repo Details and VaR'!$V$51:$V$228)+SUMIFS('Facilities &amp; Bond Details'!C$4:C$25,'Facilities &amp; Bond Details'!A$4:A$25,D66,'Facilities &amp; Bond Details'!J$4:J$25,"&lt;="&amp;ValDate)</f>
        <v>198500</v>
      </c>
      <c r="F66" s="117">
        <f t="shared" si="6"/>
        <v>548500</v>
      </c>
      <c r="G66" s="117">
        <f t="shared" si="7"/>
        <v>350000</v>
      </c>
      <c r="H66" s="117"/>
      <c r="I66" s="411"/>
      <c r="J66" s="768">
        <v>44649</v>
      </c>
      <c r="K66" s="765" t="s">
        <v>3284</v>
      </c>
      <c r="L66" s="766">
        <v>540200</v>
      </c>
      <c r="M66" s="767">
        <v>1048000</v>
      </c>
      <c r="N66" s="767">
        <v>1048000</v>
      </c>
      <c r="O66" s="765" t="s">
        <v>4580</v>
      </c>
      <c r="P66" s="412">
        <f t="shared" si="2"/>
        <v>0</v>
      </c>
      <c r="Q66" s="412">
        <f t="shared" si="3"/>
        <v>1048000</v>
      </c>
      <c r="S66"/>
      <c r="T66"/>
      <c r="U66" s="117"/>
    </row>
    <row r="67" spans="3:21" x14ac:dyDescent="0.25">
      <c r="C67" s="766">
        <v>540200</v>
      </c>
      <c r="D67" s="877" t="str">
        <f>IF('Repo Details and VaR'!$V106,'Repo Details and VaR'!B106,"")</f>
        <v>STHAPPLE2</v>
      </c>
      <c r="E67" s="5">
        <f>SUMIF('Repo Details and VaR'!$B$51:$B$228,'Securities Reconciliation'!D67,'Repo Details and VaR'!$V$51:$V$228)+SUMIFS('Facilities &amp; Bond Details'!C$4:C$25,'Facilities &amp; Bond Details'!A$4:A$25,D67,'Facilities &amp; Bond Details'!J$4:J$25,"&lt;="&amp;ValDate)</f>
        <v>0</v>
      </c>
      <c r="F67" s="117">
        <f t="shared" si="6"/>
        <v>0</v>
      </c>
      <c r="G67" s="117">
        <f t="shared" si="7"/>
        <v>0</v>
      </c>
      <c r="H67" s="117"/>
      <c r="I67" s="411"/>
      <c r="J67" s="768">
        <v>44649</v>
      </c>
      <c r="K67" s="765" t="s">
        <v>5006</v>
      </c>
      <c r="L67" s="766">
        <v>540200</v>
      </c>
      <c r="M67" s="767">
        <v>693500</v>
      </c>
      <c r="N67" s="767">
        <v>693500</v>
      </c>
      <c r="O67" s="765" t="s">
        <v>4585</v>
      </c>
      <c r="P67" s="412">
        <f t="shared" si="2"/>
        <v>0</v>
      </c>
      <c r="Q67" s="412">
        <f t="shared" si="3"/>
        <v>693500</v>
      </c>
      <c r="S67"/>
      <c r="T67"/>
      <c r="U67" s="117"/>
    </row>
    <row r="68" spans="3:21" x14ac:dyDescent="0.25">
      <c r="C68" s="766">
        <v>540200</v>
      </c>
      <c r="D68" s="877" t="str">
        <f>IF('Repo Details and VaR'!$V107,'Repo Details and VaR'!B107,"")</f>
        <v>XS2373029664</v>
      </c>
      <c r="E68" s="5">
        <f>SUMIF('Repo Details and VaR'!$B$51:$B$228,'Securities Reconciliation'!D68,'Repo Details and VaR'!$V$51:$V$228)+SUMIFS('Facilities &amp; Bond Details'!C$4:C$25,'Facilities &amp; Bond Details'!A$4:A$25,D68,'Facilities &amp; Bond Details'!J$4:J$25,"&lt;="&amp;ValDate)</f>
        <v>0</v>
      </c>
      <c r="F68" s="117">
        <f t="shared" si="6"/>
        <v>0</v>
      </c>
      <c r="G68" s="117">
        <f t="shared" si="7"/>
        <v>0</v>
      </c>
      <c r="H68" s="117"/>
      <c r="I68" s="411"/>
      <c r="J68" s="768">
        <v>44649</v>
      </c>
      <c r="K68" s="765" t="s">
        <v>1054</v>
      </c>
      <c r="L68" s="766">
        <v>277540</v>
      </c>
      <c r="M68" s="767"/>
      <c r="N68" s="767">
        <v>1670000</v>
      </c>
      <c r="O68" s="765" t="s">
        <v>4585</v>
      </c>
      <c r="P68" s="412">
        <f t="shared" si="2"/>
        <v>0</v>
      </c>
      <c r="Q68" s="412">
        <f t="shared" si="3"/>
        <v>0</v>
      </c>
      <c r="S68"/>
      <c r="T68"/>
      <c r="U68" s="117"/>
    </row>
    <row r="69" spans="3:21" x14ac:dyDescent="0.25">
      <c r="C69" s="766">
        <v>540200</v>
      </c>
      <c r="D69" s="877" t="str">
        <f>IF('Repo Details and VaR'!$V108,'Repo Details and VaR'!B108,"")</f>
        <v>912828X70</v>
      </c>
      <c r="E69" s="5">
        <f>SUMIF('Repo Details and VaR'!$B$51:$B$228,'Securities Reconciliation'!D69,'Repo Details and VaR'!$V$51:$V$228)+SUMIFS('Facilities &amp; Bond Details'!C$4:C$25,'Facilities &amp; Bond Details'!A$4:A$25,D69,'Facilities &amp; Bond Details'!J$4:J$25,"&lt;="&amp;ValDate)</f>
        <v>198500</v>
      </c>
      <c r="F69" s="117">
        <f t="shared" si="6"/>
        <v>548500</v>
      </c>
      <c r="G69" s="117">
        <f t="shared" si="7"/>
        <v>350000</v>
      </c>
      <c r="H69" s="117"/>
      <c r="I69" s="411"/>
      <c r="J69" s="768">
        <v>44649</v>
      </c>
      <c r="K69" s="765" t="s">
        <v>3590</v>
      </c>
      <c r="L69" s="766">
        <v>277540</v>
      </c>
      <c r="M69" s="767"/>
      <c r="N69" s="767">
        <v>3436000</v>
      </c>
      <c r="O69" s="765" t="s">
        <v>4585</v>
      </c>
      <c r="P69" s="412">
        <f t="shared" si="2"/>
        <v>0</v>
      </c>
      <c r="Q69" s="412">
        <f t="shared" si="3"/>
        <v>0</v>
      </c>
    </row>
    <row r="70" spans="3:21" x14ac:dyDescent="0.25">
      <c r="C70" s="766">
        <v>540200</v>
      </c>
      <c r="D70" s="877" t="str">
        <f>IF('Repo Details and VaR'!$V109,'Repo Details and VaR'!B109,"")</f>
        <v>XS2225938831</v>
      </c>
      <c r="E70" s="5">
        <f>SUMIF('Repo Details and VaR'!$B$51:$B$228,'Securities Reconciliation'!D70,'Repo Details and VaR'!$V$51:$V$228)+SUMIFS('Facilities &amp; Bond Details'!C$4:C$25,'Facilities &amp; Bond Details'!A$4:A$25,D70,'Facilities &amp; Bond Details'!J$4:J$25,"&lt;="&amp;ValDate)</f>
        <v>0</v>
      </c>
      <c r="F70" s="117">
        <f t="shared" si="6"/>
        <v>0</v>
      </c>
      <c r="G70" s="117">
        <f t="shared" si="7"/>
        <v>0</v>
      </c>
      <c r="H70" s="117"/>
      <c r="I70" s="411"/>
      <c r="J70" s="768">
        <v>44649</v>
      </c>
      <c r="K70" s="765" t="s">
        <v>1701</v>
      </c>
      <c r="L70" s="766">
        <v>277540</v>
      </c>
      <c r="M70" s="767"/>
      <c r="N70" s="767">
        <v>3000000</v>
      </c>
      <c r="O70" s="765" t="s">
        <v>4585</v>
      </c>
      <c r="P70" s="412">
        <f t="shared" si="2"/>
        <v>0</v>
      </c>
      <c r="Q70" s="412">
        <f t="shared" si="3"/>
        <v>0</v>
      </c>
    </row>
    <row r="71" spans="3:21" x14ac:dyDescent="0.25">
      <c r="C71" s="766">
        <v>540200</v>
      </c>
      <c r="D71" s="877" t="str">
        <f>IF('Repo Details and VaR'!$V110,'Repo Details and VaR'!B110,"")</f>
        <v>MNTNCHRY1</v>
      </c>
      <c r="E71" s="5">
        <f>SUMIF('Repo Details and VaR'!$B$51:$B$228,'Securities Reconciliation'!D71,'Repo Details and VaR'!$V$51:$V$228)+SUMIFS('Facilities &amp; Bond Details'!C$4:C$25,'Facilities &amp; Bond Details'!A$4:A$25,D71,'Facilities &amp; Bond Details'!J$4:J$25,"&lt;="&amp;ValDate)</f>
        <v>0</v>
      </c>
      <c r="F71" s="117">
        <f t="shared" si="6"/>
        <v>0</v>
      </c>
      <c r="G71" s="117">
        <f t="shared" si="7"/>
        <v>0</v>
      </c>
      <c r="H71" s="117"/>
      <c r="I71" s="411"/>
      <c r="J71" s="768">
        <v>44649</v>
      </c>
      <c r="K71" s="765" t="s">
        <v>1937</v>
      </c>
      <c r="L71" s="766">
        <v>277540</v>
      </c>
      <c r="M71" s="767"/>
      <c r="N71" s="767">
        <v>3516000</v>
      </c>
      <c r="O71" s="765" t="s">
        <v>4585</v>
      </c>
      <c r="P71" s="412">
        <f t="shared" si="2"/>
        <v>0</v>
      </c>
      <c r="Q71" s="412">
        <f t="shared" si="3"/>
        <v>0</v>
      </c>
    </row>
    <row r="72" spans="3:21" x14ac:dyDescent="0.25">
      <c r="C72" s="766">
        <v>540200</v>
      </c>
      <c r="D72" s="877" t="str">
        <f>IF('Repo Details and VaR'!$V111,'Repo Details and VaR'!B111,"")</f>
        <v>STHAPPLE1</v>
      </c>
      <c r="E72" s="5">
        <f>SUMIF('Repo Details and VaR'!$B$51:$B$228,'Securities Reconciliation'!D72,'Repo Details and VaR'!$V$51:$V$228)+SUMIFS('Facilities &amp; Bond Details'!C$4:C$25,'Facilities &amp; Bond Details'!A$4:A$25,D72,'Facilities &amp; Bond Details'!J$4:J$25,"&lt;="&amp;ValDate)</f>
        <v>0</v>
      </c>
      <c r="F72" s="117">
        <f t="shared" si="6"/>
        <v>0</v>
      </c>
      <c r="G72" s="117">
        <f t="shared" si="7"/>
        <v>0</v>
      </c>
      <c r="H72" s="117"/>
      <c r="I72" s="411"/>
      <c r="J72" s="768">
        <v>44649</v>
      </c>
      <c r="K72" s="765" t="s">
        <v>2499</v>
      </c>
      <c r="L72" s="766">
        <v>277540</v>
      </c>
      <c r="M72" s="767"/>
      <c r="N72" s="767">
        <v>2300000</v>
      </c>
      <c r="O72" s="765" t="s">
        <v>4585</v>
      </c>
      <c r="P72" s="412">
        <f t="shared" si="2"/>
        <v>0</v>
      </c>
      <c r="Q72" s="412">
        <f t="shared" si="3"/>
        <v>0</v>
      </c>
    </row>
    <row r="73" spans="3:21" x14ac:dyDescent="0.25">
      <c r="C73" s="766">
        <v>540200</v>
      </c>
      <c r="D73" s="877" t="str">
        <f>IF('Repo Details and VaR'!$V112,'Repo Details and VaR'!B112,"")</f>
        <v>ALMNDUSD1</v>
      </c>
      <c r="E73" s="5">
        <f>SUMIF('Repo Details and VaR'!$B$51:$B$228,'Securities Reconciliation'!D73,'Repo Details and VaR'!$V$51:$V$228)+SUMIFS('Facilities &amp; Bond Details'!C$4:C$25,'Facilities &amp; Bond Details'!A$4:A$25,D73,'Facilities &amp; Bond Details'!J$4:J$25,"&lt;="&amp;ValDate)</f>
        <v>0</v>
      </c>
      <c r="F73" s="117">
        <f t="shared" si="6"/>
        <v>0</v>
      </c>
      <c r="G73" s="117">
        <f t="shared" si="7"/>
        <v>0</v>
      </c>
      <c r="H73" s="117"/>
      <c r="I73" s="411"/>
      <c r="J73" s="768">
        <v>44649</v>
      </c>
      <c r="K73" s="765" t="s">
        <v>2828</v>
      </c>
      <c r="L73" s="766">
        <v>277540</v>
      </c>
      <c r="M73" s="767"/>
      <c r="N73" s="767">
        <v>3300000</v>
      </c>
      <c r="O73" s="765" t="s">
        <v>4585</v>
      </c>
      <c r="P73" s="412">
        <f t="shared" si="2"/>
        <v>0</v>
      </c>
      <c r="Q73" s="412">
        <f t="shared" si="3"/>
        <v>0</v>
      </c>
    </row>
    <row r="74" spans="3:21" x14ac:dyDescent="0.25">
      <c r="C74" s="766">
        <v>540200</v>
      </c>
      <c r="D74" s="877" t="str">
        <f>IF('Repo Details and VaR'!$V113,'Repo Details and VaR'!B113,"")</f>
        <v>XS2091648928</v>
      </c>
      <c r="E74" s="5">
        <f>SUMIF('Repo Details and VaR'!$B$51:$B$228,'Securities Reconciliation'!D74,'Repo Details and VaR'!$V$51:$V$228)+SUMIFS('Facilities &amp; Bond Details'!C$4:C$25,'Facilities &amp; Bond Details'!A$4:A$25,D74,'Facilities &amp; Bond Details'!J$4:J$25,"&lt;="&amp;ValDate)</f>
        <v>0</v>
      </c>
      <c r="F74" s="117">
        <f t="shared" si="6"/>
        <v>0</v>
      </c>
      <c r="G74" s="117">
        <f t="shared" si="7"/>
        <v>0</v>
      </c>
      <c r="H74" s="117"/>
      <c r="I74" s="411"/>
      <c r="J74" s="768">
        <v>44649</v>
      </c>
      <c r="K74" s="765" t="s">
        <v>1854</v>
      </c>
      <c r="L74" s="766">
        <v>277540</v>
      </c>
      <c r="M74" s="767"/>
      <c r="N74" s="767">
        <v>1500000</v>
      </c>
      <c r="O74" s="765" t="s">
        <v>4585</v>
      </c>
      <c r="P74" s="412">
        <f t="shared" si="2"/>
        <v>0</v>
      </c>
      <c r="Q74" s="412">
        <f t="shared" si="3"/>
        <v>0</v>
      </c>
    </row>
    <row r="75" spans="3:21" x14ac:dyDescent="0.25">
      <c r="C75" s="766">
        <v>540200</v>
      </c>
      <c r="D75" s="877" t="str">
        <f>IF('Repo Details and VaR'!$V114,'Repo Details and VaR'!B114,"")</f>
        <v>XS1951177309</v>
      </c>
      <c r="E75" s="5">
        <f>SUMIF('Repo Details and VaR'!$B$51:$B$228,'Securities Reconciliation'!D75,'Repo Details and VaR'!$V$51:$V$228)+SUMIFS('Facilities &amp; Bond Details'!C$4:C$25,'Facilities &amp; Bond Details'!A$4:A$25,D75,'Facilities &amp; Bond Details'!J$4:J$25,"&lt;="&amp;ValDate)</f>
        <v>0</v>
      </c>
      <c r="F75" s="117">
        <f t="shared" si="6"/>
        <v>0</v>
      </c>
      <c r="G75" s="117">
        <f t="shared" si="7"/>
        <v>0</v>
      </c>
      <c r="H75" s="117"/>
      <c r="I75" s="411"/>
      <c r="J75" s="768">
        <v>44649</v>
      </c>
      <c r="K75" s="765" t="s">
        <v>2108</v>
      </c>
      <c r="L75" s="766">
        <v>277540</v>
      </c>
      <c r="M75" s="767"/>
      <c r="N75" s="767">
        <v>1050000</v>
      </c>
      <c r="O75" s="765" t="s">
        <v>4585</v>
      </c>
      <c r="P75" s="412">
        <f t="shared" ref="P75:P138" si="8">IF(O75="AVAILABLE",SUMIFS($E$6:$E$16,$C$6:$C$16,L75,$D$6:$D$16,K75)/MAX(IF(O75="AVAILABLE",COUNTIFS($D$6:$D$16,K75,$C$6:$C$16,L75),1),1),IF(O75="REPO COLLATERAL",SUMIFS($E$18:$E$53,$C$18:$C$53,L75,$D$18:$D$53,K75),0)/MAX(IF(O75="REPO COLLATERAL",COUNTIFS($D$19:$D$94,K75),1),1))</f>
        <v>0</v>
      </c>
      <c r="Q75" s="412">
        <f t="shared" ref="Q75:Q138" si="9">IF(LEFT(K75,4)="RP00",0,IF(ISNA(VLOOKUP(L75,$C$6:$C$11,1,FALSE)),0,IF(L75&lt;&gt;"",ABS(N75-P75),0)))</f>
        <v>0</v>
      </c>
    </row>
    <row r="76" spans="3:21" x14ac:dyDescent="0.25">
      <c r="C76" s="766">
        <v>540200</v>
      </c>
      <c r="D76" s="877" t="str">
        <f>IF('Repo Details and VaR'!$V115,'Repo Details and VaR'!B115,"")</f>
        <v>CASHUSD01</v>
      </c>
      <c r="E76" s="5">
        <f>SUMIF('Repo Details and VaR'!$B$51:$B$228,'Securities Reconciliation'!D76,'Repo Details and VaR'!$V$51:$V$228)+SUMIFS('Facilities &amp; Bond Details'!C$4:C$25,'Facilities &amp; Bond Details'!A$4:A$25,D76,'Facilities &amp; Bond Details'!J$4:J$25,"&lt;="&amp;ValDate)</f>
        <v>408048</v>
      </c>
      <c r="F76" s="117">
        <f t="shared" si="6"/>
        <v>0</v>
      </c>
      <c r="G76" s="117">
        <f t="shared" si="7"/>
        <v>0</v>
      </c>
      <c r="H76" s="117"/>
      <c r="I76" s="411"/>
      <c r="J76" s="768">
        <v>44649</v>
      </c>
      <c r="K76" s="765" t="s">
        <v>3432</v>
      </c>
      <c r="L76" s="766">
        <v>277540</v>
      </c>
      <c r="M76" s="767"/>
      <c r="N76" s="767">
        <v>1500000</v>
      </c>
      <c r="O76" s="765" t="s">
        <v>4585</v>
      </c>
      <c r="P76" s="412">
        <f t="shared" si="8"/>
        <v>0</v>
      </c>
      <c r="Q76" s="412">
        <f t="shared" si="9"/>
        <v>0</v>
      </c>
    </row>
    <row r="77" spans="3:21" x14ac:dyDescent="0.25">
      <c r="C77" s="766">
        <v>540200</v>
      </c>
      <c r="D77" s="877" t="str">
        <f>IF('Repo Details and VaR'!$V116,'Repo Details and VaR'!B116,"")</f>
        <v/>
      </c>
      <c r="E77" s="5">
        <f>SUMIF('Repo Details and VaR'!$B$51:$B$228,'Securities Reconciliation'!D77,'Repo Details and VaR'!$V$51:$V$228)+SUMIFS('Facilities &amp; Bond Details'!C$4:C$25,'Facilities &amp; Bond Details'!A$4:A$25,D77,'Facilities &amp; Bond Details'!J$4:J$25,"&lt;="&amp;ValDate)</f>
        <v>0</v>
      </c>
      <c r="F77" s="117">
        <f t="shared" si="6"/>
        <v>0</v>
      </c>
      <c r="G77" s="117">
        <f t="shared" si="7"/>
        <v>0</v>
      </c>
      <c r="H77" s="117"/>
      <c r="I77" s="411"/>
      <c r="J77" s="768">
        <v>44649</v>
      </c>
      <c r="K77" s="765" t="s">
        <v>3630</v>
      </c>
      <c r="L77" s="766">
        <v>277540</v>
      </c>
      <c r="M77" s="767"/>
      <c r="N77" s="767">
        <v>2800000</v>
      </c>
      <c r="O77" s="765" t="s">
        <v>4585</v>
      </c>
      <c r="P77" s="412">
        <f t="shared" si="8"/>
        <v>0</v>
      </c>
      <c r="Q77" s="412">
        <f t="shared" si="9"/>
        <v>0</v>
      </c>
    </row>
    <row r="78" spans="3:21" x14ac:dyDescent="0.25">
      <c r="C78" s="766">
        <v>540200</v>
      </c>
      <c r="D78" s="877" t="str">
        <f>IF('Repo Details and VaR'!$V117,'Repo Details and VaR'!B117,"")</f>
        <v>HEXZETA02</v>
      </c>
      <c r="E78" s="5">
        <f>SUMIF('Repo Details and VaR'!$B$51:$B$228,'Securities Reconciliation'!D78,'Repo Details and VaR'!$V$51:$V$228)+SUMIFS('Facilities &amp; Bond Details'!C$4:C$25,'Facilities &amp; Bond Details'!A$4:A$25,D78,'Facilities &amp; Bond Details'!J$4:J$25,"&lt;="&amp;ValDate)</f>
        <v>0</v>
      </c>
      <c r="F78" s="117">
        <f t="shared" si="6"/>
        <v>0</v>
      </c>
      <c r="G78" s="117">
        <f t="shared" si="7"/>
        <v>0</v>
      </c>
      <c r="H78" s="117"/>
      <c r="I78" s="411"/>
      <c r="J78" s="768">
        <v>44649</v>
      </c>
      <c r="K78" s="765" t="s">
        <v>4573</v>
      </c>
      <c r="L78" s="766">
        <v>277540</v>
      </c>
      <c r="M78" s="767"/>
      <c r="N78" s="767">
        <v>18100000</v>
      </c>
      <c r="O78" s="765" t="s">
        <v>4585</v>
      </c>
      <c r="P78" s="412">
        <f t="shared" si="8"/>
        <v>0</v>
      </c>
      <c r="Q78" s="412">
        <f t="shared" si="9"/>
        <v>0</v>
      </c>
    </row>
    <row r="79" spans="3:21" x14ac:dyDescent="0.25">
      <c r="C79" s="766">
        <v>540200</v>
      </c>
      <c r="D79" s="877" t="str">
        <f>IF('Repo Details and VaR'!$V118,'Repo Details and VaR'!B118,"")</f>
        <v>XS2373029748</v>
      </c>
      <c r="E79" s="5">
        <f>SUMIF('Repo Details and VaR'!$B$51:$B$228,'Securities Reconciliation'!D79,'Repo Details and VaR'!$V$51:$V$228)+SUMIFS('Facilities &amp; Bond Details'!C$4:C$25,'Facilities &amp; Bond Details'!A$4:A$25,D79,'Facilities &amp; Bond Details'!J$4:J$25,"&lt;="&amp;ValDate)</f>
        <v>0</v>
      </c>
      <c r="F79" s="117">
        <f t="shared" si="6"/>
        <v>0</v>
      </c>
      <c r="G79" s="117">
        <f t="shared" si="7"/>
        <v>0</v>
      </c>
      <c r="H79" s="117"/>
      <c r="I79" s="411"/>
      <c r="J79" s="768">
        <v>44649</v>
      </c>
      <c r="K79" s="765" t="s">
        <v>5067</v>
      </c>
      <c r="L79" s="766">
        <v>277540</v>
      </c>
      <c r="M79" s="767"/>
      <c r="N79" s="767">
        <v>10000000</v>
      </c>
      <c r="O79" s="765" t="s">
        <v>4585</v>
      </c>
      <c r="P79" s="412">
        <f t="shared" si="8"/>
        <v>0</v>
      </c>
      <c r="Q79" s="412">
        <f t="shared" si="9"/>
        <v>0</v>
      </c>
    </row>
    <row r="80" spans="3:21" x14ac:dyDescent="0.25">
      <c r="C80" s="766">
        <v>540200</v>
      </c>
      <c r="D80" s="877" t="str">
        <f>IF('Repo Details and VaR'!$V119,'Repo Details and VaR'!B119,"")</f>
        <v>ALMNDEUR1</v>
      </c>
      <c r="E80" s="5">
        <f>SUMIF('Repo Details and VaR'!$B$51:$B$228,'Securities Reconciliation'!D80,'Repo Details and VaR'!$V$51:$V$228)+SUMIFS('Facilities &amp; Bond Details'!C$4:C$25,'Facilities &amp; Bond Details'!A$4:A$25,D80,'Facilities &amp; Bond Details'!J$4:J$25,"&lt;="&amp;ValDate)</f>
        <v>0</v>
      </c>
      <c r="F80" s="117">
        <f t="shared" si="6"/>
        <v>0</v>
      </c>
      <c r="G80" s="117">
        <f t="shared" si="7"/>
        <v>0</v>
      </c>
      <c r="H80" s="117"/>
      <c r="I80" s="411"/>
      <c r="J80" s="768">
        <v>44649</v>
      </c>
      <c r="K80" s="765" t="s">
        <v>3048</v>
      </c>
      <c r="L80" s="766">
        <v>277540</v>
      </c>
      <c r="M80" s="767"/>
      <c r="N80" s="767">
        <v>2000000</v>
      </c>
      <c r="O80" s="765" t="s">
        <v>4585</v>
      </c>
      <c r="P80" s="412">
        <f t="shared" si="8"/>
        <v>0</v>
      </c>
      <c r="Q80" s="412">
        <f t="shared" si="9"/>
        <v>0</v>
      </c>
    </row>
    <row r="81" spans="3:18" x14ac:dyDescent="0.25">
      <c r="C81" s="766">
        <v>540200</v>
      </c>
      <c r="D81" s="877" t="str">
        <f>IF('Repo Details and VaR'!$V120,'Repo Details and VaR'!B120,"")</f>
        <v>FR0010916924</v>
      </c>
      <c r="E81" s="5">
        <f>SUMIF('Repo Details and VaR'!$B$51:$B$228,'Securities Reconciliation'!D81,'Repo Details and VaR'!$V$51:$V$228)+SUMIFS('Facilities &amp; Bond Details'!C$4:C$25,'Facilities &amp; Bond Details'!A$4:A$25,D81,'Facilities &amp; Bond Details'!J$4:J$25,"&lt;="&amp;ValDate)</f>
        <v>1704000</v>
      </c>
      <c r="F81" s="117">
        <f t="shared" si="6"/>
        <v>0</v>
      </c>
      <c r="G81" s="117">
        <f t="shared" si="7"/>
        <v>1704000</v>
      </c>
      <c r="H81" s="117"/>
      <c r="I81" s="411"/>
      <c r="J81" s="768">
        <v>44649</v>
      </c>
      <c r="K81" s="765" t="s">
        <v>3524</v>
      </c>
      <c r="L81" s="766">
        <v>277540</v>
      </c>
      <c r="M81" s="767"/>
      <c r="N81" s="767">
        <v>1000000</v>
      </c>
      <c r="O81" s="765" t="s">
        <v>4585</v>
      </c>
      <c r="P81" s="412">
        <f t="shared" si="8"/>
        <v>0</v>
      </c>
      <c r="Q81" s="412">
        <f t="shared" si="9"/>
        <v>0</v>
      </c>
    </row>
    <row r="82" spans="3:18" x14ac:dyDescent="0.25">
      <c r="C82" s="766">
        <v>540200</v>
      </c>
      <c r="D82" s="877" t="str">
        <f>IF('Repo Details and VaR'!$V121,'Repo Details and VaR'!B121,"")</f>
        <v>HEXZETA01</v>
      </c>
      <c r="E82" s="5">
        <f>SUMIF('Repo Details and VaR'!$B$51:$B$228,'Securities Reconciliation'!D82,'Repo Details and VaR'!$V$51:$V$228)+SUMIFS('Facilities &amp; Bond Details'!C$4:C$25,'Facilities &amp; Bond Details'!A$4:A$25,D82,'Facilities &amp; Bond Details'!J$4:J$25,"&lt;="&amp;ValDate)</f>
        <v>0</v>
      </c>
      <c r="F82" s="117">
        <f t="shared" si="6"/>
        <v>0</v>
      </c>
      <c r="G82" s="117">
        <f t="shared" si="7"/>
        <v>0</v>
      </c>
      <c r="H82" s="117"/>
      <c r="I82" s="411"/>
      <c r="J82" s="768">
        <v>44649</v>
      </c>
      <c r="K82" s="765" t="s">
        <v>4889</v>
      </c>
      <c r="L82" s="766">
        <v>277540</v>
      </c>
      <c r="M82" s="767"/>
      <c r="N82" s="767">
        <v>7459000</v>
      </c>
      <c r="O82" s="765" t="s">
        <v>4585</v>
      </c>
      <c r="P82" s="412">
        <f t="shared" si="8"/>
        <v>0</v>
      </c>
      <c r="Q82" s="412">
        <f t="shared" si="9"/>
        <v>0</v>
      </c>
    </row>
    <row r="83" spans="3:18" x14ac:dyDescent="0.25">
      <c r="C83" s="766">
        <v>540200</v>
      </c>
      <c r="D83" s="877" t="str">
        <f>IF('Repo Details and VaR'!$V122,'Repo Details and VaR'!B122,"")</f>
        <v>FR0010916924</v>
      </c>
      <c r="E83" s="5">
        <f>SUMIF('Repo Details and VaR'!$B$51:$B$228,'Securities Reconciliation'!D83,'Repo Details and VaR'!$V$51:$V$228)+SUMIFS('Facilities &amp; Bond Details'!C$4:C$25,'Facilities &amp; Bond Details'!A$4:A$25,D83,'Facilities &amp; Bond Details'!J$4:J$25,"&lt;="&amp;ValDate)</f>
        <v>1704000</v>
      </c>
      <c r="F83" s="117">
        <f t="shared" ref="F83:F94" si="10">SUMIFS($N$5:$N$380,$K$5:$K$380,$D83,$L$5:$L$380,$C83,$O$5:$O$380,"AVAILABLE")</f>
        <v>0</v>
      </c>
      <c r="G83" s="117">
        <f t="shared" ref="G83:G94" si="11">IF(D83="CASHUSD01",0,ABS(E83-F83))</f>
        <v>1704000</v>
      </c>
      <c r="H83" s="117"/>
      <c r="I83" s="411"/>
      <c r="J83" s="768">
        <v>44649</v>
      </c>
      <c r="K83" s="765" t="s">
        <v>2131</v>
      </c>
      <c r="L83" s="766">
        <v>277540</v>
      </c>
      <c r="M83" s="767"/>
      <c r="N83" s="767">
        <v>2000000</v>
      </c>
      <c r="O83" s="765" t="s">
        <v>4585</v>
      </c>
      <c r="P83" s="412">
        <f t="shared" si="8"/>
        <v>0</v>
      </c>
      <c r="Q83" s="412">
        <f t="shared" si="9"/>
        <v>0</v>
      </c>
    </row>
    <row r="84" spans="3:18" x14ac:dyDescent="0.25">
      <c r="C84" s="766">
        <v>540200</v>
      </c>
      <c r="D84" s="877" t="str">
        <f>IF('Repo Details and VaR'!$V123,'Repo Details and VaR'!B123,"")</f>
        <v>XS2004377136</v>
      </c>
      <c r="E84" s="5">
        <f>SUMIF('Repo Details and VaR'!$B$51:$B$228,'Securities Reconciliation'!D84,'Repo Details and VaR'!$V$51:$V$228)+SUMIFS('Facilities &amp; Bond Details'!C$4:C$25,'Facilities &amp; Bond Details'!A$4:A$25,D84,'Facilities &amp; Bond Details'!J$4:J$25,"&lt;="&amp;ValDate)</f>
        <v>0</v>
      </c>
      <c r="F84" s="117">
        <f t="shared" si="10"/>
        <v>0</v>
      </c>
      <c r="G84" s="117">
        <f t="shared" si="11"/>
        <v>0</v>
      </c>
      <c r="H84" s="117"/>
      <c r="I84" s="411"/>
      <c r="J84" s="768">
        <v>44649</v>
      </c>
      <c r="K84" s="765" t="s">
        <v>2732</v>
      </c>
      <c r="L84" s="766">
        <v>277540</v>
      </c>
      <c r="M84" s="767"/>
      <c r="N84" s="767">
        <v>43980000</v>
      </c>
      <c r="O84" s="765" t="s">
        <v>4585</v>
      </c>
      <c r="P84" s="412">
        <f t="shared" si="8"/>
        <v>0</v>
      </c>
      <c r="Q84" s="412">
        <f t="shared" si="9"/>
        <v>0</v>
      </c>
    </row>
    <row r="85" spans="3:18" x14ac:dyDescent="0.25">
      <c r="C85" s="766">
        <v>540200</v>
      </c>
      <c r="D85" s="877" t="str">
        <f>IF('Repo Details and VaR'!$V124,'Repo Details and VaR'!B124,"")</f>
        <v>FR0010916924</v>
      </c>
      <c r="E85" s="5">
        <f>SUMIF('Repo Details and VaR'!$B$51:$B$228,'Securities Reconciliation'!D85,'Repo Details and VaR'!$V$51:$V$228)+SUMIFS('Facilities &amp; Bond Details'!C$4:C$25,'Facilities &amp; Bond Details'!A$4:A$25,D85,'Facilities &amp; Bond Details'!J$4:J$25,"&lt;="&amp;ValDate)</f>
        <v>1704000</v>
      </c>
      <c r="F85" s="117">
        <f t="shared" si="10"/>
        <v>0</v>
      </c>
      <c r="G85" s="117">
        <f t="shared" si="11"/>
        <v>1704000</v>
      </c>
      <c r="H85" s="117"/>
      <c r="I85" s="411"/>
      <c r="J85" s="768">
        <v>44649</v>
      </c>
      <c r="K85" s="765" t="s">
        <v>3643</v>
      </c>
      <c r="L85" s="766">
        <v>277540</v>
      </c>
      <c r="M85" s="767"/>
      <c r="N85" s="767">
        <v>2000000</v>
      </c>
      <c r="O85" s="765" t="s">
        <v>4585</v>
      </c>
      <c r="P85" s="412">
        <f t="shared" si="8"/>
        <v>0</v>
      </c>
      <c r="Q85" s="412">
        <f t="shared" si="9"/>
        <v>0</v>
      </c>
    </row>
    <row r="86" spans="3:18" x14ac:dyDescent="0.25">
      <c r="C86" s="766">
        <v>540200</v>
      </c>
      <c r="D86" s="877" t="str">
        <f>IF('Repo Details and VaR'!$V125,'Repo Details and VaR'!B125,"")</f>
        <v/>
      </c>
      <c r="E86" s="5">
        <f>SUMIF('Repo Details and VaR'!$B$51:$B$228,'Securities Reconciliation'!D86,'Repo Details and VaR'!$V$51:$V$228)+SUMIFS('Facilities &amp; Bond Details'!C$4:C$25,'Facilities &amp; Bond Details'!A$4:A$25,D86,'Facilities &amp; Bond Details'!J$4:J$25,"&lt;="&amp;ValDate)</f>
        <v>0</v>
      </c>
      <c r="F86" s="117">
        <f t="shared" si="10"/>
        <v>0</v>
      </c>
      <c r="G86" s="117">
        <f t="shared" si="11"/>
        <v>0</v>
      </c>
      <c r="H86" s="117"/>
      <c r="I86" s="411"/>
      <c r="J86" s="768">
        <v>44649</v>
      </c>
      <c r="K86" s="765" t="s">
        <v>3644</v>
      </c>
      <c r="L86" s="766">
        <v>277540</v>
      </c>
      <c r="M86" s="767"/>
      <c r="N86" s="767">
        <v>3000000</v>
      </c>
      <c r="O86" s="765" t="s">
        <v>4585</v>
      </c>
      <c r="P86" s="412">
        <f t="shared" si="8"/>
        <v>0</v>
      </c>
      <c r="Q86" s="412">
        <f t="shared" si="9"/>
        <v>0</v>
      </c>
    </row>
    <row r="87" spans="3:18" x14ac:dyDescent="0.25">
      <c r="C87" s="766">
        <v>540200</v>
      </c>
      <c r="D87" s="877" t="str">
        <f>IF('Repo Details and VaR'!$V126,'Repo Details and VaR'!B126,"")</f>
        <v/>
      </c>
      <c r="E87" s="5">
        <f>SUMIF('Repo Details and VaR'!$B$51:$B$228,'Securities Reconciliation'!D87,'Repo Details and VaR'!$V$51:$V$228)+SUMIFS('Facilities &amp; Bond Details'!C$4:C$25,'Facilities &amp; Bond Details'!A$4:A$25,D87,'Facilities &amp; Bond Details'!J$4:J$25,"&lt;="&amp;ValDate)</f>
        <v>0</v>
      </c>
      <c r="F87" s="117">
        <f t="shared" si="10"/>
        <v>0</v>
      </c>
      <c r="G87" s="117">
        <f t="shared" si="11"/>
        <v>0</v>
      </c>
      <c r="H87" s="117"/>
      <c r="I87" s="411"/>
      <c r="J87" s="768">
        <v>44649</v>
      </c>
      <c r="K87" s="765" t="s">
        <v>3446</v>
      </c>
      <c r="L87" s="766">
        <v>277540</v>
      </c>
      <c r="M87" s="767"/>
      <c r="N87" s="767">
        <v>2250000</v>
      </c>
      <c r="O87" s="765" t="s">
        <v>4585</v>
      </c>
      <c r="P87" s="412">
        <f t="shared" si="8"/>
        <v>0</v>
      </c>
      <c r="Q87" s="412">
        <f t="shared" si="9"/>
        <v>0</v>
      </c>
    </row>
    <row r="88" spans="3:18" x14ac:dyDescent="0.25">
      <c r="C88" s="766">
        <v>540200</v>
      </c>
      <c r="D88" s="877" t="str">
        <f>IF('Repo Details and VaR'!$V127,'Repo Details and VaR'!B127,"")</f>
        <v/>
      </c>
      <c r="E88" s="5">
        <f>SUMIF('Repo Details and VaR'!$B$51:$B$228,'Securities Reconciliation'!D88,'Repo Details and VaR'!$V$51:$V$228)+SUMIFS('Facilities &amp; Bond Details'!C$4:C$25,'Facilities &amp; Bond Details'!A$4:A$25,D88,'Facilities &amp; Bond Details'!J$4:J$25,"&lt;="&amp;ValDate)</f>
        <v>0</v>
      </c>
      <c r="F88" s="117">
        <f t="shared" si="10"/>
        <v>0</v>
      </c>
      <c r="G88" s="117">
        <f t="shared" si="11"/>
        <v>0</v>
      </c>
      <c r="H88" s="117"/>
      <c r="I88" s="411"/>
      <c r="J88" s="768">
        <v>44649</v>
      </c>
      <c r="K88" s="765" t="s">
        <v>3869</v>
      </c>
      <c r="L88" s="766">
        <v>277540</v>
      </c>
      <c r="M88" s="767"/>
      <c r="N88" s="767">
        <v>1975000</v>
      </c>
      <c r="O88" s="765" t="s">
        <v>4585</v>
      </c>
      <c r="P88" s="412">
        <f t="shared" si="8"/>
        <v>0</v>
      </c>
      <c r="Q88" s="412">
        <f t="shared" si="9"/>
        <v>0</v>
      </c>
    </row>
    <row r="89" spans="3:18" x14ac:dyDescent="0.25">
      <c r="C89" s="766">
        <v>540200</v>
      </c>
      <c r="D89" s="877" t="str">
        <f>IF('Repo Details and VaR'!$V128,'Repo Details and VaR'!B128,"")</f>
        <v/>
      </c>
      <c r="E89" s="5">
        <f>SUMIF('Repo Details and VaR'!$B$51:$B$228,'Securities Reconciliation'!D89,'Repo Details and VaR'!$V$51:$V$228)+SUMIFS('Facilities &amp; Bond Details'!C$4:C$25,'Facilities &amp; Bond Details'!A$4:A$25,D89,'Facilities &amp; Bond Details'!J$4:J$25,"&lt;="&amp;ValDate)</f>
        <v>0</v>
      </c>
      <c r="F89" s="117">
        <f t="shared" si="10"/>
        <v>0</v>
      </c>
      <c r="G89" s="117">
        <f t="shared" si="11"/>
        <v>0</v>
      </c>
      <c r="H89" s="117"/>
      <c r="I89" s="411"/>
      <c r="J89" s="768">
        <v>44649</v>
      </c>
      <c r="K89" s="765" t="s">
        <v>3870</v>
      </c>
      <c r="L89" s="766">
        <v>277540</v>
      </c>
      <c r="M89" s="767"/>
      <c r="N89" s="767">
        <v>1725000</v>
      </c>
      <c r="O89" s="765" t="s">
        <v>4585</v>
      </c>
      <c r="P89" s="412">
        <f t="shared" si="8"/>
        <v>0</v>
      </c>
      <c r="Q89" s="412">
        <f t="shared" si="9"/>
        <v>0</v>
      </c>
    </row>
    <row r="90" spans="3:18" x14ac:dyDescent="0.25">
      <c r="C90" s="766">
        <v>540200</v>
      </c>
      <c r="D90" s="877" t="str">
        <f>IF('Repo Details and VaR'!$V129,'Repo Details and VaR'!B129,"")</f>
        <v/>
      </c>
      <c r="E90" s="5">
        <f>SUMIF('Repo Details and VaR'!$B$51:$B$228,'Securities Reconciliation'!D90,'Repo Details and VaR'!$V$51:$V$228)+SUMIFS('Facilities &amp; Bond Details'!C$4:C$25,'Facilities &amp; Bond Details'!A$4:A$25,D90,'Facilities &amp; Bond Details'!J$4:J$25,"&lt;="&amp;ValDate)</f>
        <v>0</v>
      </c>
      <c r="F90" s="117">
        <f t="shared" si="10"/>
        <v>0</v>
      </c>
      <c r="G90" s="117">
        <f t="shared" si="11"/>
        <v>0</v>
      </c>
      <c r="H90" s="117"/>
      <c r="I90" s="411"/>
      <c r="J90" s="768">
        <v>44649</v>
      </c>
      <c r="K90" s="765" t="s">
        <v>2101</v>
      </c>
      <c r="L90" s="766">
        <v>277540</v>
      </c>
      <c r="M90" s="767"/>
      <c r="N90" s="767">
        <v>5270000</v>
      </c>
      <c r="O90" s="765" t="s">
        <v>4585</v>
      </c>
      <c r="P90" s="412">
        <f t="shared" si="8"/>
        <v>0</v>
      </c>
      <c r="Q90" s="412">
        <f t="shared" si="9"/>
        <v>0</v>
      </c>
    </row>
    <row r="91" spans="3:18" x14ac:dyDescent="0.25">
      <c r="C91" s="766">
        <v>540200</v>
      </c>
      <c r="D91" s="877" t="str">
        <f>IF('Repo Details and VaR'!$V130,'Repo Details and VaR'!B130,"")</f>
        <v/>
      </c>
      <c r="E91" s="5">
        <f>SUMIF('Repo Details and VaR'!$B$51:$B$228,'Securities Reconciliation'!D91,'Repo Details and VaR'!$V$51:$V$228)+SUMIFS('Facilities &amp; Bond Details'!C$4:C$25,'Facilities &amp; Bond Details'!A$4:A$25,D91,'Facilities &amp; Bond Details'!J$4:J$25,"&lt;="&amp;ValDate)</f>
        <v>0</v>
      </c>
      <c r="F91" s="117">
        <f t="shared" si="10"/>
        <v>0</v>
      </c>
      <c r="G91" s="117">
        <f t="shared" si="11"/>
        <v>0</v>
      </c>
      <c r="H91" s="117"/>
      <c r="I91" s="411"/>
      <c r="J91" s="768">
        <v>44649</v>
      </c>
      <c r="K91" s="765" t="s">
        <v>1076</v>
      </c>
      <c r="L91" s="766">
        <v>277540</v>
      </c>
      <c r="M91" s="767"/>
      <c r="N91" s="767">
        <v>2190000</v>
      </c>
      <c r="O91" s="765" t="s">
        <v>4585</v>
      </c>
      <c r="P91" s="412">
        <f t="shared" si="8"/>
        <v>0</v>
      </c>
      <c r="Q91" s="412">
        <f t="shared" si="9"/>
        <v>0</v>
      </c>
    </row>
    <row r="92" spans="3:18" x14ac:dyDescent="0.25">
      <c r="C92" s="766">
        <v>540200</v>
      </c>
      <c r="D92" s="877" t="str">
        <f>IF('Repo Details and VaR'!$V131,'Repo Details and VaR'!B131,"")</f>
        <v/>
      </c>
      <c r="E92" s="5">
        <f>SUMIF('Repo Details and VaR'!$B$51:$B$228,'Securities Reconciliation'!D92,'Repo Details and VaR'!$V$51:$V$228)+SUMIFS('Facilities &amp; Bond Details'!C$4:C$25,'Facilities &amp; Bond Details'!A$4:A$25,D92,'Facilities &amp; Bond Details'!J$4:J$25,"&lt;="&amp;ValDate)</f>
        <v>0</v>
      </c>
      <c r="F92" s="117">
        <f t="shared" si="10"/>
        <v>0</v>
      </c>
      <c r="G92" s="117">
        <f t="shared" si="11"/>
        <v>0</v>
      </c>
      <c r="H92" s="117"/>
      <c r="I92" s="411"/>
      <c r="J92" s="768">
        <v>44649</v>
      </c>
      <c r="K92" s="765" t="s">
        <v>1933</v>
      </c>
      <c r="L92" s="766">
        <v>277540</v>
      </c>
      <c r="M92" s="767"/>
      <c r="N92" s="767">
        <v>3800000</v>
      </c>
      <c r="O92" s="765" t="s">
        <v>4585</v>
      </c>
      <c r="P92" s="412">
        <f t="shared" si="8"/>
        <v>0</v>
      </c>
      <c r="Q92" s="412">
        <f t="shared" si="9"/>
        <v>0</v>
      </c>
    </row>
    <row r="93" spans="3:18" x14ac:dyDescent="0.25">
      <c r="C93" s="766">
        <v>540200</v>
      </c>
      <c r="D93" s="877" t="str">
        <f>IF('Repo Details and VaR'!$V132,'Repo Details and VaR'!B132,"")</f>
        <v/>
      </c>
      <c r="E93" s="5">
        <f>SUMIF('Repo Details and VaR'!$B$51:$B$228,'Securities Reconciliation'!D93,'Repo Details and VaR'!$V$51:$V$228)+SUMIFS('Facilities &amp; Bond Details'!C$4:C$25,'Facilities &amp; Bond Details'!A$4:A$25,D93,'Facilities &amp; Bond Details'!J$4:J$25,"&lt;="&amp;ValDate)</f>
        <v>0</v>
      </c>
      <c r="F93" s="117">
        <f t="shared" si="10"/>
        <v>0</v>
      </c>
      <c r="G93" s="117">
        <f t="shared" si="11"/>
        <v>0</v>
      </c>
      <c r="H93" s="117"/>
      <c r="I93" s="411"/>
      <c r="J93" s="768">
        <v>44649</v>
      </c>
      <c r="K93" s="765" t="s">
        <v>4614</v>
      </c>
      <c r="L93" s="766">
        <v>277540</v>
      </c>
      <c r="M93" s="767"/>
      <c r="N93" s="767">
        <v>5105000</v>
      </c>
      <c r="O93" s="765" t="s">
        <v>4585</v>
      </c>
      <c r="P93" s="412">
        <f t="shared" si="8"/>
        <v>0</v>
      </c>
      <c r="Q93" s="412">
        <f t="shared" si="9"/>
        <v>0</v>
      </c>
      <c r="R93" s="765"/>
    </row>
    <row r="94" spans="3:18" x14ac:dyDescent="0.25">
      <c r="C94" s="766">
        <v>540200</v>
      </c>
      <c r="D94" s="877" t="str">
        <f>IF('Repo Details and VaR'!$V133,'Repo Details and VaR'!B133,"")</f>
        <v/>
      </c>
      <c r="E94" s="5">
        <f>SUMIF('Repo Details and VaR'!$B$51:$B$228,'Securities Reconciliation'!D94,'Repo Details and VaR'!$V$51:$V$228)+SUMIFS('Facilities &amp; Bond Details'!C$4:C$25,'Facilities &amp; Bond Details'!A$4:A$25,D94,'Facilities &amp; Bond Details'!J$4:J$25,"&lt;="&amp;ValDate)</f>
        <v>0</v>
      </c>
      <c r="F94" s="117">
        <f t="shared" si="10"/>
        <v>0</v>
      </c>
      <c r="G94" s="117">
        <f t="shared" si="11"/>
        <v>0</v>
      </c>
      <c r="H94" s="117"/>
      <c r="I94" s="411"/>
      <c r="J94" s="768">
        <v>44649</v>
      </c>
      <c r="K94" s="765" t="s">
        <v>4615</v>
      </c>
      <c r="L94" s="766">
        <v>277540</v>
      </c>
      <c r="M94" s="767"/>
      <c r="N94" s="767">
        <v>19289000</v>
      </c>
      <c r="O94" s="765" t="s">
        <v>4585</v>
      </c>
      <c r="P94" s="412">
        <f t="shared" si="8"/>
        <v>0</v>
      </c>
      <c r="Q94" s="412">
        <f t="shared" si="9"/>
        <v>0</v>
      </c>
      <c r="R94" s="765"/>
    </row>
    <row r="95" spans="3:18" x14ac:dyDescent="0.25">
      <c r="H95" s="117"/>
      <c r="I95" s="411"/>
      <c r="J95" s="768">
        <v>44649</v>
      </c>
      <c r="K95" s="765" t="s">
        <v>3176</v>
      </c>
      <c r="L95" s="766">
        <v>277540</v>
      </c>
      <c r="M95" s="767"/>
      <c r="N95" s="767">
        <v>10000000</v>
      </c>
      <c r="O95" s="765" t="s">
        <v>4585</v>
      </c>
      <c r="P95" s="412">
        <f t="shared" si="8"/>
        <v>0</v>
      </c>
      <c r="Q95" s="412">
        <f t="shared" si="9"/>
        <v>0</v>
      </c>
      <c r="R95" s="765"/>
    </row>
    <row r="96" spans="3:18" x14ac:dyDescent="0.25">
      <c r="H96" s="117"/>
      <c r="I96" s="411"/>
      <c r="J96" s="768">
        <v>44649</v>
      </c>
      <c r="K96" s="765" t="s">
        <v>1928</v>
      </c>
      <c r="L96" s="766">
        <v>277540</v>
      </c>
      <c r="M96" s="767"/>
      <c r="N96" s="767">
        <v>2464000</v>
      </c>
      <c r="O96" s="765" t="s">
        <v>4585</v>
      </c>
      <c r="P96" s="412">
        <f t="shared" si="8"/>
        <v>0</v>
      </c>
      <c r="Q96" s="412">
        <f t="shared" si="9"/>
        <v>0</v>
      </c>
      <c r="R96" s="765"/>
    </row>
    <row r="97" spans="8:18" x14ac:dyDescent="0.25">
      <c r="H97" s="117"/>
      <c r="I97" s="411"/>
      <c r="J97" s="768">
        <v>44649</v>
      </c>
      <c r="K97" s="2" t="s">
        <v>3406</v>
      </c>
      <c r="L97" s="766">
        <v>277540</v>
      </c>
      <c r="M97" s="767"/>
      <c r="N97" s="767">
        <v>5703000</v>
      </c>
      <c r="O97" s="2" t="s">
        <v>4585</v>
      </c>
      <c r="P97" s="412">
        <f t="shared" si="8"/>
        <v>0</v>
      </c>
      <c r="Q97" s="412">
        <f t="shared" si="9"/>
        <v>0</v>
      </c>
      <c r="R97" s="765"/>
    </row>
    <row r="98" spans="8:18" x14ac:dyDescent="0.25">
      <c r="H98" s="117"/>
      <c r="I98" s="411"/>
      <c r="J98" s="768">
        <v>44649</v>
      </c>
      <c r="K98" s="2" t="s">
        <v>4613</v>
      </c>
      <c r="L98" s="766">
        <v>277540</v>
      </c>
      <c r="M98" s="767"/>
      <c r="N98" s="767">
        <v>4142000</v>
      </c>
      <c r="O98" s="2" t="s">
        <v>4585</v>
      </c>
      <c r="P98" s="412">
        <f t="shared" si="8"/>
        <v>0</v>
      </c>
      <c r="Q98" s="412">
        <f t="shared" si="9"/>
        <v>0</v>
      </c>
      <c r="R98" s="765"/>
    </row>
    <row r="99" spans="8:18" x14ac:dyDescent="0.25">
      <c r="H99" s="117"/>
      <c r="I99" s="411"/>
      <c r="J99" s="768">
        <v>44649</v>
      </c>
      <c r="K99" s="2" t="s">
        <v>2733</v>
      </c>
      <c r="L99" s="766">
        <v>277540</v>
      </c>
      <c r="M99" s="767"/>
      <c r="N99" s="767">
        <v>10000000</v>
      </c>
      <c r="O99" s="2" t="s">
        <v>4585</v>
      </c>
      <c r="P99" s="412">
        <f t="shared" si="8"/>
        <v>0</v>
      </c>
      <c r="Q99" s="412">
        <f t="shared" si="9"/>
        <v>0</v>
      </c>
      <c r="R99" s="765"/>
    </row>
    <row r="100" spans="8:18" x14ac:dyDescent="0.25">
      <c r="H100" s="117"/>
      <c r="I100" s="411"/>
      <c r="J100" s="768">
        <v>44649</v>
      </c>
      <c r="K100" s="2" t="s">
        <v>1981</v>
      </c>
      <c r="L100" s="766">
        <v>277540</v>
      </c>
      <c r="M100" s="767"/>
      <c r="N100" s="767">
        <v>45000000</v>
      </c>
      <c r="O100" s="2" t="s">
        <v>4585</v>
      </c>
      <c r="P100" s="412">
        <f t="shared" si="8"/>
        <v>0</v>
      </c>
      <c r="Q100" s="412">
        <f t="shared" si="9"/>
        <v>0</v>
      </c>
    </row>
    <row r="101" spans="8:18" x14ac:dyDescent="0.25">
      <c r="H101" s="117"/>
      <c r="I101" s="411"/>
      <c r="J101" s="768">
        <v>44649</v>
      </c>
      <c r="K101" s="2" t="s">
        <v>5015</v>
      </c>
      <c r="L101" s="766">
        <v>277540</v>
      </c>
      <c r="M101" s="767"/>
      <c r="N101" s="767">
        <v>5465000</v>
      </c>
      <c r="O101" s="2" t="s">
        <v>4585</v>
      </c>
      <c r="P101" s="412">
        <f t="shared" si="8"/>
        <v>0</v>
      </c>
      <c r="Q101" s="412">
        <f t="shared" si="9"/>
        <v>0</v>
      </c>
    </row>
    <row r="102" spans="8:18" x14ac:dyDescent="0.25">
      <c r="H102" s="117"/>
      <c r="I102" s="411"/>
      <c r="J102" s="768">
        <v>44649</v>
      </c>
      <c r="K102" s="2" t="s">
        <v>2616</v>
      </c>
      <c r="L102" s="766">
        <v>277540</v>
      </c>
      <c r="M102" s="767"/>
      <c r="N102" s="767">
        <v>1500000</v>
      </c>
      <c r="O102" s="2" t="s">
        <v>4585</v>
      </c>
      <c r="P102" s="412">
        <f t="shared" si="8"/>
        <v>0</v>
      </c>
      <c r="Q102" s="412">
        <f t="shared" si="9"/>
        <v>0</v>
      </c>
    </row>
    <row r="103" spans="8:18" x14ac:dyDescent="0.25">
      <c r="H103" s="117"/>
      <c r="I103" s="411"/>
      <c r="J103" s="768">
        <v>44649</v>
      </c>
      <c r="K103" s="2" t="s">
        <v>4832</v>
      </c>
      <c r="L103" s="766">
        <v>277540</v>
      </c>
      <c r="N103" s="767">
        <v>211874000</v>
      </c>
      <c r="O103" s="2" t="s">
        <v>4585</v>
      </c>
      <c r="P103" s="412">
        <f t="shared" si="8"/>
        <v>0</v>
      </c>
      <c r="Q103" s="412">
        <f t="shared" si="9"/>
        <v>0</v>
      </c>
    </row>
    <row r="104" spans="8:18" x14ac:dyDescent="0.25">
      <c r="H104" s="117"/>
      <c r="I104" s="411"/>
      <c r="J104" s="768">
        <v>44649</v>
      </c>
      <c r="K104" s="2" t="s">
        <v>4833</v>
      </c>
      <c r="L104" s="766">
        <v>277540</v>
      </c>
      <c r="N104" s="2">
        <v>204000000</v>
      </c>
      <c r="O104" s="2" t="s">
        <v>4585</v>
      </c>
      <c r="P104" s="412">
        <f t="shared" si="8"/>
        <v>0</v>
      </c>
      <c r="Q104" s="412">
        <f t="shared" si="9"/>
        <v>0</v>
      </c>
    </row>
    <row r="105" spans="8:18" x14ac:dyDescent="0.25">
      <c r="H105" s="117"/>
      <c r="I105" s="411"/>
      <c r="J105" s="768">
        <v>44649</v>
      </c>
      <c r="K105" s="2" t="s">
        <v>5007</v>
      </c>
      <c r="L105" s="766">
        <v>277540</v>
      </c>
      <c r="N105" s="2">
        <v>32666667</v>
      </c>
      <c r="O105" s="2" t="s">
        <v>4585</v>
      </c>
      <c r="P105" s="412">
        <f t="shared" si="8"/>
        <v>0</v>
      </c>
      <c r="Q105" s="412">
        <f t="shared" si="9"/>
        <v>0</v>
      </c>
    </row>
    <row r="106" spans="8:18" x14ac:dyDescent="0.25">
      <c r="H106" s="117"/>
      <c r="I106" s="411"/>
      <c r="J106" s="768">
        <v>44649</v>
      </c>
      <c r="K106" s="2" t="s">
        <v>5008</v>
      </c>
      <c r="L106" s="766">
        <v>277540</v>
      </c>
      <c r="N106" s="2">
        <v>109092623</v>
      </c>
      <c r="O106" s="2" t="s">
        <v>4585</v>
      </c>
      <c r="P106" s="412">
        <f t="shared" si="8"/>
        <v>0</v>
      </c>
      <c r="Q106" s="412">
        <f t="shared" si="9"/>
        <v>0</v>
      </c>
    </row>
    <row r="107" spans="8:18" x14ac:dyDescent="0.25">
      <c r="H107" s="117"/>
      <c r="I107" s="411"/>
      <c r="J107" s="768">
        <v>44649</v>
      </c>
      <c r="K107" s="2" t="s">
        <v>5009</v>
      </c>
      <c r="L107" s="766">
        <v>277540</v>
      </c>
      <c r="N107" s="2">
        <v>215241175</v>
      </c>
      <c r="O107" s="2" t="s">
        <v>4585</v>
      </c>
      <c r="P107" s="412">
        <f t="shared" si="8"/>
        <v>0</v>
      </c>
      <c r="Q107" s="412">
        <f t="shared" si="9"/>
        <v>0</v>
      </c>
    </row>
    <row r="108" spans="8:18" x14ac:dyDescent="0.25">
      <c r="H108" s="117"/>
      <c r="I108" s="411"/>
      <c r="J108" s="768">
        <v>44649</v>
      </c>
      <c r="K108" s="2" t="s">
        <v>3631</v>
      </c>
      <c r="L108" s="766">
        <v>277540</v>
      </c>
      <c r="N108" s="2">
        <v>147000000</v>
      </c>
      <c r="O108" s="2" t="s">
        <v>4585</v>
      </c>
      <c r="P108" s="412">
        <f t="shared" si="8"/>
        <v>0</v>
      </c>
      <c r="Q108" s="412">
        <f t="shared" si="9"/>
        <v>0</v>
      </c>
    </row>
    <row r="109" spans="8:18" x14ac:dyDescent="0.25">
      <c r="H109" s="117"/>
      <c r="I109" s="411"/>
      <c r="J109" s="768">
        <v>44649</v>
      </c>
      <c r="K109" s="2" t="s">
        <v>5010</v>
      </c>
      <c r="L109" s="766">
        <v>277540</v>
      </c>
      <c r="N109" s="2">
        <v>444380000</v>
      </c>
      <c r="O109" s="2" t="s">
        <v>4585</v>
      </c>
      <c r="P109" s="412">
        <f t="shared" si="8"/>
        <v>0</v>
      </c>
      <c r="Q109" s="412">
        <f t="shared" si="9"/>
        <v>0</v>
      </c>
    </row>
    <row r="110" spans="8:18" x14ac:dyDescent="0.25">
      <c r="H110" s="117"/>
      <c r="I110" s="411"/>
      <c r="J110" s="768">
        <v>44649</v>
      </c>
      <c r="K110" s="2" t="s">
        <v>2918</v>
      </c>
      <c r="L110" s="766">
        <v>277540</v>
      </c>
      <c r="M110" s="2">
        <v>107320362</v>
      </c>
      <c r="N110" s="2">
        <v>107320362</v>
      </c>
      <c r="O110" s="2" t="s">
        <v>4580</v>
      </c>
      <c r="P110" s="412">
        <f t="shared" si="8"/>
        <v>0</v>
      </c>
      <c r="Q110" s="412">
        <f t="shared" si="9"/>
        <v>0</v>
      </c>
    </row>
    <row r="111" spans="8:18" x14ac:dyDescent="0.25">
      <c r="H111" s="117"/>
      <c r="I111" s="411"/>
      <c r="J111" s="768">
        <v>44649</v>
      </c>
      <c r="K111" s="2" t="s">
        <v>5237</v>
      </c>
      <c r="L111" s="766">
        <v>277540</v>
      </c>
      <c r="N111" s="2">
        <v>10394000</v>
      </c>
      <c r="O111" s="2" t="s">
        <v>4585</v>
      </c>
      <c r="P111" s="412">
        <f t="shared" si="8"/>
        <v>0</v>
      </c>
      <c r="Q111" s="412">
        <f t="shared" si="9"/>
        <v>0</v>
      </c>
    </row>
    <row r="112" spans="8:18" x14ac:dyDescent="0.25">
      <c r="H112" s="117"/>
      <c r="I112" s="411"/>
      <c r="J112" s="768">
        <v>44649</v>
      </c>
      <c r="K112" s="2" t="s">
        <v>3515</v>
      </c>
      <c r="L112" s="766">
        <v>277540</v>
      </c>
      <c r="N112" s="2">
        <v>2250000</v>
      </c>
      <c r="O112" s="2" t="s">
        <v>4585</v>
      </c>
      <c r="P112" s="412">
        <f t="shared" si="8"/>
        <v>0</v>
      </c>
      <c r="Q112" s="412">
        <f t="shared" si="9"/>
        <v>0</v>
      </c>
    </row>
    <row r="113" spans="8:17" x14ac:dyDescent="0.25">
      <c r="H113" s="117"/>
      <c r="I113" s="411"/>
      <c r="J113" s="768">
        <v>44649</v>
      </c>
      <c r="K113" s="2" t="s">
        <v>5061</v>
      </c>
      <c r="L113" s="766">
        <v>277540</v>
      </c>
      <c r="N113" s="2">
        <v>6825000</v>
      </c>
      <c r="O113" s="2" t="s">
        <v>4585</v>
      </c>
      <c r="P113" s="412">
        <f t="shared" si="8"/>
        <v>0</v>
      </c>
      <c r="Q113" s="412">
        <f t="shared" si="9"/>
        <v>0</v>
      </c>
    </row>
    <row r="114" spans="8:17" x14ac:dyDescent="0.25">
      <c r="H114" s="117"/>
      <c r="I114" s="411"/>
      <c r="J114" s="768">
        <v>44649</v>
      </c>
      <c r="K114" s="2" t="s">
        <v>2062</v>
      </c>
      <c r="L114" s="766">
        <v>277540</v>
      </c>
      <c r="N114" s="2">
        <v>2780000</v>
      </c>
      <c r="O114" s="2" t="s">
        <v>4585</v>
      </c>
      <c r="P114" s="412">
        <f t="shared" si="8"/>
        <v>0</v>
      </c>
      <c r="Q114" s="412">
        <f t="shared" si="9"/>
        <v>0</v>
      </c>
    </row>
    <row r="115" spans="8:17" x14ac:dyDescent="0.25">
      <c r="H115" s="117"/>
      <c r="I115" s="411"/>
      <c r="J115" s="768">
        <v>44649</v>
      </c>
      <c r="K115" s="2" t="s">
        <v>2956</v>
      </c>
      <c r="L115" s="766">
        <v>277540</v>
      </c>
      <c r="N115" s="2">
        <v>500000</v>
      </c>
      <c r="O115" s="2" t="s">
        <v>4585</v>
      </c>
      <c r="P115" s="412">
        <f t="shared" si="8"/>
        <v>0</v>
      </c>
      <c r="Q115" s="412">
        <f t="shared" si="9"/>
        <v>0</v>
      </c>
    </row>
    <row r="116" spans="8:17" x14ac:dyDescent="0.25">
      <c r="H116" s="117"/>
      <c r="I116" s="411"/>
      <c r="J116" s="768">
        <v>44649</v>
      </c>
      <c r="K116" s="2" t="s">
        <v>2058</v>
      </c>
      <c r="L116" s="766">
        <v>277540</v>
      </c>
      <c r="N116" s="2">
        <v>2500000</v>
      </c>
      <c r="O116" s="2" t="s">
        <v>4585</v>
      </c>
      <c r="P116" s="412">
        <f t="shared" si="8"/>
        <v>0</v>
      </c>
      <c r="Q116" s="412">
        <f t="shared" si="9"/>
        <v>0</v>
      </c>
    </row>
    <row r="117" spans="8:17" x14ac:dyDescent="0.25">
      <c r="H117" s="117"/>
      <c r="I117" s="411"/>
      <c r="J117" s="768">
        <v>44649</v>
      </c>
      <c r="K117" s="2" t="s">
        <v>2495</v>
      </c>
      <c r="L117" s="766">
        <v>277540</v>
      </c>
      <c r="M117" s="2">
        <v>2000000</v>
      </c>
      <c r="N117" s="2">
        <v>5000000</v>
      </c>
      <c r="O117" s="2" t="s">
        <v>4585</v>
      </c>
      <c r="P117" s="412">
        <f t="shared" si="8"/>
        <v>0</v>
      </c>
      <c r="Q117" s="412">
        <f t="shared" si="9"/>
        <v>0</v>
      </c>
    </row>
    <row r="118" spans="8:17" x14ac:dyDescent="0.25">
      <c r="H118" s="117"/>
      <c r="I118" s="411"/>
      <c r="J118" s="768">
        <v>44649</v>
      </c>
      <c r="K118" s="2" t="s">
        <v>4834</v>
      </c>
      <c r="L118" s="766">
        <v>277540</v>
      </c>
      <c r="N118" s="2">
        <v>50000000</v>
      </c>
      <c r="O118" s="2" t="s">
        <v>4585</v>
      </c>
      <c r="P118" s="412">
        <f t="shared" si="8"/>
        <v>0</v>
      </c>
      <c r="Q118" s="412">
        <f t="shared" si="9"/>
        <v>0</v>
      </c>
    </row>
    <row r="119" spans="8:17" x14ac:dyDescent="0.25">
      <c r="H119" s="117"/>
      <c r="I119" s="411"/>
      <c r="J119" s="768">
        <v>44649</v>
      </c>
      <c r="K119" s="2" t="s">
        <v>2128</v>
      </c>
      <c r="L119" s="766">
        <v>277540</v>
      </c>
      <c r="N119" s="2">
        <v>9309000</v>
      </c>
      <c r="O119" s="2" t="s">
        <v>4585</v>
      </c>
      <c r="P119" s="412">
        <f t="shared" si="8"/>
        <v>0</v>
      </c>
      <c r="Q119" s="412">
        <f t="shared" si="9"/>
        <v>0</v>
      </c>
    </row>
    <row r="120" spans="8:17" x14ac:dyDescent="0.25">
      <c r="H120" s="117"/>
      <c r="I120" s="411"/>
      <c r="J120" s="768">
        <v>44649</v>
      </c>
      <c r="K120" s="2" t="s">
        <v>2150</v>
      </c>
      <c r="L120" s="766">
        <v>277540</v>
      </c>
      <c r="N120" s="2">
        <v>10008000</v>
      </c>
      <c r="O120" s="2" t="s">
        <v>4585</v>
      </c>
      <c r="P120" s="412">
        <f t="shared" si="8"/>
        <v>0</v>
      </c>
      <c r="Q120" s="412">
        <f t="shared" si="9"/>
        <v>0</v>
      </c>
    </row>
    <row r="121" spans="8:17" x14ac:dyDescent="0.25">
      <c r="H121" s="117"/>
      <c r="I121" s="411"/>
      <c r="J121" s="768">
        <v>44649</v>
      </c>
      <c r="K121" s="2" t="s">
        <v>3592</v>
      </c>
      <c r="L121" s="766">
        <v>277540</v>
      </c>
      <c r="N121" s="2">
        <v>1475000</v>
      </c>
      <c r="O121" s="2" t="s">
        <v>4585</v>
      </c>
      <c r="P121" s="412">
        <f t="shared" si="8"/>
        <v>0</v>
      </c>
      <c r="Q121" s="412">
        <f t="shared" si="9"/>
        <v>0</v>
      </c>
    </row>
    <row r="122" spans="8:17" x14ac:dyDescent="0.25">
      <c r="H122" s="117"/>
      <c r="I122" s="411"/>
      <c r="J122" s="768">
        <v>44649</v>
      </c>
      <c r="K122" s="2" t="s">
        <v>2148</v>
      </c>
      <c r="L122" s="766">
        <v>277540</v>
      </c>
      <c r="N122" s="2">
        <v>10561000</v>
      </c>
      <c r="O122" s="2" t="s">
        <v>4585</v>
      </c>
      <c r="P122" s="412">
        <f t="shared" si="8"/>
        <v>0</v>
      </c>
      <c r="Q122" s="412">
        <f t="shared" si="9"/>
        <v>0</v>
      </c>
    </row>
    <row r="123" spans="8:17" x14ac:dyDescent="0.25">
      <c r="H123" s="117"/>
      <c r="I123" s="411"/>
      <c r="J123" s="768">
        <v>44649</v>
      </c>
      <c r="K123" s="2" t="s">
        <v>2156</v>
      </c>
      <c r="L123" s="766">
        <v>277540</v>
      </c>
      <c r="N123" s="2">
        <v>23042000</v>
      </c>
      <c r="O123" s="2" t="s">
        <v>4585</v>
      </c>
      <c r="P123" s="412">
        <f t="shared" si="8"/>
        <v>0</v>
      </c>
      <c r="Q123" s="412">
        <f t="shared" si="9"/>
        <v>0</v>
      </c>
    </row>
    <row r="124" spans="8:17" x14ac:dyDescent="0.25">
      <c r="H124" s="117"/>
      <c r="I124" s="411"/>
      <c r="J124" s="768">
        <v>44649</v>
      </c>
      <c r="K124" s="2" t="s">
        <v>2125</v>
      </c>
      <c r="L124" s="766">
        <v>277540</v>
      </c>
      <c r="N124" s="2">
        <v>1344000</v>
      </c>
      <c r="O124" s="2" t="s">
        <v>4585</v>
      </c>
      <c r="P124" s="412">
        <f t="shared" si="8"/>
        <v>0</v>
      </c>
      <c r="Q124" s="412">
        <f t="shared" si="9"/>
        <v>0</v>
      </c>
    </row>
    <row r="125" spans="8:17" x14ac:dyDescent="0.25">
      <c r="H125" s="117"/>
      <c r="I125" s="411"/>
      <c r="J125" s="768">
        <v>44649</v>
      </c>
      <c r="K125" s="2" t="s">
        <v>2119</v>
      </c>
      <c r="L125" s="766">
        <v>277540</v>
      </c>
      <c r="N125" s="2">
        <v>4260000</v>
      </c>
      <c r="O125" s="2" t="s">
        <v>4585</v>
      </c>
      <c r="P125" s="412">
        <f t="shared" si="8"/>
        <v>0</v>
      </c>
      <c r="Q125" s="412">
        <f t="shared" si="9"/>
        <v>0</v>
      </c>
    </row>
    <row r="126" spans="8:17" x14ac:dyDescent="0.25">
      <c r="H126" s="117"/>
      <c r="I126" s="411"/>
      <c r="J126" s="768">
        <v>44649</v>
      </c>
      <c r="K126" s="2" t="s">
        <v>3372</v>
      </c>
      <c r="L126" s="766">
        <v>277540</v>
      </c>
      <c r="N126" s="2">
        <v>2500000</v>
      </c>
      <c r="O126" s="2" t="s">
        <v>4585</v>
      </c>
      <c r="P126" s="412">
        <f t="shared" si="8"/>
        <v>0</v>
      </c>
      <c r="Q126" s="412">
        <f t="shared" si="9"/>
        <v>0</v>
      </c>
    </row>
    <row r="127" spans="8:17" x14ac:dyDescent="0.25">
      <c r="H127" s="117"/>
      <c r="I127" s="411"/>
      <c r="J127" s="768">
        <v>44649</v>
      </c>
      <c r="K127" s="2" t="s">
        <v>2669</v>
      </c>
      <c r="L127" s="766">
        <v>277540</v>
      </c>
      <c r="N127" s="2">
        <v>6000000</v>
      </c>
      <c r="O127" s="2" t="s">
        <v>4585</v>
      </c>
      <c r="P127" s="412">
        <f t="shared" si="8"/>
        <v>0</v>
      </c>
      <c r="Q127" s="412">
        <f t="shared" si="9"/>
        <v>0</v>
      </c>
    </row>
    <row r="128" spans="8:17" x14ac:dyDescent="0.25">
      <c r="H128" s="117"/>
      <c r="I128" s="411"/>
      <c r="J128" s="768">
        <v>44649</v>
      </c>
      <c r="K128" s="2" t="s">
        <v>2073</v>
      </c>
      <c r="L128" s="766">
        <v>277540</v>
      </c>
      <c r="N128" s="2">
        <v>4000000</v>
      </c>
      <c r="O128" s="2" t="s">
        <v>4585</v>
      </c>
      <c r="P128" s="412">
        <f t="shared" si="8"/>
        <v>0</v>
      </c>
      <c r="Q128" s="412">
        <f t="shared" si="9"/>
        <v>0</v>
      </c>
    </row>
    <row r="129" spans="8:17" x14ac:dyDescent="0.25">
      <c r="H129" s="117"/>
      <c r="I129" s="411"/>
      <c r="J129" s="768">
        <v>44649</v>
      </c>
      <c r="K129" s="2" t="s">
        <v>2882</v>
      </c>
      <c r="L129" s="766">
        <v>277540</v>
      </c>
      <c r="N129" s="2">
        <v>3800000</v>
      </c>
      <c r="O129" s="2" t="s">
        <v>4585</v>
      </c>
      <c r="P129" s="412">
        <f t="shared" si="8"/>
        <v>0</v>
      </c>
      <c r="Q129" s="412">
        <f t="shared" si="9"/>
        <v>0</v>
      </c>
    </row>
    <row r="130" spans="8:17" x14ac:dyDescent="0.25">
      <c r="H130" s="117"/>
      <c r="I130" s="411"/>
      <c r="J130" s="768">
        <v>44649</v>
      </c>
      <c r="K130" s="2" t="s">
        <v>4581</v>
      </c>
      <c r="L130" s="766">
        <v>277540</v>
      </c>
      <c r="N130" s="2">
        <v>7245000</v>
      </c>
      <c r="O130" s="2" t="s">
        <v>4585</v>
      </c>
      <c r="P130" s="412">
        <f t="shared" si="8"/>
        <v>0</v>
      </c>
      <c r="Q130" s="412">
        <f t="shared" si="9"/>
        <v>0</v>
      </c>
    </row>
    <row r="131" spans="8:17" x14ac:dyDescent="0.25">
      <c r="H131" s="117"/>
      <c r="I131" s="411"/>
      <c r="J131" s="768">
        <v>44649</v>
      </c>
      <c r="K131" s="2" t="s">
        <v>4582</v>
      </c>
      <c r="L131" s="766">
        <v>277540</v>
      </c>
      <c r="N131" s="2">
        <v>5000000</v>
      </c>
      <c r="O131" s="2" t="s">
        <v>4585</v>
      </c>
      <c r="P131" s="412">
        <f t="shared" si="8"/>
        <v>0</v>
      </c>
      <c r="Q131" s="412">
        <f t="shared" si="9"/>
        <v>0</v>
      </c>
    </row>
    <row r="132" spans="8:17" x14ac:dyDescent="0.25">
      <c r="H132" s="117"/>
      <c r="I132" s="411"/>
      <c r="J132" s="768">
        <v>44649</v>
      </c>
      <c r="K132" s="2" t="s">
        <v>2142</v>
      </c>
      <c r="L132" s="766">
        <v>277540</v>
      </c>
      <c r="N132" s="2">
        <v>5881000</v>
      </c>
      <c r="O132" s="2" t="s">
        <v>4585</v>
      </c>
      <c r="P132" s="412">
        <f t="shared" si="8"/>
        <v>0</v>
      </c>
      <c r="Q132" s="412">
        <f t="shared" si="9"/>
        <v>0</v>
      </c>
    </row>
    <row r="133" spans="8:17" x14ac:dyDescent="0.25">
      <c r="H133" s="117"/>
      <c r="I133" s="411"/>
      <c r="J133" s="768">
        <v>44649</v>
      </c>
      <c r="K133" s="2" t="s">
        <v>5068</v>
      </c>
      <c r="L133" s="766">
        <v>277540</v>
      </c>
      <c r="N133" s="2">
        <v>10000000</v>
      </c>
      <c r="O133" s="2" t="s">
        <v>4585</v>
      </c>
      <c r="P133" s="412">
        <f t="shared" si="8"/>
        <v>0</v>
      </c>
      <c r="Q133" s="412">
        <f t="shared" si="9"/>
        <v>0</v>
      </c>
    </row>
    <row r="134" spans="8:17" x14ac:dyDescent="0.25">
      <c r="H134" s="117"/>
      <c r="I134" s="411"/>
      <c r="J134" s="768">
        <v>44649</v>
      </c>
      <c r="K134" s="2" t="s">
        <v>3296</v>
      </c>
      <c r="L134" s="766">
        <v>277540</v>
      </c>
      <c r="N134" s="2">
        <v>4500000</v>
      </c>
      <c r="O134" s="2" t="s">
        <v>4585</v>
      </c>
      <c r="P134" s="412">
        <f t="shared" si="8"/>
        <v>0</v>
      </c>
      <c r="Q134" s="412">
        <f t="shared" si="9"/>
        <v>0</v>
      </c>
    </row>
    <row r="135" spans="8:17" x14ac:dyDescent="0.25">
      <c r="H135" s="117"/>
      <c r="I135" s="411"/>
      <c r="J135" s="768">
        <v>44649</v>
      </c>
      <c r="K135" s="2" t="s">
        <v>2079</v>
      </c>
      <c r="L135" s="766">
        <v>277540</v>
      </c>
      <c r="N135" s="2">
        <v>28125000</v>
      </c>
      <c r="O135" s="2" t="s">
        <v>4585</v>
      </c>
      <c r="P135" s="412">
        <f t="shared" si="8"/>
        <v>0</v>
      </c>
      <c r="Q135" s="412">
        <f t="shared" si="9"/>
        <v>0</v>
      </c>
    </row>
    <row r="136" spans="8:17" x14ac:dyDescent="0.25">
      <c r="H136" s="117"/>
      <c r="I136" s="411"/>
      <c r="J136" s="768">
        <v>44649</v>
      </c>
      <c r="K136" s="2" t="s">
        <v>4546</v>
      </c>
      <c r="L136" s="766">
        <v>277540</v>
      </c>
      <c r="M136" s="2">
        <v>2000000</v>
      </c>
      <c r="N136" s="2">
        <v>2000000</v>
      </c>
      <c r="O136" s="2" t="s">
        <v>4585</v>
      </c>
      <c r="P136" s="412">
        <f t="shared" si="8"/>
        <v>0</v>
      </c>
      <c r="Q136" s="412">
        <f t="shared" si="9"/>
        <v>0</v>
      </c>
    </row>
    <row r="137" spans="8:17" x14ac:dyDescent="0.25">
      <c r="H137" s="117"/>
      <c r="I137" s="411"/>
      <c r="J137" s="768">
        <v>44649</v>
      </c>
      <c r="K137" s="2" t="s">
        <v>2623</v>
      </c>
      <c r="L137" s="766">
        <v>277540</v>
      </c>
      <c r="N137" s="2">
        <v>1790000</v>
      </c>
      <c r="O137" s="2" t="s">
        <v>4585</v>
      </c>
      <c r="P137" s="412">
        <f t="shared" si="8"/>
        <v>0</v>
      </c>
      <c r="Q137" s="412">
        <f t="shared" si="9"/>
        <v>0</v>
      </c>
    </row>
    <row r="138" spans="8:17" x14ac:dyDescent="0.25">
      <c r="H138" s="117"/>
      <c r="I138" s="411"/>
      <c r="J138" s="768">
        <v>44649</v>
      </c>
      <c r="K138" s="2" t="s">
        <v>3549</v>
      </c>
      <c r="L138" s="766">
        <v>277540</v>
      </c>
      <c r="N138" s="2">
        <v>1500000</v>
      </c>
      <c r="O138" s="2" t="s">
        <v>4585</v>
      </c>
      <c r="P138" s="412">
        <f t="shared" si="8"/>
        <v>0</v>
      </c>
      <c r="Q138" s="412">
        <f t="shared" si="9"/>
        <v>0</v>
      </c>
    </row>
    <row r="139" spans="8:17" x14ac:dyDescent="0.25">
      <c r="H139" s="117"/>
      <c r="I139" s="411"/>
      <c r="J139" s="768">
        <v>44649</v>
      </c>
      <c r="K139" s="2" t="s">
        <v>4401</v>
      </c>
      <c r="L139" s="766">
        <v>277540</v>
      </c>
      <c r="N139" s="2">
        <v>1500000</v>
      </c>
      <c r="O139" s="2" t="s">
        <v>4585</v>
      </c>
      <c r="P139" s="412">
        <f t="shared" ref="P139:P202" si="12">IF(O139="AVAILABLE",SUMIFS($E$6:$E$16,$C$6:$C$16,L139,$D$6:$D$16,K139)/MAX(IF(O139="AVAILABLE",COUNTIFS($D$6:$D$16,K139,$C$6:$C$16,L139),1),1),IF(O139="REPO COLLATERAL",SUMIFS($E$18:$E$53,$C$18:$C$53,L139,$D$18:$D$53,K139),0)/MAX(IF(O139="REPO COLLATERAL",COUNTIFS($D$19:$D$94,K139),1),1))</f>
        <v>0</v>
      </c>
      <c r="Q139" s="412">
        <f t="shared" ref="Q139:Q202" si="13">IF(LEFT(K139,4)="RP00",0,IF(ISNA(VLOOKUP(L139,$C$6:$C$11,1,FALSE)),0,IF(L139&lt;&gt;"",ABS(N139-P139),0)))</f>
        <v>0</v>
      </c>
    </row>
    <row r="140" spans="8:17" x14ac:dyDescent="0.25">
      <c r="H140" s="117"/>
      <c r="I140" s="411"/>
      <c r="J140" s="768">
        <v>44649</v>
      </c>
      <c r="K140" s="2" t="s">
        <v>3626</v>
      </c>
      <c r="L140" s="766">
        <v>277540</v>
      </c>
      <c r="N140" s="2">
        <v>5000000</v>
      </c>
      <c r="O140" s="2" t="s">
        <v>4585</v>
      </c>
      <c r="P140" s="412">
        <f t="shared" si="12"/>
        <v>0</v>
      </c>
      <c r="Q140" s="412">
        <f t="shared" si="13"/>
        <v>0</v>
      </c>
    </row>
    <row r="141" spans="8:17" x14ac:dyDescent="0.25">
      <c r="H141" s="117"/>
      <c r="I141" s="411"/>
      <c r="J141" s="768">
        <v>44649</v>
      </c>
      <c r="K141" s="2" t="s">
        <v>4952</v>
      </c>
      <c r="L141" s="766">
        <v>277540</v>
      </c>
      <c r="N141" s="2">
        <v>5703000</v>
      </c>
      <c r="O141" s="2" t="s">
        <v>4585</v>
      </c>
      <c r="P141" s="412">
        <f t="shared" si="12"/>
        <v>0</v>
      </c>
      <c r="Q141" s="412">
        <f t="shared" si="13"/>
        <v>0</v>
      </c>
    </row>
    <row r="142" spans="8:17" x14ac:dyDescent="0.25">
      <c r="H142" s="117"/>
      <c r="I142" s="411"/>
      <c r="J142" s="768">
        <v>44649</v>
      </c>
      <c r="K142" s="2" t="s">
        <v>4831</v>
      </c>
      <c r="L142" s="766">
        <v>277540</v>
      </c>
      <c r="N142" s="2">
        <v>4745034</v>
      </c>
      <c r="O142" s="2" t="s">
        <v>4585</v>
      </c>
      <c r="P142" s="412">
        <f t="shared" si="12"/>
        <v>0</v>
      </c>
      <c r="Q142" s="412">
        <f t="shared" si="13"/>
        <v>0</v>
      </c>
    </row>
    <row r="143" spans="8:17" x14ac:dyDescent="0.25">
      <c r="H143" s="117"/>
      <c r="I143" s="411"/>
      <c r="J143" s="768">
        <v>44649</v>
      </c>
      <c r="K143" s="2" t="s">
        <v>1959</v>
      </c>
      <c r="L143" s="766">
        <v>277540</v>
      </c>
      <c r="N143" s="2">
        <v>5500000</v>
      </c>
      <c r="O143" s="2" t="s">
        <v>4585</v>
      </c>
      <c r="P143" s="412">
        <f t="shared" si="12"/>
        <v>0</v>
      </c>
      <c r="Q143" s="412">
        <f t="shared" si="13"/>
        <v>0</v>
      </c>
    </row>
    <row r="144" spans="8:17" x14ac:dyDescent="0.25">
      <c r="H144" s="117"/>
      <c r="I144" s="411"/>
      <c r="J144" s="768">
        <v>44649</v>
      </c>
      <c r="K144" s="2" t="s">
        <v>1876</v>
      </c>
      <c r="L144" s="766">
        <v>277540</v>
      </c>
      <c r="N144" s="2">
        <v>2000000</v>
      </c>
      <c r="O144" s="2" t="s">
        <v>4585</v>
      </c>
      <c r="P144" s="412">
        <f t="shared" si="12"/>
        <v>0</v>
      </c>
      <c r="Q144" s="412">
        <f t="shared" si="13"/>
        <v>0</v>
      </c>
    </row>
    <row r="145" spans="8:17" x14ac:dyDescent="0.25">
      <c r="H145" s="117"/>
      <c r="I145" s="411"/>
      <c r="J145" s="768">
        <v>44649</v>
      </c>
      <c r="K145" s="2" t="s">
        <v>2219</v>
      </c>
      <c r="L145" s="766">
        <v>277540</v>
      </c>
      <c r="N145" s="2">
        <v>1000000</v>
      </c>
      <c r="O145" s="2" t="s">
        <v>4585</v>
      </c>
      <c r="P145" s="412">
        <f t="shared" si="12"/>
        <v>0</v>
      </c>
      <c r="Q145" s="412">
        <f t="shared" si="13"/>
        <v>0</v>
      </c>
    </row>
    <row r="146" spans="8:17" x14ac:dyDescent="0.25">
      <c r="H146" s="117"/>
      <c r="I146" s="411"/>
      <c r="J146" s="768">
        <v>44649</v>
      </c>
      <c r="K146" s="2" t="s">
        <v>2491</v>
      </c>
      <c r="L146" s="766">
        <v>277540</v>
      </c>
      <c r="M146" s="2">
        <v>1000000</v>
      </c>
      <c r="O146" s="2" t="s">
        <v>4580</v>
      </c>
      <c r="P146" s="412">
        <f t="shared" si="12"/>
        <v>0</v>
      </c>
      <c r="Q146" s="412">
        <f t="shared" si="13"/>
        <v>0</v>
      </c>
    </row>
    <row r="147" spans="8:17" x14ac:dyDescent="0.25">
      <c r="H147" s="117"/>
      <c r="I147" s="411"/>
      <c r="J147" s="768">
        <v>44649</v>
      </c>
      <c r="K147" s="2" t="s">
        <v>2491</v>
      </c>
      <c r="L147" s="766">
        <v>277540</v>
      </c>
      <c r="N147" s="2">
        <v>1500000</v>
      </c>
      <c r="O147" s="2" t="s">
        <v>4585</v>
      </c>
      <c r="P147" s="412">
        <f t="shared" si="12"/>
        <v>0</v>
      </c>
      <c r="Q147" s="412">
        <f t="shared" si="13"/>
        <v>0</v>
      </c>
    </row>
    <row r="148" spans="8:17" x14ac:dyDescent="0.25">
      <c r="H148" s="117"/>
      <c r="I148" s="411"/>
      <c r="J148" s="768">
        <v>44649</v>
      </c>
      <c r="K148" s="2" t="s">
        <v>3129</v>
      </c>
      <c r="L148" s="766">
        <v>277540</v>
      </c>
      <c r="N148" s="2">
        <v>1500000</v>
      </c>
      <c r="O148" s="2" t="s">
        <v>4585</v>
      </c>
      <c r="P148" s="412">
        <f t="shared" si="12"/>
        <v>0</v>
      </c>
      <c r="Q148" s="412">
        <f t="shared" si="13"/>
        <v>0</v>
      </c>
    </row>
    <row r="149" spans="8:17" x14ac:dyDescent="0.25">
      <c r="H149" s="117"/>
      <c r="I149" s="411"/>
      <c r="J149" s="768">
        <v>44649</v>
      </c>
      <c r="K149" s="2" t="s">
        <v>3426</v>
      </c>
      <c r="L149" s="766">
        <v>277540</v>
      </c>
      <c r="N149" s="2">
        <v>7044000</v>
      </c>
      <c r="O149" s="2" t="s">
        <v>4585</v>
      </c>
      <c r="P149" s="412">
        <f t="shared" si="12"/>
        <v>0</v>
      </c>
      <c r="Q149" s="412">
        <f t="shared" si="13"/>
        <v>0</v>
      </c>
    </row>
    <row r="150" spans="8:17" x14ac:dyDescent="0.25">
      <c r="H150" s="117"/>
      <c r="I150" s="411"/>
      <c r="J150" s="768">
        <v>44649</v>
      </c>
      <c r="K150" s="2" t="s">
        <v>1894</v>
      </c>
      <c r="L150" s="766">
        <v>277540</v>
      </c>
      <c r="N150" s="2">
        <v>12000000</v>
      </c>
      <c r="O150" s="2" t="s">
        <v>4585</v>
      </c>
      <c r="P150" s="412">
        <f t="shared" si="12"/>
        <v>0</v>
      </c>
      <c r="Q150" s="412">
        <f t="shared" si="13"/>
        <v>0</v>
      </c>
    </row>
    <row r="151" spans="8:17" x14ac:dyDescent="0.25">
      <c r="H151" s="117"/>
      <c r="I151" s="411"/>
      <c r="J151" s="768">
        <v>44649</v>
      </c>
      <c r="K151" s="2" t="s">
        <v>3599</v>
      </c>
      <c r="L151" s="766">
        <v>277540</v>
      </c>
      <c r="N151" s="2">
        <v>4000000</v>
      </c>
      <c r="O151" s="2" t="s">
        <v>4585</v>
      </c>
      <c r="P151" s="412">
        <f t="shared" si="12"/>
        <v>0</v>
      </c>
      <c r="Q151" s="412">
        <f t="shared" si="13"/>
        <v>0</v>
      </c>
    </row>
    <row r="152" spans="8:17" x14ac:dyDescent="0.25">
      <c r="H152" s="117"/>
      <c r="I152" s="411"/>
      <c r="J152" s="768">
        <v>44649</v>
      </c>
      <c r="K152" s="2" t="s">
        <v>4835</v>
      </c>
      <c r="L152" s="766">
        <v>277540</v>
      </c>
      <c r="N152" s="2">
        <v>23130000</v>
      </c>
      <c r="O152" s="2" t="s">
        <v>4585</v>
      </c>
      <c r="P152" s="412">
        <f t="shared" si="12"/>
        <v>0</v>
      </c>
      <c r="Q152" s="412">
        <f t="shared" si="13"/>
        <v>0</v>
      </c>
    </row>
    <row r="153" spans="8:17" x14ac:dyDescent="0.25">
      <c r="H153" s="117"/>
      <c r="I153" s="411"/>
      <c r="J153" s="768">
        <v>44649</v>
      </c>
      <c r="K153" s="2" t="s">
        <v>3645</v>
      </c>
      <c r="L153" s="766">
        <v>277540</v>
      </c>
      <c r="N153" s="2">
        <v>11130000</v>
      </c>
      <c r="O153" s="2" t="s">
        <v>4585</v>
      </c>
      <c r="P153" s="412">
        <f t="shared" si="12"/>
        <v>0</v>
      </c>
      <c r="Q153" s="412">
        <f t="shared" si="13"/>
        <v>0</v>
      </c>
    </row>
    <row r="154" spans="8:17" x14ac:dyDescent="0.25">
      <c r="H154" s="117"/>
      <c r="I154" s="411"/>
      <c r="J154" s="768">
        <v>44649</v>
      </c>
      <c r="K154" s="2" t="s">
        <v>1923</v>
      </c>
      <c r="L154" s="766">
        <v>277540</v>
      </c>
      <c r="N154" s="2">
        <v>3373000</v>
      </c>
      <c r="O154" s="2" t="s">
        <v>4585</v>
      </c>
      <c r="P154" s="412">
        <f t="shared" si="12"/>
        <v>0</v>
      </c>
      <c r="Q154" s="412">
        <f t="shared" si="13"/>
        <v>0</v>
      </c>
    </row>
    <row r="155" spans="8:17" x14ac:dyDescent="0.25">
      <c r="H155" s="117"/>
      <c r="I155" s="411"/>
      <c r="J155" s="768">
        <v>44649</v>
      </c>
      <c r="K155" s="2" t="s">
        <v>5069</v>
      </c>
      <c r="L155" s="766">
        <v>277540</v>
      </c>
      <c r="N155" s="2">
        <v>7500000</v>
      </c>
      <c r="O155" s="2" t="s">
        <v>4585</v>
      </c>
      <c r="P155" s="412">
        <f t="shared" si="12"/>
        <v>0</v>
      </c>
      <c r="Q155" s="412">
        <f t="shared" si="13"/>
        <v>0</v>
      </c>
    </row>
    <row r="156" spans="8:17" x14ac:dyDescent="0.25">
      <c r="H156" s="117"/>
      <c r="I156" s="411"/>
      <c r="J156" s="768">
        <v>44649</v>
      </c>
      <c r="K156" s="2" t="s">
        <v>3135</v>
      </c>
      <c r="L156" s="766">
        <v>277540</v>
      </c>
      <c r="N156" s="2">
        <v>1150000</v>
      </c>
      <c r="O156" s="2" t="s">
        <v>4585</v>
      </c>
      <c r="P156" s="412">
        <f t="shared" si="12"/>
        <v>0</v>
      </c>
      <c r="Q156" s="412">
        <f t="shared" si="13"/>
        <v>0</v>
      </c>
    </row>
    <row r="157" spans="8:17" x14ac:dyDescent="0.25">
      <c r="H157" s="117"/>
      <c r="I157" s="411"/>
      <c r="J157" s="768">
        <v>44649</v>
      </c>
      <c r="K157" s="2" t="s">
        <v>2224</v>
      </c>
      <c r="L157" s="766">
        <v>277540</v>
      </c>
      <c r="N157" s="2">
        <v>2900000</v>
      </c>
      <c r="O157" s="2" t="s">
        <v>4585</v>
      </c>
      <c r="P157" s="412">
        <f t="shared" si="12"/>
        <v>0</v>
      </c>
      <c r="Q157" s="412">
        <f t="shared" si="13"/>
        <v>0</v>
      </c>
    </row>
    <row r="158" spans="8:17" x14ac:dyDescent="0.25">
      <c r="H158" s="117"/>
      <c r="I158" s="411"/>
      <c r="J158" s="768">
        <v>44649</v>
      </c>
      <c r="K158" s="2" t="s">
        <v>2189</v>
      </c>
      <c r="L158" s="766">
        <v>277540</v>
      </c>
      <c r="N158" s="2">
        <v>1500000</v>
      </c>
      <c r="O158" s="2" t="s">
        <v>4585</v>
      </c>
      <c r="P158" s="412">
        <f t="shared" si="12"/>
        <v>0</v>
      </c>
      <c r="Q158" s="412">
        <f t="shared" si="13"/>
        <v>0</v>
      </c>
    </row>
    <row r="159" spans="8:17" x14ac:dyDescent="0.25">
      <c r="H159" s="117"/>
      <c r="I159" s="411"/>
      <c r="J159" s="768">
        <v>44649</v>
      </c>
      <c r="K159" s="2" t="s">
        <v>2822</v>
      </c>
      <c r="L159" s="766">
        <v>277540</v>
      </c>
      <c r="N159" s="2">
        <v>390506</v>
      </c>
      <c r="O159" s="2" t="s">
        <v>4585</v>
      </c>
      <c r="P159" s="412">
        <f t="shared" si="12"/>
        <v>0</v>
      </c>
      <c r="Q159" s="412">
        <f t="shared" si="13"/>
        <v>0</v>
      </c>
    </row>
    <row r="160" spans="8:17" x14ac:dyDescent="0.25">
      <c r="H160" s="117"/>
      <c r="I160" s="411"/>
      <c r="J160" s="768">
        <v>44649</v>
      </c>
      <c r="K160" s="2" t="s">
        <v>4583</v>
      </c>
      <c r="L160" s="766">
        <v>277540</v>
      </c>
      <c r="N160" s="2">
        <v>2063000</v>
      </c>
      <c r="O160" s="2" t="s">
        <v>4585</v>
      </c>
      <c r="P160" s="412">
        <f t="shared" si="12"/>
        <v>0</v>
      </c>
      <c r="Q160" s="412">
        <f t="shared" si="13"/>
        <v>0</v>
      </c>
    </row>
    <row r="161" spans="8:17" x14ac:dyDescent="0.25">
      <c r="H161" s="117"/>
      <c r="I161" s="411"/>
      <c r="J161" s="768">
        <v>44649</v>
      </c>
      <c r="K161" s="2" t="s">
        <v>3646</v>
      </c>
      <c r="L161" s="766">
        <v>277540</v>
      </c>
      <c r="N161" s="2">
        <v>50435000</v>
      </c>
      <c r="O161" s="2" t="s">
        <v>4585</v>
      </c>
      <c r="P161" s="412">
        <f t="shared" si="12"/>
        <v>0</v>
      </c>
      <c r="Q161" s="412">
        <f t="shared" si="13"/>
        <v>0</v>
      </c>
    </row>
    <row r="162" spans="8:17" x14ac:dyDescent="0.25">
      <c r="H162" s="117"/>
      <c r="I162" s="411"/>
      <c r="J162" s="768">
        <v>44649</v>
      </c>
      <c r="K162" s="2" t="s">
        <v>3581</v>
      </c>
      <c r="L162" s="766">
        <v>277540</v>
      </c>
      <c r="N162" s="2">
        <v>10000000</v>
      </c>
      <c r="O162" s="2" t="s">
        <v>4585</v>
      </c>
      <c r="P162" s="412">
        <f t="shared" si="12"/>
        <v>0</v>
      </c>
      <c r="Q162" s="412">
        <f t="shared" si="13"/>
        <v>0</v>
      </c>
    </row>
    <row r="163" spans="8:17" x14ac:dyDescent="0.25">
      <c r="H163" s="117"/>
      <c r="I163" s="411"/>
      <c r="J163" s="768">
        <v>44649</v>
      </c>
      <c r="K163" s="2" t="s">
        <v>3600</v>
      </c>
      <c r="L163" s="766">
        <v>277540</v>
      </c>
      <c r="N163" s="2">
        <v>2200000</v>
      </c>
      <c r="O163" s="2" t="s">
        <v>4585</v>
      </c>
      <c r="P163" s="412">
        <f t="shared" si="12"/>
        <v>0</v>
      </c>
      <c r="Q163" s="412">
        <f t="shared" si="13"/>
        <v>0</v>
      </c>
    </row>
    <row r="164" spans="8:17" x14ac:dyDescent="0.25">
      <c r="H164" s="117"/>
      <c r="I164" s="411"/>
      <c r="J164" s="768">
        <v>44649</v>
      </c>
      <c r="K164" s="2" t="s">
        <v>3882</v>
      </c>
      <c r="L164" s="766">
        <v>277540</v>
      </c>
      <c r="N164" s="2">
        <v>5200000</v>
      </c>
      <c r="O164" s="2" t="s">
        <v>4585</v>
      </c>
      <c r="P164" s="412">
        <f t="shared" si="12"/>
        <v>0</v>
      </c>
      <c r="Q164" s="412">
        <f t="shared" si="13"/>
        <v>0</v>
      </c>
    </row>
    <row r="165" spans="8:17" x14ac:dyDescent="0.25">
      <c r="H165" s="117"/>
      <c r="I165" s="411"/>
      <c r="J165" s="768">
        <v>44649</v>
      </c>
      <c r="K165" s="2" t="s">
        <v>1579</v>
      </c>
      <c r="L165" s="766">
        <v>277540</v>
      </c>
      <c r="N165" s="2">
        <v>5000000</v>
      </c>
      <c r="O165" s="2" t="s">
        <v>4585</v>
      </c>
      <c r="P165" s="412">
        <f t="shared" si="12"/>
        <v>0</v>
      </c>
      <c r="Q165" s="412">
        <f t="shared" si="13"/>
        <v>0</v>
      </c>
    </row>
    <row r="166" spans="8:17" x14ac:dyDescent="0.25">
      <c r="H166" s="117"/>
      <c r="I166" s="411"/>
      <c r="J166" s="768">
        <v>44649</v>
      </c>
      <c r="K166" s="2" t="s">
        <v>3364</v>
      </c>
      <c r="L166" s="766">
        <v>277540</v>
      </c>
      <c r="N166" s="2">
        <v>3000000</v>
      </c>
      <c r="O166" s="2" t="s">
        <v>4585</v>
      </c>
      <c r="P166" s="412">
        <f t="shared" si="12"/>
        <v>0</v>
      </c>
      <c r="Q166" s="412">
        <f t="shared" si="13"/>
        <v>0</v>
      </c>
    </row>
    <row r="167" spans="8:17" x14ac:dyDescent="0.25">
      <c r="H167" s="117"/>
      <c r="I167" s="411"/>
      <c r="J167" s="768">
        <v>44649</v>
      </c>
      <c r="K167" s="2" t="s">
        <v>2207</v>
      </c>
      <c r="L167" s="766">
        <v>277540</v>
      </c>
      <c r="N167" s="2">
        <v>9900000</v>
      </c>
      <c r="O167" s="2" t="s">
        <v>4585</v>
      </c>
      <c r="P167" s="412">
        <f t="shared" si="12"/>
        <v>0</v>
      </c>
      <c r="Q167" s="412">
        <f t="shared" si="13"/>
        <v>0</v>
      </c>
    </row>
    <row r="168" spans="8:17" x14ac:dyDescent="0.25">
      <c r="H168" s="117"/>
      <c r="I168" s="411"/>
      <c r="J168" s="768">
        <v>44649</v>
      </c>
      <c r="K168" s="2" t="s">
        <v>3652</v>
      </c>
      <c r="L168" s="766">
        <v>277540</v>
      </c>
      <c r="N168" s="2">
        <v>4400000</v>
      </c>
      <c r="O168" s="2" t="s">
        <v>4585</v>
      </c>
      <c r="P168" s="412">
        <f t="shared" si="12"/>
        <v>0</v>
      </c>
      <c r="Q168" s="412">
        <f t="shared" si="13"/>
        <v>0</v>
      </c>
    </row>
    <row r="169" spans="8:17" x14ac:dyDescent="0.25">
      <c r="H169" s="117"/>
      <c r="I169" s="411"/>
      <c r="J169" s="768">
        <v>44649</v>
      </c>
      <c r="K169" s="2" t="s">
        <v>3059</v>
      </c>
      <c r="L169" s="766">
        <v>277540</v>
      </c>
      <c r="N169" s="2">
        <v>900000</v>
      </c>
      <c r="O169" s="2" t="s">
        <v>4585</v>
      </c>
      <c r="P169" s="412">
        <f t="shared" si="12"/>
        <v>0</v>
      </c>
      <c r="Q169" s="412">
        <f t="shared" si="13"/>
        <v>0</v>
      </c>
    </row>
    <row r="170" spans="8:17" x14ac:dyDescent="0.25">
      <c r="H170" s="117"/>
      <c r="I170" s="411"/>
      <c r="J170" s="768">
        <v>44649</v>
      </c>
      <c r="K170" s="2" t="s">
        <v>3550</v>
      </c>
      <c r="L170" s="766">
        <v>277540</v>
      </c>
      <c r="N170" s="2">
        <v>3670000</v>
      </c>
      <c r="O170" s="2" t="s">
        <v>4585</v>
      </c>
      <c r="P170" s="412">
        <f t="shared" si="12"/>
        <v>0</v>
      </c>
      <c r="Q170" s="412">
        <f t="shared" si="13"/>
        <v>0</v>
      </c>
    </row>
    <row r="171" spans="8:17" x14ac:dyDescent="0.25">
      <c r="H171" s="117"/>
      <c r="I171" s="411"/>
      <c r="J171" s="768">
        <v>44649</v>
      </c>
      <c r="K171" s="2" t="s">
        <v>2679</v>
      </c>
      <c r="L171" s="766">
        <v>277540</v>
      </c>
      <c r="N171" s="2">
        <v>7540000</v>
      </c>
      <c r="O171" s="2" t="s">
        <v>4585</v>
      </c>
      <c r="P171" s="412">
        <f t="shared" si="12"/>
        <v>0</v>
      </c>
      <c r="Q171" s="412">
        <f t="shared" si="13"/>
        <v>0</v>
      </c>
    </row>
    <row r="172" spans="8:17" x14ac:dyDescent="0.25">
      <c r="H172" s="117"/>
      <c r="I172" s="411"/>
      <c r="J172" s="768">
        <v>44649</v>
      </c>
      <c r="K172" s="2" t="s">
        <v>3124</v>
      </c>
      <c r="L172" s="766">
        <v>277540</v>
      </c>
      <c r="N172" s="2">
        <v>5000000</v>
      </c>
      <c r="O172" s="2" t="s">
        <v>4585</v>
      </c>
      <c r="P172" s="412">
        <f t="shared" si="12"/>
        <v>0</v>
      </c>
      <c r="Q172" s="412">
        <f t="shared" si="13"/>
        <v>0</v>
      </c>
    </row>
    <row r="173" spans="8:17" x14ac:dyDescent="0.25">
      <c r="H173" s="117"/>
      <c r="I173" s="411"/>
      <c r="J173" s="768">
        <v>44649</v>
      </c>
      <c r="K173" s="2" t="s">
        <v>3633</v>
      </c>
      <c r="L173" s="766">
        <v>277540</v>
      </c>
      <c r="N173" s="2">
        <v>750000</v>
      </c>
      <c r="O173" s="2" t="s">
        <v>4585</v>
      </c>
      <c r="P173" s="412">
        <f t="shared" si="12"/>
        <v>0</v>
      </c>
      <c r="Q173" s="412">
        <f t="shared" si="13"/>
        <v>0</v>
      </c>
    </row>
    <row r="174" spans="8:17" x14ac:dyDescent="0.25">
      <c r="H174" s="117"/>
      <c r="I174" s="411"/>
      <c r="J174" s="768">
        <v>44649</v>
      </c>
      <c r="K174" s="2" t="s">
        <v>3634</v>
      </c>
      <c r="L174" s="766">
        <v>277540</v>
      </c>
      <c r="N174" s="2">
        <v>1350000</v>
      </c>
      <c r="O174" s="2" t="s">
        <v>4585</v>
      </c>
      <c r="P174" s="412">
        <f t="shared" si="12"/>
        <v>0</v>
      </c>
      <c r="Q174" s="412">
        <f t="shared" si="13"/>
        <v>0</v>
      </c>
    </row>
    <row r="175" spans="8:17" x14ac:dyDescent="0.25">
      <c r="H175" s="117"/>
      <c r="I175" s="411"/>
      <c r="J175" s="768">
        <v>44649</v>
      </c>
      <c r="K175" s="2" t="s">
        <v>3877</v>
      </c>
      <c r="L175" s="766">
        <v>277540</v>
      </c>
      <c r="N175" s="2">
        <v>4000000</v>
      </c>
      <c r="O175" s="2" t="s">
        <v>4585</v>
      </c>
      <c r="P175" s="412">
        <f t="shared" si="12"/>
        <v>0</v>
      </c>
      <c r="Q175" s="412">
        <f t="shared" si="13"/>
        <v>0</v>
      </c>
    </row>
    <row r="176" spans="8:17" x14ac:dyDescent="0.25">
      <c r="H176" s="117"/>
      <c r="I176" s="411"/>
      <c r="J176" s="768">
        <v>44649</v>
      </c>
      <c r="K176" s="2" t="s">
        <v>1844</v>
      </c>
      <c r="L176" s="766">
        <v>277540</v>
      </c>
      <c r="N176" s="2">
        <v>6150000</v>
      </c>
      <c r="O176" s="2" t="s">
        <v>4585</v>
      </c>
      <c r="P176" s="412">
        <f t="shared" si="12"/>
        <v>0</v>
      </c>
      <c r="Q176" s="412">
        <f t="shared" si="13"/>
        <v>0</v>
      </c>
    </row>
    <row r="177" spans="8:17" x14ac:dyDescent="0.25">
      <c r="H177" s="117"/>
      <c r="I177" s="411"/>
      <c r="J177" s="768">
        <v>44649</v>
      </c>
      <c r="K177" s="2" t="s">
        <v>4988</v>
      </c>
      <c r="L177" s="766">
        <v>277540</v>
      </c>
      <c r="N177" s="2">
        <v>20000000</v>
      </c>
      <c r="O177" s="2" t="s">
        <v>4585</v>
      </c>
      <c r="P177" s="412">
        <f t="shared" si="12"/>
        <v>0</v>
      </c>
      <c r="Q177" s="412">
        <f t="shared" si="13"/>
        <v>0</v>
      </c>
    </row>
    <row r="178" spans="8:17" x14ac:dyDescent="0.25">
      <c r="J178" s="2">
        <v>44649</v>
      </c>
      <c r="K178" s="2" t="s">
        <v>4609</v>
      </c>
      <c r="L178" s="766">
        <v>277540</v>
      </c>
      <c r="N178" s="2">
        <v>14980000</v>
      </c>
      <c r="O178" s="2" t="s">
        <v>4585</v>
      </c>
      <c r="P178" s="412">
        <f t="shared" si="12"/>
        <v>0</v>
      </c>
      <c r="Q178" s="412">
        <f t="shared" si="13"/>
        <v>0</v>
      </c>
    </row>
    <row r="179" spans="8:17" x14ac:dyDescent="0.25">
      <c r="J179" s="2">
        <v>44649</v>
      </c>
      <c r="K179" s="2" t="s">
        <v>3647</v>
      </c>
      <c r="L179" s="766">
        <v>277540</v>
      </c>
      <c r="N179" s="2">
        <v>7317000</v>
      </c>
      <c r="O179" s="2" t="s">
        <v>4585</v>
      </c>
      <c r="P179" s="412">
        <f t="shared" si="12"/>
        <v>0</v>
      </c>
      <c r="Q179" s="412">
        <f t="shared" si="13"/>
        <v>0</v>
      </c>
    </row>
    <row r="180" spans="8:17" x14ac:dyDescent="0.25">
      <c r="J180" s="2">
        <v>44649</v>
      </c>
      <c r="K180" s="2" t="s">
        <v>3878</v>
      </c>
      <c r="L180" s="766">
        <v>277540</v>
      </c>
      <c r="N180" s="2">
        <v>2760000</v>
      </c>
      <c r="O180" s="2" t="s">
        <v>4585</v>
      </c>
      <c r="P180" s="412">
        <f t="shared" si="12"/>
        <v>0</v>
      </c>
      <c r="Q180" s="412">
        <f t="shared" si="13"/>
        <v>0</v>
      </c>
    </row>
    <row r="181" spans="8:17" x14ac:dyDescent="0.25">
      <c r="J181" s="2">
        <v>44649</v>
      </c>
      <c r="K181" s="2" t="s">
        <v>3046</v>
      </c>
      <c r="L181" s="766">
        <v>277540</v>
      </c>
      <c r="N181" s="2">
        <v>4700000</v>
      </c>
      <c r="O181" s="2" t="s">
        <v>4585</v>
      </c>
      <c r="P181" s="412">
        <f t="shared" si="12"/>
        <v>0</v>
      </c>
      <c r="Q181" s="412">
        <f t="shared" si="13"/>
        <v>0</v>
      </c>
    </row>
    <row r="182" spans="8:17" x14ac:dyDescent="0.25">
      <c r="J182" s="2">
        <v>44649</v>
      </c>
      <c r="K182" s="2" t="s">
        <v>4610</v>
      </c>
      <c r="L182" s="766">
        <v>277540</v>
      </c>
      <c r="N182" s="2">
        <v>5570000</v>
      </c>
      <c r="O182" s="2" t="s">
        <v>4585</v>
      </c>
      <c r="P182" s="412">
        <f t="shared" si="12"/>
        <v>0</v>
      </c>
      <c r="Q182" s="412">
        <f t="shared" si="13"/>
        <v>0</v>
      </c>
    </row>
    <row r="183" spans="8:17" x14ac:dyDescent="0.25">
      <c r="J183" s="2">
        <v>44649</v>
      </c>
      <c r="K183" s="2" t="s">
        <v>2811</v>
      </c>
      <c r="L183" s="766">
        <v>277540</v>
      </c>
      <c r="N183" s="2">
        <v>114000000</v>
      </c>
      <c r="O183" s="2" t="s">
        <v>4585</v>
      </c>
      <c r="P183" s="412">
        <f t="shared" si="12"/>
        <v>0</v>
      </c>
      <c r="Q183" s="412">
        <f t="shared" si="13"/>
        <v>0</v>
      </c>
    </row>
    <row r="184" spans="8:17" x14ac:dyDescent="0.25">
      <c r="J184" s="2">
        <v>44649</v>
      </c>
      <c r="K184" s="2" t="s">
        <v>5016</v>
      </c>
      <c r="L184" s="766">
        <v>277540</v>
      </c>
      <c r="N184" s="2">
        <v>8860000</v>
      </c>
      <c r="O184" s="2" t="s">
        <v>4585</v>
      </c>
      <c r="P184" s="412">
        <f t="shared" si="12"/>
        <v>0</v>
      </c>
      <c r="Q184" s="412">
        <f t="shared" si="13"/>
        <v>0</v>
      </c>
    </row>
    <row r="185" spans="8:17" x14ac:dyDescent="0.25">
      <c r="J185" s="2">
        <v>44649</v>
      </c>
      <c r="K185" s="2" t="s">
        <v>4616</v>
      </c>
      <c r="L185" s="766">
        <v>277540</v>
      </c>
      <c r="N185" s="2">
        <v>12000000</v>
      </c>
      <c r="O185" s="2" t="s">
        <v>4585</v>
      </c>
      <c r="P185" s="412">
        <f t="shared" si="12"/>
        <v>0</v>
      </c>
      <c r="Q185" s="412">
        <f t="shared" si="13"/>
        <v>0</v>
      </c>
    </row>
    <row r="186" spans="8:17" x14ac:dyDescent="0.25">
      <c r="J186" s="2">
        <v>44649</v>
      </c>
      <c r="K186" s="2" t="s">
        <v>3635</v>
      </c>
      <c r="L186" s="766">
        <v>277540</v>
      </c>
      <c r="N186" s="2">
        <v>8925000</v>
      </c>
      <c r="O186" s="2" t="s">
        <v>4585</v>
      </c>
      <c r="P186" s="412">
        <f t="shared" si="12"/>
        <v>0</v>
      </c>
      <c r="Q186" s="412">
        <f t="shared" si="13"/>
        <v>0</v>
      </c>
    </row>
    <row r="187" spans="8:17" x14ac:dyDescent="0.25">
      <c r="J187" s="2">
        <v>44649</v>
      </c>
      <c r="K187" s="2" t="s">
        <v>1839</v>
      </c>
      <c r="L187" s="766">
        <v>277540</v>
      </c>
      <c r="N187" s="2">
        <v>4000000</v>
      </c>
      <c r="O187" s="2" t="s">
        <v>4585</v>
      </c>
      <c r="P187" s="412">
        <f t="shared" si="12"/>
        <v>0</v>
      </c>
      <c r="Q187" s="412">
        <f t="shared" si="13"/>
        <v>0</v>
      </c>
    </row>
    <row r="188" spans="8:17" x14ac:dyDescent="0.25">
      <c r="J188" s="2">
        <v>44649</v>
      </c>
      <c r="K188" s="2" t="s">
        <v>1968</v>
      </c>
      <c r="L188" s="766">
        <v>277540</v>
      </c>
      <c r="N188" s="2">
        <v>9347000</v>
      </c>
      <c r="O188" s="2" t="s">
        <v>4585</v>
      </c>
      <c r="P188" s="412">
        <f t="shared" si="12"/>
        <v>0</v>
      </c>
      <c r="Q188" s="412">
        <f t="shared" si="13"/>
        <v>0</v>
      </c>
    </row>
    <row r="189" spans="8:17" x14ac:dyDescent="0.25">
      <c r="J189" s="2">
        <v>44649</v>
      </c>
      <c r="K189" s="2" t="s">
        <v>2114</v>
      </c>
      <c r="L189" s="766">
        <v>277540</v>
      </c>
      <c r="N189" s="2">
        <v>9591000</v>
      </c>
      <c r="O189" s="2" t="s">
        <v>4585</v>
      </c>
      <c r="P189" s="412">
        <f t="shared" si="12"/>
        <v>0</v>
      </c>
      <c r="Q189" s="412">
        <f t="shared" si="13"/>
        <v>0</v>
      </c>
    </row>
    <row r="190" spans="8:17" x14ac:dyDescent="0.25">
      <c r="J190" s="2">
        <v>44649</v>
      </c>
      <c r="K190" s="2" t="s">
        <v>2414</v>
      </c>
      <c r="L190" s="766">
        <v>277540</v>
      </c>
      <c r="N190" s="2">
        <v>19891000</v>
      </c>
      <c r="O190" s="2" t="s">
        <v>4585</v>
      </c>
      <c r="P190" s="412">
        <f t="shared" si="12"/>
        <v>0</v>
      </c>
      <c r="Q190" s="412">
        <f t="shared" si="13"/>
        <v>0</v>
      </c>
    </row>
    <row r="191" spans="8:17" x14ac:dyDescent="0.25">
      <c r="J191" s="2">
        <v>44649</v>
      </c>
      <c r="K191" s="2" t="s">
        <v>3879</v>
      </c>
      <c r="L191" s="766">
        <v>277540</v>
      </c>
      <c r="N191" s="2">
        <v>3188000</v>
      </c>
      <c r="O191" s="2" t="s">
        <v>4585</v>
      </c>
      <c r="P191" s="412">
        <f t="shared" si="12"/>
        <v>0</v>
      </c>
      <c r="Q191" s="412">
        <f t="shared" si="13"/>
        <v>0</v>
      </c>
    </row>
    <row r="192" spans="8:17" x14ac:dyDescent="0.25">
      <c r="J192" s="2">
        <v>44649</v>
      </c>
      <c r="K192" s="2" t="s">
        <v>3408</v>
      </c>
      <c r="L192" s="766">
        <v>277540</v>
      </c>
      <c r="N192" s="2">
        <v>6061000</v>
      </c>
      <c r="O192" s="2" t="s">
        <v>4585</v>
      </c>
      <c r="P192" s="412">
        <f t="shared" si="12"/>
        <v>0</v>
      </c>
      <c r="Q192" s="412">
        <f t="shared" si="13"/>
        <v>0</v>
      </c>
    </row>
    <row r="193" spans="10:17" x14ac:dyDescent="0.25">
      <c r="J193" s="2">
        <v>44649</v>
      </c>
      <c r="K193" s="2" t="s">
        <v>4017</v>
      </c>
      <c r="L193" s="766">
        <v>277540</v>
      </c>
      <c r="N193" s="2">
        <v>7500000</v>
      </c>
      <c r="O193" s="2" t="s">
        <v>4585</v>
      </c>
      <c r="P193" s="412">
        <f t="shared" si="12"/>
        <v>0</v>
      </c>
      <c r="Q193" s="412">
        <f t="shared" si="13"/>
        <v>0</v>
      </c>
    </row>
    <row r="194" spans="10:17" x14ac:dyDescent="0.25">
      <c r="J194" s="2">
        <v>44649</v>
      </c>
      <c r="K194" s="2" t="s">
        <v>2488</v>
      </c>
      <c r="L194" s="766">
        <v>277540</v>
      </c>
      <c r="N194" s="2">
        <v>6000000</v>
      </c>
      <c r="O194" s="2" t="s">
        <v>4585</v>
      </c>
      <c r="P194" s="412">
        <f t="shared" si="12"/>
        <v>0</v>
      </c>
      <c r="Q194" s="412">
        <f t="shared" si="13"/>
        <v>0</v>
      </c>
    </row>
    <row r="195" spans="10:17" x14ac:dyDescent="0.25">
      <c r="J195" s="2">
        <v>44649</v>
      </c>
      <c r="K195" s="2" t="s">
        <v>5011</v>
      </c>
      <c r="L195" s="766">
        <v>277540</v>
      </c>
      <c r="N195" s="2">
        <v>8000000</v>
      </c>
      <c r="O195" s="2" t="s">
        <v>4585</v>
      </c>
      <c r="P195" s="412">
        <f t="shared" si="12"/>
        <v>0</v>
      </c>
      <c r="Q195" s="412">
        <f t="shared" si="13"/>
        <v>0</v>
      </c>
    </row>
    <row r="196" spans="10:17" x14ac:dyDescent="0.25">
      <c r="J196" s="2">
        <v>44649</v>
      </c>
      <c r="K196" s="2" t="s">
        <v>2484</v>
      </c>
      <c r="L196" s="766">
        <v>277540</v>
      </c>
      <c r="N196" s="2">
        <v>1500000</v>
      </c>
      <c r="O196" s="2" t="s">
        <v>4585</v>
      </c>
      <c r="P196" s="412">
        <f t="shared" si="12"/>
        <v>0</v>
      </c>
      <c r="Q196" s="412">
        <f t="shared" si="13"/>
        <v>0</v>
      </c>
    </row>
    <row r="197" spans="10:17" x14ac:dyDescent="0.25">
      <c r="J197" s="2">
        <v>44649</v>
      </c>
      <c r="K197" s="2" t="s">
        <v>3653</v>
      </c>
      <c r="L197" s="766">
        <v>277540</v>
      </c>
      <c r="M197" s="2">
        <v>3352000</v>
      </c>
      <c r="N197" s="2">
        <v>3352000</v>
      </c>
      <c r="O197" s="2" t="s">
        <v>4580</v>
      </c>
      <c r="P197" s="412">
        <f t="shared" si="12"/>
        <v>0</v>
      </c>
      <c r="Q197" s="412">
        <f t="shared" si="13"/>
        <v>0</v>
      </c>
    </row>
    <row r="198" spans="10:17" x14ac:dyDescent="0.25">
      <c r="J198" s="2">
        <v>44649</v>
      </c>
      <c r="K198" s="2" t="s">
        <v>3653</v>
      </c>
      <c r="L198" s="766">
        <v>277540</v>
      </c>
      <c r="N198" s="2">
        <v>3522000</v>
      </c>
      <c r="O198" s="2" t="s">
        <v>4585</v>
      </c>
      <c r="P198" s="412">
        <f t="shared" si="12"/>
        <v>0</v>
      </c>
      <c r="Q198" s="412">
        <f t="shared" si="13"/>
        <v>0</v>
      </c>
    </row>
    <row r="199" spans="10:17" x14ac:dyDescent="0.25">
      <c r="J199" s="2">
        <v>44649</v>
      </c>
      <c r="K199" s="2" t="s">
        <v>3648</v>
      </c>
      <c r="L199" s="766">
        <v>277540</v>
      </c>
      <c r="N199" s="2">
        <v>2000000</v>
      </c>
      <c r="O199" s="2" t="s">
        <v>4585</v>
      </c>
      <c r="P199" s="412">
        <f t="shared" si="12"/>
        <v>0</v>
      </c>
      <c r="Q199" s="412">
        <f t="shared" si="13"/>
        <v>0</v>
      </c>
    </row>
    <row r="200" spans="10:17" x14ac:dyDescent="0.25">
      <c r="J200" s="2">
        <v>44649</v>
      </c>
      <c r="K200" s="2" t="s">
        <v>5048</v>
      </c>
      <c r="L200" s="766">
        <v>277540</v>
      </c>
      <c r="N200" s="2">
        <v>2000000</v>
      </c>
      <c r="O200" s="2" t="s">
        <v>4585</v>
      </c>
      <c r="P200" s="412">
        <f t="shared" si="12"/>
        <v>0</v>
      </c>
      <c r="Q200" s="412">
        <f t="shared" si="13"/>
        <v>0</v>
      </c>
    </row>
    <row r="201" spans="10:17" x14ac:dyDescent="0.25">
      <c r="J201" s="2">
        <v>44649</v>
      </c>
      <c r="K201" s="2" t="s">
        <v>4836</v>
      </c>
      <c r="L201" s="766">
        <v>277540</v>
      </c>
      <c r="N201" s="2">
        <v>24632550</v>
      </c>
      <c r="O201" s="2" t="s">
        <v>4585</v>
      </c>
      <c r="P201" s="412">
        <f t="shared" si="12"/>
        <v>0</v>
      </c>
      <c r="Q201" s="412">
        <f t="shared" si="13"/>
        <v>0</v>
      </c>
    </row>
    <row r="202" spans="10:17" x14ac:dyDescent="0.25">
      <c r="J202" s="2">
        <v>44649</v>
      </c>
      <c r="K202" s="2" t="s">
        <v>4576</v>
      </c>
      <c r="L202" s="766">
        <v>277540</v>
      </c>
      <c r="N202" s="2">
        <v>1000000</v>
      </c>
      <c r="O202" s="2" t="s">
        <v>4585</v>
      </c>
      <c r="P202" s="412">
        <f t="shared" si="12"/>
        <v>0</v>
      </c>
      <c r="Q202" s="412">
        <f t="shared" si="13"/>
        <v>0</v>
      </c>
    </row>
    <row r="203" spans="10:17" x14ac:dyDescent="0.25">
      <c r="J203" s="2">
        <v>44649</v>
      </c>
      <c r="K203" s="2" t="s">
        <v>2477</v>
      </c>
      <c r="L203" s="766">
        <v>277540</v>
      </c>
      <c r="N203" s="2">
        <v>252977000</v>
      </c>
      <c r="O203" s="2" t="s">
        <v>4585</v>
      </c>
      <c r="P203" s="412">
        <f t="shared" ref="P203:P266" si="14">IF(O203="AVAILABLE",SUMIFS($E$6:$E$16,$C$6:$C$16,L203,$D$6:$D$16,K203)/MAX(IF(O203="AVAILABLE",COUNTIFS($D$6:$D$16,K203,$C$6:$C$16,L203),1),1),IF(O203="REPO COLLATERAL",SUMIFS($E$18:$E$53,$C$18:$C$53,L203,$D$18:$D$53,K203),0)/MAX(IF(O203="REPO COLLATERAL",COUNTIFS($D$19:$D$94,K203),1),1))</f>
        <v>0</v>
      </c>
      <c r="Q203" s="412">
        <f t="shared" ref="Q203:Q266" si="15">IF(LEFT(K203,4)="RP00",0,IF(ISNA(VLOOKUP(L203,$C$6:$C$11,1,FALSE)),0,IF(L203&lt;&gt;"",ABS(N203-P203),0)))</f>
        <v>0</v>
      </c>
    </row>
    <row r="204" spans="10:17" x14ac:dyDescent="0.25">
      <c r="J204" s="2">
        <v>44649</v>
      </c>
      <c r="K204" s="2" t="s">
        <v>2473</v>
      </c>
      <c r="L204" s="766">
        <v>277540</v>
      </c>
      <c r="N204" s="2">
        <v>3000000</v>
      </c>
      <c r="O204" s="2" t="s">
        <v>4585</v>
      </c>
      <c r="P204" s="412">
        <f t="shared" si="14"/>
        <v>0</v>
      </c>
      <c r="Q204" s="412">
        <f t="shared" si="15"/>
        <v>0</v>
      </c>
    </row>
    <row r="205" spans="10:17" x14ac:dyDescent="0.25">
      <c r="J205" s="2">
        <v>44649</v>
      </c>
      <c r="K205" s="2" t="s">
        <v>3387</v>
      </c>
      <c r="L205" s="766">
        <v>277540</v>
      </c>
      <c r="N205" s="2">
        <v>25000000</v>
      </c>
      <c r="O205" s="2" t="s">
        <v>4585</v>
      </c>
      <c r="P205" s="412">
        <f t="shared" si="14"/>
        <v>0</v>
      </c>
      <c r="Q205" s="412">
        <f t="shared" si="15"/>
        <v>0</v>
      </c>
    </row>
    <row r="206" spans="10:17" x14ac:dyDescent="0.25">
      <c r="J206" s="2">
        <v>44649</v>
      </c>
      <c r="K206" s="2" t="s">
        <v>3936</v>
      </c>
      <c r="L206" s="766">
        <v>277540</v>
      </c>
      <c r="N206" s="2">
        <v>1100000</v>
      </c>
      <c r="O206" s="2" t="s">
        <v>4585</v>
      </c>
      <c r="P206" s="412">
        <f t="shared" si="14"/>
        <v>0</v>
      </c>
      <c r="Q206" s="412">
        <f t="shared" si="15"/>
        <v>0</v>
      </c>
    </row>
    <row r="207" spans="10:17" x14ac:dyDescent="0.25">
      <c r="J207" s="2">
        <v>44649</v>
      </c>
      <c r="K207" s="2" t="s">
        <v>2649</v>
      </c>
      <c r="L207" s="766">
        <v>277540</v>
      </c>
      <c r="N207" s="2">
        <v>3370000</v>
      </c>
      <c r="O207" s="2" t="s">
        <v>4585</v>
      </c>
      <c r="P207" s="412">
        <f t="shared" si="14"/>
        <v>0</v>
      </c>
      <c r="Q207" s="412">
        <f t="shared" si="15"/>
        <v>0</v>
      </c>
    </row>
    <row r="208" spans="10:17" x14ac:dyDescent="0.25">
      <c r="J208" s="2">
        <v>44649</v>
      </c>
      <c r="K208" s="2" t="s">
        <v>4587</v>
      </c>
      <c r="L208" s="766">
        <v>277540</v>
      </c>
      <c r="N208" s="2">
        <v>25833333</v>
      </c>
      <c r="O208" s="2" t="s">
        <v>4585</v>
      </c>
      <c r="P208" s="412">
        <f t="shared" si="14"/>
        <v>0</v>
      </c>
      <c r="Q208" s="412">
        <f t="shared" si="15"/>
        <v>0</v>
      </c>
    </row>
    <row r="209" spans="10:17" x14ac:dyDescent="0.25">
      <c r="J209" s="2">
        <v>44649</v>
      </c>
      <c r="K209" s="2" t="s">
        <v>4625</v>
      </c>
      <c r="L209" s="766">
        <v>990457</v>
      </c>
      <c r="N209" s="2">
        <v>115000000</v>
      </c>
      <c r="O209" s="2" t="s">
        <v>4585</v>
      </c>
      <c r="P209" s="412">
        <f t="shared" si="14"/>
        <v>0</v>
      </c>
      <c r="Q209" s="412">
        <f t="shared" si="15"/>
        <v>0</v>
      </c>
    </row>
    <row r="210" spans="10:17" x14ac:dyDescent="0.25">
      <c r="J210" s="2">
        <v>44649</v>
      </c>
      <c r="K210" s="2" t="s">
        <v>4626</v>
      </c>
      <c r="L210" s="766">
        <v>990457</v>
      </c>
      <c r="N210" s="2">
        <v>68000000</v>
      </c>
      <c r="O210" s="2" t="s">
        <v>4585</v>
      </c>
      <c r="P210" s="412">
        <f t="shared" si="14"/>
        <v>0</v>
      </c>
      <c r="Q210" s="412">
        <f t="shared" si="15"/>
        <v>0</v>
      </c>
    </row>
    <row r="211" spans="10:17" x14ac:dyDescent="0.25">
      <c r="J211" s="2">
        <v>44649</v>
      </c>
      <c r="K211" s="2" t="s">
        <v>4837</v>
      </c>
      <c r="L211" s="766">
        <v>277540</v>
      </c>
      <c r="N211" s="2">
        <v>16250000</v>
      </c>
      <c r="O211" s="2" t="s">
        <v>4585</v>
      </c>
      <c r="P211" s="412">
        <f t="shared" si="14"/>
        <v>0</v>
      </c>
      <c r="Q211" s="412">
        <f t="shared" si="15"/>
        <v>0</v>
      </c>
    </row>
    <row r="212" spans="10:17" x14ac:dyDescent="0.25">
      <c r="J212" s="2">
        <v>44649</v>
      </c>
      <c r="K212" s="2" t="s">
        <v>5052</v>
      </c>
      <c r="L212" s="766">
        <v>277540</v>
      </c>
      <c r="N212" s="2">
        <v>30000000</v>
      </c>
      <c r="O212" s="2" t="s">
        <v>4585</v>
      </c>
      <c r="P212" s="412">
        <f t="shared" si="14"/>
        <v>0</v>
      </c>
      <c r="Q212" s="412">
        <f t="shared" si="15"/>
        <v>0</v>
      </c>
    </row>
    <row r="213" spans="10:17" x14ac:dyDescent="0.25">
      <c r="J213" s="2">
        <v>44649</v>
      </c>
      <c r="K213" s="2" t="s">
        <v>4557</v>
      </c>
      <c r="L213" s="766">
        <v>277540</v>
      </c>
      <c r="N213" s="2">
        <v>72666666</v>
      </c>
      <c r="O213" s="2" t="s">
        <v>4585</v>
      </c>
      <c r="P213" s="412">
        <f t="shared" si="14"/>
        <v>0</v>
      </c>
      <c r="Q213" s="412">
        <f t="shared" si="15"/>
        <v>0</v>
      </c>
    </row>
    <row r="214" spans="10:17" x14ac:dyDescent="0.25">
      <c r="J214" s="2">
        <v>44649</v>
      </c>
      <c r="K214" s="2" t="s">
        <v>3883</v>
      </c>
      <c r="L214" s="766">
        <v>277540</v>
      </c>
      <c r="N214" s="2">
        <v>83953899</v>
      </c>
      <c r="O214" s="2" t="s">
        <v>4585</v>
      </c>
      <c r="P214" s="412">
        <f t="shared" si="14"/>
        <v>0</v>
      </c>
      <c r="Q214" s="412">
        <f t="shared" si="15"/>
        <v>0</v>
      </c>
    </row>
    <row r="215" spans="10:17" x14ac:dyDescent="0.25">
      <c r="J215" s="2">
        <v>44649</v>
      </c>
      <c r="K215" s="2" t="s">
        <v>3884</v>
      </c>
      <c r="L215" s="2">
        <v>277540</v>
      </c>
      <c r="N215" s="2">
        <v>72934450</v>
      </c>
      <c r="O215" s="2" t="s">
        <v>4585</v>
      </c>
      <c r="P215" s="412">
        <f t="shared" si="14"/>
        <v>0</v>
      </c>
      <c r="Q215" s="412">
        <f t="shared" si="15"/>
        <v>0</v>
      </c>
    </row>
    <row r="216" spans="10:17" x14ac:dyDescent="0.25">
      <c r="J216" s="2">
        <v>44649</v>
      </c>
      <c r="K216" s="2" t="s">
        <v>3866</v>
      </c>
      <c r="L216" s="2">
        <v>277540</v>
      </c>
      <c r="N216" s="2">
        <v>29282918</v>
      </c>
      <c r="O216" s="2" t="s">
        <v>4585</v>
      </c>
      <c r="P216" s="412">
        <f t="shared" si="14"/>
        <v>0</v>
      </c>
      <c r="Q216" s="412">
        <f t="shared" si="15"/>
        <v>0</v>
      </c>
    </row>
    <row r="217" spans="10:17" x14ac:dyDescent="0.25">
      <c r="J217" s="2">
        <v>44649</v>
      </c>
      <c r="K217" s="2" t="s">
        <v>3605</v>
      </c>
      <c r="L217" s="2">
        <v>277540</v>
      </c>
      <c r="N217" s="2">
        <v>12899596</v>
      </c>
      <c r="O217" s="2" t="s">
        <v>4585</v>
      </c>
      <c r="P217" s="412">
        <f t="shared" si="14"/>
        <v>0</v>
      </c>
      <c r="Q217" s="412">
        <f t="shared" si="15"/>
        <v>0</v>
      </c>
    </row>
    <row r="218" spans="10:17" x14ac:dyDescent="0.25">
      <c r="J218" s="2">
        <v>44649</v>
      </c>
      <c r="K218" s="2" t="s">
        <v>3587</v>
      </c>
      <c r="L218" s="2">
        <v>277540</v>
      </c>
      <c r="N218" s="2">
        <v>85304652</v>
      </c>
      <c r="O218" s="2" t="s">
        <v>4585</v>
      </c>
      <c r="P218" s="412">
        <f t="shared" si="14"/>
        <v>0</v>
      </c>
      <c r="Q218" s="412">
        <f t="shared" si="15"/>
        <v>0</v>
      </c>
    </row>
    <row r="219" spans="10:17" x14ac:dyDescent="0.25">
      <c r="J219" s="2">
        <v>44649</v>
      </c>
      <c r="K219" s="2" t="s">
        <v>3606</v>
      </c>
      <c r="L219" s="2">
        <v>277540</v>
      </c>
      <c r="N219" s="2">
        <v>34858770</v>
      </c>
      <c r="O219" s="2" t="s">
        <v>4585</v>
      </c>
      <c r="P219" s="412">
        <f t="shared" si="14"/>
        <v>0</v>
      </c>
      <c r="Q219" s="412">
        <f t="shared" si="15"/>
        <v>0</v>
      </c>
    </row>
    <row r="220" spans="10:17" x14ac:dyDescent="0.25">
      <c r="J220" s="2">
        <v>44649</v>
      </c>
      <c r="K220" s="2" t="s">
        <v>3585</v>
      </c>
      <c r="L220" s="2">
        <v>277540</v>
      </c>
      <c r="N220" s="2">
        <v>31173857</v>
      </c>
      <c r="O220" s="2" t="s">
        <v>4585</v>
      </c>
      <c r="P220" s="412">
        <f t="shared" si="14"/>
        <v>0</v>
      </c>
      <c r="Q220" s="412">
        <f t="shared" si="15"/>
        <v>0</v>
      </c>
    </row>
    <row r="221" spans="10:17" x14ac:dyDescent="0.25">
      <c r="J221" s="2">
        <v>44649</v>
      </c>
      <c r="K221" s="2" t="s">
        <v>5017</v>
      </c>
      <c r="L221" s="2">
        <v>277540</v>
      </c>
      <c r="N221" s="2">
        <v>17601902</v>
      </c>
      <c r="O221" s="2" t="s">
        <v>4585</v>
      </c>
      <c r="P221" s="412">
        <f t="shared" si="14"/>
        <v>0</v>
      </c>
      <c r="Q221" s="412">
        <f t="shared" si="15"/>
        <v>0</v>
      </c>
    </row>
    <row r="222" spans="10:17" x14ac:dyDescent="0.25">
      <c r="J222" s="2">
        <v>44649</v>
      </c>
      <c r="K222" s="2" t="s">
        <v>4565</v>
      </c>
      <c r="L222" s="2">
        <v>277540</v>
      </c>
      <c r="N222" s="2">
        <v>16849600</v>
      </c>
      <c r="O222" s="2" t="s">
        <v>4585</v>
      </c>
      <c r="P222" s="412">
        <f t="shared" si="14"/>
        <v>0</v>
      </c>
      <c r="Q222" s="412">
        <f t="shared" si="15"/>
        <v>0</v>
      </c>
    </row>
    <row r="223" spans="10:17" x14ac:dyDescent="0.25">
      <c r="J223" s="2">
        <v>44649</v>
      </c>
      <c r="K223" s="2" t="s">
        <v>3586</v>
      </c>
      <c r="L223" s="2">
        <v>277540</v>
      </c>
      <c r="N223" s="2">
        <v>11954523</v>
      </c>
      <c r="O223" s="2" t="s">
        <v>4585</v>
      </c>
      <c r="P223" s="412">
        <f t="shared" si="14"/>
        <v>0</v>
      </c>
      <c r="Q223" s="412">
        <f t="shared" si="15"/>
        <v>0</v>
      </c>
    </row>
    <row r="224" spans="10:17" x14ac:dyDescent="0.25">
      <c r="J224" s="2">
        <v>44649</v>
      </c>
      <c r="K224" s="2" t="s">
        <v>3584</v>
      </c>
      <c r="L224" s="2">
        <v>277540</v>
      </c>
      <c r="N224" s="2">
        <v>18430239</v>
      </c>
      <c r="O224" s="2" t="s">
        <v>4585</v>
      </c>
      <c r="P224" s="412">
        <f t="shared" si="14"/>
        <v>0</v>
      </c>
      <c r="Q224" s="412">
        <f t="shared" si="15"/>
        <v>0</v>
      </c>
    </row>
    <row r="225" spans="10:17" x14ac:dyDescent="0.25">
      <c r="J225" s="2">
        <v>44649</v>
      </c>
      <c r="K225" s="2" t="s">
        <v>3607</v>
      </c>
      <c r="L225" s="2">
        <v>277540</v>
      </c>
      <c r="N225" s="2">
        <v>35000000</v>
      </c>
      <c r="O225" s="2" t="s">
        <v>4585</v>
      </c>
      <c r="P225" s="412">
        <f t="shared" si="14"/>
        <v>0</v>
      </c>
      <c r="Q225" s="412">
        <f t="shared" si="15"/>
        <v>0</v>
      </c>
    </row>
    <row r="226" spans="10:17" x14ac:dyDescent="0.25">
      <c r="J226" s="2">
        <v>44649</v>
      </c>
      <c r="K226" s="2" t="s">
        <v>4563</v>
      </c>
      <c r="L226" s="2">
        <v>277540</v>
      </c>
      <c r="N226" s="2">
        <v>18379339</v>
      </c>
      <c r="O226" s="2" t="s">
        <v>4585</v>
      </c>
      <c r="P226" s="412">
        <f t="shared" si="14"/>
        <v>0</v>
      </c>
      <c r="Q226" s="412">
        <f t="shared" si="15"/>
        <v>0</v>
      </c>
    </row>
    <row r="227" spans="10:17" x14ac:dyDescent="0.25">
      <c r="J227" s="2">
        <v>44649</v>
      </c>
      <c r="K227" s="2" t="s">
        <v>3139</v>
      </c>
      <c r="L227" s="2">
        <v>277540</v>
      </c>
      <c r="N227" s="2">
        <v>40247092</v>
      </c>
      <c r="O227" s="2" t="s">
        <v>4585</v>
      </c>
      <c r="P227" s="412">
        <f t="shared" si="14"/>
        <v>0</v>
      </c>
      <c r="Q227" s="412">
        <f t="shared" si="15"/>
        <v>0</v>
      </c>
    </row>
    <row r="228" spans="10:17" x14ac:dyDescent="0.25">
      <c r="J228" s="2">
        <v>44649</v>
      </c>
      <c r="K228" s="2" t="s">
        <v>3140</v>
      </c>
      <c r="L228" s="2">
        <v>277540</v>
      </c>
      <c r="N228" s="2">
        <v>10609657</v>
      </c>
      <c r="O228" s="2" t="s">
        <v>4585</v>
      </c>
      <c r="P228" s="412">
        <f t="shared" si="14"/>
        <v>0</v>
      </c>
      <c r="Q228" s="412">
        <f t="shared" si="15"/>
        <v>0</v>
      </c>
    </row>
    <row r="229" spans="10:17" x14ac:dyDescent="0.25">
      <c r="J229" s="2">
        <v>44649</v>
      </c>
      <c r="K229" s="2" t="s">
        <v>3885</v>
      </c>
      <c r="L229" s="2">
        <v>277540</v>
      </c>
      <c r="N229" s="2">
        <v>57579022</v>
      </c>
      <c r="O229" s="2" t="s">
        <v>4585</v>
      </c>
      <c r="P229" s="412">
        <f t="shared" si="14"/>
        <v>0</v>
      </c>
      <c r="Q229" s="412">
        <f t="shared" si="15"/>
        <v>0</v>
      </c>
    </row>
    <row r="230" spans="10:17" x14ac:dyDescent="0.25">
      <c r="J230" s="2">
        <v>44649</v>
      </c>
      <c r="K230" s="2" t="s">
        <v>3155</v>
      </c>
      <c r="L230" s="2">
        <v>277540</v>
      </c>
      <c r="N230" s="2">
        <v>10553822</v>
      </c>
      <c r="O230" s="2" t="s">
        <v>4585</v>
      </c>
      <c r="P230" s="412">
        <f t="shared" si="14"/>
        <v>0</v>
      </c>
      <c r="Q230" s="412">
        <f t="shared" si="15"/>
        <v>0</v>
      </c>
    </row>
    <row r="231" spans="10:17" x14ac:dyDescent="0.25">
      <c r="J231" s="2">
        <v>44649</v>
      </c>
      <c r="K231" s="2" t="s">
        <v>3141</v>
      </c>
      <c r="L231" s="2">
        <v>277540</v>
      </c>
      <c r="N231" s="2">
        <v>22343165</v>
      </c>
      <c r="O231" s="2" t="s">
        <v>4585</v>
      </c>
      <c r="P231" s="412">
        <f t="shared" si="14"/>
        <v>0</v>
      </c>
      <c r="Q231" s="412">
        <f t="shared" si="15"/>
        <v>0</v>
      </c>
    </row>
    <row r="232" spans="10:17" x14ac:dyDescent="0.25">
      <c r="J232" s="2">
        <v>44649</v>
      </c>
      <c r="K232" s="2" t="s">
        <v>3142</v>
      </c>
      <c r="L232" s="2">
        <v>277540</v>
      </c>
      <c r="N232" s="2">
        <v>20657300</v>
      </c>
      <c r="O232" s="2" t="s">
        <v>4585</v>
      </c>
      <c r="P232" s="412">
        <f t="shared" si="14"/>
        <v>0</v>
      </c>
      <c r="Q232" s="412">
        <f t="shared" si="15"/>
        <v>0</v>
      </c>
    </row>
    <row r="233" spans="10:17" x14ac:dyDescent="0.25">
      <c r="J233" s="2">
        <v>44649</v>
      </c>
      <c r="K233" s="2" t="s">
        <v>3146</v>
      </c>
      <c r="L233" s="2">
        <v>277540</v>
      </c>
      <c r="N233" s="2">
        <v>15000000</v>
      </c>
      <c r="O233" s="2" t="s">
        <v>4585</v>
      </c>
      <c r="P233" s="412">
        <f t="shared" si="14"/>
        <v>0</v>
      </c>
      <c r="Q233" s="412">
        <f t="shared" si="15"/>
        <v>0</v>
      </c>
    </row>
    <row r="234" spans="10:17" x14ac:dyDescent="0.25">
      <c r="J234" s="2">
        <v>44649</v>
      </c>
      <c r="K234" s="2" t="s">
        <v>2553</v>
      </c>
      <c r="L234" s="2">
        <v>277540</v>
      </c>
      <c r="N234" s="2">
        <v>27337000</v>
      </c>
      <c r="O234" s="2" t="s">
        <v>4585</v>
      </c>
      <c r="P234" s="412">
        <f t="shared" si="14"/>
        <v>0</v>
      </c>
      <c r="Q234" s="412">
        <f t="shared" si="15"/>
        <v>0</v>
      </c>
    </row>
    <row r="235" spans="10:17" x14ac:dyDescent="0.25">
      <c r="J235" s="2">
        <v>44649</v>
      </c>
      <c r="K235" s="2" t="s">
        <v>4554</v>
      </c>
      <c r="L235" s="2">
        <v>277540</v>
      </c>
      <c r="N235" s="2">
        <v>27957296</v>
      </c>
      <c r="O235" s="2" t="s">
        <v>4585</v>
      </c>
      <c r="P235" s="412">
        <f t="shared" si="14"/>
        <v>0</v>
      </c>
      <c r="Q235" s="412">
        <f t="shared" si="15"/>
        <v>0</v>
      </c>
    </row>
    <row r="236" spans="10:17" x14ac:dyDescent="0.25">
      <c r="J236" s="2">
        <v>44649</v>
      </c>
      <c r="K236" s="2" t="s">
        <v>2557</v>
      </c>
      <c r="L236" s="2">
        <v>990457</v>
      </c>
      <c r="N236" s="2">
        <v>10835200</v>
      </c>
      <c r="O236" s="2" t="s">
        <v>4585</v>
      </c>
      <c r="P236" s="412">
        <f t="shared" si="14"/>
        <v>0</v>
      </c>
      <c r="Q236" s="412">
        <f t="shared" si="15"/>
        <v>0</v>
      </c>
    </row>
    <row r="237" spans="10:17" x14ac:dyDescent="0.25">
      <c r="J237" s="2">
        <v>44649</v>
      </c>
      <c r="K237" s="2" t="s">
        <v>3157</v>
      </c>
      <c r="L237" s="2">
        <v>277540</v>
      </c>
      <c r="N237" s="2">
        <v>15000000</v>
      </c>
      <c r="O237" s="2" t="s">
        <v>4585</v>
      </c>
      <c r="P237" s="412">
        <f t="shared" si="14"/>
        <v>0</v>
      </c>
      <c r="Q237" s="412">
        <f t="shared" si="15"/>
        <v>0</v>
      </c>
    </row>
    <row r="238" spans="10:17" x14ac:dyDescent="0.25">
      <c r="J238" s="2">
        <v>44649</v>
      </c>
      <c r="K238" s="2" t="s">
        <v>3609</v>
      </c>
      <c r="L238" s="2">
        <v>277540</v>
      </c>
      <c r="N238" s="2">
        <v>33646000</v>
      </c>
      <c r="O238" s="2" t="s">
        <v>4585</v>
      </c>
      <c r="P238" s="412">
        <f t="shared" si="14"/>
        <v>0</v>
      </c>
      <c r="Q238" s="412">
        <f t="shared" si="15"/>
        <v>0</v>
      </c>
    </row>
    <row r="239" spans="10:17" x14ac:dyDescent="0.25">
      <c r="J239" s="2">
        <v>44649</v>
      </c>
      <c r="K239" s="2" t="s">
        <v>2257</v>
      </c>
      <c r="L239" s="2">
        <v>277540</v>
      </c>
      <c r="N239" s="2">
        <v>12580385</v>
      </c>
      <c r="O239" s="2" t="s">
        <v>4585</v>
      </c>
      <c r="P239" s="412">
        <f t="shared" si="14"/>
        <v>0</v>
      </c>
      <c r="Q239" s="412">
        <f t="shared" si="15"/>
        <v>0</v>
      </c>
    </row>
    <row r="240" spans="10:17" x14ac:dyDescent="0.25">
      <c r="J240" s="2">
        <v>44649</v>
      </c>
      <c r="K240" s="2" t="s">
        <v>2931</v>
      </c>
      <c r="L240" s="2">
        <v>277540</v>
      </c>
      <c r="N240" s="2">
        <v>34020566</v>
      </c>
      <c r="O240" s="2" t="s">
        <v>4585</v>
      </c>
      <c r="P240" s="412">
        <f t="shared" si="14"/>
        <v>0</v>
      </c>
      <c r="Q240" s="412">
        <f t="shared" si="15"/>
        <v>0</v>
      </c>
    </row>
    <row r="241" spans="10:17" x14ac:dyDescent="0.25">
      <c r="J241" s="2">
        <v>44649</v>
      </c>
      <c r="K241" s="2" t="s">
        <v>2564</v>
      </c>
      <c r="L241" s="2">
        <v>990457</v>
      </c>
      <c r="N241" s="2">
        <v>5469000</v>
      </c>
      <c r="O241" s="2" t="s">
        <v>4585</v>
      </c>
      <c r="P241" s="412">
        <f t="shared" si="14"/>
        <v>0</v>
      </c>
      <c r="Q241" s="412">
        <f t="shared" si="15"/>
        <v>0</v>
      </c>
    </row>
    <row r="242" spans="10:17" x14ac:dyDescent="0.25">
      <c r="J242" s="2">
        <v>44649</v>
      </c>
      <c r="K242" s="2" t="s">
        <v>2963</v>
      </c>
      <c r="L242" s="2">
        <v>277540</v>
      </c>
      <c r="N242" s="2">
        <v>21470000</v>
      </c>
      <c r="O242" s="2" t="s">
        <v>4585</v>
      </c>
      <c r="P242" s="412">
        <f t="shared" si="14"/>
        <v>0</v>
      </c>
      <c r="Q242" s="412">
        <f t="shared" si="15"/>
        <v>0</v>
      </c>
    </row>
    <row r="243" spans="10:17" x14ac:dyDescent="0.25">
      <c r="J243" s="2">
        <v>44649</v>
      </c>
      <c r="K243" s="2" t="s">
        <v>2307</v>
      </c>
      <c r="L243" s="2">
        <v>277540</v>
      </c>
      <c r="N243" s="2">
        <v>10822714</v>
      </c>
      <c r="O243" s="2" t="s">
        <v>4585</v>
      </c>
      <c r="P243" s="412">
        <f t="shared" si="14"/>
        <v>0</v>
      </c>
      <c r="Q243" s="412">
        <f t="shared" si="15"/>
        <v>0</v>
      </c>
    </row>
    <row r="244" spans="10:17" x14ac:dyDescent="0.25">
      <c r="J244" s="2">
        <v>44649</v>
      </c>
      <c r="K244" s="2" t="s">
        <v>3610</v>
      </c>
      <c r="L244" s="2">
        <v>277540</v>
      </c>
      <c r="N244" s="2">
        <v>32646394</v>
      </c>
      <c r="O244" s="2" t="s">
        <v>4585</v>
      </c>
      <c r="P244" s="412">
        <f t="shared" si="14"/>
        <v>0</v>
      </c>
      <c r="Q244" s="412">
        <f t="shared" si="15"/>
        <v>0</v>
      </c>
    </row>
    <row r="245" spans="10:17" x14ac:dyDescent="0.25">
      <c r="J245" s="2">
        <v>44649</v>
      </c>
      <c r="K245" s="2" t="s">
        <v>2256</v>
      </c>
      <c r="L245" s="2">
        <v>277540</v>
      </c>
      <c r="N245" s="2">
        <v>7584941</v>
      </c>
      <c r="O245" s="2" t="s">
        <v>4585</v>
      </c>
      <c r="P245" s="412">
        <f t="shared" si="14"/>
        <v>0</v>
      </c>
      <c r="Q245" s="412">
        <f t="shared" si="15"/>
        <v>0</v>
      </c>
    </row>
    <row r="246" spans="10:17" x14ac:dyDescent="0.25">
      <c r="J246" s="2">
        <v>44649</v>
      </c>
      <c r="K246" s="2" t="s">
        <v>3147</v>
      </c>
      <c r="L246" s="2">
        <v>277540</v>
      </c>
      <c r="N246" s="2">
        <v>26792887</v>
      </c>
      <c r="O246" s="2" t="s">
        <v>4585</v>
      </c>
      <c r="P246" s="412">
        <f t="shared" si="14"/>
        <v>0</v>
      </c>
      <c r="Q246" s="412">
        <f t="shared" si="15"/>
        <v>0</v>
      </c>
    </row>
    <row r="247" spans="10:17" x14ac:dyDescent="0.25">
      <c r="J247" s="2">
        <v>44649</v>
      </c>
      <c r="K247" s="2" t="s">
        <v>3439</v>
      </c>
      <c r="L247" s="2">
        <v>277540</v>
      </c>
      <c r="N247" s="2">
        <v>69386572</v>
      </c>
      <c r="O247" s="2" t="s">
        <v>4585</v>
      </c>
      <c r="P247" s="412">
        <f t="shared" si="14"/>
        <v>0</v>
      </c>
      <c r="Q247" s="412">
        <f t="shared" si="15"/>
        <v>0</v>
      </c>
    </row>
    <row r="248" spans="10:17" x14ac:dyDescent="0.25">
      <c r="J248" s="2">
        <v>44649</v>
      </c>
      <c r="K248" s="2" t="s">
        <v>2308</v>
      </c>
      <c r="L248" s="2">
        <v>277540</v>
      </c>
      <c r="N248" s="2">
        <v>200000000</v>
      </c>
      <c r="O248" s="2" t="s">
        <v>4585</v>
      </c>
      <c r="P248" s="412">
        <f t="shared" si="14"/>
        <v>0</v>
      </c>
      <c r="Q248" s="412">
        <f t="shared" si="15"/>
        <v>0</v>
      </c>
    </row>
    <row r="249" spans="10:17" x14ac:dyDescent="0.25">
      <c r="J249" s="2">
        <v>44649</v>
      </c>
      <c r="K249" s="2" t="s">
        <v>3611</v>
      </c>
      <c r="L249" s="2">
        <v>277540</v>
      </c>
      <c r="N249" s="2">
        <v>19516923</v>
      </c>
      <c r="O249" s="2" t="s">
        <v>4585</v>
      </c>
      <c r="P249" s="412">
        <f t="shared" si="14"/>
        <v>0</v>
      </c>
      <c r="Q249" s="412">
        <f t="shared" si="15"/>
        <v>0</v>
      </c>
    </row>
    <row r="250" spans="10:17" x14ac:dyDescent="0.25">
      <c r="J250" s="2">
        <v>44649</v>
      </c>
      <c r="K250" s="2" t="s">
        <v>3612</v>
      </c>
      <c r="L250" s="2">
        <v>277540</v>
      </c>
      <c r="N250" s="2">
        <v>8474832</v>
      </c>
      <c r="O250" s="2" t="s">
        <v>4585</v>
      </c>
      <c r="P250" s="412">
        <f t="shared" si="14"/>
        <v>0</v>
      </c>
      <c r="Q250" s="412">
        <f t="shared" si="15"/>
        <v>0</v>
      </c>
    </row>
    <row r="251" spans="10:17" x14ac:dyDescent="0.25">
      <c r="J251" s="2">
        <v>44649</v>
      </c>
      <c r="K251" s="2" t="s">
        <v>3158</v>
      </c>
      <c r="L251" s="2">
        <v>277540</v>
      </c>
      <c r="N251" s="2">
        <v>7758571</v>
      </c>
      <c r="O251" s="2" t="s">
        <v>4585</v>
      </c>
      <c r="P251" s="412">
        <f t="shared" si="14"/>
        <v>0</v>
      </c>
      <c r="Q251" s="412">
        <f t="shared" si="15"/>
        <v>0</v>
      </c>
    </row>
    <row r="252" spans="10:17" x14ac:dyDescent="0.25">
      <c r="J252" s="2">
        <v>44649</v>
      </c>
      <c r="K252" s="2" t="s">
        <v>2967</v>
      </c>
      <c r="L252" s="2">
        <v>277540</v>
      </c>
      <c r="N252" s="2">
        <v>12204710</v>
      </c>
      <c r="O252" s="2" t="s">
        <v>4585</v>
      </c>
      <c r="P252" s="412">
        <f t="shared" si="14"/>
        <v>0</v>
      </c>
      <c r="Q252" s="412">
        <f t="shared" si="15"/>
        <v>0</v>
      </c>
    </row>
    <row r="253" spans="10:17" x14ac:dyDescent="0.25">
      <c r="J253" s="2">
        <v>44649</v>
      </c>
      <c r="K253" s="2" t="s">
        <v>3440</v>
      </c>
      <c r="L253" s="2">
        <v>277540</v>
      </c>
      <c r="N253" s="2">
        <v>103425107</v>
      </c>
      <c r="O253" s="2" t="s">
        <v>4585</v>
      </c>
      <c r="P253" s="412">
        <f t="shared" si="14"/>
        <v>0</v>
      </c>
      <c r="Q253" s="412">
        <f t="shared" si="15"/>
        <v>0</v>
      </c>
    </row>
    <row r="254" spans="10:17" x14ac:dyDescent="0.25">
      <c r="J254" s="2">
        <v>44649</v>
      </c>
      <c r="K254" s="2" t="s">
        <v>2555</v>
      </c>
      <c r="L254" s="2">
        <v>990457</v>
      </c>
      <c r="N254" s="2">
        <v>14285714</v>
      </c>
      <c r="O254" s="2" t="s">
        <v>4585</v>
      </c>
      <c r="P254" s="412">
        <f t="shared" si="14"/>
        <v>0</v>
      </c>
      <c r="Q254" s="412">
        <f t="shared" si="15"/>
        <v>0</v>
      </c>
    </row>
    <row r="255" spans="10:17" x14ac:dyDescent="0.25">
      <c r="J255" s="2">
        <v>44649</v>
      </c>
      <c r="K255" s="2" t="s">
        <v>4617</v>
      </c>
      <c r="L255" s="2">
        <v>277540</v>
      </c>
      <c r="N255" s="2">
        <v>24582251</v>
      </c>
      <c r="O255" s="2" t="s">
        <v>4585</v>
      </c>
      <c r="P255" s="412">
        <f t="shared" si="14"/>
        <v>0</v>
      </c>
      <c r="Q255" s="412">
        <f t="shared" si="15"/>
        <v>0</v>
      </c>
    </row>
    <row r="256" spans="10:17" x14ac:dyDescent="0.25">
      <c r="J256" s="2">
        <v>44649</v>
      </c>
      <c r="K256" s="2" t="s">
        <v>4627</v>
      </c>
      <c r="L256" s="2">
        <v>990457</v>
      </c>
      <c r="N256" s="2">
        <v>64756682</v>
      </c>
      <c r="O256" s="2" t="s">
        <v>4585</v>
      </c>
      <c r="P256" s="412">
        <f t="shared" si="14"/>
        <v>0</v>
      </c>
      <c r="Q256" s="412">
        <f t="shared" si="15"/>
        <v>0</v>
      </c>
    </row>
    <row r="257" spans="10:17" x14ac:dyDescent="0.25">
      <c r="J257" s="2">
        <v>44649</v>
      </c>
      <c r="K257" s="2" t="s">
        <v>3621</v>
      </c>
      <c r="L257" s="2">
        <v>277540</v>
      </c>
      <c r="N257" s="2">
        <v>9198250</v>
      </c>
      <c r="O257" s="2" t="s">
        <v>4585</v>
      </c>
      <c r="P257" s="412">
        <f t="shared" si="14"/>
        <v>0</v>
      </c>
      <c r="Q257" s="412">
        <f t="shared" si="15"/>
        <v>0</v>
      </c>
    </row>
    <row r="258" spans="10:17" x14ac:dyDescent="0.25">
      <c r="J258" s="2">
        <v>44649</v>
      </c>
      <c r="K258" s="2" t="s">
        <v>3613</v>
      </c>
      <c r="L258" s="2">
        <v>277540</v>
      </c>
      <c r="N258" s="2">
        <v>6000000</v>
      </c>
      <c r="O258" s="2" t="s">
        <v>4585</v>
      </c>
      <c r="P258" s="412">
        <f t="shared" si="14"/>
        <v>0</v>
      </c>
      <c r="Q258" s="412">
        <f t="shared" si="15"/>
        <v>0</v>
      </c>
    </row>
    <row r="259" spans="10:17" x14ac:dyDescent="0.25">
      <c r="J259" s="2">
        <v>44649</v>
      </c>
      <c r="K259" s="2" t="s">
        <v>2870</v>
      </c>
      <c r="L259" s="2">
        <v>277540</v>
      </c>
      <c r="N259" s="2">
        <v>100000000</v>
      </c>
      <c r="O259" s="2" t="s">
        <v>4585</v>
      </c>
      <c r="P259" s="412">
        <f t="shared" si="14"/>
        <v>0</v>
      </c>
      <c r="Q259" s="412">
        <f t="shared" si="15"/>
        <v>0</v>
      </c>
    </row>
    <row r="260" spans="10:17" x14ac:dyDescent="0.25">
      <c r="J260" s="2">
        <v>44649</v>
      </c>
      <c r="K260" s="2" t="s">
        <v>3622</v>
      </c>
      <c r="L260" s="2">
        <v>277540</v>
      </c>
      <c r="N260" s="2">
        <v>42858323</v>
      </c>
      <c r="O260" s="2" t="s">
        <v>4585</v>
      </c>
      <c r="P260" s="412">
        <f t="shared" si="14"/>
        <v>0</v>
      </c>
      <c r="Q260" s="412">
        <f t="shared" si="15"/>
        <v>0</v>
      </c>
    </row>
    <row r="261" spans="10:17" x14ac:dyDescent="0.25">
      <c r="J261" s="2">
        <v>44649</v>
      </c>
      <c r="K261" s="2" t="s">
        <v>3566</v>
      </c>
      <c r="L261" s="2">
        <v>277540</v>
      </c>
      <c r="N261" s="2">
        <v>50000000</v>
      </c>
      <c r="O261" s="2" t="s">
        <v>4585</v>
      </c>
      <c r="P261" s="412">
        <f t="shared" si="14"/>
        <v>0</v>
      </c>
      <c r="Q261" s="412">
        <f t="shared" si="15"/>
        <v>0</v>
      </c>
    </row>
    <row r="262" spans="10:17" x14ac:dyDescent="0.25">
      <c r="J262" s="2">
        <v>44649</v>
      </c>
      <c r="K262" s="2" t="s">
        <v>2254</v>
      </c>
      <c r="L262" s="2">
        <v>990457</v>
      </c>
      <c r="N262" s="2">
        <v>36078153</v>
      </c>
      <c r="O262" s="2" t="s">
        <v>4585</v>
      </c>
      <c r="P262" s="412">
        <f t="shared" si="14"/>
        <v>0</v>
      </c>
      <c r="Q262" s="412">
        <f t="shared" si="15"/>
        <v>0</v>
      </c>
    </row>
    <row r="263" spans="10:17" x14ac:dyDescent="0.25">
      <c r="J263" s="2">
        <v>44649</v>
      </c>
      <c r="K263" s="2" t="s">
        <v>3930</v>
      </c>
      <c r="L263" s="2">
        <v>277540</v>
      </c>
      <c r="N263" s="2">
        <v>33333333</v>
      </c>
      <c r="O263" s="2" t="s">
        <v>4585</v>
      </c>
      <c r="P263" s="412">
        <f t="shared" si="14"/>
        <v>0</v>
      </c>
      <c r="Q263" s="412">
        <f t="shared" si="15"/>
        <v>0</v>
      </c>
    </row>
    <row r="264" spans="10:17" x14ac:dyDescent="0.25">
      <c r="J264" s="2">
        <v>44649</v>
      </c>
      <c r="K264" s="2" t="s">
        <v>3618</v>
      </c>
      <c r="L264" s="2">
        <v>277540</v>
      </c>
      <c r="N264" s="2">
        <v>69041017</v>
      </c>
      <c r="O264" s="2" t="s">
        <v>4585</v>
      </c>
      <c r="P264" s="412">
        <f t="shared" si="14"/>
        <v>0</v>
      </c>
      <c r="Q264" s="412">
        <f t="shared" si="15"/>
        <v>0</v>
      </c>
    </row>
    <row r="265" spans="10:17" x14ac:dyDescent="0.25">
      <c r="J265" s="2">
        <v>44649</v>
      </c>
      <c r="K265" s="2" t="s">
        <v>3441</v>
      </c>
      <c r="L265" s="2">
        <v>277540</v>
      </c>
      <c r="N265" s="2">
        <v>56316988</v>
      </c>
      <c r="O265" s="2" t="s">
        <v>4585</v>
      </c>
      <c r="P265" s="412">
        <f t="shared" si="14"/>
        <v>0</v>
      </c>
      <c r="Q265" s="412">
        <f t="shared" si="15"/>
        <v>0</v>
      </c>
    </row>
    <row r="266" spans="10:17" x14ac:dyDescent="0.25">
      <c r="J266" s="2">
        <v>44649</v>
      </c>
      <c r="K266" s="2" t="s">
        <v>2971</v>
      </c>
      <c r="L266" s="2">
        <v>277540</v>
      </c>
      <c r="N266" s="2">
        <v>11782000</v>
      </c>
      <c r="O266" s="2" t="s">
        <v>4585</v>
      </c>
      <c r="P266" s="412">
        <f t="shared" si="14"/>
        <v>0</v>
      </c>
      <c r="Q266" s="412">
        <f t="shared" si="15"/>
        <v>0</v>
      </c>
    </row>
    <row r="267" spans="10:17" x14ac:dyDescent="0.25">
      <c r="J267" s="2">
        <v>44649</v>
      </c>
      <c r="K267" s="2" t="s">
        <v>2959</v>
      </c>
      <c r="L267" s="2">
        <v>277540</v>
      </c>
      <c r="N267" s="2">
        <v>57020000</v>
      </c>
      <c r="O267" s="2" t="s">
        <v>4585</v>
      </c>
      <c r="P267" s="412">
        <f t="shared" ref="P267:P330" si="16">IF(O267="AVAILABLE",SUMIFS($E$6:$E$16,$C$6:$C$16,L267,$D$6:$D$16,K267)/MAX(IF(O267="AVAILABLE",COUNTIFS($D$6:$D$16,K267,$C$6:$C$16,L267),1),1),IF(O267="REPO COLLATERAL",SUMIFS($E$18:$E$53,$C$18:$C$53,L267,$D$18:$D$53,K267),0)/MAX(IF(O267="REPO COLLATERAL",COUNTIFS($D$19:$D$94,K267),1),1))</f>
        <v>0</v>
      </c>
      <c r="Q267" s="412">
        <f t="shared" ref="Q267:Q330" si="17">IF(LEFT(K267,4)="RP00",0,IF(ISNA(VLOOKUP(L267,$C$6:$C$11,1,FALSE)),0,IF(L267&lt;&gt;"",ABS(N267-P267),0)))</f>
        <v>0</v>
      </c>
    </row>
    <row r="268" spans="10:17" x14ac:dyDescent="0.25">
      <c r="J268" s="2">
        <v>44649</v>
      </c>
      <c r="K268" s="2" t="s">
        <v>3159</v>
      </c>
      <c r="L268" s="2">
        <v>277540</v>
      </c>
      <c r="N268" s="2">
        <v>24402580</v>
      </c>
      <c r="O268" s="2" t="s">
        <v>4585</v>
      </c>
      <c r="P268" s="412">
        <f t="shared" si="16"/>
        <v>0</v>
      </c>
      <c r="Q268" s="412">
        <f t="shared" si="17"/>
        <v>0</v>
      </c>
    </row>
    <row r="269" spans="10:17" x14ac:dyDescent="0.25">
      <c r="J269" s="2">
        <v>44649</v>
      </c>
      <c r="K269" s="2" t="s">
        <v>2309</v>
      </c>
      <c r="L269" s="2">
        <v>277540</v>
      </c>
      <c r="N269" s="2">
        <v>100000000</v>
      </c>
      <c r="O269" s="2" t="s">
        <v>4585</v>
      </c>
      <c r="P269" s="412">
        <f t="shared" si="16"/>
        <v>0</v>
      </c>
      <c r="Q269" s="412">
        <f t="shared" si="17"/>
        <v>0</v>
      </c>
    </row>
    <row r="270" spans="10:17" x14ac:dyDescent="0.25">
      <c r="J270" s="2">
        <v>44649</v>
      </c>
      <c r="K270" s="2" t="s">
        <v>2969</v>
      </c>
      <c r="L270" s="2">
        <v>277540</v>
      </c>
      <c r="N270" s="2">
        <v>9500000</v>
      </c>
      <c r="O270" s="2" t="s">
        <v>4585</v>
      </c>
      <c r="P270" s="412">
        <f t="shared" si="16"/>
        <v>0</v>
      </c>
      <c r="Q270" s="412">
        <f t="shared" si="17"/>
        <v>0</v>
      </c>
    </row>
    <row r="271" spans="10:17" x14ac:dyDescent="0.25">
      <c r="J271" s="2">
        <v>44649</v>
      </c>
      <c r="K271" s="2" t="s">
        <v>3649</v>
      </c>
      <c r="L271" s="2">
        <v>277540</v>
      </c>
      <c r="N271" s="2">
        <v>39566502</v>
      </c>
      <c r="O271" s="2" t="s">
        <v>4585</v>
      </c>
      <c r="P271" s="412">
        <f t="shared" si="16"/>
        <v>0</v>
      </c>
      <c r="Q271" s="412">
        <f t="shared" si="17"/>
        <v>0</v>
      </c>
    </row>
    <row r="272" spans="10:17" x14ac:dyDescent="0.25">
      <c r="J272" s="2">
        <v>44649</v>
      </c>
      <c r="K272" s="2" t="s">
        <v>3161</v>
      </c>
      <c r="L272" s="2">
        <v>277540</v>
      </c>
      <c r="N272" s="2">
        <v>170857142</v>
      </c>
      <c r="O272" s="2" t="s">
        <v>4585</v>
      </c>
      <c r="P272" s="412">
        <f t="shared" si="16"/>
        <v>0</v>
      </c>
      <c r="Q272" s="412">
        <f t="shared" si="17"/>
        <v>0</v>
      </c>
    </row>
    <row r="273" spans="10:17" x14ac:dyDescent="0.25">
      <c r="J273" s="2">
        <v>44649</v>
      </c>
      <c r="K273" s="2" t="s">
        <v>2805</v>
      </c>
      <c r="L273" s="2">
        <v>277540</v>
      </c>
      <c r="N273" s="2">
        <v>26820000</v>
      </c>
      <c r="O273" s="2" t="s">
        <v>4585</v>
      </c>
      <c r="P273" s="412">
        <f t="shared" si="16"/>
        <v>0</v>
      </c>
      <c r="Q273" s="412">
        <f t="shared" si="17"/>
        <v>0</v>
      </c>
    </row>
    <row r="274" spans="10:17" x14ac:dyDescent="0.25">
      <c r="J274" s="2">
        <v>44649</v>
      </c>
      <c r="K274" s="2" t="s">
        <v>736</v>
      </c>
      <c r="L274" s="2">
        <v>277540</v>
      </c>
      <c r="N274" s="2">
        <v>28000000</v>
      </c>
      <c r="O274" s="2" t="s">
        <v>4585</v>
      </c>
      <c r="P274" s="412">
        <f t="shared" si="16"/>
        <v>0</v>
      </c>
      <c r="Q274" s="412">
        <f t="shared" si="17"/>
        <v>0</v>
      </c>
    </row>
    <row r="275" spans="10:17" x14ac:dyDescent="0.25">
      <c r="J275" s="2">
        <v>44649</v>
      </c>
      <c r="K275" s="2" t="s">
        <v>5053</v>
      </c>
      <c r="L275" s="2">
        <v>277540</v>
      </c>
      <c r="N275" s="2">
        <v>18750000</v>
      </c>
      <c r="O275" s="2" t="s">
        <v>4585</v>
      </c>
      <c r="P275" s="412">
        <f t="shared" si="16"/>
        <v>0</v>
      </c>
      <c r="Q275" s="412">
        <f t="shared" si="17"/>
        <v>0</v>
      </c>
    </row>
    <row r="276" spans="10:17" x14ac:dyDescent="0.25">
      <c r="J276" s="2">
        <v>44649</v>
      </c>
      <c r="K276" s="2" t="s">
        <v>3442</v>
      </c>
      <c r="L276" s="2">
        <v>277540</v>
      </c>
      <c r="N276" s="2">
        <v>59383245</v>
      </c>
      <c r="O276" s="2" t="s">
        <v>4585</v>
      </c>
      <c r="P276" s="412">
        <f t="shared" si="16"/>
        <v>0</v>
      </c>
      <c r="Q276" s="412">
        <f t="shared" si="17"/>
        <v>0</v>
      </c>
    </row>
    <row r="277" spans="10:17" x14ac:dyDescent="0.25">
      <c r="J277" s="2">
        <v>44649</v>
      </c>
      <c r="K277" s="2" t="s">
        <v>3614</v>
      </c>
      <c r="L277" s="2">
        <v>277540</v>
      </c>
      <c r="N277" s="2">
        <v>118594807</v>
      </c>
      <c r="O277" s="2" t="s">
        <v>4585</v>
      </c>
      <c r="P277" s="412">
        <f t="shared" si="16"/>
        <v>0</v>
      </c>
      <c r="Q277" s="412">
        <f t="shared" si="17"/>
        <v>0</v>
      </c>
    </row>
    <row r="278" spans="10:17" x14ac:dyDescent="0.25">
      <c r="J278" s="2">
        <v>44649</v>
      </c>
      <c r="K278" s="2" t="s">
        <v>2255</v>
      </c>
      <c r="L278" s="2">
        <v>277540</v>
      </c>
      <c r="N278" s="2">
        <v>57475000</v>
      </c>
      <c r="O278" s="2" t="s">
        <v>4585</v>
      </c>
      <c r="P278" s="412">
        <f t="shared" si="16"/>
        <v>0</v>
      </c>
      <c r="Q278" s="412">
        <f t="shared" si="17"/>
        <v>0</v>
      </c>
    </row>
    <row r="279" spans="10:17" x14ac:dyDescent="0.25">
      <c r="J279" s="2">
        <v>44649</v>
      </c>
      <c r="K279" s="2" t="s">
        <v>3287</v>
      </c>
      <c r="L279" s="2">
        <v>277540</v>
      </c>
      <c r="N279" s="2">
        <v>14408151</v>
      </c>
      <c r="O279" s="2" t="s">
        <v>4585</v>
      </c>
      <c r="P279" s="412">
        <f t="shared" si="16"/>
        <v>0</v>
      </c>
      <c r="Q279" s="412">
        <f t="shared" si="17"/>
        <v>0</v>
      </c>
    </row>
    <row r="280" spans="10:17" x14ac:dyDescent="0.25">
      <c r="J280" s="2">
        <v>44649</v>
      </c>
      <c r="K280" s="2" t="s">
        <v>5054</v>
      </c>
      <c r="L280" s="2">
        <v>277540</v>
      </c>
      <c r="N280" s="2">
        <v>58333333</v>
      </c>
      <c r="O280" s="2" t="s">
        <v>4585</v>
      </c>
      <c r="P280" s="412">
        <f t="shared" si="16"/>
        <v>0</v>
      </c>
      <c r="Q280" s="412">
        <f t="shared" si="17"/>
        <v>0</v>
      </c>
    </row>
    <row r="281" spans="10:17" x14ac:dyDescent="0.25">
      <c r="J281" s="2">
        <v>44649</v>
      </c>
      <c r="K281" s="2" t="s">
        <v>2372</v>
      </c>
      <c r="L281" s="2">
        <v>277540</v>
      </c>
      <c r="N281" s="2">
        <v>23500000</v>
      </c>
      <c r="O281" s="2" t="s">
        <v>4585</v>
      </c>
      <c r="P281" s="412">
        <f t="shared" si="16"/>
        <v>0</v>
      </c>
      <c r="Q281" s="412">
        <f t="shared" si="17"/>
        <v>0</v>
      </c>
    </row>
    <row r="282" spans="10:17" x14ac:dyDescent="0.25">
      <c r="J282" s="2">
        <v>44649</v>
      </c>
      <c r="K282" s="2" t="s">
        <v>3654</v>
      </c>
      <c r="L282" s="2">
        <v>277540</v>
      </c>
      <c r="N282" s="2">
        <v>30112033</v>
      </c>
      <c r="O282" s="2" t="s">
        <v>4585</v>
      </c>
      <c r="P282" s="412">
        <f t="shared" si="16"/>
        <v>0</v>
      </c>
      <c r="Q282" s="412">
        <f t="shared" si="17"/>
        <v>0</v>
      </c>
    </row>
    <row r="283" spans="10:17" x14ac:dyDescent="0.25">
      <c r="J283" s="2">
        <v>44649</v>
      </c>
      <c r="K283" s="2" t="s">
        <v>5018</v>
      </c>
      <c r="L283" s="2">
        <v>277540</v>
      </c>
      <c r="N283" s="2">
        <v>14400000</v>
      </c>
      <c r="O283" s="2" t="s">
        <v>4585</v>
      </c>
      <c r="P283" s="412">
        <f t="shared" si="16"/>
        <v>0</v>
      </c>
      <c r="Q283" s="412">
        <f t="shared" si="17"/>
        <v>0</v>
      </c>
    </row>
    <row r="284" spans="10:17" x14ac:dyDescent="0.25">
      <c r="J284" s="2">
        <v>44649</v>
      </c>
      <c r="K284" s="2" t="s">
        <v>5019</v>
      </c>
      <c r="L284" s="2">
        <v>277540</v>
      </c>
      <c r="N284" s="2">
        <v>10000000</v>
      </c>
      <c r="O284" s="2" t="s">
        <v>4585</v>
      </c>
      <c r="P284" s="412">
        <f t="shared" si="16"/>
        <v>0</v>
      </c>
      <c r="Q284" s="412">
        <f t="shared" si="17"/>
        <v>0</v>
      </c>
    </row>
    <row r="285" spans="10:17" x14ac:dyDescent="0.25">
      <c r="J285" s="2">
        <v>44649</v>
      </c>
      <c r="K285" s="2" t="s">
        <v>5055</v>
      </c>
      <c r="L285" s="2">
        <v>277540</v>
      </c>
      <c r="N285" s="2">
        <v>17050000</v>
      </c>
      <c r="O285" s="2" t="s">
        <v>4585</v>
      </c>
      <c r="P285" s="412">
        <f t="shared" si="16"/>
        <v>0</v>
      </c>
      <c r="Q285" s="412">
        <f t="shared" si="17"/>
        <v>0</v>
      </c>
    </row>
    <row r="286" spans="10:17" x14ac:dyDescent="0.25">
      <c r="J286" s="2">
        <v>44649</v>
      </c>
      <c r="K286" s="2" t="s">
        <v>4048</v>
      </c>
      <c r="L286" s="2">
        <v>277540</v>
      </c>
      <c r="N286" s="2">
        <v>17500000</v>
      </c>
      <c r="O286" s="2" t="s">
        <v>4585</v>
      </c>
      <c r="P286" s="412">
        <f t="shared" si="16"/>
        <v>0</v>
      </c>
      <c r="Q286" s="412">
        <f t="shared" si="17"/>
        <v>0</v>
      </c>
    </row>
    <row r="287" spans="10:17" x14ac:dyDescent="0.25">
      <c r="J287" s="2">
        <v>44649</v>
      </c>
      <c r="K287" s="2" t="s">
        <v>4442</v>
      </c>
      <c r="L287" s="2">
        <v>277540</v>
      </c>
      <c r="N287" s="2">
        <v>21000000</v>
      </c>
      <c r="O287" s="2" t="s">
        <v>4585</v>
      </c>
      <c r="P287" s="412">
        <f t="shared" si="16"/>
        <v>0</v>
      </c>
      <c r="Q287" s="412">
        <f t="shared" si="17"/>
        <v>0</v>
      </c>
    </row>
    <row r="288" spans="10:17" x14ac:dyDescent="0.25">
      <c r="J288" s="2">
        <v>44649</v>
      </c>
      <c r="K288" s="2" t="s">
        <v>3973</v>
      </c>
      <c r="L288" s="2">
        <v>277540</v>
      </c>
      <c r="N288" s="2">
        <v>33000000</v>
      </c>
      <c r="O288" s="2" t="s">
        <v>4585</v>
      </c>
      <c r="P288" s="412">
        <f t="shared" si="16"/>
        <v>0</v>
      </c>
      <c r="Q288" s="412">
        <f t="shared" si="17"/>
        <v>0</v>
      </c>
    </row>
    <row r="289" spans="10:17" x14ac:dyDescent="0.25">
      <c r="J289" s="2">
        <v>44649</v>
      </c>
      <c r="K289" s="2" t="s">
        <v>4044</v>
      </c>
      <c r="L289" s="2">
        <v>277540</v>
      </c>
      <c r="N289" s="2">
        <v>13500000</v>
      </c>
      <c r="O289" s="2" t="s">
        <v>4585</v>
      </c>
      <c r="P289" s="412">
        <f t="shared" si="16"/>
        <v>0</v>
      </c>
      <c r="Q289" s="412">
        <f t="shared" si="17"/>
        <v>0</v>
      </c>
    </row>
    <row r="290" spans="10:17" x14ac:dyDescent="0.25">
      <c r="J290" s="2">
        <v>44649</v>
      </c>
      <c r="K290" s="2" t="s">
        <v>3974</v>
      </c>
      <c r="L290" s="2">
        <v>277540</v>
      </c>
      <c r="N290" s="2">
        <v>49000000</v>
      </c>
      <c r="O290" s="2" t="s">
        <v>4585</v>
      </c>
      <c r="P290" s="412">
        <f t="shared" si="16"/>
        <v>0</v>
      </c>
      <c r="Q290" s="412">
        <f t="shared" si="17"/>
        <v>0</v>
      </c>
    </row>
    <row r="291" spans="10:17" x14ac:dyDescent="0.25">
      <c r="J291" s="2">
        <v>44649</v>
      </c>
      <c r="K291" s="2" t="s">
        <v>4041</v>
      </c>
      <c r="L291" s="2">
        <v>277540</v>
      </c>
      <c r="N291" s="2">
        <v>25750000</v>
      </c>
      <c r="O291" s="2" t="s">
        <v>4585</v>
      </c>
      <c r="P291" s="412">
        <f t="shared" si="16"/>
        <v>0</v>
      </c>
      <c r="Q291" s="412">
        <f t="shared" si="17"/>
        <v>0</v>
      </c>
    </row>
    <row r="292" spans="10:17" x14ac:dyDescent="0.25">
      <c r="J292" s="2">
        <v>44649</v>
      </c>
      <c r="K292" s="2" t="s">
        <v>3975</v>
      </c>
      <c r="L292" s="2">
        <v>277540</v>
      </c>
      <c r="N292" s="2">
        <v>32200000</v>
      </c>
      <c r="O292" s="2" t="s">
        <v>4585</v>
      </c>
      <c r="P292" s="412">
        <f t="shared" si="16"/>
        <v>0</v>
      </c>
      <c r="Q292" s="412">
        <f t="shared" si="17"/>
        <v>0</v>
      </c>
    </row>
    <row r="293" spans="10:17" x14ac:dyDescent="0.25">
      <c r="J293" s="2">
        <v>44649</v>
      </c>
      <c r="K293" s="2" t="s">
        <v>3976</v>
      </c>
      <c r="L293" s="2">
        <v>277540</v>
      </c>
      <c r="N293" s="2">
        <v>34100000</v>
      </c>
      <c r="O293" s="2" t="s">
        <v>4585</v>
      </c>
      <c r="P293" s="412">
        <f t="shared" si="16"/>
        <v>0</v>
      </c>
      <c r="Q293" s="412">
        <f t="shared" si="17"/>
        <v>0</v>
      </c>
    </row>
    <row r="294" spans="10:17" x14ac:dyDescent="0.25">
      <c r="J294" s="2">
        <v>44649</v>
      </c>
      <c r="K294" s="2" t="s">
        <v>3860</v>
      </c>
      <c r="L294" s="2">
        <v>277540</v>
      </c>
      <c r="N294" s="2">
        <v>31000000</v>
      </c>
      <c r="O294" s="2" t="s">
        <v>4585</v>
      </c>
      <c r="P294" s="412">
        <f t="shared" si="16"/>
        <v>0</v>
      </c>
      <c r="Q294" s="412">
        <f t="shared" si="17"/>
        <v>0</v>
      </c>
    </row>
    <row r="295" spans="10:17" x14ac:dyDescent="0.25">
      <c r="J295" s="2">
        <v>44649</v>
      </c>
      <c r="K295" s="2" t="s">
        <v>4037</v>
      </c>
      <c r="L295" s="2">
        <v>277540</v>
      </c>
      <c r="N295" s="2">
        <v>34000000</v>
      </c>
      <c r="O295" s="2" t="s">
        <v>4585</v>
      </c>
      <c r="P295" s="412">
        <f t="shared" si="16"/>
        <v>0</v>
      </c>
      <c r="Q295" s="412">
        <f t="shared" si="17"/>
        <v>0</v>
      </c>
    </row>
    <row r="296" spans="10:17" x14ac:dyDescent="0.25">
      <c r="J296" s="2">
        <v>44649</v>
      </c>
      <c r="K296" s="2" t="s">
        <v>4404</v>
      </c>
      <c r="L296" s="2">
        <v>277540</v>
      </c>
      <c r="N296" s="2">
        <v>2000000</v>
      </c>
      <c r="O296" s="2" t="s">
        <v>4585</v>
      </c>
      <c r="P296" s="412">
        <f t="shared" si="16"/>
        <v>0</v>
      </c>
      <c r="Q296" s="412">
        <f t="shared" si="17"/>
        <v>0</v>
      </c>
    </row>
    <row r="297" spans="10:17" x14ac:dyDescent="0.25">
      <c r="J297" s="2">
        <v>44649</v>
      </c>
      <c r="K297" s="2" t="s">
        <v>4838</v>
      </c>
      <c r="L297" s="2">
        <v>277540</v>
      </c>
      <c r="N297" s="2">
        <v>188000000</v>
      </c>
      <c r="O297" s="2" t="s">
        <v>4585</v>
      </c>
      <c r="P297" s="412">
        <f t="shared" si="16"/>
        <v>0</v>
      </c>
      <c r="Q297" s="412">
        <f t="shared" si="17"/>
        <v>0</v>
      </c>
    </row>
    <row r="298" spans="10:17" x14ac:dyDescent="0.25">
      <c r="J298" s="2">
        <v>44649</v>
      </c>
      <c r="K298" s="2" t="s">
        <v>4839</v>
      </c>
      <c r="L298" s="2">
        <v>277540</v>
      </c>
      <c r="N298" s="2">
        <v>54070000</v>
      </c>
      <c r="O298" s="2" t="s">
        <v>4585</v>
      </c>
      <c r="P298" s="412">
        <f t="shared" si="16"/>
        <v>0</v>
      </c>
      <c r="Q298" s="412">
        <f t="shared" si="17"/>
        <v>0</v>
      </c>
    </row>
    <row r="299" spans="10:17" x14ac:dyDescent="0.25">
      <c r="J299" s="2">
        <v>44649</v>
      </c>
      <c r="K299" s="2" t="s">
        <v>3589</v>
      </c>
      <c r="L299" s="2">
        <v>277540</v>
      </c>
      <c r="N299" s="2">
        <v>6139000</v>
      </c>
      <c r="O299" s="2" t="s">
        <v>4585</v>
      </c>
      <c r="P299" s="412">
        <f t="shared" si="16"/>
        <v>0</v>
      </c>
      <c r="Q299" s="412">
        <f t="shared" si="17"/>
        <v>0</v>
      </c>
    </row>
    <row r="300" spans="10:17" x14ac:dyDescent="0.25">
      <c r="J300" s="2">
        <v>44649</v>
      </c>
      <c r="K300" s="2" t="s">
        <v>3588</v>
      </c>
      <c r="L300" s="2">
        <v>277540</v>
      </c>
      <c r="N300" s="2">
        <v>10000000</v>
      </c>
      <c r="O300" s="2" t="s">
        <v>4585</v>
      </c>
      <c r="P300" s="412">
        <f t="shared" si="16"/>
        <v>0</v>
      </c>
      <c r="Q300" s="412">
        <f t="shared" si="17"/>
        <v>0</v>
      </c>
    </row>
    <row r="301" spans="10:17" x14ac:dyDescent="0.25">
      <c r="J301" s="2">
        <v>44649</v>
      </c>
      <c r="K301" s="2" t="s">
        <v>5075</v>
      </c>
      <c r="L301" s="2">
        <v>277540</v>
      </c>
      <c r="N301" s="2">
        <v>5000000</v>
      </c>
      <c r="O301" s="2" t="s">
        <v>4585</v>
      </c>
      <c r="P301" s="412">
        <f t="shared" si="16"/>
        <v>0</v>
      </c>
      <c r="Q301" s="412">
        <f t="shared" si="17"/>
        <v>0</v>
      </c>
    </row>
    <row r="302" spans="10:17" x14ac:dyDescent="0.25">
      <c r="J302" s="2">
        <v>44649</v>
      </c>
      <c r="K302" s="2" t="s">
        <v>4840</v>
      </c>
      <c r="L302" s="2">
        <v>277540</v>
      </c>
      <c r="N302" s="2">
        <v>93429000</v>
      </c>
      <c r="O302" s="2" t="s">
        <v>4585</v>
      </c>
      <c r="P302" s="412">
        <f t="shared" si="16"/>
        <v>0</v>
      </c>
      <c r="Q302" s="412">
        <f t="shared" si="17"/>
        <v>0</v>
      </c>
    </row>
    <row r="303" spans="10:17" x14ac:dyDescent="0.25">
      <c r="J303" s="2">
        <v>44649</v>
      </c>
      <c r="K303" s="2" t="s">
        <v>3931</v>
      </c>
      <c r="L303" s="2">
        <v>277540</v>
      </c>
      <c r="N303" s="2">
        <v>5000000</v>
      </c>
      <c r="O303" s="2" t="s">
        <v>4585</v>
      </c>
      <c r="P303" s="412">
        <f t="shared" si="16"/>
        <v>0</v>
      </c>
      <c r="Q303" s="412">
        <f t="shared" si="17"/>
        <v>0</v>
      </c>
    </row>
    <row r="304" spans="10:17" x14ac:dyDescent="0.25">
      <c r="J304" s="2">
        <v>44649</v>
      </c>
      <c r="K304" s="2" t="s">
        <v>1973</v>
      </c>
      <c r="L304" s="2">
        <v>277540</v>
      </c>
      <c r="N304" s="2">
        <v>1489500</v>
      </c>
      <c r="O304" s="2" t="s">
        <v>4585</v>
      </c>
      <c r="P304" s="412">
        <f t="shared" si="16"/>
        <v>0</v>
      </c>
      <c r="Q304" s="412">
        <f t="shared" si="17"/>
        <v>0</v>
      </c>
    </row>
    <row r="305" spans="10:17" x14ac:dyDescent="0.25">
      <c r="J305" s="2">
        <v>44649</v>
      </c>
      <c r="K305" s="2" t="s">
        <v>1834</v>
      </c>
      <c r="L305" s="2">
        <v>990457</v>
      </c>
      <c r="N305" s="2">
        <v>4400000</v>
      </c>
      <c r="O305" s="2" t="s">
        <v>4585</v>
      </c>
      <c r="P305" s="412">
        <f t="shared" si="16"/>
        <v>0</v>
      </c>
      <c r="Q305" s="412">
        <f t="shared" si="17"/>
        <v>0</v>
      </c>
    </row>
    <row r="306" spans="10:17" x14ac:dyDescent="0.25">
      <c r="J306" s="2">
        <v>44649</v>
      </c>
      <c r="K306" s="2" t="s">
        <v>1831</v>
      </c>
      <c r="L306" s="2">
        <v>990457</v>
      </c>
      <c r="N306" s="2">
        <v>1919529</v>
      </c>
      <c r="O306" s="2" t="s">
        <v>4585</v>
      </c>
      <c r="P306" s="412">
        <f t="shared" si="16"/>
        <v>0</v>
      </c>
      <c r="Q306" s="412">
        <f t="shared" si="17"/>
        <v>0</v>
      </c>
    </row>
    <row r="307" spans="10:17" x14ac:dyDescent="0.25">
      <c r="J307" s="2">
        <v>44649</v>
      </c>
      <c r="K307" s="2" t="s">
        <v>2734</v>
      </c>
      <c r="L307" s="2">
        <v>277540</v>
      </c>
      <c r="N307" s="2">
        <v>203642000</v>
      </c>
      <c r="O307" s="2" t="s">
        <v>4585</v>
      </c>
      <c r="P307" s="412">
        <f t="shared" si="16"/>
        <v>0</v>
      </c>
      <c r="Q307" s="412">
        <f t="shared" si="17"/>
        <v>0</v>
      </c>
    </row>
    <row r="308" spans="10:17" x14ac:dyDescent="0.25">
      <c r="J308" s="2">
        <v>44649</v>
      </c>
      <c r="K308" s="2" t="s">
        <v>1829</v>
      </c>
      <c r="L308" s="2">
        <v>990457</v>
      </c>
      <c r="N308" s="2">
        <v>5118645</v>
      </c>
      <c r="O308" s="2" t="s">
        <v>4585</v>
      </c>
      <c r="P308" s="412">
        <f t="shared" si="16"/>
        <v>0</v>
      </c>
      <c r="Q308" s="412">
        <f t="shared" si="17"/>
        <v>0</v>
      </c>
    </row>
    <row r="309" spans="10:17" x14ac:dyDescent="0.25">
      <c r="J309" s="2">
        <v>44649</v>
      </c>
      <c r="K309" s="2" t="s">
        <v>1826</v>
      </c>
      <c r="L309" s="2">
        <v>990457</v>
      </c>
      <c r="N309" s="2">
        <v>2915000</v>
      </c>
      <c r="O309" s="2" t="s">
        <v>4585</v>
      </c>
      <c r="P309" s="412">
        <f t="shared" si="16"/>
        <v>0</v>
      </c>
      <c r="Q309" s="412">
        <f t="shared" si="17"/>
        <v>0</v>
      </c>
    </row>
    <row r="310" spans="10:17" x14ac:dyDescent="0.25">
      <c r="J310" s="2">
        <v>44649</v>
      </c>
      <c r="K310" s="2" t="s">
        <v>1822</v>
      </c>
      <c r="L310" s="2">
        <v>990457</v>
      </c>
      <c r="N310" s="2">
        <v>2600000</v>
      </c>
      <c r="O310" s="2" t="s">
        <v>4585</v>
      </c>
      <c r="P310" s="412">
        <f t="shared" si="16"/>
        <v>0</v>
      </c>
      <c r="Q310" s="412">
        <f t="shared" si="17"/>
        <v>0</v>
      </c>
    </row>
    <row r="311" spans="10:17" x14ac:dyDescent="0.25">
      <c r="J311" s="2">
        <v>44649</v>
      </c>
      <c r="K311" s="2" t="s">
        <v>1819</v>
      </c>
      <c r="L311" s="2">
        <v>990457</v>
      </c>
      <c r="N311" s="2">
        <v>2750000</v>
      </c>
      <c r="O311" s="2" t="s">
        <v>4585</v>
      </c>
      <c r="P311" s="412">
        <f t="shared" si="16"/>
        <v>0</v>
      </c>
      <c r="Q311" s="412">
        <f t="shared" si="17"/>
        <v>0</v>
      </c>
    </row>
    <row r="312" spans="10:17" x14ac:dyDescent="0.25">
      <c r="J312" s="2">
        <v>44649</v>
      </c>
      <c r="K312" s="2" t="s">
        <v>1813</v>
      </c>
      <c r="L312" s="2">
        <v>990457</v>
      </c>
      <c r="N312" s="2">
        <v>3300000</v>
      </c>
      <c r="O312" s="2" t="s">
        <v>4585</v>
      </c>
      <c r="P312" s="412">
        <f t="shared" si="16"/>
        <v>0</v>
      </c>
      <c r="Q312" s="412">
        <f t="shared" si="17"/>
        <v>0</v>
      </c>
    </row>
    <row r="313" spans="10:17" x14ac:dyDescent="0.25">
      <c r="J313" s="2">
        <v>44649</v>
      </c>
      <c r="K313" s="2" t="s">
        <v>3650</v>
      </c>
      <c r="L313" s="2">
        <v>277540</v>
      </c>
      <c r="M313" s="2">
        <v>7840000</v>
      </c>
      <c r="N313" s="2">
        <v>7840000</v>
      </c>
      <c r="O313" s="2" t="s">
        <v>4580</v>
      </c>
      <c r="P313" s="412">
        <f t="shared" si="16"/>
        <v>0</v>
      </c>
      <c r="Q313" s="412">
        <f t="shared" si="17"/>
        <v>0</v>
      </c>
    </row>
    <row r="314" spans="10:17" x14ac:dyDescent="0.25">
      <c r="J314" s="2">
        <v>44649</v>
      </c>
      <c r="K314" s="2" t="s">
        <v>1808</v>
      </c>
      <c r="L314" s="2">
        <v>990457</v>
      </c>
      <c r="N314" s="2">
        <v>713026</v>
      </c>
      <c r="O314" s="2" t="s">
        <v>4585</v>
      </c>
      <c r="P314" s="412">
        <f t="shared" si="16"/>
        <v>0</v>
      </c>
      <c r="Q314" s="412">
        <f t="shared" si="17"/>
        <v>0</v>
      </c>
    </row>
    <row r="315" spans="10:17" x14ac:dyDescent="0.25">
      <c r="J315" s="2">
        <v>44649</v>
      </c>
      <c r="K315" s="2" t="s">
        <v>1804</v>
      </c>
      <c r="L315" s="2">
        <v>990457</v>
      </c>
      <c r="N315" s="2">
        <v>5089603</v>
      </c>
      <c r="O315" s="2" t="s">
        <v>4585</v>
      </c>
      <c r="P315" s="412">
        <f t="shared" si="16"/>
        <v>0</v>
      </c>
      <c r="Q315" s="412">
        <f t="shared" si="17"/>
        <v>0</v>
      </c>
    </row>
    <row r="316" spans="10:17" x14ac:dyDescent="0.25">
      <c r="J316" s="2">
        <v>44649</v>
      </c>
      <c r="K316" s="2" t="s">
        <v>4409</v>
      </c>
      <c r="L316" s="2">
        <v>277540</v>
      </c>
      <c r="N316" s="2">
        <v>3000000</v>
      </c>
      <c r="O316" s="2" t="s">
        <v>4585</v>
      </c>
      <c r="P316" s="412">
        <f t="shared" si="16"/>
        <v>0</v>
      </c>
      <c r="Q316" s="412">
        <f t="shared" si="17"/>
        <v>0</v>
      </c>
    </row>
    <row r="317" spans="10:17" x14ac:dyDescent="0.25">
      <c r="J317" s="2">
        <v>44649</v>
      </c>
      <c r="K317" s="2" t="s">
        <v>5047</v>
      </c>
      <c r="L317" s="2">
        <v>277540</v>
      </c>
      <c r="N317" s="2">
        <v>2500000</v>
      </c>
      <c r="O317" s="2" t="s">
        <v>4585</v>
      </c>
      <c r="P317" s="412">
        <f t="shared" si="16"/>
        <v>0</v>
      </c>
      <c r="Q317" s="412">
        <f t="shared" si="17"/>
        <v>0</v>
      </c>
    </row>
    <row r="318" spans="10:17" x14ac:dyDescent="0.25">
      <c r="J318" s="2">
        <v>44649</v>
      </c>
      <c r="K318" s="2" t="s">
        <v>5076</v>
      </c>
      <c r="L318" s="2">
        <v>277540</v>
      </c>
      <c r="N318" s="2">
        <v>3775000</v>
      </c>
      <c r="O318" s="2" t="s">
        <v>4585</v>
      </c>
      <c r="P318" s="412">
        <f t="shared" si="16"/>
        <v>0</v>
      </c>
      <c r="Q318" s="412">
        <f t="shared" si="17"/>
        <v>0</v>
      </c>
    </row>
    <row r="319" spans="10:17" x14ac:dyDescent="0.25">
      <c r="J319" s="2">
        <v>44649</v>
      </c>
      <c r="K319" s="2" t="s">
        <v>3577</v>
      </c>
      <c r="L319" s="2">
        <v>277540</v>
      </c>
      <c r="N319" s="2">
        <v>19702375</v>
      </c>
      <c r="O319" s="2" t="s">
        <v>4585</v>
      </c>
      <c r="P319" s="412">
        <f t="shared" si="16"/>
        <v>0</v>
      </c>
      <c r="Q319" s="412">
        <f t="shared" si="17"/>
        <v>0</v>
      </c>
    </row>
    <row r="320" spans="10:17" x14ac:dyDescent="0.25">
      <c r="J320" s="2">
        <v>44649</v>
      </c>
      <c r="K320" s="2" t="s">
        <v>4397</v>
      </c>
      <c r="L320" s="2">
        <v>277540</v>
      </c>
      <c r="N320" s="2">
        <v>5250000</v>
      </c>
      <c r="O320" s="2" t="s">
        <v>4585</v>
      </c>
      <c r="P320" s="412">
        <f t="shared" si="16"/>
        <v>0</v>
      </c>
      <c r="Q320" s="412">
        <f t="shared" si="17"/>
        <v>0</v>
      </c>
    </row>
    <row r="321" spans="10:17" x14ac:dyDescent="0.25">
      <c r="J321" s="2">
        <v>44649</v>
      </c>
      <c r="K321" s="2" t="s">
        <v>4841</v>
      </c>
      <c r="L321" s="2">
        <v>277540</v>
      </c>
      <c r="N321" s="2">
        <v>46793000</v>
      </c>
      <c r="O321" s="2" t="s">
        <v>4585</v>
      </c>
      <c r="P321" s="412">
        <f t="shared" si="16"/>
        <v>0</v>
      </c>
      <c r="Q321" s="412">
        <f t="shared" si="17"/>
        <v>0</v>
      </c>
    </row>
    <row r="322" spans="10:17" x14ac:dyDescent="0.25">
      <c r="J322" s="2">
        <v>44649</v>
      </c>
      <c r="K322" s="2" t="s">
        <v>5041</v>
      </c>
      <c r="L322" s="2">
        <v>277540</v>
      </c>
      <c r="M322" s="2">
        <v>7000000</v>
      </c>
      <c r="N322" s="2">
        <v>7000000</v>
      </c>
      <c r="O322" s="2" t="s">
        <v>4585</v>
      </c>
      <c r="P322" s="412">
        <f t="shared" si="16"/>
        <v>0</v>
      </c>
      <c r="Q322" s="412">
        <f t="shared" si="17"/>
        <v>0</v>
      </c>
    </row>
    <row r="323" spans="10:17" x14ac:dyDescent="0.25">
      <c r="J323" s="2">
        <v>44649</v>
      </c>
      <c r="K323" s="2" t="s">
        <v>4805</v>
      </c>
      <c r="L323" s="2">
        <v>277540</v>
      </c>
      <c r="N323" s="2">
        <v>19000000</v>
      </c>
      <c r="O323" s="2" t="s">
        <v>4585</v>
      </c>
      <c r="P323" s="412">
        <f t="shared" si="16"/>
        <v>0</v>
      </c>
      <c r="Q323" s="412">
        <f t="shared" si="17"/>
        <v>0</v>
      </c>
    </row>
    <row r="324" spans="10:17" x14ac:dyDescent="0.25">
      <c r="J324" s="2">
        <v>44649</v>
      </c>
      <c r="K324" s="2" t="s">
        <v>1902</v>
      </c>
      <c r="L324" s="2">
        <v>277540</v>
      </c>
      <c r="N324" s="2">
        <v>8800000</v>
      </c>
      <c r="O324" s="2" t="s">
        <v>4585</v>
      </c>
      <c r="P324" s="412">
        <f t="shared" si="16"/>
        <v>0</v>
      </c>
      <c r="Q324" s="412">
        <f t="shared" si="17"/>
        <v>0</v>
      </c>
    </row>
    <row r="325" spans="10:17" x14ac:dyDescent="0.25">
      <c r="J325" s="2">
        <v>44649</v>
      </c>
      <c r="K325" s="2" t="s">
        <v>3292</v>
      </c>
      <c r="L325" s="2">
        <v>277540</v>
      </c>
      <c r="N325" s="2">
        <v>5000000</v>
      </c>
      <c r="O325" s="2" t="s">
        <v>4585</v>
      </c>
      <c r="P325" s="412">
        <f t="shared" si="16"/>
        <v>0</v>
      </c>
      <c r="Q325" s="412">
        <f t="shared" si="17"/>
        <v>0</v>
      </c>
    </row>
    <row r="326" spans="10:17" x14ac:dyDescent="0.25">
      <c r="J326" s="2">
        <v>44649</v>
      </c>
      <c r="K326" s="2" t="s">
        <v>2468</v>
      </c>
      <c r="L326" s="2">
        <v>277540</v>
      </c>
      <c r="N326" s="2">
        <v>2000000</v>
      </c>
      <c r="O326" s="2" t="s">
        <v>4585</v>
      </c>
      <c r="P326" s="412">
        <f t="shared" si="16"/>
        <v>0</v>
      </c>
      <c r="Q326" s="412">
        <f t="shared" si="17"/>
        <v>0</v>
      </c>
    </row>
    <row r="327" spans="10:17" x14ac:dyDescent="0.25">
      <c r="J327" s="2">
        <v>44649</v>
      </c>
      <c r="K327" s="2" t="s">
        <v>2185</v>
      </c>
      <c r="L327" s="2">
        <v>277540</v>
      </c>
      <c r="N327" s="2">
        <v>6500000</v>
      </c>
      <c r="O327" s="2" t="s">
        <v>4585</v>
      </c>
      <c r="P327" s="412">
        <f t="shared" si="16"/>
        <v>0</v>
      </c>
      <c r="Q327" s="412">
        <f t="shared" si="17"/>
        <v>0</v>
      </c>
    </row>
    <row r="328" spans="10:17" x14ac:dyDescent="0.25">
      <c r="J328" s="2">
        <v>44649</v>
      </c>
      <c r="K328" s="2" t="s">
        <v>3162</v>
      </c>
      <c r="L328" s="2">
        <v>277540</v>
      </c>
      <c r="N328" s="2">
        <v>3480000</v>
      </c>
      <c r="O328" s="2" t="s">
        <v>4585</v>
      </c>
      <c r="P328" s="412">
        <f t="shared" si="16"/>
        <v>0</v>
      </c>
      <c r="Q328" s="412">
        <f t="shared" si="17"/>
        <v>0</v>
      </c>
    </row>
    <row r="329" spans="10:17" x14ac:dyDescent="0.25">
      <c r="J329" s="2">
        <v>44649</v>
      </c>
      <c r="K329" s="2" t="s">
        <v>3498</v>
      </c>
      <c r="L329" s="2">
        <v>277540</v>
      </c>
      <c r="N329" s="2">
        <v>2000000</v>
      </c>
      <c r="O329" s="2" t="s">
        <v>4585</v>
      </c>
      <c r="P329" s="412">
        <f t="shared" si="16"/>
        <v>0</v>
      </c>
      <c r="Q329" s="412">
        <f t="shared" si="17"/>
        <v>0</v>
      </c>
    </row>
    <row r="330" spans="10:17" x14ac:dyDescent="0.25">
      <c r="J330" s="2">
        <v>44649</v>
      </c>
      <c r="K330" s="2" t="s">
        <v>4946</v>
      </c>
      <c r="L330" s="2">
        <v>277540</v>
      </c>
      <c r="N330" s="2">
        <v>3000000</v>
      </c>
      <c r="O330" s="2" t="s">
        <v>4585</v>
      </c>
      <c r="P330" s="412">
        <f t="shared" si="16"/>
        <v>0</v>
      </c>
      <c r="Q330" s="412">
        <f t="shared" si="17"/>
        <v>0</v>
      </c>
    </row>
    <row r="331" spans="10:17" x14ac:dyDescent="0.25">
      <c r="J331" s="2">
        <v>44649</v>
      </c>
      <c r="K331" s="2" t="s">
        <v>2013</v>
      </c>
      <c r="L331" s="2">
        <v>277540</v>
      </c>
      <c r="N331" s="2">
        <v>12000000</v>
      </c>
      <c r="O331" s="2" t="s">
        <v>4585</v>
      </c>
      <c r="P331" s="412">
        <f t="shared" ref="P331:P394" si="18">IF(O331="AVAILABLE",SUMIFS($E$6:$E$16,$C$6:$C$16,L331,$D$6:$D$16,K331)/MAX(IF(O331="AVAILABLE",COUNTIFS($D$6:$D$16,K331,$C$6:$C$16,L331),1),1),IF(O331="REPO COLLATERAL",SUMIFS($E$18:$E$53,$C$18:$C$53,L331,$D$18:$D$53,K331),0)/MAX(IF(O331="REPO COLLATERAL",COUNTIFS($D$19:$D$94,K331),1),1))</f>
        <v>0</v>
      </c>
      <c r="Q331" s="412">
        <f t="shared" ref="Q331:Q394" si="19">IF(LEFT(K331,4)="RP00",0,IF(ISNA(VLOOKUP(L331,$C$6:$C$11,1,FALSE)),0,IF(L331&lt;&gt;"",ABS(N331-P331),0)))</f>
        <v>0</v>
      </c>
    </row>
    <row r="332" spans="10:17" x14ac:dyDescent="0.25">
      <c r="J332" s="2">
        <v>44649</v>
      </c>
      <c r="K332" s="2" t="s">
        <v>4433</v>
      </c>
      <c r="L332" s="2">
        <v>277540</v>
      </c>
      <c r="N332" s="2">
        <v>1000000</v>
      </c>
      <c r="O332" s="2" t="s">
        <v>4585</v>
      </c>
      <c r="P332" s="412">
        <f t="shared" si="18"/>
        <v>0</v>
      </c>
      <c r="Q332" s="412">
        <f t="shared" si="19"/>
        <v>0</v>
      </c>
    </row>
    <row r="333" spans="10:17" x14ac:dyDescent="0.25">
      <c r="J333" s="2">
        <v>44649</v>
      </c>
      <c r="K333" s="2" t="s">
        <v>1647</v>
      </c>
      <c r="L333" s="2">
        <v>277540</v>
      </c>
      <c r="N333" s="2">
        <v>2000000</v>
      </c>
      <c r="O333" s="2" t="s">
        <v>4585</v>
      </c>
      <c r="P333" s="412">
        <f t="shared" si="18"/>
        <v>0</v>
      </c>
      <c r="Q333" s="412">
        <f t="shared" si="19"/>
        <v>0</v>
      </c>
    </row>
    <row r="334" spans="10:17" x14ac:dyDescent="0.25">
      <c r="J334" s="2">
        <v>44649</v>
      </c>
      <c r="K334" s="2" t="s">
        <v>1756</v>
      </c>
      <c r="L334" s="2">
        <v>277540</v>
      </c>
      <c r="N334" s="2">
        <v>2000000</v>
      </c>
      <c r="O334" s="2" t="s">
        <v>4585</v>
      </c>
      <c r="P334" s="412">
        <f t="shared" si="18"/>
        <v>0</v>
      </c>
      <c r="Q334" s="412">
        <f t="shared" si="19"/>
        <v>0</v>
      </c>
    </row>
    <row r="335" spans="10:17" x14ac:dyDescent="0.25">
      <c r="J335" s="2">
        <v>44649</v>
      </c>
      <c r="K335" s="2" t="s">
        <v>1799</v>
      </c>
      <c r="L335" s="2">
        <v>990457</v>
      </c>
      <c r="N335" s="2">
        <v>7125000</v>
      </c>
      <c r="O335" s="2" t="s">
        <v>4585</v>
      </c>
      <c r="P335" s="412">
        <f t="shared" si="18"/>
        <v>0</v>
      </c>
      <c r="Q335" s="412">
        <f t="shared" si="19"/>
        <v>0</v>
      </c>
    </row>
    <row r="336" spans="10:17" x14ac:dyDescent="0.25">
      <c r="J336" s="2">
        <v>44649</v>
      </c>
      <c r="K336" s="2" t="s">
        <v>1890</v>
      </c>
      <c r="L336" s="2">
        <v>990457</v>
      </c>
      <c r="N336" s="2">
        <v>7192291</v>
      </c>
      <c r="O336" s="2" t="s">
        <v>4585</v>
      </c>
      <c r="P336" s="412">
        <f t="shared" si="18"/>
        <v>0</v>
      </c>
      <c r="Q336" s="412">
        <f t="shared" si="19"/>
        <v>0</v>
      </c>
    </row>
    <row r="337" spans="10:17" x14ac:dyDescent="0.25">
      <c r="J337" s="2">
        <v>44649</v>
      </c>
      <c r="K337" s="2" t="s">
        <v>4941</v>
      </c>
      <c r="L337" s="2">
        <v>990457</v>
      </c>
      <c r="M337" s="2">
        <v>344000</v>
      </c>
      <c r="N337" s="2">
        <v>10344000</v>
      </c>
      <c r="O337" s="2" t="s">
        <v>4585</v>
      </c>
      <c r="P337" s="412">
        <f t="shared" si="18"/>
        <v>0</v>
      </c>
      <c r="Q337" s="412">
        <f t="shared" si="19"/>
        <v>0</v>
      </c>
    </row>
    <row r="338" spans="10:17" x14ac:dyDescent="0.25">
      <c r="J338" s="2">
        <v>44649</v>
      </c>
      <c r="K338" s="2" t="s">
        <v>5042</v>
      </c>
      <c r="L338" s="2">
        <v>990457</v>
      </c>
      <c r="M338" s="2">
        <v>348000</v>
      </c>
      <c r="N338" s="2">
        <v>348000</v>
      </c>
      <c r="O338" s="2" t="s">
        <v>4585</v>
      </c>
      <c r="P338" s="412">
        <f t="shared" si="18"/>
        <v>0</v>
      </c>
      <c r="Q338" s="412">
        <f t="shared" si="19"/>
        <v>0</v>
      </c>
    </row>
    <row r="339" spans="10:17" x14ac:dyDescent="0.25">
      <c r="J339" s="2">
        <v>44649</v>
      </c>
      <c r="K339" s="2" t="s">
        <v>5077</v>
      </c>
      <c r="L339" s="2">
        <v>990457</v>
      </c>
      <c r="M339" s="2">
        <v>523000</v>
      </c>
      <c r="N339" s="2">
        <v>523000</v>
      </c>
      <c r="O339" s="2" t="s">
        <v>4585</v>
      </c>
      <c r="P339" s="412">
        <f t="shared" si="18"/>
        <v>0</v>
      </c>
      <c r="Q339" s="412">
        <f t="shared" si="19"/>
        <v>0</v>
      </c>
    </row>
    <row r="340" spans="10:17" x14ac:dyDescent="0.25">
      <c r="J340" s="2">
        <v>44649</v>
      </c>
      <c r="K340" s="2" t="s">
        <v>3448</v>
      </c>
      <c r="L340" s="2">
        <v>990457</v>
      </c>
      <c r="N340" s="2">
        <v>11000000</v>
      </c>
      <c r="O340" s="2" t="s">
        <v>4585</v>
      </c>
      <c r="P340" s="412">
        <f t="shared" si="18"/>
        <v>0</v>
      </c>
      <c r="Q340" s="412">
        <f t="shared" si="19"/>
        <v>0</v>
      </c>
    </row>
    <row r="341" spans="10:17" x14ac:dyDescent="0.25">
      <c r="J341" s="2">
        <v>44649</v>
      </c>
      <c r="K341" s="2" t="s">
        <v>2879</v>
      </c>
      <c r="L341" s="2">
        <v>990457</v>
      </c>
      <c r="N341" s="2">
        <v>15000000</v>
      </c>
      <c r="O341" s="2" t="s">
        <v>4585</v>
      </c>
      <c r="P341" s="412">
        <f t="shared" si="18"/>
        <v>0</v>
      </c>
      <c r="Q341" s="412">
        <f t="shared" si="19"/>
        <v>0</v>
      </c>
    </row>
    <row r="342" spans="10:17" x14ac:dyDescent="0.25">
      <c r="J342" s="2">
        <v>44649</v>
      </c>
      <c r="K342" s="2" t="s">
        <v>3449</v>
      </c>
      <c r="L342" s="2">
        <v>990457</v>
      </c>
      <c r="N342" s="2">
        <v>12235083</v>
      </c>
      <c r="O342" s="2" t="s">
        <v>4585</v>
      </c>
      <c r="P342" s="412">
        <f t="shared" si="18"/>
        <v>0</v>
      </c>
      <c r="Q342" s="412">
        <f t="shared" si="19"/>
        <v>0</v>
      </c>
    </row>
    <row r="343" spans="10:17" x14ac:dyDescent="0.25">
      <c r="J343" s="2">
        <v>44649</v>
      </c>
      <c r="K343" s="2" t="s">
        <v>2284</v>
      </c>
      <c r="L343" s="2">
        <v>990457</v>
      </c>
      <c r="N343" s="2">
        <v>30040355</v>
      </c>
      <c r="O343" s="2" t="s">
        <v>4585</v>
      </c>
      <c r="P343" s="412">
        <f t="shared" si="18"/>
        <v>0</v>
      </c>
      <c r="Q343" s="412">
        <f t="shared" si="19"/>
        <v>0</v>
      </c>
    </row>
    <row r="344" spans="10:17" x14ac:dyDescent="0.25">
      <c r="J344" s="2">
        <v>44649</v>
      </c>
      <c r="K344" s="2" t="s">
        <v>3450</v>
      </c>
      <c r="L344" s="2">
        <v>990457</v>
      </c>
      <c r="N344" s="2">
        <v>3824219</v>
      </c>
      <c r="O344" s="2" t="s">
        <v>4585</v>
      </c>
      <c r="P344" s="412">
        <f t="shared" si="18"/>
        <v>0</v>
      </c>
      <c r="Q344" s="412">
        <f t="shared" si="19"/>
        <v>0</v>
      </c>
    </row>
    <row r="345" spans="10:17" x14ac:dyDescent="0.25">
      <c r="J345" s="2">
        <v>44649</v>
      </c>
      <c r="K345" s="2" t="s">
        <v>996</v>
      </c>
      <c r="L345" s="2">
        <v>990457</v>
      </c>
      <c r="N345" s="2">
        <v>19150000</v>
      </c>
      <c r="O345" s="2" t="s">
        <v>4585</v>
      </c>
      <c r="P345" s="412">
        <f t="shared" si="18"/>
        <v>0</v>
      </c>
      <c r="Q345" s="412">
        <f t="shared" si="19"/>
        <v>0</v>
      </c>
    </row>
    <row r="346" spans="10:17" x14ac:dyDescent="0.25">
      <c r="J346" s="2">
        <v>44649</v>
      </c>
      <c r="K346" s="2" t="s">
        <v>1795</v>
      </c>
      <c r="L346" s="2">
        <v>990457</v>
      </c>
      <c r="N346" s="2">
        <v>3780493</v>
      </c>
      <c r="O346" s="2" t="s">
        <v>4585</v>
      </c>
      <c r="P346" s="412">
        <f t="shared" si="18"/>
        <v>0</v>
      </c>
      <c r="Q346" s="412">
        <f t="shared" si="19"/>
        <v>0</v>
      </c>
    </row>
    <row r="347" spans="10:17" x14ac:dyDescent="0.25">
      <c r="J347" s="2">
        <v>44649</v>
      </c>
      <c r="K347" s="2" t="s">
        <v>1793</v>
      </c>
      <c r="L347" s="2">
        <v>990457</v>
      </c>
      <c r="N347" s="2">
        <v>2456882</v>
      </c>
      <c r="O347" s="2" t="s">
        <v>4585</v>
      </c>
      <c r="P347" s="412">
        <f t="shared" si="18"/>
        <v>0</v>
      </c>
      <c r="Q347" s="412">
        <f t="shared" si="19"/>
        <v>0</v>
      </c>
    </row>
    <row r="348" spans="10:17" x14ac:dyDescent="0.25">
      <c r="J348" s="2">
        <v>44649</v>
      </c>
      <c r="K348" s="2" t="s">
        <v>1790</v>
      </c>
      <c r="L348" s="2">
        <v>990457</v>
      </c>
      <c r="N348" s="2">
        <v>3311116</v>
      </c>
      <c r="O348" s="2" t="s">
        <v>4585</v>
      </c>
      <c r="P348" s="412">
        <f t="shared" si="18"/>
        <v>0</v>
      </c>
      <c r="Q348" s="412">
        <f t="shared" si="19"/>
        <v>0</v>
      </c>
    </row>
    <row r="349" spans="10:17" x14ac:dyDescent="0.25">
      <c r="J349" s="2">
        <v>44649</v>
      </c>
      <c r="K349" s="2" t="s">
        <v>1639</v>
      </c>
      <c r="L349" s="2">
        <v>990457</v>
      </c>
      <c r="N349" s="2">
        <v>4106742</v>
      </c>
      <c r="O349" s="2" t="s">
        <v>4585</v>
      </c>
      <c r="P349" s="412">
        <f t="shared" si="18"/>
        <v>0</v>
      </c>
      <c r="Q349" s="412">
        <f t="shared" si="19"/>
        <v>0</v>
      </c>
    </row>
    <row r="350" spans="10:17" x14ac:dyDescent="0.25">
      <c r="J350" s="2">
        <v>44649</v>
      </c>
      <c r="K350" s="2" t="s">
        <v>2633</v>
      </c>
      <c r="L350" s="2">
        <v>990457</v>
      </c>
      <c r="N350" s="2">
        <v>6491189</v>
      </c>
      <c r="O350" s="2" t="s">
        <v>4585</v>
      </c>
      <c r="P350" s="412">
        <f t="shared" si="18"/>
        <v>0</v>
      </c>
      <c r="Q350" s="412">
        <f t="shared" si="19"/>
        <v>0</v>
      </c>
    </row>
    <row r="351" spans="10:17" x14ac:dyDescent="0.25">
      <c r="J351" s="2">
        <v>44649</v>
      </c>
      <c r="K351" s="2" t="s">
        <v>3163</v>
      </c>
      <c r="L351" s="2">
        <v>277540</v>
      </c>
      <c r="N351" s="2">
        <v>17597042</v>
      </c>
      <c r="O351" s="2" t="s">
        <v>4585</v>
      </c>
      <c r="P351" s="412">
        <f t="shared" si="18"/>
        <v>0</v>
      </c>
      <c r="Q351" s="412">
        <f t="shared" si="19"/>
        <v>0</v>
      </c>
    </row>
    <row r="352" spans="10:17" x14ac:dyDescent="0.25">
      <c r="J352" s="2">
        <v>44649</v>
      </c>
      <c r="K352" s="2" t="s">
        <v>673</v>
      </c>
      <c r="L352" s="2">
        <v>990457</v>
      </c>
      <c r="N352" s="2">
        <v>68529463</v>
      </c>
      <c r="O352" s="2" t="s">
        <v>4585</v>
      </c>
      <c r="P352" s="412">
        <f t="shared" si="18"/>
        <v>0</v>
      </c>
      <c r="Q352" s="412">
        <f t="shared" si="19"/>
        <v>0</v>
      </c>
    </row>
    <row r="353" spans="10:17" x14ac:dyDescent="0.25">
      <c r="J353" s="2">
        <v>44649</v>
      </c>
      <c r="K353" s="2" t="s">
        <v>1786</v>
      </c>
      <c r="L353" s="2">
        <v>990457</v>
      </c>
      <c r="N353" s="2">
        <v>12000000</v>
      </c>
      <c r="O353" s="2" t="s">
        <v>4585</v>
      </c>
      <c r="P353" s="412">
        <f t="shared" si="18"/>
        <v>0</v>
      </c>
      <c r="Q353" s="412">
        <f t="shared" si="19"/>
        <v>0</v>
      </c>
    </row>
    <row r="354" spans="10:17" x14ac:dyDescent="0.25">
      <c r="J354" s="2">
        <v>44649</v>
      </c>
      <c r="K354" s="2" t="s">
        <v>1886</v>
      </c>
      <c r="L354" s="2">
        <v>990457</v>
      </c>
      <c r="N354" s="2">
        <v>5779800</v>
      </c>
      <c r="O354" s="2" t="s">
        <v>4585</v>
      </c>
      <c r="P354" s="412">
        <f t="shared" si="18"/>
        <v>0</v>
      </c>
      <c r="Q354" s="412">
        <f t="shared" si="19"/>
        <v>0</v>
      </c>
    </row>
    <row r="355" spans="10:17" x14ac:dyDescent="0.25">
      <c r="J355" s="2">
        <v>44649</v>
      </c>
      <c r="K355" s="2" t="s">
        <v>3293</v>
      </c>
      <c r="L355" s="2">
        <v>990457</v>
      </c>
      <c r="N355" s="2">
        <v>22126671</v>
      </c>
      <c r="O355" s="2" t="s">
        <v>4585</v>
      </c>
      <c r="P355" s="412">
        <f t="shared" si="18"/>
        <v>0</v>
      </c>
      <c r="Q355" s="412">
        <f t="shared" si="19"/>
        <v>0</v>
      </c>
    </row>
    <row r="356" spans="10:17" x14ac:dyDescent="0.25">
      <c r="J356" s="2">
        <v>44649</v>
      </c>
      <c r="K356" s="2" t="s">
        <v>1781</v>
      </c>
      <c r="L356" s="2">
        <v>277540</v>
      </c>
      <c r="N356" s="2">
        <v>32220000</v>
      </c>
      <c r="O356" s="2" t="s">
        <v>4585</v>
      </c>
      <c r="P356" s="412">
        <f t="shared" si="18"/>
        <v>0</v>
      </c>
      <c r="Q356" s="412">
        <f t="shared" si="19"/>
        <v>0</v>
      </c>
    </row>
    <row r="357" spans="10:17" x14ac:dyDescent="0.25">
      <c r="J357" s="2">
        <v>44649</v>
      </c>
      <c r="K357" s="2" t="s">
        <v>1730</v>
      </c>
      <c r="L357" s="2">
        <v>277540</v>
      </c>
      <c r="N357" s="2">
        <v>30470000</v>
      </c>
      <c r="O357" s="2" t="s">
        <v>4585</v>
      </c>
      <c r="P357" s="412">
        <f t="shared" si="18"/>
        <v>0</v>
      </c>
      <c r="Q357" s="412">
        <f t="shared" si="19"/>
        <v>0</v>
      </c>
    </row>
    <row r="358" spans="10:17" x14ac:dyDescent="0.25">
      <c r="J358" s="2">
        <v>44649</v>
      </c>
      <c r="K358" s="2" t="s">
        <v>2628</v>
      </c>
      <c r="L358" s="2">
        <v>277540</v>
      </c>
      <c r="N358" s="2">
        <v>6332000</v>
      </c>
      <c r="O358" s="2" t="s">
        <v>4585</v>
      </c>
      <c r="P358" s="412">
        <f t="shared" si="18"/>
        <v>0</v>
      </c>
      <c r="Q358" s="412">
        <f t="shared" si="19"/>
        <v>0</v>
      </c>
    </row>
    <row r="359" spans="10:17" x14ac:dyDescent="0.25">
      <c r="J359" s="2">
        <v>44649</v>
      </c>
      <c r="K359" s="2" t="s">
        <v>1777</v>
      </c>
      <c r="L359" s="2">
        <v>277540</v>
      </c>
      <c r="N359" s="2">
        <v>10000000</v>
      </c>
      <c r="O359" s="2" t="s">
        <v>4585</v>
      </c>
      <c r="P359" s="412">
        <f t="shared" si="18"/>
        <v>0</v>
      </c>
      <c r="Q359" s="412">
        <f t="shared" si="19"/>
        <v>0</v>
      </c>
    </row>
    <row r="360" spans="10:17" x14ac:dyDescent="0.25">
      <c r="J360" s="2">
        <v>44649</v>
      </c>
      <c r="K360" s="2" t="s">
        <v>4560</v>
      </c>
      <c r="L360" s="2">
        <v>277540</v>
      </c>
      <c r="N360" s="2">
        <v>32874066</v>
      </c>
      <c r="O360" s="2" t="s">
        <v>4585</v>
      </c>
      <c r="P360" s="412">
        <f t="shared" si="18"/>
        <v>0</v>
      </c>
      <c r="Q360" s="412">
        <f t="shared" si="19"/>
        <v>0</v>
      </c>
    </row>
    <row r="361" spans="10:17" x14ac:dyDescent="0.25">
      <c r="J361" s="2">
        <v>44649</v>
      </c>
      <c r="K361" s="2" t="s">
        <v>3165</v>
      </c>
      <c r="L361" s="2">
        <v>277540</v>
      </c>
      <c r="N361" s="2">
        <v>21409676</v>
      </c>
      <c r="O361" s="2" t="s">
        <v>4585</v>
      </c>
      <c r="P361" s="412">
        <f t="shared" si="18"/>
        <v>0</v>
      </c>
      <c r="Q361" s="412">
        <f t="shared" si="19"/>
        <v>0</v>
      </c>
    </row>
    <row r="362" spans="10:17" x14ac:dyDescent="0.25">
      <c r="J362" s="2">
        <v>44649</v>
      </c>
      <c r="K362" s="2" t="s">
        <v>2791</v>
      </c>
      <c r="L362" s="2">
        <v>277540</v>
      </c>
      <c r="N362" s="2">
        <v>71199737</v>
      </c>
      <c r="O362" s="2" t="s">
        <v>4585</v>
      </c>
      <c r="P362" s="412">
        <f t="shared" si="18"/>
        <v>0</v>
      </c>
      <c r="Q362" s="412">
        <f t="shared" si="19"/>
        <v>0</v>
      </c>
    </row>
    <row r="363" spans="10:17" x14ac:dyDescent="0.25">
      <c r="J363" s="2">
        <v>44649</v>
      </c>
      <c r="K363" s="2" t="s">
        <v>4511</v>
      </c>
      <c r="L363" s="2">
        <v>277540</v>
      </c>
      <c r="N363" s="2">
        <v>26216418</v>
      </c>
      <c r="O363" s="2" t="s">
        <v>4585</v>
      </c>
      <c r="P363" s="412">
        <f t="shared" si="18"/>
        <v>0</v>
      </c>
      <c r="Q363" s="412">
        <f t="shared" si="19"/>
        <v>0</v>
      </c>
    </row>
    <row r="364" spans="10:17" x14ac:dyDescent="0.25">
      <c r="J364" s="2">
        <v>44649</v>
      </c>
      <c r="K364" s="2" t="s">
        <v>3166</v>
      </c>
      <c r="L364" s="2">
        <v>277540</v>
      </c>
      <c r="N364" s="2">
        <v>7890618</v>
      </c>
      <c r="O364" s="2" t="s">
        <v>4585</v>
      </c>
      <c r="P364" s="412">
        <f t="shared" si="18"/>
        <v>0</v>
      </c>
      <c r="Q364" s="412">
        <f t="shared" si="19"/>
        <v>0</v>
      </c>
    </row>
    <row r="365" spans="10:17" x14ac:dyDescent="0.25">
      <c r="J365" s="2">
        <v>44649</v>
      </c>
      <c r="K365" s="2" t="s">
        <v>2789</v>
      </c>
      <c r="L365" s="2">
        <v>277540</v>
      </c>
      <c r="N365" s="2">
        <v>29850264</v>
      </c>
      <c r="O365" s="2" t="s">
        <v>4585</v>
      </c>
      <c r="P365" s="412">
        <f t="shared" si="18"/>
        <v>0</v>
      </c>
      <c r="Q365" s="412">
        <f t="shared" si="19"/>
        <v>0</v>
      </c>
    </row>
    <row r="366" spans="10:17" x14ac:dyDescent="0.25">
      <c r="J366" s="2">
        <v>44649</v>
      </c>
      <c r="K366" s="2" t="s">
        <v>3167</v>
      </c>
      <c r="L366" s="2">
        <v>277540</v>
      </c>
      <c r="N366" s="2">
        <v>13000000</v>
      </c>
      <c r="O366" s="2" t="s">
        <v>4585</v>
      </c>
      <c r="P366" s="412">
        <f t="shared" si="18"/>
        <v>0</v>
      </c>
      <c r="Q366" s="412">
        <f t="shared" si="19"/>
        <v>0</v>
      </c>
    </row>
    <row r="367" spans="10:17" x14ac:dyDescent="0.25">
      <c r="J367" s="2">
        <v>44649</v>
      </c>
      <c r="K367" s="2" t="s">
        <v>3168</v>
      </c>
      <c r="L367" s="2">
        <v>277540</v>
      </c>
      <c r="N367" s="2">
        <v>10404602</v>
      </c>
      <c r="O367" s="2" t="s">
        <v>4585</v>
      </c>
      <c r="P367" s="412">
        <f t="shared" si="18"/>
        <v>0</v>
      </c>
      <c r="Q367" s="412">
        <f t="shared" si="19"/>
        <v>0</v>
      </c>
    </row>
    <row r="368" spans="10:17" x14ac:dyDescent="0.25">
      <c r="J368" s="2">
        <v>44649</v>
      </c>
      <c r="K368" s="2" t="s">
        <v>2289</v>
      </c>
      <c r="L368" s="2">
        <v>277540</v>
      </c>
      <c r="N368" s="2">
        <v>354618312</v>
      </c>
      <c r="O368" s="2" t="s">
        <v>4585</v>
      </c>
      <c r="P368" s="412">
        <f t="shared" si="18"/>
        <v>0</v>
      </c>
      <c r="Q368" s="412">
        <f t="shared" si="19"/>
        <v>0</v>
      </c>
    </row>
    <row r="369" spans="10:17" x14ac:dyDescent="0.25">
      <c r="J369" s="2">
        <v>44649</v>
      </c>
      <c r="K369" s="2" t="s">
        <v>2660</v>
      </c>
      <c r="L369" s="2">
        <v>277540</v>
      </c>
      <c r="N369" s="2">
        <v>250000000</v>
      </c>
      <c r="O369" s="2" t="s">
        <v>4585</v>
      </c>
      <c r="P369" s="412">
        <f t="shared" si="18"/>
        <v>0</v>
      </c>
      <c r="Q369" s="412">
        <f t="shared" si="19"/>
        <v>0</v>
      </c>
    </row>
    <row r="370" spans="10:17" x14ac:dyDescent="0.25">
      <c r="J370" s="2">
        <v>44649</v>
      </c>
      <c r="K370" s="2" t="s">
        <v>3169</v>
      </c>
      <c r="L370" s="2">
        <v>277540</v>
      </c>
      <c r="N370" s="2">
        <v>33692320</v>
      </c>
      <c r="O370" s="2" t="s">
        <v>4585</v>
      </c>
      <c r="P370" s="412">
        <f t="shared" si="18"/>
        <v>0</v>
      </c>
      <c r="Q370" s="412">
        <f t="shared" si="19"/>
        <v>0</v>
      </c>
    </row>
    <row r="371" spans="10:17" x14ac:dyDescent="0.25">
      <c r="J371" s="2">
        <v>44649</v>
      </c>
      <c r="K371" s="2" t="s">
        <v>2786</v>
      </c>
      <c r="L371" s="2">
        <v>277540</v>
      </c>
      <c r="N371" s="2">
        <v>127616621</v>
      </c>
      <c r="O371" s="2" t="s">
        <v>4585</v>
      </c>
      <c r="P371" s="412">
        <f t="shared" si="18"/>
        <v>0</v>
      </c>
      <c r="Q371" s="412">
        <f t="shared" si="19"/>
        <v>0</v>
      </c>
    </row>
    <row r="372" spans="10:17" x14ac:dyDescent="0.25">
      <c r="J372" s="2">
        <v>44649</v>
      </c>
      <c r="K372" s="2" t="s">
        <v>3615</v>
      </c>
      <c r="L372" s="2">
        <v>277540</v>
      </c>
      <c r="N372" s="2">
        <v>9538400</v>
      </c>
      <c r="O372" s="2" t="s">
        <v>4585</v>
      </c>
      <c r="P372" s="412">
        <f t="shared" si="18"/>
        <v>0</v>
      </c>
      <c r="Q372" s="412">
        <f t="shared" si="19"/>
        <v>0</v>
      </c>
    </row>
    <row r="373" spans="10:17" x14ac:dyDescent="0.25">
      <c r="J373" s="2">
        <v>44649</v>
      </c>
      <c r="K373" s="2" t="s">
        <v>2868</v>
      </c>
      <c r="L373" s="2">
        <v>277540</v>
      </c>
      <c r="N373" s="2">
        <v>35000000</v>
      </c>
      <c r="O373" s="2" t="s">
        <v>4585</v>
      </c>
      <c r="P373" s="412">
        <f t="shared" si="18"/>
        <v>0</v>
      </c>
      <c r="Q373" s="412">
        <f t="shared" si="19"/>
        <v>0</v>
      </c>
    </row>
    <row r="374" spans="10:17" x14ac:dyDescent="0.25">
      <c r="J374" s="2">
        <v>44649</v>
      </c>
      <c r="K374" s="2" t="s">
        <v>3301</v>
      </c>
      <c r="L374" s="2">
        <v>990457</v>
      </c>
      <c r="N374" s="2">
        <v>100000000</v>
      </c>
      <c r="O374" s="2" t="s">
        <v>4585</v>
      </c>
      <c r="P374" s="412">
        <f t="shared" si="18"/>
        <v>0</v>
      </c>
      <c r="Q374" s="412">
        <f t="shared" si="19"/>
        <v>0</v>
      </c>
    </row>
    <row r="375" spans="10:17" x14ac:dyDescent="0.25">
      <c r="J375" s="2">
        <v>44649</v>
      </c>
      <c r="K375" s="2" t="s">
        <v>3149</v>
      </c>
      <c r="L375" s="2">
        <v>277540</v>
      </c>
      <c r="N375" s="2">
        <v>21611791</v>
      </c>
      <c r="O375" s="2" t="s">
        <v>4585</v>
      </c>
      <c r="P375" s="412">
        <f t="shared" si="18"/>
        <v>0</v>
      </c>
      <c r="Q375" s="412">
        <f t="shared" si="19"/>
        <v>0</v>
      </c>
    </row>
    <row r="376" spans="10:17" x14ac:dyDescent="0.25">
      <c r="J376" s="2">
        <v>44649</v>
      </c>
      <c r="K376" s="2" t="s">
        <v>2560</v>
      </c>
      <c r="L376" s="2">
        <v>277540</v>
      </c>
      <c r="N376" s="2">
        <v>5625000</v>
      </c>
      <c r="O376" s="2" t="s">
        <v>4585</v>
      </c>
      <c r="P376" s="412">
        <f t="shared" si="18"/>
        <v>0</v>
      </c>
      <c r="Q376" s="412">
        <f t="shared" si="19"/>
        <v>0</v>
      </c>
    </row>
    <row r="377" spans="10:17" x14ac:dyDescent="0.25">
      <c r="J377" s="2">
        <v>44649</v>
      </c>
      <c r="K377" s="2" t="s">
        <v>2376</v>
      </c>
      <c r="L377" s="2">
        <v>277540</v>
      </c>
      <c r="N377" s="2">
        <v>11817332</v>
      </c>
      <c r="O377" s="2" t="s">
        <v>4585</v>
      </c>
      <c r="P377" s="412">
        <f t="shared" si="18"/>
        <v>0</v>
      </c>
      <c r="Q377" s="412">
        <f t="shared" si="19"/>
        <v>0</v>
      </c>
    </row>
    <row r="378" spans="10:17" x14ac:dyDescent="0.25">
      <c r="J378" s="2">
        <v>44649</v>
      </c>
      <c r="K378" s="2" t="s">
        <v>4926</v>
      </c>
      <c r="L378" s="2">
        <v>277540</v>
      </c>
      <c r="N378" s="2">
        <v>100000000</v>
      </c>
      <c r="O378" s="2" t="s">
        <v>4585</v>
      </c>
      <c r="P378" s="412">
        <f t="shared" si="18"/>
        <v>0</v>
      </c>
      <c r="Q378" s="412">
        <f t="shared" si="19"/>
        <v>0</v>
      </c>
    </row>
    <row r="379" spans="10:17" x14ac:dyDescent="0.25">
      <c r="J379" s="2">
        <v>44649</v>
      </c>
      <c r="K379" s="2" t="s">
        <v>5043</v>
      </c>
      <c r="L379" s="2">
        <v>277540</v>
      </c>
      <c r="N379" s="2">
        <v>42796700</v>
      </c>
      <c r="O379" s="2" t="s">
        <v>4585</v>
      </c>
      <c r="P379" s="412">
        <f t="shared" si="18"/>
        <v>0</v>
      </c>
      <c r="Q379" s="412">
        <f t="shared" si="19"/>
        <v>0</v>
      </c>
    </row>
    <row r="380" spans="10:17" x14ac:dyDescent="0.25">
      <c r="J380" s="2">
        <v>44649</v>
      </c>
      <c r="K380" s="2" t="s">
        <v>3939</v>
      </c>
      <c r="L380" s="2">
        <v>277540</v>
      </c>
      <c r="N380" s="2">
        <v>43671935</v>
      </c>
      <c r="O380" s="2" t="s">
        <v>4585</v>
      </c>
      <c r="P380" s="412">
        <f t="shared" si="18"/>
        <v>0</v>
      </c>
      <c r="Q380" s="412">
        <f t="shared" si="19"/>
        <v>0</v>
      </c>
    </row>
    <row r="381" spans="10:17" x14ac:dyDescent="0.25">
      <c r="J381" s="2">
        <v>44649</v>
      </c>
      <c r="K381" s="2" t="s">
        <v>2232</v>
      </c>
      <c r="L381" s="2">
        <v>277540</v>
      </c>
      <c r="N381" s="2">
        <v>5127600</v>
      </c>
      <c r="O381" s="2" t="s">
        <v>4585</v>
      </c>
      <c r="P381" s="412">
        <f t="shared" si="18"/>
        <v>0</v>
      </c>
      <c r="Q381" s="412">
        <f t="shared" si="19"/>
        <v>0</v>
      </c>
    </row>
    <row r="382" spans="10:17" x14ac:dyDescent="0.25">
      <c r="J382" s="2">
        <v>44649</v>
      </c>
      <c r="K382" s="2" t="s">
        <v>2783</v>
      </c>
      <c r="L382" s="2">
        <v>277540</v>
      </c>
      <c r="N382" s="2">
        <v>20707928</v>
      </c>
      <c r="O382" s="2" t="s">
        <v>4585</v>
      </c>
      <c r="P382" s="412">
        <f t="shared" si="18"/>
        <v>0</v>
      </c>
      <c r="Q382" s="412">
        <f t="shared" si="19"/>
        <v>0</v>
      </c>
    </row>
    <row r="383" spans="10:17" x14ac:dyDescent="0.25">
      <c r="J383" s="2">
        <v>44649</v>
      </c>
      <c r="K383" s="2" t="s">
        <v>2779</v>
      </c>
      <c r="L383" s="2">
        <v>277540</v>
      </c>
      <c r="N383" s="2">
        <v>42926212</v>
      </c>
      <c r="O383" s="2" t="s">
        <v>4585</v>
      </c>
      <c r="P383" s="412">
        <f t="shared" si="18"/>
        <v>0</v>
      </c>
      <c r="Q383" s="412">
        <f t="shared" si="19"/>
        <v>0</v>
      </c>
    </row>
    <row r="384" spans="10:17" x14ac:dyDescent="0.25">
      <c r="J384" s="2">
        <v>44649</v>
      </c>
      <c r="K384" s="2" t="s">
        <v>3171</v>
      </c>
      <c r="L384" s="2">
        <v>277540</v>
      </c>
      <c r="N384" s="2">
        <v>130458804</v>
      </c>
      <c r="O384" s="2" t="s">
        <v>4585</v>
      </c>
      <c r="P384" s="412">
        <f t="shared" si="18"/>
        <v>0</v>
      </c>
      <c r="Q384" s="412">
        <f t="shared" si="19"/>
        <v>0</v>
      </c>
    </row>
    <row r="385" spans="10:17" x14ac:dyDescent="0.25">
      <c r="J385" s="2">
        <v>44649</v>
      </c>
      <c r="K385" s="2" t="s">
        <v>2777</v>
      </c>
      <c r="L385" s="2">
        <v>277540</v>
      </c>
      <c r="N385" s="2">
        <v>26891448</v>
      </c>
      <c r="O385" s="2" t="s">
        <v>4585</v>
      </c>
      <c r="P385" s="412">
        <f t="shared" si="18"/>
        <v>0</v>
      </c>
      <c r="Q385" s="412">
        <f t="shared" si="19"/>
        <v>0</v>
      </c>
    </row>
    <row r="386" spans="10:17" x14ac:dyDescent="0.25">
      <c r="J386" s="2">
        <v>44649</v>
      </c>
      <c r="K386" s="2" t="s">
        <v>2772</v>
      </c>
      <c r="L386" s="2">
        <v>277540</v>
      </c>
      <c r="N386" s="2">
        <v>9250953</v>
      </c>
      <c r="O386" s="2" t="s">
        <v>4585</v>
      </c>
      <c r="P386" s="412">
        <f t="shared" si="18"/>
        <v>0</v>
      </c>
      <c r="Q386" s="412">
        <f t="shared" si="19"/>
        <v>0</v>
      </c>
    </row>
    <row r="387" spans="10:17" x14ac:dyDescent="0.25">
      <c r="J387" s="2">
        <v>44649</v>
      </c>
      <c r="K387" s="2" t="s">
        <v>2235</v>
      </c>
      <c r="L387" s="2">
        <v>277540</v>
      </c>
      <c r="N387" s="2">
        <v>26914480</v>
      </c>
      <c r="O387" s="2" t="s">
        <v>4585</v>
      </c>
      <c r="P387" s="412">
        <f t="shared" si="18"/>
        <v>0</v>
      </c>
      <c r="Q387" s="412">
        <f t="shared" si="19"/>
        <v>0</v>
      </c>
    </row>
    <row r="388" spans="10:17" x14ac:dyDescent="0.25">
      <c r="J388" s="2">
        <v>44649</v>
      </c>
      <c r="K388" s="2" t="s">
        <v>2767</v>
      </c>
      <c r="L388" s="2">
        <v>277540</v>
      </c>
      <c r="N388" s="2">
        <v>148231925</v>
      </c>
      <c r="O388" s="2" t="s">
        <v>4585</v>
      </c>
      <c r="P388" s="412">
        <f t="shared" si="18"/>
        <v>0</v>
      </c>
      <c r="Q388" s="412">
        <f t="shared" si="19"/>
        <v>0</v>
      </c>
    </row>
    <row r="389" spans="10:17" x14ac:dyDescent="0.25">
      <c r="J389" s="2">
        <v>44649</v>
      </c>
      <c r="K389" s="2" t="s">
        <v>2762</v>
      </c>
      <c r="L389" s="2">
        <v>277540</v>
      </c>
      <c r="N389" s="2">
        <v>47156928</v>
      </c>
      <c r="O389" s="2" t="s">
        <v>4585</v>
      </c>
      <c r="P389" s="412">
        <f t="shared" si="18"/>
        <v>0</v>
      </c>
      <c r="Q389" s="412">
        <f t="shared" si="19"/>
        <v>0</v>
      </c>
    </row>
    <row r="390" spans="10:17" x14ac:dyDescent="0.25">
      <c r="J390" s="2">
        <v>44649</v>
      </c>
      <c r="K390" s="2" t="s">
        <v>5044</v>
      </c>
      <c r="L390" s="2">
        <v>277540</v>
      </c>
      <c r="N390" s="2">
        <v>112900000</v>
      </c>
      <c r="O390" s="2" t="s">
        <v>4585</v>
      </c>
      <c r="P390" s="412">
        <f t="shared" si="18"/>
        <v>0</v>
      </c>
      <c r="Q390" s="412">
        <f t="shared" si="19"/>
        <v>0</v>
      </c>
    </row>
    <row r="391" spans="10:17" x14ac:dyDescent="0.25">
      <c r="J391" s="2">
        <v>44649</v>
      </c>
      <c r="K391" s="2" t="s">
        <v>713</v>
      </c>
      <c r="L391" s="2">
        <v>990457</v>
      </c>
      <c r="N391" s="2">
        <v>269230769</v>
      </c>
      <c r="O391" s="2" t="s">
        <v>4585</v>
      </c>
      <c r="P391" s="412">
        <f t="shared" si="18"/>
        <v>0</v>
      </c>
      <c r="Q391" s="412">
        <f t="shared" si="19"/>
        <v>0</v>
      </c>
    </row>
    <row r="392" spans="10:17" x14ac:dyDescent="0.25">
      <c r="J392" s="2">
        <v>44649</v>
      </c>
      <c r="K392" s="2" t="s">
        <v>1058</v>
      </c>
      <c r="L392" s="2">
        <v>990457</v>
      </c>
      <c r="N392" s="2">
        <v>50000000</v>
      </c>
      <c r="O392" s="2" t="s">
        <v>4585</v>
      </c>
      <c r="P392" s="412">
        <f t="shared" si="18"/>
        <v>0</v>
      </c>
      <c r="Q392" s="412">
        <f t="shared" si="19"/>
        <v>0</v>
      </c>
    </row>
    <row r="393" spans="10:17" x14ac:dyDescent="0.25">
      <c r="J393" s="2">
        <v>44649</v>
      </c>
      <c r="K393" s="2" t="s">
        <v>2758</v>
      </c>
      <c r="L393" s="2">
        <v>277540</v>
      </c>
      <c r="N393" s="2">
        <v>49291146</v>
      </c>
      <c r="O393" s="2" t="s">
        <v>4585</v>
      </c>
      <c r="P393" s="412">
        <f t="shared" si="18"/>
        <v>0</v>
      </c>
      <c r="Q393" s="412">
        <f t="shared" si="19"/>
        <v>0</v>
      </c>
    </row>
    <row r="394" spans="10:17" x14ac:dyDescent="0.25">
      <c r="J394" s="2">
        <v>44649</v>
      </c>
      <c r="K394" s="2" t="s">
        <v>3623</v>
      </c>
      <c r="L394" s="2">
        <v>277540</v>
      </c>
      <c r="N394" s="2">
        <v>50000000</v>
      </c>
      <c r="O394" s="2" t="s">
        <v>4585</v>
      </c>
      <c r="P394" s="412">
        <f t="shared" si="18"/>
        <v>0</v>
      </c>
      <c r="Q394" s="412">
        <f t="shared" si="19"/>
        <v>0</v>
      </c>
    </row>
    <row r="395" spans="10:17" x14ac:dyDescent="0.25">
      <c r="J395" s="2">
        <v>44649</v>
      </c>
      <c r="K395" s="2" t="s">
        <v>3060</v>
      </c>
      <c r="L395" s="2">
        <v>990457</v>
      </c>
      <c r="N395" s="2">
        <v>3522311</v>
      </c>
      <c r="O395" s="2" t="s">
        <v>4585</v>
      </c>
      <c r="P395" s="412">
        <f t="shared" ref="P395:P458" si="20">IF(O395="AVAILABLE",SUMIFS($E$6:$E$16,$C$6:$C$16,L395,$D$6:$D$16,K395)/MAX(IF(O395="AVAILABLE",COUNTIFS($D$6:$D$16,K395,$C$6:$C$16,L395),1),1),IF(O395="REPO COLLATERAL",SUMIFS($E$18:$E$53,$C$18:$C$53,L395,$D$18:$D$53,K395),0)/MAX(IF(O395="REPO COLLATERAL",COUNTIFS($D$19:$D$94,K395),1),1))</f>
        <v>0</v>
      </c>
      <c r="Q395" s="412">
        <f t="shared" ref="Q395:Q458" si="21">IF(LEFT(K395,4)="RP00",0,IF(ISNA(VLOOKUP(L395,$C$6:$C$11,1,FALSE)),0,IF(L395&lt;&gt;"",ABS(N395-P395),0)))</f>
        <v>0</v>
      </c>
    </row>
    <row r="396" spans="10:17" x14ac:dyDescent="0.25">
      <c r="J396" s="2">
        <v>44649</v>
      </c>
      <c r="K396" s="2" t="s">
        <v>4053</v>
      </c>
      <c r="L396" s="2">
        <v>990457</v>
      </c>
      <c r="N396" s="2">
        <v>15000000</v>
      </c>
      <c r="O396" s="2" t="s">
        <v>4585</v>
      </c>
      <c r="P396" s="412">
        <f t="shared" si="20"/>
        <v>0</v>
      </c>
      <c r="Q396" s="412">
        <f t="shared" si="21"/>
        <v>0</v>
      </c>
    </row>
    <row r="397" spans="10:17" x14ac:dyDescent="0.25">
      <c r="J397" s="2">
        <v>44649</v>
      </c>
      <c r="K397" s="2" t="s">
        <v>5045</v>
      </c>
      <c r="L397" s="2">
        <v>990457</v>
      </c>
      <c r="N397" s="2">
        <v>16000000</v>
      </c>
      <c r="O397" s="2" t="s">
        <v>4585</v>
      </c>
      <c r="P397" s="412">
        <f t="shared" si="20"/>
        <v>0</v>
      </c>
      <c r="Q397" s="412">
        <f t="shared" si="21"/>
        <v>0</v>
      </c>
    </row>
    <row r="398" spans="10:17" x14ac:dyDescent="0.25">
      <c r="J398" s="2">
        <v>44649</v>
      </c>
      <c r="K398" s="2" t="s">
        <v>5056</v>
      </c>
      <c r="L398" s="2">
        <v>277540</v>
      </c>
      <c r="M398" s="2">
        <v>1926660</v>
      </c>
      <c r="N398" s="2">
        <v>1926660</v>
      </c>
      <c r="O398" s="2" t="s">
        <v>4585</v>
      </c>
      <c r="P398" s="412">
        <f t="shared" si="20"/>
        <v>0</v>
      </c>
      <c r="Q398" s="412">
        <f t="shared" si="21"/>
        <v>0</v>
      </c>
    </row>
    <row r="399" spans="10:17" x14ac:dyDescent="0.25">
      <c r="J399" s="2">
        <v>44649</v>
      </c>
      <c r="K399" s="2" t="s">
        <v>4618</v>
      </c>
      <c r="L399" s="2">
        <v>990457</v>
      </c>
      <c r="N399" s="2">
        <v>4922208</v>
      </c>
      <c r="O399" s="2" t="s">
        <v>4585</v>
      </c>
      <c r="P399" s="412">
        <f t="shared" si="20"/>
        <v>0</v>
      </c>
      <c r="Q399" s="412">
        <f t="shared" si="21"/>
        <v>0</v>
      </c>
    </row>
    <row r="400" spans="10:17" x14ac:dyDescent="0.25">
      <c r="J400" s="2">
        <v>44649</v>
      </c>
      <c r="K400" s="2" t="s">
        <v>3297</v>
      </c>
      <c r="L400" s="2">
        <v>990457</v>
      </c>
      <c r="N400" s="2">
        <v>1848875</v>
      </c>
      <c r="O400" s="2" t="s">
        <v>4585</v>
      </c>
      <c r="P400" s="412">
        <f t="shared" si="20"/>
        <v>0</v>
      </c>
      <c r="Q400" s="412">
        <f t="shared" si="21"/>
        <v>0</v>
      </c>
    </row>
    <row r="401" spans="10:17" x14ac:dyDescent="0.25">
      <c r="J401" s="2">
        <v>44649</v>
      </c>
      <c r="K401" s="2" t="s">
        <v>4611</v>
      </c>
      <c r="L401" s="2">
        <v>277540</v>
      </c>
      <c r="M401" s="2">
        <v>3871080</v>
      </c>
      <c r="N401" s="2">
        <v>3871080</v>
      </c>
      <c r="O401" s="2" t="s">
        <v>4585</v>
      </c>
      <c r="P401" s="412">
        <f t="shared" si="20"/>
        <v>0</v>
      </c>
      <c r="Q401" s="412">
        <f t="shared" si="21"/>
        <v>0</v>
      </c>
    </row>
    <row r="402" spans="10:17" x14ac:dyDescent="0.25">
      <c r="J402" s="2">
        <v>44649</v>
      </c>
      <c r="K402" s="2" t="s">
        <v>5020</v>
      </c>
      <c r="L402" s="2">
        <v>277540</v>
      </c>
      <c r="M402" s="2">
        <v>1873733</v>
      </c>
      <c r="N402" s="2">
        <v>1873733</v>
      </c>
      <c r="O402" s="2" t="s">
        <v>4585</v>
      </c>
      <c r="P402" s="412">
        <f t="shared" si="20"/>
        <v>0</v>
      </c>
      <c r="Q402" s="412">
        <f t="shared" si="21"/>
        <v>0</v>
      </c>
    </row>
    <row r="403" spans="10:17" x14ac:dyDescent="0.25">
      <c r="J403" s="2">
        <v>44649</v>
      </c>
      <c r="K403" s="2" t="s">
        <v>4577</v>
      </c>
      <c r="L403" s="2">
        <v>277540</v>
      </c>
      <c r="M403" s="2">
        <v>1409573</v>
      </c>
      <c r="N403" s="2">
        <v>1409573</v>
      </c>
      <c r="O403" s="2" t="s">
        <v>4585</v>
      </c>
      <c r="P403" s="412">
        <f t="shared" si="20"/>
        <v>0</v>
      </c>
      <c r="Q403" s="412">
        <f t="shared" si="21"/>
        <v>0</v>
      </c>
    </row>
    <row r="404" spans="10:17" x14ac:dyDescent="0.25">
      <c r="J404" s="2">
        <v>44649</v>
      </c>
      <c r="K404" s="2" t="s">
        <v>5078</v>
      </c>
      <c r="L404" s="2">
        <v>277540</v>
      </c>
      <c r="M404" s="2">
        <v>7722607</v>
      </c>
      <c r="N404" s="2">
        <v>7722607</v>
      </c>
      <c r="O404" s="2" t="s">
        <v>4585</v>
      </c>
      <c r="P404" s="412">
        <f t="shared" si="20"/>
        <v>0</v>
      </c>
      <c r="Q404" s="412">
        <f t="shared" si="21"/>
        <v>0</v>
      </c>
    </row>
    <row r="405" spans="10:17" x14ac:dyDescent="0.25">
      <c r="J405" s="2">
        <v>44649</v>
      </c>
      <c r="K405" s="2" t="s">
        <v>4619</v>
      </c>
      <c r="L405" s="2">
        <v>990457</v>
      </c>
      <c r="N405" s="2">
        <v>15896276</v>
      </c>
      <c r="O405" s="2" t="s">
        <v>4585</v>
      </c>
      <c r="P405" s="412">
        <f t="shared" si="20"/>
        <v>0</v>
      </c>
      <c r="Q405" s="412">
        <f t="shared" si="21"/>
        <v>0</v>
      </c>
    </row>
    <row r="406" spans="10:17" x14ac:dyDescent="0.25">
      <c r="J406" s="2">
        <v>44649</v>
      </c>
      <c r="K406" s="2" t="s">
        <v>2755</v>
      </c>
      <c r="L406" s="2">
        <v>277540</v>
      </c>
      <c r="N406" s="2">
        <v>50328508</v>
      </c>
      <c r="O406" s="2" t="s">
        <v>4585</v>
      </c>
      <c r="P406" s="412">
        <f t="shared" si="20"/>
        <v>0</v>
      </c>
      <c r="Q406" s="412">
        <f t="shared" si="21"/>
        <v>0</v>
      </c>
    </row>
    <row r="407" spans="10:17" x14ac:dyDescent="0.25">
      <c r="J407" s="2">
        <v>44649</v>
      </c>
      <c r="K407" s="2" t="s">
        <v>2751</v>
      </c>
      <c r="L407" s="2">
        <v>277540</v>
      </c>
      <c r="N407" s="2">
        <v>53638238</v>
      </c>
      <c r="O407" s="2" t="s">
        <v>4585</v>
      </c>
      <c r="P407" s="412">
        <f t="shared" si="20"/>
        <v>0</v>
      </c>
      <c r="Q407" s="412">
        <f t="shared" si="21"/>
        <v>0</v>
      </c>
    </row>
    <row r="408" spans="10:17" x14ac:dyDescent="0.25">
      <c r="J408" s="2">
        <v>44649</v>
      </c>
      <c r="K408" s="2" t="s">
        <v>2747</v>
      </c>
      <c r="L408" s="2">
        <v>277540</v>
      </c>
      <c r="N408" s="2">
        <v>113846153</v>
      </c>
      <c r="O408" s="2" t="s">
        <v>4585</v>
      </c>
      <c r="P408" s="412">
        <f t="shared" si="20"/>
        <v>0</v>
      </c>
      <c r="Q408" s="412">
        <f t="shared" si="21"/>
        <v>0</v>
      </c>
    </row>
    <row r="409" spans="10:17" x14ac:dyDescent="0.25">
      <c r="J409" s="2">
        <v>44649</v>
      </c>
      <c r="K409" s="2" t="s">
        <v>2742</v>
      </c>
      <c r="L409" s="2">
        <v>277540</v>
      </c>
      <c r="N409" s="2">
        <v>46915040</v>
      </c>
      <c r="O409" s="2" t="s">
        <v>4585</v>
      </c>
      <c r="P409" s="412">
        <f t="shared" si="20"/>
        <v>0</v>
      </c>
      <c r="Q409" s="412">
        <f t="shared" si="21"/>
        <v>0</v>
      </c>
    </row>
    <row r="410" spans="10:17" x14ac:dyDescent="0.25">
      <c r="J410" s="2">
        <v>44649</v>
      </c>
      <c r="K410" s="2" t="s">
        <v>2736</v>
      </c>
      <c r="L410" s="2">
        <v>277540</v>
      </c>
      <c r="N410" s="2">
        <v>82532704</v>
      </c>
      <c r="O410" s="2" t="s">
        <v>4585</v>
      </c>
      <c r="P410" s="412">
        <f t="shared" si="20"/>
        <v>0</v>
      </c>
      <c r="Q410" s="412">
        <f t="shared" si="21"/>
        <v>0</v>
      </c>
    </row>
    <row r="411" spans="10:17" x14ac:dyDescent="0.25">
      <c r="J411" s="2">
        <v>44649</v>
      </c>
      <c r="K411" s="2" t="s">
        <v>5046</v>
      </c>
      <c r="L411" s="2">
        <v>277540</v>
      </c>
      <c r="M411" s="2">
        <v>3039361</v>
      </c>
      <c r="N411" s="2">
        <v>3039361</v>
      </c>
      <c r="O411" s="2" t="s">
        <v>4585</v>
      </c>
      <c r="P411" s="412">
        <f t="shared" si="20"/>
        <v>0</v>
      </c>
      <c r="Q411" s="412">
        <f t="shared" si="21"/>
        <v>0</v>
      </c>
    </row>
    <row r="412" spans="10:17" x14ac:dyDescent="0.25">
      <c r="J412" s="2">
        <v>44649</v>
      </c>
      <c r="K412" s="2" t="s">
        <v>2406</v>
      </c>
      <c r="L412" s="2">
        <v>277540</v>
      </c>
      <c r="N412" s="2">
        <v>25000000</v>
      </c>
      <c r="O412" s="2" t="s">
        <v>4585</v>
      </c>
      <c r="P412" s="412">
        <f t="shared" si="20"/>
        <v>0</v>
      </c>
      <c r="Q412" s="412">
        <f t="shared" si="21"/>
        <v>0</v>
      </c>
    </row>
    <row r="413" spans="10:17" x14ac:dyDescent="0.25">
      <c r="J413" s="2">
        <v>44649</v>
      </c>
      <c r="K413" s="2" t="s">
        <v>2612</v>
      </c>
      <c r="L413" s="2">
        <v>990457</v>
      </c>
      <c r="N413" s="2">
        <v>21225000</v>
      </c>
      <c r="O413" s="2" t="s">
        <v>4585</v>
      </c>
      <c r="P413" s="412">
        <f t="shared" si="20"/>
        <v>0</v>
      </c>
      <c r="Q413" s="412">
        <f t="shared" si="21"/>
        <v>0</v>
      </c>
    </row>
    <row r="414" spans="10:17" x14ac:dyDescent="0.25">
      <c r="J414" s="2">
        <v>44649</v>
      </c>
      <c r="K414" s="2" t="s">
        <v>1681</v>
      </c>
      <c r="L414" s="2">
        <v>277540</v>
      </c>
      <c r="N414" s="2">
        <v>13000000</v>
      </c>
      <c r="O414" s="2" t="s">
        <v>4585</v>
      </c>
      <c r="P414" s="412">
        <f t="shared" si="20"/>
        <v>0</v>
      </c>
      <c r="Q414" s="412">
        <f t="shared" si="21"/>
        <v>0</v>
      </c>
    </row>
    <row r="415" spans="10:17" x14ac:dyDescent="0.25">
      <c r="J415" s="2">
        <v>44649</v>
      </c>
      <c r="K415" s="2" t="s">
        <v>3593</v>
      </c>
      <c r="L415" s="2">
        <v>277540</v>
      </c>
      <c r="N415" s="2">
        <v>237292313</v>
      </c>
      <c r="O415" s="2" t="s">
        <v>4585</v>
      </c>
      <c r="P415" s="412">
        <f t="shared" si="20"/>
        <v>0</v>
      </c>
      <c r="Q415" s="412">
        <f t="shared" si="21"/>
        <v>0</v>
      </c>
    </row>
    <row r="416" spans="10:17" x14ac:dyDescent="0.25">
      <c r="J416" s="2">
        <v>44649</v>
      </c>
      <c r="K416" s="2" t="s">
        <v>3080</v>
      </c>
      <c r="L416" s="2">
        <v>277540</v>
      </c>
      <c r="N416" s="2">
        <v>2610000</v>
      </c>
      <c r="O416" s="2" t="s">
        <v>4585</v>
      </c>
      <c r="P416" s="412">
        <f t="shared" si="20"/>
        <v>0</v>
      </c>
      <c r="Q416" s="412">
        <f t="shared" si="21"/>
        <v>0</v>
      </c>
    </row>
    <row r="417" spans="10:17" x14ac:dyDescent="0.25">
      <c r="J417" s="2">
        <v>44649</v>
      </c>
      <c r="K417" s="2" t="s">
        <v>3076</v>
      </c>
      <c r="L417" s="2">
        <v>277540</v>
      </c>
      <c r="N417" s="2">
        <v>1890000</v>
      </c>
      <c r="O417" s="2" t="s">
        <v>4585</v>
      </c>
      <c r="P417" s="412">
        <f t="shared" si="20"/>
        <v>0</v>
      </c>
      <c r="Q417" s="412">
        <f t="shared" si="21"/>
        <v>0</v>
      </c>
    </row>
    <row r="418" spans="10:17" x14ac:dyDescent="0.25">
      <c r="J418" s="2">
        <v>44649</v>
      </c>
      <c r="K418" s="2" t="s">
        <v>2525</v>
      </c>
      <c r="L418" s="2">
        <v>277540</v>
      </c>
      <c r="M418" s="2">
        <v>2000000</v>
      </c>
      <c r="N418" s="2">
        <v>4000000</v>
      </c>
      <c r="O418" s="2" t="s">
        <v>4585</v>
      </c>
      <c r="P418" s="412">
        <f t="shared" si="20"/>
        <v>0</v>
      </c>
      <c r="Q418" s="412">
        <f t="shared" si="21"/>
        <v>0</v>
      </c>
    </row>
    <row r="419" spans="10:17" x14ac:dyDescent="0.25">
      <c r="J419" s="2">
        <v>44649</v>
      </c>
      <c r="K419" s="2" t="s">
        <v>2201</v>
      </c>
      <c r="L419" s="2">
        <v>277540</v>
      </c>
      <c r="N419" s="2">
        <v>3000000</v>
      </c>
      <c r="O419" s="2" t="s">
        <v>4585</v>
      </c>
      <c r="P419" s="412">
        <f t="shared" si="20"/>
        <v>0</v>
      </c>
      <c r="Q419" s="412">
        <f t="shared" si="21"/>
        <v>0</v>
      </c>
    </row>
    <row r="420" spans="10:17" x14ac:dyDescent="0.25">
      <c r="J420" s="2">
        <v>44649</v>
      </c>
      <c r="K420" s="2" t="s">
        <v>3298</v>
      </c>
      <c r="L420" s="2">
        <v>277540</v>
      </c>
      <c r="N420" s="2">
        <v>2000000</v>
      </c>
      <c r="O420" s="2" t="s">
        <v>4585</v>
      </c>
      <c r="P420" s="412">
        <f t="shared" si="20"/>
        <v>0</v>
      </c>
      <c r="Q420" s="412">
        <f t="shared" si="21"/>
        <v>0</v>
      </c>
    </row>
    <row r="421" spans="10:17" x14ac:dyDescent="0.25">
      <c r="J421" s="2">
        <v>44649</v>
      </c>
      <c r="K421" s="2" t="s">
        <v>3285</v>
      </c>
      <c r="L421" s="2">
        <v>277540</v>
      </c>
      <c r="N421" s="2">
        <v>3165000</v>
      </c>
      <c r="O421" s="2" t="s">
        <v>4585</v>
      </c>
      <c r="P421" s="412">
        <f t="shared" si="20"/>
        <v>0</v>
      </c>
      <c r="Q421" s="412">
        <f t="shared" si="21"/>
        <v>0</v>
      </c>
    </row>
    <row r="422" spans="10:17" x14ac:dyDescent="0.25">
      <c r="J422" s="2">
        <v>44649</v>
      </c>
      <c r="K422" s="2" t="s">
        <v>2846</v>
      </c>
      <c r="L422" s="2">
        <v>277540</v>
      </c>
      <c r="N422" s="2">
        <v>2680000</v>
      </c>
      <c r="O422" s="2" t="s">
        <v>4585</v>
      </c>
      <c r="P422" s="412">
        <f t="shared" si="20"/>
        <v>0</v>
      </c>
      <c r="Q422" s="412">
        <f t="shared" si="21"/>
        <v>0</v>
      </c>
    </row>
    <row r="423" spans="10:17" x14ac:dyDescent="0.25">
      <c r="J423" s="2">
        <v>44649</v>
      </c>
      <c r="K423" s="2" t="s">
        <v>3451</v>
      </c>
      <c r="L423" s="2">
        <v>277540</v>
      </c>
      <c r="N423" s="2">
        <v>1200000</v>
      </c>
      <c r="O423" s="2" t="s">
        <v>4585</v>
      </c>
      <c r="P423" s="412">
        <f t="shared" si="20"/>
        <v>0</v>
      </c>
      <c r="Q423" s="412">
        <f t="shared" si="21"/>
        <v>0</v>
      </c>
    </row>
    <row r="424" spans="10:17" x14ac:dyDescent="0.25">
      <c r="J424" s="2">
        <v>44649</v>
      </c>
      <c r="K424" s="2" t="s">
        <v>3583</v>
      </c>
      <c r="L424" s="2">
        <v>277540</v>
      </c>
      <c r="N424" s="2">
        <v>10000000</v>
      </c>
      <c r="O424" s="2" t="s">
        <v>4585</v>
      </c>
      <c r="P424" s="412">
        <f t="shared" si="20"/>
        <v>0</v>
      </c>
      <c r="Q424" s="412">
        <f t="shared" si="21"/>
        <v>0</v>
      </c>
    </row>
    <row r="425" spans="10:17" x14ac:dyDescent="0.25">
      <c r="J425" s="2">
        <v>44649</v>
      </c>
      <c r="K425" s="2" t="s">
        <v>2090</v>
      </c>
      <c r="L425" s="2">
        <v>277540</v>
      </c>
      <c r="N425" s="2">
        <v>9500000</v>
      </c>
      <c r="O425" s="2" t="s">
        <v>4585</v>
      </c>
      <c r="P425" s="412">
        <f t="shared" si="20"/>
        <v>0</v>
      </c>
      <c r="Q425" s="412">
        <f t="shared" si="21"/>
        <v>0</v>
      </c>
    </row>
    <row r="426" spans="10:17" x14ac:dyDescent="0.25">
      <c r="J426" s="2">
        <v>44649</v>
      </c>
      <c r="K426" s="2" t="s">
        <v>2952</v>
      </c>
      <c r="L426" s="2">
        <v>277540</v>
      </c>
      <c r="N426" s="2">
        <v>2680000</v>
      </c>
      <c r="O426" s="2" t="s">
        <v>4585</v>
      </c>
      <c r="P426" s="412">
        <f t="shared" si="20"/>
        <v>0</v>
      </c>
      <c r="Q426" s="412">
        <f t="shared" si="21"/>
        <v>0</v>
      </c>
    </row>
    <row r="427" spans="10:17" x14ac:dyDescent="0.25">
      <c r="J427" s="2">
        <v>44649</v>
      </c>
      <c r="K427" s="2" t="s">
        <v>3880</v>
      </c>
      <c r="L427" s="2">
        <v>277540</v>
      </c>
      <c r="N427" s="2">
        <v>4200000</v>
      </c>
      <c r="O427" s="2" t="s">
        <v>4585</v>
      </c>
      <c r="P427" s="412">
        <f t="shared" si="20"/>
        <v>0</v>
      </c>
      <c r="Q427" s="412">
        <f t="shared" si="21"/>
        <v>0</v>
      </c>
    </row>
    <row r="428" spans="10:17" x14ac:dyDescent="0.25">
      <c r="J428" s="2">
        <v>44649</v>
      </c>
      <c r="K428" s="2" t="s">
        <v>2973</v>
      </c>
      <c r="L428" s="2">
        <v>277540</v>
      </c>
      <c r="N428" s="2">
        <v>5220000</v>
      </c>
      <c r="O428" s="2" t="s">
        <v>4585</v>
      </c>
      <c r="P428" s="412">
        <f t="shared" si="20"/>
        <v>0</v>
      </c>
      <c r="Q428" s="412">
        <f t="shared" si="21"/>
        <v>0</v>
      </c>
    </row>
    <row r="429" spans="10:17" x14ac:dyDescent="0.25">
      <c r="J429" s="2">
        <v>44649</v>
      </c>
      <c r="K429" s="2" t="s">
        <v>2506</v>
      </c>
      <c r="L429" s="2">
        <v>277540</v>
      </c>
      <c r="N429" s="2">
        <v>141258185</v>
      </c>
      <c r="O429" s="2" t="s">
        <v>4585</v>
      </c>
      <c r="P429" s="412">
        <f t="shared" si="20"/>
        <v>0</v>
      </c>
      <c r="Q429" s="412">
        <f t="shared" si="21"/>
        <v>0</v>
      </c>
    </row>
    <row r="430" spans="10:17" x14ac:dyDescent="0.25">
      <c r="J430" s="2">
        <v>44649</v>
      </c>
      <c r="K430" s="2" t="s">
        <v>2464</v>
      </c>
      <c r="L430" s="2">
        <v>277540</v>
      </c>
      <c r="M430" s="2">
        <v>2000000</v>
      </c>
      <c r="N430" s="2">
        <v>4500000</v>
      </c>
      <c r="O430" s="2" t="s">
        <v>4585</v>
      </c>
      <c r="P430" s="412">
        <f t="shared" si="20"/>
        <v>0</v>
      </c>
      <c r="Q430" s="412">
        <f t="shared" si="21"/>
        <v>0</v>
      </c>
    </row>
    <row r="431" spans="10:17" x14ac:dyDescent="0.25">
      <c r="J431" s="2">
        <v>44649</v>
      </c>
      <c r="K431" s="2" t="s">
        <v>5057</v>
      </c>
      <c r="L431" s="2">
        <v>277540</v>
      </c>
      <c r="M431" s="2">
        <v>2500000</v>
      </c>
      <c r="N431" s="2">
        <v>2500000</v>
      </c>
      <c r="O431" s="2" t="s">
        <v>4585</v>
      </c>
      <c r="P431" s="412">
        <f t="shared" si="20"/>
        <v>0</v>
      </c>
      <c r="Q431" s="412">
        <f t="shared" si="21"/>
        <v>0</v>
      </c>
    </row>
    <row r="432" spans="10:17" x14ac:dyDescent="0.25">
      <c r="J432" s="2">
        <v>44649</v>
      </c>
      <c r="K432" s="2" t="s">
        <v>1645</v>
      </c>
      <c r="L432" s="2">
        <v>277540</v>
      </c>
      <c r="N432" s="2">
        <v>2000000</v>
      </c>
      <c r="O432" s="2" t="s">
        <v>4585</v>
      </c>
      <c r="P432" s="412">
        <f t="shared" si="20"/>
        <v>0</v>
      </c>
      <c r="Q432" s="412">
        <f t="shared" si="21"/>
        <v>0</v>
      </c>
    </row>
    <row r="433" spans="10:17" x14ac:dyDescent="0.25">
      <c r="J433" s="2">
        <v>44649</v>
      </c>
      <c r="K433" s="2" t="s">
        <v>2890</v>
      </c>
      <c r="L433" s="2">
        <v>277540</v>
      </c>
      <c r="N433" s="2">
        <v>13000000</v>
      </c>
      <c r="O433" s="2" t="s">
        <v>4585</v>
      </c>
      <c r="P433" s="412">
        <f t="shared" si="20"/>
        <v>0</v>
      </c>
      <c r="Q433" s="412">
        <f t="shared" si="21"/>
        <v>0</v>
      </c>
    </row>
    <row r="434" spans="10:17" x14ac:dyDescent="0.25">
      <c r="J434" s="2">
        <v>44649</v>
      </c>
      <c r="K434" s="2" t="s">
        <v>4434</v>
      </c>
      <c r="L434" s="2">
        <v>277540</v>
      </c>
      <c r="M434" s="2">
        <v>2000000</v>
      </c>
      <c r="N434" s="2">
        <v>2000000</v>
      </c>
      <c r="O434" s="2" t="s">
        <v>4585</v>
      </c>
      <c r="P434" s="412">
        <f t="shared" si="20"/>
        <v>0</v>
      </c>
      <c r="Q434" s="412">
        <f t="shared" si="21"/>
        <v>0</v>
      </c>
    </row>
    <row r="435" spans="10:17" x14ac:dyDescent="0.25">
      <c r="J435" s="2">
        <v>44649</v>
      </c>
      <c r="K435" s="2" t="s">
        <v>2018</v>
      </c>
      <c r="L435" s="2">
        <v>277540</v>
      </c>
      <c r="N435" s="2">
        <v>1000000</v>
      </c>
      <c r="O435" s="2" t="s">
        <v>4585</v>
      </c>
      <c r="P435" s="412">
        <f t="shared" si="20"/>
        <v>0</v>
      </c>
      <c r="Q435" s="412">
        <f t="shared" si="21"/>
        <v>0</v>
      </c>
    </row>
    <row r="436" spans="10:17" x14ac:dyDescent="0.25">
      <c r="J436" s="2">
        <v>44649</v>
      </c>
      <c r="K436" s="2" t="s">
        <v>3299</v>
      </c>
      <c r="L436" s="2">
        <v>277540</v>
      </c>
      <c r="N436" s="2">
        <v>1500000</v>
      </c>
      <c r="O436" s="2" t="s">
        <v>4585</v>
      </c>
      <c r="P436" s="412">
        <f t="shared" si="20"/>
        <v>0</v>
      </c>
      <c r="Q436" s="412">
        <f t="shared" si="21"/>
        <v>0</v>
      </c>
    </row>
    <row r="437" spans="10:17" x14ac:dyDescent="0.25">
      <c r="J437" s="2">
        <v>44649</v>
      </c>
      <c r="K437" s="2" t="s">
        <v>4542</v>
      </c>
      <c r="L437" s="2">
        <v>277540</v>
      </c>
      <c r="M437" s="2">
        <v>3000000</v>
      </c>
      <c r="N437" s="2">
        <v>3000000</v>
      </c>
      <c r="O437" s="2" t="s">
        <v>4585</v>
      </c>
      <c r="P437" s="412">
        <f t="shared" si="20"/>
        <v>0</v>
      </c>
      <c r="Q437" s="412">
        <f t="shared" si="21"/>
        <v>0</v>
      </c>
    </row>
    <row r="438" spans="10:17" x14ac:dyDescent="0.25">
      <c r="J438" s="2">
        <v>44649</v>
      </c>
      <c r="K438" s="2" t="s">
        <v>2459</v>
      </c>
      <c r="L438" s="2">
        <v>277540</v>
      </c>
      <c r="N438" s="2">
        <v>5000000</v>
      </c>
      <c r="O438" s="2" t="s">
        <v>4585</v>
      </c>
      <c r="P438" s="412">
        <f t="shared" si="20"/>
        <v>0</v>
      </c>
      <c r="Q438" s="412">
        <f t="shared" si="21"/>
        <v>0</v>
      </c>
    </row>
    <row r="439" spans="10:17" x14ac:dyDescent="0.25">
      <c r="J439" s="2">
        <v>44649</v>
      </c>
      <c r="K439" s="2" t="s">
        <v>2706</v>
      </c>
      <c r="L439" s="2">
        <v>277540</v>
      </c>
      <c r="N439" s="2">
        <v>20000000</v>
      </c>
      <c r="O439" s="2" t="s">
        <v>4585</v>
      </c>
      <c r="P439" s="412">
        <f t="shared" si="20"/>
        <v>0</v>
      </c>
      <c r="Q439" s="412">
        <f t="shared" si="21"/>
        <v>0</v>
      </c>
    </row>
    <row r="440" spans="10:17" x14ac:dyDescent="0.25">
      <c r="J440" s="2">
        <v>44649</v>
      </c>
      <c r="K440" s="2" t="s">
        <v>3173</v>
      </c>
      <c r="L440" s="2">
        <v>277540</v>
      </c>
      <c r="N440" s="2">
        <v>3500000</v>
      </c>
      <c r="O440" s="2" t="s">
        <v>4585</v>
      </c>
      <c r="P440" s="412">
        <f t="shared" si="20"/>
        <v>0</v>
      </c>
      <c r="Q440" s="412">
        <f t="shared" si="21"/>
        <v>0</v>
      </c>
    </row>
    <row r="441" spans="10:17" x14ac:dyDescent="0.25">
      <c r="J441" s="2">
        <v>44649</v>
      </c>
      <c r="K441" s="2" t="s">
        <v>3174</v>
      </c>
      <c r="L441" s="2">
        <v>277540</v>
      </c>
      <c r="N441" s="2">
        <v>2460000</v>
      </c>
      <c r="O441" s="2" t="s">
        <v>4585</v>
      </c>
      <c r="P441" s="412">
        <f t="shared" si="20"/>
        <v>0</v>
      </c>
      <c r="Q441" s="412">
        <f t="shared" si="21"/>
        <v>0</v>
      </c>
    </row>
    <row r="442" spans="10:17" x14ac:dyDescent="0.25">
      <c r="J442" s="2">
        <v>44649</v>
      </c>
      <c r="K442" s="2" t="s">
        <v>3534</v>
      </c>
      <c r="L442" s="2">
        <v>277540</v>
      </c>
      <c r="N442" s="2">
        <v>5000000</v>
      </c>
      <c r="O442" s="2" t="s">
        <v>4585</v>
      </c>
      <c r="P442" s="412">
        <f t="shared" si="20"/>
        <v>0</v>
      </c>
      <c r="Q442" s="412">
        <f t="shared" si="21"/>
        <v>0</v>
      </c>
    </row>
    <row r="443" spans="10:17" x14ac:dyDescent="0.25">
      <c r="J443" s="2">
        <v>44649</v>
      </c>
      <c r="K443" s="2" t="s">
        <v>3150</v>
      </c>
      <c r="L443" s="2">
        <v>277540</v>
      </c>
      <c r="N443" s="2">
        <v>5250000</v>
      </c>
      <c r="O443" s="2" t="s">
        <v>4585</v>
      </c>
      <c r="P443" s="412">
        <f t="shared" si="20"/>
        <v>0</v>
      </c>
      <c r="Q443" s="412">
        <f t="shared" si="21"/>
        <v>0</v>
      </c>
    </row>
    <row r="444" spans="10:17" x14ac:dyDescent="0.25">
      <c r="J444" s="2">
        <v>44649</v>
      </c>
      <c r="K444" s="2" t="s">
        <v>2456</v>
      </c>
      <c r="L444" s="2">
        <v>277540</v>
      </c>
      <c r="N444" s="2">
        <v>3000000</v>
      </c>
      <c r="O444" s="2" t="s">
        <v>4585</v>
      </c>
      <c r="P444" s="412">
        <f t="shared" si="20"/>
        <v>0</v>
      </c>
      <c r="Q444" s="412">
        <f t="shared" si="21"/>
        <v>0</v>
      </c>
    </row>
    <row r="445" spans="10:17" x14ac:dyDescent="0.25">
      <c r="J445" s="2">
        <v>44649</v>
      </c>
      <c r="K445" s="2" t="s">
        <v>4435</v>
      </c>
      <c r="L445" s="2">
        <v>277540</v>
      </c>
      <c r="M445" s="2">
        <v>2000000</v>
      </c>
      <c r="N445" s="2">
        <v>2000000</v>
      </c>
      <c r="O445" s="2" t="s">
        <v>4585</v>
      </c>
      <c r="P445" s="412">
        <f t="shared" si="20"/>
        <v>0</v>
      </c>
      <c r="Q445" s="412">
        <f t="shared" si="21"/>
        <v>0</v>
      </c>
    </row>
    <row r="446" spans="10:17" x14ac:dyDescent="0.25">
      <c r="J446" s="2">
        <v>44649</v>
      </c>
      <c r="K446" s="2" t="s">
        <v>2453</v>
      </c>
      <c r="L446" s="2">
        <v>277540</v>
      </c>
      <c r="N446" s="2">
        <v>900000000</v>
      </c>
      <c r="O446" s="2" t="s">
        <v>4585</v>
      </c>
      <c r="P446" s="412">
        <f t="shared" si="20"/>
        <v>0</v>
      </c>
      <c r="Q446" s="412">
        <f t="shared" si="21"/>
        <v>0</v>
      </c>
    </row>
    <row r="447" spans="10:17" x14ac:dyDescent="0.25">
      <c r="J447" s="2">
        <v>44649</v>
      </c>
      <c r="K447" s="2" t="s">
        <v>2507</v>
      </c>
      <c r="L447" s="2">
        <v>277540</v>
      </c>
      <c r="N447" s="2">
        <v>258129865</v>
      </c>
      <c r="O447" s="2" t="s">
        <v>4585</v>
      </c>
      <c r="P447" s="412">
        <f t="shared" si="20"/>
        <v>0</v>
      </c>
      <c r="Q447" s="412">
        <f t="shared" si="21"/>
        <v>0</v>
      </c>
    </row>
    <row r="448" spans="10:17" x14ac:dyDescent="0.25">
      <c r="J448" s="2">
        <v>44649</v>
      </c>
      <c r="K448" s="2" t="s">
        <v>2508</v>
      </c>
      <c r="L448" s="2">
        <v>277540</v>
      </c>
      <c r="N448" s="2">
        <v>103715000</v>
      </c>
      <c r="O448" s="2" t="s">
        <v>4585</v>
      </c>
      <c r="P448" s="412">
        <f t="shared" si="20"/>
        <v>0</v>
      </c>
      <c r="Q448" s="412">
        <f t="shared" si="21"/>
        <v>0</v>
      </c>
    </row>
    <row r="449" spans="10:17" x14ac:dyDescent="0.25">
      <c r="J449" s="2">
        <v>44649</v>
      </c>
      <c r="K449" s="2" t="s">
        <v>2448</v>
      </c>
      <c r="L449" s="2">
        <v>277540</v>
      </c>
      <c r="N449" s="2">
        <v>375000000</v>
      </c>
      <c r="O449" s="2" t="s">
        <v>4585</v>
      </c>
      <c r="P449" s="412">
        <f t="shared" si="20"/>
        <v>0</v>
      </c>
      <c r="Q449" s="412">
        <f t="shared" si="21"/>
        <v>0</v>
      </c>
    </row>
    <row r="450" spans="10:17" x14ac:dyDescent="0.25">
      <c r="J450" s="2">
        <v>44649</v>
      </c>
      <c r="K450" s="2" t="s">
        <v>3574</v>
      </c>
      <c r="L450" s="2">
        <v>277540</v>
      </c>
      <c r="N450" s="2">
        <v>5366433</v>
      </c>
      <c r="O450" s="2" t="s">
        <v>4585</v>
      </c>
      <c r="P450" s="412">
        <f t="shared" si="20"/>
        <v>0</v>
      </c>
      <c r="Q450" s="412">
        <f t="shared" si="21"/>
        <v>0</v>
      </c>
    </row>
    <row r="451" spans="10:17" x14ac:dyDescent="0.25">
      <c r="J451" s="2">
        <v>44649</v>
      </c>
      <c r="K451" s="2" t="s">
        <v>4446</v>
      </c>
      <c r="L451" s="2">
        <v>277540</v>
      </c>
      <c r="N451" s="2">
        <v>4876000</v>
      </c>
      <c r="O451" s="2" t="s">
        <v>4585</v>
      </c>
      <c r="P451" s="412">
        <f t="shared" si="20"/>
        <v>0</v>
      </c>
      <c r="Q451" s="412">
        <f t="shared" si="21"/>
        <v>0</v>
      </c>
    </row>
    <row r="452" spans="10:17" x14ac:dyDescent="0.25">
      <c r="J452" s="2">
        <v>44649</v>
      </c>
      <c r="K452" s="2" t="s">
        <v>4802</v>
      </c>
      <c r="L452" s="2">
        <v>277540</v>
      </c>
      <c r="N452" s="2">
        <v>7500000</v>
      </c>
      <c r="O452" s="2" t="s">
        <v>4585</v>
      </c>
      <c r="P452" s="412">
        <f t="shared" si="20"/>
        <v>0</v>
      </c>
      <c r="Q452" s="412">
        <f t="shared" si="21"/>
        <v>0</v>
      </c>
    </row>
    <row r="453" spans="10:17" x14ac:dyDescent="0.25">
      <c r="J453" s="2">
        <v>44649</v>
      </c>
      <c r="K453" s="2" t="s">
        <v>2008</v>
      </c>
      <c r="L453" s="2">
        <v>277540</v>
      </c>
      <c r="N453" s="2">
        <v>12000000</v>
      </c>
      <c r="O453" s="2" t="s">
        <v>4585</v>
      </c>
      <c r="P453" s="412">
        <f t="shared" si="20"/>
        <v>0</v>
      </c>
      <c r="Q453" s="412">
        <f t="shared" si="21"/>
        <v>0</v>
      </c>
    </row>
    <row r="454" spans="10:17" x14ac:dyDescent="0.25">
      <c r="J454" s="2">
        <v>44649</v>
      </c>
      <c r="K454" s="2" t="s">
        <v>2445</v>
      </c>
      <c r="L454" s="2">
        <v>277540</v>
      </c>
      <c r="N454" s="2">
        <v>2000000</v>
      </c>
      <c r="O454" s="2" t="s">
        <v>4585</v>
      </c>
      <c r="P454" s="412">
        <f t="shared" si="20"/>
        <v>0</v>
      </c>
      <c r="Q454" s="412">
        <f t="shared" si="21"/>
        <v>0</v>
      </c>
    </row>
    <row r="455" spans="10:17" x14ac:dyDescent="0.25">
      <c r="J455" s="2">
        <v>44649</v>
      </c>
      <c r="K455" s="2" t="s">
        <v>1869</v>
      </c>
      <c r="L455" s="2">
        <v>277540</v>
      </c>
      <c r="N455" s="2">
        <v>2143000</v>
      </c>
      <c r="O455" s="2" t="s">
        <v>4585</v>
      </c>
      <c r="P455" s="412">
        <f t="shared" si="20"/>
        <v>0</v>
      </c>
      <c r="Q455" s="412">
        <f t="shared" si="21"/>
        <v>0</v>
      </c>
    </row>
    <row r="456" spans="10:17" x14ac:dyDescent="0.25">
      <c r="J456" s="2">
        <v>44649</v>
      </c>
      <c r="K456" s="2" t="s">
        <v>2421</v>
      </c>
      <c r="L456" s="2">
        <v>277540</v>
      </c>
      <c r="N456" s="2">
        <v>6000000</v>
      </c>
      <c r="O456" s="2" t="s">
        <v>4585</v>
      </c>
      <c r="P456" s="412">
        <f t="shared" si="20"/>
        <v>0</v>
      </c>
      <c r="Q456" s="412">
        <f t="shared" si="21"/>
        <v>0</v>
      </c>
    </row>
    <row r="457" spans="10:17" x14ac:dyDescent="0.25">
      <c r="J457" s="2">
        <v>44649</v>
      </c>
      <c r="K457" s="2" t="s">
        <v>4620</v>
      </c>
      <c r="L457" s="2">
        <v>277540</v>
      </c>
      <c r="N457" s="2">
        <v>7964000</v>
      </c>
      <c r="O457" s="2" t="s">
        <v>4585</v>
      </c>
      <c r="P457" s="412">
        <f t="shared" si="20"/>
        <v>0</v>
      </c>
      <c r="Q457" s="412">
        <f t="shared" si="21"/>
        <v>0</v>
      </c>
    </row>
    <row r="458" spans="10:17" x14ac:dyDescent="0.25">
      <c r="J458" s="2">
        <v>44649</v>
      </c>
      <c r="K458" s="2" t="s">
        <v>3137</v>
      </c>
      <c r="L458" s="2">
        <v>277540</v>
      </c>
      <c r="N458" s="2">
        <v>2600000</v>
      </c>
      <c r="O458" s="2" t="s">
        <v>4585</v>
      </c>
      <c r="P458" s="412">
        <f t="shared" si="20"/>
        <v>0</v>
      </c>
      <c r="Q458" s="412">
        <f t="shared" si="21"/>
        <v>0</v>
      </c>
    </row>
    <row r="459" spans="10:17" x14ac:dyDescent="0.25">
      <c r="J459" s="2">
        <v>44649</v>
      </c>
      <c r="K459" s="2" t="s">
        <v>4842</v>
      </c>
      <c r="L459" s="2">
        <v>277540</v>
      </c>
      <c r="N459" s="2">
        <v>35642000</v>
      </c>
      <c r="O459" s="2" t="s">
        <v>4585</v>
      </c>
      <c r="P459" s="412">
        <f t="shared" ref="P459:P522" si="22">IF(O459="AVAILABLE",SUMIFS($E$6:$E$16,$C$6:$C$16,L459,$D$6:$D$16,K459)/MAX(IF(O459="AVAILABLE",COUNTIFS($D$6:$D$16,K459,$C$6:$C$16,L459),1),1),IF(O459="REPO COLLATERAL",SUMIFS($E$18:$E$53,$C$18:$C$53,L459,$D$18:$D$53,K459),0)/MAX(IF(O459="REPO COLLATERAL",COUNTIFS($D$19:$D$94,K459),1),1))</f>
        <v>0</v>
      </c>
      <c r="Q459" s="412">
        <f t="shared" ref="Q459:Q522" si="23">IF(LEFT(K459,4)="RP00",0,IF(ISNA(VLOOKUP(L459,$C$6:$C$11,1,FALSE)),0,IF(L459&lt;&gt;"",ABS(N459-P459),0)))</f>
        <v>0</v>
      </c>
    </row>
    <row r="460" spans="10:17" x14ac:dyDescent="0.25">
      <c r="J460" s="2">
        <v>44649</v>
      </c>
      <c r="K460" s="2" t="s">
        <v>3637</v>
      </c>
      <c r="L460" s="2">
        <v>277540</v>
      </c>
      <c r="N460" s="2">
        <v>369468000</v>
      </c>
      <c r="O460" s="2" t="s">
        <v>4585</v>
      </c>
      <c r="P460" s="412">
        <f t="shared" si="22"/>
        <v>0</v>
      </c>
      <c r="Q460" s="412">
        <f t="shared" si="23"/>
        <v>0</v>
      </c>
    </row>
    <row r="461" spans="10:17" x14ac:dyDescent="0.25">
      <c r="J461" s="2">
        <v>44649</v>
      </c>
      <c r="K461" s="2" t="s">
        <v>2154</v>
      </c>
      <c r="L461" s="2">
        <v>277540</v>
      </c>
      <c r="N461" s="2">
        <v>11424000</v>
      </c>
      <c r="O461" s="2" t="s">
        <v>4585</v>
      </c>
      <c r="P461" s="412">
        <f t="shared" si="22"/>
        <v>0</v>
      </c>
      <c r="Q461" s="412">
        <f t="shared" si="23"/>
        <v>0</v>
      </c>
    </row>
    <row r="462" spans="10:17" x14ac:dyDescent="0.25">
      <c r="J462" s="2">
        <v>44649</v>
      </c>
      <c r="K462" s="2" t="s">
        <v>2152</v>
      </c>
      <c r="L462" s="2">
        <v>277540</v>
      </c>
      <c r="N462" s="2">
        <v>10200000</v>
      </c>
      <c r="O462" s="2" t="s">
        <v>4585</v>
      </c>
      <c r="P462" s="412">
        <f t="shared" si="22"/>
        <v>0</v>
      </c>
      <c r="Q462" s="412">
        <f t="shared" si="23"/>
        <v>0</v>
      </c>
    </row>
    <row r="463" spans="10:17" x14ac:dyDescent="0.25">
      <c r="J463" s="2">
        <v>44649</v>
      </c>
      <c r="K463" s="2" t="s">
        <v>2650</v>
      </c>
      <c r="L463" s="2">
        <v>277540</v>
      </c>
      <c r="N463" s="2">
        <v>5500000</v>
      </c>
      <c r="O463" s="2" t="s">
        <v>4585</v>
      </c>
      <c r="P463" s="412">
        <f t="shared" si="22"/>
        <v>0</v>
      </c>
      <c r="Q463" s="412">
        <f t="shared" si="23"/>
        <v>0</v>
      </c>
    </row>
    <row r="464" spans="10:17" x14ac:dyDescent="0.25">
      <c r="J464" s="2">
        <v>44649</v>
      </c>
      <c r="K464" s="2" t="s">
        <v>4550</v>
      </c>
      <c r="L464" s="2">
        <v>277540</v>
      </c>
      <c r="M464" s="2">
        <v>2200000</v>
      </c>
      <c r="N464" s="2">
        <v>2200000</v>
      </c>
      <c r="O464" s="2" t="s">
        <v>4585</v>
      </c>
      <c r="P464" s="412">
        <f t="shared" si="22"/>
        <v>0</v>
      </c>
      <c r="Q464" s="412">
        <f t="shared" si="23"/>
        <v>0</v>
      </c>
    </row>
    <row r="465" spans="10:17" x14ac:dyDescent="0.25">
      <c r="J465" s="2">
        <v>44649</v>
      </c>
      <c r="K465" s="2" t="s">
        <v>4810</v>
      </c>
      <c r="L465" s="2">
        <v>277540</v>
      </c>
      <c r="N465" s="2">
        <v>3000000</v>
      </c>
      <c r="O465" s="2" t="s">
        <v>4585</v>
      </c>
      <c r="P465" s="412">
        <f t="shared" si="22"/>
        <v>0</v>
      </c>
      <c r="Q465" s="412">
        <f t="shared" si="23"/>
        <v>0</v>
      </c>
    </row>
    <row r="466" spans="10:17" x14ac:dyDescent="0.25">
      <c r="J466" s="2">
        <v>44649</v>
      </c>
      <c r="K466" s="2" t="s">
        <v>3571</v>
      </c>
      <c r="L466" s="2">
        <v>277540</v>
      </c>
      <c r="N466" s="2">
        <v>4000000</v>
      </c>
      <c r="O466" s="2" t="s">
        <v>4585</v>
      </c>
      <c r="P466" s="412">
        <f t="shared" si="22"/>
        <v>0</v>
      </c>
      <c r="Q466" s="412">
        <f t="shared" si="23"/>
        <v>0</v>
      </c>
    </row>
    <row r="467" spans="10:17" x14ac:dyDescent="0.25">
      <c r="J467" s="2">
        <v>44649</v>
      </c>
      <c r="K467" s="2" t="s">
        <v>2443</v>
      </c>
      <c r="L467" s="2">
        <v>277540</v>
      </c>
      <c r="N467" s="2">
        <v>5600000</v>
      </c>
      <c r="O467" s="2" t="s">
        <v>4585</v>
      </c>
      <c r="P467" s="412">
        <f t="shared" si="22"/>
        <v>0</v>
      </c>
      <c r="Q467" s="412">
        <f t="shared" si="23"/>
        <v>0</v>
      </c>
    </row>
    <row r="468" spans="10:17" x14ac:dyDescent="0.25">
      <c r="J468" s="2">
        <v>44649</v>
      </c>
      <c r="K468" s="2" t="s">
        <v>1947</v>
      </c>
      <c r="L468" s="2">
        <v>277540</v>
      </c>
      <c r="N468" s="2">
        <v>2000000</v>
      </c>
      <c r="O468" s="2" t="s">
        <v>4585</v>
      </c>
      <c r="P468" s="412">
        <f t="shared" si="22"/>
        <v>0</v>
      </c>
      <c r="Q468" s="412">
        <f t="shared" si="23"/>
        <v>0</v>
      </c>
    </row>
    <row r="469" spans="10:17" x14ac:dyDescent="0.25">
      <c r="J469" s="2">
        <v>44649</v>
      </c>
      <c r="K469" s="2" t="s">
        <v>4008</v>
      </c>
      <c r="L469" s="2">
        <v>141757</v>
      </c>
      <c r="M469" s="2">
        <v>3344900</v>
      </c>
      <c r="N469" s="2">
        <v>3344900</v>
      </c>
      <c r="O469" s="2" t="s">
        <v>4580</v>
      </c>
      <c r="P469" s="412">
        <f t="shared" si="22"/>
        <v>0</v>
      </c>
      <c r="Q469" s="412">
        <f t="shared" si="23"/>
        <v>0</v>
      </c>
    </row>
    <row r="470" spans="10:17" x14ac:dyDescent="0.25">
      <c r="J470" s="2">
        <v>44649</v>
      </c>
      <c r="K470" s="2" t="s">
        <v>4008</v>
      </c>
      <c r="L470" s="2">
        <v>142019</v>
      </c>
      <c r="M470" s="2">
        <v>1502100</v>
      </c>
      <c r="N470" s="2">
        <v>1502100</v>
      </c>
      <c r="O470" s="2" t="s">
        <v>4580</v>
      </c>
      <c r="P470" s="412">
        <f t="shared" si="22"/>
        <v>0</v>
      </c>
      <c r="Q470" s="412">
        <f t="shared" si="23"/>
        <v>0</v>
      </c>
    </row>
    <row r="471" spans="10:17" x14ac:dyDescent="0.25">
      <c r="J471" s="2">
        <v>44649</v>
      </c>
      <c r="K471" s="2" t="s">
        <v>3300</v>
      </c>
      <c r="L471" s="2">
        <v>277540</v>
      </c>
      <c r="N471" s="2">
        <v>50790000</v>
      </c>
      <c r="O471" s="2" t="s">
        <v>4585</v>
      </c>
      <c r="P471" s="412">
        <f t="shared" si="22"/>
        <v>0</v>
      </c>
      <c r="Q471" s="412">
        <f t="shared" si="23"/>
        <v>0</v>
      </c>
    </row>
    <row r="472" spans="10:17" x14ac:dyDescent="0.25">
      <c r="J472" s="2">
        <v>44649</v>
      </c>
      <c r="K472" s="2" t="s">
        <v>3601</v>
      </c>
      <c r="L472" s="2">
        <v>277540</v>
      </c>
      <c r="N472" s="2">
        <v>7297000</v>
      </c>
      <c r="O472" s="2" t="s">
        <v>4585</v>
      </c>
      <c r="P472" s="412">
        <f t="shared" si="22"/>
        <v>0</v>
      </c>
      <c r="Q472" s="412">
        <f t="shared" si="23"/>
        <v>0</v>
      </c>
    </row>
    <row r="473" spans="10:17" x14ac:dyDescent="0.25">
      <c r="J473" s="2">
        <v>44649</v>
      </c>
      <c r="K473" s="2" t="s">
        <v>2527</v>
      </c>
      <c r="L473" s="2">
        <v>277540</v>
      </c>
      <c r="N473" s="2">
        <v>2000000</v>
      </c>
      <c r="O473" s="2" t="s">
        <v>4585</v>
      </c>
      <c r="P473" s="412">
        <f t="shared" si="22"/>
        <v>0</v>
      </c>
      <c r="Q473" s="412">
        <f t="shared" si="23"/>
        <v>0</v>
      </c>
    </row>
    <row r="474" spans="10:17" x14ac:dyDescent="0.25">
      <c r="J474" s="2">
        <v>44649</v>
      </c>
      <c r="K474" s="2" t="s">
        <v>1772</v>
      </c>
      <c r="L474" s="2">
        <v>277540</v>
      </c>
      <c r="N474" s="2">
        <v>6000000</v>
      </c>
      <c r="O474" s="2" t="s">
        <v>4585</v>
      </c>
      <c r="P474" s="412">
        <f t="shared" si="22"/>
        <v>0</v>
      </c>
      <c r="Q474" s="412">
        <f t="shared" si="23"/>
        <v>0</v>
      </c>
    </row>
    <row r="475" spans="10:17" x14ac:dyDescent="0.25">
      <c r="J475" s="2">
        <v>44649</v>
      </c>
      <c r="K475" s="2" t="s">
        <v>4004</v>
      </c>
      <c r="L475" s="2">
        <v>141757</v>
      </c>
      <c r="M475" s="2">
        <v>2070000</v>
      </c>
      <c r="N475" s="2">
        <v>2070000</v>
      </c>
      <c r="O475" s="2" t="s">
        <v>4580</v>
      </c>
      <c r="P475" s="412">
        <f t="shared" si="22"/>
        <v>0</v>
      </c>
      <c r="Q475" s="412">
        <f t="shared" si="23"/>
        <v>0</v>
      </c>
    </row>
    <row r="476" spans="10:17" x14ac:dyDescent="0.25">
      <c r="J476" s="2">
        <v>44649</v>
      </c>
      <c r="K476" s="2" t="s">
        <v>4004</v>
      </c>
      <c r="L476" s="2">
        <v>142019</v>
      </c>
      <c r="M476" s="2">
        <v>930000</v>
      </c>
      <c r="N476" s="2">
        <v>930000</v>
      </c>
      <c r="O476" s="2" t="s">
        <v>4580</v>
      </c>
      <c r="P476" s="412">
        <f t="shared" si="22"/>
        <v>0</v>
      </c>
      <c r="Q476" s="412">
        <f t="shared" si="23"/>
        <v>0</v>
      </c>
    </row>
    <row r="477" spans="10:17" x14ac:dyDescent="0.25">
      <c r="J477" s="2">
        <v>44649</v>
      </c>
      <c r="K477" s="2" t="s">
        <v>4570</v>
      </c>
      <c r="L477" s="2">
        <v>277540</v>
      </c>
      <c r="N477" s="2">
        <v>4000000</v>
      </c>
      <c r="O477" s="2" t="s">
        <v>4585</v>
      </c>
      <c r="P477" s="412">
        <f t="shared" si="22"/>
        <v>0</v>
      </c>
      <c r="Q477" s="412">
        <f t="shared" si="23"/>
        <v>0</v>
      </c>
    </row>
    <row r="478" spans="10:17" x14ac:dyDescent="0.25">
      <c r="J478" s="2">
        <v>44649</v>
      </c>
      <c r="K478" s="2" t="s">
        <v>4586</v>
      </c>
      <c r="L478" s="2">
        <v>277540</v>
      </c>
      <c r="N478" s="2">
        <v>4000000</v>
      </c>
      <c r="O478" s="2" t="s">
        <v>4585</v>
      </c>
      <c r="P478" s="412">
        <f t="shared" si="22"/>
        <v>0</v>
      </c>
      <c r="Q478" s="412">
        <f t="shared" si="23"/>
        <v>0</v>
      </c>
    </row>
    <row r="479" spans="10:17" x14ac:dyDescent="0.25">
      <c r="J479" s="2">
        <v>44649</v>
      </c>
      <c r="K479" s="2" t="s">
        <v>4001</v>
      </c>
      <c r="L479" s="2">
        <v>141757</v>
      </c>
      <c r="M479" s="2">
        <v>6900001</v>
      </c>
      <c r="N479" s="2">
        <v>6900001</v>
      </c>
      <c r="O479" s="2" t="s">
        <v>4580</v>
      </c>
      <c r="P479" s="412">
        <f t="shared" si="22"/>
        <v>0</v>
      </c>
      <c r="Q479" s="412">
        <f t="shared" si="23"/>
        <v>0</v>
      </c>
    </row>
    <row r="480" spans="10:17" x14ac:dyDescent="0.25">
      <c r="J480" s="2">
        <v>44649</v>
      </c>
      <c r="K480" s="2" t="s">
        <v>4001</v>
      </c>
      <c r="L480" s="2">
        <v>142019</v>
      </c>
      <c r="M480" s="2">
        <v>3099999</v>
      </c>
      <c r="N480" s="2">
        <v>3099999</v>
      </c>
      <c r="O480" s="2" t="s">
        <v>4580</v>
      </c>
      <c r="P480" s="412">
        <f t="shared" si="22"/>
        <v>0</v>
      </c>
      <c r="Q480" s="412">
        <f t="shared" si="23"/>
        <v>0</v>
      </c>
    </row>
    <row r="481" spans="10:17" x14ac:dyDescent="0.25">
      <c r="J481" s="2">
        <v>44649</v>
      </c>
      <c r="K481" s="2" t="s">
        <v>3546</v>
      </c>
      <c r="L481" s="2">
        <v>277540</v>
      </c>
      <c r="N481" s="2">
        <v>12325000</v>
      </c>
      <c r="O481" s="2" t="s">
        <v>4585</v>
      </c>
      <c r="P481" s="412">
        <f t="shared" si="22"/>
        <v>0</v>
      </c>
      <c r="Q481" s="412">
        <f t="shared" si="23"/>
        <v>0</v>
      </c>
    </row>
    <row r="482" spans="10:17" x14ac:dyDescent="0.25">
      <c r="J482" s="2">
        <v>44649</v>
      </c>
      <c r="K482" s="2" t="s">
        <v>3999</v>
      </c>
      <c r="L482" s="2">
        <v>141757</v>
      </c>
      <c r="M482" s="2">
        <v>13334500</v>
      </c>
      <c r="N482" s="2">
        <v>13334500</v>
      </c>
      <c r="O482" s="2" t="s">
        <v>4580</v>
      </c>
      <c r="P482" s="412">
        <f t="shared" si="22"/>
        <v>0</v>
      </c>
      <c r="Q482" s="412">
        <f t="shared" si="23"/>
        <v>0</v>
      </c>
    </row>
    <row r="483" spans="10:17" x14ac:dyDescent="0.25">
      <c r="J483" s="2">
        <v>44649</v>
      </c>
      <c r="K483" s="2" t="s">
        <v>3999</v>
      </c>
      <c r="L483" s="2">
        <v>142019</v>
      </c>
      <c r="M483" s="2">
        <v>5990500</v>
      </c>
      <c r="N483" s="2">
        <v>5990500</v>
      </c>
      <c r="O483" s="2" t="s">
        <v>4580</v>
      </c>
      <c r="P483" s="412">
        <f t="shared" si="22"/>
        <v>0</v>
      </c>
      <c r="Q483" s="412">
        <f t="shared" si="23"/>
        <v>0</v>
      </c>
    </row>
    <row r="484" spans="10:17" x14ac:dyDescent="0.25">
      <c r="J484" s="2">
        <v>44649</v>
      </c>
      <c r="K484" s="2" t="s">
        <v>2440</v>
      </c>
      <c r="L484" s="2">
        <v>277540</v>
      </c>
      <c r="N484" s="2">
        <v>1675000</v>
      </c>
      <c r="O484" s="2" t="s">
        <v>4585</v>
      </c>
      <c r="P484" s="412">
        <f t="shared" si="22"/>
        <v>0</v>
      </c>
      <c r="Q484" s="412">
        <f t="shared" si="23"/>
        <v>0</v>
      </c>
    </row>
    <row r="485" spans="10:17" x14ac:dyDescent="0.25">
      <c r="J485" s="2">
        <v>44649</v>
      </c>
      <c r="K485" s="2" t="s">
        <v>2050</v>
      </c>
      <c r="L485" s="2">
        <v>277540</v>
      </c>
      <c r="N485" s="2">
        <v>3000000</v>
      </c>
      <c r="O485" s="2" t="s">
        <v>4585</v>
      </c>
      <c r="P485" s="412">
        <f t="shared" si="22"/>
        <v>0</v>
      </c>
      <c r="Q485" s="412">
        <f t="shared" si="23"/>
        <v>0</v>
      </c>
    </row>
    <row r="486" spans="10:17" x14ac:dyDescent="0.25">
      <c r="J486" s="2">
        <v>44649</v>
      </c>
      <c r="K486" s="2" t="s">
        <v>2437</v>
      </c>
      <c r="L486" s="2">
        <v>277540</v>
      </c>
      <c r="N486" s="2">
        <v>5000000</v>
      </c>
      <c r="O486" s="2" t="s">
        <v>4585</v>
      </c>
      <c r="P486" s="412">
        <f t="shared" si="22"/>
        <v>0</v>
      </c>
      <c r="Q486" s="412">
        <f t="shared" si="23"/>
        <v>0</v>
      </c>
    </row>
    <row r="487" spans="10:17" x14ac:dyDescent="0.25">
      <c r="J487" s="2">
        <v>44649</v>
      </c>
      <c r="K487" s="2" t="s">
        <v>2132</v>
      </c>
      <c r="L487" s="2">
        <v>277540</v>
      </c>
      <c r="N487" s="2">
        <v>1000000</v>
      </c>
      <c r="O487" s="2" t="s">
        <v>4585</v>
      </c>
      <c r="P487" s="412">
        <f t="shared" si="22"/>
        <v>0</v>
      </c>
      <c r="Q487" s="412">
        <f t="shared" si="23"/>
        <v>0</v>
      </c>
    </row>
    <row r="488" spans="10:17" x14ac:dyDescent="0.25">
      <c r="J488" s="2">
        <v>44649</v>
      </c>
      <c r="K488" s="2" t="s">
        <v>4632</v>
      </c>
      <c r="L488" s="2">
        <v>277540</v>
      </c>
      <c r="N488" s="2">
        <v>11000000</v>
      </c>
      <c r="O488" s="2" t="s">
        <v>4585</v>
      </c>
      <c r="P488" s="412">
        <f t="shared" si="22"/>
        <v>0</v>
      </c>
      <c r="Q488" s="412">
        <f t="shared" si="23"/>
        <v>0</v>
      </c>
    </row>
    <row r="489" spans="10:17" x14ac:dyDescent="0.25">
      <c r="J489" s="2">
        <v>44649</v>
      </c>
      <c r="K489" s="2" t="s">
        <v>3594</v>
      </c>
      <c r="L489" s="2">
        <v>277540</v>
      </c>
      <c r="N489" s="2">
        <v>2800000</v>
      </c>
      <c r="O489" s="2" t="s">
        <v>4585</v>
      </c>
      <c r="P489" s="412">
        <f t="shared" si="22"/>
        <v>0</v>
      </c>
      <c r="Q489" s="412">
        <f t="shared" si="23"/>
        <v>0</v>
      </c>
    </row>
    <row r="490" spans="10:17" x14ac:dyDescent="0.25">
      <c r="J490" s="2">
        <v>44649</v>
      </c>
      <c r="K490" s="2" t="s">
        <v>4584</v>
      </c>
      <c r="L490" s="2">
        <v>277540</v>
      </c>
      <c r="N490" s="2">
        <v>7000000</v>
      </c>
      <c r="O490" s="2" t="s">
        <v>4585</v>
      </c>
      <c r="P490" s="412">
        <f t="shared" si="22"/>
        <v>0</v>
      </c>
      <c r="Q490" s="412">
        <f t="shared" si="23"/>
        <v>0</v>
      </c>
    </row>
    <row r="491" spans="10:17" x14ac:dyDescent="0.25">
      <c r="J491" s="2">
        <v>44649</v>
      </c>
      <c r="K491" s="2" t="s">
        <v>3977</v>
      </c>
      <c r="L491" s="2">
        <v>277540</v>
      </c>
      <c r="N491" s="2">
        <v>4000000</v>
      </c>
      <c r="O491" s="2" t="s">
        <v>4585</v>
      </c>
      <c r="P491" s="412">
        <f t="shared" si="22"/>
        <v>0</v>
      </c>
      <c r="Q491" s="412">
        <f t="shared" si="23"/>
        <v>0</v>
      </c>
    </row>
    <row r="492" spans="10:17" x14ac:dyDescent="0.25">
      <c r="J492" s="2">
        <v>44649</v>
      </c>
      <c r="K492" s="2" t="s">
        <v>3639</v>
      </c>
      <c r="L492" s="2">
        <v>277540</v>
      </c>
      <c r="N492" s="2">
        <v>2302000</v>
      </c>
      <c r="O492" s="2" t="s">
        <v>4585</v>
      </c>
      <c r="P492" s="412">
        <f t="shared" si="22"/>
        <v>0</v>
      </c>
      <c r="Q492" s="412">
        <f t="shared" si="23"/>
        <v>0</v>
      </c>
    </row>
    <row r="493" spans="10:17" x14ac:dyDescent="0.25">
      <c r="J493" s="2">
        <v>44649</v>
      </c>
      <c r="K493" s="2" t="s">
        <v>3175</v>
      </c>
      <c r="L493" s="2">
        <v>277540</v>
      </c>
      <c r="N493" s="2">
        <v>2350000</v>
      </c>
      <c r="O493" s="2" t="s">
        <v>4585</v>
      </c>
      <c r="P493" s="412">
        <f t="shared" si="22"/>
        <v>0</v>
      </c>
      <c r="Q493" s="412">
        <f t="shared" si="23"/>
        <v>0</v>
      </c>
    </row>
    <row r="494" spans="10:17" x14ac:dyDescent="0.25">
      <c r="J494" s="2">
        <v>44649</v>
      </c>
      <c r="K494" s="2" t="s">
        <v>3068</v>
      </c>
      <c r="L494" s="2">
        <v>277540</v>
      </c>
      <c r="N494" s="2">
        <v>450000</v>
      </c>
      <c r="O494" s="2" t="s">
        <v>4585</v>
      </c>
      <c r="P494" s="412">
        <f t="shared" si="22"/>
        <v>0</v>
      </c>
      <c r="Q494" s="412">
        <f t="shared" si="23"/>
        <v>0</v>
      </c>
    </row>
    <row r="495" spans="10:17" x14ac:dyDescent="0.25">
      <c r="J495" s="2">
        <v>44649</v>
      </c>
      <c r="K495" s="2" t="s">
        <v>4621</v>
      </c>
      <c r="L495" s="2">
        <v>277540</v>
      </c>
      <c r="N495" s="2">
        <v>4000000</v>
      </c>
      <c r="O495" s="2" t="s">
        <v>4585</v>
      </c>
      <c r="P495" s="412">
        <f t="shared" si="22"/>
        <v>0</v>
      </c>
      <c r="Q495" s="412">
        <f t="shared" si="23"/>
        <v>0</v>
      </c>
    </row>
    <row r="496" spans="10:17" x14ac:dyDescent="0.25">
      <c r="J496" s="2">
        <v>44649</v>
      </c>
      <c r="K496" s="2" t="s">
        <v>4407</v>
      </c>
      <c r="L496" s="2">
        <v>277540</v>
      </c>
      <c r="N496" s="2">
        <v>4250000</v>
      </c>
      <c r="O496" s="2" t="s">
        <v>4585</v>
      </c>
      <c r="P496" s="412">
        <f t="shared" si="22"/>
        <v>0</v>
      </c>
      <c r="Q496" s="412">
        <f t="shared" si="23"/>
        <v>0</v>
      </c>
    </row>
    <row r="497" spans="10:17" x14ac:dyDescent="0.25">
      <c r="J497" s="2">
        <v>44649</v>
      </c>
      <c r="K497" s="2" t="s">
        <v>1593</v>
      </c>
      <c r="L497" s="2">
        <v>277540</v>
      </c>
      <c r="N497" s="2">
        <v>3000000</v>
      </c>
      <c r="O497" s="2" t="s">
        <v>4585</v>
      </c>
      <c r="P497" s="412">
        <f t="shared" si="22"/>
        <v>0</v>
      </c>
      <c r="Q497" s="412">
        <f t="shared" si="23"/>
        <v>0</v>
      </c>
    </row>
    <row r="498" spans="10:17" x14ac:dyDescent="0.25">
      <c r="J498" s="2">
        <v>44649</v>
      </c>
      <c r="K498" s="2" t="s">
        <v>1746</v>
      </c>
      <c r="L498" s="2">
        <v>277540</v>
      </c>
      <c r="N498" s="2">
        <v>6000000</v>
      </c>
      <c r="O498" s="2" t="s">
        <v>4585</v>
      </c>
      <c r="P498" s="412">
        <f t="shared" si="22"/>
        <v>0</v>
      </c>
      <c r="Q498" s="412">
        <f t="shared" si="23"/>
        <v>0</v>
      </c>
    </row>
    <row r="499" spans="10:17" x14ac:dyDescent="0.25">
      <c r="J499" s="2">
        <v>44649</v>
      </c>
      <c r="K499" s="2" t="s">
        <v>1034</v>
      </c>
      <c r="L499" s="2">
        <v>277540</v>
      </c>
      <c r="N499" s="2">
        <v>11000000</v>
      </c>
      <c r="O499" s="2" t="s">
        <v>4585</v>
      </c>
      <c r="P499" s="412">
        <f t="shared" si="22"/>
        <v>0</v>
      </c>
      <c r="Q499" s="412">
        <f t="shared" si="23"/>
        <v>0</v>
      </c>
    </row>
    <row r="500" spans="10:17" x14ac:dyDescent="0.25">
      <c r="J500" s="2">
        <v>44649</v>
      </c>
      <c r="K500" s="2" t="s">
        <v>2432</v>
      </c>
      <c r="L500" s="2">
        <v>277540</v>
      </c>
      <c r="N500" s="2">
        <v>2000000</v>
      </c>
      <c r="O500" s="2" t="s">
        <v>4585</v>
      </c>
      <c r="P500" s="412">
        <f t="shared" si="22"/>
        <v>0</v>
      </c>
      <c r="Q500" s="412">
        <f t="shared" si="23"/>
        <v>0</v>
      </c>
    </row>
    <row r="501" spans="10:17" x14ac:dyDescent="0.25">
      <c r="J501" s="2">
        <v>44649</v>
      </c>
      <c r="K501" s="2" t="s">
        <v>5058</v>
      </c>
      <c r="L501" s="2">
        <v>277540</v>
      </c>
      <c r="N501" s="2">
        <v>15000000</v>
      </c>
      <c r="O501" s="2" t="s">
        <v>4585</v>
      </c>
      <c r="P501" s="412">
        <f t="shared" si="22"/>
        <v>0</v>
      </c>
      <c r="Q501" s="412">
        <f t="shared" si="23"/>
        <v>0</v>
      </c>
    </row>
    <row r="502" spans="10:17" x14ac:dyDescent="0.25">
      <c r="J502" s="2">
        <v>44649</v>
      </c>
      <c r="K502" s="2" t="s">
        <v>3640</v>
      </c>
      <c r="L502" s="2">
        <v>277540</v>
      </c>
      <c r="N502" s="2">
        <v>2500000</v>
      </c>
      <c r="O502" s="2" t="s">
        <v>4585</v>
      </c>
      <c r="P502" s="412">
        <f t="shared" si="22"/>
        <v>0</v>
      </c>
      <c r="Q502" s="412">
        <f t="shared" si="23"/>
        <v>0</v>
      </c>
    </row>
    <row r="503" spans="10:17" x14ac:dyDescent="0.25">
      <c r="J503" s="2">
        <v>44649</v>
      </c>
      <c r="K503" s="2" t="s">
        <v>2296</v>
      </c>
      <c r="L503" s="2">
        <v>277540</v>
      </c>
      <c r="N503" s="2">
        <v>5360000</v>
      </c>
      <c r="O503" s="2" t="s">
        <v>4585</v>
      </c>
      <c r="P503" s="412">
        <f t="shared" si="22"/>
        <v>0</v>
      </c>
      <c r="Q503" s="412">
        <f t="shared" si="23"/>
        <v>0</v>
      </c>
    </row>
    <row r="504" spans="10:17" x14ac:dyDescent="0.25">
      <c r="J504" s="2">
        <v>44649</v>
      </c>
      <c r="K504" s="2" t="s">
        <v>2297</v>
      </c>
      <c r="L504" s="2">
        <v>277540</v>
      </c>
      <c r="N504" s="2">
        <v>4287000</v>
      </c>
      <c r="O504" s="2" t="s">
        <v>4585</v>
      </c>
      <c r="P504" s="412">
        <f t="shared" si="22"/>
        <v>0</v>
      </c>
      <c r="Q504" s="412">
        <f t="shared" si="23"/>
        <v>0</v>
      </c>
    </row>
    <row r="505" spans="10:17" x14ac:dyDescent="0.25">
      <c r="J505" s="2">
        <v>44649</v>
      </c>
      <c r="K505" s="2" t="s">
        <v>2298</v>
      </c>
      <c r="L505" s="2">
        <v>277540</v>
      </c>
      <c r="N505" s="2">
        <v>43000000</v>
      </c>
      <c r="O505" s="2" t="s">
        <v>4585</v>
      </c>
      <c r="P505" s="412">
        <f t="shared" si="22"/>
        <v>0</v>
      </c>
      <c r="Q505" s="412">
        <f t="shared" si="23"/>
        <v>0</v>
      </c>
    </row>
    <row r="506" spans="10:17" x14ac:dyDescent="0.25">
      <c r="J506" s="2">
        <v>44649</v>
      </c>
      <c r="K506" s="2" t="s">
        <v>2037</v>
      </c>
      <c r="L506" s="2">
        <v>277540</v>
      </c>
      <c r="N506" s="2">
        <v>911000</v>
      </c>
      <c r="O506" s="2" t="s">
        <v>4585</v>
      </c>
      <c r="P506" s="412">
        <f t="shared" si="22"/>
        <v>0</v>
      </c>
      <c r="Q506" s="412">
        <f t="shared" si="23"/>
        <v>0</v>
      </c>
    </row>
    <row r="507" spans="10:17" x14ac:dyDescent="0.25">
      <c r="J507" s="2">
        <v>44649</v>
      </c>
      <c r="K507" s="2" t="s">
        <v>2034</v>
      </c>
      <c r="L507" s="2">
        <v>277540</v>
      </c>
      <c r="N507" s="2">
        <v>3301000</v>
      </c>
      <c r="O507" s="2" t="s">
        <v>4585</v>
      </c>
      <c r="P507" s="412">
        <f t="shared" si="22"/>
        <v>0</v>
      </c>
      <c r="Q507" s="412">
        <f t="shared" si="23"/>
        <v>0</v>
      </c>
    </row>
    <row r="508" spans="10:17" x14ac:dyDescent="0.25">
      <c r="J508" s="2">
        <v>44649</v>
      </c>
      <c r="K508" s="2" t="s">
        <v>2040</v>
      </c>
      <c r="L508" s="2">
        <v>277540</v>
      </c>
      <c r="N508" s="2">
        <v>13037292</v>
      </c>
      <c r="O508" s="2" t="s">
        <v>4585</v>
      </c>
      <c r="P508" s="412">
        <f t="shared" si="22"/>
        <v>0</v>
      </c>
      <c r="Q508" s="412">
        <f t="shared" si="23"/>
        <v>0</v>
      </c>
    </row>
    <row r="509" spans="10:17" x14ac:dyDescent="0.25">
      <c r="J509" s="2">
        <v>44649</v>
      </c>
      <c r="K509" s="2" t="s">
        <v>1678</v>
      </c>
      <c r="L509" s="2">
        <v>277540</v>
      </c>
      <c r="N509" s="2">
        <v>3676000</v>
      </c>
      <c r="O509" s="2" t="s">
        <v>4585</v>
      </c>
      <c r="P509" s="412">
        <f t="shared" si="22"/>
        <v>0</v>
      </c>
      <c r="Q509" s="412">
        <f t="shared" si="23"/>
        <v>0</v>
      </c>
    </row>
    <row r="510" spans="10:17" x14ac:dyDescent="0.25">
      <c r="J510" s="2">
        <v>44649</v>
      </c>
      <c r="K510" s="2" t="s">
        <v>1676</v>
      </c>
      <c r="L510" s="2">
        <v>277540</v>
      </c>
      <c r="N510" s="2">
        <v>1852000</v>
      </c>
      <c r="O510" s="2" t="s">
        <v>4585</v>
      </c>
      <c r="P510" s="412">
        <f t="shared" si="22"/>
        <v>0</v>
      </c>
      <c r="Q510" s="412">
        <f t="shared" si="23"/>
        <v>0</v>
      </c>
    </row>
    <row r="511" spans="10:17" x14ac:dyDescent="0.25">
      <c r="J511" s="2">
        <v>44649</v>
      </c>
      <c r="K511" s="2" t="s">
        <v>1673</v>
      </c>
      <c r="L511" s="2">
        <v>277540</v>
      </c>
      <c r="N511" s="2">
        <v>16975000</v>
      </c>
      <c r="O511" s="2" t="s">
        <v>4585</v>
      </c>
      <c r="P511" s="412">
        <f t="shared" si="22"/>
        <v>0</v>
      </c>
      <c r="Q511" s="412">
        <f t="shared" si="23"/>
        <v>0</v>
      </c>
    </row>
    <row r="512" spans="10:17" x14ac:dyDescent="0.25">
      <c r="J512" s="2">
        <v>44649</v>
      </c>
      <c r="K512" s="2" t="s">
        <v>2540</v>
      </c>
      <c r="L512" s="2">
        <v>277540</v>
      </c>
      <c r="N512" s="2">
        <v>584000</v>
      </c>
      <c r="O512" s="2" t="s">
        <v>4585</v>
      </c>
      <c r="P512" s="412">
        <f t="shared" si="22"/>
        <v>0</v>
      </c>
      <c r="Q512" s="412">
        <f t="shared" si="23"/>
        <v>0</v>
      </c>
    </row>
    <row r="513" spans="10:17" x14ac:dyDescent="0.25">
      <c r="J513" s="2">
        <v>44649</v>
      </c>
      <c r="K513" s="2" t="s">
        <v>2541</v>
      </c>
      <c r="L513" s="2">
        <v>277540</v>
      </c>
      <c r="N513" s="2">
        <v>1010000</v>
      </c>
      <c r="O513" s="2" t="s">
        <v>4585</v>
      </c>
      <c r="P513" s="412">
        <f t="shared" si="22"/>
        <v>0</v>
      </c>
      <c r="Q513" s="412">
        <f t="shared" si="23"/>
        <v>0</v>
      </c>
    </row>
    <row r="514" spans="10:17" x14ac:dyDescent="0.25">
      <c r="J514" s="2">
        <v>44649</v>
      </c>
      <c r="K514" s="2" t="s">
        <v>2544</v>
      </c>
      <c r="L514" s="2">
        <v>277540</v>
      </c>
      <c r="N514" s="2">
        <v>12902000</v>
      </c>
      <c r="O514" s="2" t="s">
        <v>4585</v>
      </c>
      <c r="P514" s="412">
        <f t="shared" si="22"/>
        <v>0</v>
      </c>
      <c r="Q514" s="412">
        <f t="shared" si="23"/>
        <v>0</v>
      </c>
    </row>
    <row r="515" spans="10:17" x14ac:dyDescent="0.25">
      <c r="J515" s="2">
        <v>44649</v>
      </c>
      <c r="K515" s="2" t="s">
        <v>5062</v>
      </c>
      <c r="L515" s="2">
        <v>277540</v>
      </c>
      <c r="N515" s="2">
        <v>2043000</v>
      </c>
      <c r="O515" s="2" t="s">
        <v>4585</v>
      </c>
      <c r="P515" s="412">
        <f t="shared" si="22"/>
        <v>0</v>
      </c>
      <c r="Q515" s="412">
        <f t="shared" si="23"/>
        <v>0</v>
      </c>
    </row>
    <row r="516" spans="10:17" x14ac:dyDescent="0.25">
      <c r="J516" s="2">
        <v>44649</v>
      </c>
      <c r="K516" s="2" t="s">
        <v>5063</v>
      </c>
      <c r="L516" s="2">
        <v>277540</v>
      </c>
      <c r="N516" s="2">
        <v>2454000</v>
      </c>
      <c r="O516" s="2" t="s">
        <v>4585</v>
      </c>
      <c r="P516" s="412">
        <f t="shared" si="22"/>
        <v>0</v>
      </c>
      <c r="Q516" s="412">
        <f t="shared" si="23"/>
        <v>0</v>
      </c>
    </row>
    <row r="517" spans="10:17" x14ac:dyDescent="0.25">
      <c r="J517" s="2">
        <v>44649</v>
      </c>
      <c r="K517" s="2" t="s">
        <v>5064</v>
      </c>
      <c r="L517" s="2">
        <v>277540</v>
      </c>
      <c r="N517" s="2">
        <v>2713000</v>
      </c>
      <c r="O517" s="2" t="s">
        <v>4585</v>
      </c>
      <c r="P517" s="412">
        <f t="shared" si="22"/>
        <v>0</v>
      </c>
      <c r="Q517" s="412">
        <f t="shared" si="23"/>
        <v>0</v>
      </c>
    </row>
    <row r="518" spans="10:17" x14ac:dyDescent="0.25">
      <c r="J518" s="2">
        <v>44649</v>
      </c>
      <c r="K518" s="2" t="s">
        <v>5065</v>
      </c>
      <c r="L518" s="2">
        <v>277540</v>
      </c>
      <c r="N518" s="2">
        <v>19508000</v>
      </c>
      <c r="O518" s="2" t="s">
        <v>4585</v>
      </c>
      <c r="P518" s="412">
        <f t="shared" si="22"/>
        <v>0</v>
      </c>
      <c r="Q518" s="412">
        <f t="shared" si="23"/>
        <v>0</v>
      </c>
    </row>
    <row r="519" spans="10:17" x14ac:dyDescent="0.25">
      <c r="J519" s="2">
        <v>44649</v>
      </c>
      <c r="K519" s="2" t="s">
        <v>4436</v>
      </c>
      <c r="L519" s="2">
        <v>277540</v>
      </c>
      <c r="M519" s="2">
        <v>2250000</v>
      </c>
      <c r="N519" s="2">
        <v>2250000</v>
      </c>
      <c r="O519" s="2" t="s">
        <v>4585</v>
      </c>
      <c r="P519" s="412">
        <f t="shared" si="22"/>
        <v>0</v>
      </c>
      <c r="Q519" s="412">
        <f t="shared" si="23"/>
        <v>0</v>
      </c>
    </row>
    <row r="520" spans="10:17" x14ac:dyDescent="0.25">
      <c r="J520" s="2">
        <v>44649</v>
      </c>
      <c r="K520" s="2" t="s">
        <v>3641</v>
      </c>
      <c r="L520" s="2">
        <v>277540</v>
      </c>
      <c r="N520" s="2">
        <v>10000000</v>
      </c>
      <c r="O520" s="2" t="s">
        <v>4585</v>
      </c>
      <c r="P520" s="412">
        <f t="shared" si="22"/>
        <v>0</v>
      </c>
      <c r="Q520" s="412">
        <f t="shared" si="23"/>
        <v>0</v>
      </c>
    </row>
    <row r="521" spans="10:17" x14ac:dyDescent="0.25">
      <c r="J521" s="2">
        <v>44649</v>
      </c>
      <c r="K521" s="2" t="s">
        <v>1881</v>
      </c>
      <c r="L521" s="2">
        <v>277540</v>
      </c>
      <c r="N521" s="2">
        <v>2500000</v>
      </c>
      <c r="O521" s="2" t="s">
        <v>4585</v>
      </c>
      <c r="P521" s="412">
        <f t="shared" si="22"/>
        <v>0</v>
      </c>
      <c r="Q521" s="412">
        <f t="shared" si="23"/>
        <v>0</v>
      </c>
    </row>
    <row r="522" spans="10:17" x14ac:dyDescent="0.25">
      <c r="J522" s="2">
        <v>44649</v>
      </c>
      <c r="K522" s="2" t="s">
        <v>1862</v>
      </c>
      <c r="L522" s="2">
        <v>277540</v>
      </c>
      <c r="N522" s="2">
        <v>3000000</v>
      </c>
      <c r="O522" s="2" t="s">
        <v>4585</v>
      </c>
      <c r="P522" s="412">
        <f t="shared" si="22"/>
        <v>0</v>
      </c>
      <c r="Q522" s="412">
        <f t="shared" si="23"/>
        <v>0</v>
      </c>
    </row>
    <row r="523" spans="10:17" x14ac:dyDescent="0.25">
      <c r="J523" s="2">
        <v>44649</v>
      </c>
      <c r="K523" s="2" t="s">
        <v>4437</v>
      </c>
      <c r="L523" s="2">
        <v>277540</v>
      </c>
      <c r="M523" s="2">
        <v>4000000</v>
      </c>
      <c r="N523" s="2">
        <v>4000000</v>
      </c>
      <c r="O523" s="2" t="s">
        <v>4585</v>
      </c>
      <c r="P523" s="412">
        <f t="shared" ref="P523:P586" si="24">IF(O523="AVAILABLE",SUMIFS($E$6:$E$16,$C$6:$C$16,L523,$D$6:$D$16,K523)/MAX(IF(O523="AVAILABLE",COUNTIFS($D$6:$D$16,K523,$C$6:$C$16,L523),1),1),IF(O523="REPO COLLATERAL",SUMIFS($E$18:$E$53,$C$18:$C$53,L523,$D$18:$D$53,K523),0)/MAX(IF(O523="REPO COLLATERAL",COUNTIFS($D$19:$D$94,K523),1),1))</f>
        <v>0</v>
      </c>
      <c r="Q523" s="412">
        <f t="shared" ref="Q523:Q586" si="25">IF(LEFT(K523,4)="RP00",0,IF(ISNA(VLOOKUP(L523,$C$6:$C$11,1,FALSE)),0,IF(L523&lt;&gt;"",ABS(N523-P523),0)))</f>
        <v>0</v>
      </c>
    </row>
    <row r="524" spans="10:17" x14ac:dyDescent="0.25">
      <c r="J524" s="2">
        <v>44649</v>
      </c>
      <c r="K524" s="2" t="s">
        <v>4438</v>
      </c>
      <c r="L524" s="2">
        <v>277540</v>
      </c>
      <c r="M524" s="2">
        <v>1750000</v>
      </c>
      <c r="N524" s="2">
        <v>1750000</v>
      </c>
      <c r="O524" s="2" t="s">
        <v>4585</v>
      </c>
      <c r="P524" s="412">
        <f t="shared" si="24"/>
        <v>0</v>
      </c>
      <c r="Q524" s="412">
        <f t="shared" si="25"/>
        <v>0</v>
      </c>
    </row>
    <row r="525" spans="10:17" x14ac:dyDescent="0.25">
      <c r="J525" s="2">
        <v>44649</v>
      </c>
      <c r="K525" s="2" t="s">
        <v>4800</v>
      </c>
      <c r="L525" s="2">
        <v>277540</v>
      </c>
      <c r="N525" s="2">
        <v>5000000</v>
      </c>
      <c r="O525" s="2" t="s">
        <v>4585</v>
      </c>
      <c r="P525" s="412">
        <f t="shared" si="24"/>
        <v>0</v>
      </c>
      <c r="Q525" s="412">
        <f t="shared" si="25"/>
        <v>0</v>
      </c>
    </row>
    <row r="526" spans="10:17" x14ac:dyDescent="0.25">
      <c r="J526" s="2">
        <v>44649</v>
      </c>
      <c r="K526" s="2" t="s">
        <v>1913</v>
      </c>
      <c r="L526" s="2">
        <v>277540</v>
      </c>
      <c r="N526" s="2">
        <v>3226000</v>
      </c>
      <c r="O526" s="2" t="s">
        <v>4585</v>
      </c>
      <c r="P526" s="412">
        <f t="shared" si="24"/>
        <v>0</v>
      </c>
      <c r="Q526" s="412">
        <f t="shared" si="25"/>
        <v>0</v>
      </c>
    </row>
    <row r="527" spans="10:17" x14ac:dyDescent="0.25">
      <c r="J527" s="2">
        <v>44649</v>
      </c>
      <c r="K527" s="2" t="s">
        <v>3628</v>
      </c>
      <c r="L527" s="2">
        <v>277540</v>
      </c>
      <c r="N527" s="2">
        <v>250000</v>
      </c>
      <c r="O527" s="2" t="s">
        <v>4585</v>
      </c>
      <c r="P527" s="412">
        <f t="shared" si="24"/>
        <v>0</v>
      </c>
      <c r="Q527" s="412">
        <f t="shared" si="25"/>
        <v>0</v>
      </c>
    </row>
    <row r="528" spans="10:17" x14ac:dyDescent="0.25">
      <c r="J528" s="2">
        <v>44649</v>
      </c>
      <c r="K528" s="2" t="s">
        <v>3456</v>
      </c>
      <c r="L528" s="2">
        <v>277540</v>
      </c>
      <c r="N528" s="2">
        <v>750000</v>
      </c>
      <c r="O528" s="2" t="s">
        <v>4585</v>
      </c>
      <c r="P528" s="412">
        <f t="shared" si="24"/>
        <v>0</v>
      </c>
      <c r="Q528" s="412">
        <f t="shared" si="25"/>
        <v>0</v>
      </c>
    </row>
    <row r="529" spans="16:17" x14ac:dyDescent="0.25">
      <c r="P529" s="412">
        <f t="shared" si="24"/>
        <v>0</v>
      </c>
      <c r="Q529" s="412">
        <f t="shared" si="25"/>
        <v>0</v>
      </c>
    </row>
    <row r="530" spans="16:17" x14ac:dyDescent="0.25">
      <c r="P530" s="412">
        <f t="shared" si="24"/>
        <v>0</v>
      </c>
      <c r="Q530" s="412">
        <f t="shared" si="25"/>
        <v>0</v>
      </c>
    </row>
    <row r="531" spans="16:17" x14ac:dyDescent="0.25">
      <c r="P531" s="412">
        <f t="shared" si="24"/>
        <v>0</v>
      </c>
      <c r="Q531" s="412">
        <f t="shared" si="25"/>
        <v>0</v>
      </c>
    </row>
    <row r="532" spans="16:17" x14ac:dyDescent="0.25">
      <c r="P532" s="412">
        <f t="shared" si="24"/>
        <v>0</v>
      </c>
      <c r="Q532" s="412">
        <f t="shared" si="25"/>
        <v>0</v>
      </c>
    </row>
    <row r="533" spans="16:17" x14ac:dyDescent="0.25">
      <c r="P533" s="412">
        <f t="shared" si="24"/>
        <v>0</v>
      </c>
      <c r="Q533" s="412">
        <f t="shared" si="25"/>
        <v>0</v>
      </c>
    </row>
    <row r="534" spans="16:17" x14ac:dyDescent="0.25">
      <c r="P534" s="412">
        <f t="shared" si="24"/>
        <v>0</v>
      </c>
      <c r="Q534" s="412">
        <f t="shared" si="25"/>
        <v>0</v>
      </c>
    </row>
    <row r="535" spans="16:17" x14ac:dyDescent="0.25">
      <c r="P535" s="412">
        <f t="shared" si="24"/>
        <v>0</v>
      </c>
      <c r="Q535" s="412">
        <f t="shared" si="25"/>
        <v>0</v>
      </c>
    </row>
    <row r="536" spans="16:17" x14ac:dyDescent="0.25">
      <c r="P536" s="412">
        <f t="shared" si="24"/>
        <v>0</v>
      </c>
      <c r="Q536" s="412">
        <f t="shared" si="25"/>
        <v>0</v>
      </c>
    </row>
    <row r="537" spans="16:17" x14ac:dyDescent="0.25">
      <c r="P537" s="412">
        <f t="shared" si="24"/>
        <v>0</v>
      </c>
      <c r="Q537" s="412">
        <f t="shared" si="25"/>
        <v>0</v>
      </c>
    </row>
    <row r="538" spans="16:17" x14ac:dyDescent="0.25">
      <c r="P538" s="412">
        <f t="shared" si="24"/>
        <v>0</v>
      </c>
      <c r="Q538" s="412">
        <f t="shared" si="25"/>
        <v>0</v>
      </c>
    </row>
    <row r="539" spans="16:17" x14ac:dyDescent="0.25">
      <c r="P539" s="412">
        <f t="shared" si="24"/>
        <v>0</v>
      </c>
      <c r="Q539" s="412">
        <f t="shared" si="25"/>
        <v>0</v>
      </c>
    </row>
    <row r="540" spans="16:17" x14ac:dyDescent="0.25">
      <c r="P540" s="412">
        <f t="shared" si="24"/>
        <v>0</v>
      </c>
      <c r="Q540" s="412">
        <f t="shared" si="25"/>
        <v>0</v>
      </c>
    </row>
    <row r="541" spans="16:17" x14ac:dyDescent="0.25">
      <c r="P541" s="412">
        <f t="shared" si="24"/>
        <v>0</v>
      </c>
      <c r="Q541" s="412">
        <f t="shared" si="25"/>
        <v>0</v>
      </c>
    </row>
    <row r="542" spans="16:17" x14ac:dyDescent="0.25">
      <c r="P542" s="412">
        <f t="shared" si="24"/>
        <v>0</v>
      </c>
      <c r="Q542" s="412">
        <f t="shared" si="25"/>
        <v>0</v>
      </c>
    </row>
    <row r="543" spans="16:17" x14ac:dyDescent="0.25">
      <c r="P543" s="412">
        <f t="shared" si="24"/>
        <v>0</v>
      </c>
      <c r="Q543" s="412">
        <f t="shared" si="25"/>
        <v>0</v>
      </c>
    </row>
    <row r="544" spans="16:17" x14ac:dyDescent="0.25">
      <c r="P544" s="412">
        <f t="shared" si="24"/>
        <v>0</v>
      </c>
      <c r="Q544" s="412">
        <f t="shared" si="25"/>
        <v>0</v>
      </c>
    </row>
    <row r="545" spans="16:17" x14ac:dyDescent="0.25">
      <c r="P545" s="412">
        <f t="shared" si="24"/>
        <v>0</v>
      </c>
      <c r="Q545" s="412">
        <f t="shared" si="25"/>
        <v>0</v>
      </c>
    </row>
    <row r="546" spans="16:17" x14ac:dyDescent="0.25">
      <c r="P546" s="412">
        <f t="shared" si="24"/>
        <v>0</v>
      </c>
      <c r="Q546" s="412">
        <f t="shared" si="25"/>
        <v>0</v>
      </c>
    </row>
    <row r="547" spans="16:17" x14ac:dyDescent="0.25">
      <c r="P547" s="412">
        <f t="shared" si="24"/>
        <v>0</v>
      </c>
      <c r="Q547" s="412">
        <f t="shared" si="25"/>
        <v>0</v>
      </c>
    </row>
    <row r="548" spans="16:17" x14ac:dyDescent="0.25">
      <c r="P548" s="412">
        <f t="shared" si="24"/>
        <v>0</v>
      </c>
      <c r="Q548" s="412">
        <f t="shared" si="25"/>
        <v>0</v>
      </c>
    </row>
    <row r="549" spans="16:17" x14ac:dyDescent="0.25">
      <c r="P549" s="412">
        <f t="shared" si="24"/>
        <v>0</v>
      </c>
      <c r="Q549" s="412">
        <f t="shared" si="25"/>
        <v>0</v>
      </c>
    </row>
    <row r="550" spans="16:17" x14ac:dyDescent="0.25">
      <c r="P550" s="412">
        <f t="shared" si="24"/>
        <v>0</v>
      </c>
      <c r="Q550" s="412">
        <f t="shared" si="25"/>
        <v>0</v>
      </c>
    </row>
    <row r="551" spans="16:17" x14ac:dyDescent="0.25">
      <c r="P551" s="412">
        <f t="shared" si="24"/>
        <v>0</v>
      </c>
      <c r="Q551" s="412">
        <f t="shared" si="25"/>
        <v>0</v>
      </c>
    </row>
    <row r="552" spans="16:17" x14ac:dyDescent="0.25">
      <c r="P552" s="412">
        <f t="shared" si="24"/>
        <v>0</v>
      </c>
      <c r="Q552" s="412">
        <f t="shared" si="25"/>
        <v>0</v>
      </c>
    </row>
    <row r="553" spans="16:17" x14ac:dyDescent="0.25">
      <c r="P553" s="412">
        <f t="shared" si="24"/>
        <v>0</v>
      </c>
      <c r="Q553" s="412">
        <f t="shared" si="25"/>
        <v>0</v>
      </c>
    </row>
    <row r="554" spans="16:17" x14ac:dyDescent="0.25">
      <c r="P554" s="412">
        <f t="shared" si="24"/>
        <v>0</v>
      </c>
      <c r="Q554" s="412">
        <f t="shared" si="25"/>
        <v>0</v>
      </c>
    </row>
    <row r="555" spans="16:17" x14ac:dyDescent="0.25">
      <c r="P555" s="412">
        <f t="shared" si="24"/>
        <v>0</v>
      </c>
      <c r="Q555" s="412">
        <f t="shared" si="25"/>
        <v>0</v>
      </c>
    </row>
    <row r="556" spans="16:17" x14ac:dyDescent="0.25">
      <c r="P556" s="412">
        <f t="shared" si="24"/>
        <v>0</v>
      </c>
      <c r="Q556" s="412">
        <f t="shared" si="25"/>
        <v>0</v>
      </c>
    </row>
    <row r="557" spans="16:17" x14ac:dyDescent="0.25">
      <c r="P557" s="412">
        <f t="shared" si="24"/>
        <v>0</v>
      </c>
      <c r="Q557" s="412">
        <f t="shared" si="25"/>
        <v>0</v>
      </c>
    </row>
    <row r="558" spans="16:17" x14ac:dyDescent="0.25">
      <c r="P558" s="412">
        <f t="shared" si="24"/>
        <v>0</v>
      </c>
      <c r="Q558" s="412">
        <f t="shared" si="25"/>
        <v>0</v>
      </c>
    </row>
    <row r="559" spans="16:17" x14ac:dyDescent="0.25">
      <c r="P559" s="412">
        <f t="shared" si="24"/>
        <v>0</v>
      </c>
      <c r="Q559" s="412">
        <f t="shared" si="25"/>
        <v>0</v>
      </c>
    </row>
    <row r="560" spans="16:17" x14ac:dyDescent="0.25">
      <c r="P560" s="412">
        <f t="shared" si="24"/>
        <v>0</v>
      </c>
      <c r="Q560" s="412">
        <f t="shared" si="25"/>
        <v>0</v>
      </c>
    </row>
    <row r="561" spans="16:17" x14ac:dyDescent="0.25">
      <c r="P561" s="412">
        <f t="shared" si="24"/>
        <v>0</v>
      </c>
      <c r="Q561" s="412">
        <f t="shared" si="25"/>
        <v>0</v>
      </c>
    </row>
    <row r="562" spans="16:17" x14ac:dyDescent="0.25">
      <c r="P562" s="412">
        <f t="shared" si="24"/>
        <v>0</v>
      </c>
      <c r="Q562" s="412">
        <f t="shared" si="25"/>
        <v>0</v>
      </c>
    </row>
    <row r="563" spans="16:17" x14ac:dyDescent="0.25">
      <c r="P563" s="412">
        <f t="shared" si="24"/>
        <v>0</v>
      </c>
      <c r="Q563" s="412">
        <f t="shared" si="25"/>
        <v>0</v>
      </c>
    </row>
    <row r="564" spans="16:17" x14ac:dyDescent="0.25">
      <c r="P564" s="412">
        <f t="shared" si="24"/>
        <v>0</v>
      </c>
      <c r="Q564" s="412">
        <f t="shared" si="25"/>
        <v>0</v>
      </c>
    </row>
    <row r="565" spans="16:17" x14ac:dyDescent="0.25">
      <c r="P565" s="412">
        <f t="shared" si="24"/>
        <v>0</v>
      </c>
      <c r="Q565" s="412">
        <f t="shared" si="25"/>
        <v>0</v>
      </c>
    </row>
    <row r="566" spans="16:17" x14ac:dyDescent="0.25">
      <c r="P566" s="412">
        <f t="shared" si="24"/>
        <v>0</v>
      </c>
      <c r="Q566" s="412">
        <f t="shared" si="25"/>
        <v>0</v>
      </c>
    </row>
    <row r="567" spans="16:17" x14ac:dyDescent="0.25">
      <c r="P567" s="412">
        <f t="shared" si="24"/>
        <v>0</v>
      </c>
      <c r="Q567" s="412">
        <f t="shared" si="25"/>
        <v>0</v>
      </c>
    </row>
    <row r="568" spans="16:17" x14ac:dyDescent="0.25">
      <c r="P568" s="412">
        <f t="shared" si="24"/>
        <v>0</v>
      </c>
      <c r="Q568" s="412">
        <f t="shared" si="25"/>
        <v>0</v>
      </c>
    </row>
    <row r="569" spans="16:17" x14ac:dyDescent="0.25">
      <c r="P569" s="412">
        <f t="shared" si="24"/>
        <v>0</v>
      </c>
      <c r="Q569" s="412">
        <f t="shared" si="25"/>
        <v>0</v>
      </c>
    </row>
    <row r="570" spans="16:17" x14ac:dyDescent="0.25">
      <c r="P570" s="412">
        <f t="shared" si="24"/>
        <v>0</v>
      </c>
      <c r="Q570" s="412">
        <f t="shared" si="25"/>
        <v>0</v>
      </c>
    </row>
    <row r="571" spans="16:17" x14ac:dyDescent="0.25">
      <c r="P571" s="412">
        <f t="shared" si="24"/>
        <v>0</v>
      </c>
      <c r="Q571" s="412">
        <f t="shared" si="25"/>
        <v>0</v>
      </c>
    </row>
    <row r="572" spans="16:17" x14ac:dyDescent="0.25">
      <c r="P572" s="412">
        <f t="shared" si="24"/>
        <v>0</v>
      </c>
      <c r="Q572" s="412">
        <f t="shared" si="25"/>
        <v>0</v>
      </c>
    </row>
    <row r="573" spans="16:17" x14ac:dyDescent="0.25">
      <c r="P573" s="412">
        <f t="shared" si="24"/>
        <v>0</v>
      </c>
      <c r="Q573" s="412">
        <f t="shared" si="25"/>
        <v>0</v>
      </c>
    </row>
    <row r="574" spans="16:17" x14ac:dyDescent="0.25">
      <c r="P574" s="412">
        <f t="shared" si="24"/>
        <v>0</v>
      </c>
      <c r="Q574" s="412">
        <f t="shared" si="25"/>
        <v>0</v>
      </c>
    </row>
    <row r="575" spans="16:17" x14ac:dyDescent="0.25">
      <c r="P575" s="412">
        <f t="shared" si="24"/>
        <v>0</v>
      </c>
      <c r="Q575" s="412">
        <f t="shared" si="25"/>
        <v>0</v>
      </c>
    </row>
    <row r="576" spans="16:17" x14ac:dyDescent="0.25">
      <c r="P576" s="412">
        <f t="shared" si="24"/>
        <v>0</v>
      </c>
      <c r="Q576" s="412">
        <f t="shared" si="25"/>
        <v>0</v>
      </c>
    </row>
    <row r="577" spans="16:17" x14ac:dyDescent="0.25">
      <c r="P577" s="412">
        <f t="shared" si="24"/>
        <v>0</v>
      </c>
      <c r="Q577" s="412">
        <f t="shared" si="25"/>
        <v>0</v>
      </c>
    </row>
    <row r="578" spans="16:17" x14ac:dyDescent="0.25">
      <c r="P578" s="412">
        <f t="shared" si="24"/>
        <v>0</v>
      </c>
      <c r="Q578" s="412">
        <f t="shared" si="25"/>
        <v>0</v>
      </c>
    </row>
    <row r="579" spans="16:17" x14ac:dyDescent="0.25">
      <c r="P579" s="412">
        <f t="shared" si="24"/>
        <v>0</v>
      </c>
      <c r="Q579" s="412">
        <f t="shared" si="25"/>
        <v>0</v>
      </c>
    </row>
    <row r="580" spans="16:17" x14ac:dyDescent="0.25">
      <c r="P580" s="412">
        <f t="shared" si="24"/>
        <v>0</v>
      </c>
      <c r="Q580" s="412">
        <f t="shared" si="25"/>
        <v>0</v>
      </c>
    </row>
    <row r="581" spans="16:17" x14ac:dyDescent="0.25">
      <c r="P581" s="412">
        <f t="shared" si="24"/>
        <v>0</v>
      </c>
      <c r="Q581" s="412">
        <f t="shared" si="25"/>
        <v>0</v>
      </c>
    </row>
    <row r="582" spans="16:17" x14ac:dyDescent="0.25">
      <c r="P582" s="412">
        <f t="shared" si="24"/>
        <v>0</v>
      </c>
      <c r="Q582" s="412">
        <f t="shared" si="25"/>
        <v>0</v>
      </c>
    </row>
    <row r="583" spans="16:17" x14ac:dyDescent="0.25">
      <c r="P583" s="412">
        <f t="shared" si="24"/>
        <v>0</v>
      </c>
      <c r="Q583" s="412">
        <f t="shared" si="25"/>
        <v>0</v>
      </c>
    </row>
    <row r="584" spans="16:17" x14ac:dyDescent="0.25">
      <c r="P584" s="412">
        <f t="shared" si="24"/>
        <v>0</v>
      </c>
      <c r="Q584" s="412">
        <f t="shared" si="25"/>
        <v>0</v>
      </c>
    </row>
    <row r="585" spans="16:17" x14ac:dyDescent="0.25">
      <c r="P585" s="412">
        <f t="shared" si="24"/>
        <v>0</v>
      </c>
      <c r="Q585" s="412">
        <f t="shared" si="25"/>
        <v>0</v>
      </c>
    </row>
    <row r="586" spans="16:17" x14ac:dyDescent="0.25">
      <c r="P586" s="412">
        <f t="shared" si="24"/>
        <v>0</v>
      </c>
      <c r="Q586" s="412">
        <f t="shared" si="25"/>
        <v>0</v>
      </c>
    </row>
    <row r="587" spans="16:17" x14ac:dyDescent="0.25">
      <c r="P587" s="412">
        <f t="shared" ref="P587:P609" si="26">IF(O587="AVAILABLE",SUMIFS($E$6:$E$16,$C$6:$C$16,L587,$D$6:$D$16,K587)/MAX(IF(O587="AVAILABLE",COUNTIFS($D$6:$D$16,K587,$C$6:$C$16,L587),1),1),IF(O587="REPO COLLATERAL",SUMIFS($E$18:$E$53,$C$18:$C$53,L587,$D$18:$D$53,K587),0)/MAX(IF(O587="REPO COLLATERAL",COUNTIFS($D$19:$D$94,K587),1),1))</f>
        <v>0</v>
      </c>
      <c r="Q587" s="412">
        <f t="shared" ref="Q587:Q609" si="27">IF(LEFT(K587,4)="RP00",0,IF(ISNA(VLOOKUP(L587,$C$6:$C$11,1,FALSE)),0,IF(L587&lt;&gt;"",ABS(N587-P587),0)))</f>
        <v>0</v>
      </c>
    </row>
    <row r="588" spans="16:17" x14ac:dyDescent="0.25">
      <c r="P588" s="412">
        <f t="shared" si="26"/>
        <v>0</v>
      </c>
      <c r="Q588" s="412">
        <f t="shared" si="27"/>
        <v>0</v>
      </c>
    </row>
    <row r="589" spans="16:17" x14ac:dyDescent="0.25">
      <c r="P589" s="412">
        <f t="shared" si="26"/>
        <v>0</v>
      </c>
      <c r="Q589" s="412">
        <f t="shared" si="27"/>
        <v>0</v>
      </c>
    </row>
    <row r="590" spans="16:17" x14ac:dyDescent="0.25">
      <c r="P590" s="412">
        <f t="shared" si="26"/>
        <v>0</v>
      </c>
      <c r="Q590" s="412">
        <f t="shared" si="27"/>
        <v>0</v>
      </c>
    </row>
    <row r="591" spans="16:17" x14ac:dyDescent="0.25">
      <c r="P591" s="412">
        <f t="shared" si="26"/>
        <v>0</v>
      </c>
      <c r="Q591" s="412">
        <f t="shared" si="27"/>
        <v>0</v>
      </c>
    </row>
    <row r="592" spans="16:17" x14ac:dyDescent="0.25">
      <c r="P592" s="412">
        <f t="shared" si="26"/>
        <v>0</v>
      </c>
      <c r="Q592" s="412">
        <f t="shared" si="27"/>
        <v>0</v>
      </c>
    </row>
    <row r="593" spans="16:17" x14ac:dyDescent="0.25">
      <c r="P593" s="412">
        <f t="shared" si="26"/>
        <v>0</v>
      </c>
      <c r="Q593" s="412">
        <f t="shared" si="27"/>
        <v>0</v>
      </c>
    </row>
    <row r="594" spans="16:17" x14ac:dyDescent="0.25">
      <c r="P594" s="412">
        <f t="shared" si="26"/>
        <v>0</v>
      </c>
      <c r="Q594" s="412">
        <f t="shared" si="27"/>
        <v>0</v>
      </c>
    </row>
    <row r="595" spans="16:17" x14ac:dyDescent="0.25">
      <c r="P595" s="412">
        <f t="shared" si="26"/>
        <v>0</v>
      </c>
      <c r="Q595" s="412">
        <f t="shared" si="27"/>
        <v>0</v>
      </c>
    </row>
    <row r="596" spans="16:17" x14ac:dyDescent="0.25">
      <c r="P596" s="412">
        <f t="shared" si="26"/>
        <v>0</v>
      </c>
      <c r="Q596" s="412">
        <f t="shared" si="27"/>
        <v>0</v>
      </c>
    </row>
    <row r="597" spans="16:17" x14ac:dyDescent="0.25">
      <c r="P597" s="412">
        <f t="shared" si="26"/>
        <v>0</v>
      </c>
      <c r="Q597" s="412">
        <f t="shared" si="27"/>
        <v>0</v>
      </c>
    </row>
    <row r="598" spans="16:17" x14ac:dyDescent="0.25">
      <c r="P598" s="412">
        <f t="shared" si="26"/>
        <v>0</v>
      </c>
      <c r="Q598" s="412">
        <f t="shared" si="27"/>
        <v>0</v>
      </c>
    </row>
    <row r="599" spans="16:17" x14ac:dyDescent="0.25">
      <c r="P599" s="412">
        <f t="shared" si="26"/>
        <v>0</v>
      </c>
      <c r="Q599" s="412">
        <f t="shared" si="27"/>
        <v>0</v>
      </c>
    </row>
    <row r="600" spans="16:17" x14ac:dyDescent="0.25">
      <c r="P600" s="412">
        <f t="shared" si="26"/>
        <v>0</v>
      </c>
      <c r="Q600" s="412">
        <f t="shared" si="27"/>
        <v>0</v>
      </c>
    </row>
    <row r="601" spans="16:17" x14ac:dyDescent="0.25">
      <c r="P601" s="412">
        <f t="shared" si="26"/>
        <v>0</v>
      </c>
      <c r="Q601" s="412">
        <f t="shared" si="27"/>
        <v>0</v>
      </c>
    </row>
    <row r="602" spans="16:17" x14ac:dyDescent="0.25">
      <c r="P602" s="412">
        <f t="shared" si="26"/>
        <v>0</v>
      </c>
      <c r="Q602" s="412">
        <f t="shared" si="27"/>
        <v>0</v>
      </c>
    </row>
    <row r="603" spans="16:17" x14ac:dyDescent="0.25">
      <c r="P603" s="412">
        <f t="shared" si="26"/>
        <v>0</v>
      </c>
      <c r="Q603" s="412">
        <f t="shared" si="27"/>
        <v>0</v>
      </c>
    </row>
    <row r="604" spans="16:17" x14ac:dyDescent="0.25">
      <c r="P604" s="412">
        <f t="shared" si="26"/>
        <v>0</v>
      </c>
      <c r="Q604" s="412">
        <f t="shared" si="27"/>
        <v>0</v>
      </c>
    </row>
    <row r="605" spans="16:17" x14ac:dyDescent="0.25">
      <c r="P605" s="412">
        <f t="shared" si="26"/>
        <v>0</v>
      </c>
      <c r="Q605" s="412">
        <f t="shared" si="27"/>
        <v>0</v>
      </c>
    </row>
    <row r="606" spans="16:17" x14ac:dyDescent="0.25">
      <c r="P606" s="412">
        <f t="shared" si="26"/>
        <v>0</v>
      </c>
      <c r="Q606" s="412">
        <f t="shared" si="27"/>
        <v>0</v>
      </c>
    </row>
    <row r="607" spans="16:17" x14ac:dyDescent="0.25">
      <c r="P607" s="412">
        <f t="shared" si="26"/>
        <v>0</v>
      </c>
      <c r="Q607" s="412">
        <f t="shared" si="27"/>
        <v>0</v>
      </c>
    </row>
    <row r="608" spans="16:17" x14ac:dyDescent="0.25">
      <c r="P608" s="412">
        <f t="shared" si="26"/>
        <v>0</v>
      </c>
      <c r="Q608" s="412">
        <f t="shared" si="27"/>
        <v>0</v>
      </c>
    </row>
    <row r="609" spans="5:17" x14ac:dyDescent="0.25">
      <c r="P609" s="412">
        <f t="shared" si="26"/>
        <v>0</v>
      </c>
      <c r="Q609" s="412">
        <f t="shared" si="27"/>
        <v>0</v>
      </c>
    </row>
    <row r="621" spans="5:17" x14ac:dyDescent="0.25">
      <c r="E621"/>
      <c r="F621"/>
      <c r="G621"/>
      <c r="H621"/>
      <c r="I621"/>
      <c r="J621"/>
      <c r="K621"/>
      <c r="L621"/>
      <c r="M621"/>
    </row>
    <row r="622" spans="5:17" x14ac:dyDescent="0.25">
      <c r="E622"/>
      <c r="F622"/>
      <c r="G622"/>
      <c r="H622"/>
      <c r="I622"/>
      <c r="J622"/>
      <c r="K622"/>
      <c r="L622"/>
      <c r="M622"/>
    </row>
    <row r="623" spans="5:17" x14ac:dyDescent="0.25">
      <c r="E623"/>
      <c r="F623"/>
      <c r="G623"/>
      <c r="H623"/>
      <c r="I623"/>
      <c r="J623"/>
      <c r="K623"/>
      <c r="L623"/>
      <c r="M623"/>
    </row>
    <row r="624" spans="5:17" x14ac:dyDescent="0.25">
      <c r="E624"/>
      <c r="F624"/>
      <c r="G624"/>
      <c r="H624"/>
      <c r="I624"/>
      <c r="J624"/>
      <c r="K624"/>
      <c r="L624"/>
      <c r="M624"/>
    </row>
    <row r="625" spans="5:13" x14ac:dyDescent="0.25">
      <c r="E625"/>
      <c r="F625"/>
      <c r="G625"/>
      <c r="H625"/>
      <c r="I625"/>
      <c r="J625"/>
      <c r="K625"/>
      <c r="L625"/>
      <c r="M625"/>
    </row>
    <row r="626" spans="5:13" x14ac:dyDescent="0.25">
      <c r="E626"/>
      <c r="F626"/>
      <c r="G626"/>
      <c r="H626"/>
      <c r="I626"/>
      <c r="J626"/>
      <c r="K626"/>
      <c r="L626"/>
      <c r="M626"/>
    </row>
    <row r="627" spans="5:13" x14ac:dyDescent="0.25">
      <c r="E627"/>
      <c r="F627"/>
      <c r="G627"/>
      <c r="H627"/>
      <c r="I627"/>
      <c r="J627"/>
      <c r="K627"/>
      <c r="L627"/>
      <c r="M627"/>
    </row>
    <row r="628" spans="5:13" x14ac:dyDescent="0.25">
      <c r="E628"/>
      <c r="F628"/>
      <c r="G628"/>
      <c r="H628"/>
      <c r="I628"/>
      <c r="J628"/>
      <c r="K628"/>
      <c r="L628"/>
      <c r="M628"/>
    </row>
    <row r="629" spans="5:13" x14ac:dyDescent="0.25">
      <c r="E629"/>
      <c r="F629"/>
      <c r="G629"/>
      <c r="H629"/>
      <c r="I629"/>
      <c r="J629"/>
      <c r="K629"/>
      <c r="L629"/>
      <c r="M629"/>
    </row>
    <row r="630" spans="5:13" x14ac:dyDescent="0.25">
      <c r="E630"/>
      <c r="F630"/>
      <c r="G630"/>
      <c r="H630"/>
      <c r="I630"/>
      <c r="J630"/>
      <c r="K630"/>
      <c r="L630"/>
      <c r="M630"/>
    </row>
    <row r="631" spans="5:13" x14ac:dyDescent="0.25">
      <c r="E631"/>
      <c r="F631"/>
      <c r="G631"/>
      <c r="H631"/>
      <c r="I631"/>
      <c r="J631"/>
      <c r="K631"/>
      <c r="L631"/>
      <c r="M631"/>
    </row>
    <row r="632" spans="5:13" x14ac:dyDescent="0.25">
      <c r="E632"/>
      <c r="F632"/>
      <c r="G632"/>
      <c r="H632"/>
      <c r="I632"/>
      <c r="J632"/>
      <c r="K632"/>
      <c r="L632"/>
      <c r="M632"/>
    </row>
    <row r="633" spans="5:13" x14ac:dyDescent="0.25">
      <c r="E633"/>
      <c r="F633"/>
      <c r="G633"/>
      <c r="H633"/>
      <c r="I633"/>
      <c r="J633"/>
      <c r="K633"/>
      <c r="L633"/>
      <c r="M633"/>
    </row>
    <row r="634" spans="5:13" x14ac:dyDescent="0.25">
      <c r="E634"/>
      <c r="F634"/>
      <c r="G634"/>
      <c r="H634"/>
      <c r="I634"/>
      <c r="J634"/>
      <c r="K634"/>
      <c r="L634"/>
      <c r="M634"/>
    </row>
    <row r="635" spans="5:13" x14ac:dyDescent="0.25">
      <c r="E635"/>
      <c r="F635"/>
      <c r="G635"/>
      <c r="H635"/>
      <c r="I635"/>
      <c r="J635"/>
      <c r="K635"/>
      <c r="L635"/>
      <c r="M635"/>
    </row>
    <row r="636" spans="5:13" x14ac:dyDescent="0.25">
      <c r="E636"/>
      <c r="F636"/>
      <c r="G636"/>
      <c r="H636"/>
      <c r="I636"/>
      <c r="J636"/>
      <c r="K636"/>
      <c r="L636"/>
      <c r="M636"/>
    </row>
    <row r="637" spans="5:13" x14ac:dyDescent="0.25">
      <c r="E637"/>
      <c r="F637"/>
      <c r="G637"/>
      <c r="H637"/>
      <c r="I637"/>
      <c r="J637"/>
      <c r="K637"/>
      <c r="L637"/>
      <c r="M637"/>
    </row>
    <row r="638" spans="5:13" x14ac:dyDescent="0.25">
      <c r="E638"/>
      <c r="F638"/>
      <c r="G638"/>
      <c r="H638"/>
      <c r="I638"/>
      <c r="J638"/>
      <c r="K638"/>
      <c r="L638"/>
      <c r="M638"/>
    </row>
  </sheetData>
  <mergeCells count="5">
    <mergeCell ref="B17:C17"/>
    <mergeCell ref="B12:C12"/>
    <mergeCell ref="B4:C4"/>
    <mergeCell ref="B2:C2"/>
    <mergeCell ref="J2:K2"/>
  </mergeCells>
  <conditionalFormatting sqref="Q6:Q609 G6:G94">
    <cfRule type="cellIs" dxfId="24" priority="5" operator="notEqual">
      <formula>0</formula>
    </cfRule>
  </conditionalFormatting>
  <conditionalFormatting sqref="G15">
    <cfRule type="cellIs" dxfId="23" priority="4" operator="notEqual">
      <formula>0</formula>
    </cfRule>
  </conditionalFormatting>
  <conditionalFormatting sqref="Q5:Q609">
    <cfRule type="cellIs" dxfId="22" priority="1" operator="notEqual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03724-5ADC-4CD5-AD8C-7CE511668F79}">
  <sheetPr codeName="Sheet1"/>
  <dimension ref="B1:U348"/>
  <sheetViews>
    <sheetView workbookViewId="0"/>
  </sheetViews>
  <sheetFormatPr defaultColWidth="9.140625" defaultRowHeight="15" x14ac:dyDescent="0.25"/>
  <cols>
    <col min="1" max="1" width="4.140625" style="765" customWidth="1"/>
    <col min="2" max="2" width="19.85546875" style="765" bestFit="1" customWidth="1"/>
    <col min="3" max="3" width="12" style="765" customWidth="1"/>
    <col min="4" max="4" width="14.42578125" style="765" customWidth="1"/>
    <col min="5" max="6" width="15.5703125" style="765" customWidth="1"/>
    <col min="7" max="8" width="2.85546875" style="765" customWidth="1"/>
    <col min="9" max="9" width="34.85546875" style="765" bestFit="1" customWidth="1"/>
    <col min="10" max="10" width="13" style="765" customWidth="1"/>
    <col min="11" max="11" width="21.140625" style="765" customWidth="1"/>
    <col min="12" max="12" width="18.5703125" style="765" bestFit="1" customWidth="1"/>
    <col min="13" max="13" width="18.85546875" style="765" bestFit="1" customWidth="1"/>
    <col min="14" max="14" width="25.140625" style="765" customWidth="1"/>
    <col min="15" max="15" width="15.140625" style="765" bestFit="1" customWidth="1"/>
    <col min="16" max="16" width="16.140625" style="765" customWidth="1"/>
    <col min="17" max="17" width="14.42578125" style="765" customWidth="1"/>
    <col min="18" max="18" width="14.140625" style="765" bestFit="1" customWidth="1"/>
    <col min="19" max="19" width="9.140625" style="765"/>
    <col min="20" max="21" width="9.5703125" style="765" bestFit="1" customWidth="1"/>
    <col min="22" max="16384" width="9.140625" style="765"/>
  </cols>
  <sheetData>
    <row r="1" spans="2:21" ht="15.75" thickBot="1" x14ac:dyDescent="0.3">
      <c r="H1" s="411"/>
    </row>
    <row r="2" spans="2:21" ht="16.5" thickTop="1" thickBot="1" x14ac:dyDescent="0.3">
      <c r="B2" s="1287" t="s">
        <v>740</v>
      </c>
      <c r="C2" s="1288"/>
      <c r="D2" s="765" t="s">
        <v>449</v>
      </c>
      <c r="E2" s="765" t="b">
        <f>SUM(F6:F11)&lt;0.05</f>
        <v>0</v>
      </c>
      <c r="H2" s="411"/>
      <c r="I2" s="1287" t="s">
        <v>741</v>
      </c>
      <c r="J2" s="1288"/>
    </row>
    <row r="3" spans="2:21" ht="16.5" thickTop="1" thickBot="1" x14ac:dyDescent="0.3">
      <c r="H3" s="411"/>
    </row>
    <row r="4" spans="2:21" ht="16.5" thickTop="1" thickBot="1" x14ac:dyDescent="0.3">
      <c r="B4" s="1285" t="s">
        <v>444</v>
      </c>
      <c r="C4" s="1286"/>
      <c r="F4" s="102"/>
      <c r="H4" s="411"/>
      <c r="I4" s="801" t="s">
        <v>742</v>
      </c>
      <c r="J4" s="43" t="s">
        <v>743</v>
      </c>
      <c r="K4" s="44" t="s">
        <v>744</v>
      </c>
      <c r="L4" s="802" t="s">
        <v>457</v>
      </c>
      <c r="M4" s="802" t="s">
        <v>745</v>
      </c>
      <c r="N4" s="43" t="s">
        <v>746</v>
      </c>
      <c r="O4" s="803" t="s">
        <v>747</v>
      </c>
      <c r="P4" s="803" t="s">
        <v>748</v>
      </c>
      <c r="Q4" s="803" t="s">
        <v>749</v>
      </c>
      <c r="R4" s="802" t="s">
        <v>750</v>
      </c>
      <c r="S4" s="43" t="s">
        <v>751</v>
      </c>
      <c r="T4" s="43" t="s">
        <v>752</v>
      </c>
      <c r="U4" s="43" t="s">
        <v>753</v>
      </c>
    </row>
    <row r="5" spans="2:21" ht="15.75" thickTop="1" x14ac:dyDescent="0.25">
      <c r="B5" s="44" t="s">
        <v>434</v>
      </c>
      <c r="C5" s="44" t="s">
        <v>435</v>
      </c>
      <c r="D5" s="44" t="s">
        <v>754</v>
      </c>
      <c r="E5" s="44" t="s">
        <v>447</v>
      </c>
      <c r="F5" s="44" t="s">
        <v>448</v>
      </c>
      <c r="G5" s="319"/>
      <c r="H5" s="411"/>
      <c r="I5" s="768">
        <v>44460</v>
      </c>
      <c r="K5" s="766"/>
      <c r="L5" s="767"/>
      <c r="M5" s="767"/>
      <c r="O5" s="412"/>
      <c r="P5" s="412"/>
      <c r="Q5" s="412"/>
      <c r="R5" s="767"/>
      <c r="S5" s="29"/>
      <c r="U5" s="260">
        <v>2728.36</v>
      </c>
    </row>
    <row r="6" spans="2:21" x14ac:dyDescent="0.25">
      <c r="B6" s="765" t="s">
        <v>438</v>
      </c>
      <c r="C6" s="766">
        <v>540200</v>
      </c>
      <c r="D6" s="767">
        <f>'Balance Sheet'!D68</f>
        <v>50.699999999999989</v>
      </c>
      <c r="E6" s="117">
        <f>SUMIF($L$7:$L$367,C6,$U$7:$U$367)</f>
        <v>0</v>
      </c>
      <c r="F6" s="117">
        <f>ABS(D6-E6)</f>
        <v>50.699999999999989</v>
      </c>
      <c r="G6" s="117"/>
      <c r="H6" s="411"/>
      <c r="I6" s="768"/>
      <c r="K6" s="766"/>
      <c r="L6" s="767"/>
      <c r="M6" s="767"/>
      <c r="O6" s="412"/>
      <c r="P6" s="412"/>
      <c r="Q6" s="412"/>
      <c r="R6" s="767"/>
      <c r="U6" s="260">
        <v>1364.18</v>
      </c>
    </row>
    <row r="7" spans="2:21" x14ac:dyDescent="0.25">
      <c r="B7" s="765" t="s">
        <v>439</v>
      </c>
      <c r="C7" s="766"/>
      <c r="D7" s="879"/>
      <c r="E7" s="117">
        <f>SUMIF($L$7:$L$367,C7,$U$7:$U$367)</f>
        <v>0</v>
      </c>
      <c r="F7" s="117">
        <f>ABS(D7-E7)</f>
        <v>0</v>
      </c>
      <c r="G7" s="117"/>
      <c r="H7" s="411"/>
      <c r="I7" s="768"/>
      <c r="J7" s="10">
        <v>44460</v>
      </c>
      <c r="K7" s="766"/>
      <c r="L7" s="767"/>
      <c r="M7" s="767" t="s">
        <v>755</v>
      </c>
      <c r="N7" s="765" t="s">
        <v>756</v>
      </c>
      <c r="O7" s="804">
        <v>44440</v>
      </c>
      <c r="P7" s="804">
        <v>44473</v>
      </c>
      <c r="Q7" s="804">
        <v>44473</v>
      </c>
      <c r="R7" s="767">
        <v>31021.63</v>
      </c>
      <c r="S7" s="765">
        <v>9.9999999999999995E-7</v>
      </c>
      <c r="T7" s="767">
        <v>0.03</v>
      </c>
      <c r="U7" s="767">
        <v>0.03</v>
      </c>
    </row>
    <row r="8" spans="2:21" x14ac:dyDescent="0.25">
      <c r="B8" s="765" t="s">
        <v>440</v>
      </c>
      <c r="C8" s="766">
        <v>540719</v>
      </c>
      <c r="D8" s="767">
        <f>'Balance Sheet'!D70</f>
        <v>0</v>
      </c>
      <c r="E8" s="117">
        <f>SUMIF($L$7:$L$367,C8,$U$7:$U$367)</f>
        <v>0</v>
      </c>
      <c r="F8" s="117">
        <f>ABS(D8-E8)</f>
        <v>0</v>
      </c>
      <c r="G8" s="117"/>
      <c r="H8" s="411"/>
      <c r="I8" s="768"/>
      <c r="J8" s="10">
        <v>44460</v>
      </c>
      <c r="K8" s="766"/>
      <c r="L8" s="767"/>
      <c r="M8" s="767" t="s">
        <v>755</v>
      </c>
      <c r="N8" s="765" t="s">
        <v>756</v>
      </c>
      <c r="O8" s="804">
        <v>44440</v>
      </c>
      <c r="P8" s="804">
        <v>44473</v>
      </c>
      <c r="Q8" s="804">
        <v>44473</v>
      </c>
      <c r="R8" s="767">
        <v>68174202.400000006</v>
      </c>
      <c r="S8" s="765">
        <v>9.9999999999999995E-7</v>
      </c>
      <c r="T8" s="767">
        <v>56.04</v>
      </c>
      <c r="U8" s="767">
        <v>56.04</v>
      </c>
    </row>
    <row r="9" spans="2:21" x14ac:dyDescent="0.25">
      <c r="B9" s="765" t="s">
        <v>441</v>
      </c>
      <c r="C9" s="766">
        <v>540730</v>
      </c>
      <c r="D9" s="879">
        <f>'Balance Sheet'!D69</f>
        <v>4.3500000000000005</v>
      </c>
      <c r="E9" s="117">
        <f>SUMIF($L$7:$L$367,C9,$U$7:$U$367)</f>
        <v>0</v>
      </c>
      <c r="F9" s="117">
        <f>ABS(D9-E9)</f>
        <v>4.3500000000000005</v>
      </c>
      <c r="G9" s="117"/>
      <c r="H9" s="411"/>
      <c r="I9" s="768"/>
      <c r="J9" s="10">
        <v>44460</v>
      </c>
      <c r="K9" s="766"/>
      <c r="L9" s="767"/>
      <c r="M9" s="767" t="s">
        <v>755</v>
      </c>
      <c r="N9" s="765" t="s">
        <v>756</v>
      </c>
      <c r="O9" s="804">
        <v>44440</v>
      </c>
      <c r="P9" s="804">
        <v>44473</v>
      </c>
      <c r="Q9" s="804">
        <v>44473</v>
      </c>
      <c r="R9" s="767">
        <v>13990492</v>
      </c>
      <c r="S9" s="765">
        <v>9.9999999999999995E-7</v>
      </c>
      <c r="T9" s="767">
        <v>11.5</v>
      </c>
      <c r="U9" s="767">
        <v>11.5</v>
      </c>
    </row>
    <row r="10" spans="2:21" x14ac:dyDescent="0.25">
      <c r="B10" s="765" t="s">
        <v>442</v>
      </c>
      <c r="C10" s="766">
        <v>540755</v>
      </c>
      <c r="D10" s="879">
        <f>'Balance Sheet'!D70</f>
        <v>0</v>
      </c>
      <c r="E10" s="117">
        <f>SUMIF($L$7:$L$367,C10,$U$7:$U$367)</f>
        <v>0</v>
      </c>
      <c r="F10" s="117">
        <f>ABS(D10-E10)</f>
        <v>0</v>
      </c>
      <c r="H10" s="411"/>
      <c r="I10" s="768"/>
      <c r="J10" s="10">
        <v>44460</v>
      </c>
      <c r="K10" s="766"/>
      <c r="L10" s="767"/>
      <c r="M10" s="767" t="s">
        <v>755</v>
      </c>
      <c r="N10" s="765" t="s">
        <v>756</v>
      </c>
      <c r="O10" s="804">
        <v>44440</v>
      </c>
      <c r="P10" s="804">
        <v>44473</v>
      </c>
      <c r="Q10" s="804">
        <v>44473</v>
      </c>
      <c r="R10" s="767">
        <v>127641.95</v>
      </c>
      <c r="S10" s="765">
        <v>9.9999999999999995E-7</v>
      </c>
      <c r="T10" s="767">
        <v>0.1</v>
      </c>
      <c r="U10" s="767">
        <v>0.1</v>
      </c>
    </row>
    <row r="11" spans="2:21" x14ac:dyDescent="0.25">
      <c r="H11" s="411"/>
      <c r="I11" s="768"/>
      <c r="J11" s="10">
        <v>44460</v>
      </c>
      <c r="K11" s="766"/>
      <c r="L11" s="767"/>
      <c r="M11" s="767" t="s">
        <v>755</v>
      </c>
      <c r="N11" s="765" t="s">
        <v>756</v>
      </c>
      <c r="O11" s="804">
        <v>44440</v>
      </c>
      <c r="P11" s="804">
        <v>44473</v>
      </c>
      <c r="Q11" s="804">
        <v>44473</v>
      </c>
      <c r="R11" s="767">
        <v>83828.92</v>
      </c>
      <c r="S11" s="765">
        <v>9.9999999999999995E-7</v>
      </c>
      <c r="T11" s="767">
        <v>7.0000000000000007E-2</v>
      </c>
      <c r="U11" s="767">
        <v>7.0000000000000007E-2</v>
      </c>
    </row>
    <row r="12" spans="2:21" x14ac:dyDescent="0.25">
      <c r="E12" s="102"/>
      <c r="H12" s="411"/>
      <c r="I12" s="768"/>
      <c r="J12" s="10">
        <v>44460</v>
      </c>
      <c r="K12" s="766"/>
      <c r="L12" s="767"/>
      <c r="M12" s="767" t="s">
        <v>755</v>
      </c>
      <c r="N12" s="765" t="s">
        <v>756</v>
      </c>
      <c r="O12" s="804">
        <v>44440</v>
      </c>
      <c r="P12" s="804">
        <v>44473</v>
      </c>
      <c r="Q12" s="804">
        <v>44473</v>
      </c>
      <c r="R12" s="767">
        <v>1212000.01</v>
      </c>
      <c r="S12" s="765">
        <v>9.9999999999999995E-7</v>
      </c>
      <c r="T12" s="767">
        <v>1</v>
      </c>
      <c r="U12" s="767">
        <v>1</v>
      </c>
    </row>
    <row r="13" spans="2:21" x14ac:dyDescent="0.25">
      <c r="B13" s="4"/>
      <c r="G13" s="117"/>
      <c r="H13" s="411"/>
      <c r="I13" s="768"/>
      <c r="J13" s="10">
        <v>44460</v>
      </c>
      <c r="K13" s="766"/>
      <c r="L13" s="767"/>
      <c r="M13" s="767" t="s">
        <v>755</v>
      </c>
      <c r="N13" s="765" t="s">
        <v>756</v>
      </c>
      <c r="O13" s="804">
        <v>44440</v>
      </c>
      <c r="P13" s="804">
        <v>44473</v>
      </c>
      <c r="Q13" s="804">
        <v>44473</v>
      </c>
      <c r="R13" s="767">
        <v>28474.57</v>
      </c>
      <c r="S13" s="765">
        <v>9.9999999999999995E-7</v>
      </c>
      <c r="T13" s="767">
        <v>0.02</v>
      </c>
      <c r="U13" s="767">
        <v>0.02</v>
      </c>
    </row>
    <row r="14" spans="2:21" x14ac:dyDescent="0.25">
      <c r="B14" s="4"/>
      <c r="G14" s="117"/>
      <c r="H14" s="411"/>
      <c r="I14" s="768"/>
      <c r="J14" s="10">
        <v>44460</v>
      </c>
      <c r="K14" s="766"/>
      <c r="L14" s="767"/>
      <c r="M14" s="767" t="s">
        <v>755</v>
      </c>
      <c r="N14" s="765" t="s">
        <v>756</v>
      </c>
      <c r="O14" s="804">
        <v>44440</v>
      </c>
      <c r="P14" s="804">
        <v>44473</v>
      </c>
      <c r="Q14" s="804">
        <v>44473</v>
      </c>
      <c r="R14" s="767">
        <v>11038715.560000001</v>
      </c>
      <c r="S14" s="765">
        <v>9.9999999999999995E-7</v>
      </c>
      <c r="T14" s="767">
        <v>9.07</v>
      </c>
      <c r="U14" s="767">
        <v>9.07</v>
      </c>
    </row>
    <row r="15" spans="2:21" x14ac:dyDescent="0.25">
      <c r="B15" s="4"/>
      <c r="G15" s="117"/>
      <c r="H15" s="411"/>
      <c r="I15" s="768"/>
      <c r="J15" s="10">
        <v>44460</v>
      </c>
      <c r="K15" s="766"/>
      <c r="L15" s="767"/>
      <c r="M15" s="767" t="s">
        <v>755</v>
      </c>
      <c r="N15" s="765" t="s">
        <v>756</v>
      </c>
      <c r="O15" s="804">
        <v>44441</v>
      </c>
      <c r="P15" s="804">
        <v>44473</v>
      </c>
      <c r="Q15" s="804">
        <v>44473</v>
      </c>
      <c r="R15" s="767">
        <v>31022.53</v>
      </c>
      <c r="S15" s="765">
        <v>9.9999999999999995E-7</v>
      </c>
      <c r="T15" s="767">
        <v>0.03</v>
      </c>
      <c r="U15" s="767">
        <v>0.03</v>
      </c>
    </row>
    <row r="16" spans="2:21" x14ac:dyDescent="0.25">
      <c r="B16" s="4"/>
      <c r="H16" s="411"/>
      <c r="I16" s="768"/>
      <c r="J16" s="10">
        <v>44460</v>
      </c>
      <c r="K16" s="766"/>
      <c r="L16" s="767"/>
      <c r="M16" s="767" t="s">
        <v>755</v>
      </c>
      <c r="N16" s="765" t="s">
        <v>756</v>
      </c>
      <c r="O16" s="804">
        <v>44441</v>
      </c>
      <c r="P16" s="804">
        <v>44473</v>
      </c>
      <c r="Q16" s="804">
        <v>44473</v>
      </c>
      <c r="R16" s="767">
        <v>68177995.010000005</v>
      </c>
      <c r="S16" s="765">
        <v>9.9999999999999995E-7</v>
      </c>
      <c r="T16" s="767">
        <v>56.04</v>
      </c>
      <c r="U16" s="767">
        <v>56.04</v>
      </c>
    </row>
    <row r="17" spans="2:21" x14ac:dyDescent="0.25">
      <c r="B17" s="4"/>
      <c r="H17" s="411"/>
      <c r="I17" s="768"/>
      <c r="J17" s="10">
        <v>44460</v>
      </c>
      <c r="K17" s="766"/>
      <c r="L17" s="767"/>
      <c r="M17" s="767" t="s">
        <v>755</v>
      </c>
      <c r="N17" s="765" t="s">
        <v>756</v>
      </c>
      <c r="O17" s="804">
        <v>44441</v>
      </c>
      <c r="P17" s="804">
        <v>44473</v>
      </c>
      <c r="Q17" s="804">
        <v>44473</v>
      </c>
      <c r="R17" s="767">
        <v>13990492</v>
      </c>
      <c r="S17" s="765">
        <v>9.9999999999999995E-7</v>
      </c>
      <c r="T17" s="767">
        <v>11.5</v>
      </c>
      <c r="U17" s="767">
        <v>11.5</v>
      </c>
    </row>
    <row r="18" spans="2:21" x14ac:dyDescent="0.25">
      <c r="B18" s="4"/>
      <c r="G18" s="117"/>
      <c r="H18" s="411"/>
      <c r="I18" s="768"/>
      <c r="J18" s="10">
        <v>44460</v>
      </c>
      <c r="K18" s="766"/>
      <c r="L18" s="767"/>
      <c r="M18" s="767" t="s">
        <v>755</v>
      </c>
      <c r="N18" s="765" t="s">
        <v>756</v>
      </c>
      <c r="O18" s="804">
        <v>44441</v>
      </c>
      <c r="P18" s="804">
        <v>44473</v>
      </c>
      <c r="Q18" s="804">
        <v>44473</v>
      </c>
      <c r="R18" s="767">
        <v>127641.95</v>
      </c>
      <c r="S18" s="765">
        <v>9.9999999999999995E-7</v>
      </c>
      <c r="T18" s="767">
        <v>0.1</v>
      </c>
      <c r="U18" s="767">
        <v>0.1</v>
      </c>
    </row>
    <row r="19" spans="2:21" x14ac:dyDescent="0.25">
      <c r="C19" s="766"/>
      <c r="G19" s="117"/>
      <c r="H19" s="411"/>
      <c r="I19" s="768"/>
      <c r="J19" s="10">
        <v>44460</v>
      </c>
      <c r="K19" s="766"/>
      <c r="L19" s="767"/>
      <c r="M19" s="767" t="s">
        <v>755</v>
      </c>
      <c r="N19" s="765" t="s">
        <v>756</v>
      </c>
      <c r="O19" s="804">
        <v>44441</v>
      </c>
      <c r="P19" s="804">
        <v>44473</v>
      </c>
      <c r="Q19" s="804">
        <v>44473</v>
      </c>
      <c r="R19" s="767">
        <v>83828.92</v>
      </c>
      <c r="S19" s="765">
        <v>9.9999999999999995E-7</v>
      </c>
      <c r="T19" s="767">
        <v>7.0000000000000007E-2</v>
      </c>
      <c r="U19" s="767">
        <v>7.0000000000000007E-2</v>
      </c>
    </row>
    <row r="20" spans="2:21" x14ac:dyDescent="0.25">
      <c r="C20" s="766"/>
      <c r="G20" s="117"/>
      <c r="H20" s="411"/>
      <c r="I20" s="768"/>
      <c r="J20" s="10">
        <v>44460</v>
      </c>
      <c r="K20" s="766"/>
      <c r="L20" s="767"/>
      <c r="M20" s="767" t="s">
        <v>755</v>
      </c>
      <c r="N20" s="765" t="s">
        <v>756</v>
      </c>
      <c r="O20" s="804">
        <v>44441</v>
      </c>
      <c r="P20" s="804">
        <v>44473</v>
      </c>
      <c r="Q20" s="804">
        <v>44473</v>
      </c>
      <c r="R20" s="767">
        <v>1212000.01</v>
      </c>
      <c r="S20" s="765">
        <v>9.9999999999999995E-7</v>
      </c>
      <c r="T20" s="767">
        <v>1</v>
      </c>
      <c r="U20" s="767">
        <v>1</v>
      </c>
    </row>
    <row r="21" spans="2:21" x14ac:dyDescent="0.25">
      <c r="C21" s="766"/>
      <c r="G21" s="117"/>
      <c r="H21" s="411"/>
      <c r="I21" s="768"/>
      <c r="J21" s="10">
        <v>44460</v>
      </c>
      <c r="K21" s="766"/>
      <c r="L21" s="767"/>
      <c r="M21" s="767" t="s">
        <v>755</v>
      </c>
      <c r="N21" s="765" t="s">
        <v>756</v>
      </c>
      <c r="O21" s="804">
        <v>44441</v>
      </c>
      <c r="P21" s="804">
        <v>44473</v>
      </c>
      <c r="Q21" s="804">
        <v>44473</v>
      </c>
      <c r="R21" s="767">
        <v>28474.57</v>
      </c>
      <c r="S21" s="765">
        <v>9.9999999999999995E-7</v>
      </c>
      <c r="T21" s="767">
        <v>0.02</v>
      </c>
      <c r="U21" s="767">
        <v>0.02</v>
      </c>
    </row>
    <row r="22" spans="2:21" x14ac:dyDescent="0.25">
      <c r="C22" s="766"/>
      <c r="G22" s="117"/>
      <c r="H22" s="411"/>
      <c r="I22" s="768"/>
      <c r="J22" s="10">
        <v>44460</v>
      </c>
      <c r="K22" s="766"/>
      <c r="L22" s="767"/>
      <c r="M22" s="767" t="s">
        <v>755</v>
      </c>
      <c r="N22" s="765" t="s">
        <v>756</v>
      </c>
      <c r="O22" s="804">
        <v>44441</v>
      </c>
      <c r="P22" s="804">
        <v>44473</v>
      </c>
      <c r="Q22" s="804">
        <v>44473</v>
      </c>
      <c r="R22" s="767">
        <v>11038959.65</v>
      </c>
      <c r="S22" s="765">
        <v>9.9999999999999995E-7</v>
      </c>
      <c r="T22" s="767">
        <v>9.07</v>
      </c>
      <c r="U22" s="767">
        <v>9.07</v>
      </c>
    </row>
    <row r="23" spans="2:21" x14ac:dyDescent="0.25">
      <c r="C23" s="766"/>
      <c r="G23" s="117"/>
      <c r="H23" s="411"/>
      <c r="I23" s="768"/>
      <c r="J23" s="10">
        <v>44460</v>
      </c>
      <c r="K23" s="766"/>
      <c r="L23" s="767"/>
      <c r="M23" s="767" t="s">
        <v>755</v>
      </c>
      <c r="N23" s="765" t="s">
        <v>756</v>
      </c>
      <c r="O23" s="804">
        <v>44442</v>
      </c>
      <c r="P23" s="804">
        <v>44473</v>
      </c>
      <c r="Q23" s="804">
        <v>44473</v>
      </c>
      <c r="R23" s="767">
        <v>31022.53</v>
      </c>
      <c r="S23" s="765">
        <v>3.0000000000000001E-6</v>
      </c>
      <c r="T23" s="767">
        <v>0.1</v>
      </c>
      <c r="U23" s="767">
        <v>0.1</v>
      </c>
    </row>
    <row r="24" spans="2:21" x14ac:dyDescent="0.25">
      <c r="B24" s="4"/>
      <c r="G24" s="117"/>
      <c r="H24" s="411"/>
      <c r="I24" s="768"/>
      <c r="J24" s="10">
        <v>44460</v>
      </c>
      <c r="K24" s="766"/>
      <c r="L24" s="767"/>
      <c r="M24" s="767" t="s">
        <v>755</v>
      </c>
      <c r="N24" s="765" t="s">
        <v>756</v>
      </c>
      <c r="O24" s="804">
        <v>44442</v>
      </c>
      <c r="P24" s="804">
        <v>44473</v>
      </c>
      <c r="Q24" s="804">
        <v>44473</v>
      </c>
      <c r="R24" s="767">
        <v>68177995.010000005</v>
      </c>
      <c r="S24" s="765">
        <v>3.0000000000000001E-6</v>
      </c>
      <c r="T24" s="767">
        <v>224.17</v>
      </c>
      <c r="U24" s="767">
        <v>224.17</v>
      </c>
    </row>
    <row r="25" spans="2:21" x14ac:dyDescent="0.25">
      <c r="B25" s="4"/>
      <c r="G25" s="117"/>
      <c r="H25" s="411"/>
      <c r="I25" s="768"/>
      <c r="J25" s="10">
        <v>44460</v>
      </c>
      <c r="K25" s="766"/>
      <c r="L25" s="767"/>
      <c r="M25" s="767" t="s">
        <v>755</v>
      </c>
      <c r="N25" s="765" t="s">
        <v>756</v>
      </c>
      <c r="O25" s="804">
        <v>44442</v>
      </c>
      <c r="P25" s="804">
        <v>44473</v>
      </c>
      <c r="Q25" s="804">
        <v>44473</v>
      </c>
      <c r="R25" s="767">
        <v>13990492</v>
      </c>
      <c r="S25" s="765">
        <v>3.0000000000000001E-6</v>
      </c>
      <c r="T25" s="767">
        <v>46</v>
      </c>
      <c r="U25" s="767">
        <v>46</v>
      </c>
    </row>
    <row r="26" spans="2:21" x14ac:dyDescent="0.25">
      <c r="B26" s="4"/>
      <c r="G26" s="117"/>
      <c r="H26" s="411"/>
      <c r="I26" s="768"/>
      <c r="J26" s="10">
        <v>44460</v>
      </c>
      <c r="K26" s="766"/>
      <c r="L26" s="767"/>
      <c r="M26" s="767" t="s">
        <v>755</v>
      </c>
      <c r="N26" s="765" t="s">
        <v>756</v>
      </c>
      <c r="O26" s="804">
        <v>44442</v>
      </c>
      <c r="P26" s="804">
        <v>44473</v>
      </c>
      <c r="Q26" s="804">
        <v>44473</v>
      </c>
      <c r="R26" s="767">
        <v>127641.95</v>
      </c>
      <c r="S26" s="765">
        <v>3.0000000000000001E-6</v>
      </c>
      <c r="T26" s="767">
        <v>0.42</v>
      </c>
      <c r="U26" s="767">
        <v>0.42</v>
      </c>
    </row>
    <row r="27" spans="2:21" x14ac:dyDescent="0.25">
      <c r="B27" s="4"/>
      <c r="G27" s="117"/>
      <c r="H27" s="411"/>
      <c r="I27" s="768"/>
      <c r="J27" s="10">
        <v>44460</v>
      </c>
      <c r="K27" s="766"/>
      <c r="L27" s="767"/>
      <c r="M27" s="767" t="s">
        <v>755</v>
      </c>
      <c r="N27" s="765" t="s">
        <v>756</v>
      </c>
      <c r="O27" s="804">
        <v>44442</v>
      </c>
      <c r="P27" s="804">
        <v>44473</v>
      </c>
      <c r="Q27" s="804">
        <v>44473</v>
      </c>
      <c r="R27" s="767">
        <v>83828.92</v>
      </c>
      <c r="S27" s="765">
        <v>3.0000000000000001E-6</v>
      </c>
      <c r="T27" s="767">
        <v>0.28000000000000003</v>
      </c>
      <c r="U27" s="767">
        <v>0.28000000000000003</v>
      </c>
    </row>
    <row r="28" spans="2:21" x14ac:dyDescent="0.25">
      <c r="B28" s="4"/>
      <c r="G28" s="117"/>
      <c r="H28" s="411"/>
      <c r="I28" s="768"/>
      <c r="J28" s="10">
        <v>44460</v>
      </c>
      <c r="K28" s="766"/>
      <c r="L28" s="767"/>
      <c r="M28" s="767" t="s">
        <v>755</v>
      </c>
      <c r="N28" s="765" t="s">
        <v>756</v>
      </c>
      <c r="O28" s="804">
        <v>44442</v>
      </c>
      <c r="P28" s="804">
        <v>44473</v>
      </c>
      <c r="Q28" s="804">
        <v>44473</v>
      </c>
      <c r="R28" s="767">
        <v>1212000.01</v>
      </c>
      <c r="S28" s="765">
        <v>3.0000000000000001E-6</v>
      </c>
      <c r="T28" s="767">
        <v>3.99</v>
      </c>
      <c r="U28" s="767">
        <v>3.99</v>
      </c>
    </row>
    <row r="29" spans="2:21" x14ac:dyDescent="0.25">
      <c r="B29" s="4"/>
      <c r="G29" s="117"/>
      <c r="H29" s="411"/>
      <c r="I29" s="768"/>
      <c r="J29" s="10">
        <v>44460</v>
      </c>
      <c r="K29" s="766"/>
      <c r="L29" s="767"/>
      <c r="M29" s="767" t="s">
        <v>755</v>
      </c>
      <c r="N29" s="765" t="s">
        <v>756</v>
      </c>
      <c r="O29" s="804">
        <v>44442</v>
      </c>
      <c r="P29" s="804">
        <v>44473</v>
      </c>
      <c r="Q29" s="804">
        <v>44473</v>
      </c>
      <c r="R29" s="767">
        <v>28474.57</v>
      </c>
      <c r="S29" s="765">
        <v>3.0000000000000001E-6</v>
      </c>
      <c r="T29" s="767">
        <v>0.09</v>
      </c>
      <c r="U29" s="767">
        <v>0.09</v>
      </c>
    </row>
    <row r="30" spans="2:21" x14ac:dyDescent="0.25">
      <c r="B30" s="4"/>
      <c r="G30" s="117"/>
      <c r="H30" s="411"/>
      <c r="I30" s="768"/>
      <c r="J30" s="10">
        <v>44460</v>
      </c>
      <c r="K30" s="766"/>
      <c r="L30" s="767"/>
      <c r="M30" s="767" t="s">
        <v>755</v>
      </c>
      <c r="N30" s="765" t="s">
        <v>756</v>
      </c>
      <c r="O30" s="804">
        <v>44442</v>
      </c>
      <c r="P30" s="804">
        <v>44473</v>
      </c>
      <c r="Q30" s="804">
        <v>44473</v>
      </c>
      <c r="R30" s="767">
        <v>11038959.65</v>
      </c>
      <c r="S30" s="765">
        <v>3.0000000000000001E-6</v>
      </c>
      <c r="T30" s="767">
        <v>36.299999999999997</v>
      </c>
      <c r="U30" s="767">
        <v>36.299999999999997</v>
      </c>
    </row>
    <row r="31" spans="2:21" x14ac:dyDescent="0.25">
      <c r="B31" s="4"/>
      <c r="G31" s="117"/>
      <c r="H31" s="411"/>
      <c r="I31" s="768"/>
      <c r="J31" s="10">
        <v>44460</v>
      </c>
      <c r="K31" s="766"/>
      <c r="L31" s="767"/>
      <c r="M31" s="767" t="s">
        <v>755</v>
      </c>
      <c r="N31" s="765" t="s">
        <v>756</v>
      </c>
      <c r="O31" s="804">
        <v>44446</v>
      </c>
      <c r="P31" s="804">
        <v>44473</v>
      </c>
      <c r="Q31" s="804">
        <v>44473</v>
      </c>
      <c r="R31" s="767">
        <v>31022.53</v>
      </c>
      <c r="S31" s="765">
        <v>9.9999999999999995E-7</v>
      </c>
      <c r="T31" s="767">
        <v>0.03</v>
      </c>
      <c r="U31" s="767">
        <v>0.03</v>
      </c>
    </row>
    <row r="32" spans="2:21" x14ac:dyDescent="0.25">
      <c r="B32" s="4"/>
      <c r="G32" s="117"/>
      <c r="H32" s="411"/>
      <c r="I32" s="768"/>
      <c r="J32" s="10">
        <v>44460</v>
      </c>
      <c r="K32" s="766"/>
      <c r="L32" s="767"/>
      <c r="M32" s="767" t="s">
        <v>755</v>
      </c>
      <c r="N32" s="765" t="s">
        <v>756</v>
      </c>
      <c r="O32" s="804">
        <v>44446</v>
      </c>
      <c r="P32" s="804">
        <v>44473</v>
      </c>
      <c r="Q32" s="804">
        <v>44473</v>
      </c>
      <c r="R32" s="767">
        <v>68177995.010000005</v>
      </c>
      <c r="S32" s="765">
        <v>9.9999999999999995E-7</v>
      </c>
      <c r="T32" s="767">
        <v>56.04</v>
      </c>
      <c r="U32" s="767">
        <v>56.04</v>
      </c>
    </row>
    <row r="33" spans="2:21" x14ac:dyDescent="0.25">
      <c r="B33" s="4"/>
      <c r="G33" s="117"/>
      <c r="H33" s="411"/>
      <c r="I33" s="768"/>
      <c r="J33" s="10">
        <v>44460</v>
      </c>
      <c r="K33" s="766"/>
      <c r="L33" s="767"/>
      <c r="M33" s="767" t="s">
        <v>755</v>
      </c>
      <c r="N33" s="765" t="s">
        <v>756</v>
      </c>
      <c r="O33" s="804">
        <v>44446</v>
      </c>
      <c r="P33" s="804">
        <v>44473</v>
      </c>
      <c r="Q33" s="804">
        <v>44473</v>
      </c>
      <c r="R33" s="767">
        <v>13990492</v>
      </c>
      <c r="S33" s="765">
        <v>9.9999999999999995E-7</v>
      </c>
      <c r="T33" s="767">
        <v>11.5</v>
      </c>
      <c r="U33" s="767">
        <v>11.5</v>
      </c>
    </row>
    <row r="34" spans="2:21" x14ac:dyDescent="0.25">
      <c r="B34" s="4"/>
      <c r="G34" s="117"/>
      <c r="H34" s="411"/>
      <c r="I34" s="768"/>
      <c r="J34" s="10">
        <v>44460</v>
      </c>
      <c r="K34" s="766"/>
      <c r="L34" s="767"/>
      <c r="M34" s="767" t="s">
        <v>755</v>
      </c>
      <c r="N34" s="765" t="s">
        <v>756</v>
      </c>
      <c r="O34" s="804">
        <v>44446</v>
      </c>
      <c r="P34" s="804">
        <v>44473</v>
      </c>
      <c r="Q34" s="804">
        <v>44473</v>
      </c>
      <c r="R34" s="767">
        <v>127641.95</v>
      </c>
      <c r="S34" s="765">
        <v>9.9999999999999995E-7</v>
      </c>
      <c r="T34" s="767">
        <v>0.1</v>
      </c>
      <c r="U34" s="767">
        <v>0.1</v>
      </c>
    </row>
    <row r="35" spans="2:21" x14ac:dyDescent="0.25">
      <c r="B35" s="4"/>
      <c r="H35" s="411"/>
      <c r="I35" s="768"/>
      <c r="J35" s="10">
        <v>44460</v>
      </c>
      <c r="K35" s="766"/>
      <c r="L35" s="767"/>
      <c r="M35" s="767" t="s">
        <v>755</v>
      </c>
      <c r="N35" s="765" t="s">
        <v>756</v>
      </c>
      <c r="O35" s="804">
        <v>44446</v>
      </c>
      <c r="P35" s="804">
        <v>44473</v>
      </c>
      <c r="Q35" s="804">
        <v>44473</v>
      </c>
      <c r="R35" s="767">
        <v>83828.92</v>
      </c>
      <c r="S35" s="765">
        <v>9.9999999999999995E-7</v>
      </c>
      <c r="T35" s="767">
        <v>7.0000000000000007E-2</v>
      </c>
      <c r="U35" s="767">
        <v>7.0000000000000007E-2</v>
      </c>
    </row>
    <row r="36" spans="2:21" x14ac:dyDescent="0.25">
      <c r="B36" s="4"/>
      <c r="H36" s="411"/>
      <c r="I36" s="768"/>
      <c r="J36" s="10">
        <v>44460</v>
      </c>
      <c r="K36" s="766"/>
      <c r="L36" s="767"/>
      <c r="M36" s="767" t="s">
        <v>755</v>
      </c>
      <c r="N36" s="765" t="s">
        <v>756</v>
      </c>
      <c r="O36" s="804">
        <v>44446</v>
      </c>
      <c r="P36" s="804">
        <v>44473</v>
      </c>
      <c r="Q36" s="804">
        <v>44473</v>
      </c>
      <c r="R36" s="767">
        <v>1212000.01</v>
      </c>
      <c r="S36" s="765">
        <v>9.9999999999999995E-7</v>
      </c>
      <c r="T36" s="767">
        <v>1</v>
      </c>
      <c r="U36" s="767">
        <v>1</v>
      </c>
    </row>
    <row r="37" spans="2:21" x14ac:dyDescent="0.25">
      <c r="B37" s="4"/>
      <c r="H37" s="411"/>
      <c r="I37" s="768"/>
      <c r="J37" s="10">
        <v>44460</v>
      </c>
      <c r="K37" s="766"/>
      <c r="L37" s="767"/>
      <c r="M37" s="767" t="s">
        <v>755</v>
      </c>
      <c r="N37" s="765" t="s">
        <v>756</v>
      </c>
      <c r="O37" s="804">
        <v>44446</v>
      </c>
      <c r="P37" s="804">
        <v>44473</v>
      </c>
      <c r="Q37" s="804">
        <v>44473</v>
      </c>
      <c r="R37" s="767">
        <v>28474.57</v>
      </c>
      <c r="S37" s="765">
        <v>9.9999999999999995E-7</v>
      </c>
      <c r="T37" s="767">
        <v>0.02</v>
      </c>
      <c r="U37" s="767">
        <v>0.02</v>
      </c>
    </row>
    <row r="38" spans="2:21" x14ac:dyDescent="0.25">
      <c r="B38" s="4"/>
      <c r="H38" s="411"/>
      <c r="I38" s="768"/>
      <c r="J38" s="10">
        <v>44460</v>
      </c>
      <c r="K38" s="766"/>
      <c r="L38" s="767"/>
      <c r="M38" s="767" t="s">
        <v>755</v>
      </c>
      <c r="N38" s="765" t="s">
        <v>756</v>
      </c>
      <c r="O38" s="804">
        <v>44446</v>
      </c>
      <c r="P38" s="804">
        <v>44473</v>
      </c>
      <c r="Q38" s="804">
        <v>44473</v>
      </c>
      <c r="R38" s="767">
        <v>11038959.65</v>
      </c>
      <c r="S38" s="765">
        <v>9.9999999999999995E-7</v>
      </c>
      <c r="T38" s="767">
        <v>9.07</v>
      </c>
      <c r="U38" s="767">
        <v>9.07</v>
      </c>
    </row>
    <row r="39" spans="2:21" x14ac:dyDescent="0.25">
      <c r="B39" s="4"/>
      <c r="H39" s="411"/>
      <c r="I39" s="768"/>
      <c r="J39" s="10">
        <v>44460</v>
      </c>
      <c r="K39" s="766"/>
      <c r="L39" s="767"/>
      <c r="M39" s="767" t="s">
        <v>755</v>
      </c>
      <c r="N39" s="765" t="s">
        <v>756</v>
      </c>
      <c r="O39" s="804">
        <v>44447</v>
      </c>
      <c r="P39" s="804">
        <v>44473</v>
      </c>
      <c r="Q39" s="804">
        <v>44473</v>
      </c>
      <c r="R39" s="767">
        <v>31022.53</v>
      </c>
      <c r="S39" s="765">
        <v>9.9999999999999995E-7</v>
      </c>
      <c r="T39" s="767">
        <v>0.03</v>
      </c>
      <c r="U39" s="767">
        <v>0.03</v>
      </c>
    </row>
    <row r="40" spans="2:21" x14ac:dyDescent="0.25">
      <c r="B40" s="4"/>
      <c r="H40" s="411"/>
      <c r="I40" s="768"/>
      <c r="J40" s="10">
        <v>44460</v>
      </c>
      <c r="K40" s="766"/>
      <c r="L40" s="767"/>
      <c r="M40" s="767" t="s">
        <v>755</v>
      </c>
      <c r="N40" s="765" t="s">
        <v>756</v>
      </c>
      <c r="O40" s="804">
        <v>44447</v>
      </c>
      <c r="P40" s="804">
        <v>44473</v>
      </c>
      <c r="Q40" s="804">
        <v>44473</v>
      </c>
      <c r="R40" s="767">
        <v>69559895.189999998</v>
      </c>
      <c r="S40" s="765">
        <v>9.9999999999999995E-7</v>
      </c>
      <c r="T40" s="767">
        <v>57.18</v>
      </c>
      <c r="U40" s="767">
        <v>57.18</v>
      </c>
    </row>
    <row r="41" spans="2:21" x14ac:dyDescent="0.25">
      <c r="B41" s="4"/>
      <c r="H41" s="411"/>
      <c r="I41" s="768"/>
      <c r="J41" s="10">
        <v>44460</v>
      </c>
      <c r="K41" s="766"/>
      <c r="L41" s="767"/>
      <c r="M41" s="767" t="s">
        <v>755</v>
      </c>
      <c r="N41" s="765" t="s">
        <v>756</v>
      </c>
      <c r="O41" s="804">
        <v>44447</v>
      </c>
      <c r="P41" s="804">
        <v>44473</v>
      </c>
      <c r="Q41" s="804">
        <v>44473</v>
      </c>
      <c r="R41" s="767">
        <v>14304531.17</v>
      </c>
      <c r="S41" s="765">
        <v>9.9999999999999995E-7</v>
      </c>
      <c r="T41" s="767">
        <v>11.76</v>
      </c>
      <c r="U41" s="767">
        <v>11.76</v>
      </c>
    </row>
    <row r="42" spans="2:21" x14ac:dyDescent="0.25">
      <c r="B42" s="4"/>
      <c r="H42" s="411"/>
      <c r="I42" s="768"/>
      <c r="J42" s="10">
        <v>44460</v>
      </c>
      <c r="K42" s="766"/>
      <c r="L42" s="767"/>
      <c r="M42" s="767" t="s">
        <v>755</v>
      </c>
      <c r="N42" s="765" t="s">
        <v>756</v>
      </c>
      <c r="O42" s="804">
        <v>44447</v>
      </c>
      <c r="P42" s="804">
        <v>44473</v>
      </c>
      <c r="Q42" s="804">
        <v>44473</v>
      </c>
      <c r="R42" s="767">
        <v>127641.95</v>
      </c>
      <c r="S42" s="765">
        <v>9.9999999999999995E-7</v>
      </c>
      <c r="T42" s="767">
        <v>0.1</v>
      </c>
      <c r="U42" s="767">
        <v>0.1</v>
      </c>
    </row>
    <row r="43" spans="2:21" x14ac:dyDescent="0.25">
      <c r="B43" s="4"/>
      <c r="H43" s="411"/>
      <c r="I43" s="768"/>
      <c r="J43" s="10">
        <v>44460</v>
      </c>
      <c r="K43" s="766"/>
      <c r="L43" s="767"/>
      <c r="M43" s="767" t="s">
        <v>755</v>
      </c>
      <c r="N43" s="765" t="s">
        <v>756</v>
      </c>
      <c r="O43" s="804">
        <v>44447</v>
      </c>
      <c r="P43" s="804">
        <v>44473</v>
      </c>
      <c r="Q43" s="804">
        <v>44473</v>
      </c>
      <c r="R43" s="767">
        <v>83828.92</v>
      </c>
      <c r="S43" s="765">
        <v>9.9999999999999995E-7</v>
      </c>
      <c r="T43" s="767">
        <v>7.0000000000000007E-2</v>
      </c>
      <c r="U43" s="767">
        <v>7.0000000000000007E-2</v>
      </c>
    </row>
    <row r="44" spans="2:21" x14ac:dyDescent="0.25">
      <c r="B44" s="4"/>
      <c r="H44" s="411"/>
      <c r="I44" s="768"/>
      <c r="J44" s="10">
        <v>44460</v>
      </c>
      <c r="K44" s="766"/>
      <c r="L44" s="767"/>
      <c r="M44" s="767" t="s">
        <v>755</v>
      </c>
      <c r="N44" s="765" t="s">
        <v>756</v>
      </c>
      <c r="O44" s="804">
        <v>44447</v>
      </c>
      <c r="P44" s="804">
        <v>44473</v>
      </c>
      <c r="Q44" s="804">
        <v>44473</v>
      </c>
      <c r="R44" s="767">
        <v>2671000.0099999998</v>
      </c>
      <c r="S44" s="765">
        <v>9.9999999999999995E-7</v>
      </c>
      <c r="T44" s="767">
        <v>2.2000000000000002</v>
      </c>
      <c r="U44" s="767">
        <v>2.2000000000000002</v>
      </c>
    </row>
    <row r="45" spans="2:21" x14ac:dyDescent="0.25">
      <c r="B45" s="4"/>
      <c r="H45" s="411"/>
      <c r="I45" s="768"/>
      <c r="J45" s="10">
        <v>44460</v>
      </c>
      <c r="K45" s="766"/>
      <c r="L45" s="767"/>
      <c r="M45" s="767" t="s">
        <v>755</v>
      </c>
      <c r="N45" s="765" t="s">
        <v>756</v>
      </c>
      <c r="O45" s="804">
        <v>44447</v>
      </c>
      <c r="P45" s="804">
        <v>44473</v>
      </c>
      <c r="Q45" s="804">
        <v>44473</v>
      </c>
      <c r="R45" s="767">
        <v>28474.57</v>
      </c>
      <c r="S45" s="765">
        <v>9.9999999999999995E-7</v>
      </c>
      <c r="T45" s="767">
        <v>0.02</v>
      </c>
      <c r="U45" s="767">
        <v>0.02</v>
      </c>
    </row>
    <row r="46" spans="2:21" x14ac:dyDescent="0.25">
      <c r="B46" s="4"/>
      <c r="H46" s="411"/>
      <c r="I46" s="768"/>
      <c r="J46" s="10">
        <v>44460</v>
      </c>
      <c r="K46" s="766"/>
      <c r="L46" s="767"/>
      <c r="M46" s="767" t="s">
        <v>755</v>
      </c>
      <c r="N46" s="765" t="s">
        <v>756</v>
      </c>
      <c r="O46" s="804">
        <v>44447</v>
      </c>
      <c r="P46" s="804">
        <v>44473</v>
      </c>
      <c r="Q46" s="804">
        <v>44473</v>
      </c>
      <c r="R46" s="767">
        <v>11039130.539999999</v>
      </c>
      <c r="S46" s="765">
        <v>9.9999999999999995E-7</v>
      </c>
      <c r="T46" s="767">
        <v>9.07</v>
      </c>
      <c r="U46" s="767">
        <v>9.07</v>
      </c>
    </row>
    <row r="47" spans="2:21" x14ac:dyDescent="0.25">
      <c r="B47" s="4"/>
      <c r="H47" s="411"/>
      <c r="I47" s="768"/>
      <c r="J47" s="10">
        <v>44460</v>
      </c>
      <c r="K47" s="766"/>
      <c r="L47" s="767"/>
      <c r="M47" s="767" t="s">
        <v>755</v>
      </c>
      <c r="N47" s="765" t="s">
        <v>756</v>
      </c>
      <c r="O47" s="804">
        <v>44448</v>
      </c>
      <c r="P47" s="804">
        <v>44473</v>
      </c>
      <c r="Q47" s="804">
        <v>44473</v>
      </c>
      <c r="R47" s="767">
        <v>31022.53</v>
      </c>
      <c r="S47" s="765">
        <v>9.9999999999999995E-7</v>
      </c>
      <c r="T47" s="767">
        <v>0.03</v>
      </c>
      <c r="U47" s="767">
        <v>0.03</v>
      </c>
    </row>
    <row r="48" spans="2:21" x14ac:dyDescent="0.25">
      <c r="B48" s="4"/>
      <c r="H48" s="411"/>
      <c r="I48" s="768"/>
      <c r="J48" s="10">
        <v>44460</v>
      </c>
      <c r="K48" s="766"/>
      <c r="L48" s="767"/>
      <c r="M48" s="767" t="s">
        <v>755</v>
      </c>
      <c r="N48" s="765" t="s">
        <v>756</v>
      </c>
      <c r="O48" s="804">
        <v>44448</v>
      </c>
      <c r="P48" s="804">
        <v>44473</v>
      </c>
      <c r="Q48" s="804">
        <v>44473</v>
      </c>
      <c r="R48" s="767">
        <v>85180359.599999994</v>
      </c>
      <c r="S48" s="765">
        <v>9.9999999999999995E-7</v>
      </c>
      <c r="T48" s="767">
        <v>70.02</v>
      </c>
      <c r="U48" s="767">
        <v>70.02</v>
      </c>
    </row>
    <row r="49" spans="2:21" x14ac:dyDescent="0.25">
      <c r="B49" s="4"/>
      <c r="H49" s="411"/>
      <c r="I49" s="768"/>
      <c r="J49" s="10">
        <v>44460</v>
      </c>
      <c r="K49" s="766"/>
      <c r="L49" s="767"/>
      <c r="M49" s="767" t="s">
        <v>755</v>
      </c>
      <c r="N49" s="765" t="s">
        <v>756</v>
      </c>
      <c r="O49" s="804">
        <v>44448</v>
      </c>
      <c r="P49" s="804">
        <v>44473</v>
      </c>
      <c r="Q49" s="804">
        <v>44473</v>
      </c>
      <c r="R49" s="767">
        <v>7180364.5</v>
      </c>
      <c r="S49" s="765">
        <v>9.9999999999999995E-7</v>
      </c>
      <c r="T49" s="767">
        <v>5.9</v>
      </c>
      <c r="U49" s="767">
        <v>5.9</v>
      </c>
    </row>
    <row r="50" spans="2:21" x14ac:dyDescent="0.25">
      <c r="H50" s="411"/>
      <c r="I50" s="768"/>
      <c r="J50" s="10">
        <v>44460</v>
      </c>
      <c r="K50" s="766"/>
      <c r="L50" s="767"/>
      <c r="M50" s="767" t="s">
        <v>755</v>
      </c>
      <c r="N50" s="765" t="s">
        <v>756</v>
      </c>
      <c r="O50" s="804">
        <v>44448</v>
      </c>
      <c r="P50" s="804">
        <v>44473</v>
      </c>
      <c r="Q50" s="804">
        <v>44473</v>
      </c>
      <c r="R50" s="767">
        <v>158636.54999999999</v>
      </c>
      <c r="S50" s="765">
        <v>9.9999999999999995E-7</v>
      </c>
      <c r="T50" s="767">
        <v>0.13</v>
      </c>
      <c r="U50" s="767">
        <v>0.13</v>
      </c>
    </row>
    <row r="51" spans="2:21" x14ac:dyDescent="0.25">
      <c r="H51" s="411"/>
      <c r="I51" s="768"/>
      <c r="J51" s="10">
        <v>44460</v>
      </c>
      <c r="K51" s="766"/>
      <c r="L51" s="767"/>
      <c r="M51" s="767" t="s">
        <v>755</v>
      </c>
      <c r="N51" s="765" t="s">
        <v>756</v>
      </c>
      <c r="O51" s="804">
        <v>44448</v>
      </c>
      <c r="P51" s="804">
        <v>44473</v>
      </c>
      <c r="Q51" s="804">
        <v>44473</v>
      </c>
      <c r="R51" s="767">
        <v>71139.740000000005</v>
      </c>
      <c r="S51" s="765">
        <v>9.9999999999999995E-7</v>
      </c>
      <c r="T51" s="767">
        <v>0.06</v>
      </c>
      <c r="U51" s="767">
        <v>0.06</v>
      </c>
    </row>
    <row r="52" spans="2:21" x14ac:dyDescent="0.25">
      <c r="H52" s="411"/>
      <c r="I52" s="768"/>
      <c r="J52" s="10">
        <v>44460</v>
      </c>
      <c r="K52" s="766"/>
      <c r="L52" s="767"/>
      <c r="M52" s="767" t="s">
        <v>755</v>
      </c>
      <c r="N52" s="765" t="s">
        <v>756</v>
      </c>
      <c r="O52" s="804">
        <v>44448</v>
      </c>
      <c r="P52" s="804">
        <v>44473</v>
      </c>
      <c r="Q52" s="804">
        <v>44473</v>
      </c>
      <c r="R52" s="767">
        <v>1972000.01</v>
      </c>
      <c r="S52" s="765">
        <v>9.9999999999999995E-7</v>
      </c>
      <c r="T52" s="767">
        <v>1.62</v>
      </c>
      <c r="U52" s="767">
        <v>1.62</v>
      </c>
    </row>
    <row r="53" spans="2:21" x14ac:dyDescent="0.25">
      <c r="H53" s="411"/>
      <c r="I53" s="768"/>
      <c r="J53" s="10">
        <v>44460</v>
      </c>
      <c r="K53" s="766"/>
      <c r="L53" s="767"/>
      <c r="M53" s="767" t="s">
        <v>755</v>
      </c>
      <c r="N53" s="765" t="s">
        <v>756</v>
      </c>
      <c r="O53" s="804">
        <v>44448</v>
      </c>
      <c r="P53" s="804">
        <v>44473</v>
      </c>
      <c r="Q53" s="804">
        <v>44473</v>
      </c>
      <c r="R53" s="767">
        <v>43867.85</v>
      </c>
      <c r="S53" s="765">
        <v>9.9999999999999995E-7</v>
      </c>
      <c r="T53" s="767">
        <v>0.04</v>
      </c>
      <c r="U53" s="767">
        <v>0.04</v>
      </c>
    </row>
    <row r="54" spans="2:21" x14ac:dyDescent="0.25">
      <c r="H54" s="411"/>
      <c r="I54" s="768"/>
      <c r="J54" s="10">
        <v>44460</v>
      </c>
      <c r="K54" s="766"/>
      <c r="L54" s="767"/>
      <c r="M54" s="767" t="s">
        <v>755</v>
      </c>
      <c r="N54" s="765" t="s">
        <v>756</v>
      </c>
      <c r="O54" s="804">
        <v>44448</v>
      </c>
      <c r="P54" s="804">
        <v>44473</v>
      </c>
      <c r="Q54" s="804">
        <v>44473</v>
      </c>
      <c r="R54" s="767">
        <v>12204563.439999999</v>
      </c>
      <c r="S54" s="765">
        <v>9.9999999999999995E-7</v>
      </c>
      <c r="T54" s="767">
        <v>10.029999999999999</v>
      </c>
      <c r="U54" s="767">
        <v>10.029999999999999</v>
      </c>
    </row>
    <row r="55" spans="2:21" x14ac:dyDescent="0.25">
      <c r="H55" s="411"/>
      <c r="I55" s="768"/>
      <c r="J55" s="10">
        <v>44460</v>
      </c>
      <c r="K55" s="766"/>
      <c r="L55" s="767"/>
      <c r="M55" s="767" t="s">
        <v>755</v>
      </c>
      <c r="N55" s="765" t="s">
        <v>756</v>
      </c>
      <c r="O55" s="804">
        <v>44449</v>
      </c>
      <c r="P55" s="804">
        <v>44473</v>
      </c>
      <c r="Q55" s="804">
        <v>44473</v>
      </c>
      <c r="R55" s="767">
        <v>31022.53</v>
      </c>
      <c r="S55" s="765">
        <v>1.9999999999999999E-6</v>
      </c>
      <c r="T55" s="767">
        <v>0.08</v>
      </c>
      <c r="U55" s="767">
        <v>0.08</v>
      </c>
    </row>
    <row r="56" spans="2:21" x14ac:dyDescent="0.25">
      <c r="H56" s="411"/>
      <c r="I56" s="768"/>
      <c r="J56" s="10">
        <v>44460</v>
      </c>
      <c r="K56" s="766"/>
      <c r="L56" s="767"/>
      <c r="M56" s="767" t="s">
        <v>755</v>
      </c>
      <c r="N56" s="765" t="s">
        <v>756</v>
      </c>
      <c r="O56" s="804">
        <v>44449</v>
      </c>
      <c r="P56" s="804">
        <v>44473</v>
      </c>
      <c r="Q56" s="804">
        <v>44473</v>
      </c>
      <c r="R56" s="767">
        <v>85290326.420000002</v>
      </c>
      <c r="S56" s="765">
        <v>1.9999999999999999E-6</v>
      </c>
      <c r="T56" s="767">
        <v>210.33</v>
      </c>
      <c r="U56" s="767">
        <v>210.33</v>
      </c>
    </row>
    <row r="57" spans="2:21" x14ac:dyDescent="0.25">
      <c r="H57" s="411"/>
      <c r="I57" s="768"/>
      <c r="J57" s="10">
        <v>44460</v>
      </c>
      <c r="K57" s="766"/>
      <c r="L57" s="767"/>
      <c r="M57" s="767" t="s">
        <v>755</v>
      </c>
      <c r="N57" s="765" t="s">
        <v>756</v>
      </c>
      <c r="O57" s="804">
        <v>44449</v>
      </c>
      <c r="P57" s="804">
        <v>44473</v>
      </c>
      <c r="Q57" s="804">
        <v>44473</v>
      </c>
      <c r="R57" s="767">
        <v>8297364.5</v>
      </c>
      <c r="S57" s="765">
        <v>1.9999999999999999E-6</v>
      </c>
      <c r="T57" s="767">
        <v>20.46</v>
      </c>
      <c r="U57" s="767">
        <v>20.46</v>
      </c>
    </row>
    <row r="58" spans="2:21" x14ac:dyDescent="0.25">
      <c r="H58" s="411"/>
      <c r="I58" s="768"/>
      <c r="J58" s="10">
        <v>44460</v>
      </c>
      <c r="K58" s="766"/>
      <c r="L58" s="767"/>
      <c r="M58" s="767" t="s">
        <v>755</v>
      </c>
      <c r="N58" s="765" t="s">
        <v>756</v>
      </c>
      <c r="O58" s="804">
        <v>44449</v>
      </c>
      <c r="P58" s="804">
        <v>44473</v>
      </c>
      <c r="Q58" s="804">
        <v>44473</v>
      </c>
      <c r="R58" s="767">
        <v>158636.54999999999</v>
      </c>
      <c r="S58" s="765">
        <v>1.9999999999999999E-6</v>
      </c>
      <c r="T58" s="767">
        <v>0.39</v>
      </c>
      <c r="U58" s="767">
        <v>0.39</v>
      </c>
    </row>
    <row r="59" spans="2:21" x14ac:dyDescent="0.25">
      <c r="H59" s="411"/>
      <c r="I59" s="768"/>
      <c r="J59" s="10">
        <v>44460</v>
      </c>
      <c r="K59" s="766"/>
      <c r="L59" s="767"/>
      <c r="M59" s="767" t="s">
        <v>755</v>
      </c>
      <c r="N59" s="765" t="s">
        <v>756</v>
      </c>
      <c r="O59" s="804">
        <v>44449</v>
      </c>
      <c r="P59" s="804">
        <v>44473</v>
      </c>
      <c r="Q59" s="804">
        <v>44473</v>
      </c>
      <c r="R59" s="767">
        <v>71139.740000000005</v>
      </c>
      <c r="S59" s="765">
        <v>1.9999999999999999E-6</v>
      </c>
      <c r="T59" s="767">
        <v>0.18</v>
      </c>
      <c r="U59" s="767">
        <v>0.18</v>
      </c>
    </row>
    <row r="60" spans="2:21" x14ac:dyDescent="0.25">
      <c r="H60" s="411"/>
      <c r="I60" s="768"/>
      <c r="J60" s="10">
        <v>44460</v>
      </c>
      <c r="K60" s="766"/>
      <c r="L60" s="767"/>
      <c r="M60" s="767" t="s">
        <v>755</v>
      </c>
      <c r="N60" s="765" t="s">
        <v>756</v>
      </c>
      <c r="O60" s="804">
        <v>44449</v>
      </c>
      <c r="P60" s="804">
        <v>44473</v>
      </c>
      <c r="Q60" s="804">
        <v>44473</v>
      </c>
      <c r="R60" s="767">
        <v>1972000.01</v>
      </c>
      <c r="S60" s="765">
        <v>1.9999999999999999E-6</v>
      </c>
      <c r="T60" s="767">
        <v>4.8600000000000003</v>
      </c>
      <c r="U60" s="767">
        <v>4.8600000000000003</v>
      </c>
    </row>
    <row r="61" spans="2:21" x14ac:dyDescent="0.25">
      <c r="H61" s="411"/>
      <c r="I61" s="768"/>
      <c r="J61" s="10">
        <v>44460</v>
      </c>
      <c r="K61" s="766"/>
      <c r="L61" s="767"/>
      <c r="M61" s="767" t="s">
        <v>755</v>
      </c>
      <c r="N61" s="765" t="s">
        <v>756</v>
      </c>
      <c r="O61" s="804">
        <v>44449</v>
      </c>
      <c r="P61" s="804">
        <v>44473</v>
      </c>
      <c r="Q61" s="804">
        <v>44473</v>
      </c>
      <c r="R61" s="767">
        <v>43867.85</v>
      </c>
      <c r="S61" s="765">
        <v>1.9999999999999999E-6</v>
      </c>
      <c r="T61" s="767">
        <v>0.11</v>
      </c>
      <c r="U61" s="767">
        <v>0.11</v>
      </c>
    </row>
    <row r="62" spans="2:21" x14ac:dyDescent="0.25">
      <c r="H62" s="411"/>
      <c r="I62" s="768"/>
      <c r="J62" s="10">
        <v>44460</v>
      </c>
      <c r="K62" s="766"/>
      <c r="L62" s="767"/>
      <c r="M62" s="767" t="s">
        <v>755</v>
      </c>
      <c r="N62" s="765" t="s">
        <v>756</v>
      </c>
      <c r="O62" s="10">
        <v>44449</v>
      </c>
      <c r="P62" s="10">
        <v>44473</v>
      </c>
      <c r="Q62" s="10">
        <v>44473</v>
      </c>
      <c r="R62" s="767">
        <v>12204763.51</v>
      </c>
      <c r="S62" s="765">
        <v>1.9999999999999999E-6</v>
      </c>
      <c r="T62" s="767">
        <v>30.1</v>
      </c>
      <c r="U62" s="767">
        <v>30.1</v>
      </c>
    </row>
    <row r="63" spans="2:21" x14ac:dyDescent="0.25">
      <c r="H63" s="411"/>
      <c r="I63" s="768"/>
      <c r="J63" s="10">
        <v>44460</v>
      </c>
      <c r="K63" s="766"/>
      <c r="L63" s="767"/>
      <c r="M63" s="767" t="s">
        <v>755</v>
      </c>
      <c r="N63" s="765" t="s">
        <v>756</v>
      </c>
      <c r="O63" s="10">
        <v>44452</v>
      </c>
      <c r="P63" s="10">
        <v>44473</v>
      </c>
      <c r="Q63" s="10">
        <v>44473</v>
      </c>
      <c r="R63" s="767">
        <v>31022.53</v>
      </c>
      <c r="S63" s="765">
        <v>9.9999999999999995E-7</v>
      </c>
      <c r="T63" s="767">
        <v>0.03</v>
      </c>
      <c r="U63" s="767">
        <v>0.03</v>
      </c>
    </row>
    <row r="64" spans="2:21" x14ac:dyDescent="0.25">
      <c r="H64" s="411"/>
      <c r="I64" s="768"/>
      <c r="J64" s="10">
        <v>44460</v>
      </c>
      <c r="K64" s="766"/>
      <c r="L64" s="767"/>
      <c r="M64" s="767" t="s">
        <v>755</v>
      </c>
      <c r="N64" s="765" t="s">
        <v>756</v>
      </c>
      <c r="O64" s="10">
        <v>44452</v>
      </c>
      <c r="P64" s="10">
        <v>44473</v>
      </c>
      <c r="Q64" s="10">
        <v>44473</v>
      </c>
      <c r="R64" s="767">
        <v>71141823.659999996</v>
      </c>
      <c r="S64" s="765">
        <v>9.9999999999999995E-7</v>
      </c>
      <c r="T64" s="767">
        <v>58.48</v>
      </c>
      <c r="U64" s="767">
        <v>58.48</v>
      </c>
    </row>
    <row r="65" spans="8:21" x14ac:dyDescent="0.25">
      <c r="H65" s="411"/>
      <c r="I65" s="768"/>
      <c r="J65" s="10">
        <v>44460</v>
      </c>
      <c r="K65" s="766"/>
      <c r="L65" s="767"/>
      <c r="M65" s="767" t="s">
        <v>755</v>
      </c>
      <c r="N65" s="765" t="s">
        <v>756</v>
      </c>
      <c r="O65" s="10">
        <v>44452</v>
      </c>
      <c r="P65" s="10">
        <v>44473</v>
      </c>
      <c r="Q65" s="10">
        <v>44473</v>
      </c>
      <c r="R65" s="767">
        <v>8098364.5</v>
      </c>
      <c r="S65" s="765">
        <v>9.9999999999999995E-7</v>
      </c>
      <c r="T65" s="767">
        <v>6.66</v>
      </c>
      <c r="U65" s="767">
        <v>6.66</v>
      </c>
    </row>
    <row r="66" spans="8:21" x14ac:dyDescent="0.25">
      <c r="H66" s="411"/>
      <c r="I66" s="768"/>
      <c r="J66" s="10">
        <v>44460</v>
      </c>
      <c r="K66" s="766"/>
      <c r="L66" s="767"/>
      <c r="M66" s="767" t="s">
        <v>755</v>
      </c>
      <c r="N66" s="765" t="s">
        <v>756</v>
      </c>
      <c r="O66" s="10">
        <v>44452</v>
      </c>
      <c r="P66" s="10">
        <v>44473</v>
      </c>
      <c r="Q66" s="10">
        <v>44473</v>
      </c>
      <c r="R66" s="767">
        <v>158636.54999999999</v>
      </c>
      <c r="S66" s="765">
        <v>9.9999999999999995E-7</v>
      </c>
      <c r="T66" s="767">
        <v>0.13</v>
      </c>
      <c r="U66" s="767">
        <v>0.13</v>
      </c>
    </row>
    <row r="67" spans="8:21" x14ac:dyDescent="0.25">
      <c r="H67" s="411"/>
      <c r="I67" s="768"/>
      <c r="J67" s="10">
        <v>44460</v>
      </c>
      <c r="K67" s="766"/>
      <c r="L67" s="767"/>
      <c r="M67" s="767" t="s">
        <v>755</v>
      </c>
      <c r="N67" s="765" t="s">
        <v>756</v>
      </c>
      <c r="O67" s="10">
        <v>44452</v>
      </c>
      <c r="P67" s="10">
        <v>44473</v>
      </c>
      <c r="Q67" s="10">
        <v>44473</v>
      </c>
      <c r="R67" s="767">
        <v>71139.740000000005</v>
      </c>
      <c r="S67" s="765">
        <v>9.9999999999999995E-7</v>
      </c>
      <c r="T67" s="767">
        <v>0.06</v>
      </c>
      <c r="U67" s="767">
        <v>0.06</v>
      </c>
    </row>
    <row r="68" spans="8:21" x14ac:dyDescent="0.25">
      <c r="H68" s="411"/>
      <c r="I68" s="768"/>
      <c r="J68" s="10">
        <v>44460</v>
      </c>
      <c r="K68" s="766"/>
      <c r="L68" s="767"/>
      <c r="M68" s="767" t="s">
        <v>755</v>
      </c>
      <c r="N68" s="765" t="s">
        <v>756</v>
      </c>
      <c r="O68" s="10">
        <v>44452</v>
      </c>
      <c r="P68" s="10">
        <v>44473</v>
      </c>
      <c r="Q68" s="10">
        <v>44473</v>
      </c>
      <c r="R68" s="767">
        <v>1972000.01</v>
      </c>
      <c r="S68" s="765">
        <v>9.9999999999999995E-7</v>
      </c>
      <c r="T68" s="767">
        <v>1.62</v>
      </c>
      <c r="U68" s="767">
        <v>1.62</v>
      </c>
    </row>
    <row r="69" spans="8:21" x14ac:dyDescent="0.25">
      <c r="H69" s="411"/>
      <c r="I69" s="768"/>
      <c r="J69" s="10">
        <v>44460</v>
      </c>
      <c r="K69" s="766"/>
      <c r="L69" s="767"/>
      <c r="M69" s="767" t="s">
        <v>755</v>
      </c>
      <c r="N69" s="765" t="s">
        <v>756</v>
      </c>
      <c r="O69" s="10">
        <v>44452</v>
      </c>
      <c r="P69" s="10">
        <v>44473</v>
      </c>
      <c r="Q69" s="10">
        <v>44473</v>
      </c>
      <c r="R69" s="767">
        <v>43867.85</v>
      </c>
      <c r="S69" s="765">
        <v>9.9999999999999995E-7</v>
      </c>
      <c r="T69" s="767">
        <v>0.04</v>
      </c>
      <c r="U69" s="767">
        <v>0.04</v>
      </c>
    </row>
    <row r="70" spans="8:21" x14ac:dyDescent="0.25">
      <c r="H70" s="411"/>
      <c r="I70" s="768"/>
      <c r="J70" s="10">
        <v>44460</v>
      </c>
      <c r="K70" s="766"/>
      <c r="L70" s="767"/>
      <c r="M70" s="767" t="s">
        <v>755</v>
      </c>
      <c r="N70" s="765" t="s">
        <v>756</v>
      </c>
      <c r="O70" s="10">
        <v>44452</v>
      </c>
      <c r="P70" s="10">
        <v>44473</v>
      </c>
      <c r="Q70" s="10">
        <v>44473</v>
      </c>
      <c r="R70" s="767">
        <v>12291217.17</v>
      </c>
      <c r="S70" s="765">
        <v>9.9999999999999995E-7</v>
      </c>
      <c r="T70" s="767">
        <v>10.1</v>
      </c>
      <c r="U70" s="767">
        <v>10.1</v>
      </c>
    </row>
    <row r="71" spans="8:21" x14ac:dyDescent="0.25">
      <c r="H71" s="411"/>
      <c r="I71" s="768"/>
      <c r="J71" s="10">
        <v>44460</v>
      </c>
      <c r="K71" s="766"/>
      <c r="L71" s="767"/>
      <c r="M71" s="767" t="s">
        <v>755</v>
      </c>
      <c r="N71" s="765" t="s">
        <v>756</v>
      </c>
      <c r="O71" s="10">
        <v>44453</v>
      </c>
      <c r="P71" s="10">
        <v>44473</v>
      </c>
      <c r="Q71" s="10">
        <v>44473</v>
      </c>
      <c r="R71" s="767">
        <v>31022.53</v>
      </c>
      <c r="S71" s="765">
        <v>9.9999999999999995E-7</v>
      </c>
      <c r="T71" s="767">
        <v>0.03</v>
      </c>
      <c r="U71" s="767">
        <v>0.03</v>
      </c>
    </row>
    <row r="72" spans="8:21" x14ac:dyDescent="0.25">
      <c r="H72" s="411"/>
      <c r="I72" s="768"/>
      <c r="J72" s="10">
        <v>44460</v>
      </c>
      <c r="K72" s="766"/>
      <c r="L72" s="767"/>
      <c r="M72" s="767" t="s">
        <v>755</v>
      </c>
      <c r="N72" s="765" t="s">
        <v>756</v>
      </c>
      <c r="O72" s="10">
        <v>44453</v>
      </c>
      <c r="P72" s="10">
        <v>44473</v>
      </c>
      <c r="Q72" s="10">
        <v>44473</v>
      </c>
      <c r="R72" s="767">
        <v>53815150.960000001</v>
      </c>
      <c r="S72" s="765">
        <v>9.9999999999999995E-7</v>
      </c>
      <c r="T72" s="767">
        <v>44.24</v>
      </c>
      <c r="U72" s="767">
        <v>44.24</v>
      </c>
    </row>
    <row r="73" spans="8:21" x14ac:dyDescent="0.25">
      <c r="H73" s="411"/>
      <c r="I73" s="768"/>
      <c r="J73" s="10">
        <v>44460</v>
      </c>
      <c r="K73" s="766"/>
      <c r="L73" s="767"/>
      <c r="M73" s="767" t="s">
        <v>755</v>
      </c>
      <c r="N73" s="765" t="s">
        <v>756</v>
      </c>
      <c r="O73" s="10">
        <v>44453</v>
      </c>
      <c r="P73" s="10">
        <v>44473</v>
      </c>
      <c r="Q73" s="10">
        <v>44473</v>
      </c>
      <c r="R73" s="767">
        <v>8098364.5</v>
      </c>
      <c r="S73" s="765">
        <v>9.9999999999999995E-7</v>
      </c>
      <c r="T73" s="767">
        <v>6.66</v>
      </c>
      <c r="U73" s="767">
        <v>6.66</v>
      </c>
    </row>
    <row r="74" spans="8:21" x14ac:dyDescent="0.25">
      <c r="H74" s="411"/>
      <c r="I74" s="768"/>
      <c r="J74" s="10">
        <v>44460</v>
      </c>
      <c r="L74" s="767"/>
      <c r="M74" s="767" t="s">
        <v>755</v>
      </c>
      <c r="N74" s="765" t="s">
        <v>756</v>
      </c>
      <c r="O74" s="10">
        <v>44453</v>
      </c>
      <c r="P74" s="10">
        <v>44473</v>
      </c>
      <c r="Q74" s="10">
        <v>44473</v>
      </c>
      <c r="R74" s="767">
        <v>158636.54999999999</v>
      </c>
      <c r="S74" s="765">
        <v>9.9999999999999995E-7</v>
      </c>
      <c r="T74" s="767">
        <v>0.13</v>
      </c>
      <c r="U74" s="767">
        <v>0.13</v>
      </c>
    </row>
    <row r="75" spans="8:21" x14ac:dyDescent="0.25">
      <c r="H75" s="411"/>
      <c r="J75" s="10">
        <v>44460</v>
      </c>
      <c r="L75" s="767"/>
      <c r="M75" s="767" t="s">
        <v>755</v>
      </c>
      <c r="N75" s="765" t="s">
        <v>756</v>
      </c>
      <c r="O75" s="10">
        <v>44453</v>
      </c>
      <c r="P75" s="10">
        <v>44473</v>
      </c>
      <c r="Q75" s="10">
        <v>44473</v>
      </c>
      <c r="R75" s="767">
        <v>71139.740000000005</v>
      </c>
      <c r="S75" s="765">
        <v>9.9999999999999995E-7</v>
      </c>
      <c r="T75" s="767">
        <v>0.06</v>
      </c>
      <c r="U75" s="767">
        <v>0.06</v>
      </c>
    </row>
    <row r="76" spans="8:21" x14ac:dyDescent="0.25">
      <c r="H76" s="411"/>
      <c r="J76" s="10">
        <v>44460</v>
      </c>
      <c r="L76" s="767"/>
      <c r="M76" s="767" t="s">
        <v>755</v>
      </c>
      <c r="N76" s="765" t="s">
        <v>756</v>
      </c>
      <c r="O76" s="10">
        <v>44453</v>
      </c>
      <c r="P76" s="10">
        <v>44473</v>
      </c>
      <c r="Q76" s="10">
        <v>44473</v>
      </c>
      <c r="R76" s="767">
        <v>1972000.01</v>
      </c>
      <c r="S76" s="765">
        <v>9.9999999999999995E-7</v>
      </c>
      <c r="T76" s="767">
        <v>1.62</v>
      </c>
      <c r="U76" s="767">
        <v>1.62</v>
      </c>
    </row>
    <row r="77" spans="8:21" x14ac:dyDescent="0.25">
      <c r="H77" s="411"/>
      <c r="J77" s="10">
        <v>44460</v>
      </c>
      <c r="L77" s="767"/>
      <c r="M77" s="767" t="s">
        <v>755</v>
      </c>
      <c r="N77" s="765" t="s">
        <v>756</v>
      </c>
      <c r="O77" s="10">
        <v>44453</v>
      </c>
      <c r="P77" s="10">
        <v>44473</v>
      </c>
      <c r="Q77" s="10">
        <v>44473</v>
      </c>
      <c r="R77" s="767">
        <v>43867.85</v>
      </c>
      <c r="S77" s="765">
        <v>9.9999999999999995E-7</v>
      </c>
      <c r="T77" s="767">
        <v>0.04</v>
      </c>
      <c r="U77" s="767">
        <v>0.04</v>
      </c>
    </row>
    <row r="78" spans="8:21" x14ac:dyDescent="0.25">
      <c r="H78" s="411"/>
      <c r="J78" s="10">
        <v>44460</v>
      </c>
      <c r="L78" s="767"/>
      <c r="M78" s="767" t="s">
        <v>755</v>
      </c>
      <c r="N78" s="765" t="s">
        <v>756</v>
      </c>
      <c r="O78" s="10">
        <v>44454</v>
      </c>
      <c r="P78" s="10">
        <v>44473</v>
      </c>
      <c r="Q78" s="10">
        <v>44473</v>
      </c>
      <c r="R78" s="767">
        <v>31022.53</v>
      </c>
      <c r="S78" s="765">
        <v>9.9999999999999995E-7</v>
      </c>
      <c r="T78" s="767">
        <v>0.03</v>
      </c>
      <c r="U78" s="767">
        <v>0.03</v>
      </c>
    </row>
    <row r="79" spans="8:21" x14ac:dyDescent="0.25">
      <c r="H79" s="411"/>
      <c r="J79" s="10">
        <v>44460</v>
      </c>
      <c r="L79" s="767"/>
      <c r="M79" s="767" t="s">
        <v>755</v>
      </c>
      <c r="N79" s="765" t="s">
        <v>756</v>
      </c>
      <c r="O79" s="10">
        <v>44454</v>
      </c>
      <c r="P79" s="10">
        <v>44473</v>
      </c>
      <c r="Q79" s="10">
        <v>44473</v>
      </c>
      <c r="R79" s="767">
        <v>41585150.960000001</v>
      </c>
      <c r="S79" s="765">
        <v>9.9999999999999995E-7</v>
      </c>
      <c r="T79" s="767">
        <v>34.18</v>
      </c>
      <c r="U79" s="767">
        <v>34.18</v>
      </c>
    </row>
    <row r="80" spans="8:21" x14ac:dyDescent="0.25">
      <c r="H80" s="411"/>
      <c r="J80" s="10">
        <v>44460</v>
      </c>
      <c r="L80" s="767"/>
      <c r="M80" s="767" t="s">
        <v>755</v>
      </c>
      <c r="N80" s="765" t="s">
        <v>756</v>
      </c>
      <c r="O80" s="10">
        <v>44454</v>
      </c>
      <c r="P80" s="10">
        <v>44473</v>
      </c>
      <c r="Q80" s="10">
        <v>44473</v>
      </c>
      <c r="R80" s="767">
        <v>10661364.5</v>
      </c>
      <c r="S80" s="765">
        <v>9.9999999999999995E-7</v>
      </c>
      <c r="T80" s="767">
        <v>8.76</v>
      </c>
      <c r="U80" s="767">
        <v>8.76</v>
      </c>
    </row>
    <row r="81" spans="10:21" x14ac:dyDescent="0.25">
      <c r="J81" s="10">
        <v>44460</v>
      </c>
      <c r="L81" s="767"/>
      <c r="M81" s="767" t="s">
        <v>755</v>
      </c>
      <c r="N81" s="765" t="s">
        <v>756</v>
      </c>
      <c r="O81" s="10">
        <v>44454</v>
      </c>
      <c r="P81" s="10">
        <v>44473</v>
      </c>
      <c r="Q81" s="10">
        <v>44473</v>
      </c>
      <c r="R81" s="767">
        <v>158636.54999999999</v>
      </c>
      <c r="S81" s="765">
        <v>9.9999999999999995E-7</v>
      </c>
      <c r="T81" s="767">
        <v>0.13</v>
      </c>
      <c r="U81" s="767">
        <v>0.13</v>
      </c>
    </row>
    <row r="82" spans="10:21" x14ac:dyDescent="0.25">
      <c r="J82" s="10">
        <v>44460</v>
      </c>
      <c r="L82" s="767"/>
      <c r="M82" s="767" t="s">
        <v>755</v>
      </c>
      <c r="N82" s="765" t="s">
        <v>756</v>
      </c>
      <c r="O82" s="10">
        <v>44454</v>
      </c>
      <c r="P82" s="10">
        <v>44473</v>
      </c>
      <c r="Q82" s="10">
        <v>44473</v>
      </c>
      <c r="R82" s="767">
        <v>71139.740000000005</v>
      </c>
      <c r="S82" s="765">
        <v>9.9999999999999995E-7</v>
      </c>
      <c r="T82" s="767">
        <v>0.06</v>
      </c>
      <c r="U82" s="767">
        <v>0.06</v>
      </c>
    </row>
    <row r="83" spans="10:21" x14ac:dyDescent="0.25">
      <c r="J83" s="10">
        <v>44460</v>
      </c>
      <c r="L83" s="767"/>
      <c r="M83" s="767" t="s">
        <v>755</v>
      </c>
      <c r="N83" s="765" t="s">
        <v>756</v>
      </c>
      <c r="O83" s="10">
        <v>44454</v>
      </c>
      <c r="P83" s="10">
        <v>44473</v>
      </c>
      <c r="Q83" s="10">
        <v>44473</v>
      </c>
      <c r="R83" s="767">
        <v>1972000.01</v>
      </c>
      <c r="S83" s="765">
        <v>9.9999999999999995E-7</v>
      </c>
      <c r="T83" s="767">
        <v>1.62</v>
      </c>
      <c r="U83" s="767">
        <v>1.62</v>
      </c>
    </row>
    <row r="84" spans="10:21" x14ac:dyDescent="0.25">
      <c r="J84" s="10">
        <v>44460</v>
      </c>
      <c r="L84" s="767"/>
      <c r="M84" s="767" t="s">
        <v>755</v>
      </c>
      <c r="N84" s="765" t="s">
        <v>756</v>
      </c>
      <c r="O84" s="10">
        <v>44454</v>
      </c>
      <c r="P84" s="10">
        <v>44473</v>
      </c>
      <c r="Q84" s="10">
        <v>44473</v>
      </c>
      <c r="R84" s="767">
        <v>43867.85</v>
      </c>
      <c r="S84" s="765">
        <v>9.9999999999999995E-7</v>
      </c>
      <c r="T84" s="767">
        <v>0.04</v>
      </c>
      <c r="U84" s="767">
        <v>0.04</v>
      </c>
    </row>
    <row r="85" spans="10:21" x14ac:dyDescent="0.25">
      <c r="J85" s="10">
        <v>44460</v>
      </c>
      <c r="L85" s="767"/>
      <c r="M85" s="767" t="s">
        <v>755</v>
      </c>
      <c r="N85" s="765" t="s">
        <v>756</v>
      </c>
      <c r="O85" s="10">
        <v>44454</v>
      </c>
      <c r="P85" s="10">
        <v>44473</v>
      </c>
      <c r="Q85" s="10">
        <v>44473</v>
      </c>
      <c r="R85" s="767">
        <v>1786328.56</v>
      </c>
      <c r="S85" s="765">
        <v>9.9999999999999995E-7</v>
      </c>
      <c r="T85" s="767">
        <v>1.47</v>
      </c>
      <c r="U85" s="767">
        <v>1.47</v>
      </c>
    </row>
    <row r="86" spans="10:21" x14ac:dyDescent="0.25">
      <c r="J86" s="10">
        <v>44460</v>
      </c>
      <c r="L86" s="767"/>
      <c r="M86" s="767" t="s">
        <v>755</v>
      </c>
      <c r="N86" s="765" t="s">
        <v>756</v>
      </c>
      <c r="O86" s="10">
        <v>44455</v>
      </c>
      <c r="P86" s="10">
        <v>44473</v>
      </c>
      <c r="Q86" s="10">
        <v>44473</v>
      </c>
      <c r="R86" s="767">
        <v>31022.53</v>
      </c>
      <c r="S86" s="765">
        <v>9.9999999999999995E-7</v>
      </c>
      <c r="T86" s="767">
        <v>0.03</v>
      </c>
      <c r="U86" s="767">
        <v>0.03</v>
      </c>
    </row>
    <row r="87" spans="10:21" x14ac:dyDescent="0.25">
      <c r="J87" s="10">
        <v>44460</v>
      </c>
      <c r="L87" s="767"/>
      <c r="M87" s="767" t="s">
        <v>755</v>
      </c>
      <c r="N87" s="765" t="s">
        <v>756</v>
      </c>
      <c r="O87" s="10">
        <v>44455</v>
      </c>
      <c r="P87" s="10">
        <v>44473</v>
      </c>
      <c r="Q87" s="10">
        <v>44473</v>
      </c>
      <c r="R87" s="767">
        <v>34602541.880000003</v>
      </c>
      <c r="S87" s="765">
        <v>9.9999999999999995E-7</v>
      </c>
      <c r="T87" s="767">
        <v>28.44</v>
      </c>
      <c r="U87" s="767">
        <v>28.44</v>
      </c>
    </row>
    <row r="88" spans="10:21" x14ac:dyDescent="0.25">
      <c r="J88" s="10">
        <v>44460</v>
      </c>
      <c r="L88" s="767"/>
      <c r="M88" s="767" t="s">
        <v>755</v>
      </c>
      <c r="N88" s="765" t="s">
        <v>756</v>
      </c>
      <c r="O88" s="10">
        <v>44455</v>
      </c>
      <c r="P88" s="10">
        <v>44473</v>
      </c>
      <c r="Q88" s="10">
        <v>44473</v>
      </c>
      <c r="R88" s="767">
        <v>13271364.5</v>
      </c>
      <c r="S88" s="765">
        <v>9.9999999999999995E-7</v>
      </c>
      <c r="T88" s="767">
        <v>10.91</v>
      </c>
      <c r="U88" s="767">
        <v>10.91</v>
      </c>
    </row>
    <row r="89" spans="10:21" x14ac:dyDescent="0.25">
      <c r="J89" s="10">
        <v>44460</v>
      </c>
      <c r="L89" s="767"/>
      <c r="M89" s="767" t="s">
        <v>755</v>
      </c>
      <c r="N89" s="765" t="s">
        <v>756</v>
      </c>
      <c r="O89" s="10">
        <v>44455</v>
      </c>
      <c r="P89" s="10">
        <v>44473</v>
      </c>
      <c r="Q89" s="10">
        <v>44473</v>
      </c>
      <c r="R89" s="767">
        <v>118743</v>
      </c>
      <c r="S89" s="765">
        <v>9.9999999999999995E-7</v>
      </c>
      <c r="T89" s="767">
        <v>0.1</v>
      </c>
      <c r="U89" s="767">
        <v>0.1</v>
      </c>
    </row>
    <row r="90" spans="10:21" x14ac:dyDescent="0.25">
      <c r="J90" s="10">
        <v>44460</v>
      </c>
      <c r="L90" s="767"/>
      <c r="M90" s="767" t="s">
        <v>755</v>
      </c>
      <c r="N90" s="765" t="s">
        <v>756</v>
      </c>
      <c r="O90" s="10">
        <v>44455</v>
      </c>
      <c r="P90" s="10">
        <v>44473</v>
      </c>
      <c r="Q90" s="10">
        <v>44473</v>
      </c>
      <c r="R90" s="767">
        <v>71139.740000000005</v>
      </c>
      <c r="S90" s="765">
        <v>9.9999999999999995E-7</v>
      </c>
      <c r="T90" s="767">
        <v>0.06</v>
      </c>
      <c r="U90" s="767">
        <v>0.06</v>
      </c>
    </row>
    <row r="91" spans="10:21" x14ac:dyDescent="0.25">
      <c r="J91" s="10">
        <v>44460</v>
      </c>
      <c r="L91" s="767"/>
      <c r="M91" s="767" t="s">
        <v>755</v>
      </c>
      <c r="N91" s="765" t="s">
        <v>756</v>
      </c>
      <c r="O91" s="10">
        <v>44455</v>
      </c>
      <c r="P91" s="10">
        <v>44473</v>
      </c>
      <c r="Q91" s="10">
        <v>44473</v>
      </c>
      <c r="R91" s="767">
        <v>1972000.01</v>
      </c>
      <c r="S91" s="765">
        <v>9.9999999999999995E-7</v>
      </c>
      <c r="T91" s="767">
        <v>1.62</v>
      </c>
      <c r="U91" s="767">
        <v>1.62</v>
      </c>
    </row>
    <row r="92" spans="10:21" x14ac:dyDescent="0.25">
      <c r="J92" s="10">
        <v>44460</v>
      </c>
      <c r="L92" s="767"/>
      <c r="M92" s="767" t="s">
        <v>755</v>
      </c>
      <c r="N92" s="765" t="s">
        <v>756</v>
      </c>
      <c r="O92" s="10">
        <v>44455</v>
      </c>
      <c r="P92" s="10">
        <v>44473</v>
      </c>
      <c r="Q92" s="10">
        <v>44473</v>
      </c>
      <c r="R92" s="767">
        <v>38790.39</v>
      </c>
      <c r="S92" s="765">
        <v>9.9999999999999995E-7</v>
      </c>
      <c r="T92" s="767">
        <v>0.03</v>
      </c>
      <c r="U92" s="767">
        <v>0.03</v>
      </c>
    </row>
    <row r="93" spans="10:21" x14ac:dyDescent="0.25">
      <c r="J93" s="10">
        <v>44460</v>
      </c>
      <c r="L93" s="767"/>
      <c r="M93" s="767" t="s">
        <v>755</v>
      </c>
      <c r="N93" s="765" t="s">
        <v>756</v>
      </c>
      <c r="O93" s="10">
        <v>44455</v>
      </c>
      <c r="P93" s="10">
        <v>44473</v>
      </c>
      <c r="Q93" s="10">
        <v>44473</v>
      </c>
      <c r="R93" s="767">
        <v>1786328.56</v>
      </c>
      <c r="S93" s="765">
        <v>9.9999999999999995E-7</v>
      </c>
      <c r="T93" s="767">
        <v>1.47</v>
      </c>
      <c r="U93" s="767">
        <v>1.47</v>
      </c>
    </row>
    <row r="94" spans="10:21" x14ac:dyDescent="0.25">
      <c r="J94" s="10">
        <v>44460</v>
      </c>
      <c r="L94" s="767"/>
      <c r="M94" s="767" t="s">
        <v>755</v>
      </c>
      <c r="N94" s="765" t="s">
        <v>756</v>
      </c>
      <c r="O94" s="10">
        <v>44456</v>
      </c>
      <c r="P94" s="10">
        <v>44473</v>
      </c>
      <c r="Q94" s="10">
        <v>44473</v>
      </c>
      <c r="R94" s="767">
        <v>31022.53</v>
      </c>
      <c r="S94" s="765">
        <v>1.9999999999999999E-6</v>
      </c>
      <c r="T94" s="767">
        <v>0.08</v>
      </c>
      <c r="U94" s="767">
        <v>0.08</v>
      </c>
    </row>
    <row r="95" spans="10:21" x14ac:dyDescent="0.25">
      <c r="J95" s="10">
        <v>44460</v>
      </c>
      <c r="L95" s="767"/>
      <c r="M95" s="767" t="s">
        <v>755</v>
      </c>
      <c r="N95" s="765" t="s">
        <v>756</v>
      </c>
      <c r="O95" s="10">
        <v>44456</v>
      </c>
      <c r="P95" s="10">
        <v>44473</v>
      </c>
      <c r="Q95" s="10">
        <v>44473</v>
      </c>
      <c r="R95" s="767">
        <v>34358879.32</v>
      </c>
      <c r="S95" s="765">
        <v>1.9999999999999999E-6</v>
      </c>
      <c r="T95" s="767">
        <v>84.73</v>
      </c>
      <c r="U95" s="767">
        <v>84.73</v>
      </c>
    </row>
    <row r="96" spans="10:21" x14ac:dyDescent="0.25">
      <c r="J96" s="10">
        <v>44460</v>
      </c>
      <c r="L96" s="767"/>
      <c r="M96" s="767" t="s">
        <v>755</v>
      </c>
      <c r="N96" s="765" t="s">
        <v>756</v>
      </c>
      <c r="O96" s="10">
        <v>44456</v>
      </c>
      <c r="P96" s="10">
        <v>44473</v>
      </c>
      <c r="Q96" s="10">
        <v>44473</v>
      </c>
      <c r="R96" s="767">
        <v>13100009.310000001</v>
      </c>
      <c r="S96" s="765">
        <v>1.9999999999999999E-6</v>
      </c>
      <c r="T96" s="767">
        <v>32.299999999999997</v>
      </c>
      <c r="U96" s="767">
        <v>32.299999999999997</v>
      </c>
    </row>
    <row r="97" spans="9:21" x14ac:dyDescent="0.25">
      <c r="J97" s="10">
        <v>44460</v>
      </c>
      <c r="L97" s="767"/>
      <c r="M97" s="767" t="s">
        <v>755</v>
      </c>
      <c r="N97" s="765" t="s">
        <v>756</v>
      </c>
      <c r="O97" s="10">
        <v>44456</v>
      </c>
      <c r="P97" s="10">
        <v>44473</v>
      </c>
      <c r="Q97" s="10">
        <v>44473</v>
      </c>
      <c r="R97" s="767">
        <v>118743</v>
      </c>
      <c r="S97" s="765">
        <v>1.9999999999999999E-6</v>
      </c>
      <c r="T97" s="767">
        <v>0.28999999999999998</v>
      </c>
      <c r="U97" s="767">
        <v>0.28999999999999998</v>
      </c>
    </row>
    <row r="98" spans="9:21" x14ac:dyDescent="0.25">
      <c r="J98" s="10">
        <v>44460</v>
      </c>
      <c r="L98" s="767"/>
      <c r="M98" s="767" t="s">
        <v>755</v>
      </c>
      <c r="N98" s="765" t="s">
        <v>756</v>
      </c>
      <c r="O98" s="10">
        <v>44456</v>
      </c>
      <c r="P98" s="10">
        <v>44473</v>
      </c>
      <c r="Q98" s="10">
        <v>44473</v>
      </c>
      <c r="R98" s="767">
        <v>71139.740000000005</v>
      </c>
      <c r="S98" s="765">
        <v>1.9999999999999999E-6</v>
      </c>
      <c r="T98" s="767">
        <v>0.18</v>
      </c>
      <c r="U98" s="767">
        <v>0.18</v>
      </c>
    </row>
    <row r="99" spans="9:21" x14ac:dyDescent="0.25">
      <c r="J99" s="10">
        <v>44460</v>
      </c>
      <c r="L99" s="767"/>
      <c r="M99" s="767" t="s">
        <v>755</v>
      </c>
      <c r="N99" s="765" t="s">
        <v>756</v>
      </c>
      <c r="O99" s="10">
        <v>44456</v>
      </c>
      <c r="P99" s="10">
        <v>44473</v>
      </c>
      <c r="Q99" s="10">
        <v>44473</v>
      </c>
      <c r="R99" s="767">
        <v>1972000.01</v>
      </c>
      <c r="S99" s="765">
        <v>1.9999999999999999E-6</v>
      </c>
      <c r="T99" s="767">
        <v>4.8600000000000003</v>
      </c>
      <c r="U99" s="767">
        <v>4.8600000000000003</v>
      </c>
    </row>
    <row r="100" spans="9:21" x14ac:dyDescent="0.25">
      <c r="J100" s="10">
        <v>44460</v>
      </c>
      <c r="L100" s="767"/>
      <c r="M100" s="767" t="s">
        <v>755</v>
      </c>
      <c r="N100" s="765" t="s">
        <v>756</v>
      </c>
      <c r="O100" s="10">
        <v>44456</v>
      </c>
      <c r="P100" s="10">
        <v>44473</v>
      </c>
      <c r="Q100" s="10">
        <v>44473</v>
      </c>
      <c r="R100" s="767">
        <v>38790.39</v>
      </c>
      <c r="S100" s="765">
        <v>1.9999999999999999E-6</v>
      </c>
      <c r="T100" s="767">
        <v>0.1</v>
      </c>
      <c r="U100" s="767">
        <v>0.1</v>
      </c>
    </row>
    <row r="101" spans="9:21" x14ac:dyDescent="0.25">
      <c r="J101" s="10">
        <v>44460</v>
      </c>
      <c r="L101" s="767"/>
      <c r="M101" s="767" t="s">
        <v>755</v>
      </c>
      <c r="N101" s="765" t="s">
        <v>756</v>
      </c>
      <c r="O101" s="10">
        <v>44456</v>
      </c>
      <c r="P101" s="10">
        <v>44473</v>
      </c>
      <c r="Q101" s="10">
        <v>44473</v>
      </c>
      <c r="R101" s="767">
        <v>1786328.56</v>
      </c>
      <c r="S101" s="765">
        <v>1.9999999999999999E-6</v>
      </c>
      <c r="T101" s="767">
        <v>4.41</v>
      </c>
      <c r="U101" s="767">
        <v>4.41</v>
      </c>
    </row>
    <row r="102" spans="9:21" x14ac:dyDescent="0.25">
      <c r="J102" s="10">
        <v>44460</v>
      </c>
      <c r="L102" s="767"/>
      <c r="M102" s="767" t="s">
        <v>755</v>
      </c>
      <c r="N102" s="765" t="s">
        <v>756</v>
      </c>
      <c r="O102" s="10">
        <v>44459</v>
      </c>
      <c r="P102" s="10">
        <v>44473</v>
      </c>
      <c r="Q102" s="10">
        <v>44473</v>
      </c>
      <c r="R102" s="767">
        <v>31022.53</v>
      </c>
      <c r="S102" s="765">
        <v>9.9999999999999995E-7</v>
      </c>
      <c r="T102" s="767">
        <v>0.03</v>
      </c>
      <c r="U102" s="767">
        <v>0.03</v>
      </c>
    </row>
    <row r="103" spans="9:21" x14ac:dyDescent="0.25">
      <c r="J103" s="10">
        <v>44460</v>
      </c>
      <c r="L103" s="767"/>
      <c r="M103" s="767" t="s">
        <v>755</v>
      </c>
      <c r="N103" s="765" t="s">
        <v>756</v>
      </c>
      <c r="O103" s="10">
        <v>44459</v>
      </c>
      <c r="P103" s="10">
        <v>44473</v>
      </c>
      <c r="Q103" s="10">
        <v>44473</v>
      </c>
      <c r="R103" s="767">
        <v>30039275.91</v>
      </c>
      <c r="S103" s="765">
        <v>9.9999999999999995E-7</v>
      </c>
      <c r="T103" s="767">
        <v>24.69</v>
      </c>
      <c r="U103" s="767">
        <v>24.69</v>
      </c>
    </row>
    <row r="104" spans="9:21" x14ac:dyDescent="0.25">
      <c r="J104" s="10">
        <v>44460</v>
      </c>
      <c r="L104" s="767"/>
      <c r="M104" s="767" t="s">
        <v>755</v>
      </c>
      <c r="N104" s="765" t="s">
        <v>756</v>
      </c>
      <c r="O104" s="10">
        <v>44459</v>
      </c>
      <c r="P104" s="10">
        <v>44473</v>
      </c>
      <c r="Q104" s="10">
        <v>44473</v>
      </c>
      <c r="R104" s="767">
        <v>13100009.310000001</v>
      </c>
      <c r="S104" s="765">
        <v>9.9999999999999995E-7</v>
      </c>
      <c r="T104" s="767">
        <v>10.77</v>
      </c>
      <c r="U104" s="767">
        <v>10.77</v>
      </c>
    </row>
    <row r="105" spans="9:21" x14ac:dyDescent="0.25">
      <c r="J105" s="10">
        <v>44460</v>
      </c>
      <c r="L105" s="767"/>
      <c r="M105" s="767" t="s">
        <v>755</v>
      </c>
      <c r="N105" s="765" t="s">
        <v>756</v>
      </c>
      <c r="O105" s="10">
        <v>44459</v>
      </c>
      <c r="P105" s="10">
        <v>44473</v>
      </c>
      <c r="Q105" s="10">
        <v>44473</v>
      </c>
      <c r="R105" s="767">
        <v>118743</v>
      </c>
      <c r="S105" s="765">
        <v>9.9999999999999995E-7</v>
      </c>
      <c r="T105" s="767">
        <v>0.1</v>
      </c>
      <c r="U105" s="767">
        <v>0.1</v>
      </c>
    </row>
    <row r="106" spans="9:21" x14ac:dyDescent="0.25">
      <c r="J106" s="10">
        <v>44460</v>
      </c>
      <c r="L106" s="767"/>
      <c r="M106" s="767" t="s">
        <v>755</v>
      </c>
      <c r="N106" s="765" t="s">
        <v>756</v>
      </c>
      <c r="O106" s="10">
        <v>44459</v>
      </c>
      <c r="P106" s="10">
        <v>44473</v>
      </c>
      <c r="Q106" s="10">
        <v>44473</v>
      </c>
      <c r="R106" s="767">
        <v>71139.740000000005</v>
      </c>
      <c r="S106" s="765">
        <v>9.9999999999999995E-7</v>
      </c>
      <c r="T106" s="767">
        <v>0.06</v>
      </c>
      <c r="U106" s="767">
        <v>0.06</v>
      </c>
    </row>
    <row r="107" spans="9:21" x14ac:dyDescent="0.25">
      <c r="J107" s="10">
        <v>44460</v>
      </c>
      <c r="L107" s="767"/>
      <c r="M107" s="767" t="s">
        <v>755</v>
      </c>
      <c r="N107" s="765" t="s">
        <v>756</v>
      </c>
      <c r="O107" s="10">
        <v>44459</v>
      </c>
      <c r="P107" s="10">
        <v>44473</v>
      </c>
      <c r="Q107" s="10">
        <v>44473</v>
      </c>
      <c r="R107" s="767">
        <v>1972000.01</v>
      </c>
      <c r="S107" s="765">
        <v>9.9999999999999995E-7</v>
      </c>
      <c r="T107" s="767">
        <v>1.62</v>
      </c>
      <c r="U107" s="767">
        <v>1.62</v>
      </c>
    </row>
    <row r="108" spans="9:21" x14ac:dyDescent="0.25">
      <c r="J108" s="10">
        <v>44460</v>
      </c>
      <c r="L108" s="767"/>
      <c r="M108" s="767" t="s">
        <v>755</v>
      </c>
      <c r="N108" s="765" t="s">
        <v>756</v>
      </c>
      <c r="O108" s="10">
        <v>44459</v>
      </c>
      <c r="P108" s="10">
        <v>44473</v>
      </c>
      <c r="Q108" s="10">
        <v>44473</v>
      </c>
      <c r="R108" s="767">
        <v>38790.39</v>
      </c>
      <c r="S108" s="765">
        <v>9.9999999999999995E-7</v>
      </c>
      <c r="T108" s="767">
        <v>0.03</v>
      </c>
      <c r="U108" s="767">
        <v>0.03</v>
      </c>
    </row>
    <row r="109" spans="9:21" x14ac:dyDescent="0.25">
      <c r="J109" s="10">
        <v>44460</v>
      </c>
      <c r="L109" s="767"/>
      <c r="M109" s="767" t="s">
        <v>755</v>
      </c>
      <c r="N109" s="765" t="s">
        <v>756</v>
      </c>
      <c r="O109" s="10">
        <v>44459</v>
      </c>
      <c r="P109" s="10">
        <v>44473</v>
      </c>
      <c r="Q109" s="10">
        <v>44473</v>
      </c>
      <c r="R109" s="767">
        <v>1786328.56</v>
      </c>
      <c r="S109" s="765">
        <v>9.9999999999999995E-7</v>
      </c>
      <c r="T109" s="767">
        <v>1.47</v>
      </c>
      <c r="U109" s="767">
        <v>1.47</v>
      </c>
    </row>
    <row r="110" spans="9:21" x14ac:dyDescent="0.25">
      <c r="I110" s="765" t="s">
        <v>757</v>
      </c>
      <c r="J110" s="10"/>
      <c r="O110" s="10"/>
      <c r="P110" s="10"/>
      <c r="Q110" s="10"/>
      <c r="R110" s="767"/>
      <c r="T110" s="767"/>
      <c r="U110" s="767">
        <v>131.63</v>
      </c>
    </row>
    <row r="111" spans="9:21" x14ac:dyDescent="0.25">
      <c r="J111" s="10">
        <v>44460</v>
      </c>
      <c r="K111" s="765" t="s">
        <v>757</v>
      </c>
      <c r="L111" s="765" t="s">
        <v>432</v>
      </c>
      <c r="M111" s="765" t="s">
        <v>755</v>
      </c>
      <c r="N111" s="765" t="s">
        <v>756</v>
      </c>
      <c r="O111" s="10">
        <v>44440</v>
      </c>
      <c r="P111" s="10">
        <v>44473</v>
      </c>
      <c r="Q111" s="10">
        <v>44473</v>
      </c>
      <c r="R111" s="767">
        <v>11038715.560000001</v>
      </c>
      <c r="S111" s="765">
        <v>9.9999999999999995E-7</v>
      </c>
      <c r="T111" s="767">
        <v>9.07</v>
      </c>
      <c r="U111" s="767">
        <v>9.07</v>
      </c>
    </row>
    <row r="112" spans="9:21" x14ac:dyDescent="0.25">
      <c r="J112" s="10">
        <v>44460</v>
      </c>
      <c r="K112" s="765" t="s">
        <v>757</v>
      </c>
      <c r="L112" s="765" t="s">
        <v>432</v>
      </c>
      <c r="M112" s="765" t="s">
        <v>755</v>
      </c>
      <c r="N112" s="765" t="s">
        <v>756</v>
      </c>
      <c r="O112" s="10">
        <v>44441</v>
      </c>
      <c r="P112" s="10">
        <v>44473</v>
      </c>
      <c r="Q112" s="10">
        <v>44473</v>
      </c>
      <c r="R112" s="767">
        <v>11038959.65</v>
      </c>
      <c r="S112" s="765">
        <v>9.9999999999999995E-7</v>
      </c>
      <c r="T112" s="767">
        <v>9.07</v>
      </c>
      <c r="U112" s="767">
        <v>9.07</v>
      </c>
    </row>
    <row r="113" spans="9:21" x14ac:dyDescent="0.25">
      <c r="J113" s="10">
        <v>44460</v>
      </c>
      <c r="K113" s="765" t="s">
        <v>757</v>
      </c>
      <c r="L113" s="765" t="s">
        <v>432</v>
      </c>
      <c r="M113" s="765" t="s">
        <v>755</v>
      </c>
      <c r="N113" s="765" t="s">
        <v>756</v>
      </c>
      <c r="O113" s="10">
        <v>44442</v>
      </c>
      <c r="P113" s="10">
        <v>44473</v>
      </c>
      <c r="Q113" s="10">
        <v>44473</v>
      </c>
      <c r="R113" s="767">
        <v>11038959.65</v>
      </c>
      <c r="S113" s="765">
        <v>3.0000000000000001E-6</v>
      </c>
      <c r="T113" s="767">
        <v>36.299999999999997</v>
      </c>
      <c r="U113" s="767">
        <v>36.299999999999997</v>
      </c>
    </row>
    <row r="114" spans="9:21" x14ac:dyDescent="0.25">
      <c r="J114" s="10">
        <v>44460</v>
      </c>
      <c r="K114" s="765" t="s">
        <v>757</v>
      </c>
      <c r="L114" s="765" t="s">
        <v>432</v>
      </c>
      <c r="M114" s="765" t="s">
        <v>755</v>
      </c>
      <c r="N114" s="765" t="s">
        <v>756</v>
      </c>
      <c r="O114" s="10">
        <v>44446</v>
      </c>
      <c r="P114" s="10">
        <v>44473</v>
      </c>
      <c r="Q114" s="10">
        <v>44473</v>
      </c>
      <c r="R114" s="767">
        <v>11038959.65</v>
      </c>
      <c r="S114" s="765">
        <v>9.9999999999999995E-7</v>
      </c>
      <c r="T114" s="767">
        <v>9.07</v>
      </c>
      <c r="U114" s="767">
        <v>9.07</v>
      </c>
    </row>
    <row r="115" spans="9:21" x14ac:dyDescent="0.25">
      <c r="J115" s="10">
        <v>44460</v>
      </c>
      <c r="K115" s="765" t="s">
        <v>757</v>
      </c>
      <c r="L115" s="765" t="s">
        <v>432</v>
      </c>
      <c r="M115" s="765" t="s">
        <v>755</v>
      </c>
      <c r="N115" s="765" t="s">
        <v>756</v>
      </c>
      <c r="O115" s="10">
        <v>44447</v>
      </c>
      <c r="P115" s="10">
        <v>44473</v>
      </c>
      <c r="Q115" s="10">
        <v>44473</v>
      </c>
      <c r="R115" s="767">
        <v>11039130.539999999</v>
      </c>
      <c r="S115" s="765">
        <v>9.9999999999999995E-7</v>
      </c>
      <c r="T115" s="767">
        <v>9.07</v>
      </c>
      <c r="U115" s="767">
        <v>9.07</v>
      </c>
    </row>
    <row r="116" spans="9:21" x14ac:dyDescent="0.25">
      <c r="J116" s="10">
        <v>44460</v>
      </c>
      <c r="K116" s="765" t="s">
        <v>757</v>
      </c>
      <c r="L116" s="765" t="s">
        <v>432</v>
      </c>
      <c r="M116" s="765" t="s">
        <v>755</v>
      </c>
      <c r="N116" s="765" t="s">
        <v>756</v>
      </c>
      <c r="O116" s="10">
        <v>44448</v>
      </c>
      <c r="P116" s="10">
        <v>44473</v>
      </c>
      <c r="Q116" s="10">
        <v>44473</v>
      </c>
      <c r="R116" s="767">
        <v>12204563.439999999</v>
      </c>
      <c r="S116" s="765">
        <v>9.9999999999999995E-7</v>
      </c>
      <c r="T116" s="767">
        <v>10.029999999999999</v>
      </c>
      <c r="U116" s="767">
        <v>10.029999999999999</v>
      </c>
    </row>
    <row r="117" spans="9:21" x14ac:dyDescent="0.25">
      <c r="J117" s="10">
        <v>44460</v>
      </c>
      <c r="K117" s="765" t="s">
        <v>757</v>
      </c>
      <c r="L117" s="765" t="s">
        <v>432</v>
      </c>
      <c r="M117" s="765" t="s">
        <v>755</v>
      </c>
      <c r="N117" s="765" t="s">
        <v>756</v>
      </c>
      <c r="O117" s="10">
        <v>44449</v>
      </c>
      <c r="P117" s="10">
        <v>44473</v>
      </c>
      <c r="Q117" s="10">
        <v>44473</v>
      </c>
      <c r="R117" s="767">
        <v>12204763.51</v>
      </c>
      <c r="S117" s="765">
        <v>1.9999999999999999E-6</v>
      </c>
      <c r="T117" s="767">
        <v>30.1</v>
      </c>
      <c r="U117" s="767">
        <v>30.1</v>
      </c>
    </row>
    <row r="118" spans="9:21" x14ac:dyDescent="0.25">
      <c r="J118" s="10">
        <v>44460</v>
      </c>
      <c r="K118" s="765" t="s">
        <v>757</v>
      </c>
      <c r="L118" s="765" t="s">
        <v>432</v>
      </c>
      <c r="M118" s="765" t="s">
        <v>755</v>
      </c>
      <c r="N118" s="765" t="s">
        <v>756</v>
      </c>
      <c r="O118" s="10">
        <v>44452</v>
      </c>
      <c r="P118" s="10">
        <v>44473</v>
      </c>
      <c r="Q118" s="10">
        <v>44473</v>
      </c>
      <c r="R118" s="767">
        <v>12291217.17</v>
      </c>
      <c r="S118" s="765">
        <v>9.9999999999999995E-7</v>
      </c>
      <c r="T118" s="767">
        <v>10.1</v>
      </c>
      <c r="U118" s="767">
        <v>10.1</v>
      </c>
    </row>
    <row r="119" spans="9:21" x14ac:dyDescent="0.25">
      <c r="J119" s="10">
        <v>44460</v>
      </c>
      <c r="K119" s="765" t="s">
        <v>757</v>
      </c>
      <c r="L119" s="765" t="s">
        <v>432</v>
      </c>
      <c r="M119" s="765" t="s">
        <v>755</v>
      </c>
      <c r="N119" s="765" t="s">
        <v>756</v>
      </c>
      <c r="O119" s="10">
        <v>44454</v>
      </c>
      <c r="P119" s="10">
        <v>44473</v>
      </c>
      <c r="Q119" s="10">
        <v>44473</v>
      </c>
      <c r="R119" s="767">
        <v>1786328.56</v>
      </c>
      <c r="S119" s="765">
        <v>9.9999999999999995E-7</v>
      </c>
      <c r="T119" s="767">
        <v>1.47</v>
      </c>
      <c r="U119" s="767">
        <v>1.47</v>
      </c>
    </row>
    <row r="120" spans="9:21" x14ac:dyDescent="0.25">
      <c r="J120" s="10">
        <v>44460</v>
      </c>
      <c r="K120" s="765" t="s">
        <v>757</v>
      </c>
      <c r="L120" s="765" t="s">
        <v>432</v>
      </c>
      <c r="M120" s="765" t="s">
        <v>755</v>
      </c>
      <c r="N120" s="765" t="s">
        <v>756</v>
      </c>
      <c r="O120" s="10">
        <v>44455</v>
      </c>
      <c r="P120" s="10">
        <v>44473</v>
      </c>
      <c r="Q120" s="10">
        <v>44473</v>
      </c>
      <c r="R120" s="767">
        <v>1786328.56</v>
      </c>
      <c r="S120" s="765">
        <v>9.9999999999999995E-7</v>
      </c>
      <c r="T120" s="767">
        <v>1.47</v>
      </c>
      <c r="U120" s="767">
        <v>1.47</v>
      </c>
    </row>
    <row r="121" spans="9:21" x14ac:dyDescent="0.25">
      <c r="J121" s="10">
        <v>44460</v>
      </c>
      <c r="K121" s="765" t="s">
        <v>757</v>
      </c>
      <c r="L121" s="765" t="s">
        <v>432</v>
      </c>
      <c r="M121" s="765" t="s">
        <v>755</v>
      </c>
      <c r="N121" s="765" t="s">
        <v>756</v>
      </c>
      <c r="O121" s="10">
        <v>44456</v>
      </c>
      <c r="P121" s="10">
        <v>44473</v>
      </c>
      <c r="Q121" s="10">
        <v>44473</v>
      </c>
      <c r="R121" s="767">
        <v>1786328.56</v>
      </c>
      <c r="S121" s="765">
        <v>1.9999999999999999E-6</v>
      </c>
      <c r="T121" s="767">
        <v>4.41</v>
      </c>
      <c r="U121" s="767">
        <v>4.41</v>
      </c>
    </row>
    <row r="122" spans="9:21" x14ac:dyDescent="0.25">
      <c r="J122" s="10">
        <v>44460</v>
      </c>
      <c r="K122" s="765" t="s">
        <v>757</v>
      </c>
      <c r="L122" s="765" t="s">
        <v>432</v>
      </c>
      <c r="M122" s="765" t="s">
        <v>755</v>
      </c>
      <c r="N122" s="765" t="s">
        <v>756</v>
      </c>
      <c r="O122" s="10">
        <v>44459</v>
      </c>
      <c r="P122" s="10">
        <v>44473</v>
      </c>
      <c r="Q122" s="10">
        <v>44473</v>
      </c>
      <c r="R122" s="767">
        <v>1786328.56</v>
      </c>
      <c r="S122" s="765">
        <v>9.9999999999999995E-7</v>
      </c>
      <c r="T122" s="767">
        <v>1.47</v>
      </c>
      <c r="U122" s="767">
        <v>1.47</v>
      </c>
    </row>
    <row r="123" spans="9:21" x14ac:dyDescent="0.25">
      <c r="I123" s="765" t="s">
        <v>758</v>
      </c>
      <c r="J123" s="10"/>
      <c r="O123" s="10"/>
      <c r="P123" s="10"/>
      <c r="Q123" s="10"/>
      <c r="R123" s="767"/>
      <c r="T123" s="767"/>
      <c r="U123" s="767">
        <v>28.63</v>
      </c>
    </row>
    <row r="124" spans="9:21" x14ac:dyDescent="0.25">
      <c r="J124" s="10">
        <v>44460</v>
      </c>
      <c r="K124" s="765" t="s">
        <v>758</v>
      </c>
      <c r="L124" s="765" t="s">
        <v>433</v>
      </c>
      <c r="M124" s="765" t="s">
        <v>755</v>
      </c>
      <c r="N124" s="765" t="s">
        <v>756</v>
      </c>
      <c r="O124" s="10">
        <v>44440</v>
      </c>
      <c r="P124" s="10">
        <v>44473</v>
      </c>
      <c r="Q124" s="10">
        <v>44473</v>
      </c>
      <c r="R124" s="767">
        <v>1212000.01</v>
      </c>
      <c r="S124" s="765">
        <v>9.9999999999999995E-7</v>
      </c>
      <c r="T124" s="767">
        <v>1</v>
      </c>
      <c r="U124" s="767">
        <v>1</v>
      </c>
    </row>
    <row r="125" spans="9:21" x14ac:dyDescent="0.25">
      <c r="J125" s="10">
        <v>44460</v>
      </c>
      <c r="K125" s="765" t="s">
        <v>758</v>
      </c>
      <c r="L125" s="765" t="s">
        <v>433</v>
      </c>
      <c r="M125" s="765" t="s">
        <v>755</v>
      </c>
      <c r="N125" s="765" t="s">
        <v>756</v>
      </c>
      <c r="O125" s="10">
        <v>44441</v>
      </c>
      <c r="P125" s="10">
        <v>44473</v>
      </c>
      <c r="Q125" s="10">
        <v>44473</v>
      </c>
      <c r="R125" s="767">
        <v>1212000.01</v>
      </c>
      <c r="S125" s="765">
        <v>9.9999999999999995E-7</v>
      </c>
      <c r="T125" s="767">
        <v>1</v>
      </c>
      <c r="U125" s="767">
        <v>1</v>
      </c>
    </row>
    <row r="126" spans="9:21" x14ac:dyDescent="0.25">
      <c r="J126" s="10">
        <v>44460</v>
      </c>
      <c r="K126" s="765" t="s">
        <v>758</v>
      </c>
      <c r="L126" s="765" t="s">
        <v>433</v>
      </c>
      <c r="M126" s="765" t="s">
        <v>755</v>
      </c>
      <c r="N126" s="765" t="s">
        <v>756</v>
      </c>
      <c r="O126" s="10">
        <v>44442</v>
      </c>
      <c r="P126" s="10">
        <v>44473</v>
      </c>
      <c r="Q126" s="10">
        <v>44473</v>
      </c>
      <c r="R126" s="767">
        <v>1212000.01</v>
      </c>
      <c r="S126" s="765">
        <v>3.0000000000000001E-6</v>
      </c>
      <c r="T126" s="767">
        <v>3.99</v>
      </c>
      <c r="U126" s="767">
        <v>3.99</v>
      </c>
    </row>
    <row r="127" spans="9:21" x14ac:dyDescent="0.25">
      <c r="J127" s="10">
        <v>44460</v>
      </c>
      <c r="K127" s="765" t="s">
        <v>758</v>
      </c>
      <c r="L127" s="765" t="s">
        <v>433</v>
      </c>
      <c r="M127" s="765" t="s">
        <v>755</v>
      </c>
      <c r="N127" s="765" t="s">
        <v>756</v>
      </c>
      <c r="O127" s="10">
        <v>44446</v>
      </c>
      <c r="P127" s="10">
        <v>44473</v>
      </c>
      <c r="Q127" s="10">
        <v>44473</v>
      </c>
      <c r="R127" s="767">
        <v>1212000.01</v>
      </c>
      <c r="S127" s="765">
        <v>9.9999999999999995E-7</v>
      </c>
      <c r="T127" s="767">
        <v>1</v>
      </c>
      <c r="U127" s="767">
        <v>1</v>
      </c>
    </row>
    <row r="128" spans="9:21" x14ac:dyDescent="0.25">
      <c r="J128" s="10">
        <v>44460</v>
      </c>
      <c r="K128" s="765" t="s">
        <v>758</v>
      </c>
      <c r="L128" s="765" t="s">
        <v>433</v>
      </c>
      <c r="M128" s="765" t="s">
        <v>755</v>
      </c>
      <c r="N128" s="765" t="s">
        <v>756</v>
      </c>
      <c r="O128" s="10">
        <v>44447</v>
      </c>
      <c r="P128" s="10">
        <v>44473</v>
      </c>
      <c r="Q128" s="10">
        <v>44473</v>
      </c>
      <c r="R128" s="767">
        <v>2671000.0099999998</v>
      </c>
      <c r="S128" s="765">
        <v>9.9999999999999995E-7</v>
      </c>
      <c r="T128" s="767">
        <v>2.2000000000000002</v>
      </c>
      <c r="U128" s="767">
        <v>2.2000000000000002</v>
      </c>
    </row>
    <row r="129" spans="9:21" x14ac:dyDescent="0.25">
      <c r="J129" s="10">
        <v>44460</v>
      </c>
      <c r="K129" s="765" t="s">
        <v>758</v>
      </c>
      <c r="L129" s="765" t="s">
        <v>433</v>
      </c>
      <c r="M129" s="765" t="s">
        <v>755</v>
      </c>
      <c r="N129" s="765" t="s">
        <v>756</v>
      </c>
      <c r="O129" s="10">
        <v>44448</v>
      </c>
      <c r="P129" s="10">
        <v>44473</v>
      </c>
      <c r="Q129" s="10">
        <v>44473</v>
      </c>
      <c r="R129" s="767">
        <v>1972000.01</v>
      </c>
      <c r="S129" s="765">
        <v>9.9999999999999995E-7</v>
      </c>
      <c r="T129" s="767">
        <v>1.62</v>
      </c>
      <c r="U129" s="767">
        <v>1.62</v>
      </c>
    </row>
    <row r="130" spans="9:21" x14ac:dyDescent="0.25">
      <c r="J130" s="10">
        <v>44460</v>
      </c>
      <c r="K130" s="765" t="s">
        <v>758</v>
      </c>
      <c r="L130" s="765" t="s">
        <v>433</v>
      </c>
      <c r="M130" s="765" t="s">
        <v>755</v>
      </c>
      <c r="N130" s="765" t="s">
        <v>756</v>
      </c>
      <c r="O130" s="10">
        <v>44449</v>
      </c>
      <c r="P130" s="10">
        <v>44473</v>
      </c>
      <c r="Q130" s="10">
        <v>44473</v>
      </c>
      <c r="R130" s="767">
        <v>1972000.01</v>
      </c>
      <c r="S130" s="765">
        <v>1.9999999999999999E-6</v>
      </c>
      <c r="T130" s="767">
        <v>4.8600000000000003</v>
      </c>
      <c r="U130" s="767">
        <v>4.8600000000000003</v>
      </c>
    </row>
    <row r="131" spans="9:21" x14ac:dyDescent="0.25">
      <c r="J131" s="10">
        <v>44460</v>
      </c>
      <c r="K131" s="765" t="s">
        <v>758</v>
      </c>
      <c r="L131" s="765" t="s">
        <v>433</v>
      </c>
      <c r="M131" s="765" t="s">
        <v>755</v>
      </c>
      <c r="N131" s="765" t="s">
        <v>756</v>
      </c>
      <c r="O131" s="10">
        <v>44452</v>
      </c>
      <c r="P131" s="10">
        <v>44473</v>
      </c>
      <c r="Q131" s="10">
        <v>44473</v>
      </c>
      <c r="R131" s="767">
        <v>1972000.01</v>
      </c>
      <c r="S131" s="765">
        <v>9.9999999999999995E-7</v>
      </c>
      <c r="T131" s="767">
        <v>1.62</v>
      </c>
      <c r="U131" s="767">
        <v>1.62</v>
      </c>
    </row>
    <row r="132" spans="9:21" x14ac:dyDescent="0.25">
      <c r="J132" s="10">
        <v>44460</v>
      </c>
      <c r="K132" s="765" t="s">
        <v>758</v>
      </c>
      <c r="L132" s="765" t="s">
        <v>433</v>
      </c>
      <c r="M132" s="765" t="s">
        <v>755</v>
      </c>
      <c r="N132" s="765" t="s">
        <v>756</v>
      </c>
      <c r="O132" s="10">
        <v>44453</v>
      </c>
      <c r="P132" s="10">
        <v>44473</v>
      </c>
      <c r="Q132" s="10">
        <v>44473</v>
      </c>
      <c r="R132" s="767">
        <v>1972000.01</v>
      </c>
      <c r="S132" s="765">
        <v>9.9999999999999995E-7</v>
      </c>
      <c r="T132" s="767">
        <v>1.62</v>
      </c>
      <c r="U132" s="767">
        <v>1.62</v>
      </c>
    </row>
    <row r="133" spans="9:21" x14ac:dyDescent="0.25">
      <c r="J133" s="10">
        <v>44460</v>
      </c>
      <c r="K133" s="765" t="s">
        <v>758</v>
      </c>
      <c r="L133" s="765" t="s">
        <v>433</v>
      </c>
      <c r="M133" s="765" t="s">
        <v>755</v>
      </c>
      <c r="N133" s="765" t="s">
        <v>756</v>
      </c>
      <c r="O133" s="10">
        <v>44454</v>
      </c>
      <c r="P133" s="10">
        <v>44473</v>
      </c>
      <c r="Q133" s="10">
        <v>44473</v>
      </c>
      <c r="R133" s="767">
        <v>1972000.01</v>
      </c>
      <c r="S133" s="765">
        <v>9.9999999999999995E-7</v>
      </c>
      <c r="T133" s="767">
        <v>1.62</v>
      </c>
      <c r="U133" s="767">
        <v>1.62</v>
      </c>
    </row>
    <row r="134" spans="9:21" x14ac:dyDescent="0.25">
      <c r="J134" s="10">
        <v>44460</v>
      </c>
      <c r="K134" s="765" t="s">
        <v>758</v>
      </c>
      <c r="L134" s="765" t="s">
        <v>433</v>
      </c>
      <c r="M134" s="765" t="s">
        <v>755</v>
      </c>
      <c r="N134" s="765" t="s">
        <v>756</v>
      </c>
      <c r="O134" s="10">
        <v>44455</v>
      </c>
      <c r="P134" s="10">
        <v>44473</v>
      </c>
      <c r="Q134" s="10">
        <v>44473</v>
      </c>
      <c r="R134" s="767">
        <v>1972000.01</v>
      </c>
      <c r="S134" s="765">
        <v>9.9999999999999995E-7</v>
      </c>
      <c r="T134" s="767">
        <v>1.62</v>
      </c>
      <c r="U134" s="767">
        <v>1.62</v>
      </c>
    </row>
    <row r="135" spans="9:21" x14ac:dyDescent="0.25">
      <c r="J135" s="10">
        <v>44460</v>
      </c>
      <c r="K135" s="765" t="s">
        <v>758</v>
      </c>
      <c r="L135" s="765" t="s">
        <v>433</v>
      </c>
      <c r="M135" s="765" t="s">
        <v>755</v>
      </c>
      <c r="N135" s="765" t="s">
        <v>756</v>
      </c>
      <c r="O135" s="10">
        <v>44456</v>
      </c>
      <c r="P135" s="10">
        <v>44473</v>
      </c>
      <c r="Q135" s="10">
        <v>44473</v>
      </c>
      <c r="R135" s="767">
        <v>1972000.01</v>
      </c>
      <c r="S135" s="765">
        <v>1.9999999999999999E-6</v>
      </c>
      <c r="T135" s="767">
        <v>4.8600000000000003</v>
      </c>
      <c r="U135" s="767">
        <v>4.8600000000000003</v>
      </c>
    </row>
    <row r="136" spans="9:21" x14ac:dyDescent="0.25">
      <c r="J136" s="10">
        <v>44460</v>
      </c>
      <c r="K136" s="765" t="s">
        <v>758</v>
      </c>
      <c r="L136" s="765" t="s">
        <v>433</v>
      </c>
      <c r="M136" s="765" t="s">
        <v>755</v>
      </c>
      <c r="N136" s="765" t="s">
        <v>756</v>
      </c>
      <c r="O136" s="10">
        <v>44459</v>
      </c>
      <c r="P136" s="10">
        <v>44473</v>
      </c>
      <c r="Q136" s="10">
        <v>44473</v>
      </c>
      <c r="R136" s="767">
        <v>1972000.01</v>
      </c>
      <c r="S136" s="765">
        <v>9.9999999999999995E-7</v>
      </c>
      <c r="T136" s="767">
        <v>1.62</v>
      </c>
      <c r="U136" s="767">
        <v>1.62</v>
      </c>
    </row>
    <row r="137" spans="9:21" x14ac:dyDescent="0.25">
      <c r="I137" s="765" t="s">
        <v>759</v>
      </c>
      <c r="J137" s="10"/>
      <c r="O137" s="10"/>
      <c r="P137" s="10"/>
      <c r="Q137" s="10"/>
      <c r="R137" s="767"/>
      <c r="T137" s="767"/>
      <c r="U137" s="767">
        <v>0.6</v>
      </c>
    </row>
    <row r="138" spans="9:21" x14ac:dyDescent="0.25">
      <c r="J138" s="10">
        <v>44460</v>
      </c>
      <c r="K138" s="765" t="s">
        <v>759</v>
      </c>
      <c r="L138" s="765" t="s">
        <v>437</v>
      </c>
      <c r="M138" s="765" t="s">
        <v>755</v>
      </c>
      <c r="N138" s="765" t="s">
        <v>756</v>
      </c>
      <c r="O138" s="10">
        <v>44440</v>
      </c>
      <c r="P138" s="10">
        <v>44473</v>
      </c>
      <c r="Q138" s="10">
        <v>44473</v>
      </c>
      <c r="R138" s="767">
        <v>28474.57</v>
      </c>
      <c r="S138" s="765">
        <v>9.9999999999999995E-7</v>
      </c>
      <c r="T138" s="767">
        <v>0.02</v>
      </c>
      <c r="U138" s="767">
        <v>0.02</v>
      </c>
    </row>
    <row r="139" spans="9:21" x14ac:dyDescent="0.25">
      <c r="J139" s="10">
        <v>44460</v>
      </c>
      <c r="K139" s="765" t="s">
        <v>759</v>
      </c>
      <c r="L139" s="765" t="s">
        <v>437</v>
      </c>
      <c r="M139" s="765" t="s">
        <v>755</v>
      </c>
      <c r="N139" s="765" t="s">
        <v>756</v>
      </c>
      <c r="O139" s="10">
        <v>44441</v>
      </c>
      <c r="P139" s="10">
        <v>44473</v>
      </c>
      <c r="Q139" s="10">
        <v>44473</v>
      </c>
      <c r="R139" s="767">
        <v>28474.57</v>
      </c>
      <c r="S139" s="765">
        <v>9.9999999999999995E-7</v>
      </c>
      <c r="T139" s="767">
        <v>0.02</v>
      </c>
      <c r="U139" s="767">
        <v>0.02</v>
      </c>
    </row>
    <row r="140" spans="9:21" x14ac:dyDescent="0.25">
      <c r="J140" s="10">
        <v>44460</v>
      </c>
      <c r="K140" s="765" t="s">
        <v>759</v>
      </c>
      <c r="L140" s="765" t="s">
        <v>437</v>
      </c>
      <c r="M140" s="765" t="s">
        <v>755</v>
      </c>
      <c r="N140" s="765" t="s">
        <v>756</v>
      </c>
      <c r="O140" s="10">
        <v>44442</v>
      </c>
      <c r="P140" s="10">
        <v>44473</v>
      </c>
      <c r="Q140" s="10">
        <v>44473</v>
      </c>
      <c r="R140" s="767">
        <v>28474.57</v>
      </c>
      <c r="S140" s="765">
        <v>3.0000000000000001E-6</v>
      </c>
      <c r="T140" s="767">
        <v>0.09</v>
      </c>
      <c r="U140" s="767">
        <v>0.09</v>
      </c>
    </row>
    <row r="141" spans="9:21" x14ac:dyDescent="0.25">
      <c r="J141" s="10">
        <v>44460</v>
      </c>
      <c r="K141" s="765" t="s">
        <v>759</v>
      </c>
      <c r="L141" s="765" t="s">
        <v>437</v>
      </c>
      <c r="M141" s="765" t="s">
        <v>755</v>
      </c>
      <c r="N141" s="765" t="s">
        <v>756</v>
      </c>
      <c r="O141" s="10">
        <v>44446</v>
      </c>
      <c r="P141" s="10">
        <v>44473</v>
      </c>
      <c r="Q141" s="10">
        <v>44473</v>
      </c>
      <c r="R141" s="767">
        <v>28474.57</v>
      </c>
      <c r="S141" s="765">
        <v>9.9999999999999995E-7</v>
      </c>
      <c r="T141" s="767">
        <v>0.02</v>
      </c>
      <c r="U141" s="767">
        <v>0.02</v>
      </c>
    </row>
    <row r="142" spans="9:21" x14ac:dyDescent="0.25">
      <c r="J142" s="10">
        <v>44460</v>
      </c>
      <c r="K142" s="765" t="s">
        <v>759</v>
      </c>
      <c r="L142" s="765" t="s">
        <v>437</v>
      </c>
      <c r="M142" s="765" t="s">
        <v>755</v>
      </c>
      <c r="N142" s="765" t="s">
        <v>756</v>
      </c>
      <c r="O142" s="10">
        <v>44447</v>
      </c>
      <c r="P142" s="10">
        <v>44473</v>
      </c>
      <c r="Q142" s="10">
        <v>44473</v>
      </c>
      <c r="R142" s="767">
        <v>28474.57</v>
      </c>
      <c r="S142" s="765">
        <v>9.9999999999999995E-7</v>
      </c>
      <c r="T142" s="767">
        <v>0.02</v>
      </c>
      <c r="U142" s="767">
        <v>0.02</v>
      </c>
    </row>
    <row r="143" spans="9:21" x14ac:dyDescent="0.25">
      <c r="J143" s="10">
        <v>44460</v>
      </c>
      <c r="K143" s="765" t="s">
        <v>759</v>
      </c>
      <c r="L143" s="765" t="s">
        <v>437</v>
      </c>
      <c r="M143" s="765" t="s">
        <v>755</v>
      </c>
      <c r="N143" s="765" t="s">
        <v>756</v>
      </c>
      <c r="O143" s="10">
        <v>44448</v>
      </c>
      <c r="P143" s="10">
        <v>44473</v>
      </c>
      <c r="Q143" s="10">
        <v>44473</v>
      </c>
      <c r="R143" s="767">
        <v>43867.85</v>
      </c>
      <c r="S143" s="765">
        <v>9.9999999999999995E-7</v>
      </c>
      <c r="T143" s="767">
        <v>0.04</v>
      </c>
      <c r="U143" s="767">
        <v>0.04</v>
      </c>
    </row>
    <row r="144" spans="9:21" x14ac:dyDescent="0.25">
      <c r="J144" s="10">
        <v>44460</v>
      </c>
      <c r="K144" s="765" t="s">
        <v>759</v>
      </c>
      <c r="L144" s="765" t="s">
        <v>437</v>
      </c>
      <c r="M144" s="765" t="s">
        <v>755</v>
      </c>
      <c r="N144" s="765" t="s">
        <v>756</v>
      </c>
      <c r="O144" s="10">
        <v>44449</v>
      </c>
      <c r="P144" s="10">
        <v>44473</v>
      </c>
      <c r="Q144" s="10">
        <v>44473</v>
      </c>
      <c r="R144" s="767">
        <v>43867.85</v>
      </c>
      <c r="S144" s="765">
        <v>1.9999999999999999E-6</v>
      </c>
      <c r="T144" s="767">
        <v>0.11</v>
      </c>
      <c r="U144" s="767">
        <v>0.11</v>
      </c>
    </row>
    <row r="145" spans="9:21" x14ac:dyDescent="0.25">
      <c r="J145" s="10">
        <v>44460</v>
      </c>
      <c r="K145" s="765" t="s">
        <v>759</v>
      </c>
      <c r="L145" s="765" t="s">
        <v>437</v>
      </c>
      <c r="M145" s="765" t="s">
        <v>755</v>
      </c>
      <c r="N145" s="765" t="s">
        <v>756</v>
      </c>
      <c r="O145" s="10">
        <v>44452</v>
      </c>
      <c r="P145" s="10">
        <v>44473</v>
      </c>
      <c r="Q145" s="10">
        <v>44473</v>
      </c>
      <c r="R145" s="767">
        <v>43867.85</v>
      </c>
      <c r="S145" s="765">
        <v>9.9999999999999995E-7</v>
      </c>
      <c r="T145" s="767">
        <v>0.04</v>
      </c>
      <c r="U145" s="767">
        <v>0.04</v>
      </c>
    </row>
    <row r="146" spans="9:21" x14ac:dyDescent="0.25">
      <c r="J146" s="10">
        <v>44460</v>
      </c>
      <c r="K146" s="765" t="s">
        <v>759</v>
      </c>
      <c r="L146" s="765" t="s">
        <v>437</v>
      </c>
      <c r="M146" s="765" t="s">
        <v>755</v>
      </c>
      <c r="N146" s="765" t="s">
        <v>756</v>
      </c>
      <c r="O146" s="10">
        <v>44453</v>
      </c>
      <c r="P146" s="10">
        <v>44473</v>
      </c>
      <c r="Q146" s="10">
        <v>44473</v>
      </c>
      <c r="R146" s="767">
        <v>43867.85</v>
      </c>
      <c r="S146" s="765">
        <v>9.9999999999999995E-7</v>
      </c>
      <c r="T146" s="767">
        <v>0.04</v>
      </c>
      <c r="U146" s="767">
        <v>0.04</v>
      </c>
    </row>
    <row r="147" spans="9:21" x14ac:dyDescent="0.25">
      <c r="J147" s="10">
        <v>44460</v>
      </c>
      <c r="K147" s="765" t="s">
        <v>759</v>
      </c>
      <c r="L147" s="765" t="s">
        <v>437</v>
      </c>
      <c r="M147" s="765" t="s">
        <v>755</v>
      </c>
      <c r="N147" s="765" t="s">
        <v>756</v>
      </c>
      <c r="O147" s="10">
        <v>44454</v>
      </c>
      <c r="P147" s="10">
        <v>44473</v>
      </c>
      <c r="Q147" s="10">
        <v>44473</v>
      </c>
      <c r="R147" s="767">
        <v>43867.85</v>
      </c>
      <c r="S147" s="765">
        <v>9.9999999999999995E-7</v>
      </c>
      <c r="T147" s="767">
        <v>0.04</v>
      </c>
      <c r="U147" s="767">
        <v>0.04</v>
      </c>
    </row>
    <row r="148" spans="9:21" x14ac:dyDescent="0.25">
      <c r="J148" s="10">
        <v>44460</v>
      </c>
      <c r="K148" s="765" t="s">
        <v>759</v>
      </c>
      <c r="L148" s="765" t="s">
        <v>437</v>
      </c>
      <c r="M148" s="765" t="s">
        <v>755</v>
      </c>
      <c r="N148" s="765" t="s">
        <v>756</v>
      </c>
      <c r="O148" s="10">
        <v>44455</v>
      </c>
      <c r="P148" s="10">
        <v>44473</v>
      </c>
      <c r="Q148" s="10">
        <v>44473</v>
      </c>
      <c r="R148" s="767">
        <v>38790.39</v>
      </c>
      <c r="S148" s="765">
        <v>9.9999999999999995E-7</v>
      </c>
      <c r="T148" s="767">
        <v>0.03</v>
      </c>
      <c r="U148" s="767">
        <v>0.03</v>
      </c>
    </row>
    <row r="149" spans="9:21" x14ac:dyDescent="0.25">
      <c r="J149" s="10">
        <v>44460</v>
      </c>
      <c r="K149" s="765" t="s">
        <v>759</v>
      </c>
      <c r="L149" s="765" t="s">
        <v>437</v>
      </c>
      <c r="M149" s="765" t="s">
        <v>755</v>
      </c>
      <c r="N149" s="765" t="s">
        <v>756</v>
      </c>
      <c r="O149" s="10">
        <v>44456</v>
      </c>
      <c r="P149" s="10">
        <v>44473</v>
      </c>
      <c r="Q149" s="10">
        <v>44473</v>
      </c>
      <c r="R149" s="767">
        <v>38790.39</v>
      </c>
      <c r="S149" s="765">
        <v>1.9999999999999999E-6</v>
      </c>
      <c r="T149" s="767">
        <v>0.1</v>
      </c>
      <c r="U149" s="767">
        <v>0.1</v>
      </c>
    </row>
    <row r="150" spans="9:21" x14ac:dyDescent="0.25">
      <c r="J150" s="10">
        <v>44460</v>
      </c>
      <c r="K150" s="765" t="s">
        <v>759</v>
      </c>
      <c r="L150" s="765" t="s">
        <v>437</v>
      </c>
      <c r="M150" s="765" t="s">
        <v>755</v>
      </c>
      <c r="N150" s="765" t="s">
        <v>756</v>
      </c>
      <c r="O150" s="10">
        <v>44459</v>
      </c>
      <c r="P150" s="10">
        <v>44473</v>
      </c>
      <c r="Q150" s="10">
        <v>44473</v>
      </c>
      <c r="R150" s="767">
        <v>38790.39</v>
      </c>
      <c r="S150" s="765">
        <v>9.9999999999999995E-7</v>
      </c>
      <c r="T150" s="767">
        <v>0.03</v>
      </c>
      <c r="U150" s="767">
        <v>0.03</v>
      </c>
    </row>
    <row r="151" spans="9:21" x14ac:dyDescent="0.25">
      <c r="I151" s="765" t="s">
        <v>760</v>
      </c>
      <c r="J151" s="10"/>
      <c r="O151" s="10"/>
      <c r="P151" s="10"/>
      <c r="Q151" s="10"/>
      <c r="R151" s="767"/>
      <c r="T151" s="767"/>
      <c r="U151" s="767">
        <v>1004.58</v>
      </c>
    </row>
    <row r="152" spans="9:21" x14ac:dyDescent="0.25">
      <c r="J152" s="10">
        <v>44460</v>
      </c>
      <c r="K152" s="765" t="s">
        <v>760</v>
      </c>
      <c r="L152" s="765" t="s">
        <v>731</v>
      </c>
      <c r="M152" s="765" t="s">
        <v>755</v>
      </c>
      <c r="N152" s="765" t="s">
        <v>756</v>
      </c>
      <c r="O152" s="10">
        <v>44440</v>
      </c>
      <c r="P152" s="10">
        <v>44473</v>
      </c>
      <c r="Q152" s="10">
        <v>44473</v>
      </c>
      <c r="R152" s="767">
        <v>68174202.400000006</v>
      </c>
      <c r="S152" s="765">
        <v>9.9999999999999995E-7</v>
      </c>
      <c r="T152" s="767">
        <v>56.04</v>
      </c>
      <c r="U152" s="767">
        <v>56.04</v>
      </c>
    </row>
    <row r="153" spans="9:21" x14ac:dyDescent="0.25">
      <c r="J153" s="10">
        <v>44460</v>
      </c>
      <c r="K153" s="765" t="s">
        <v>760</v>
      </c>
      <c r="L153" s="765" t="s">
        <v>731</v>
      </c>
      <c r="M153" s="765" t="s">
        <v>755</v>
      </c>
      <c r="N153" s="765" t="s">
        <v>756</v>
      </c>
      <c r="O153" s="10">
        <v>44441</v>
      </c>
      <c r="P153" s="10">
        <v>44473</v>
      </c>
      <c r="Q153" s="10">
        <v>44473</v>
      </c>
      <c r="R153" s="767">
        <v>68177995.010000005</v>
      </c>
      <c r="S153" s="765">
        <v>9.9999999999999995E-7</v>
      </c>
      <c r="T153" s="767">
        <v>56.04</v>
      </c>
      <c r="U153" s="767">
        <v>56.04</v>
      </c>
    </row>
    <row r="154" spans="9:21" x14ac:dyDescent="0.25">
      <c r="J154" s="10">
        <v>44460</v>
      </c>
      <c r="K154" s="765" t="s">
        <v>760</v>
      </c>
      <c r="L154" s="765" t="s">
        <v>731</v>
      </c>
      <c r="M154" s="765" t="s">
        <v>755</v>
      </c>
      <c r="N154" s="765" t="s">
        <v>756</v>
      </c>
      <c r="O154" s="10">
        <v>44442</v>
      </c>
      <c r="P154" s="10">
        <v>44473</v>
      </c>
      <c r="Q154" s="10">
        <v>44473</v>
      </c>
      <c r="R154" s="767">
        <v>68177995.010000005</v>
      </c>
      <c r="S154" s="765">
        <v>3.0000000000000001E-6</v>
      </c>
      <c r="T154" s="767">
        <v>224.17</v>
      </c>
      <c r="U154" s="767">
        <v>224.17</v>
      </c>
    </row>
    <row r="155" spans="9:21" x14ac:dyDescent="0.25">
      <c r="J155" s="10">
        <v>44460</v>
      </c>
      <c r="K155" s="765" t="s">
        <v>760</v>
      </c>
      <c r="L155" s="765" t="s">
        <v>731</v>
      </c>
      <c r="M155" s="765" t="s">
        <v>755</v>
      </c>
      <c r="N155" s="765" t="s">
        <v>756</v>
      </c>
      <c r="O155" s="10">
        <v>44446</v>
      </c>
      <c r="P155" s="10">
        <v>44473</v>
      </c>
      <c r="Q155" s="10">
        <v>44473</v>
      </c>
      <c r="R155" s="767">
        <v>68177995.010000005</v>
      </c>
      <c r="S155" s="765">
        <v>9.9999999999999995E-7</v>
      </c>
      <c r="T155" s="767">
        <v>56.04</v>
      </c>
      <c r="U155" s="767">
        <v>56.04</v>
      </c>
    </row>
    <row r="156" spans="9:21" x14ac:dyDescent="0.25">
      <c r="J156" s="10">
        <v>44460</v>
      </c>
      <c r="K156" s="765" t="s">
        <v>760</v>
      </c>
      <c r="L156" s="765" t="s">
        <v>731</v>
      </c>
      <c r="M156" s="765" t="s">
        <v>755</v>
      </c>
      <c r="N156" s="765" t="s">
        <v>756</v>
      </c>
      <c r="O156" s="10">
        <v>44447</v>
      </c>
      <c r="P156" s="10">
        <v>44473</v>
      </c>
      <c r="Q156" s="10">
        <v>44473</v>
      </c>
      <c r="R156" s="767">
        <v>69559895.189999998</v>
      </c>
      <c r="S156" s="765">
        <v>9.9999999999999995E-7</v>
      </c>
      <c r="T156" s="767">
        <v>57.18</v>
      </c>
      <c r="U156" s="767">
        <v>57.18</v>
      </c>
    </row>
    <row r="157" spans="9:21" x14ac:dyDescent="0.25">
      <c r="J157" s="10">
        <v>44460</v>
      </c>
      <c r="K157" s="765" t="s">
        <v>760</v>
      </c>
      <c r="L157" s="765" t="s">
        <v>731</v>
      </c>
      <c r="M157" s="765" t="s">
        <v>755</v>
      </c>
      <c r="N157" s="765" t="s">
        <v>756</v>
      </c>
      <c r="O157" s="10">
        <v>44448</v>
      </c>
      <c r="P157" s="10">
        <v>44473</v>
      </c>
      <c r="Q157" s="10">
        <v>44473</v>
      </c>
      <c r="R157" s="767">
        <v>85180359.599999994</v>
      </c>
      <c r="S157" s="765">
        <v>9.9999999999999995E-7</v>
      </c>
      <c r="T157" s="767">
        <v>70.02</v>
      </c>
      <c r="U157" s="767">
        <v>70.02</v>
      </c>
    </row>
    <row r="158" spans="9:21" x14ac:dyDescent="0.25">
      <c r="J158" s="10">
        <v>44460</v>
      </c>
      <c r="K158" s="765" t="s">
        <v>760</v>
      </c>
      <c r="L158" s="765" t="s">
        <v>731</v>
      </c>
      <c r="M158" s="765" t="s">
        <v>755</v>
      </c>
      <c r="N158" s="765" t="s">
        <v>756</v>
      </c>
      <c r="O158" s="10">
        <v>44449</v>
      </c>
      <c r="P158" s="10">
        <v>44473</v>
      </c>
      <c r="Q158" s="10">
        <v>44473</v>
      </c>
      <c r="R158" s="767">
        <v>85290326.420000002</v>
      </c>
      <c r="S158" s="765">
        <v>1.9999999999999999E-6</v>
      </c>
      <c r="T158" s="767">
        <v>210.33</v>
      </c>
      <c r="U158" s="767">
        <v>210.33</v>
      </c>
    </row>
    <row r="159" spans="9:21" x14ac:dyDescent="0.25">
      <c r="J159" s="10">
        <v>44460</v>
      </c>
      <c r="K159" s="765" t="s">
        <v>760</v>
      </c>
      <c r="L159" s="765" t="s">
        <v>731</v>
      </c>
      <c r="M159" s="765" t="s">
        <v>755</v>
      </c>
      <c r="N159" s="765" t="s">
        <v>756</v>
      </c>
      <c r="O159" s="10">
        <v>44452</v>
      </c>
      <c r="P159" s="10">
        <v>44473</v>
      </c>
      <c r="Q159" s="10">
        <v>44473</v>
      </c>
      <c r="R159" s="767">
        <v>71141823.659999996</v>
      </c>
      <c r="S159" s="765">
        <v>9.9999999999999995E-7</v>
      </c>
      <c r="T159" s="767">
        <v>58.48</v>
      </c>
      <c r="U159" s="767">
        <v>58.48</v>
      </c>
    </row>
    <row r="160" spans="9:21" x14ac:dyDescent="0.25">
      <c r="J160" s="10">
        <v>44460</v>
      </c>
      <c r="K160" s="765" t="s">
        <v>760</v>
      </c>
      <c r="L160" s="765" t="s">
        <v>731</v>
      </c>
      <c r="M160" s="765" t="s">
        <v>755</v>
      </c>
      <c r="N160" s="765" t="s">
        <v>756</v>
      </c>
      <c r="O160" s="10">
        <v>44453</v>
      </c>
      <c r="P160" s="10">
        <v>44473</v>
      </c>
      <c r="Q160" s="10">
        <v>44473</v>
      </c>
      <c r="R160" s="767">
        <v>53815150.960000001</v>
      </c>
      <c r="S160" s="765">
        <v>9.9999999999999995E-7</v>
      </c>
      <c r="T160" s="767">
        <v>44.24</v>
      </c>
      <c r="U160" s="767">
        <v>44.24</v>
      </c>
    </row>
    <row r="161" spans="9:21" x14ac:dyDescent="0.25">
      <c r="J161" s="10">
        <v>44460</v>
      </c>
      <c r="K161" s="765" t="s">
        <v>760</v>
      </c>
      <c r="L161" s="765" t="s">
        <v>731</v>
      </c>
      <c r="M161" s="765" t="s">
        <v>755</v>
      </c>
      <c r="N161" s="765" t="s">
        <v>756</v>
      </c>
      <c r="O161" s="10">
        <v>44454</v>
      </c>
      <c r="P161" s="10">
        <v>44473</v>
      </c>
      <c r="Q161" s="10">
        <v>44473</v>
      </c>
      <c r="R161" s="767">
        <v>41585150.960000001</v>
      </c>
      <c r="S161" s="765">
        <v>9.9999999999999995E-7</v>
      </c>
      <c r="T161" s="767">
        <v>34.18</v>
      </c>
      <c r="U161" s="767">
        <v>34.18</v>
      </c>
    </row>
    <row r="162" spans="9:21" x14ac:dyDescent="0.25">
      <c r="J162" s="10">
        <v>44460</v>
      </c>
      <c r="K162" s="765" t="s">
        <v>760</v>
      </c>
      <c r="L162" s="765" t="s">
        <v>731</v>
      </c>
      <c r="M162" s="765" t="s">
        <v>755</v>
      </c>
      <c r="N162" s="765" t="s">
        <v>756</v>
      </c>
      <c r="O162" s="10">
        <v>44455</v>
      </c>
      <c r="P162" s="10">
        <v>44473</v>
      </c>
      <c r="Q162" s="10">
        <v>44473</v>
      </c>
      <c r="R162" s="767">
        <v>34602541.880000003</v>
      </c>
      <c r="S162" s="765">
        <v>9.9999999999999995E-7</v>
      </c>
      <c r="T162" s="767">
        <v>28.44</v>
      </c>
      <c r="U162" s="767">
        <v>28.44</v>
      </c>
    </row>
    <row r="163" spans="9:21" x14ac:dyDescent="0.25">
      <c r="J163" s="10">
        <v>44460</v>
      </c>
      <c r="K163" s="765" t="s">
        <v>760</v>
      </c>
      <c r="L163" s="765" t="s">
        <v>731</v>
      </c>
      <c r="M163" s="765" t="s">
        <v>755</v>
      </c>
      <c r="N163" s="765" t="s">
        <v>756</v>
      </c>
      <c r="O163" s="10">
        <v>44456</v>
      </c>
      <c r="P163" s="10">
        <v>44473</v>
      </c>
      <c r="Q163" s="10">
        <v>44473</v>
      </c>
      <c r="R163" s="767">
        <v>34358879.32</v>
      </c>
      <c r="S163" s="765">
        <v>1.9999999999999999E-6</v>
      </c>
      <c r="T163" s="767">
        <v>84.73</v>
      </c>
      <c r="U163" s="767">
        <v>84.73</v>
      </c>
    </row>
    <row r="164" spans="9:21" x14ac:dyDescent="0.25">
      <c r="J164" s="10">
        <v>44460</v>
      </c>
      <c r="K164" s="765" t="s">
        <v>760</v>
      </c>
      <c r="L164" s="765" t="s">
        <v>731</v>
      </c>
      <c r="M164" s="765" t="s">
        <v>755</v>
      </c>
      <c r="N164" s="765" t="s">
        <v>756</v>
      </c>
      <c r="O164" s="10">
        <v>44459</v>
      </c>
      <c r="P164" s="10">
        <v>44473</v>
      </c>
      <c r="Q164" s="10">
        <v>44473</v>
      </c>
      <c r="R164" s="767">
        <v>30039275.91</v>
      </c>
      <c r="S164" s="765">
        <v>9.9999999999999995E-7</v>
      </c>
      <c r="T164" s="767">
        <v>24.69</v>
      </c>
      <c r="U164" s="767">
        <v>24.69</v>
      </c>
    </row>
    <row r="165" spans="9:21" x14ac:dyDescent="0.25">
      <c r="I165" s="765" t="s">
        <v>806</v>
      </c>
      <c r="J165" s="10"/>
      <c r="O165" s="10"/>
      <c r="P165" s="10"/>
      <c r="Q165" s="10"/>
      <c r="R165" s="767"/>
      <c r="T165" s="767"/>
      <c r="U165" s="767">
        <v>1.28</v>
      </c>
    </row>
    <row r="166" spans="9:21" x14ac:dyDescent="0.25">
      <c r="J166" s="10">
        <v>44460</v>
      </c>
      <c r="K166" s="765" t="s">
        <v>806</v>
      </c>
      <c r="L166" s="765" t="s">
        <v>788</v>
      </c>
      <c r="M166" s="765" t="s">
        <v>755</v>
      </c>
      <c r="N166" s="765" t="s">
        <v>756</v>
      </c>
      <c r="O166" s="10">
        <v>44440</v>
      </c>
      <c r="P166" s="10">
        <v>44473</v>
      </c>
      <c r="Q166" s="10">
        <v>44473</v>
      </c>
      <c r="R166" s="767">
        <v>83828.92</v>
      </c>
      <c r="S166" s="765">
        <v>9.9999999999999995E-7</v>
      </c>
      <c r="T166" s="767">
        <v>7.0000000000000007E-2</v>
      </c>
      <c r="U166" s="767">
        <v>7.0000000000000007E-2</v>
      </c>
    </row>
    <row r="167" spans="9:21" x14ac:dyDescent="0.25">
      <c r="J167" s="10">
        <v>44460</v>
      </c>
      <c r="K167" s="765" t="s">
        <v>806</v>
      </c>
      <c r="L167" s="765" t="s">
        <v>788</v>
      </c>
      <c r="M167" s="765" t="s">
        <v>755</v>
      </c>
      <c r="N167" s="765" t="s">
        <v>756</v>
      </c>
      <c r="O167" s="10">
        <v>44441</v>
      </c>
      <c r="P167" s="10">
        <v>44473</v>
      </c>
      <c r="Q167" s="10">
        <v>44473</v>
      </c>
      <c r="R167" s="767">
        <v>83828.92</v>
      </c>
      <c r="S167" s="765">
        <v>9.9999999999999995E-7</v>
      </c>
      <c r="T167" s="767">
        <v>7.0000000000000007E-2</v>
      </c>
      <c r="U167" s="767">
        <v>7.0000000000000007E-2</v>
      </c>
    </row>
    <row r="168" spans="9:21" x14ac:dyDescent="0.25">
      <c r="J168" s="10">
        <v>44460</v>
      </c>
      <c r="K168" s="765" t="s">
        <v>806</v>
      </c>
      <c r="L168" s="765" t="s">
        <v>788</v>
      </c>
      <c r="M168" s="765" t="s">
        <v>755</v>
      </c>
      <c r="N168" s="765" t="s">
        <v>756</v>
      </c>
      <c r="O168" s="10">
        <v>44442</v>
      </c>
      <c r="P168" s="10">
        <v>44473</v>
      </c>
      <c r="Q168" s="10">
        <v>44473</v>
      </c>
      <c r="R168" s="767">
        <v>83828.92</v>
      </c>
      <c r="S168" s="765">
        <v>3.0000000000000001E-6</v>
      </c>
      <c r="T168" s="767">
        <v>0.28000000000000003</v>
      </c>
      <c r="U168" s="767">
        <v>0.28000000000000003</v>
      </c>
    </row>
    <row r="169" spans="9:21" x14ac:dyDescent="0.25">
      <c r="J169" s="10">
        <v>44460</v>
      </c>
      <c r="K169" s="765" t="s">
        <v>806</v>
      </c>
      <c r="L169" s="765" t="s">
        <v>788</v>
      </c>
      <c r="M169" s="765" t="s">
        <v>755</v>
      </c>
      <c r="N169" s="765" t="s">
        <v>756</v>
      </c>
      <c r="O169" s="10">
        <v>44446</v>
      </c>
      <c r="P169" s="10">
        <v>44473</v>
      </c>
      <c r="Q169" s="10">
        <v>44473</v>
      </c>
      <c r="R169" s="767">
        <v>83828.92</v>
      </c>
      <c r="S169" s="765">
        <v>9.9999999999999995E-7</v>
      </c>
      <c r="T169" s="767">
        <v>7.0000000000000007E-2</v>
      </c>
      <c r="U169" s="767">
        <v>7.0000000000000007E-2</v>
      </c>
    </row>
    <row r="170" spans="9:21" x14ac:dyDescent="0.25">
      <c r="J170" s="10">
        <v>44460</v>
      </c>
      <c r="K170" s="765" t="s">
        <v>806</v>
      </c>
      <c r="L170" s="765" t="s">
        <v>788</v>
      </c>
      <c r="M170" s="765" t="s">
        <v>755</v>
      </c>
      <c r="N170" s="765" t="s">
        <v>756</v>
      </c>
      <c r="O170" s="10">
        <v>44447</v>
      </c>
      <c r="P170" s="10">
        <v>44473</v>
      </c>
      <c r="Q170" s="10">
        <v>44473</v>
      </c>
      <c r="R170" s="767">
        <v>83828.92</v>
      </c>
      <c r="S170" s="765">
        <v>9.9999999999999995E-7</v>
      </c>
      <c r="T170" s="767">
        <v>7.0000000000000007E-2</v>
      </c>
      <c r="U170" s="767">
        <v>7.0000000000000007E-2</v>
      </c>
    </row>
    <row r="171" spans="9:21" x14ac:dyDescent="0.25">
      <c r="J171" s="10">
        <v>44460</v>
      </c>
      <c r="K171" s="765" t="s">
        <v>806</v>
      </c>
      <c r="L171" s="765" t="s">
        <v>788</v>
      </c>
      <c r="M171" s="765" t="s">
        <v>755</v>
      </c>
      <c r="N171" s="765" t="s">
        <v>756</v>
      </c>
      <c r="O171" s="10">
        <v>44448</v>
      </c>
      <c r="P171" s="10">
        <v>44473</v>
      </c>
      <c r="Q171" s="10">
        <v>44473</v>
      </c>
      <c r="R171" s="767">
        <v>71139.740000000005</v>
      </c>
      <c r="S171" s="765">
        <v>9.9999999999999995E-7</v>
      </c>
      <c r="T171" s="767">
        <v>0.06</v>
      </c>
      <c r="U171" s="767">
        <v>0.06</v>
      </c>
    </row>
    <row r="172" spans="9:21" x14ac:dyDescent="0.25">
      <c r="J172" s="10">
        <v>44460</v>
      </c>
      <c r="K172" s="765" t="s">
        <v>806</v>
      </c>
      <c r="L172" s="765" t="s">
        <v>788</v>
      </c>
      <c r="M172" s="765" t="s">
        <v>755</v>
      </c>
      <c r="N172" s="765" t="s">
        <v>756</v>
      </c>
      <c r="O172" s="10">
        <v>44449</v>
      </c>
      <c r="P172" s="10">
        <v>44473</v>
      </c>
      <c r="Q172" s="10">
        <v>44473</v>
      </c>
      <c r="R172" s="767">
        <v>71139.740000000005</v>
      </c>
      <c r="S172" s="765">
        <v>1.9999999999999999E-6</v>
      </c>
      <c r="T172" s="767">
        <v>0.18</v>
      </c>
      <c r="U172" s="767">
        <v>0.18</v>
      </c>
    </row>
    <row r="173" spans="9:21" x14ac:dyDescent="0.25">
      <c r="J173" s="10">
        <v>44460</v>
      </c>
      <c r="K173" s="765" t="s">
        <v>806</v>
      </c>
      <c r="L173" s="765" t="s">
        <v>788</v>
      </c>
      <c r="M173" s="765" t="s">
        <v>755</v>
      </c>
      <c r="N173" s="765" t="s">
        <v>756</v>
      </c>
      <c r="O173" s="10">
        <v>44452</v>
      </c>
      <c r="P173" s="10">
        <v>44473</v>
      </c>
      <c r="Q173" s="10">
        <v>44473</v>
      </c>
      <c r="R173" s="767">
        <v>71139.740000000005</v>
      </c>
      <c r="S173" s="765">
        <v>9.9999999999999995E-7</v>
      </c>
      <c r="T173" s="767">
        <v>0.06</v>
      </c>
      <c r="U173" s="767">
        <v>0.06</v>
      </c>
    </row>
    <row r="174" spans="9:21" x14ac:dyDescent="0.25">
      <c r="J174" s="10">
        <v>44460</v>
      </c>
      <c r="K174" s="765" t="s">
        <v>806</v>
      </c>
      <c r="L174" s="765" t="s">
        <v>788</v>
      </c>
      <c r="M174" s="765" t="s">
        <v>755</v>
      </c>
      <c r="N174" s="765" t="s">
        <v>756</v>
      </c>
      <c r="O174" s="10">
        <v>44453</v>
      </c>
      <c r="P174" s="10">
        <v>44473</v>
      </c>
      <c r="Q174" s="10">
        <v>44473</v>
      </c>
      <c r="R174" s="767">
        <v>71139.740000000005</v>
      </c>
      <c r="S174" s="765">
        <v>9.9999999999999995E-7</v>
      </c>
      <c r="T174" s="767">
        <v>0.06</v>
      </c>
      <c r="U174" s="767">
        <v>0.06</v>
      </c>
    </row>
    <row r="175" spans="9:21" x14ac:dyDescent="0.25">
      <c r="J175" s="10">
        <v>44460</v>
      </c>
      <c r="K175" s="765" t="s">
        <v>806</v>
      </c>
      <c r="L175" s="765" t="s">
        <v>788</v>
      </c>
      <c r="M175" s="765" t="s">
        <v>755</v>
      </c>
      <c r="N175" s="765" t="s">
        <v>756</v>
      </c>
      <c r="O175" s="10">
        <v>44454</v>
      </c>
      <c r="P175" s="10">
        <v>44473</v>
      </c>
      <c r="Q175" s="10">
        <v>44473</v>
      </c>
      <c r="R175" s="767">
        <v>71139.740000000005</v>
      </c>
      <c r="S175" s="765">
        <v>9.9999999999999995E-7</v>
      </c>
      <c r="T175" s="767">
        <v>0.06</v>
      </c>
      <c r="U175" s="767">
        <v>0.06</v>
      </c>
    </row>
    <row r="176" spans="9:21" x14ac:dyDescent="0.25">
      <c r="J176" s="10">
        <v>44460</v>
      </c>
      <c r="K176" s="765" t="s">
        <v>806</v>
      </c>
      <c r="L176" s="765" t="s">
        <v>788</v>
      </c>
      <c r="M176" s="765" t="s">
        <v>755</v>
      </c>
      <c r="N176" s="765" t="s">
        <v>756</v>
      </c>
      <c r="O176" s="10">
        <v>44455</v>
      </c>
      <c r="P176" s="10">
        <v>44473</v>
      </c>
      <c r="Q176" s="10">
        <v>44473</v>
      </c>
      <c r="R176" s="767">
        <v>71139.740000000005</v>
      </c>
      <c r="S176" s="765">
        <v>9.9999999999999995E-7</v>
      </c>
      <c r="T176" s="767">
        <v>0.06</v>
      </c>
      <c r="U176" s="767">
        <v>0.06</v>
      </c>
    </row>
    <row r="177" spans="9:21" x14ac:dyDescent="0.25">
      <c r="J177" s="10">
        <v>44460</v>
      </c>
      <c r="K177" s="765" t="s">
        <v>806</v>
      </c>
      <c r="L177" s="765" t="s">
        <v>788</v>
      </c>
      <c r="M177" s="765" t="s">
        <v>755</v>
      </c>
      <c r="N177" s="765" t="s">
        <v>756</v>
      </c>
      <c r="O177" s="10">
        <v>44456</v>
      </c>
      <c r="P177" s="10">
        <v>44473</v>
      </c>
      <c r="Q177" s="10">
        <v>44473</v>
      </c>
      <c r="R177" s="767">
        <v>71139.740000000005</v>
      </c>
      <c r="S177" s="765">
        <v>1.9999999999999999E-6</v>
      </c>
      <c r="T177" s="767">
        <v>0.18</v>
      </c>
      <c r="U177" s="767">
        <v>0.18</v>
      </c>
    </row>
    <row r="178" spans="9:21" x14ac:dyDescent="0.25">
      <c r="J178" s="10">
        <v>44460</v>
      </c>
      <c r="K178" s="765" t="s">
        <v>806</v>
      </c>
      <c r="L178" s="765" t="s">
        <v>788</v>
      </c>
      <c r="M178" s="765" t="s">
        <v>755</v>
      </c>
      <c r="N178" s="765" t="s">
        <v>756</v>
      </c>
      <c r="O178" s="10">
        <v>44459</v>
      </c>
      <c r="P178" s="10">
        <v>44473</v>
      </c>
      <c r="Q178" s="10">
        <v>44473</v>
      </c>
      <c r="R178" s="767">
        <v>71139.740000000005</v>
      </c>
      <c r="S178" s="765">
        <v>9.9999999999999995E-7</v>
      </c>
      <c r="T178" s="767">
        <v>0.06</v>
      </c>
      <c r="U178" s="767">
        <v>0.06</v>
      </c>
    </row>
    <row r="179" spans="9:21" x14ac:dyDescent="0.25">
      <c r="I179" s="765" t="s">
        <v>761</v>
      </c>
      <c r="J179" s="10"/>
      <c r="O179" s="10"/>
      <c r="P179" s="10"/>
      <c r="Q179" s="10"/>
      <c r="R179" s="767"/>
      <c r="T179" s="767"/>
      <c r="U179" s="767">
        <v>194.68</v>
      </c>
    </row>
    <row r="180" spans="9:21" x14ac:dyDescent="0.25">
      <c r="J180" s="10">
        <v>44460</v>
      </c>
      <c r="K180" s="765" t="s">
        <v>761</v>
      </c>
      <c r="L180" s="765" t="s">
        <v>785</v>
      </c>
      <c r="M180" s="765" t="s">
        <v>755</v>
      </c>
      <c r="N180" s="765" t="s">
        <v>756</v>
      </c>
      <c r="O180" s="10">
        <v>44440</v>
      </c>
      <c r="P180" s="10">
        <v>44473</v>
      </c>
      <c r="Q180" s="10">
        <v>44473</v>
      </c>
      <c r="R180" s="767">
        <v>13990492</v>
      </c>
      <c r="S180" s="765">
        <v>9.9999999999999995E-7</v>
      </c>
      <c r="T180" s="767">
        <v>11.5</v>
      </c>
      <c r="U180" s="767">
        <v>11.5</v>
      </c>
    </row>
    <row r="181" spans="9:21" x14ac:dyDescent="0.25">
      <c r="J181" s="10">
        <v>44460</v>
      </c>
      <c r="K181" s="765" t="s">
        <v>761</v>
      </c>
      <c r="L181" s="765" t="s">
        <v>785</v>
      </c>
      <c r="M181" s="765" t="s">
        <v>755</v>
      </c>
      <c r="N181" s="765" t="s">
        <v>756</v>
      </c>
      <c r="O181" s="10">
        <v>44441</v>
      </c>
      <c r="P181" s="10">
        <v>44473</v>
      </c>
      <c r="Q181" s="10">
        <v>44473</v>
      </c>
      <c r="R181" s="767">
        <v>13990492</v>
      </c>
      <c r="S181" s="765">
        <v>9.9999999999999995E-7</v>
      </c>
      <c r="T181" s="767">
        <v>11.5</v>
      </c>
      <c r="U181" s="767">
        <v>11.5</v>
      </c>
    </row>
    <row r="182" spans="9:21" x14ac:dyDescent="0.25">
      <c r="J182" s="10">
        <v>44460</v>
      </c>
      <c r="K182" s="765" t="s">
        <v>761</v>
      </c>
      <c r="L182" s="765" t="s">
        <v>785</v>
      </c>
      <c r="M182" s="765" t="s">
        <v>755</v>
      </c>
      <c r="N182" s="765" t="s">
        <v>756</v>
      </c>
      <c r="O182" s="10">
        <v>44442</v>
      </c>
      <c r="P182" s="10">
        <v>44473</v>
      </c>
      <c r="Q182" s="10">
        <v>44473</v>
      </c>
      <c r="R182" s="767">
        <v>13990492</v>
      </c>
      <c r="S182" s="765">
        <v>3.0000000000000001E-6</v>
      </c>
      <c r="T182" s="767">
        <v>46</v>
      </c>
      <c r="U182" s="767">
        <v>46</v>
      </c>
    </row>
    <row r="183" spans="9:21" x14ac:dyDescent="0.25">
      <c r="J183" s="10">
        <v>44460</v>
      </c>
      <c r="K183" s="765" t="s">
        <v>761</v>
      </c>
      <c r="L183" s="765" t="s">
        <v>785</v>
      </c>
      <c r="M183" s="765" t="s">
        <v>755</v>
      </c>
      <c r="N183" s="765" t="s">
        <v>756</v>
      </c>
      <c r="O183" s="10">
        <v>44446</v>
      </c>
      <c r="P183" s="10">
        <v>44473</v>
      </c>
      <c r="Q183" s="10">
        <v>44473</v>
      </c>
      <c r="R183" s="767">
        <v>13990492</v>
      </c>
      <c r="S183" s="765">
        <v>9.9999999999999995E-7</v>
      </c>
      <c r="T183" s="767">
        <v>11.5</v>
      </c>
      <c r="U183" s="767">
        <v>11.5</v>
      </c>
    </row>
    <row r="184" spans="9:21" x14ac:dyDescent="0.25">
      <c r="J184" s="10">
        <v>44460</v>
      </c>
      <c r="K184" s="765" t="s">
        <v>761</v>
      </c>
      <c r="L184" s="765" t="s">
        <v>785</v>
      </c>
      <c r="M184" s="765" t="s">
        <v>755</v>
      </c>
      <c r="N184" s="765" t="s">
        <v>756</v>
      </c>
      <c r="O184" s="10">
        <v>44447</v>
      </c>
      <c r="P184" s="10">
        <v>44473</v>
      </c>
      <c r="Q184" s="10">
        <v>44473</v>
      </c>
      <c r="R184" s="767">
        <v>14304531.17</v>
      </c>
      <c r="S184" s="765">
        <v>9.9999999999999995E-7</v>
      </c>
      <c r="T184" s="767">
        <v>11.76</v>
      </c>
      <c r="U184" s="767">
        <v>11.76</v>
      </c>
    </row>
    <row r="185" spans="9:21" x14ac:dyDescent="0.25">
      <c r="J185" s="10">
        <v>44460</v>
      </c>
      <c r="K185" s="765" t="s">
        <v>761</v>
      </c>
      <c r="L185" s="765" t="s">
        <v>785</v>
      </c>
      <c r="M185" s="765" t="s">
        <v>755</v>
      </c>
      <c r="N185" s="765" t="s">
        <v>756</v>
      </c>
      <c r="O185" s="10">
        <v>44448</v>
      </c>
      <c r="P185" s="10">
        <v>44473</v>
      </c>
      <c r="Q185" s="10">
        <v>44473</v>
      </c>
      <c r="R185" s="767">
        <v>7180364.5</v>
      </c>
      <c r="S185" s="765">
        <v>9.9999999999999995E-7</v>
      </c>
      <c r="T185" s="767">
        <v>5.9</v>
      </c>
      <c r="U185" s="767">
        <v>5.9</v>
      </c>
    </row>
    <row r="186" spans="9:21" x14ac:dyDescent="0.25">
      <c r="J186" s="10">
        <v>44460</v>
      </c>
      <c r="K186" s="765" t="s">
        <v>761</v>
      </c>
      <c r="L186" s="765" t="s">
        <v>785</v>
      </c>
      <c r="M186" s="765" t="s">
        <v>755</v>
      </c>
      <c r="N186" s="765" t="s">
        <v>756</v>
      </c>
      <c r="O186" s="10">
        <v>44449</v>
      </c>
      <c r="P186" s="10">
        <v>44473</v>
      </c>
      <c r="Q186" s="10">
        <v>44473</v>
      </c>
      <c r="R186" s="767">
        <v>8297364.5</v>
      </c>
      <c r="S186" s="765">
        <v>1.9999999999999999E-6</v>
      </c>
      <c r="T186" s="767">
        <v>20.46</v>
      </c>
      <c r="U186" s="767">
        <v>20.46</v>
      </c>
    </row>
    <row r="187" spans="9:21" x14ac:dyDescent="0.25">
      <c r="J187" s="10">
        <v>44460</v>
      </c>
      <c r="K187" s="765" t="s">
        <v>761</v>
      </c>
      <c r="L187" s="765" t="s">
        <v>785</v>
      </c>
      <c r="M187" s="765" t="s">
        <v>755</v>
      </c>
      <c r="N187" s="765" t="s">
        <v>756</v>
      </c>
      <c r="O187" s="10">
        <v>44452</v>
      </c>
      <c r="P187" s="10">
        <v>44473</v>
      </c>
      <c r="Q187" s="10">
        <v>44473</v>
      </c>
      <c r="R187" s="767">
        <v>8098364.5</v>
      </c>
      <c r="S187" s="765">
        <v>9.9999999999999995E-7</v>
      </c>
      <c r="T187" s="767">
        <v>6.66</v>
      </c>
      <c r="U187" s="767">
        <v>6.66</v>
      </c>
    </row>
    <row r="188" spans="9:21" x14ac:dyDescent="0.25">
      <c r="J188" s="10">
        <v>44460</v>
      </c>
      <c r="K188" s="765" t="s">
        <v>761</v>
      </c>
      <c r="L188" s="765" t="s">
        <v>785</v>
      </c>
      <c r="M188" s="765" t="s">
        <v>755</v>
      </c>
      <c r="N188" s="765" t="s">
        <v>756</v>
      </c>
      <c r="O188" s="10">
        <v>44453</v>
      </c>
      <c r="P188" s="10">
        <v>44473</v>
      </c>
      <c r="Q188" s="10">
        <v>44473</v>
      </c>
      <c r="R188" s="767">
        <v>8098364.5</v>
      </c>
      <c r="S188" s="765">
        <v>9.9999999999999995E-7</v>
      </c>
      <c r="T188" s="767">
        <v>6.66</v>
      </c>
      <c r="U188" s="767">
        <v>6.66</v>
      </c>
    </row>
    <row r="189" spans="9:21" x14ac:dyDescent="0.25">
      <c r="J189" s="10">
        <v>44460</v>
      </c>
      <c r="K189" s="765" t="s">
        <v>761</v>
      </c>
      <c r="L189" s="765" t="s">
        <v>785</v>
      </c>
      <c r="M189" s="765" t="s">
        <v>755</v>
      </c>
      <c r="N189" s="765" t="s">
        <v>756</v>
      </c>
      <c r="O189" s="10">
        <v>44454</v>
      </c>
      <c r="P189" s="10">
        <v>44473</v>
      </c>
      <c r="Q189" s="10">
        <v>44473</v>
      </c>
      <c r="R189" s="767">
        <v>10661364.5</v>
      </c>
      <c r="S189" s="765">
        <v>9.9999999999999995E-7</v>
      </c>
      <c r="T189" s="767">
        <v>8.76</v>
      </c>
      <c r="U189" s="767">
        <v>8.76</v>
      </c>
    </row>
    <row r="190" spans="9:21" x14ac:dyDescent="0.25">
      <c r="J190" s="10">
        <v>44460</v>
      </c>
      <c r="K190" s="765" t="s">
        <v>761</v>
      </c>
      <c r="L190" s="765" t="s">
        <v>785</v>
      </c>
      <c r="M190" s="765" t="s">
        <v>755</v>
      </c>
      <c r="N190" s="765" t="s">
        <v>756</v>
      </c>
      <c r="O190" s="10">
        <v>44455</v>
      </c>
      <c r="P190" s="10">
        <v>44473</v>
      </c>
      <c r="Q190" s="10">
        <v>44473</v>
      </c>
      <c r="R190" s="767">
        <v>13271364.5</v>
      </c>
      <c r="S190" s="765">
        <v>9.9999999999999995E-7</v>
      </c>
      <c r="T190" s="767">
        <v>10.91</v>
      </c>
      <c r="U190" s="767">
        <v>10.91</v>
      </c>
    </row>
    <row r="191" spans="9:21" x14ac:dyDescent="0.25">
      <c r="J191" s="10">
        <v>44460</v>
      </c>
      <c r="K191" s="765" t="s">
        <v>761</v>
      </c>
      <c r="L191" s="765" t="s">
        <v>785</v>
      </c>
      <c r="M191" s="765" t="s">
        <v>755</v>
      </c>
      <c r="N191" s="765" t="s">
        <v>756</v>
      </c>
      <c r="O191" s="10">
        <v>44456</v>
      </c>
      <c r="P191" s="10">
        <v>44473</v>
      </c>
      <c r="Q191" s="10">
        <v>44473</v>
      </c>
      <c r="R191" s="767">
        <v>13100009.310000001</v>
      </c>
      <c r="S191" s="765">
        <v>1.9999999999999999E-6</v>
      </c>
      <c r="T191" s="767">
        <v>32.299999999999997</v>
      </c>
      <c r="U191" s="767">
        <v>32.299999999999997</v>
      </c>
    </row>
    <row r="192" spans="9:21" x14ac:dyDescent="0.25">
      <c r="J192" s="10">
        <v>44460</v>
      </c>
      <c r="K192" s="765" t="s">
        <v>761</v>
      </c>
      <c r="L192" s="765" t="s">
        <v>785</v>
      </c>
      <c r="M192" s="765" t="s">
        <v>755</v>
      </c>
      <c r="N192" s="765" t="s">
        <v>756</v>
      </c>
      <c r="O192" s="10">
        <v>44459</v>
      </c>
      <c r="P192" s="10">
        <v>44473</v>
      </c>
      <c r="Q192" s="10">
        <v>44473</v>
      </c>
      <c r="R192" s="767">
        <v>13100009.310000001</v>
      </c>
      <c r="S192" s="765">
        <v>9.9999999999999995E-7</v>
      </c>
      <c r="T192" s="767">
        <v>10.77</v>
      </c>
      <c r="U192" s="767">
        <v>10.77</v>
      </c>
    </row>
    <row r="193" spans="9:21" x14ac:dyDescent="0.25">
      <c r="I193" s="765" t="s">
        <v>762</v>
      </c>
      <c r="J193" s="10"/>
      <c r="O193" s="10"/>
      <c r="P193" s="10"/>
      <c r="Q193" s="10"/>
      <c r="R193" s="767"/>
      <c r="T193" s="767"/>
      <c r="U193" s="767">
        <v>2.2200000000000002</v>
      </c>
    </row>
    <row r="194" spans="9:21" x14ac:dyDescent="0.25">
      <c r="J194" s="10">
        <v>44460</v>
      </c>
      <c r="K194" s="765" t="s">
        <v>762</v>
      </c>
      <c r="L194" s="765" t="s">
        <v>786</v>
      </c>
      <c r="M194" s="765" t="s">
        <v>755</v>
      </c>
      <c r="N194" s="765" t="s">
        <v>756</v>
      </c>
      <c r="O194" s="10">
        <v>44440</v>
      </c>
      <c r="P194" s="10">
        <v>44473</v>
      </c>
      <c r="Q194" s="10">
        <v>44473</v>
      </c>
      <c r="R194" s="767">
        <v>127641.95</v>
      </c>
      <c r="S194" s="765">
        <v>9.9999999999999995E-7</v>
      </c>
      <c r="T194" s="767">
        <v>0.1</v>
      </c>
      <c r="U194" s="767">
        <v>0.1</v>
      </c>
    </row>
    <row r="195" spans="9:21" x14ac:dyDescent="0.25">
      <c r="J195" s="10">
        <v>44460</v>
      </c>
      <c r="K195" s="765" t="s">
        <v>762</v>
      </c>
      <c r="L195" s="765" t="s">
        <v>786</v>
      </c>
      <c r="M195" s="765" t="s">
        <v>755</v>
      </c>
      <c r="N195" s="765" t="s">
        <v>756</v>
      </c>
      <c r="O195" s="10">
        <v>44441</v>
      </c>
      <c r="P195" s="10">
        <v>44473</v>
      </c>
      <c r="Q195" s="10">
        <v>44473</v>
      </c>
      <c r="R195" s="767">
        <v>127641.95</v>
      </c>
      <c r="S195" s="765">
        <v>9.9999999999999995E-7</v>
      </c>
      <c r="T195" s="767">
        <v>0.1</v>
      </c>
      <c r="U195" s="767">
        <v>0.1</v>
      </c>
    </row>
    <row r="196" spans="9:21" x14ac:dyDescent="0.25">
      <c r="J196" s="10">
        <v>44460</v>
      </c>
      <c r="K196" s="765" t="s">
        <v>762</v>
      </c>
      <c r="L196" s="765" t="s">
        <v>786</v>
      </c>
      <c r="M196" s="765" t="s">
        <v>755</v>
      </c>
      <c r="N196" s="765" t="s">
        <v>756</v>
      </c>
      <c r="O196" s="10">
        <v>44442</v>
      </c>
      <c r="P196" s="10">
        <v>44473</v>
      </c>
      <c r="Q196" s="10">
        <v>44473</v>
      </c>
      <c r="R196" s="767">
        <v>127641.95</v>
      </c>
      <c r="S196" s="765">
        <v>3.0000000000000001E-6</v>
      </c>
      <c r="T196" s="767">
        <v>0.42</v>
      </c>
      <c r="U196" s="767">
        <v>0.42</v>
      </c>
    </row>
    <row r="197" spans="9:21" x14ac:dyDescent="0.25">
      <c r="J197" s="10">
        <v>44460</v>
      </c>
      <c r="K197" s="765" t="s">
        <v>762</v>
      </c>
      <c r="L197" s="765" t="s">
        <v>786</v>
      </c>
      <c r="M197" s="765" t="s">
        <v>755</v>
      </c>
      <c r="N197" s="765" t="s">
        <v>756</v>
      </c>
      <c r="O197" s="10">
        <v>44446</v>
      </c>
      <c r="P197" s="10">
        <v>44473</v>
      </c>
      <c r="Q197" s="10">
        <v>44473</v>
      </c>
      <c r="R197" s="767">
        <v>127641.95</v>
      </c>
      <c r="S197" s="765">
        <v>9.9999999999999995E-7</v>
      </c>
      <c r="T197" s="767">
        <v>0.1</v>
      </c>
      <c r="U197" s="767">
        <v>0.1</v>
      </c>
    </row>
    <row r="198" spans="9:21" x14ac:dyDescent="0.25">
      <c r="J198" s="10">
        <v>44460</v>
      </c>
      <c r="K198" s="765" t="s">
        <v>762</v>
      </c>
      <c r="L198" s="765" t="s">
        <v>786</v>
      </c>
      <c r="M198" s="765" t="s">
        <v>755</v>
      </c>
      <c r="N198" s="765" t="s">
        <v>756</v>
      </c>
      <c r="O198" s="10">
        <v>44447</v>
      </c>
      <c r="P198" s="10">
        <v>44473</v>
      </c>
      <c r="Q198" s="10">
        <v>44473</v>
      </c>
      <c r="R198" s="767">
        <v>127641.95</v>
      </c>
      <c r="S198" s="765">
        <v>9.9999999999999995E-7</v>
      </c>
      <c r="T198" s="767">
        <v>0.1</v>
      </c>
      <c r="U198" s="767">
        <v>0.1</v>
      </c>
    </row>
    <row r="199" spans="9:21" x14ac:dyDescent="0.25">
      <c r="J199" s="10">
        <v>44460</v>
      </c>
      <c r="K199" s="765" t="s">
        <v>762</v>
      </c>
      <c r="L199" s="765" t="s">
        <v>786</v>
      </c>
      <c r="M199" s="765" t="s">
        <v>755</v>
      </c>
      <c r="N199" s="765" t="s">
        <v>756</v>
      </c>
      <c r="O199" s="10">
        <v>44448</v>
      </c>
      <c r="P199" s="10">
        <v>44473</v>
      </c>
      <c r="Q199" s="10">
        <v>44473</v>
      </c>
      <c r="R199" s="767">
        <v>158636.54999999999</v>
      </c>
      <c r="S199" s="765">
        <v>9.9999999999999995E-7</v>
      </c>
      <c r="T199" s="767">
        <v>0.13</v>
      </c>
      <c r="U199" s="767">
        <v>0.13</v>
      </c>
    </row>
    <row r="200" spans="9:21" x14ac:dyDescent="0.25">
      <c r="J200" s="10">
        <v>44460</v>
      </c>
      <c r="K200" s="765" t="s">
        <v>762</v>
      </c>
      <c r="L200" s="765" t="s">
        <v>786</v>
      </c>
      <c r="M200" s="765" t="s">
        <v>755</v>
      </c>
      <c r="N200" s="765" t="s">
        <v>756</v>
      </c>
      <c r="O200" s="10">
        <v>44449</v>
      </c>
      <c r="P200" s="10">
        <v>44473</v>
      </c>
      <c r="Q200" s="10">
        <v>44473</v>
      </c>
      <c r="R200" s="767">
        <v>158636.54999999999</v>
      </c>
      <c r="S200" s="765">
        <v>1.9999999999999999E-6</v>
      </c>
      <c r="T200" s="767">
        <v>0.39</v>
      </c>
      <c r="U200" s="767">
        <v>0.39</v>
      </c>
    </row>
    <row r="201" spans="9:21" x14ac:dyDescent="0.25">
      <c r="J201" s="10">
        <v>44460</v>
      </c>
      <c r="K201" s="765" t="s">
        <v>762</v>
      </c>
      <c r="L201" s="765" t="s">
        <v>786</v>
      </c>
      <c r="M201" s="765" t="s">
        <v>755</v>
      </c>
      <c r="N201" s="765" t="s">
        <v>756</v>
      </c>
      <c r="O201" s="10">
        <v>44452</v>
      </c>
      <c r="P201" s="10">
        <v>44473</v>
      </c>
      <c r="Q201" s="10">
        <v>44473</v>
      </c>
      <c r="R201" s="767">
        <v>158636.54999999999</v>
      </c>
      <c r="S201" s="765">
        <v>9.9999999999999995E-7</v>
      </c>
      <c r="T201" s="767">
        <v>0.13</v>
      </c>
      <c r="U201" s="767">
        <v>0.13</v>
      </c>
    </row>
    <row r="202" spans="9:21" x14ac:dyDescent="0.25">
      <c r="J202" s="10">
        <v>44460</v>
      </c>
      <c r="K202" s="765" t="s">
        <v>762</v>
      </c>
      <c r="L202" s="765" t="s">
        <v>786</v>
      </c>
      <c r="M202" s="765" t="s">
        <v>755</v>
      </c>
      <c r="N202" s="765" t="s">
        <v>756</v>
      </c>
      <c r="O202" s="10">
        <v>44453</v>
      </c>
      <c r="P202" s="10">
        <v>44473</v>
      </c>
      <c r="Q202" s="10">
        <v>44473</v>
      </c>
      <c r="R202" s="767">
        <v>158636.54999999999</v>
      </c>
      <c r="S202" s="765">
        <v>9.9999999999999995E-7</v>
      </c>
      <c r="T202" s="767">
        <v>0.13</v>
      </c>
      <c r="U202" s="767">
        <v>0.13</v>
      </c>
    </row>
    <row r="203" spans="9:21" x14ac:dyDescent="0.25">
      <c r="J203" s="10">
        <v>44460</v>
      </c>
      <c r="K203" s="765" t="s">
        <v>762</v>
      </c>
      <c r="L203" s="765" t="s">
        <v>786</v>
      </c>
      <c r="M203" s="765" t="s">
        <v>755</v>
      </c>
      <c r="N203" s="765" t="s">
        <v>756</v>
      </c>
      <c r="O203" s="10">
        <v>44454</v>
      </c>
      <c r="P203" s="10">
        <v>44473</v>
      </c>
      <c r="Q203" s="10">
        <v>44473</v>
      </c>
      <c r="R203" s="767">
        <v>158636.54999999999</v>
      </c>
      <c r="S203" s="765">
        <v>9.9999999999999995E-7</v>
      </c>
      <c r="T203" s="767">
        <v>0.13</v>
      </c>
      <c r="U203" s="767">
        <v>0.13</v>
      </c>
    </row>
    <row r="204" spans="9:21" x14ac:dyDescent="0.25">
      <c r="J204" s="10">
        <v>44460</v>
      </c>
      <c r="K204" s="765" t="s">
        <v>762</v>
      </c>
      <c r="L204" s="765" t="s">
        <v>786</v>
      </c>
      <c r="M204" s="765" t="s">
        <v>755</v>
      </c>
      <c r="N204" s="765" t="s">
        <v>756</v>
      </c>
      <c r="O204" s="10">
        <v>44455</v>
      </c>
      <c r="P204" s="10">
        <v>44473</v>
      </c>
      <c r="Q204" s="10">
        <v>44473</v>
      </c>
      <c r="R204" s="767">
        <v>118743</v>
      </c>
      <c r="S204" s="765">
        <v>9.9999999999999995E-7</v>
      </c>
      <c r="T204" s="767">
        <v>0.1</v>
      </c>
      <c r="U204" s="767">
        <v>0.1</v>
      </c>
    </row>
    <row r="205" spans="9:21" x14ac:dyDescent="0.25">
      <c r="J205" s="10">
        <v>44460</v>
      </c>
      <c r="K205" s="765" t="s">
        <v>762</v>
      </c>
      <c r="L205" s="765" t="s">
        <v>786</v>
      </c>
      <c r="M205" s="765" t="s">
        <v>755</v>
      </c>
      <c r="N205" s="765" t="s">
        <v>756</v>
      </c>
      <c r="O205" s="10">
        <v>44456</v>
      </c>
      <c r="P205" s="10">
        <v>44473</v>
      </c>
      <c r="Q205" s="10">
        <v>44473</v>
      </c>
      <c r="R205" s="767">
        <v>118743</v>
      </c>
      <c r="S205" s="765">
        <v>1.9999999999999999E-6</v>
      </c>
      <c r="T205" s="767">
        <v>0.28999999999999998</v>
      </c>
      <c r="U205" s="767">
        <v>0.28999999999999998</v>
      </c>
    </row>
    <row r="206" spans="9:21" x14ac:dyDescent="0.25">
      <c r="J206" s="10">
        <v>44460</v>
      </c>
      <c r="K206" s="765" t="s">
        <v>762</v>
      </c>
      <c r="L206" s="765" t="s">
        <v>786</v>
      </c>
      <c r="M206" s="765" t="s">
        <v>755</v>
      </c>
      <c r="N206" s="765" t="s">
        <v>756</v>
      </c>
      <c r="O206" s="10">
        <v>44459</v>
      </c>
      <c r="P206" s="10">
        <v>44473</v>
      </c>
      <c r="Q206" s="10">
        <v>44473</v>
      </c>
      <c r="R206" s="767">
        <v>118743</v>
      </c>
      <c r="S206" s="765">
        <v>9.9999999999999995E-7</v>
      </c>
      <c r="T206" s="767">
        <v>0.1</v>
      </c>
      <c r="U206" s="767">
        <v>0.1</v>
      </c>
    </row>
    <row r="207" spans="9:21" x14ac:dyDescent="0.25">
      <c r="I207" s="765" t="s">
        <v>763</v>
      </c>
      <c r="J207" s="10"/>
      <c r="O207" s="10"/>
      <c r="P207" s="10"/>
      <c r="Q207" s="10"/>
      <c r="R207" s="767"/>
      <c r="T207" s="767"/>
      <c r="U207" s="767">
        <v>0.56000000000000005</v>
      </c>
    </row>
    <row r="208" spans="9:21" x14ac:dyDescent="0.25">
      <c r="J208" s="10">
        <v>44460</v>
      </c>
      <c r="K208" s="765" t="s">
        <v>763</v>
      </c>
      <c r="L208" s="765" t="s">
        <v>787</v>
      </c>
      <c r="M208" s="765" t="s">
        <v>755</v>
      </c>
      <c r="N208" s="765" t="s">
        <v>756</v>
      </c>
      <c r="O208" s="10">
        <v>44440</v>
      </c>
      <c r="P208" s="10">
        <v>44473</v>
      </c>
      <c r="Q208" s="10">
        <v>44473</v>
      </c>
      <c r="R208" s="767">
        <v>31021.63</v>
      </c>
      <c r="S208" s="765">
        <v>9.9999999999999995E-7</v>
      </c>
      <c r="T208" s="767">
        <v>0.03</v>
      </c>
      <c r="U208" s="767">
        <v>0.03</v>
      </c>
    </row>
    <row r="209" spans="10:21" x14ac:dyDescent="0.25">
      <c r="J209" s="10">
        <v>44460</v>
      </c>
      <c r="K209" s="765" t="s">
        <v>763</v>
      </c>
      <c r="L209" s="765" t="s">
        <v>787</v>
      </c>
      <c r="M209" s="765" t="s">
        <v>755</v>
      </c>
      <c r="N209" s="765" t="s">
        <v>756</v>
      </c>
      <c r="O209" s="10">
        <v>44441</v>
      </c>
      <c r="P209" s="10">
        <v>44473</v>
      </c>
      <c r="Q209" s="10">
        <v>44473</v>
      </c>
      <c r="R209" s="767">
        <v>31022.53</v>
      </c>
      <c r="S209" s="765">
        <v>9.9999999999999995E-7</v>
      </c>
      <c r="T209" s="767">
        <v>0.03</v>
      </c>
      <c r="U209" s="767">
        <v>0.03</v>
      </c>
    </row>
    <row r="210" spans="10:21" x14ac:dyDescent="0.25">
      <c r="J210" s="10">
        <v>44460</v>
      </c>
      <c r="K210" s="765" t="s">
        <v>763</v>
      </c>
      <c r="L210" s="765" t="s">
        <v>787</v>
      </c>
      <c r="M210" s="765" t="s">
        <v>755</v>
      </c>
      <c r="N210" s="765" t="s">
        <v>756</v>
      </c>
      <c r="O210" s="10">
        <v>44442</v>
      </c>
      <c r="P210" s="10">
        <v>44473</v>
      </c>
      <c r="Q210" s="10">
        <v>44473</v>
      </c>
      <c r="R210" s="767">
        <v>31022.53</v>
      </c>
      <c r="S210" s="765">
        <v>3.0000000000000001E-6</v>
      </c>
      <c r="T210" s="767">
        <v>0.1</v>
      </c>
      <c r="U210" s="767">
        <v>0.1</v>
      </c>
    </row>
    <row r="211" spans="10:21" x14ac:dyDescent="0.25">
      <c r="J211" s="10">
        <v>44460</v>
      </c>
      <c r="K211" s="765" t="s">
        <v>763</v>
      </c>
      <c r="L211" s="765" t="s">
        <v>787</v>
      </c>
      <c r="M211" s="765" t="s">
        <v>755</v>
      </c>
      <c r="N211" s="765" t="s">
        <v>756</v>
      </c>
      <c r="O211" s="10">
        <v>44446</v>
      </c>
      <c r="P211" s="10">
        <v>44473</v>
      </c>
      <c r="Q211" s="10">
        <v>44473</v>
      </c>
      <c r="R211" s="767">
        <v>31022.53</v>
      </c>
      <c r="S211" s="765">
        <v>9.9999999999999995E-7</v>
      </c>
      <c r="T211" s="767">
        <v>0.03</v>
      </c>
      <c r="U211" s="767">
        <v>0.03</v>
      </c>
    </row>
    <row r="212" spans="10:21" x14ac:dyDescent="0.25">
      <c r="J212" s="10">
        <v>44460</v>
      </c>
      <c r="K212" s="765" t="s">
        <v>763</v>
      </c>
      <c r="L212" s="765" t="s">
        <v>787</v>
      </c>
      <c r="M212" s="765" t="s">
        <v>755</v>
      </c>
      <c r="N212" s="765" t="s">
        <v>756</v>
      </c>
      <c r="O212" s="10">
        <v>44447</v>
      </c>
      <c r="P212" s="10">
        <v>44473</v>
      </c>
      <c r="Q212" s="10">
        <v>44473</v>
      </c>
      <c r="R212" s="767">
        <v>31022.53</v>
      </c>
      <c r="S212" s="765">
        <v>9.9999999999999995E-7</v>
      </c>
      <c r="T212" s="767">
        <v>0.03</v>
      </c>
      <c r="U212" s="767">
        <v>0.03</v>
      </c>
    </row>
    <row r="213" spans="10:21" x14ac:dyDescent="0.25">
      <c r="J213" s="765">
        <v>44460</v>
      </c>
      <c r="K213" s="765" t="s">
        <v>763</v>
      </c>
      <c r="L213" s="765" t="s">
        <v>787</v>
      </c>
      <c r="M213" s="765" t="s">
        <v>755</v>
      </c>
      <c r="N213" s="765" t="s">
        <v>756</v>
      </c>
      <c r="O213" s="10">
        <v>44448</v>
      </c>
      <c r="P213" s="10">
        <v>44473</v>
      </c>
      <c r="Q213" s="10">
        <v>44473</v>
      </c>
      <c r="R213" s="767">
        <v>31022.53</v>
      </c>
      <c r="S213" s="765">
        <v>9.9999999999999995E-7</v>
      </c>
      <c r="T213" s="767">
        <v>0.03</v>
      </c>
      <c r="U213" s="767">
        <v>0.03</v>
      </c>
    </row>
    <row r="214" spans="10:21" x14ac:dyDescent="0.25">
      <c r="J214" s="10">
        <v>44460</v>
      </c>
      <c r="K214" s="765" t="s">
        <v>763</v>
      </c>
      <c r="L214" s="765" t="s">
        <v>787</v>
      </c>
      <c r="M214" s="765" t="s">
        <v>755</v>
      </c>
      <c r="N214" s="765" t="s">
        <v>756</v>
      </c>
      <c r="O214" s="10">
        <v>44449</v>
      </c>
      <c r="P214" s="10">
        <v>44473</v>
      </c>
      <c r="Q214" s="10">
        <v>44473</v>
      </c>
      <c r="R214" s="767">
        <v>31022.53</v>
      </c>
      <c r="S214" s="765">
        <v>1.9999999999999999E-6</v>
      </c>
      <c r="T214" s="767">
        <v>0.08</v>
      </c>
      <c r="U214" s="767">
        <v>0.08</v>
      </c>
    </row>
    <row r="215" spans="10:21" x14ac:dyDescent="0.25">
      <c r="J215" s="10">
        <v>44460</v>
      </c>
      <c r="K215" s="765" t="s">
        <v>763</v>
      </c>
      <c r="L215" s="765" t="s">
        <v>787</v>
      </c>
      <c r="M215" s="765" t="s">
        <v>755</v>
      </c>
      <c r="N215" s="765" t="s">
        <v>756</v>
      </c>
      <c r="O215" s="10">
        <v>44452</v>
      </c>
      <c r="P215" s="10">
        <v>44473</v>
      </c>
      <c r="Q215" s="10">
        <v>44473</v>
      </c>
      <c r="R215" s="767">
        <v>31022.53</v>
      </c>
      <c r="S215" s="765">
        <v>9.9999999999999995E-7</v>
      </c>
      <c r="T215" s="767">
        <v>0.03</v>
      </c>
      <c r="U215" s="767">
        <v>0.03</v>
      </c>
    </row>
    <row r="216" spans="10:21" x14ac:dyDescent="0.25">
      <c r="J216" s="10">
        <v>44460</v>
      </c>
      <c r="K216" s="765" t="s">
        <v>763</v>
      </c>
      <c r="L216" s="765" t="s">
        <v>787</v>
      </c>
      <c r="M216" s="765" t="s">
        <v>755</v>
      </c>
      <c r="N216" s="765" t="s">
        <v>756</v>
      </c>
      <c r="O216" s="10">
        <v>44453</v>
      </c>
      <c r="P216" s="10">
        <v>44473</v>
      </c>
      <c r="Q216" s="10">
        <v>44473</v>
      </c>
      <c r="R216" s="767">
        <v>31022.53</v>
      </c>
      <c r="S216" s="765">
        <v>9.9999999999999995E-7</v>
      </c>
      <c r="T216" s="767">
        <v>0.03</v>
      </c>
      <c r="U216" s="767">
        <v>0.03</v>
      </c>
    </row>
    <row r="217" spans="10:21" x14ac:dyDescent="0.25">
      <c r="J217" s="10">
        <v>44460</v>
      </c>
      <c r="K217" s="765" t="s">
        <v>763</v>
      </c>
      <c r="L217" s="765" t="s">
        <v>787</v>
      </c>
      <c r="M217" s="765" t="s">
        <v>755</v>
      </c>
      <c r="N217" s="765" t="s">
        <v>756</v>
      </c>
      <c r="O217" s="10">
        <v>44454</v>
      </c>
      <c r="P217" s="10">
        <v>44473</v>
      </c>
      <c r="Q217" s="10">
        <v>44473</v>
      </c>
      <c r="R217" s="767">
        <v>31022.53</v>
      </c>
      <c r="S217" s="765">
        <v>9.9999999999999995E-7</v>
      </c>
      <c r="T217" s="767">
        <v>0.03</v>
      </c>
      <c r="U217" s="767">
        <v>0.03</v>
      </c>
    </row>
    <row r="218" spans="10:21" x14ac:dyDescent="0.25">
      <c r="J218" s="10">
        <v>44460</v>
      </c>
      <c r="K218" s="765" t="s">
        <v>763</v>
      </c>
      <c r="L218" s="765" t="s">
        <v>787</v>
      </c>
      <c r="M218" s="765" t="s">
        <v>755</v>
      </c>
      <c r="N218" s="765" t="s">
        <v>756</v>
      </c>
      <c r="O218" s="10">
        <v>44455</v>
      </c>
      <c r="P218" s="10">
        <v>44473</v>
      </c>
      <c r="Q218" s="10">
        <v>44473</v>
      </c>
      <c r="R218" s="767">
        <v>31022.53</v>
      </c>
      <c r="S218" s="765">
        <v>9.9999999999999995E-7</v>
      </c>
      <c r="T218" s="767">
        <v>0.03</v>
      </c>
      <c r="U218" s="767">
        <v>0.03</v>
      </c>
    </row>
    <row r="219" spans="10:21" x14ac:dyDescent="0.25">
      <c r="J219" s="10">
        <v>44460</v>
      </c>
      <c r="K219" s="765" t="s">
        <v>763</v>
      </c>
      <c r="L219" s="765" t="s">
        <v>787</v>
      </c>
      <c r="M219" s="765" t="s">
        <v>755</v>
      </c>
      <c r="N219" s="765" t="s">
        <v>756</v>
      </c>
      <c r="O219" s="10">
        <v>44456</v>
      </c>
      <c r="P219" s="10">
        <v>44473</v>
      </c>
      <c r="Q219" s="10">
        <v>44473</v>
      </c>
      <c r="R219" s="767">
        <v>31022.53</v>
      </c>
      <c r="S219" s="765">
        <v>1.9999999999999999E-6</v>
      </c>
      <c r="T219" s="767">
        <v>0.08</v>
      </c>
      <c r="U219" s="767">
        <v>0.08</v>
      </c>
    </row>
    <row r="220" spans="10:21" x14ac:dyDescent="0.25">
      <c r="J220" s="10">
        <v>44460</v>
      </c>
      <c r="K220" s="765" t="s">
        <v>763</v>
      </c>
      <c r="L220" s="765" t="s">
        <v>787</v>
      </c>
      <c r="M220" s="765" t="s">
        <v>755</v>
      </c>
      <c r="N220" s="765" t="s">
        <v>756</v>
      </c>
      <c r="O220" s="10">
        <v>44459</v>
      </c>
      <c r="P220" s="10">
        <v>44473</v>
      </c>
      <c r="Q220" s="10">
        <v>44473</v>
      </c>
      <c r="R220" s="767">
        <v>31022.53</v>
      </c>
      <c r="S220" s="765">
        <v>9.9999999999999995E-7</v>
      </c>
      <c r="T220" s="767">
        <v>0.03</v>
      </c>
      <c r="U220" s="767">
        <v>0.03</v>
      </c>
    </row>
    <row r="221" spans="10:21" x14ac:dyDescent="0.25">
      <c r="J221" s="10"/>
      <c r="O221" s="10"/>
      <c r="P221" s="10"/>
      <c r="Q221" s="10"/>
      <c r="R221" s="767"/>
      <c r="T221" s="767"/>
      <c r="U221" s="767"/>
    </row>
    <row r="222" spans="10:21" x14ac:dyDescent="0.25">
      <c r="J222" s="10"/>
      <c r="O222" s="10"/>
      <c r="P222" s="10"/>
      <c r="Q222" s="10"/>
      <c r="R222" s="767"/>
      <c r="T222" s="767"/>
      <c r="U222" s="767"/>
    </row>
    <row r="223" spans="10:21" x14ac:dyDescent="0.25">
      <c r="J223" s="10"/>
      <c r="O223" s="10"/>
      <c r="P223" s="10"/>
      <c r="Q223" s="10"/>
      <c r="R223" s="767"/>
    </row>
    <row r="224" spans="10:21" x14ac:dyDescent="0.25">
      <c r="J224" s="10"/>
      <c r="O224" s="10"/>
      <c r="P224" s="10"/>
      <c r="Q224" s="10"/>
      <c r="R224" s="767"/>
    </row>
    <row r="225" spans="10:18" x14ac:dyDescent="0.25">
      <c r="J225" s="10"/>
      <c r="O225" s="10"/>
      <c r="P225" s="10"/>
      <c r="Q225" s="10"/>
      <c r="R225" s="767"/>
    </row>
    <row r="226" spans="10:18" x14ac:dyDescent="0.25">
      <c r="J226" s="10"/>
      <c r="O226" s="10"/>
      <c r="P226" s="10"/>
      <c r="Q226" s="10"/>
      <c r="R226" s="767"/>
    </row>
    <row r="227" spans="10:18" x14ac:dyDescent="0.25">
      <c r="J227" s="10"/>
      <c r="O227" s="10"/>
      <c r="P227" s="10"/>
      <c r="Q227" s="10"/>
      <c r="R227" s="767"/>
    </row>
    <row r="228" spans="10:18" x14ac:dyDescent="0.25">
      <c r="J228" s="10"/>
      <c r="O228" s="10"/>
      <c r="P228" s="10"/>
      <c r="Q228" s="10"/>
      <c r="R228" s="767"/>
    </row>
    <row r="229" spans="10:18" x14ac:dyDescent="0.25">
      <c r="J229" s="10"/>
      <c r="O229" s="10"/>
      <c r="P229" s="10"/>
      <c r="Q229" s="10"/>
      <c r="R229" s="767"/>
    </row>
    <row r="230" spans="10:18" x14ac:dyDescent="0.25">
      <c r="J230" s="10"/>
      <c r="O230" s="10"/>
      <c r="P230" s="10"/>
      <c r="Q230" s="10"/>
      <c r="R230" s="767"/>
    </row>
    <row r="231" spans="10:18" x14ac:dyDescent="0.25">
      <c r="J231" s="10"/>
      <c r="O231" s="10"/>
      <c r="P231" s="10"/>
      <c r="Q231" s="10"/>
      <c r="R231" s="767"/>
    </row>
    <row r="232" spans="10:18" x14ac:dyDescent="0.25">
      <c r="J232" s="10"/>
      <c r="O232" s="10"/>
      <c r="P232" s="10"/>
      <c r="Q232" s="10"/>
      <c r="R232" s="767"/>
    </row>
    <row r="233" spans="10:18" x14ac:dyDescent="0.25">
      <c r="J233" s="10"/>
      <c r="O233" s="10"/>
      <c r="P233" s="10"/>
      <c r="Q233" s="10"/>
      <c r="R233" s="767"/>
    </row>
    <row r="234" spans="10:18" x14ac:dyDescent="0.25">
      <c r="J234" s="10"/>
      <c r="O234" s="10"/>
      <c r="P234" s="10"/>
      <c r="Q234" s="10"/>
      <c r="R234" s="767"/>
    </row>
    <row r="235" spans="10:18" x14ac:dyDescent="0.25">
      <c r="J235" s="10"/>
      <c r="O235" s="10"/>
      <c r="P235" s="10"/>
      <c r="Q235" s="10"/>
      <c r="R235" s="767"/>
    </row>
    <row r="236" spans="10:18" x14ac:dyDescent="0.25">
      <c r="J236" s="10"/>
      <c r="O236" s="10"/>
      <c r="P236" s="10"/>
      <c r="Q236" s="10"/>
      <c r="R236" s="767"/>
    </row>
    <row r="237" spans="10:18" x14ac:dyDescent="0.25">
      <c r="J237" s="10"/>
      <c r="O237" s="10"/>
      <c r="P237" s="10"/>
      <c r="Q237" s="10"/>
      <c r="R237" s="767"/>
    </row>
    <row r="238" spans="10:18" x14ac:dyDescent="0.25">
      <c r="J238" s="10"/>
      <c r="O238" s="10"/>
      <c r="P238" s="10"/>
      <c r="Q238" s="10"/>
      <c r="R238" s="767"/>
    </row>
    <row r="239" spans="10:18" x14ac:dyDescent="0.25">
      <c r="J239" s="10"/>
      <c r="O239" s="10"/>
      <c r="P239" s="10"/>
      <c r="Q239" s="10"/>
      <c r="R239" s="767"/>
    </row>
    <row r="240" spans="10:18" x14ac:dyDescent="0.25">
      <c r="J240" s="10"/>
      <c r="O240" s="10"/>
      <c r="P240" s="10"/>
      <c r="Q240" s="10"/>
      <c r="R240" s="767"/>
    </row>
    <row r="241" spans="10:18" x14ac:dyDescent="0.25">
      <c r="J241" s="10"/>
      <c r="O241" s="10"/>
      <c r="P241" s="10"/>
      <c r="Q241" s="10"/>
      <c r="R241" s="767"/>
    </row>
    <row r="242" spans="10:18" x14ac:dyDescent="0.25">
      <c r="J242" s="10"/>
      <c r="O242" s="10"/>
      <c r="P242" s="10"/>
      <c r="Q242" s="10"/>
      <c r="R242" s="767"/>
    </row>
    <row r="243" spans="10:18" x14ac:dyDescent="0.25">
      <c r="J243" s="10"/>
      <c r="O243" s="10"/>
      <c r="P243" s="10"/>
      <c r="Q243" s="10"/>
      <c r="R243" s="767"/>
    </row>
    <row r="244" spans="10:18" x14ac:dyDescent="0.25">
      <c r="J244" s="10"/>
      <c r="O244" s="10"/>
      <c r="P244" s="10"/>
      <c r="Q244" s="10"/>
      <c r="R244" s="767"/>
    </row>
    <row r="245" spans="10:18" x14ac:dyDescent="0.25">
      <c r="J245" s="10"/>
      <c r="O245" s="10"/>
      <c r="P245" s="10"/>
      <c r="Q245" s="10"/>
      <c r="R245" s="767"/>
    </row>
    <row r="246" spans="10:18" x14ac:dyDescent="0.25">
      <c r="J246" s="10"/>
      <c r="O246" s="10"/>
      <c r="P246" s="10"/>
      <c r="Q246" s="10"/>
      <c r="R246" s="767"/>
    </row>
    <row r="247" spans="10:18" x14ac:dyDescent="0.25">
      <c r="J247" s="10"/>
      <c r="O247" s="10"/>
      <c r="P247" s="10"/>
      <c r="Q247" s="10"/>
      <c r="R247" s="767"/>
    </row>
    <row r="248" spans="10:18" x14ac:dyDescent="0.25">
      <c r="J248" s="10"/>
      <c r="O248" s="10"/>
      <c r="P248" s="10"/>
      <c r="Q248" s="10"/>
      <c r="R248" s="767"/>
    </row>
    <row r="249" spans="10:18" x14ac:dyDescent="0.25">
      <c r="J249" s="10"/>
      <c r="O249" s="10"/>
      <c r="P249" s="10"/>
      <c r="Q249" s="10"/>
      <c r="R249" s="767"/>
    </row>
    <row r="250" spans="10:18" x14ac:dyDescent="0.25">
      <c r="J250" s="10"/>
      <c r="O250" s="10"/>
      <c r="P250" s="10"/>
      <c r="Q250" s="10"/>
      <c r="R250" s="767"/>
    </row>
    <row r="251" spans="10:18" x14ac:dyDescent="0.25">
      <c r="J251" s="10"/>
      <c r="O251" s="10"/>
      <c r="P251" s="10"/>
      <c r="Q251" s="10"/>
      <c r="R251" s="767"/>
    </row>
    <row r="252" spans="10:18" x14ac:dyDescent="0.25">
      <c r="J252" s="10"/>
      <c r="O252" s="10"/>
      <c r="P252" s="10"/>
      <c r="Q252" s="10"/>
      <c r="R252" s="767"/>
    </row>
    <row r="253" spans="10:18" x14ac:dyDescent="0.25">
      <c r="J253" s="10"/>
      <c r="O253" s="10"/>
      <c r="P253" s="10"/>
      <c r="Q253" s="10"/>
      <c r="R253" s="767"/>
    </row>
    <row r="254" spans="10:18" x14ac:dyDescent="0.25">
      <c r="J254" s="10"/>
      <c r="O254" s="10"/>
      <c r="P254" s="10"/>
      <c r="Q254" s="10"/>
      <c r="R254" s="767"/>
    </row>
    <row r="255" spans="10:18" x14ac:dyDescent="0.25">
      <c r="J255" s="10"/>
      <c r="O255" s="10"/>
      <c r="P255" s="10"/>
      <c r="Q255" s="10"/>
      <c r="R255" s="767"/>
    </row>
    <row r="256" spans="10:18" x14ac:dyDescent="0.25">
      <c r="J256" s="10"/>
      <c r="O256" s="10"/>
      <c r="P256" s="10"/>
      <c r="R256" s="767"/>
    </row>
    <row r="257" spans="10:18" x14ac:dyDescent="0.25">
      <c r="J257" s="10"/>
      <c r="O257" s="10"/>
      <c r="P257" s="10"/>
      <c r="R257" s="767"/>
    </row>
    <row r="258" spans="10:18" x14ac:dyDescent="0.25">
      <c r="J258" s="10"/>
      <c r="O258" s="10"/>
      <c r="P258" s="10"/>
      <c r="R258" s="767"/>
    </row>
    <row r="259" spans="10:18" x14ac:dyDescent="0.25">
      <c r="J259" s="10"/>
      <c r="R259" s="767"/>
    </row>
    <row r="260" spans="10:18" x14ac:dyDescent="0.25">
      <c r="J260" s="10"/>
      <c r="R260" s="767"/>
    </row>
    <row r="261" spans="10:18" x14ac:dyDescent="0.25">
      <c r="J261" s="10"/>
      <c r="R261" s="767"/>
    </row>
    <row r="262" spans="10:18" x14ac:dyDescent="0.25">
      <c r="J262" s="10"/>
      <c r="R262" s="767"/>
    </row>
    <row r="263" spans="10:18" x14ac:dyDescent="0.25">
      <c r="J263" s="10"/>
      <c r="R263" s="767"/>
    </row>
    <row r="264" spans="10:18" x14ac:dyDescent="0.25">
      <c r="J264" s="10"/>
      <c r="R264" s="767"/>
    </row>
    <row r="265" spans="10:18" x14ac:dyDescent="0.25">
      <c r="J265" s="10"/>
      <c r="R265" s="767"/>
    </row>
    <row r="266" spans="10:18" x14ac:dyDescent="0.25">
      <c r="J266" s="10"/>
      <c r="R266" s="767"/>
    </row>
    <row r="267" spans="10:18" x14ac:dyDescent="0.25">
      <c r="J267" s="10"/>
      <c r="R267" s="767"/>
    </row>
    <row r="268" spans="10:18" x14ac:dyDescent="0.25">
      <c r="J268" s="10"/>
      <c r="R268" s="767"/>
    </row>
    <row r="269" spans="10:18" x14ac:dyDescent="0.25">
      <c r="J269" s="10"/>
      <c r="R269" s="767"/>
    </row>
    <row r="270" spans="10:18" x14ac:dyDescent="0.25">
      <c r="J270" s="10"/>
      <c r="R270" s="767"/>
    </row>
    <row r="271" spans="10:18" x14ac:dyDescent="0.25">
      <c r="J271" s="10"/>
      <c r="R271" s="767"/>
    </row>
    <row r="272" spans="10:18" x14ac:dyDescent="0.25">
      <c r="J272" s="10"/>
      <c r="R272" s="767"/>
    </row>
    <row r="273" spans="9:21" x14ac:dyDescent="0.25">
      <c r="J273" s="10"/>
      <c r="R273" s="767"/>
    </row>
    <row r="274" spans="9:21" x14ac:dyDescent="0.25">
      <c r="J274" s="10">
        <v>43581</v>
      </c>
      <c r="K274" s="765" t="s">
        <v>806</v>
      </c>
      <c r="L274" s="765" t="s">
        <v>788</v>
      </c>
      <c r="M274" s="765" t="s">
        <v>755</v>
      </c>
      <c r="N274" s="765" t="s">
        <v>756</v>
      </c>
      <c r="O274" s="765">
        <v>43563</v>
      </c>
      <c r="P274" s="765">
        <v>43587</v>
      </c>
      <c r="Q274" s="765">
        <v>43587</v>
      </c>
      <c r="R274" s="767">
        <v>239.4</v>
      </c>
      <c r="S274" s="765">
        <v>6.3E-5</v>
      </c>
      <c r="T274" s="765">
        <v>0.02</v>
      </c>
      <c r="U274" s="765">
        <v>0.02</v>
      </c>
    </row>
    <row r="275" spans="9:21" x14ac:dyDescent="0.25">
      <c r="J275" s="765">
        <v>43581</v>
      </c>
      <c r="K275" s="765" t="s">
        <v>806</v>
      </c>
      <c r="L275" s="765" t="s">
        <v>788</v>
      </c>
      <c r="M275" s="765" t="s">
        <v>755</v>
      </c>
      <c r="N275" s="765" t="s">
        <v>756</v>
      </c>
      <c r="O275" s="765">
        <v>43564</v>
      </c>
      <c r="P275" s="765">
        <v>43587</v>
      </c>
      <c r="Q275" s="765">
        <v>43587</v>
      </c>
      <c r="R275" s="767">
        <v>239.4</v>
      </c>
      <c r="S275" s="765">
        <v>6.3E-5</v>
      </c>
      <c r="T275" s="765">
        <v>0.02</v>
      </c>
      <c r="U275" s="765">
        <v>0.02</v>
      </c>
    </row>
    <row r="276" spans="9:21" x14ac:dyDescent="0.25">
      <c r="J276" s="765">
        <v>43581</v>
      </c>
      <c r="K276" s="765" t="s">
        <v>806</v>
      </c>
      <c r="L276" s="765" t="s">
        <v>788</v>
      </c>
      <c r="M276" s="765" t="s">
        <v>755</v>
      </c>
      <c r="N276" s="765" t="s">
        <v>756</v>
      </c>
      <c r="O276" s="765">
        <v>43565</v>
      </c>
      <c r="P276" s="765">
        <v>43587</v>
      </c>
      <c r="Q276" s="765">
        <v>43587</v>
      </c>
      <c r="R276" s="767">
        <v>239.4</v>
      </c>
      <c r="S276" s="765">
        <v>6.3E-5</v>
      </c>
      <c r="T276" s="765">
        <v>0.02</v>
      </c>
      <c r="U276" s="765">
        <v>0.02</v>
      </c>
    </row>
    <row r="277" spans="9:21" x14ac:dyDescent="0.25">
      <c r="J277" s="765">
        <v>43581</v>
      </c>
      <c r="K277" s="765" t="s">
        <v>806</v>
      </c>
      <c r="L277" s="765" t="s">
        <v>788</v>
      </c>
      <c r="M277" s="765" t="s">
        <v>755</v>
      </c>
      <c r="N277" s="765" t="s">
        <v>756</v>
      </c>
      <c r="O277" s="765">
        <v>43566</v>
      </c>
      <c r="P277" s="765">
        <v>43587</v>
      </c>
      <c r="Q277" s="765">
        <v>43587</v>
      </c>
      <c r="R277" s="767">
        <v>239.4</v>
      </c>
      <c r="S277" s="765">
        <v>6.3E-5</v>
      </c>
      <c r="T277" s="765">
        <v>0.02</v>
      </c>
      <c r="U277" s="765">
        <v>0.02</v>
      </c>
    </row>
    <row r="278" spans="9:21" x14ac:dyDescent="0.25">
      <c r="J278" s="765">
        <v>43581</v>
      </c>
      <c r="K278" s="765" t="s">
        <v>806</v>
      </c>
      <c r="L278" s="765" t="s">
        <v>788</v>
      </c>
      <c r="M278" s="765" t="s">
        <v>755</v>
      </c>
      <c r="N278" s="765" t="s">
        <v>756</v>
      </c>
      <c r="O278" s="765">
        <v>43567</v>
      </c>
      <c r="P278" s="765">
        <v>43587</v>
      </c>
      <c r="Q278" s="765">
        <v>43587</v>
      </c>
      <c r="R278" s="767">
        <v>239.4</v>
      </c>
      <c r="S278" s="765">
        <v>1.8900000000000001E-4</v>
      </c>
      <c r="T278" s="765">
        <v>0.05</v>
      </c>
      <c r="U278" s="765">
        <v>0.05</v>
      </c>
    </row>
    <row r="279" spans="9:21" x14ac:dyDescent="0.25">
      <c r="J279" s="765">
        <v>43581</v>
      </c>
      <c r="K279" s="765" t="s">
        <v>806</v>
      </c>
      <c r="L279" s="765" t="s">
        <v>788</v>
      </c>
      <c r="M279" s="765" t="s">
        <v>755</v>
      </c>
      <c r="N279" s="765" t="s">
        <v>756</v>
      </c>
      <c r="O279" s="765">
        <v>43570</v>
      </c>
      <c r="P279" s="765">
        <v>43587</v>
      </c>
      <c r="Q279" s="765">
        <v>43587</v>
      </c>
      <c r="R279" s="767">
        <v>239.4</v>
      </c>
      <c r="S279" s="765">
        <v>6.3E-5</v>
      </c>
      <c r="T279" s="765">
        <v>0.02</v>
      </c>
      <c r="U279" s="765">
        <v>0.02</v>
      </c>
    </row>
    <row r="280" spans="9:21" x14ac:dyDescent="0.25">
      <c r="J280" s="765">
        <v>43581</v>
      </c>
      <c r="K280" s="765" t="s">
        <v>806</v>
      </c>
      <c r="L280" s="765" t="s">
        <v>788</v>
      </c>
      <c r="M280" s="765" t="s">
        <v>755</v>
      </c>
      <c r="N280" s="765" t="s">
        <v>756</v>
      </c>
      <c r="O280" s="765">
        <v>43571</v>
      </c>
      <c r="P280" s="765">
        <v>43587</v>
      </c>
      <c r="Q280" s="765">
        <v>43587</v>
      </c>
      <c r="R280" s="767">
        <v>55514.400000000001</v>
      </c>
      <c r="S280" s="765">
        <v>6.3E-5</v>
      </c>
      <c r="T280" s="765">
        <v>3.52</v>
      </c>
      <c r="U280" s="765">
        <v>3.52</v>
      </c>
    </row>
    <row r="281" spans="9:21" x14ac:dyDescent="0.25">
      <c r="J281" s="765">
        <v>43581</v>
      </c>
      <c r="K281" s="765" t="s">
        <v>806</v>
      </c>
      <c r="L281" s="765" t="s">
        <v>788</v>
      </c>
      <c r="M281" s="765" t="s">
        <v>755</v>
      </c>
      <c r="N281" s="765" t="s">
        <v>756</v>
      </c>
      <c r="O281" s="765">
        <v>43572</v>
      </c>
      <c r="P281" s="765">
        <v>43587</v>
      </c>
      <c r="Q281" s="765">
        <v>43587</v>
      </c>
      <c r="R281" s="767">
        <v>55514.400000000001</v>
      </c>
      <c r="S281" s="765">
        <v>6.3999999999999997E-5</v>
      </c>
      <c r="T281" s="765">
        <v>3.54</v>
      </c>
      <c r="U281" s="765">
        <v>3.54</v>
      </c>
    </row>
    <row r="282" spans="9:21" x14ac:dyDescent="0.25">
      <c r="J282" s="765">
        <v>43581</v>
      </c>
      <c r="K282" s="765" t="s">
        <v>806</v>
      </c>
      <c r="L282" s="765" t="s">
        <v>788</v>
      </c>
      <c r="M282" s="765" t="s">
        <v>755</v>
      </c>
      <c r="N282" s="765" t="s">
        <v>756</v>
      </c>
      <c r="O282" s="765">
        <v>43573</v>
      </c>
      <c r="P282" s="765">
        <v>43587</v>
      </c>
      <c r="Q282" s="765">
        <v>43587</v>
      </c>
      <c r="R282" s="767">
        <v>55514.400000000001</v>
      </c>
      <c r="S282" s="765">
        <v>2.5500000000000002E-4</v>
      </c>
      <c r="T282" s="765">
        <v>14.18</v>
      </c>
      <c r="U282" s="765">
        <v>14.18</v>
      </c>
    </row>
    <row r="283" spans="9:21" x14ac:dyDescent="0.25">
      <c r="J283" s="765">
        <v>43581</v>
      </c>
      <c r="K283" s="765" t="s">
        <v>806</v>
      </c>
      <c r="L283" s="765" t="s">
        <v>788</v>
      </c>
      <c r="M283" s="765" t="s">
        <v>755</v>
      </c>
      <c r="N283" s="765" t="s">
        <v>756</v>
      </c>
      <c r="O283" s="765">
        <v>43577</v>
      </c>
      <c r="P283" s="765">
        <v>43587</v>
      </c>
      <c r="Q283" s="765">
        <v>43587</v>
      </c>
      <c r="R283" s="767">
        <v>55514.400000000001</v>
      </c>
      <c r="S283" s="765">
        <v>6.3E-5</v>
      </c>
      <c r="T283" s="765">
        <v>3.49</v>
      </c>
      <c r="U283" s="765">
        <v>3.49</v>
      </c>
    </row>
    <row r="284" spans="9:21" x14ac:dyDescent="0.25">
      <c r="J284" s="765">
        <v>43581</v>
      </c>
      <c r="K284" s="765" t="s">
        <v>806</v>
      </c>
      <c r="L284" s="765" t="s">
        <v>788</v>
      </c>
      <c r="M284" s="765" t="s">
        <v>755</v>
      </c>
      <c r="N284" s="765" t="s">
        <v>756</v>
      </c>
      <c r="O284" s="765">
        <v>43578</v>
      </c>
      <c r="P284" s="765">
        <v>43587</v>
      </c>
      <c r="Q284" s="765">
        <v>43587</v>
      </c>
      <c r="R284" s="767">
        <v>55514.400000000001</v>
      </c>
      <c r="S284" s="765">
        <v>6.3999999999999997E-5</v>
      </c>
      <c r="T284" s="765">
        <v>3.53</v>
      </c>
      <c r="U284" s="765">
        <v>3.53</v>
      </c>
    </row>
    <row r="285" spans="9:21" x14ac:dyDescent="0.25">
      <c r="J285" s="765">
        <v>43581</v>
      </c>
      <c r="K285" s="765" t="s">
        <v>806</v>
      </c>
      <c r="L285" s="765" t="s">
        <v>788</v>
      </c>
      <c r="M285" s="765" t="s">
        <v>755</v>
      </c>
      <c r="N285" s="765" t="s">
        <v>756</v>
      </c>
      <c r="O285" s="765">
        <v>43579</v>
      </c>
      <c r="P285" s="765">
        <v>43587</v>
      </c>
      <c r="Q285" s="765">
        <v>43587</v>
      </c>
      <c r="R285" s="767">
        <v>239.4</v>
      </c>
      <c r="S285" s="765">
        <v>6.3E-5</v>
      </c>
      <c r="T285" s="765">
        <v>0.02</v>
      </c>
      <c r="U285" s="765">
        <v>0.02</v>
      </c>
    </row>
    <row r="286" spans="9:21" x14ac:dyDescent="0.25">
      <c r="J286" s="765">
        <v>43581</v>
      </c>
      <c r="K286" s="765" t="s">
        <v>806</v>
      </c>
      <c r="L286" s="765" t="s">
        <v>788</v>
      </c>
      <c r="M286" s="765" t="s">
        <v>755</v>
      </c>
      <c r="N286" s="765" t="s">
        <v>756</v>
      </c>
      <c r="O286" s="765">
        <v>43580</v>
      </c>
      <c r="P286" s="765">
        <v>43587</v>
      </c>
      <c r="Q286" s="765">
        <v>43587</v>
      </c>
      <c r="R286" s="767">
        <v>239.4</v>
      </c>
      <c r="S286" s="765">
        <v>6.3E-5</v>
      </c>
      <c r="T286" s="765">
        <v>0.02</v>
      </c>
      <c r="U286" s="765">
        <v>0.02</v>
      </c>
    </row>
    <row r="287" spans="9:21" x14ac:dyDescent="0.25">
      <c r="I287" s="765" t="s">
        <v>761</v>
      </c>
      <c r="R287" s="767"/>
      <c r="U287" s="765">
        <v>4004.12</v>
      </c>
    </row>
    <row r="288" spans="9:21" x14ac:dyDescent="0.25">
      <c r="J288" s="765">
        <v>43581</v>
      </c>
      <c r="K288" s="765" t="s">
        <v>761</v>
      </c>
      <c r="L288" s="765" t="s">
        <v>785</v>
      </c>
      <c r="M288" s="765" t="s">
        <v>755</v>
      </c>
      <c r="N288" s="765" t="s">
        <v>756</v>
      </c>
      <c r="O288" s="765">
        <v>43556</v>
      </c>
      <c r="P288" s="765">
        <v>43587</v>
      </c>
      <c r="Q288" s="765">
        <v>43587</v>
      </c>
      <c r="R288" s="767">
        <v>1664000</v>
      </c>
      <c r="S288" s="765">
        <v>6.3E-5</v>
      </c>
      <c r="T288" s="765">
        <v>105.56</v>
      </c>
      <c r="U288" s="765">
        <v>105.56</v>
      </c>
    </row>
    <row r="289" spans="10:21" x14ac:dyDescent="0.25">
      <c r="J289" s="765">
        <v>43581</v>
      </c>
      <c r="K289" s="765" t="s">
        <v>761</v>
      </c>
      <c r="L289" s="765" t="s">
        <v>785</v>
      </c>
      <c r="M289" s="765" t="s">
        <v>755</v>
      </c>
      <c r="N289" s="765" t="s">
        <v>756</v>
      </c>
      <c r="O289" s="765">
        <v>43557</v>
      </c>
      <c r="P289" s="765">
        <v>43587</v>
      </c>
      <c r="Q289" s="765">
        <v>43587</v>
      </c>
      <c r="R289" s="767">
        <v>2008000</v>
      </c>
      <c r="S289" s="765">
        <v>6.3E-5</v>
      </c>
      <c r="T289" s="765">
        <v>127.38</v>
      </c>
      <c r="U289" s="765">
        <v>127.38</v>
      </c>
    </row>
    <row r="290" spans="10:21" x14ac:dyDescent="0.25">
      <c r="J290" s="765">
        <v>43581</v>
      </c>
      <c r="K290" s="765" t="s">
        <v>761</v>
      </c>
      <c r="L290" s="765" t="s">
        <v>785</v>
      </c>
      <c r="M290" s="765" t="s">
        <v>755</v>
      </c>
      <c r="N290" s="765" t="s">
        <v>756</v>
      </c>
      <c r="O290" s="765">
        <v>43558</v>
      </c>
      <c r="P290" s="765">
        <v>43587</v>
      </c>
      <c r="Q290" s="765">
        <v>43587</v>
      </c>
      <c r="R290" s="767">
        <v>2040812.5</v>
      </c>
      <c r="S290" s="765">
        <v>6.3E-5</v>
      </c>
      <c r="T290" s="765">
        <v>129.38</v>
      </c>
      <c r="U290" s="765">
        <v>129.38</v>
      </c>
    </row>
    <row r="291" spans="10:21" x14ac:dyDescent="0.25">
      <c r="J291" s="765">
        <v>43581</v>
      </c>
      <c r="K291" s="765" t="s">
        <v>761</v>
      </c>
      <c r="L291" s="765" t="s">
        <v>785</v>
      </c>
      <c r="M291" s="765" t="s">
        <v>755</v>
      </c>
      <c r="N291" s="765" t="s">
        <v>756</v>
      </c>
      <c r="O291" s="765">
        <v>43559</v>
      </c>
      <c r="P291" s="765">
        <v>43587</v>
      </c>
      <c r="Q291" s="765">
        <v>43587</v>
      </c>
      <c r="R291" s="767">
        <v>2040812.5</v>
      </c>
      <c r="S291" s="765">
        <v>6.3E-5</v>
      </c>
      <c r="T291" s="765">
        <v>129.43</v>
      </c>
      <c r="U291" s="765">
        <v>129.43</v>
      </c>
    </row>
    <row r="292" spans="10:21" x14ac:dyDescent="0.25">
      <c r="J292" s="765">
        <v>43581</v>
      </c>
      <c r="K292" s="765" t="s">
        <v>761</v>
      </c>
      <c r="L292" s="765" t="s">
        <v>785</v>
      </c>
      <c r="M292" s="765" t="s">
        <v>755</v>
      </c>
      <c r="N292" s="765" t="s">
        <v>756</v>
      </c>
      <c r="O292" s="765">
        <v>43560</v>
      </c>
      <c r="P292" s="765">
        <v>43587</v>
      </c>
      <c r="Q292" s="765">
        <v>43587</v>
      </c>
      <c r="R292" s="767">
        <v>2040812.5</v>
      </c>
      <c r="S292" s="765">
        <v>1.9000000000000001E-4</v>
      </c>
      <c r="T292" s="765">
        <v>387.7</v>
      </c>
      <c r="U292" s="765">
        <v>387.7</v>
      </c>
    </row>
    <row r="293" spans="10:21" x14ac:dyDescent="0.25">
      <c r="J293" s="765">
        <v>43581</v>
      </c>
      <c r="K293" s="765" t="s">
        <v>761</v>
      </c>
      <c r="L293" s="765" t="s">
        <v>785</v>
      </c>
      <c r="M293" s="765" t="s">
        <v>755</v>
      </c>
      <c r="N293" s="765" t="s">
        <v>756</v>
      </c>
      <c r="O293" s="765">
        <v>43563</v>
      </c>
      <c r="P293" s="765">
        <v>43587</v>
      </c>
      <c r="Q293" s="765">
        <v>43587</v>
      </c>
      <c r="R293" s="767">
        <v>3542812.5</v>
      </c>
      <c r="S293" s="765">
        <v>6.3E-5</v>
      </c>
      <c r="T293" s="765">
        <v>224.28</v>
      </c>
      <c r="U293" s="765">
        <v>224.28</v>
      </c>
    </row>
    <row r="294" spans="10:21" x14ac:dyDescent="0.25">
      <c r="J294" s="765">
        <v>43581</v>
      </c>
      <c r="K294" s="765" t="s">
        <v>761</v>
      </c>
      <c r="L294" s="765" t="s">
        <v>785</v>
      </c>
      <c r="M294" s="765" t="s">
        <v>755</v>
      </c>
      <c r="N294" s="765" t="s">
        <v>756</v>
      </c>
      <c r="O294" s="765">
        <v>43564</v>
      </c>
      <c r="P294" s="765">
        <v>43587</v>
      </c>
      <c r="Q294" s="765">
        <v>43587</v>
      </c>
      <c r="R294" s="767">
        <v>3542812.5</v>
      </c>
      <c r="S294" s="765">
        <v>6.3E-5</v>
      </c>
      <c r="T294" s="765">
        <v>223.56</v>
      </c>
      <c r="U294" s="765">
        <v>223.56</v>
      </c>
    </row>
    <row r="295" spans="10:21" x14ac:dyDescent="0.25">
      <c r="J295" s="765">
        <v>43581</v>
      </c>
      <c r="K295" s="765" t="s">
        <v>761</v>
      </c>
      <c r="L295" s="765" t="s">
        <v>785</v>
      </c>
      <c r="M295" s="765" t="s">
        <v>755</v>
      </c>
      <c r="N295" s="765" t="s">
        <v>756</v>
      </c>
      <c r="O295" s="765">
        <v>43565</v>
      </c>
      <c r="P295" s="765">
        <v>43587</v>
      </c>
      <c r="Q295" s="765">
        <v>43587</v>
      </c>
      <c r="R295" s="767">
        <v>3542812.5</v>
      </c>
      <c r="S295" s="765">
        <v>6.3E-5</v>
      </c>
      <c r="T295" s="765">
        <v>223.9</v>
      </c>
      <c r="U295" s="765">
        <v>223.9</v>
      </c>
    </row>
    <row r="296" spans="10:21" x14ac:dyDescent="0.25">
      <c r="J296" s="765">
        <v>43581</v>
      </c>
      <c r="K296" s="765" t="s">
        <v>761</v>
      </c>
      <c r="L296" s="765" t="s">
        <v>785</v>
      </c>
      <c r="M296" s="765" t="s">
        <v>755</v>
      </c>
      <c r="N296" s="765" t="s">
        <v>756</v>
      </c>
      <c r="O296" s="765">
        <v>43566</v>
      </c>
      <c r="P296" s="765">
        <v>43587</v>
      </c>
      <c r="Q296" s="765">
        <v>43587</v>
      </c>
      <c r="R296" s="767">
        <v>3104812.5</v>
      </c>
      <c r="S296" s="765">
        <v>6.3E-5</v>
      </c>
      <c r="T296" s="765">
        <v>195.67</v>
      </c>
      <c r="U296" s="765">
        <v>195.67</v>
      </c>
    </row>
    <row r="297" spans="10:21" x14ac:dyDescent="0.25">
      <c r="J297" s="765">
        <v>43581</v>
      </c>
      <c r="K297" s="765" t="s">
        <v>761</v>
      </c>
      <c r="L297" s="765" t="s">
        <v>785</v>
      </c>
      <c r="M297" s="765" t="s">
        <v>755</v>
      </c>
      <c r="N297" s="765" t="s">
        <v>756</v>
      </c>
      <c r="O297" s="765">
        <v>43567</v>
      </c>
      <c r="P297" s="765">
        <v>43587</v>
      </c>
      <c r="Q297" s="765">
        <v>43587</v>
      </c>
      <c r="R297" s="767">
        <v>3104812.5</v>
      </c>
      <c r="S297" s="765">
        <v>1.8900000000000001E-4</v>
      </c>
      <c r="T297" s="765">
        <v>586.6</v>
      </c>
      <c r="U297" s="765">
        <v>586.6</v>
      </c>
    </row>
    <row r="298" spans="10:21" x14ac:dyDescent="0.25">
      <c r="J298" s="765">
        <v>43581</v>
      </c>
      <c r="K298" s="765" t="s">
        <v>761</v>
      </c>
      <c r="L298" s="765" t="s">
        <v>785</v>
      </c>
      <c r="M298" s="765" t="s">
        <v>755</v>
      </c>
      <c r="N298" s="765" t="s">
        <v>756</v>
      </c>
      <c r="O298" s="765">
        <v>43570</v>
      </c>
      <c r="P298" s="765">
        <v>43587</v>
      </c>
      <c r="Q298" s="765">
        <v>43587</v>
      </c>
      <c r="R298" s="767">
        <v>3104812.5</v>
      </c>
      <c r="S298" s="765">
        <v>6.3E-5</v>
      </c>
      <c r="T298" s="765">
        <v>196.17</v>
      </c>
      <c r="U298" s="765">
        <v>196.17</v>
      </c>
    </row>
    <row r="299" spans="10:21" x14ac:dyDescent="0.25">
      <c r="J299" s="765">
        <v>43581</v>
      </c>
      <c r="K299" s="765" t="s">
        <v>761</v>
      </c>
      <c r="L299" s="765" t="s">
        <v>785</v>
      </c>
      <c r="M299" s="765" t="s">
        <v>755</v>
      </c>
      <c r="N299" s="765" t="s">
        <v>756</v>
      </c>
      <c r="O299" s="765">
        <v>43571</v>
      </c>
      <c r="P299" s="765">
        <v>43587</v>
      </c>
      <c r="Q299" s="765">
        <v>43587</v>
      </c>
      <c r="R299" s="767">
        <v>104812.5</v>
      </c>
      <c r="S299" s="765">
        <v>6.3E-5</v>
      </c>
      <c r="T299" s="765">
        <v>6.65</v>
      </c>
      <c r="U299" s="765">
        <v>6.65</v>
      </c>
    </row>
    <row r="300" spans="10:21" x14ac:dyDescent="0.25">
      <c r="J300" s="765">
        <v>43581</v>
      </c>
      <c r="K300" s="765" t="s">
        <v>761</v>
      </c>
      <c r="L300" s="765" t="s">
        <v>785</v>
      </c>
      <c r="M300" s="765" t="s">
        <v>755</v>
      </c>
      <c r="N300" s="765" t="s">
        <v>756</v>
      </c>
      <c r="O300" s="765">
        <v>43572</v>
      </c>
      <c r="P300" s="765">
        <v>43587</v>
      </c>
      <c r="Q300" s="765">
        <v>43587</v>
      </c>
      <c r="R300" s="767">
        <v>2812812.5</v>
      </c>
      <c r="S300" s="765">
        <v>6.3999999999999997E-5</v>
      </c>
      <c r="T300" s="765">
        <v>179.6</v>
      </c>
      <c r="U300" s="765">
        <v>179.6</v>
      </c>
    </row>
    <row r="301" spans="10:21" x14ac:dyDescent="0.25">
      <c r="J301" s="765">
        <v>43581</v>
      </c>
      <c r="K301" s="765" t="s">
        <v>761</v>
      </c>
      <c r="L301" s="765" t="s">
        <v>785</v>
      </c>
      <c r="M301" s="765" t="s">
        <v>755</v>
      </c>
      <c r="N301" s="765" t="s">
        <v>756</v>
      </c>
      <c r="O301" s="765">
        <v>43573</v>
      </c>
      <c r="P301" s="765">
        <v>43587</v>
      </c>
      <c r="Q301" s="765">
        <v>43587</v>
      </c>
      <c r="R301" s="767">
        <v>2812812.5</v>
      </c>
      <c r="S301" s="765">
        <v>2.5500000000000002E-4</v>
      </c>
      <c r="T301" s="765">
        <v>718.49</v>
      </c>
      <c r="U301" s="765">
        <v>718.49</v>
      </c>
    </row>
    <row r="302" spans="10:21" x14ac:dyDescent="0.25">
      <c r="J302" s="765">
        <v>43581</v>
      </c>
      <c r="K302" s="765" t="s">
        <v>761</v>
      </c>
      <c r="L302" s="765" t="s">
        <v>785</v>
      </c>
      <c r="M302" s="765" t="s">
        <v>755</v>
      </c>
      <c r="N302" s="765" t="s">
        <v>756</v>
      </c>
      <c r="O302" s="765">
        <v>43577</v>
      </c>
      <c r="P302" s="765">
        <v>43587</v>
      </c>
      <c r="Q302" s="765">
        <v>43587</v>
      </c>
      <c r="R302" s="767">
        <v>2812812.5</v>
      </c>
      <c r="S302" s="765">
        <v>6.3E-5</v>
      </c>
      <c r="T302" s="765">
        <v>176.77</v>
      </c>
      <c r="U302" s="765">
        <v>176.77</v>
      </c>
    </row>
    <row r="303" spans="10:21" x14ac:dyDescent="0.25">
      <c r="J303" s="765">
        <v>43581</v>
      </c>
      <c r="K303" s="765" t="s">
        <v>761</v>
      </c>
      <c r="L303" s="765" t="s">
        <v>785</v>
      </c>
      <c r="M303" s="765" t="s">
        <v>755</v>
      </c>
      <c r="N303" s="765" t="s">
        <v>756</v>
      </c>
      <c r="O303" s="765">
        <v>43578</v>
      </c>
      <c r="P303" s="765">
        <v>43587</v>
      </c>
      <c r="Q303" s="765">
        <v>43587</v>
      </c>
      <c r="R303" s="767">
        <v>2071812.5</v>
      </c>
      <c r="S303" s="765">
        <v>6.3999999999999997E-5</v>
      </c>
      <c r="T303" s="765">
        <v>131.91</v>
      </c>
      <c r="U303" s="765">
        <v>131.91</v>
      </c>
    </row>
    <row r="304" spans="10:21" x14ac:dyDescent="0.25">
      <c r="J304" s="765">
        <v>43581</v>
      </c>
      <c r="K304" s="765" t="s">
        <v>761</v>
      </c>
      <c r="L304" s="765" t="s">
        <v>785</v>
      </c>
      <c r="M304" s="765" t="s">
        <v>755</v>
      </c>
      <c r="N304" s="765" t="s">
        <v>756</v>
      </c>
      <c r="O304" s="765">
        <v>43579</v>
      </c>
      <c r="P304" s="765">
        <v>43587</v>
      </c>
      <c r="Q304" s="765">
        <v>43587</v>
      </c>
      <c r="R304" s="767">
        <v>2071812.5</v>
      </c>
      <c r="S304" s="765">
        <v>6.3E-5</v>
      </c>
      <c r="T304" s="765">
        <v>130.84</v>
      </c>
      <c r="U304" s="765">
        <v>130.84</v>
      </c>
    </row>
    <row r="305" spans="9:21" x14ac:dyDescent="0.25">
      <c r="J305" s="765">
        <v>43581</v>
      </c>
      <c r="K305" s="765" t="s">
        <v>761</v>
      </c>
      <c r="L305" s="765" t="s">
        <v>785</v>
      </c>
      <c r="M305" s="765" t="s">
        <v>755</v>
      </c>
      <c r="N305" s="765" t="s">
        <v>756</v>
      </c>
      <c r="O305" s="765">
        <v>43580</v>
      </c>
      <c r="P305" s="765">
        <v>43587</v>
      </c>
      <c r="Q305" s="765">
        <v>43587</v>
      </c>
      <c r="R305" s="767">
        <v>2071812.5</v>
      </c>
      <c r="S305" s="765">
        <v>6.3E-5</v>
      </c>
      <c r="T305" s="765">
        <v>130.22999999999999</v>
      </c>
      <c r="U305" s="765">
        <v>130.22999999999999</v>
      </c>
    </row>
    <row r="306" spans="9:21" x14ac:dyDescent="0.25">
      <c r="I306" s="765" t="s">
        <v>762</v>
      </c>
      <c r="R306" s="767"/>
      <c r="U306" s="765">
        <v>71.7</v>
      </c>
    </row>
    <row r="307" spans="9:21" x14ac:dyDescent="0.25">
      <c r="J307" s="765">
        <v>43581</v>
      </c>
      <c r="K307" s="765" t="s">
        <v>762</v>
      </c>
      <c r="L307" s="765" t="s">
        <v>786</v>
      </c>
      <c r="M307" s="765" t="s">
        <v>755</v>
      </c>
      <c r="N307" s="765" t="s">
        <v>756</v>
      </c>
      <c r="O307" s="765">
        <v>43556</v>
      </c>
      <c r="P307" s="765">
        <v>43587</v>
      </c>
      <c r="Q307" s="765">
        <v>43587</v>
      </c>
      <c r="R307" s="767">
        <v>42375.9</v>
      </c>
      <c r="S307" s="765">
        <v>6.3E-5</v>
      </c>
      <c r="T307" s="765">
        <v>2.69</v>
      </c>
      <c r="U307" s="765">
        <v>2.69</v>
      </c>
    </row>
    <row r="308" spans="9:21" x14ac:dyDescent="0.25">
      <c r="J308" s="765">
        <v>43581</v>
      </c>
      <c r="K308" s="765" t="s">
        <v>762</v>
      </c>
      <c r="L308" s="765" t="s">
        <v>786</v>
      </c>
      <c r="M308" s="765" t="s">
        <v>755</v>
      </c>
      <c r="N308" s="765" t="s">
        <v>756</v>
      </c>
      <c r="O308" s="765">
        <v>43557</v>
      </c>
      <c r="P308" s="765">
        <v>43587</v>
      </c>
      <c r="Q308" s="765">
        <v>43587</v>
      </c>
      <c r="R308" s="767">
        <v>42457.24</v>
      </c>
      <c r="S308" s="765">
        <v>6.3E-5</v>
      </c>
      <c r="T308" s="765">
        <v>2.69</v>
      </c>
      <c r="U308" s="765">
        <v>2.69</v>
      </c>
    </row>
    <row r="309" spans="9:21" x14ac:dyDescent="0.25">
      <c r="J309" s="765">
        <v>43581</v>
      </c>
      <c r="K309" s="765" t="s">
        <v>762</v>
      </c>
      <c r="L309" s="765" t="s">
        <v>786</v>
      </c>
      <c r="M309" s="765" t="s">
        <v>755</v>
      </c>
      <c r="N309" s="765" t="s">
        <v>756</v>
      </c>
      <c r="O309" s="765">
        <v>43558</v>
      </c>
      <c r="P309" s="765">
        <v>43587</v>
      </c>
      <c r="Q309" s="765">
        <v>43587</v>
      </c>
      <c r="R309" s="767">
        <v>42457.24</v>
      </c>
      <c r="S309" s="765">
        <v>6.3E-5</v>
      </c>
      <c r="T309" s="765">
        <v>2.69</v>
      </c>
      <c r="U309" s="765">
        <v>2.69</v>
      </c>
    </row>
    <row r="310" spans="9:21" x14ac:dyDescent="0.25">
      <c r="J310" s="765">
        <v>43581</v>
      </c>
      <c r="K310" s="765" t="s">
        <v>762</v>
      </c>
      <c r="L310" s="765" t="s">
        <v>786</v>
      </c>
      <c r="M310" s="765" t="s">
        <v>755</v>
      </c>
      <c r="N310" s="765" t="s">
        <v>756</v>
      </c>
      <c r="O310" s="765">
        <v>43559</v>
      </c>
      <c r="P310" s="765">
        <v>43587</v>
      </c>
      <c r="Q310" s="765">
        <v>43587</v>
      </c>
      <c r="R310" s="767">
        <v>42457.24</v>
      </c>
      <c r="S310" s="765">
        <v>6.3E-5</v>
      </c>
      <c r="T310" s="765">
        <v>2.69</v>
      </c>
      <c r="U310" s="765">
        <v>2.69</v>
      </c>
    </row>
    <row r="311" spans="9:21" x14ac:dyDescent="0.25">
      <c r="J311" s="765">
        <v>43581</v>
      </c>
      <c r="K311" s="765" t="s">
        <v>762</v>
      </c>
      <c r="L311" s="765" t="s">
        <v>786</v>
      </c>
      <c r="M311" s="765" t="s">
        <v>755</v>
      </c>
      <c r="N311" s="765" t="s">
        <v>756</v>
      </c>
      <c r="O311" s="765">
        <v>43560</v>
      </c>
      <c r="P311" s="765">
        <v>43587</v>
      </c>
      <c r="Q311" s="765">
        <v>43587</v>
      </c>
      <c r="R311" s="767">
        <v>42457.24</v>
      </c>
      <c r="S311" s="765">
        <v>1.9000000000000001E-4</v>
      </c>
      <c r="T311" s="765">
        <v>8.07</v>
      </c>
      <c r="U311" s="765">
        <v>8.07</v>
      </c>
    </row>
    <row r="312" spans="9:21" x14ac:dyDescent="0.25">
      <c r="J312" s="765">
        <v>43581</v>
      </c>
      <c r="K312" s="765" t="s">
        <v>762</v>
      </c>
      <c r="L312" s="765" t="s">
        <v>786</v>
      </c>
      <c r="M312" s="765" t="s">
        <v>755</v>
      </c>
      <c r="N312" s="765" t="s">
        <v>756</v>
      </c>
      <c r="O312" s="765">
        <v>43563</v>
      </c>
      <c r="P312" s="765">
        <v>43587</v>
      </c>
      <c r="Q312" s="765">
        <v>43587</v>
      </c>
      <c r="R312" s="767">
        <v>42457.24</v>
      </c>
      <c r="S312" s="765">
        <v>6.3E-5</v>
      </c>
      <c r="T312" s="765">
        <v>2.69</v>
      </c>
      <c r="U312" s="765">
        <v>2.69</v>
      </c>
    </row>
    <row r="313" spans="9:21" x14ac:dyDescent="0.25">
      <c r="J313" s="765">
        <v>43581</v>
      </c>
      <c r="K313" s="765" t="s">
        <v>762</v>
      </c>
      <c r="L313" s="765" t="s">
        <v>786</v>
      </c>
      <c r="M313" s="765" t="s">
        <v>755</v>
      </c>
      <c r="N313" s="765" t="s">
        <v>756</v>
      </c>
      <c r="O313" s="765">
        <v>43564</v>
      </c>
      <c r="P313" s="765">
        <v>43587</v>
      </c>
      <c r="Q313" s="765">
        <v>43587</v>
      </c>
      <c r="R313" s="767">
        <v>42457.24</v>
      </c>
      <c r="S313" s="765">
        <v>6.3E-5</v>
      </c>
      <c r="T313" s="765">
        <v>2.68</v>
      </c>
      <c r="U313" s="765">
        <v>2.68</v>
      </c>
    </row>
    <row r="314" spans="9:21" x14ac:dyDescent="0.25">
      <c r="J314" s="765">
        <v>43581</v>
      </c>
      <c r="K314" s="765" t="s">
        <v>762</v>
      </c>
      <c r="L314" s="765" t="s">
        <v>786</v>
      </c>
      <c r="M314" s="765" t="s">
        <v>755</v>
      </c>
      <c r="N314" s="765" t="s">
        <v>756</v>
      </c>
      <c r="O314" s="765">
        <v>43565</v>
      </c>
      <c r="P314" s="765">
        <v>43587</v>
      </c>
      <c r="Q314" s="765">
        <v>43587</v>
      </c>
      <c r="R314" s="767">
        <v>42457.24</v>
      </c>
      <c r="S314" s="765">
        <v>6.3E-5</v>
      </c>
      <c r="T314" s="765">
        <v>2.68</v>
      </c>
      <c r="U314" s="765">
        <v>2.68</v>
      </c>
    </row>
    <row r="315" spans="9:21" x14ac:dyDescent="0.25">
      <c r="J315" s="765">
        <v>43581</v>
      </c>
      <c r="K315" s="765" t="s">
        <v>762</v>
      </c>
      <c r="L315" s="765" t="s">
        <v>786</v>
      </c>
      <c r="M315" s="765" t="s">
        <v>755</v>
      </c>
      <c r="N315" s="765" t="s">
        <v>756</v>
      </c>
      <c r="O315" s="765">
        <v>43566</v>
      </c>
      <c r="P315" s="765">
        <v>43587</v>
      </c>
      <c r="Q315" s="765">
        <v>43587</v>
      </c>
      <c r="R315" s="767">
        <v>42457.24</v>
      </c>
      <c r="S315" s="765">
        <v>6.3E-5</v>
      </c>
      <c r="T315" s="765">
        <v>2.68</v>
      </c>
      <c r="U315" s="765">
        <v>2.68</v>
      </c>
    </row>
    <row r="316" spans="9:21" x14ac:dyDescent="0.25">
      <c r="J316" s="765">
        <v>43581</v>
      </c>
      <c r="K316" s="765" t="s">
        <v>762</v>
      </c>
      <c r="L316" s="765" t="s">
        <v>786</v>
      </c>
      <c r="M316" s="765" t="s">
        <v>755</v>
      </c>
      <c r="N316" s="765" t="s">
        <v>756</v>
      </c>
      <c r="O316" s="765">
        <v>43567</v>
      </c>
      <c r="P316" s="765">
        <v>43587</v>
      </c>
      <c r="Q316" s="765">
        <v>43587</v>
      </c>
      <c r="R316" s="767">
        <v>42457.24</v>
      </c>
      <c r="S316" s="765">
        <v>1.8900000000000001E-4</v>
      </c>
      <c r="T316" s="765">
        <v>8.02</v>
      </c>
      <c r="U316" s="765">
        <v>8.02</v>
      </c>
    </row>
    <row r="317" spans="9:21" x14ac:dyDescent="0.25">
      <c r="J317" s="765">
        <v>43581</v>
      </c>
      <c r="K317" s="765" t="s">
        <v>762</v>
      </c>
      <c r="L317" s="765" t="s">
        <v>786</v>
      </c>
      <c r="M317" s="765" t="s">
        <v>755</v>
      </c>
      <c r="N317" s="765" t="s">
        <v>756</v>
      </c>
      <c r="O317" s="765">
        <v>43570</v>
      </c>
      <c r="P317" s="765">
        <v>43587</v>
      </c>
      <c r="Q317" s="765">
        <v>43587</v>
      </c>
      <c r="R317" s="767">
        <v>32373.16</v>
      </c>
      <c r="S317" s="765">
        <v>6.3E-5</v>
      </c>
      <c r="T317" s="765">
        <v>2.0499999999999998</v>
      </c>
      <c r="U317" s="765">
        <v>2.0499999999999998</v>
      </c>
    </row>
    <row r="318" spans="9:21" x14ac:dyDescent="0.25">
      <c r="J318" s="765">
        <v>43581</v>
      </c>
      <c r="K318" s="765" t="s">
        <v>762</v>
      </c>
      <c r="L318" s="765" t="s">
        <v>786</v>
      </c>
      <c r="M318" s="765" t="s">
        <v>755</v>
      </c>
      <c r="N318" s="765" t="s">
        <v>756</v>
      </c>
      <c r="O318" s="765">
        <v>43571</v>
      </c>
      <c r="P318" s="765">
        <v>43587</v>
      </c>
      <c r="Q318" s="765">
        <v>43587</v>
      </c>
      <c r="R318" s="767">
        <v>56700.1</v>
      </c>
      <c r="S318" s="765">
        <v>6.3E-5</v>
      </c>
      <c r="T318" s="765">
        <v>3.6</v>
      </c>
      <c r="U318" s="765">
        <v>3.6</v>
      </c>
    </row>
    <row r="319" spans="9:21" x14ac:dyDescent="0.25">
      <c r="J319" s="765">
        <v>43581</v>
      </c>
      <c r="K319" s="765" t="s">
        <v>762</v>
      </c>
      <c r="L319" s="765" t="s">
        <v>786</v>
      </c>
      <c r="M319" s="765" t="s">
        <v>755</v>
      </c>
      <c r="N319" s="765" t="s">
        <v>756</v>
      </c>
      <c r="O319" s="765">
        <v>43572</v>
      </c>
      <c r="P319" s="765">
        <v>43587</v>
      </c>
      <c r="Q319" s="765">
        <v>43587</v>
      </c>
      <c r="R319" s="767">
        <v>56700.1</v>
      </c>
      <c r="S319" s="765">
        <v>6.3999999999999997E-5</v>
      </c>
      <c r="T319" s="765">
        <v>3.62</v>
      </c>
      <c r="U319" s="765">
        <v>3.62</v>
      </c>
    </row>
    <row r="320" spans="9:21" x14ac:dyDescent="0.25">
      <c r="J320" s="765">
        <v>43581</v>
      </c>
      <c r="K320" s="765" t="s">
        <v>762</v>
      </c>
      <c r="L320" s="765" t="s">
        <v>786</v>
      </c>
      <c r="M320" s="765" t="s">
        <v>755</v>
      </c>
      <c r="N320" s="765" t="s">
        <v>756</v>
      </c>
      <c r="O320" s="765">
        <v>43573</v>
      </c>
      <c r="P320" s="765">
        <v>43587</v>
      </c>
      <c r="Q320" s="765">
        <v>43587</v>
      </c>
      <c r="R320" s="767">
        <v>56700.1</v>
      </c>
      <c r="S320" s="765">
        <v>2.5500000000000002E-4</v>
      </c>
      <c r="T320" s="765">
        <v>14.48</v>
      </c>
      <c r="U320" s="765">
        <v>14.48</v>
      </c>
    </row>
    <row r="321" spans="9:21" x14ac:dyDescent="0.25">
      <c r="J321" s="765">
        <v>43581</v>
      </c>
      <c r="K321" s="765" t="s">
        <v>762</v>
      </c>
      <c r="L321" s="765" t="s">
        <v>786</v>
      </c>
      <c r="M321" s="765" t="s">
        <v>755</v>
      </c>
      <c r="N321" s="765" t="s">
        <v>756</v>
      </c>
      <c r="O321" s="765">
        <v>43577</v>
      </c>
      <c r="P321" s="765">
        <v>43587</v>
      </c>
      <c r="Q321" s="765">
        <v>43587</v>
      </c>
      <c r="R321" s="767">
        <v>46700.1</v>
      </c>
      <c r="S321" s="765">
        <v>6.3E-5</v>
      </c>
      <c r="T321" s="765">
        <v>2.93</v>
      </c>
      <c r="U321" s="765">
        <v>2.93</v>
      </c>
    </row>
    <row r="322" spans="9:21" x14ac:dyDescent="0.25">
      <c r="J322" s="765">
        <v>43581</v>
      </c>
      <c r="K322" s="765" t="s">
        <v>762</v>
      </c>
      <c r="L322" s="765" t="s">
        <v>786</v>
      </c>
      <c r="M322" s="765" t="s">
        <v>755</v>
      </c>
      <c r="N322" s="765" t="s">
        <v>756</v>
      </c>
      <c r="O322" s="765">
        <v>43578</v>
      </c>
      <c r="P322" s="765">
        <v>43587</v>
      </c>
      <c r="Q322" s="765">
        <v>43587</v>
      </c>
      <c r="R322" s="767">
        <v>46700.1</v>
      </c>
      <c r="S322" s="765">
        <v>6.3999999999999997E-5</v>
      </c>
      <c r="T322" s="765">
        <v>2.97</v>
      </c>
      <c r="U322" s="765">
        <v>2.97</v>
      </c>
    </row>
    <row r="323" spans="9:21" x14ac:dyDescent="0.25">
      <c r="J323" s="765">
        <v>43581</v>
      </c>
      <c r="K323" s="765" t="s">
        <v>762</v>
      </c>
      <c r="L323" s="765" t="s">
        <v>786</v>
      </c>
      <c r="M323" s="765" t="s">
        <v>755</v>
      </c>
      <c r="N323" s="765" t="s">
        <v>756</v>
      </c>
      <c r="O323" s="765">
        <v>43579</v>
      </c>
      <c r="P323" s="765">
        <v>43587</v>
      </c>
      <c r="Q323" s="765">
        <v>43587</v>
      </c>
      <c r="R323" s="767">
        <v>35450.1</v>
      </c>
      <c r="S323" s="765">
        <v>6.3E-5</v>
      </c>
      <c r="T323" s="765">
        <v>2.2400000000000002</v>
      </c>
      <c r="U323" s="765">
        <v>2.2400000000000002</v>
      </c>
    </row>
    <row r="324" spans="9:21" x14ac:dyDescent="0.25">
      <c r="J324" s="765">
        <v>43581</v>
      </c>
      <c r="K324" s="765" t="s">
        <v>762</v>
      </c>
      <c r="L324" s="765" t="s">
        <v>786</v>
      </c>
      <c r="M324" s="765" t="s">
        <v>755</v>
      </c>
      <c r="N324" s="765" t="s">
        <v>756</v>
      </c>
      <c r="O324" s="765">
        <v>43580</v>
      </c>
      <c r="P324" s="765">
        <v>43587</v>
      </c>
      <c r="Q324" s="765">
        <v>43587</v>
      </c>
      <c r="R324" s="767">
        <v>35450.1</v>
      </c>
      <c r="S324" s="765">
        <v>6.3E-5</v>
      </c>
      <c r="T324" s="765">
        <v>2.23</v>
      </c>
      <c r="U324" s="765">
        <v>2.23</v>
      </c>
    </row>
    <row r="325" spans="9:21" x14ac:dyDescent="0.25">
      <c r="I325" s="765" t="s">
        <v>821</v>
      </c>
      <c r="R325" s="767"/>
      <c r="U325" s="765">
        <v>12.61</v>
      </c>
    </row>
    <row r="326" spans="9:21" x14ac:dyDescent="0.25">
      <c r="J326" s="765">
        <v>43581</v>
      </c>
      <c r="K326" s="765" t="s">
        <v>821</v>
      </c>
      <c r="L326" s="765" t="s">
        <v>436</v>
      </c>
      <c r="M326" s="765" t="s">
        <v>755</v>
      </c>
      <c r="N326" s="765" t="s">
        <v>756</v>
      </c>
      <c r="O326" s="765">
        <v>43560</v>
      </c>
      <c r="P326" s="765">
        <v>43587</v>
      </c>
      <c r="Q326" s="765">
        <v>43587</v>
      </c>
      <c r="R326" s="767">
        <v>30.74</v>
      </c>
      <c r="S326" s="765">
        <v>1.9000000000000001E-4</v>
      </c>
      <c r="T326" s="765">
        <v>0.01</v>
      </c>
      <c r="U326" s="765">
        <v>0.01</v>
      </c>
    </row>
    <row r="327" spans="9:21" x14ac:dyDescent="0.25">
      <c r="J327" s="765">
        <v>43581</v>
      </c>
      <c r="K327" s="765" t="s">
        <v>821</v>
      </c>
      <c r="L327" s="765" t="s">
        <v>436</v>
      </c>
      <c r="M327" s="765" t="s">
        <v>755</v>
      </c>
      <c r="N327" s="765" t="s">
        <v>756</v>
      </c>
      <c r="O327" s="765">
        <v>43567</v>
      </c>
      <c r="P327" s="765">
        <v>43587</v>
      </c>
      <c r="Q327" s="765">
        <v>43587</v>
      </c>
      <c r="R327" s="767">
        <v>30.74</v>
      </c>
      <c r="S327" s="765">
        <v>1.8900000000000001E-4</v>
      </c>
      <c r="T327" s="765">
        <v>0.01</v>
      </c>
      <c r="U327" s="765">
        <v>0.01</v>
      </c>
    </row>
    <row r="328" spans="9:21" x14ac:dyDescent="0.25">
      <c r="J328" s="765">
        <v>43581</v>
      </c>
      <c r="K328" s="765" t="s">
        <v>821</v>
      </c>
      <c r="L328" s="765" t="s">
        <v>436</v>
      </c>
      <c r="M328" s="765" t="s">
        <v>755</v>
      </c>
      <c r="N328" s="765" t="s">
        <v>756</v>
      </c>
      <c r="O328" s="765">
        <v>43571</v>
      </c>
      <c r="P328" s="765">
        <v>43587</v>
      </c>
      <c r="Q328" s="765">
        <v>43587</v>
      </c>
      <c r="R328" s="765">
        <v>198439.63</v>
      </c>
      <c r="S328" s="765">
        <v>6.3E-5</v>
      </c>
      <c r="T328" s="765">
        <v>12.58</v>
      </c>
      <c r="U328" s="765">
        <v>12.58</v>
      </c>
    </row>
    <row r="329" spans="9:21" x14ac:dyDescent="0.25">
      <c r="J329" s="765">
        <v>43581</v>
      </c>
      <c r="K329" s="765" t="s">
        <v>821</v>
      </c>
      <c r="L329" s="765" t="s">
        <v>436</v>
      </c>
      <c r="M329" s="765" t="s">
        <v>755</v>
      </c>
      <c r="N329" s="765" t="s">
        <v>756</v>
      </c>
      <c r="O329" s="765">
        <v>43573</v>
      </c>
      <c r="P329" s="765">
        <v>43587</v>
      </c>
      <c r="Q329" s="765">
        <v>43587</v>
      </c>
      <c r="R329" s="765">
        <v>30.74</v>
      </c>
      <c r="S329" s="765">
        <v>2.5500000000000002E-4</v>
      </c>
      <c r="T329" s="765">
        <v>0.01</v>
      </c>
      <c r="U329" s="765">
        <v>0.01</v>
      </c>
    </row>
    <row r="330" spans="9:21" x14ac:dyDescent="0.25">
      <c r="I330" s="765" t="s">
        <v>763</v>
      </c>
      <c r="U330" s="765">
        <v>27.77</v>
      </c>
    </row>
    <row r="331" spans="9:21" x14ac:dyDescent="0.25">
      <c r="J331" s="765">
        <v>43581</v>
      </c>
      <c r="K331" s="765" t="s">
        <v>763</v>
      </c>
      <c r="L331" s="765" t="s">
        <v>787</v>
      </c>
      <c r="M331" s="765" t="s">
        <v>755</v>
      </c>
      <c r="N331" s="765" t="s">
        <v>756</v>
      </c>
      <c r="O331" s="765">
        <v>43556</v>
      </c>
      <c r="P331" s="765">
        <v>43587</v>
      </c>
      <c r="Q331" s="765">
        <v>43587</v>
      </c>
      <c r="R331" s="765">
        <v>17501</v>
      </c>
      <c r="S331" s="765">
        <v>6.3E-5</v>
      </c>
      <c r="T331" s="765">
        <v>1.1100000000000001</v>
      </c>
      <c r="U331" s="765">
        <v>1.1100000000000001</v>
      </c>
    </row>
    <row r="332" spans="9:21" x14ac:dyDescent="0.25">
      <c r="J332" s="765">
        <v>43581</v>
      </c>
      <c r="K332" s="765" t="s">
        <v>763</v>
      </c>
      <c r="L332" s="765" t="s">
        <v>787</v>
      </c>
      <c r="M332" s="765" t="s">
        <v>755</v>
      </c>
      <c r="N332" s="765" t="s">
        <v>756</v>
      </c>
      <c r="O332" s="765">
        <v>43557</v>
      </c>
      <c r="P332" s="765">
        <v>43587</v>
      </c>
      <c r="Q332" s="765">
        <v>43587</v>
      </c>
      <c r="R332" s="765">
        <v>17535.259999999998</v>
      </c>
      <c r="S332" s="765">
        <v>6.3E-5</v>
      </c>
      <c r="T332" s="765">
        <v>1.1100000000000001</v>
      </c>
      <c r="U332" s="765">
        <v>1.1100000000000001</v>
      </c>
    </row>
    <row r="333" spans="9:21" x14ac:dyDescent="0.25">
      <c r="J333" s="765">
        <v>43581</v>
      </c>
      <c r="K333" s="765" t="s">
        <v>763</v>
      </c>
      <c r="L333" s="765" t="s">
        <v>787</v>
      </c>
      <c r="M333" s="765" t="s">
        <v>755</v>
      </c>
      <c r="N333" s="765" t="s">
        <v>756</v>
      </c>
      <c r="O333" s="765">
        <v>43558</v>
      </c>
      <c r="P333" s="765">
        <v>43587</v>
      </c>
      <c r="Q333" s="765">
        <v>43587</v>
      </c>
      <c r="R333" s="765">
        <v>17535.259999999998</v>
      </c>
      <c r="S333" s="765">
        <v>6.3E-5</v>
      </c>
      <c r="T333" s="765">
        <v>1.1100000000000001</v>
      </c>
      <c r="U333" s="765">
        <v>1.1100000000000001</v>
      </c>
    </row>
    <row r="334" spans="9:21" x14ac:dyDescent="0.25">
      <c r="J334" s="765">
        <v>43581</v>
      </c>
      <c r="K334" s="765" t="s">
        <v>763</v>
      </c>
      <c r="L334" s="765" t="s">
        <v>787</v>
      </c>
      <c r="M334" s="765" t="s">
        <v>755</v>
      </c>
      <c r="N334" s="765" t="s">
        <v>756</v>
      </c>
      <c r="O334" s="765">
        <v>43559</v>
      </c>
      <c r="P334" s="765">
        <v>43587</v>
      </c>
      <c r="Q334" s="765">
        <v>43587</v>
      </c>
      <c r="R334" s="765">
        <v>17535.259999999998</v>
      </c>
      <c r="S334" s="765">
        <v>6.3E-5</v>
      </c>
      <c r="T334" s="765">
        <v>1.1100000000000001</v>
      </c>
      <c r="U334" s="765">
        <v>1.1100000000000001</v>
      </c>
    </row>
    <row r="335" spans="9:21" x14ac:dyDescent="0.25">
      <c r="J335" s="765">
        <v>43581</v>
      </c>
      <c r="K335" s="765" t="s">
        <v>763</v>
      </c>
      <c r="L335" s="765" t="s">
        <v>787</v>
      </c>
      <c r="M335" s="765" t="s">
        <v>755</v>
      </c>
      <c r="N335" s="765" t="s">
        <v>756</v>
      </c>
      <c r="O335" s="765">
        <v>43560</v>
      </c>
      <c r="P335" s="765">
        <v>43587</v>
      </c>
      <c r="Q335" s="765">
        <v>43587</v>
      </c>
      <c r="R335" s="765">
        <v>17535.259999999998</v>
      </c>
      <c r="S335" s="765">
        <v>1.9000000000000001E-4</v>
      </c>
      <c r="T335" s="765">
        <v>3.33</v>
      </c>
      <c r="U335" s="765">
        <v>3.33</v>
      </c>
    </row>
    <row r="336" spans="9:21" x14ac:dyDescent="0.25">
      <c r="J336" s="765">
        <v>43581</v>
      </c>
      <c r="K336" s="765" t="s">
        <v>763</v>
      </c>
      <c r="L336" s="765" t="s">
        <v>787</v>
      </c>
      <c r="M336" s="765" t="s">
        <v>755</v>
      </c>
      <c r="N336" s="765" t="s">
        <v>756</v>
      </c>
      <c r="O336" s="765">
        <v>43563</v>
      </c>
      <c r="P336" s="765">
        <v>43587</v>
      </c>
      <c r="Q336" s="765">
        <v>43587</v>
      </c>
      <c r="R336" s="765">
        <v>17535.259999999998</v>
      </c>
      <c r="S336" s="765">
        <v>6.3E-5</v>
      </c>
      <c r="T336" s="765">
        <v>1.1100000000000001</v>
      </c>
      <c r="U336" s="765">
        <v>1.1100000000000001</v>
      </c>
    </row>
    <row r="337" spans="10:21" x14ac:dyDescent="0.25">
      <c r="J337" s="765">
        <v>43581</v>
      </c>
      <c r="K337" s="765" t="s">
        <v>763</v>
      </c>
      <c r="L337" s="765" t="s">
        <v>787</v>
      </c>
      <c r="M337" s="765" t="s">
        <v>755</v>
      </c>
      <c r="N337" s="765" t="s">
        <v>756</v>
      </c>
      <c r="O337" s="765">
        <v>43564</v>
      </c>
      <c r="P337" s="765">
        <v>43587</v>
      </c>
      <c r="Q337" s="765">
        <v>43587</v>
      </c>
      <c r="R337" s="765">
        <v>17535.259999999998</v>
      </c>
      <c r="S337" s="765">
        <v>6.3E-5</v>
      </c>
      <c r="T337" s="765">
        <v>1.1100000000000001</v>
      </c>
      <c r="U337" s="765">
        <v>1.1100000000000001</v>
      </c>
    </row>
    <row r="338" spans="10:21" x14ac:dyDescent="0.25">
      <c r="J338" s="765">
        <v>43581</v>
      </c>
      <c r="K338" s="765" t="s">
        <v>763</v>
      </c>
      <c r="L338" s="765" t="s">
        <v>787</v>
      </c>
      <c r="M338" s="765" t="s">
        <v>755</v>
      </c>
      <c r="N338" s="765" t="s">
        <v>756</v>
      </c>
      <c r="O338" s="765">
        <v>43565</v>
      </c>
      <c r="P338" s="765">
        <v>43587</v>
      </c>
      <c r="Q338" s="765">
        <v>43587</v>
      </c>
      <c r="R338" s="765">
        <v>17535.259999999998</v>
      </c>
      <c r="S338" s="765">
        <v>6.3E-5</v>
      </c>
      <c r="T338" s="765">
        <v>1.1100000000000001</v>
      </c>
      <c r="U338" s="765">
        <v>1.1100000000000001</v>
      </c>
    </row>
    <row r="339" spans="10:21" x14ac:dyDescent="0.25">
      <c r="J339" s="765">
        <v>43581</v>
      </c>
      <c r="K339" s="765" t="s">
        <v>763</v>
      </c>
      <c r="L339" s="765" t="s">
        <v>787</v>
      </c>
      <c r="M339" s="765" t="s">
        <v>755</v>
      </c>
      <c r="N339" s="765" t="s">
        <v>756</v>
      </c>
      <c r="O339" s="765">
        <v>43566</v>
      </c>
      <c r="P339" s="765">
        <v>43587</v>
      </c>
      <c r="Q339" s="765">
        <v>43587</v>
      </c>
      <c r="R339" s="765">
        <v>17535.259999999998</v>
      </c>
      <c r="S339" s="765">
        <v>6.3E-5</v>
      </c>
      <c r="T339" s="765">
        <v>1.1100000000000001</v>
      </c>
      <c r="U339" s="765">
        <v>1.1100000000000001</v>
      </c>
    </row>
    <row r="340" spans="10:21" x14ac:dyDescent="0.25">
      <c r="J340" s="765">
        <v>43581</v>
      </c>
      <c r="K340" s="765" t="s">
        <v>763</v>
      </c>
      <c r="L340" s="765" t="s">
        <v>787</v>
      </c>
      <c r="M340" s="765" t="s">
        <v>755</v>
      </c>
      <c r="N340" s="765" t="s">
        <v>756</v>
      </c>
      <c r="O340" s="765">
        <v>43567</v>
      </c>
      <c r="P340" s="765">
        <v>43587</v>
      </c>
      <c r="Q340" s="765">
        <v>43587</v>
      </c>
      <c r="R340" s="765">
        <v>17535.259999999998</v>
      </c>
      <c r="S340" s="765">
        <v>1.8900000000000001E-4</v>
      </c>
      <c r="T340" s="765">
        <v>3.31</v>
      </c>
      <c r="U340" s="765">
        <v>3.31</v>
      </c>
    </row>
    <row r="341" spans="10:21" x14ac:dyDescent="0.25">
      <c r="J341" s="765">
        <v>43581</v>
      </c>
      <c r="K341" s="765" t="s">
        <v>763</v>
      </c>
      <c r="L341" s="765" t="s">
        <v>787</v>
      </c>
      <c r="M341" s="765" t="s">
        <v>755</v>
      </c>
      <c r="N341" s="765" t="s">
        <v>756</v>
      </c>
      <c r="O341" s="765">
        <v>43570</v>
      </c>
      <c r="P341" s="765">
        <v>43587</v>
      </c>
      <c r="Q341" s="765">
        <v>43587</v>
      </c>
      <c r="R341" s="765">
        <v>17535.259999999998</v>
      </c>
      <c r="S341" s="765">
        <v>6.3E-5</v>
      </c>
      <c r="T341" s="765">
        <v>1.1100000000000001</v>
      </c>
      <c r="U341" s="765">
        <v>1.1100000000000001</v>
      </c>
    </row>
    <row r="342" spans="10:21" x14ac:dyDescent="0.25">
      <c r="J342" s="765">
        <v>43581</v>
      </c>
      <c r="K342" s="765" t="s">
        <v>763</v>
      </c>
      <c r="L342" s="765" t="s">
        <v>787</v>
      </c>
      <c r="M342" s="765" t="s">
        <v>755</v>
      </c>
      <c r="N342" s="765" t="s">
        <v>756</v>
      </c>
      <c r="O342" s="765">
        <v>43571</v>
      </c>
      <c r="P342" s="765">
        <v>43587</v>
      </c>
      <c r="Q342" s="765">
        <v>43587</v>
      </c>
      <c r="R342" s="765">
        <v>17535.259999999998</v>
      </c>
      <c r="S342" s="765">
        <v>6.3E-5</v>
      </c>
      <c r="T342" s="765">
        <v>1.1100000000000001</v>
      </c>
      <c r="U342" s="765">
        <v>1.1100000000000001</v>
      </c>
    </row>
    <row r="343" spans="10:21" x14ac:dyDescent="0.25">
      <c r="J343" s="765">
        <v>43581</v>
      </c>
      <c r="K343" s="765" t="s">
        <v>763</v>
      </c>
      <c r="L343" s="765" t="s">
        <v>787</v>
      </c>
      <c r="M343" s="765" t="s">
        <v>755</v>
      </c>
      <c r="N343" s="765" t="s">
        <v>756</v>
      </c>
      <c r="O343" s="765">
        <v>43572</v>
      </c>
      <c r="P343" s="765">
        <v>43587</v>
      </c>
      <c r="Q343" s="765">
        <v>43587</v>
      </c>
      <c r="R343" s="765">
        <v>17535.259999999998</v>
      </c>
      <c r="S343" s="765">
        <v>6.3999999999999997E-5</v>
      </c>
      <c r="T343" s="765">
        <v>1.1200000000000001</v>
      </c>
      <c r="U343" s="765">
        <v>1.1200000000000001</v>
      </c>
    </row>
    <row r="344" spans="10:21" x14ac:dyDescent="0.25">
      <c r="J344" s="765">
        <v>43581</v>
      </c>
      <c r="K344" s="765" t="s">
        <v>763</v>
      </c>
      <c r="L344" s="765" t="s">
        <v>787</v>
      </c>
      <c r="M344" s="765" t="s">
        <v>755</v>
      </c>
      <c r="N344" s="765" t="s">
        <v>756</v>
      </c>
      <c r="O344" s="765">
        <v>43573</v>
      </c>
      <c r="P344" s="765">
        <v>43587</v>
      </c>
      <c r="Q344" s="765">
        <v>43587</v>
      </c>
      <c r="R344" s="765">
        <v>17535.259999999998</v>
      </c>
      <c r="S344" s="765">
        <v>2.5500000000000002E-4</v>
      </c>
      <c r="T344" s="765">
        <v>4.4800000000000004</v>
      </c>
      <c r="U344" s="765">
        <v>4.4800000000000004</v>
      </c>
    </row>
    <row r="345" spans="10:21" x14ac:dyDescent="0.25">
      <c r="J345" s="765">
        <v>43581</v>
      </c>
      <c r="K345" s="765" t="s">
        <v>763</v>
      </c>
      <c r="L345" s="765" t="s">
        <v>787</v>
      </c>
      <c r="M345" s="765" t="s">
        <v>755</v>
      </c>
      <c r="N345" s="765" t="s">
        <v>756</v>
      </c>
      <c r="O345" s="765">
        <v>43577</v>
      </c>
      <c r="P345" s="765">
        <v>43587</v>
      </c>
      <c r="Q345" s="765">
        <v>43587</v>
      </c>
      <c r="R345" s="765">
        <v>17535.259999999998</v>
      </c>
      <c r="S345" s="765">
        <v>6.3E-5</v>
      </c>
      <c r="T345" s="765">
        <v>1.1000000000000001</v>
      </c>
      <c r="U345" s="765">
        <v>1.1000000000000001</v>
      </c>
    </row>
    <row r="346" spans="10:21" x14ac:dyDescent="0.25">
      <c r="J346" s="765">
        <v>43581</v>
      </c>
      <c r="K346" s="765" t="s">
        <v>763</v>
      </c>
      <c r="L346" s="765" t="s">
        <v>787</v>
      </c>
      <c r="M346" s="765" t="s">
        <v>755</v>
      </c>
      <c r="N346" s="765" t="s">
        <v>756</v>
      </c>
      <c r="O346" s="765">
        <v>43578</v>
      </c>
      <c r="P346" s="765">
        <v>43587</v>
      </c>
      <c r="Q346" s="765">
        <v>43587</v>
      </c>
      <c r="R346" s="765">
        <v>17535.259999999998</v>
      </c>
      <c r="S346" s="765">
        <v>6.3999999999999997E-5</v>
      </c>
      <c r="T346" s="765">
        <v>1.1200000000000001</v>
      </c>
      <c r="U346" s="765">
        <v>1.1200000000000001</v>
      </c>
    </row>
    <row r="347" spans="10:21" x14ac:dyDescent="0.25">
      <c r="J347" s="765">
        <v>43581</v>
      </c>
      <c r="K347" s="765" t="s">
        <v>763</v>
      </c>
      <c r="L347" s="765" t="s">
        <v>787</v>
      </c>
      <c r="M347" s="765" t="s">
        <v>755</v>
      </c>
      <c r="N347" s="765" t="s">
        <v>756</v>
      </c>
      <c r="O347" s="765">
        <v>43579</v>
      </c>
      <c r="P347" s="765">
        <v>43587</v>
      </c>
      <c r="Q347" s="765">
        <v>43587</v>
      </c>
      <c r="R347" s="765">
        <v>17535.259999999998</v>
      </c>
      <c r="S347" s="765">
        <v>6.3E-5</v>
      </c>
      <c r="T347" s="765">
        <v>1.1100000000000001</v>
      </c>
      <c r="U347" s="765">
        <v>1.1100000000000001</v>
      </c>
    </row>
    <row r="348" spans="10:21" x14ac:dyDescent="0.25">
      <c r="J348" s="765">
        <v>43581</v>
      </c>
      <c r="K348" s="765" t="s">
        <v>763</v>
      </c>
      <c r="L348" s="765" t="s">
        <v>787</v>
      </c>
      <c r="M348" s="765" t="s">
        <v>755</v>
      </c>
      <c r="N348" s="765" t="s">
        <v>756</v>
      </c>
      <c r="O348" s="765">
        <v>43580</v>
      </c>
      <c r="P348" s="765">
        <v>43587</v>
      </c>
      <c r="Q348" s="765">
        <v>43587</v>
      </c>
      <c r="R348" s="765">
        <v>17535.259999999998</v>
      </c>
      <c r="S348" s="765">
        <v>6.3E-5</v>
      </c>
      <c r="T348" s="765">
        <v>1.1000000000000001</v>
      </c>
      <c r="U348" s="765">
        <v>1.1000000000000001</v>
      </c>
    </row>
  </sheetData>
  <mergeCells count="3">
    <mergeCell ref="B2:C2"/>
    <mergeCell ref="I2:J2"/>
    <mergeCell ref="B4:C4"/>
  </mergeCells>
  <conditionalFormatting sqref="F16:F82 F13:F14 F6:F10">
    <cfRule type="cellIs" dxfId="21" priority="3" operator="notEqual">
      <formula>0</formula>
    </cfRule>
  </conditionalFormatting>
  <conditionalFormatting sqref="F15">
    <cfRule type="cellIs" dxfId="20" priority="2" operator="notEqual">
      <formula>0</formula>
    </cfRule>
  </conditionalFormatting>
  <conditionalFormatting sqref="F19:F82">
    <cfRule type="cellIs" dxfId="19" priority="1" operator="not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E141"/>
  <sheetViews>
    <sheetView zoomScale="85" zoomScaleNormal="85" workbookViewId="0">
      <selection activeCell="B33" sqref="B33"/>
    </sheetView>
  </sheetViews>
  <sheetFormatPr defaultColWidth="9.140625" defaultRowHeight="15" x14ac:dyDescent="0.25"/>
  <cols>
    <col min="1" max="1" width="32.140625" style="271" customWidth="1"/>
    <col min="2" max="2" width="33.85546875" style="271" customWidth="1"/>
    <col min="3" max="3" width="16.5703125" style="271" customWidth="1"/>
    <col min="4" max="4" width="15" style="271" bestFit="1" customWidth="1"/>
    <col min="5" max="5" width="11.85546875" style="271" customWidth="1"/>
    <col min="6" max="6" width="13.140625" style="271" customWidth="1"/>
    <col min="7" max="7" width="8.85546875" style="271" customWidth="1"/>
    <col min="8" max="8" width="12" style="271" bestFit="1" customWidth="1"/>
    <col min="9" max="9" width="12.140625" style="271" bestFit="1" customWidth="1"/>
    <col min="10" max="10" width="12.42578125" style="271" customWidth="1"/>
    <col min="11" max="11" width="13.85546875" style="271" customWidth="1"/>
    <col min="12" max="12" width="14.140625" style="271" customWidth="1"/>
    <col min="13" max="13" width="11.5703125" style="271" customWidth="1"/>
    <col min="14" max="14" width="10.85546875" style="271" customWidth="1"/>
    <col min="15" max="15" width="10.140625" style="271" customWidth="1"/>
    <col min="16" max="16" width="11.140625" style="271" customWidth="1"/>
    <col min="17" max="17" width="9.85546875" style="271" customWidth="1"/>
    <col min="18" max="18" width="10.5703125" style="271" customWidth="1"/>
    <col min="19" max="19" width="16.5703125" style="271" bestFit="1" customWidth="1"/>
    <col min="20" max="20" width="11.85546875" style="271" customWidth="1"/>
    <col min="21" max="21" width="10.140625" style="271" customWidth="1"/>
    <col min="22" max="22" width="3.5703125" style="271" customWidth="1"/>
    <col min="23" max="23" width="10.42578125" style="271" bestFit="1" customWidth="1"/>
    <col min="24" max="24" width="21.85546875" style="271" customWidth="1"/>
    <col min="25" max="25" width="14.140625" style="271" customWidth="1"/>
    <col min="26" max="26" width="14.5703125" style="271" customWidth="1"/>
    <col min="27" max="30" width="9.140625" style="271"/>
    <col min="31" max="31" width="14.140625" style="271" bestFit="1" customWidth="1"/>
    <col min="32" max="16384" width="9.140625" style="271"/>
  </cols>
  <sheetData>
    <row r="1" spans="1:27" ht="45.75" customHeight="1" thickBot="1" x14ac:dyDescent="0.3">
      <c r="A1" s="729"/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1" t="s">
        <v>413</v>
      </c>
      <c r="O1" s="730"/>
      <c r="P1" s="730"/>
      <c r="Q1" s="730"/>
      <c r="R1" s="730"/>
      <c r="S1" s="730"/>
      <c r="T1" s="730"/>
      <c r="U1" s="730"/>
      <c r="V1" s="732"/>
      <c r="W1" s="303"/>
      <c r="X1" s="303"/>
    </row>
    <row r="2" spans="1:27" ht="24.75" thickTop="1" thickBot="1" x14ac:dyDescent="0.4">
      <c r="A2" s="705" t="s">
        <v>1622</v>
      </c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725"/>
      <c r="Y2" s="271" t="s">
        <v>768</v>
      </c>
    </row>
    <row r="3" spans="1:27" ht="16.5" thickTop="1" x14ac:dyDescent="0.25">
      <c r="A3" s="385" t="s">
        <v>76</v>
      </c>
      <c r="B3" s="350">
        <f>ValDate</f>
        <v>44651</v>
      </c>
      <c r="C3" s="35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726"/>
      <c r="Y3" s="811"/>
      <c r="Z3" s="812"/>
      <c r="AA3" s="813"/>
    </row>
    <row r="4" spans="1:27" x14ac:dyDescent="0.25">
      <c r="A4" s="385" t="s">
        <v>52</v>
      </c>
      <c r="B4" s="352">
        <f>'Balance Sheet'!B7</f>
        <v>44727</v>
      </c>
      <c r="C4" s="353" t="str">
        <f>" ("&amp;ROUND(B4-B3,0)&amp;" Days)"</f>
        <v xml:space="preserve"> (76 Days)</v>
      </c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89"/>
      <c r="T4" s="341"/>
      <c r="U4" s="341"/>
      <c r="V4" s="726"/>
      <c r="W4" s="303"/>
    </row>
    <row r="5" spans="1:27" x14ac:dyDescent="0.25">
      <c r="A5" s="385" t="s">
        <v>397</v>
      </c>
      <c r="B5" s="352">
        <f>'Balance Sheet'!B6</f>
        <v>44635</v>
      </c>
      <c r="C5" s="353" t="str">
        <f>" ("&amp;ROUND(B3-B5,0)&amp;" Days Ago)"</f>
        <v xml:space="preserve"> (16 Days Ago)</v>
      </c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779"/>
      <c r="S5" s="779"/>
      <c r="T5" s="341"/>
      <c r="U5" s="341"/>
      <c r="V5" s="726"/>
      <c r="W5" s="303"/>
    </row>
    <row r="6" spans="1:27" x14ac:dyDescent="0.25">
      <c r="A6" s="706" t="s">
        <v>328</v>
      </c>
      <c r="B6" s="355" t="e">
        <f>MIN(F9:F25)</f>
        <v>#REF!</v>
      </c>
      <c r="C6" s="353"/>
      <c r="D6" s="341"/>
      <c r="E6" s="341"/>
      <c r="F6" s="341"/>
      <c r="G6" s="341"/>
      <c r="H6" s="341"/>
      <c r="I6" s="341"/>
      <c r="J6" s="596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1"/>
      <c r="V6" s="726"/>
      <c r="W6" s="303"/>
    </row>
    <row r="7" spans="1:27" ht="15.75" x14ac:dyDescent="0.25">
      <c r="A7" s="707" t="s">
        <v>1603</v>
      </c>
      <c r="B7" s="304"/>
      <c r="C7" s="356"/>
      <c r="D7" s="354"/>
      <c r="E7" s="354"/>
      <c r="F7" s="354"/>
      <c r="G7" s="354"/>
      <c r="H7" s="354"/>
      <c r="I7" s="354"/>
      <c r="J7" s="354"/>
      <c r="K7" s="354"/>
      <c r="L7" s="354"/>
      <c r="M7" s="341"/>
      <c r="N7" s="341"/>
      <c r="O7" s="341"/>
      <c r="P7" s="341"/>
      <c r="Q7" s="341"/>
      <c r="R7" s="341"/>
      <c r="S7" s="341"/>
      <c r="T7" s="341"/>
      <c r="U7" s="341"/>
      <c r="V7" s="726"/>
      <c r="W7" s="303"/>
    </row>
    <row r="8" spans="1:27" ht="15.75" thickBot="1" x14ac:dyDescent="0.3">
      <c r="A8" s="708" t="s">
        <v>342</v>
      </c>
      <c r="B8" s="274" t="s">
        <v>54</v>
      </c>
      <c r="C8" s="274" t="s">
        <v>333</v>
      </c>
      <c r="D8" s="274" t="s">
        <v>338</v>
      </c>
      <c r="E8" s="274" t="s">
        <v>213</v>
      </c>
      <c r="F8" s="274" t="s">
        <v>329</v>
      </c>
      <c r="G8" s="273" t="s">
        <v>938</v>
      </c>
      <c r="H8" s="274" t="s">
        <v>949</v>
      </c>
      <c r="I8" s="275" t="s">
        <v>1604</v>
      </c>
      <c r="J8" s="386" t="str">
        <f>'Balance Sheet'!J28</f>
        <v>1 day carry</v>
      </c>
      <c r="K8" s="386" t="str">
        <f>'Balance Sheet'!K28</f>
        <v>Acc'd to date</v>
      </c>
      <c r="L8" s="386" t="str">
        <f>'Balance Sheet'!L28</f>
        <v>Am Cost</v>
      </c>
      <c r="M8" s="385"/>
      <c r="N8" s="341"/>
      <c r="O8" s="341"/>
      <c r="P8" s="341"/>
      <c r="Q8" s="341"/>
      <c r="R8" s="341"/>
      <c r="S8" s="341"/>
      <c r="T8" s="341"/>
      <c r="U8" s="341"/>
      <c r="V8" s="726"/>
      <c r="W8" s="303"/>
    </row>
    <row r="9" spans="1:27" ht="15.75" thickTop="1" x14ac:dyDescent="0.25">
      <c r="A9" s="385" t="str">
        <f>'Balance Sheet'!A29</f>
        <v>MMT IM Term 67679</v>
      </c>
      <c r="B9" s="357" t="str">
        <f>'Balance Sheet'!B29</f>
        <v>AMHERST PIERPONT SECURITIES LLC USD</v>
      </c>
      <c r="C9" s="357" t="str">
        <f>'Balance Sheet'!C29</f>
        <v>Reverse</v>
      </c>
      <c r="D9" s="1012">
        <f>'Balance Sheet'!D29</f>
        <v>-225600037.07999998</v>
      </c>
      <c r="E9" s="352">
        <f>IF('Balance Sheet'!E29,'Balance Sheet'!E29,"")</f>
        <v>44635</v>
      </c>
      <c r="F9" s="352">
        <f>IF('Balance Sheet'!F29,'Balance Sheet'!F29,"")</f>
        <v>44729</v>
      </c>
      <c r="G9" s="1008" t="str">
        <f>'Balance Sheet'!G29</f>
        <v>USD</v>
      </c>
      <c r="H9" s="1009">
        <f>'Balance Sheet'!H29</f>
        <v>1</v>
      </c>
      <c r="I9" s="358">
        <f>IF(ABS('Balance Sheet'!I29)&lt;0.1,'Balance Sheet'!I29,NA())</f>
        <v>5.9874997555120074E-3</v>
      </c>
      <c r="J9" s="1012">
        <f>'Balance Sheet'!J29</f>
        <v>-3752.1671301666661</v>
      </c>
      <c r="K9" s="1012">
        <f>'Balance Sheet'!K29</f>
        <v>-52547.697225444441</v>
      </c>
      <c r="L9" s="1012">
        <f>'Balance Sheet'!L29</f>
        <v>-225652584.78</v>
      </c>
      <c r="M9" s="385"/>
      <c r="N9" s="387" t="s">
        <v>1606</v>
      </c>
      <c r="O9" s="387"/>
      <c r="P9" s="341"/>
      <c r="Q9" s="341"/>
      <c r="R9" s="341"/>
      <c r="S9" s="341"/>
      <c r="T9" s="341"/>
      <c r="U9" s="341"/>
      <c r="V9" s="726"/>
      <c r="W9" s="303"/>
    </row>
    <row r="10" spans="1:27" x14ac:dyDescent="0.25">
      <c r="A10" s="385" t="e">
        <f>'Balance Sheet'!#REF!</f>
        <v>#REF!</v>
      </c>
      <c r="B10" s="357" t="e">
        <f>'Balance Sheet'!#REF!</f>
        <v>#REF!</v>
      </c>
      <c r="C10" s="357" t="e">
        <f>'Balance Sheet'!#REF!</f>
        <v>#REF!</v>
      </c>
      <c r="D10" s="1012" t="e">
        <f>'Balance Sheet'!#REF!</f>
        <v>#REF!</v>
      </c>
      <c r="E10" s="352" t="e">
        <f>IF('Balance Sheet'!#REF!,'Balance Sheet'!#REF!,"")</f>
        <v>#REF!</v>
      </c>
      <c r="F10" s="352" t="e">
        <f>IF('Balance Sheet'!#REF!,'Balance Sheet'!#REF!,"")</f>
        <v>#REF!</v>
      </c>
      <c r="G10" s="1008" t="e">
        <f>'Balance Sheet'!#REF!</f>
        <v>#REF!</v>
      </c>
      <c r="H10" s="1009" t="e">
        <f>'Balance Sheet'!#REF!</f>
        <v>#REF!</v>
      </c>
      <c r="I10" s="358" t="e">
        <f>IF(ABS('Balance Sheet'!#REF!)&lt;0.1,'Balance Sheet'!#REF!,NA())</f>
        <v>#REF!</v>
      </c>
      <c r="J10" s="1012" t="e">
        <f>'Balance Sheet'!#REF!</f>
        <v>#REF!</v>
      </c>
      <c r="K10" s="1012" t="e">
        <f>'Balance Sheet'!#REF!</f>
        <v>#REF!</v>
      </c>
      <c r="L10" s="1012" t="e">
        <f>'Balance Sheet'!#REF!</f>
        <v>#REF!</v>
      </c>
      <c r="M10" s="385"/>
      <c r="N10" s="42" t="s">
        <v>1607</v>
      </c>
      <c r="O10" s="1031">
        <f>J26</f>
        <v>5665.6650522591954</v>
      </c>
      <c r="P10" s="390"/>
      <c r="Q10" s="341"/>
      <c r="R10" s="341"/>
      <c r="S10" s="341"/>
      <c r="T10" s="341"/>
      <c r="U10" s="341"/>
      <c r="V10" s="726"/>
      <c r="W10" s="303"/>
    </row>
    <row r="11" spans="1:27" ht="15.75" thickBot="1" x14ac:dyDescent="0.3">
      <c r="A11" s="385" t="str">
        <f>'Balance Sheet'!A34</f>
        <v>MMT IM Term 67722</v>
      </c>
      <c r="B11" s="357" t="str">
        <f>'Balance Sheet'!B34</f>
        <v>NATWEST MARKETS PLC EUR</v>
      </c>
      <c r="C11" s="357" t="str">
        <f>'Balance Sheet'!C34</f>
        <v>Reverse</v>
      </c>
      <c r="D11" s="1012">
        <f>'Balance Sheet'!D34</f>
        <v>-3121812.549999997</v>
      </c>
      <c r="E11" s="352">
        <f>IF('Balance Sheet'!E34,'Balance Sheet'!E34,"")</f>
        <v>44635</v>
      </c>
      <c r="F11" s="352">
        <f>IF('Balance Sheet'!F34,'Balance Sheet'!F34,"")</f>
        <v>44734</v>
      </c>
      <c r="G11" s="1008" t="str">
        <f>'Balance Sheet'!G34</f>
        <v>EUR</v>
      </c>
      <c r="H11" s="1009">
        <f>'Balance Sheet'!H34</f>
        <v>1.1065499999999999</v>
      </c>
      <c r="I11" s="358" t="e">
        <f>IF(ABS('Balance Sheet'!I34)&lt;0.1,'Balance Sheet'!I34,NA())</f>
        <v>#N/A</v>
      </c>
      <c r="J11" s="1012">
        <f>'Balance Sheet'!J34</f>
        <v>-9831.574571932777</v>
      </c>
      <c r="K11" s="1012">
        <f>'Balance Sheet'!K34</f>
        <v>-134843.61340589501</v>
      </c>
      <c r="L11" s="1012">
        <f>'Balance Sheet'!L34</f>
        <v>-3256656.16</v>
      </c>
      <c r="M11" s="385"/>
      <c r="N11" s="41" t="s">
        <v>402</v>
      </c>
      <c r="O11" s="1030">
        <f>-'Balance Sheet'!I80</f>
        <v>-2621.3003260190053</v>
      </c>
      <c r="P11" s="390"/>
      <c r="Q11" s="341"/>
      <c r="R11" s="341"/>
      <c r="S11" s="341"/>
      <c r="T11" s="341"/>
      <c r="U11" s="341"/>
      <c r="V11" s="726"/>
      <c r="W11" s="303"/>
    </row>
    <row r="12" spans="1:27" ht="15.75" thickTop="1" x14ac:dyDescent="0.25">
      <c r="A12" s="385" t="str">
        <f>'Balance Sheet'!A35</f>
        <v>XS1951177309</v>
      </c>
      <c r="B12" s="357" t="str">
        <f>'Balance Sheet'!B35</f>
        <v>Eastern Elm</v>
      </c>
      <c r="C12" s="357" t="str">
        <f>'Balance Sheet'!C35</f>
        <v>Bond</v>
      </c>
      <c r="D12" s="1012">
        <f>'Balance Sheet'!D35</f>
        <v>118886089</v>
      </c>
      <c r="E12" s="352">
        <f>IF('Balance Sheet'!E35,'Balance Sheet'!E35,"")</f>
        <v>44635</v>
      </c>
      <c r="F12" s="352">
        <f>IF('Balance Sheet'!F35,'Balance Sheet'!F35,"")</f>
        <v>44727</v>
      </c>
      <c r="G12" s="1008" t="str">
        <f>'Balance Sheet'!G35</f>
        <v>USD</v>
      </c>
      <c r="H12" s="1009">
        <f>'Balance Sheet'!H35</f>
        <v>1</v>
      </c>
      <c r="I12" s="358">
        <f>IF(ABS('Balance Sheet'!I35)&lt;0.1,'Balance Sheet'!I35,NA())</f>
        <v>3.0759999999999999E-2</v>
      </c>
      <c r="J12" s="1012">
        <f>'Balance Sheet'!J35</f>
        <v>10158.155826777776</v>
      </c>
      <c r="K12" s="1012">
        <f>'Balance Sheet'!K35</f>
        <v>162530.49</v>
      </c>
      <c r="L12" s="1012">
        <f>'Balance Sheet'!L35</f>
        <v>119048619.48999999</v>
      </c>
      <c r="M12" s="385"/>
      <c r="N12" s="391" t="s">
        <v>1608</v>
      </c>
      <c r="O12" s="1017">
        <f>O10+Yield_Estimate</f>
        <v>3044.3647262401901</v>
      </c>
      <c r="P12" s="2"/>
      <c r="Q12" s="341"/>
      <c r="R12" s="341"/>
      <c r="S12" s="341"/>
      <c r="T12" s="341"/>
      <c r="U12" s="341"/>
      <c r="V12" s="726"/>
      <c r="W12" s="303"/>
    </row>
    <row r="13" spans="1:27" x14ac:dyDescent="0.25">
      <c r="A13" s="385" t="e">
        <f>'Balance Sheet'!#REF!</f>
        <v>#REF!</v>
      </c>
      <c r="B13" s="357" t="e">
        <f>'Balance Sheet'!#REF!</f>
        <v>#REF!</v>
      </c>
      <c r="C13" s="357" t="e">
        <f>'Balance Sheet'!#REF!</f>
        <v>#REF!</v>
      </c>
      <c r="D13" s="1012" t="e">
        <f>'Balance Sheet'!#REF!</f>
        <v>#REF!</v>
      </c>
      <c r="E13" s="352" t="e">
        <f>IF('Balance Sheet'!#REF!,'Balance Sheet'!#REF!,"")</f>
        <v>#REF!</v>
      </c>
      <c r="F13" s="352" t="e">
        <f>IF('Balance Sheet'!#REF!,'Balance Sheet'!#REF!,"")</f>
        <v>#REF!</v>
      </c>
      <c r="G13" s="1008" t="e">
        <f>'Balance Sheet'!#REF!</f>
        <v>#REF!</v>
      </c>
      <c r="H13" s="1009" t="e">
        <f>'Balance Sheet'!#REF!</f>
        <v>#REF!</v>
      </c>
      <c r="I13" s="358" t="e">
        <f>IF(ABS('Balance Sheet'!#REF!)&lt;0.1,'Balance Sheet'!#REF!,NA())</f>
        <v>#REF!</v>
      </c>
      <c r="J13" s="1012" t="e">
        <f>'Balance Sheet'!#REF!</f>
        <v>#REF!</v>
      </c>
      <c r="K13" s="1012" t="e">
        <f>'Balance Sheet'!#REF!</f>
        <v>#REF!</v>
      </c>
      <c r="L13" s="1012" t="e">
        <f>'Balance Sheet'!#REF!</f>
        <v>#REF!</v>
      </c>
      <c r="M13" s="385"/>
      <c r="N13" s="341"/>
      <c r="O13" s="341"/>
      <c r="P13" s="341"/>
      <c r="Q13" s="341"/>
      <c r="R13" s="341"/>
      <c r="S13" s="341"/>
      <c r="T13" s="341"/>
      <c r="U13" s="341"/>
      <c r="V13" s="726"/>
      <c r="W13" s="303"/>
    </row>
    <row r="14" spans="1:27" x14ac:dyDescent="0.25">
      <c r="A14" s="1004" t="e">
        <f>'Balance Sheet'!#REF!</f>
        <v>#REF!</v>
      </c>
      <c r="B14" s="1005" t="e">
        <f>'Balance Sheet'!#REF!</f>
        <v>#REF!</v>
      </c>
      <c r="C14" s="1005" t="e">
        <f>'Balance Sheet'!#REF!</f>
        <v>#REF!</v>
      </c>
      <c r="D14" s="1013" t="e">
        <f>'Balance Sheet'!#REF!</f>
        <v>#REF!</v>
      </c>
      <c r="E14" s="1006" t="e">
        <f>IF('Balance Sheet'!#REF!,'Balance Sheet'!#REF!,"")</f>
        <v>#REF!</v>
      </c>
      <c r="F14" s="1006" t="e">
        <f>IF('Balance Sheet'!#REF!,'Balance Sheet'!#REF!,"")</f>
        <v>#REF!</v>
      </c>
      <c r="G14" s="1015" t="e">
        <f>'Balance Sheet'!#REF!</f>
        <v>#REF!</v>
      </c>
      <c r="H14" s="1010" t="e">
        <f>'Balance Sheet'!#REF!</f>
        <v>#REF!</v>
      </c>
      <c r="I14" s="1007" t="e">
        <f>IF(ABS('Balance Sheet'!#REF!)&lt;0.1,'Balance Sheet'!#REF!,NA())</f>
        <v>#REF!</v>
      </c>
      <c r="J14" s="1013" t="e">
        <f>'Balance Sheet'!#REF!</f>
        <v>#REF!</v>
      </c>
      <c r="K14" s="1013" t="e">
        <f>'Balance Sheet'!#REF!</f>
        <v>#REF!</v>
      </c>
      <c r="L14" s="1013" t="e">
        <f>'Balance Sheet'!#REF!</f>
        <v>#REF!</v>
      </c>
      <c r="M14" s="385"/>
      <c r="N14" s="341"/>
      <c r="O14" s="341"/>
      <c r="P14" s="341"/>
      <c r="Q14" s="341"/>
      <c r="R14" s="341"/>
      <c r="S14" s="341"/>
      <c r="T14" s="341"/>
      <c r="U14" s="341"/>
      <c r="V14" s="726"/>
      <c r="W14" s="303"/>
    </row>
    <row r="15" spans="1:27" x14ac:dyDescent="0.25">
      <c r="A15" s="385" t="str">
        <f>'Balance Sheet'!A50</f>
        <v>EASTERN ELM Facility</v>
      </c>
      <c r="B15" s="357" t="str">
        <f>'Balance Sheet'!B50</f>
        <v>NATWEST MARKETS SECURITIES Inc</v>
      </c>
      <c r="C15" s="357" t="str">
        <f>'Balance Sheet'!C50</f>
        <v>Facility</v>
      </c>
      <c r="D15" s="1012">
        <f>'Balance Sheet'!D50</f>
        <v>68613911</v>
      </c>
      <c r="E15" s="352">
        <f>IF('Balance Sheet'!E50,'Balance Sheet'!E50,"")</f>
        <v>44635</v>
      </c>
      <c r="F15" s="352">
        <f>IF('Balance Sheet'!F50,'Balance Sheet'!F50,"")</f>
        <v>44727</v>
      </c>
      <c r="G15" s="1008" t="str">
        <f>'Balance Sheet'!G50</f>
        <v>USD</v>
      </c>
      <c r="H15" s="1009">
        <f>'Balance Sheet'!H50</f>
        <v>1</v>
      </c>
      <c r="I15" s="358">
        <f>IF(ABS('Balance Sheet'!I50)&lt;0.1,'Balance Sheet'!I50,NA())</f>
        <v>2.5000000000000001E-3</v>
      </c>
      <c r="J15" s="1012">
        <f>'Balance Sheet'!J50</f>
        <v>476.48549305555554</v>
      </c>
      <c r="K15" s="1012">
        <f>'Balance Sheet'!K50</f>
        <v>7623.7678888888886</v>
      </c>
      <c r="L15" s="1012">
        <f>'Balance Sheet'!L50</f>
        <v>7623.7678888888886</v>
      </c>
      <c r="M15" s="385"/>
      <c r="N15" s="341"/>
      <c r="O15" s="341"/>
      <c r="P15" s="341"/>
      <c r="Q15" s="341"/>
      <c r="R15" s="341"/>
      <c r="S15" s="341"/>
      <c r="T15" s="341"/>
      <c r="U15" s="341"/>
      <c r="V15" s="726"/>
      <c r="W15" s="303"/>
    </row>
    <row r="16" spans="1:27" x14ac:dyDescent="0.25">
      <c r="A16" s="385" t="str">
        <f>'Balance Sheet'!A52</f>
        <v>SOUTHERN SPRUCE Facility</v>
      </c>
      <c r="B16" s="357" t="str">
        <f>'Balance Sheet'!B52</f>
        <v>NATWEST MARKETS SECURITIES Inc</v>
      </c>
      <c r="C16" s="357" t="str">
        <f>'Balance Sheet'!C52</f>
        <v>Facility</v>
      </c>
      <c r="D16" s="1012">
        <f>'Balance Sheet'!D52</f>
        <v>47230434</v>
      </c>
      <c r="E16" s="352">
        <f>IF('Balance Sheet'!E52,'Balance Sheet'!E52,"")</f>
        <v>44635</v>
      </c>
      <c r="F16" s="352">
        <f>IF('Balance Sheet'!F52,'Balance Sheet'!F52,"")</f>
        <v>44727</v>
      </c>
      <c r="G16" s="1008" t="str">
        <f>'Balance Sheet'!G52</f>
        <v>USD</v>
      </c>
      <c r="H16" s="1009">
        <f>'Balance Sheet'!H52</f>
        <v>1</v>
      </c>
      <c r="I16" s="358">
        <f>IF(ABS('Balance Sheet'!I52)&lt;0.1,'Balance Sheet'!I52,NA())</f>
        <v>1.5E-3</v>
      </c>
      <c r="J16" s="1012">
        <f>'Balance Sheet'!J52</f>
        <v>196.793475</v>
      </c>
      <c r="K16" s="1012">
        <f>'Balance Sheet'!K52</f>
        <v>3148.6956</v>
      </c>
      <c r="L16" s="1012">
        <f>'Balance Sheet'!L52</f>
        <v>3148.6956</v>
      </c>
      <c r="M16" s="385"/>
      <c r="N16" s="341"/>
      <c r="O16" s="341"/>
      <c r="P16" s="341"/>
      <c r="Q16" s="341"/>
      <c r="R16" s="341"/>
      <c r="S16" s="341"/>
      <c r="T16" s="341"/>
      <c r="U16" s="341"/>
      <c r="V16" s="726"/>
      <c r="W16" s="303"/>
    </row>
    <row r="17" spans="1:29" x14ac:dyDescent="0.25">
      <c r="A17" s="385" t="str">
        <f>'Balance Sheet'!A61</f>
        <v>EASTERN CYPRESS Facility</v>
      </c>
      <c r="B17" s="357" t="str">
        <f>'Balance Sheet'!B61</f>
        <v>NATWEST MARKETS SECURITIES Inc</v>
      </c>
      <c r="C17" s="357" t="str">
        <f>'Balance Sheet'!C61</f>
        <v>Facility</v>
      </c>
      <c r="D17" s="1012">
        <f>'Balance Sheet'!D61</f>
        <v>35600000</v>
      </c>
      <c r="E17" s="352">
        <f>IF('Balance Sheet'!E61,'Balance Sheet'!E61,"")</f>
        <v>44635</v>
      </c>
      <c r="F17" s="352">
        <f>IF('Balance Sheet'!F61,'Balance Sheet'!F61,"")</f>
        <v>44727</v>
      </c>
      <c r="G17" s="1008" t="str">
        <f>'Balance Sheet'!G61</f>
        <v>EUR</v>
      </c>
      <c r="H17" s="1009">
        <f>'Balance Sheet'!H61</f>
        <v>1.1065499999999999</v>
      </c>
      <c r="I17" s="358">
        <f>IF(ABS('Balance Sheet'!I61)&lt;0.1,'Balance Sheet'!I61,NA())</f>
        <v>1.5E-3</v>
      </c>
      <c r="J17" s="1012">
        <f>'Balance Sheet'!J61</f>
        <v>148.33333333333334</v>
      </c>
      <c r="K17" s="1012">
        <f>'Balance Sheet'!K61</f>
        <v>2373.3333333333335</v>
      </c>
      <c r="L17" s="1012">
        <f>'Balance Sheet'!L61</f>
        <v>2373.3333333333335</v>
      </c>
      <c r="M17" s="385"/>
      <c r="N17" s="341"/>
      <c r="O17" s="341"/>
      <c r="P17" s="341"/>
      <c r="Q17" s="341"/>
      <c r="R17" s="341"/>
      <c r="S17" s="341"/>
      <c r="T17" s="341"/>
      <c r="U17" s="341"/>
      <c r="V17" s="726"/>
      <c r="W17" s="303"/>
    </row>
    <row r="18" spans="1:29" x14ac:dyDescent="0.25">
      <c r="A18" s="385" t="str">
        <f>'Balance Sheet'!A62</f>
        <v>CASH USD</v>
      </c>
      <c r="B18" s="357" t="str">
        <f>'Balance Sheet'!B62</f>
        <v>US Govt</v>
      </c>
      <c r="C18" s="357" t="str">
        <f>'Balance Sheet'!C62</f>
        <v>CASH USD</v>
      </c>
      <c r="D18" s="1012">
        <f>'Balance Sheet'!D62</f>
        <v>0.04</v>
      </c>
      <c r="E18" s="352">
        <f>IF('Balance Sheet'!E62,'Balance Sheet'!E62,"")</f>
        <v>44651</v>
      </c>
      <c r="F18" s="352">
        <f>IF('Balance Sheet'!F62,'Balance Sheet'!F62,"")</f>
        <v>44651</v>
      </c>
      <c r="G18" s="1008" t="str">
        <f>'Balance Sheet'!G62</f>
        <v>USD</v>
      </c>
      <c r="H18" s="1009">
        <f>'Balance Sheet'!H62</f>
        <v>1</v>
      </c>
      <c r="I18" s="358">
        <f>IF(ABS('Balance Sheet'!I62)&lt;0.1,'Balance Sheet'!I62,NA())</f>
        <v>0</v>
      </c>
      <c r="J18" s="1012">
        <f>'Balance Sheet'!J62</f>
        <v>0</v>
      </c>
      <c r="K18" s="1012">
        <f>'Balance Sheet'!K62</f>
        <v>0</v>
      </c>
      <c r="L18" s="1012">
        <f>'Balance Sheet'!L62</f>
        <v>0.04</v>
      </c>
      <c r="M18" s="385"/>
      <c r="N18" s="341"/>
      <c r="O18" s="341"/>
      <c r="P18" s="341"/>
      <c r="Q18" s="341"/>
      <c r="R18" s="341"/>
      <c r="S18" s="341"/>
      <c r="T18" s="341"/>
      <c r="U18" s="341"/>
      <c r="V18" s="726"/>
      <c r="W18" s="303"/>
    </row>
    <row r="19" spans="1:29" x14ac:dyDescent="0.25">
      <c r="A19" s="385" t="str">
        <f>'Balance Sheet'!A63</f>
        <v>CASH EUR</v>
      </c>
      <c r="B19" s="357" t="str">
        <f>'Balance Sheet'!B63</f>
        <v>Euro Zone</v>
      </c>
      <c r="C19" s="357" t="str">
        <f>'Balance Sheet'!C63</f>
        <v>CASH EUR</v>
      </c>
      <c r="D19" s="1012">
        <f>'Balance Sheet'!D63</f>
        <v>474353.85</v>
      </c>
      <c r="E19" s="352">
        <f>IF('Balance Sheet'!E63,'Balance Sheet'!E63,"")</f>
        <v>44651</v>
      </c>
      <c r="F19" s="352">
        <f>IF('Balance Sheet'!F63,'Balance Sheet'!F63,"")</f>
        <v>44651</v>
      </c>
      <c r="G19" s="1008" t="str">
        <f>'Balance Sheet'!G63</f>
        <v>EUR</v>
      </c>
      <c r="H19" s="1009">
        <f>'Balance Sheet'!H63</f>
        <v>1.1065499999999999</v>
      </c>
      <c r="I19" s="358">
        <f>IF(ABS('Balance Sheet'!I63)&lt;0.1,'Balance Sheet'!I63,NA())</f>
        <v>0</v>
      </c>
      <c r="J19" s="1012">
        <f>'Balance Sheet'!J63</f>
        <v>0</v>
      </c>
      <c r="K19" s="1012">
        <f>'Balance Sheet'!K63</f>
        <v>0</v>
      </c>
      <c r="L19" s="1012">
        <f>'Balance Sheet'!L63</f>
        <v>474353.85</v>
      </c>
      <c r="M19" s="385"/>
      <c r="N19" s="341"/>
      <c r="O19" s="341"/>
      <c r="P19" s="341"/>
      <c r="Q19" s="341"/>
      <c r="R19" s="341"/>
      <c r="S19" s="341"/>
      <c r="T19" s="341"/>
      <c r="U19" s="341"/>
      <c r="V19" s="726"/>
      <c r="W19" s="303"/>
      <c r="X19" s="303"/>
      <c r="AC19" s="406"/>
    </row>
    <row r="20" spans="1:29" x14ac:dyDescent="0.25">
      <c r="A20" s="709" t="str">
        <f>'Balance Sheet'!A64</f>
        <v>DGCXX</v>
      </c>
      <c r="B20" s="357" t="str">
        <f>'Balance Sheet'!B64</f>
        <v>MMF</v>
      </c>
      <c r="C20" s="357" t="str">
        <f>'Balance Sheet'!C64</f>
        <v>MMF Main USD</v>
      </c>
      <c r="D20" s="1012">
        <f>'Balance Sheet'!D64</f>
        <v>188781.04000000015</v>
      </c>
      <c r="E20" s="352">
        <f>IF('Balance Sheet'!E64,'Balance Sheet'!E64,"")</f>
        <v>44651</v>
      </c>
      <c r="F20" s="352">
        <f>IF('Balance Sheet'!F64,'Balance Sheet'!F64,"")</f>
        <v>44651</v>
      </c>
      <c r="G20" s="1008" t="str">
        <f>'Balance Sheet'!G64</f>
        <v>USD</v>
      </c>
      <c r="H20" s="1009">
        <f>'Balance Sheet'!H64</f>
        <v>1</v>
      </c>
      <c r="I20" s="358">
        <f>IF(ABS('Balance Sheet'!I64)&lt;0.1,'Balance Sheet'!I64,NA())</f>
        <v>2.0648050000000003E-3</v>
      </c>
      <c r="J20" s="1012">
        <f>'Balance Sheet'!J64</f>
        <v>0.82430194834000103</v>
      </c>
      <c r="K20" s="1012">
        <f>'Balance Sheet'!K64</f>
        <v>0</v>
      </c>
      <c r="L20" s="1012">
        <f>'Balance Sheet'!L64</f>
        <v>188781.04</v>
      </c>
      <c r="M20" s="385"/>
      <c r="N20" s="341"/>
      <c r="O20" s="341"/>
      <c r="P20" s="341"/>
      <c r="Q20" s="341"/>
      <c r="R20" s="341"/>
      <c r="S20" s="341"/>
      <c r="T20" s="341"/>
      <c r="U20" s="341"/>
      <c r="V20" s="726"/>
      <c r="W20" s="303"/>
      <c r="X20" s="303"/>
      <c r="AC20" s="406"/>
    </row>
    <row r="21" spans="1:29" x14ac:dyDescent="0.25">
      <c r="A21" s="709" t="str">
        <f>'Balance Sheet'!A65</f>
        <v>EUR MMF</v>
      </c>
      <c r="B21" s="357" t="str">
        <f>'Balance Sheet'!B65</f>
        <v>MMF EUR</v>
      </c>
      <c r="C21" s="357" t="str">
        <f>'Balance Sheet'!C65</f>
        <v>MMF Main EUR</v>
      </c>
      <c r="D21" s="1012">
        <f>'Balance Sheet'!D65</f>
        <v>0</v>
      </c>
      <c r="E21" s="352">
        <f>IF('Balance Sheet'!E65,'Balance Sheet'!E65,"")</f>
        <v>44651</v>
      </c>
      <c r="F21" s="352">
        <f>IF('Balance Sheet'!F65,'Balance Sheet'!F65,"")</f>
        <v>44651</v>
      </c>
      <c r="G21" s="1008" t="str">
        <f>'Balance Sheet'!G65</f>
        <v>EUR</v>
      </c>
      <c r="H21" s="1009">
        <f>'Balance Sheet'!H65</f>
        <v>1.1065499999999999</v>
      </c>
      <c r="I21" s="359">
        <f>IF(ABS('Balance Sheet'!I65)&lt;0.1,'Balance Sheet'!I65,NA())</f>
        <v>0</v>
      </c>
      <c r="J21" s="1012">
        <f>'Balance Sheet'!J65</f>
        <v>0</v>
      </c>
      <c r="K21" s="1012">
        <f>'Balance Sheet'!K65</f>
        <v>0</v>
      </c>
      <c r="L21" s="1012">
        <f>'Balance Sheet'!L65</f>
        <v>0</v>
      </c>
      <c r="M21" s="385"/>
      <c r="N21" s="341"/>
      <c r="O21" s="341"/>
      <c r="P21" s="341"/>
      <c r="Q21" s="341"/>
      <c r="R21" s="341"/>
      <c r="S21" s="341"/>
      <c r="T21" s="341"/>
      <c r="U21" s="341"/>
      <c r="V21" s="724"/>
      <c r="W21" s="303"/>
      <c r="X21" s="600"/>
    </row>
    <row r="22" spans="1:29" x14ac:dyDescent="0.25">
      <c r="A22" s="709" t="str">
        <f>'Balance Sheet'!A66</f>
        <v>DGCXX</v>
      </c>
      <c r="B22" s="357" t="str">
        <f>'Balance Sheet'!B66</f>
        <v>MMF</v>
      </c>
      <c r="C22" s="357" t="str">
        <f>'Balance Sheet'!C66</f>
        <v>MMF Expns</v>
      </c>
      <c r="D22" s="1012">
        <f>'Balance Sheet'!D66</f>
        <v>55849.709999999977</v>
      </c>
      <c r="E22" s="352">
        <f>IF('Balance Sheet'!E66,'Balance Sheet'!E66,"")</f>
        <v>44651</v>
      </c>
      <c r="F22" s="352">
        <f>IF('Balance Sheet'!F66,'Balance Sheet'!F66,"")</f>
        <v>44651</v>
      </c>
      <c r="G22" s="1008" t="str">
        <f>'Balance Sheet'!G66</f>
        <v>USD</v>
      </c>
      <c r="H22" s="1009">
        <f>'Balance Sheet'!H66</f>
        <v>1</v>
      </c>
      <c r="I22" s="359">
        <f>IF(ABS('Balance Sheet'!I66)&lt;0.1,'Balance Sheet'!I66,NA())</f>
        <v>2.0648050000000003E-3</v>
      </c>
      <c r="J22" s="1012">
        <f>'Balance Sheet'!J66</f>
        <v>0.31594180946999989</v>
      </c>
      <c r="K22" s="1012">
        <f>'Balance Sheet'!K66</f>
        <v>0</v>
      </c>
      <c r="L22" s="1012">
        <f>'Balance Sheet'!L66</f>
        <v>55849.71</v>
      </c>
      <c r="M22" s="385"/>
      <c r="N22" s="341"/>
      <c r="O22" s="341"/>
      <c r="P22" s="341"/>
      <c r="Q22" s="341"/>
      <c r="R22" s="341"/>
      <c r="S22" s="341"/>
      <c r="T22" s="341"/>
      <c r="U22" s="341"/>
      <c r="V22" s="724"/>
      <c r="W22" s="303"/>
      <c r="X22" s="699"/>
    </row>
    <row r="23" spans="1:29" x14ac:dyDescent="0.25">
      <c r="A23" s="709" t="str">
        <f>'Balance Sheet'!A67</f>
        <v>DGCXX</v>
      </c>
      <c r="B23" s="357" t="str">
        <f>'Balance Sheet'!B67</f>
        <v>MMF</v>
      </c>
      <c r="C23" s="357" t="str">
        <f>'Balance Sheet'!C67</f>
        <v xml:space="preserve">MMF Mgmt </v>
      </c>
      <c r="D23" s="1012">
        <f>'Balance Sheet'!D67</f>
        <v>26.980000000010332</v>
      </c>
      <c r="E23" s="352">
        <f>IF('Balance Sheet'!E67,'Balance Sheet'!E67,"")</f>
        <v>44651</v>
      </c>
      <c r="F23" s="352">
        <f>IF('Balance Sheet'!F67,'Balance Sheet'!F67,"")</f>
        <v>44651</v>
      </c>
      <c r="G23" s="1008" t="str">
        <f>'Balance Sheet'!G67</f>
        <v>USD</v>
      </c>
      <c r="H23" s="1009">
        <f>'Balance Sheet'!H67</f>
        <v>1</v>
      </c>
      <c r="I23" s="359">
        <f>IF(ABS('Balance Sheet'!I67)&lt;0.1,'Balance Sheet'!I67,NA())</f>
        <v>2.0648050000000003E-3</v>
      </c>
      <c r="J23" s="1012">
        <f>'Balance Sheet'!J67</f>
        <v>1.5262586000005848E-4</v>
      </c>
      <c r="K23" s="1012">
        <f>'Balance Sheet'!K67</f>
        <v>0</v>
      </c>
      <c r="L23" s="1012">
        <f>'Balance Sheet'!L67</f>
        <v>26.98</v>
      </c>
      <c r="M23" s="385"/>
      <c r="N23" s="341"/>
      <c r="O23" s="341"/>
      <c r="P23" s="341"/>
      <c r="Q23" s="341"/>
      <c r="R23" s="341"/>
      <c r="S23" s="341"/>
      <c r="T23" s="341"/>
      <c r="U23" s="341"/>
      <c r="V23" s="724"/>
      <c r="W23" s="303"/>
      <c r="X23" s="699"/>
    </row>
    <row r="24" spans="1:29" x14ac:dyDescent="0.25">
      <c r="A24" s="709" t="str">
        <f>'Balance Sheet'!A68</f>
        <v>DGCXX</v>
      </c>
      <c r="B24" s="357" t="str">
        <f>'Balance Sheet'!B68</f>
        <v>MMF</v>
      </c>
      <c r="C24" s="357" t="str">
        <f>'Balance Sheet'!C68</f>
        <v>DVD unpaid Main</v>
      </c>
      <c r="D24" s="1012">
        <f>SUM('Balance Sheet'!D67:D70)</f>
        <v>82.030000000010318</v>
      </c>
      <c r="E24" s="352">
        <f>IF('Balance Sheet'!E68,'Balance Sheet'!E68,"")</f>
        <v>44651</v>
      </c>
      <c r="F24" s="352">
        <f>IF('Balance Sheet'!F68,'Balance Sheet'!F68,"")</f>
        <v>44651</v>
      </c>
      <c r="G24" s="1008" t="str">
        <f>'Balance Sheet'!G68</f>
        <v>USD</v>
      </c>
      <c r="H24" s="1009">
        <f>'Balance Sheet'!H68</f>
        <v>1</v>
      </c>
      <c r="I24" s="359">
        <f>IF(ABS('Balance Sheet'!I68)&lt;0.1,'Balance Sheet'!I68,NA())</f>
        <v>0</v>
      </c>
      <c r="J24" s="1012">
        <f>'Balance Sheet'!J68</f>
        <v>0</v>
      </c>
      <c r="K24" s="1012">
        <f>'Balance Sheet'!K68</f>
        <v>0</v>
      </c>
      <c r="L24" s="1012">
        <f>'Balance Sheet'!L68</f>
        <v>50.7</v>
      </c>
      <c r="M24" s="385"/>
      <c r="N24" s="341"/>
      <c r="O24" s="341"/>
      <c r="P24" s="341"/>
      <c r="Q24" s="341"/>
      <c r="R24" s="341"/>
      <c r="S24" s="341"/>
      <c r="T24" s="341"/>
      <c r="U24" s="341"/>
      <c r="V24" s="724"/>
      <c r="W24" s="303"/>
      <c r="X24" s="699"/>
    </row>
    <row r="25" spans="1:29" x14ac:dyDescent="0.25">
      <c r="A25" s="706" t="s">
        <v>1605</v>
      </c>
      <c r="B25" s="354" t="s">
        <v>1605</v>
      </c>
      <c r="C25" s="354" t="s">
        <v>1605</v>
      </c>
      <c r="D25" s="1014">
        <f>-'Balance Sheet'!I92</f>
        <v>-504315.82729016664</v>
      </c>
      <c r="E25" s="355"/>
      <c r="F25" s="355"/>
      <c r="G25" s="1016"/>
      <c r="H25" s="1011"/>
      <c r="I25" s="360"/>
      <c r="J25" s="361"/>
      <c r="K25" s="361"/>
      <c r="L25" s="1014">
        <f>D25</f>
        <v>-504315.82729016664</v>
      </c>
      <c r="M25" s="385"/>
      <c r="N25" s="341"/>
      <c r="O25" s="341"/>
      <c r="P25" s="341"/>
      <c r="Q25" s="341"/>
      <c r="R25" s="341"/>
      <c r="S25" s="341"/>
      <c r="T25" s="341"/>
      <c r="U25" s="341"/>
      <c r="V25" s="724"/>
      <c r="W25" s="303"/>
      <c r="X25" s="699"/>
    </row>
    <row r="26" spans="1:29" ht="15.75" thickBot="1" x14ac:dyDescent="0.3">
      <c r="A26" s="710"/>
      <c r="B26" s="41"/>
      <c r="C26" s="41" t="s">
        <v>73</v>
      </c>
      <c r="D26" s="363"/>
      <c r="E26" s="362"/>
      <c r="F26" s="362"/>
      <c r="G26" s="362"/>
      <c r="H26" s="362"/>
      <c r="I26" s="364"/>
      <c r="J26" s="377">
        <f>'Balance Sheet'!J72</f>
        <v>5665.6650522591954</v>
      </c>
      <c r="K26" s="377">
        <f>'Balance Sheet'!K72</f>
        <v>103521.39391869429</v>
      </c>
      <c r="L26" s="377">
        <f>'Balance Sheet'!L72+L25</f>
        <v>307880.32613661583</v>
      </c>
      <c r="M26" s="385"/>
      <c r="N26" s="341"/>
      <c r="O26" s="341"/>
      <c r="P26" s="341"/>
      <c r="Q26" s="341"/>
      <c r="R26" s="341"/>
      <c r="S26" s="341"/>
      <c r="T26" s="341"/>
      <c r="U26" s="341"/>
      <c r="V26" s="724"/>
      <c r="W26" s="303"/>
      <c r="X26" s="700"/>
    </row>
    <row r="27" spans="1:29" ht="15.75" thickTop="1" x14ac:dyDescent="0.25">
      <c r="A27" s="385"/>
      <c r="B27" s="341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  <c r="O27" s="365"/>
      <c r="P27" s="365"/>
      <c r="Q27" s="365"/>
      <c r="R27" s="365"/>
      <c r="S27" s="365"/>
      <c r="T27" s="365"/>
      <c r="U27" s="365"/>
      <c r="V27" s="727"/>
      <c r="W27" s="303"/>
      <c r="X27" s="303"/>
    </row>
    <row r="28" spans="1:29" ht="15.75" x14ac:dyDescent="0.25">
      <c r="A28" s="707" t="s">
        <v>358</v>
      </c>
      <c r="B28" s="304"/>
      <c r="C28" s="356"/>
      <c r="D28" s="354"/>
      <c r="E28" s="354"/>
      <c r="F28" s="354"/>
      <c r="G28" s="354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  <c r="S28" s="341"/>
      <c r="T28" s="341"/>
      <c r="U28" s="341"/>
      <c r="V28" s="726"/>
      <c r="W28" s="723"/>
      <c r="X28" s="478"/>
    </row>
    <row r="29" spans="1:29" ht="15.75" thickBot="1" x14ac:dyDescent="0.3">
      <c r="A29" s="711" t="s">
        <v>342</v>
      </c>
      <c r="B29" s="277" t="s">
        <v>54</v>
      </c>
      <c r="C29" s="272" t="s">
        <v>429</v>
      </c>
      <c r="D29" s="272" t="s">
        <v>321</v>
      </c>
      <c r="E29" s="272" t="s">
        <v>28</v>
      </c>
      <c r="F29" s="272" t="s">
        <v>325</v>
      </c>
      <c r="G29" s="272" t="s">
        <v>337</v>
      </c>
      <c r="H29" s="278" t="s">
        <v>338</v>
      </c>
      <c r="I29" s="278" t="s">
        <v>339</v>
      </c>
      <c r="J29" s="272" t="s">
        <v>341</v>
      </c>
      <c r="K29" s="272" t="s">
        <v>335</v>
      </c>
      <c r="L29" s="272" t="s">
        <v>336</v>
      </c>
      <c r="M29" s="272" t="s">
        <v>30</v>
      </c>
      <c r="N29" s="272" t="s">
        <v>334</v>
      </c>
      <c r="O29" s="272" t="s">
        <v>340</v>
      </c>
      <c r="P29" s="273" t="s">
        <v>487</v>
      </c>
      <c r="Q29" s="279" t="s">
        <v>350</v>
      </c>
      <c r="R29" s="341"/>
      <c r="S29" s="341"/>
      <c r="T29" s="341"/>
      <c r="U29" s="341"/>
      <c r="V29" s="726"/>
      <c r="W29" s="723"/>
      <c r="X29" s="478"/>
    </row>
    <row r="30" spans="1:29" ht="15.75" thickTop="1" x14ac:dyDescent="0.25">
      <c r="A30" s="712" t="str">
        <f>"MMT IM  "&amp;SeriesName&amp;" "&amp;'Repo Details and VaR'!A39</f>
        <v>MMT IM  Term 67679</v>
      </c>
      <c r="B30" s="746" t="str">
        <f>'Repo Details and VaR'!B39</f>
        <v>AMHERST PIERPONT SECURITIES LLC USD</v>
      </c>
      <c r="C30" s="415">
        <f>'Repo Details and VaR'!C39</f>
        <v>71.625</v>
      </c>
      <c r="D30" s="69">
        <f>'Repo Details and VaR'!D39</f>
        <v>250</v>
      </c>
      <c r="E30" s="60">
        <f>'Repo Details and VaR'!E39</f>
        <v>44635</v>
      </c>
      <c r="F30" s="60">
        <f>'Repo Details and VaR'!F39</f>
        <v>44729</v>
      </c>
      <c r="G30" s="58">
        <f>'Repo Details and VaR'!G39</f>
        <v>14</v>
      </c>
      <c r="H30" s="69">
        <f>'Repo Details and VaR'!H39</f>
        <v>-225600037.07999998</v>
      </c>
      <c r="I30" s="69">
        <f>'Repo Details and VaR'!I39</f>
        <v>-229293895.92899999</v>
      </c>
      <c r="J30" s="53">
        <f>'Repo Details and VaR'!J39</f>
        <v>1.0163734851146773</v>
      </c>
      <c r="K30" s="261">
        <f>'Repo Details and VaR'!K39</f>
        <v>2172361.1756154438</v>
      </c>
      <c r="L30" s="261">
        <f>'Repo Details and VaR'!L39</f>
        <v>339740.15564742842</v>
      </c>
      <c r="M30" s="70">
        <f>'Repo Details and VaR'!M39</f>
        <v>5.9874997555120074E-3</v>
      </c>
      <c r="N30" s="62">
        <f>'Repo Details and VaR'!N39</f>
        <v>-52547.697225444441</v>
      </c>
      <c r="O30" s="62">
        <f>'Repo Details and VaR'!P39</f>
        <v>-282950.03890177776</v>
      </c>
      <c r="P30" s="486">
        <f>1- (1-VLOOKUP(VLOOKUP(LEFT($B30,LEN($B30)-4),CtptyInfo,3,FALSE),Default_Grid,5,FALSE))^(1/12)</f>
        <v>1.6821425527395739E-3</v>
      </c>
      <c r="Q30" s="312">
        <f>VLOOKUP(LEFT(B30,LEN(B30)-4),CtptyInfo,7,FALSE)</f>
        <v>0.3</v>
      </c>
      <c r="R30" s="341"/>
      <c r="S30" s="341"/>
      <c r="T30" s="341"/>
      <c r="U30" s="341"/>
      <c r="V30" s="726"/>
      <c r="W30" s="723"/>
      <c r="X30" s="478"/>
    </row>
    <row r="31" spans="1:29" x14ac:dyDescent="0.25">
      <c r="A31" s="712" t="e">
        <f>"MMT IM  "&amp;SeriesName&amp;" "&amp;'Repo Details and VaR'!#REF!</f>
        <v>#REF!</v>
      </c>
      <c r="B31" s="746" t="e">
        <f>'Repo Details and VaR'!#REF!</f>
        <v>#REF!</v>
      </c>
      <c r="C31" s="415" t="e">
        <f>'Repo Details and VaR'!#REF!</f>
        <v>#REF!</v>
      </c>
      <c r="D31" s="69" t="e">
        <f>'Repo Details and VaR'!#REF!</f>
        <v>#REF!</v>
      </c>
      <c r="E31" s="60" t="e">
        <f>'Repo Details and VaR'!#REF!</f>
        <v>#REF!</v>
      </c>
      <c r="F31" s="60" t="e">
        <f>'Repo Details and VaR'!#REF!</f>
        <v>#REF!</v>
      </c>
      <c r="G31" s="58" t="e">
        <f>'Repo Details and VaR'!#REF!</f>
        <v>#REF!</v>
      </c>
      <c r="H31" s="69" t="e">
        <f>'Repo Details and VaR'!#REF!</f>
        <v>#REF!</v>
      </c>
      <c r="I31" s="69" t="e">
        <f>'Repo Details and VaR'!#REF!</f>
        <v>#REF!</v>
      </c>
      <c r="J31" s="53" t="e">
        <f>'Repo Details and VaR'!#REF!</f>
        <v>#REF!</v>
      </c>
      <c r="K31" s="261" t="e">
        <f>'Repo Details and VaR'!#REF!</f>
        <v>#REF!</v>
      </c>
      <c r="L31" s="261" t="e">
        <f>'Repo Details and VaR'!#REF!</f>
        <v>#REF!</v>
      </c>
      <c r="M31" s="70" t="e">
        <f>'Repo Details and VaR'!#REF!</f>
        <v>#REF!</v>
      </c>
      <c r="N31" s="62" t="e">
        <f>'Repo Details and VaR'!#REF!</f>
        <v>#REF!</v>
      </c>
      <c r="O31" s="62" t="e">
        <f>'Repo Details and VaR'!#REF!</f>
        <v>#REF!</v>
      </c>
      <c r="P31" s="486" t="e">
        <f>1- (1-VLOOKUP(VLOOKUP(LEFT($B31,LEN($B31)-4),CtptyInfo,3,FALSE),Default_Grid,5,FALSE))^(1/12)</f>
        <v>#REF!</v>
      </c>
      <c r="Q31" s="312" t="e">
        <f>VLOOKUP(LEFT(B31,LEN(B31)-4),CtptyInfo,7,FALSE)</f>
        <v>#REF!</v>
      </c>
      <c r="R31" s="341"/>
      <c r="S31" s="341"/>
      <c r="T31" s="341"/>
      <c r="U31" s="341"/>
      <c r="V31" s="726"/>
      <c r="W31" s="723"/>
      <c r="X31" s="478"/>
    </row>
    <row r="32" spans="1:29" x14ac:dyDescent="0.25">
      <c r="A32" s="1018" t="str">
        <f>"MMT IM  "&amp;SeriesName&amp;" "&amp;'Repo Details and VaR'!A45</f>
        <v>MMT IM  Term 67722</v>
      </c>
      <c r="B32" s="1019" t="str">
        <f>'Repo Details and VaR'!B45</f>
        <v>NATWEST MARKETS PLC EUR</v>
      </c>
      <c r="C32" s="420" t="str">
        <f>'Repo Details and VaR'!C45</f>
        <v>BBB+</v>
      </c>
      <c r="D32" s="976" t="e">
        <f>'Repo Details and VaR'!D45</f>
        <v>#N/A</v>
      </c>
      <c r="E32" s="427">
        <f>'Repo Details and VaR'!E45</f>
        <v>44635</v>
      </c>
      <c r="F32" s="427">
        <f>'Repo Details and VaR'!F45</f>
        <v>44734</v>
      </c>
      <c r="G32" s="149">
        <f>'Repo Details and VaR'!G45</f>
        <v>9</v>
      </c>
      <c r="H32" s="976">
        <f>'Repo Details and VaR'!H45</f>
        <v>-3121812.549999997</v>
      </c>
      <c r="I32" s="976">
        <f>'Repo Details and VaR'!I45</f>
        <v>-199839.07892785966</v>
      </c>
      <c r="J32" s="405">
        <f>'Repo Details and VaR'!J45</f>
        <v>6.401379830696749E-2</v>
      </c>
      <c r="K32" s="1020">
        <f>'Repo Details and VaR'!K45</f>
        <v>-8134001.0748705035</v>
      </c>
      <c r="L32" s="1020">
        <f>'Repo Details and VaR'!L45</f>
        <v>-3590338.489572247</v>
      </c>
      <c r="M32" s="405">
        <f>'Repo Details and VaR'!M45</f>
        <v>1.1337538014240487</v>
      </c>
      <c r="N32" s="1021">
        <f>'Repo Details and VaR'!N45</f>
        <v>-134843.61340589501</v>
      </c>
      <c r="O32" s="1021">
        <f>'Repo Details and VaR'!P45</f>
        <v>-904504.86061781563</v>
      </c>
      <c r="P32" s="1022">
        <f>1- (1-VLOOKUP(VLOOKUP(LEFT($B32,LEN($B32)-4),CtptyInfo,3,FALSE),Default_Grid,5,FALSE))^(1/12)</f>
        <v>3.3394601074221431E-4</v>
      </c>
      <c r="Q32" s="1023">
        <f>VLOOKUP(LEFT(B32,LEN(B32)-4),CtptyInfo,7,FALSE)</f>
        <v>0.3</v>
      </c>
      <c r="R32" s="341"/>
      <c r="S32" s="341"/>
      <c r="T32" s="341"/>
      <c r="U32" s="341"/>
      <c r="V32" s="726"/>
      <c r="W32" s="723"/>
      <c r="X32" s="478"/>
    </row>
    <row r="33" spans="1:24" x14ac:dyDescent="0.25">
      <c r="A33" s="712"/>
      <c r="B33" s="746"/>
      <c r="C33" s="415"/>
      <c r="D33" s="69"/>
      <c r="E33" s="60"/>
      <c r="F33" s="60"/>
      <c r="G33" s="58"/>
      <c r="H33" s="69"/>
      <c r="I33" s="69"/>
      <c r="J33" s="53"/>
      <c r="K33" s="261"/>
      <c r="L33" s="261"/>
      <c r="M33" s="70"/>
      <c r="N33" s="62"/>
      <c r="O33" s="62"/>
      <c r="P33" s="883"/>
      <c r="Q33" s="62"/>
      <c r="R33" s="1002"/>
      <c r="S33" s="1003"/>
      <c r="T33" s="341"/>
      <c r="U33" s="341"/>
      <c r="V33" s="726"/>
      <c r="W33" s="723"/>
      <c r="X33" s="478"/>
    </row>
    <row r="34" spans="1:24" x14ac:dyDescent="0.25">
      <c r="A34" s="712"/>
      <c r="B34" s="746"/>
      <c r="C34" s="415"/>
      <c r="D34" s="69"/>
      <c r="E34" s="60"/>
      <c r="F34" s="60"/>
      <c r="G34" s="58"/>
      <c r="H34" s="69"/>
      <c r="I34" s="69"/>
      <c r="J34" s="53"/>
      <c r="K34" s="261"/>
      <c r="L34" s="261"/>
      <c r="M34" s="70"/>
      <c r="N34" s="62"/>
      <c r="O34" s="62"/>
      <c r="P34" s="883"/>
      <c r="Q34" s="62"/>
      <c r="R34" s="1002"/>
      <c r="S34" s="1003"/>
      <c r="T34" s="341"/>
      <c r="U34" s="341"/>
      <c r="V34" s="726"/>
      <c r="W34" s="723"/>
      <c r="X34" s="478"/>
    </row>
    <row r="35" spans="1:24" x14ac:dyDescent="0.25">
      <c r="A35" s="712"/>
      <c r="B35" s="746"/>
      <c r="C35" s="415"/>
      <c r="D35" s="69"/>
      <c r="E35" s="60"/>
      <c r="F35" s="58"/>
      <c r="G35" s="58"/>
      <c r="H35" s="69"/>
      <c r="I35" s="69"/>
      <c r="J35" s="70"/>
      <c r="K35" s="799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726"/>
      <c r="W35" s="303"/>
      <c r="X35" s="303"/>
    </row>
    <row r="36" spans="1:24" ht="15.75" x14ac:dyDescent="0.25">
      <c r="A36" s="719" t="s">
        <v>1612</v>
      </c>
      <c r="B36" s="305"/>
      <c r="C36" s="341"/>
      <c r="D36" s="341"/>
      <c r="E36" s="307" t="s">
        <v>360</v>
      </c>
      <c r="F36" s="306"/>
      <c r="G36" s="307"/>
      <c r="H36" s="341"/>
      <c r="I36" s="341"/>
      <c r="J36" s="341"/>
      <c r="K36" s="341"/>
      <c r="L36" s="341"/>
      <c r="M36" s="341"/>
      <c r="N36" s="341"/>
      <c r="O36" s="341"/>
      <c r="P36" s="341"/>
      <c r="Q36" s="341"/>
      <c r="R36" s="341"/>
      <c r="S36" s="341"/>
      <c r="T36" s="341"/>
      <c r="U36" s="341"/>
      <c r="V36" s="726"/>
      <c r="W36" s="303"/>
      <c r="X36" s="303"/>
    </row>
    <row r="37" spans="1:24" x14ac:dyDescent="0.25">
      <c r="A37" s="385"/>
      <c r="B37" s="7" t="s">
        <v>352</v>
      </c>
      <c r="C37" s="7"/>
      <c r="D37" s="341"/>
      <c r="E37" s="295" t="s">
        <v>229</v>
      </c>
      <c r="F37" s="381">
        <f>SUMIF($B$65:$B$86,"US TREASURY N/B",$AE$65:$AE$86)</f>
        <v>0</v>
      </c>
      <c r="G37" s="380" t="e">
        <f>F37/$F$42</f>
        <v>#DIV/0!</v>
      </c>
      <c r="H37" s="341"/>
      <c r="I37" s="341"/>
      <c r="J37" s="341"/>
      <c r="K37" s="341"/>
      <c r="L37" s="341"/>
      <c r="M37" s="341"/>
      <c r="N37" s="341"/>
      <c r="O37" s="341"/>
      <c r="P37" s="341"/>
      <c r="Q37" s="341"/>
      <c r="R37" s="341"/>
      <c r="S37" s="341"/>
      <c r="T37" s="341"/>
      <c r="U37" s="341"/>
      <c r="V37" s="726"/>
      <c r="W37" s="303"/>
      <c r="X37" s="303"/>
    </row>
    <row r="38" spans="1:24" x14ac:dyDescent="0.25">
      <c r="A38" s="385" t="s">
        <v>1611</v>
      </c>
      <c r="B38" s="381">
        <f>SUMIF($C$8:$C$26,"reverse",$L$8:$L$26)</f>
        <v>-228909240.94</v>
      </c>
      <c r="C38" s="380"/>
      <c r="D38" s="341"/>
      <c r="E38" s="295" t="s">
        <v>1617</v>
      </c>
      <c r="F38" s="381">
        <f>SUMIF($B$65:$B$86,"BUNDESOBLIGATION",$AE$65:$AE$86)</f>
        <v>0</v>
      </c>
      <c r="G38" s="380" t="e">
        <f>F38/$F$42</f>
        <v>#DIV/0!</v>
      </c>
      <c r="H38" s="341"/>
      <c r="I38" s="341"/>
      <c r="J38" s="341"/>
      <c r="K38" s="341"/>
      <c r="L38" s="341"/>
      <c r="M38" s="341"/>
      <c r="N38" s="341"/>
      <c r="O38" s="341"/>
      <c r="P38" s="341"/>
      <c r="Q38" s="341"/>
      <c r="R38" s="341"/>
      <c r="S38" s="341"/>
      <c r="T38" s="341"/>
      <c r="U38" s="341"/>
      <c r="V38" s="726"/>
      <c r="W38" s="303"/>
      <c r="X38" s="303"/>
    </row>
    <row r="39" spans="1:24" x14ac:dyDescent="0.25">
      <c r="A39" s="385" t="s">
        <v>1610</v>
      </c>
      <c r="B39" s="381">
        <f>SUMIF($C$8:$C$26,"Bond",$L$8:$L$26)</f>
        <v>119048619.48999999</v>
      </c>
      <c r="C39" s="380"/>
      <c r="D39" s="341"/>
      <c r="E39" s="295" t="s">
        <v>1618</v>
      </c>
      <c r="F39" s="381">
        <f>SUMIF($C$65:$C$87,"DOMESTIC MTN",$AE$65:$AE$87)</f>
        <v>0</v>
      </c>
      <c r="G39" s="380" t="e">
        <f>F39/$F$42</f>
        <v>#DIV/0!</v>
      </c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1"/>
      <c r="V39" s="726"/>
      <c r="W39" s="303"/>
      <c r="X39" s="303"/>
    </row>
    <row r="40" spans="1:24" x14ac:dyDescent="0.25">
      <c r="A40" s="706" t="s">
        <v>353</v>
      </c>
      <c r="B40" s="340">
        <f>SUMIF($B$8:$B$26,"MMF",$L$8:$L$26)</f>
        <v>244708.43000000002</v>
      </c>
      <c r="C40" s="380"/>
      <c r="D40" s="341"/>
      <c r="E40" s="766" t="s">
        <v>1619</v>
      </c>
      <c r="F40" s="381">
        <f>SUMIF($C$65:$C$87,"EURO MTN",$AE$65:$AE$87)</f>
        <v>0</v>
      </c>
      <c r="G40" s="380" t="e">
        <f>F40/$F$42</f>
        <v>#DIV/0!</v>
      </c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1"/>
      <c r="V40" s="726"/>
      <c r="W40" s="303"/>
      <c r="X40" s="303"/>
    </row>
    <row r="41" spans="1:24" x14ac:dyDescent="0.25">
      <c r="A41" s="720" t="s">
        <v>73</v>
      </c>
      <c r="B41" s="379">
        <f>SUM(B38:B40)</f>
        <v>-109615913.02</v>
      </c>
      <c r="C41" s="380"/>
      <c r="D41" s="341"/>
      <c r="E41" s="321" t="s">
        <v>310</v>
      </c>
      <c r="F41" s="340">
        <f>SUMIF($C$65:$C$87,E41,$L$65:$L$87)</f>
        <v>0</v>
      </c>
      <c r="G41" s="382" t="e">
        <f>F41/$F$42</f>
        <v>#DIV/0!</v>
      </c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726"/>
      <c r="W41" s="303"/>
      <c r="X41" s="303"/>
    </row>
    <row r="42" spans="1:24" x14ac:dyDescent="0.25">
      <c r="A42" s="385"/>
      <c r="B42" s="341"/>
      <c r="C42" s="380"/>
      <c r="D42" s="341"/>
      <c r="E42" s="320" t="s">
        <v>356</v>
      </c>
      <c r="F42" s="383">
        <f>SUM(F37:F41)</f>
        <v>0</v>
      </c>
      <c r="G42" s="384" t="e">
        <f>SUM(G38:G41)</f>
        <v>#DIV/0!</v>
      </c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726"/>
      <c r="W42" s="303"/>
      <c r="X42" s="303"/>
    </row>
    <row r="43" spans="1:24" x14ac:dyDescent="0.25">
      <c r="A43" s="385"/>
      <c r="B43" s="341"/>
      <c r="C43" s="341"/>
      <c r="D43" s="341"/>
      <c r="E43" s="320"/>
      <c r="F43" s="320"/>
      <c r="G43" s="320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726"/>
      <c r="W43" s="303"/>
      <c r="X43" s="303"/>
    </row>
    <row r="44" spans="1:24" x14ac:dyDescent="0.25">
      <c r="A44" s="385"/>
      <c r="B44" s="341"/>
      <c r="C44" s="341"/>
      <c r="D44" s="341"/>
      <c r="E44" s="320"/>
      <c r="F44" s="320"/>
      <c r="G44" s="320"/>
      <c r="H44" s="341"/>
      <c r="I44" s="341"/>
      <c r="J44" s="341"/>
      <c r="K44" s="341"/>
      <c r="L44" s="341"/>
      <c r="M44" s="341"/>
      <c r="N44" s="341"/>
      <c r="O44" s="341"/>
      <c r="P44" s="341"/>
      <c r="Q44" s="341"/>
      <c r="R44" s="341"/>
      <c r="S44" s="341"/>
      <c r="T44" s="341"/>
      <c r="U44" s="341"/>
      <c r="V44" s="726"/>
      <c r="W44" s="303"/>
      <c r="X44" s="303"/>
    </row>
    <row r="45" spans="1:24" x14ac:dyDescent="0.25">
      <c r="A45" s="385"/>
      <c r="B45" s="341"/>
      <c r="C45" s="341"/>
      <c r="D45" s="341"/>
      <c r="E45" s="320"/>
      <c r="F45" s="320"/>
      <c r="G45" s="320"/>
      <c r="H45" s="341"/>
      <c r="I45" s="341"/>
      <c r="J45" s="341"/>
      <c r="K45" s="341"/>
      <c r="L45" s="341"/>
      <c r="M45" s="341"/>
      <c r="N45" s="341"/>
      <c r="O45" s="341"/>
      <c r="P45" s="341"/>
      <c r="Q45" s="341"/>
      <c r="R45" s="341"/>
      <c r="S45" s="341"/>
      <c r="T45" s="341"/>
      <c r="U45" s="341"/>
      <c r="V45" s="726"/>
      <c r="W45" s="303"/>
      <c r="X45" s="303"/>
    </row>
    <row r="46" spans="1:24" x14ac:dyDescent="0.25">
      <c r="A46" s="385"/>
      <c r="B46" s="341"/>
      <c r="C46" s="341"/>
      <c r="D46" s="341"/>
      <c r="E46" s="320"/>
      <c r="F46" s="320"/>
      <c r="G46" s="320"/>
      <c r="H46" s="341"/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726"/>
      <c r="W46" s="303"/>
      <c r="X46" s="303"/>
    </row>
    <row r="47" spans="1:24" x14ac:dyDescent="0.25">
      <c r="A47" s="385"/>
      <c r="B47" s="341"/>
      <c r="C47" s="341"/>
      <c r="D47" s="341"/>
      <c r="E47" s="320"/>
      <c r="F47" s="320"/>
      <c r="G47" s="320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V47" s="726"/>
      <c r="W47" s="303"/>
      <c r="X47" s="303"/>
    </row>
    <row r="48" spans="1:24" x14ac:dyDescent="0.25">
      <c r="A48" s="385"/>
      <c r="B48" s="341"/>
      <c r="C48" s="341"/>
      <c r="D48" s="341"/>
      <c r="E48" s="320"/>
      <c r="F48" s="320"/>
      <c r="G48" s="320"/>
      <c r="H48" s="341"/>
      <c r="I48" s="341"/>
      <c r="J48" s="341"/>
      <c r="K48" s="341"/>
      <c r="L48" s="341"/>
      <c r="M48" s="341"/>
      <c r="N48" s="341"/>
      <c r="O48" s="341"/>
      <c r="P48" s="341"/>
      <c r="Q48" s="341"/>
      <c r="R48" s="341"/>
      <c r="S48" s="341"/>
      <c r="T48" s="341"/>
      <c r="U48" s="341"/>
      <c r="V48" s="726"/>
      <c r="W48" s="303"/>
      <c r="X48" s="303"/>
    </row>
    <row r="49" spans="1:31" x14ac:dyDescent="0.25">
      <c r="A49" s="385"/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726"/>
      <c r="W49" s="303"/>
      <c r="X49" s="303"/>
    </row>
    <row r="50" spans="1:31" x14ac:dyDescent="0.25">
      <c r="A50" s="385"/>
      <c r="B50" s="297"/>
      <c r="C50" s="339"/>
      <c r="D50" s="6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66"/>
      <c r="R50" s="341"/>
      <c r="S50" s="341"/>
      <c r="T50" s="341"/>
      <c r="U50" s="341"/>
      <c r="V50" s="726"/>
      <c r="W50" s="303"/>
      <c r="X50" s="303"/>
    </row>
    <row r="51" spans="1:31" ht="16.5" thickBot="1" x14ac:dyDescent="0.3">
      <c r="A51" s="713" t="s">
        <v>375</v>
      </c>
      <c r="B51" s="305"/>
      <c r="C51" s="58" t="s">
        <v>631</v>
      </c>
      <c r="D51" s="341"/>
      <c r="E51" s="316" t="s">
        <v>632</v>
      </c>
      <c r="F51" s="317"/>
      <c r="G51" s="318"/>
      <c r="H51" s="58" t="s">
        <v>631</v>
      </c>
      <c r="I51" s="701"/>
      <c r="J51" s="507"/>
      <c r="K51" s="507"/>
      <c r="L51" s="507"/>
      <c r="M51" s="507" t="s">
        <v>502</v>
      </c>
      <c r="N51" s="507"/>
      <c r="O51" s="507"/>
      <c r="P51" s="507"/>
      <c r="Q51" s="507"/>
      <c r="R51" s="341"/>
      <c r="S51" s="341"/>
      <c r="T51" s="341"/>
      <c r="U51" s="341"/>
      <c r="V51" s="726"/>
      <c r="X51" s="303"/>
    </row>
    <row r="52" spans="1:31" ht="16.5" thickTop="1" thickBot="1" x14ac:dyDescent="0.3">
      <c r="A52" s="710"/>
      <c r="B52" s="362"/>
      <c r="C52" s="58" t="s">
        <v>631</v>
      </c>
      <c r="D52" s="341"/>
      <c r="E52" s="273" t="s">
        <v>50</v>
      </c>
      <c r="F52" s="272" t="s">
        <v>373</v>
      </c>
      <c r="G52" s="279" t="s">
        <v>374</v>
      </c>
      <c r="H52" s="58" t="s">
        <v>631</v>
      </c>
      <c r="I52" s="701"/>
      <c r="J52" s="397" t="s">
        <v>414</v>
      </c>
      <c r="K52" s="821" t="s">
        <v>418</v>
      </c>
      <c r="L52" s="821" t="s">
        <v>415</v>
      </c>
      <c r="M52" s="821" t="s">
        <v>416</v>
      </c>
      <c r="N52" s="821" t="s">
        <v>417</v>
      </c>
      <c r="O52" s="398" t="s">
        <v>500</v>
      </c>
      <c r="P52" s="398" t="s">
        <v>606</v>
      </c>
      <c r="Q52" s="398" t="s">
        <v>501</v>
      </c>
      <c r="R52" s="341"/>
      <c r="S52" s="341"/>
      <c r="T52" s="341"/>
      <c r="U52" s="341"/>
      <c r="V52" s="726"/>
      <c r="X52" s="303"/>
    </row>
    <row r="53" spans="1:31" ht="15.75" thickTop="1" x14ac:dyDescent="0.25">
      <c r="A53" s="721" t="s">
        <v>376</v>
      </c>
      <c r="B53" s="702">
        <v>0</v>
      </c>
      <c r="C53" s="58" t="s">
        <v>631</v>
      </c>
      <c r="D53" s="313" t="s">
        <v>406</v>
      </c>
      <c r="E53" s="421" t="e">
        <f>'Repo Curves &amp; Graphs'!E8</f>
        <v>#VALUE!</v>
      </c>
      <c r="F53" s="422" t="e">
        <f>'Repo Curves &amp; Graphs'!I8</f>
        <v>#VALUE!</v>
      </c>
      <c r="G53" s="504" t="e">
        <f t="shared" ref="G53:G60" si="0">E53-F53</f>
        <v>#VALUE!</v>
      </c>
      <c r="H53" s="58" t="s">
        <v>631</v>
      </c>
      <c r="I53" s="701"/>
      <c r="J53" s="1024" t="s">
        <v>1609</v>
      </c>
      <c r="K53" s="1025" t="str">
        <f>_xll.BDP($J53&amp;" US Equity","PX_Mid")</f>
        <v>#N/A Connection</v>
      </c>
      <c r="L53" s="1026" t="e">
        <f>_xll.BDP($J53&amp;" US Equity","CHG_PCT_1D")/100</f>
        <v>#VALUE!</v>
      </c>
      <c r="M53" s="1026" t="e">
        <f>_xll.BDP($J53&amp;" US Equity","CHG_PCT_5D")/100</f>
        <v>#VALUE!</v>
      </c>
      <c r="N53" s="1026" t="e">
        <f>_xll.BDP($J53&amp;" US Equity","CHG_PCT_1M")/100</f>
        <v>#VALUE!</v>
      </c>
      <c r="O53" s="1027" t="e">
        <f>_xll.BDP($J53&amp;" US Equity","CUR_MKT_CAP")/1000000</f>
        <v>#VALUE!</v>
      </c>
      <c r="P53" s="1027">
        <v>18381</v>
      </c>
      <c r="Q53" s="1028" t="e">
        <f>+P53/O53</f>
        <v>#VALUE!</v>
      </c>
      <c r="R53" s="341"/>
      <c r="S53" s="341"/>
      <c r="T53" s="341"/>
      <c r="U53" s="341"/>
      <c r="V53" s="726"/>
      <c r="X53" s="303"/>
    </row>
    <row r="54" spans="1:31" x14ac:dyDescent="0.25">
      <c r="A54" s="721" t="s">
        <v>377</v>
      </c>
      <c r="B54" s="702">
        <v>0</v>
      </c>
      <c r="C54" s="58" t="s">
        <v>631</v>
      </c>
      <c r="D54" s="314" t="s">
        <v>407</v>
      </c>
      <c r="E54" s="421" t="e">
        <f>'Repo Curves &amp; Graphs'!E12</f>
        <v>#VALUE!</v>
      </c>
      <c r="F54" s="422" t="e">
        <f>'Repo Curves &amp; Graphs'!I12</f>
        <v>#VALUE!</v>
      </c>
      <c r="G54" s="504" t="e">
        <f t="shared" si="0"/>
        <v>#VALUE!</v>
      </c>
      <c r="H54" s="58" t="s">
        <v>631</v>
      </c>
      <c r="I54" s="701"/>
      <c r="J54" s="341"/>
      <c r="K54" s="53"/>
      <c r="L54" s="822"/>
      <c r="M54" s="823"/>
      <c r="N54" s="823"/>
      <c r="O54" s="823"/>
      <c r="P54" s="501"/>
      <c r="Q54" s="501"/>
      <c r="R54" s="341"/>
      <c r="S54" s="341"/>
      <c r="T54" s="341"/>
      <c r="U54" s="341"/>
      <c r="V54" s="726"/>
      <c r="X54" s="303"/>
    </row>
    <row r="55" spans="1:31" x14ac:dyDescent="0.25">
      <c r="A55" s="721" t="s">
        <v>378</v>
      </c>
      <c r="B55" s="702">
        <v>0</v>
      </c>
      <c r="C55" s="58" t="s">
        <v>631</v>
      </c>
      <c r="D55" s="388" t="s">
        <v>408</v>
      </c>
      <c r="E55" s="423" t="e">
        <f>'Repo Curves &amp; Graphs'!E14</f>
        <v>#VALUE!</v>
      </c>
      <c r="F55" s="424" t="e">
        <f>'Repo Curves &amp; Graphs'!I14</f>
        <v>#VALUE!</v>
      </c>
      <c r="G55" s="505" t="e">
        <f t="shared" si="0"/>
        <v>#VALUE!</v>
      </c>
      <c r="H55" s="58" t="s">
        <v>631</v>
      </c>
      <c r="I55" s="701"/>
      <c r="J55" s="502"/>
      <c r="K55" s="502"/>
      <c r="L55" s="502"/>
      <c r="M55" s="502"/>
      <c r="N55" s="502"/>
      <c r="O55" s="502"/>
      <c r="P55" s="502"/>
      <c r="Q55" s="502"/>
      <c r="R55" s="502"/>
      <c r="S55" s="341"/>
      <c r="T55" s="341"/>
      <c r="U55" s="341"/>
      <c r="V55" s="726"/>
      <c r="X55" s="303"/>
    </row>
    <row r="56" spans="1:31" x14ac:dyDescent="0.25">
      <c r="A56" s="721" t="s">
        <v>379</v>
      </c>
      <c r="B56" s="702">
        <v>0</v>
      </c>
      <c r="C56" s="58" t="s">
        <v>631</v>
      </c>
      <c r="D56" s="314" t="s">
        <v>405</v>
      </c>
      <c r="E56" s="421" t="e">
        <f>'Repo Curves &amp; Graphs'!E17</f>
        <v>#VALUE!</v>
      </c>
      <c r="F56" s="422" t="e">
        <f>'Repo Curves &amp; Graphs'!I17</f>
        <v>#VALUE!</v>
      </c>
      <c r="G56" s="504" t="e">
        <f t="shared" si="0"/>
        <v>#VALUE!</v>
      </c>
      <c r="H56" s="58" t="s">
        <v>631</v>
      </c>
      <c r="I56" s="701"/>
      <c r="J56" s="502"/>
      <c r="K56" s="502"/>
      <c r="L56" s="502"/>
      <c r="M56" s="502"/>
      <c r="N56" s="502"/>
      <c r="O56" s="502"/>
      <c r="P56" s="502"/>
      <c r="Q56" s="502"/>
      <c r="R56" s="502"/>
      <c r="S56" s="341"/>
      <c r="T56" s="341"/>
      <c r="U56" s="341"/>
      <c r="V56" s="726"/>
      <c r="X56" s="303"/>
    </row>
    <row r="57" spans="1:31" ht="15.75" thickBot="1" x14ac:dyDescent="0.3">
      <c r="A57" s="722" t="s">
        <v>380</v>
      </c>
      <c r="B57" s="703">
        <v>0</v>
      </c>
      <c r="C57" s="58" t="s">
        <v>631</v>
      </c>
      <c r="D57" s="314" t="s">
        <v>404</v>
      </c>
      <c r="E57" s="421" t="e">
        <f>'Repo Curves &amp; Graphs'!E18</f>
        <v>#VALUE!</v>
      </c>
      <c r="F57" s="422" t="e">
        <f>'Repo Curves &amp; Graphs'!I18</f>
        <v>#VALUE!</v>
      </c>
      <c r="G57" s="504" t="e">
        <f t="shared" si="0"/>
        <v>#VALUE!</v>
      </c>
      <c r="H57" s="58" t="s">
        <v>631</v>
      </c>
      <c r="I57" s="701"/>
      <c r="J57" s="502"/>
      <c r="K57" s="502"/>
      <c r="L57" s="502"/>
      <c r="M57" s="502"/>
      <c r="N57" s="502"/>
      <c r="O57" s="502"/>
      <c r="P57" s="502"/>
      <c r="Q57" s="502"/>
      <c r="R57" s="502"/>
      <c r="S57" s="341"/>
      <c r="T57" s="341"/>
      <c r="U57" s="341"/>
      <c r="V57" s="726"/>
      <c r="X57" s="303"/>
    </row>
    <row r="58" spans="1:31" ht="15.75" thickTop="1" x14ac:dyDescent="0.25">
      <c r="A58" s="385"/>
      <c r="B58" s="385"/>
      <c r="C58" s="366"/>
      <c r="D58" s="388" t="s">
        <v>403</v>
      </c>
      <c r="E58" s="423" t="e">
        <f>'Repo Curves &amp; Graphs'!E19</f>
        <v>#VALUE!</v>
      </c>
      <c r="F58" s="424" t="e">
        <f>'Repo Curves &amp; Graphs'!I19</f>
        <v>#VALUE!</v>
      </c>
      <c r="G58" s="505" t="e">
        <f t="shared" si="0"/>
        <v>#VALUE!</v>
      </c>
      <c r="H58" s="58" t="s">
        <v>631</v>
      </c>
      <c r="I58" s="701"/>
      <c r="J58" s="701"/>
      <c r="K58" s="339"/>
      <c r="L58" s="339"/>
      <c r="M58" s="339"/>
      <c r="N58" s="339"/>
      <c r="O58" s="339"/>
      <c r="P58" s="341"/>
      <c r="Q58" s="341"/>
      <c r="R58" s="341"/>
      <c r="S58" s="341"/>
      <c r="T58" s="341"/>
      <c r="U58" s="341"/>
      <c r="V58" s="726"/>
      <c r="X58" s="303"/>
    </row>
    <row r="59" spans="1:31" x14ac:dyDescent="0.25">
      <c r="A59" s="385"/>
      <c r="B59" s="366"/>
      <c r="C59" s="58" t="s">
        <v>631</v>
      </c>
      <c r="D59" s="314" t="str">
        <f>'Repo Curves &amp; Graphs'!B15</f>
        <v>FNCL 4</v>
      </c>
      <c r="E59" s="421" t="e">
        <f>'Repo Curves &amp; Graphs'!E15</f>
        <v>#VALUE!</v>
      </c>
      <c r="F59" s="422" t="e">
        <f>'Repo Curves &amp; Graphs'!I15</f>
        <v>#VALUE!</v>
      </c>
      <c r="G59" s="504" t="e">
        <f t="shared" si="0"/>
        <v>#VALUE!</v>
      </c>
      <c r="H59" s="58" t="s">
        <v>631</v>
      </c>
      <c r="I59" s="701"/>
      <c r="J59" s="701"/>
      <c r="K59" s="339"/>
      <c r="L59" s="339"/>
      <c r="M59" s="339"/>
      <c r="N59" s="339"/>
      <c r="O59" s="339"/>
      <c r="P59" s="339"/>
      <c r="Q59" s="341"/>
      <c r="R59" s="341"/>
      <c r="S59" s="341"/>
      <c r="T59" s="341"/>
      <c r="U59" s="341"/>
      <c r="V59" s="726"/>
      <c r="X59" s="303"/>
    </row>
    <row r="60" spans="1:31" x14ac:dyDescent="0.25">
      <c r="A60" s="704" t="s">
        <v>430</v>
      </c>
      <c r="B60" s="341"/>
      <c r="C60" s="58" t="s">
        <v>631</v>
      </c>
      <c r="D60" s="315" t="str">
        <f>'Repo Curves &amp; Graphs'!B16</f>
        <v>FNCL 4.5</v>
      </c>
      <c r="E60" s="425" t="e">
        <f>'Repo Curves &amp; Graphs'!E16</f>
        <v>#VALUE!</v>
      </c>
      <c r="F60" s="426" t="e">
        <f>'Repo Curves &amp; Graphs'!I16</f>
        <v>#VALUE!</v>
      </c>
      <c r="G60" s="506" t="e">
        <f t="shared" si="0"/>
        <v>#VALUE!</v>
      </c>
      <c r="H60" s="58" t="s">
        <v>631</v>
      </c>
      <c r="I60" s="701"/>
      <c r="J60" s="701"/>
      <c r="K60" s="339"/>
      <c r="L60" s="339"/>
      <c r="M60" s="339"/>
      <c r="N60" s="339"/>
      <c r="O60" s="339"/>
      <c r="P60" s="339"/>
      <c r="Q60" s="341"/>
      <c r="R60" s="341"/>
      <c r="S60" s="341"/>
      <c r="T60" s="341"/>
      <c r="U60" s="341"/>
      <c r="V60" s="726"/>
      <c r="X60" s="303"/>
    </row>
    <row r="61" spans="1:31" x14ac:dyDescent="0.25">
      <c r="A61" s="385"/>
      <c r="B61" s="297"/>
      <c r="C61" s="58" t="s">
        <v>631</v>
      </c>
      <c r="D61" s="297"/>
      <c r="E61" s="297"/>
      <c r="F61" s="297"/>
      <c r="G61" s="297"/>
      <c r="H61" s="58" t="s">
        <v>631</v>
      </c>
      <c r="I61" s="297"/>
      <c r="J61" s="701"/>
      <c r="K61" s="339"/>
      <c r="L61" s="339"/>
      <c r="M61" s="339"/>
      <c r="N61" s="339"/>
      <c r="O61" s="339"/>
      <c r="P61" s="339"/>
      <c r="Q61" s="341"/>
      <c r="R61" s="341"/>
      <c r="S61" s="341"/>
      <c r="T61" s="341"/>
      <c r="U61" s="341"/>
      <c r="V61" s="726"/>
      <c r="X61" s="303"/>
    </row>
    <row r="62" spans="1:31" x14ac:dyDescent="0.25">
      <c r="A62" s="385"/>
      <c r="B62" s="341"/>
      <c r="C62" s="365"/>
      <c r="D62" s="365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727"/>
      <c r="W62" s="303"/>
    </row>
    <row r="63" spans="1:31" ht="15.75" x14ac:dyDescent="0.25">
      <c r="A63" s="713" t="s">
        <v>359</v>
      </c>
      <c r="B63" s="305"/>
      <c r="C63" s="366"/>
      <c r="D63" s="366"/>
      <c r="E63" s="366"/>
      <c r="F63" s="366"/>
      <c r="G63" s="366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726"/>
      <c r="W63" s="303"/>
      <c r="Z63" s="322"/>
    </row>
    <row r="64" spans="1:31" ht="15.75" thickBot="1" x14ac:dyDescent="0.3">
      <c r="A64" s="714" t="s">
        <v>23</v>
      </c>
      <c r="B64" s="309" t="s">
        <v>39</v>
      </c>
      <c r="C64" s="310" t="s">
        <v>362</v>
      </c>
      <c r="D64" s="308" t="s">
        <v>37</v>
      </c>
      <c r="E64" s="308" t="s">
        <v>309</v>
      </c>
      <c r="F64" s="308" t="s">
        <v>343</v>
      </c>
      <c r="G64" s="309" t="s">
        <v>129</v>
      </c>
      <c r="H64" s="309" t="s">
        <v>127</v>
      </c>
      <c r="I64" s="311" t="s">
        <v>344</v>
      </c>
      <c r="J64" s="309" t="s">
        <v>412</v>
      </c>
      <c r="K64" s="308" t="s">
        <v>345</v>
      </c>
      <c r="L64" s="308" t="s">
        <v>346</v>
      </c>
      <c r="M64" s="308" t="s">
        <v>347</v>
      </c>
      <c r="N64" s="308" t="s">
        <v>361</v>
      </c>
      <c r="O64" s="308" t="s">
        <v>348</v>
      </c>
      <c r="P64" s="311" t="s">
        <v>363</v>
      </c>
      <c r="Q64" s="308" t="s">
        <v>351</v>
      </c>
      <c r="R64" s="308" t="s">
        <v>422</v>
      </c>
      <c r="S64" s="308" t="s">
        <v>176</v>
      </c>
      <c r="T64" s="308" t="s">
        <v>349</v>
      </c>
      <c r="U64" s="308" t="s">
        <v>381</v>
      </c>
      <c r="V64" s="728"/>
      <c r="W64" s="303"/>
      <c r="X64" s="271" t="s">
        <v>693</v>
      </c>
      <c r="Y64" s="271" t="s">
        <v>675</v>
      </c>
      <c r="Z64" s="322" t="s">
        <v>767</v>
      </c>
      <c r="AE64" s="271" t="s">
        <v>1613</v>
      </c>
    </row>
    <row r="65" spans="1:31" ht="15.75" thickTop="1" x14ac:dyDescent="0.25">
      <c r="A65" s="715">
        <f>'Repo Details and VaR'!A50</f>
        <v>67679</v>
      </c>
      <c r="B65" s="367" t="str">
        <f>'Repo Details and VaR'!B50</f>
        <v>AMHERST PIERPONT SECURITIES LLC USD</v>
      </c>
      <c r="C65" s="354"/>
      <c r="D65" s="354"/>
      <c r="E65" s="354"/>
      <c r="F65" s="354"/>
      <c r="G65" s="354"/>
      <c r="H65" s="354"/>
      <c r="I65" s="354"/>
      <c r="J65" s="354"/>
      <c r="K65" s="354"/>
      <c r="L65" s="354"/>
      <c r="M65" s="354"/>
      <c r="N65" s="354"/>
      <c r="O65" s="354"/>
      <c r="P65" s="354"/>
      <c r="Q65" s="354"/>
      <c r="R65" s="354"/>
      <c r="S65" s="354"/>
      <c r="T65" s="354"/>
      <c r="U65" s="387"/>
      <c r="V65" s="726"/>
      <c r="W65" s="303"/>
      <c r="Z65" s="322"/>
    </row>
    <row r="66" spans="1:31" x14ac:dyDescent="0.25">
      <c r="A66" s="716" t="str">
        <f>'Repo Details and VaR'!B51</f>
        <v>9128287D6</v>
      </c>
      <c r="B66" s="368" t="str">
        <f>'Repo Details and VaR'!C51</f>
        <v>TSY INFL IX N/B</v>
      </c>
      <c r="C66" s="366" t="str">
        <f>'Repo Details and VaR'!D51</f>
        <v>US GOVERNMENT</v>
      </c>
      <c r="D66" s="60">
        <f>'Repo Details and VaR'!G51</f>
        <v>47314</v>
      </c>
      <c r="E66" s="369">
        <f>'Repo Details and VaR'!I51</f>
        <v>1.0683199999999999</v>
      </c>
      <c r="F66" s="370">
        <f>'Repo Details and VaR'!J51</f>
        <v>1</v>
      </c>
      <c r="G66" s="369">
        <f>'Repo Details and VaR'!K51</f>
        <v>2.5000000000000001E-3</v>
      </c>
      <c r="H66" s="369">
        <f>'Repo Details and VaR'!M51</f>
        <v>1.06881724</v>
      </c>
      <c r="I66" s="395">
        <f>'Repo Details and VaR'!O51</f>
        <v>0</v>
      </c>
      <c r="J66" s="339">
        <f>'Repo Details and VaR'!V51</f>
        <v>-615000</v>
      </c>
      <c r="K66" s="339">
        <f>'Repo Details and VaR'!W51</f>
        <v>-657016.79999999993</v>
      </c>
      <c r="L66" s="339">
        <f>'Repo Details and VaR'!X51</f>
        <v>-657322.60259999998</v>
      </c>
      <c r="M66" s="369">
        <f>'Repo Details and VaR'!Y51</f>
        <v>0</v>
      </c>
      <c r="N66" s="261">
        <f>'Repo Details and VaR'!AA51</f>
        <v>-657016.79999999993</v>
      </c>
      <c r="O66" s="261">
        <f>'Repo Details and VaR'!AC51</f>
        <v>-657322.60259999998</v>
      </c>
      <c r="P66" s="1032">
        <f>'Repo Details and VaR'!AJ51</f>
        <v>7.1623284899407587</v>
      </c>
      <c r="Q66" s="417" t="e">
        <f>'Repo Details and VaR'!AH51</f>
        <v>#N/A</v>
      </c>
      <c r="R66" s="403">
        <f>IF(A66="CASHUSD","",'Repo Details and VaR'!AS51-'Repo Details and VaR'!AT51)</f>
        <v>0</v>
      </c>
      <c r="S66" s="339" t="e">
        <f t="shared" ref="S66:S86" si="1">IF($Z66="CASHUSD01",10,IF(ISNA(VLOOKUP($Z66,VantageDataUSGRange,7,FALSE)),VLOOKUP($Z66,VantageDataPrimeRange,7,FALSE),VLOOKUP($Z66,VantageDataUSGRange,7,FALSE)))</f>
        <v>#N/A</v>
      </c>
      <c r="T66" s="369" t="e">
        <f t="shared" ref="T66:T86" si="2">IF($Z66="CASHUSD01",0,IF(ISNA(VLOOKUP($Z66,VantageDataUSGRange,10,FALSE)),VLOOKUP($Z66,VantageDataPrimeRange,10,FALSE),VLOOKUP($Z66,VantageDataUSGRange,10,FALSE)))</f>
        <v>#N/A</v>
      </c>
      <c r="U66" s="369" t="e">
        <f>T66*SQRT(3/365)*H66</f>
        <v>#N/A</v>
      </c>
      <c r="V66" s="728"/>
      <c r="W66" s="303"/>
      <c r="X66" s="807" t="str">
        <f t="shared" ref="X66:Y86" si="3">IF(ISNA(VLOOKUP($A66,BondData,HLOOKUP(X$64,BD_Headings,2,FALSE),FALSE)),"",VLOOKUP($A66,BondData,HLOOKUP(X$64,BD_Headings,2,FALSE),FALSE))</f>
        <v>TNOTE</v>
      </c>
      <c r="Y66" s="807" t="str">
        <f t="shared" si="3"/>
        <v>USG</v>
      </c>
      <c r="Z66" s="808" t="str">
        <f>'Repo Details and VaR'!AU51</f>
        <v>9128287D6</v>
      </c>
      <c r="AA66" s="271" t="s">
        <v>1006</v>
      </c>
      <c r="AE66" s="1029">
        <f>ABS(L66)</f>
        <v>657322.60259999998</v>
      </c>
    </row>
    <row r="67" spans="1:31" x14ac:dyDescent="0.25">
      <c r="A67" s="716" t="e">
        <f>'Repo Details and VaR'!#REF!</f>
        <v>#REF!</v>
      </c>
      <c r="B67" s="368" t="e">
        <f>'Repo Details and VaR'!#REF!</f>
        <v>#REF!</v>
      </c>
      <c r="C67" s="366" t="e">
        <f>'Repo Details and VaR'!#REF!</f>
        <v>#REF!</v>
      </c>
      <c r="D67" s="60" t="e">
        <f>'Repo Details and VaR'!#REF!</f>
        <v>#REF!</v>
      </c>
      <c r="E67" s="369" t="e">
        <f>'Repo Details and VaR'!#REF!</f>
        <v>#REF!</v>
      </c>
      <c r="F67" s="370" t="e">
        <f>'Repo Details and VaR'!#REF!</f>
        <v>#REF!</v>
      </c>
      <c r="G67" s="369" t="e">
        <f>'Repo Details and VaR'!#REF!</f>
        <v>#REF!</v>
      </c>
      <c r="H67" s="369" t="e">
        <f>'Repo Details and VaR'!#REF!</f>
        <v>#REF!</v>
      </c>
      <c r="I67" s="395" t="e">
        <f>'Repo Details and VaR'!#REF!</f>
        <v>#REF!</v>
      </c>
      <c r="J67" s="339" t="e">
        <f>'Repo Details and VaR'!#REF!</f>
        <v>#REF!</v>
      </c>
      <c r="K67" s="339" t="e">
        <f>'Repo Details and VaR'!#REF!</f>
        <v>#REF!</v>
      </c>
      <c r="L67" s="339" t="e">
        <f>'Repo Details and VaR'!#REF!</f>
        <v>#REF!</v>
      </c>
      <c r="M67" s="369" t="e">
        <f>'Repo Details and VaR'!#REF!</f>
        <v>#REF!</v>
      </c>
      <c r="N67" s="261" t="e">
        <f>'Repo Details and VaR'!#REF!</f>
        <v>#REF!</v>
      </c>
      <c r="O67" s="261" t="e">
        <f>'Repo Details and VaR'!#REF!</f>
        <v>#REF!</v>
      </c>
      <c r="P67" s="1032" t="e">
        <f>'Repo Details and VaR'!#REF!</f>
        <v>#REF!</v>
      </c>
      <c r="Q67" s="417" t="e">
        <f>'Repo Details and VaR'!#REF!</f>
        <v>#REF!</v>
      </c>
      <c r="R67" s="403" t="e">
        <f>IF(A67="CASHUSD","",'Repo Details and VaR'!#REF!-'Repo Details and VaR'!#REF!)</f>
        <v>#REF!</v>
      </c>
      <c r="S67" s="339" t="e">
        <f t="shared" si="1"/>
        <v>#REF!</v>
      </c>
      <c r="T67" s="369" t="e">
        <f t="shared" si="2"/>
        <v>#REF!</v>
      </c>
      <c r="U67" s="369" t="e">
        <f t="shared" ref="U67:U70" si="4">T67*SQRT(3/365)*H67</f>
        <v>#REF!</v>
      </c>
      <c r="V67" s="728"/>
      <c r="W67" s="303"/>
      <c r="X67" s="807" t="e">
        <f t="shared" si="3"/>
        <v>#REF!</v>
      </c>
      <c r="Y67" s="807" t="e">
        <f t="shared" si="3"/>
        <v>#REF!</v>
      </c>
      <c r="Z67" s="808" t="e">
        <f>'Repo Details and VaR'!#REF!</f>
        <v>#REF!</v>
      </c>
      <c r="AA67" s="271" t="s">
        <v>1006</v>
      </c>
      <c r="AE67" s="1029" t="e">
        <f t="shared" ref="AE67:AE86" si="5">ABS(L67)</f>
        <v>#REF!</v>
      </c>
    </row>
    <row r="68" spans="1:31" x14ac:dyDescent="0.25">
      <c r="A68" s="716" t="e">
        <f>'Repo Details and VaR'!#REF!</f>
        <v>#REF!</v>
      </c>
      <c r="B68" s="368" t="e">
        <f>'Repo Details and VaR'!#REF!</f>
        <v>#REF!</v>
      </c>
      <c r="C68" s="366" t="e">
        <f>'Repo Details and VaR'!#REF!</f>
        <v>#REF!</v>
      </c>
      <c r="D68" s="60" t="e">
        <f>'Repo Details and VaR'!#REF!</f>
        <v>#REF!</v>
      </c>
      <c r="E68" s="369" t="e">
        <f>'Repo Details and VaR'!#REF!</f>
        <v>#REF!</v>
      </c>
      <c r="F68" s="370" t="e">
        <f>'Repo Details and VaR'!#REF!</f>
        <v>#REF!</v>
      </c>
      <c r="G68" s="369" t="e">
        <f>'Repo Details and VaR'!#REF!</f>
        <v>#REF!</v>
      </c>
      <c r="H68" s="369" t="e">
        <f>'Repo Details and VaR'!#REF!</f>
        <v>#REF!</v>
      </c>
      <c r="I68" s="395" t="e">
        <f>'Repo Details and VaR'!#REF!</f>
        <v>#REF!</v>
      </c>
      <c r="J68" s="339" t="e">
        <f>'Repo Details and VaR'!#REF!</f>
        <v>#REF!</v>
      </c>
      <c r="K68" s="339" t="e">
        <f>'Repo Details and VaR'!#REF!</f>
        <v>#REF!</v>
      </c>
      <c r="L68" s="339" t="e">
        <f>'Repo Details and VaR'!#REF!</f>
        <v>#REF!</v>
      </c>
      <c r="M68" s="369" t="e">
        <f>'Repo Details and VaR'!#REF!</f>
        <v>#REF!</v>
      </c>
      <c r="N68" s="261" t="e">
        <f>'Repo Details and VaR'!#REF!</f>
        <v>#REF!</v>
      </c>
      <c r="O68" s="261" t="e">
        <f>'Repo Details and VaR'!#REF!</f>
        <v>#REF!</v>
      </c>
      <c r="P68" s="1032" t="e">
        <f>'Repo Details and VaR'!#REF!</f>
        <v>#REF!</v>
      </c>
      <c r="Q68" s="417" t="e">
        <f>'Repo Details and VaR'!#REF!</f>
        <v>#REF!</v>
      </c>
      <c r="R68" s="403" t="e">
        <f>IF(A68="CASHUSD","",'Repo Details and VaR'!#REF!-'Repo Details and VaR'!#REF!)</f>
        <v>#REF!</v>
      </c>
      <c r="S68" s="339" t="e">
        <f t="shared" si="1"/>
        <v>#REF!</v>
      </c>
      <c r="T68" s="369" t="e">
        <f t="shared" si="2"/>
        <v>#REF!</v>
      </c>
      <c r="U68" s="369" t="e">
        <f t="shared" si="4"/>
        <v>#REF!</v>
      </c>
      <c r="V68" s="728"/>
      <c r="W68" s="303"/>
      <c r="X68" s="807" t="e">
        <f t="shared" si="3"/>
        <v>#REF!</v>
      </c>
      <c r="Y68" s="807" t="e">
        <f t="shared" si="3"/>
        <v>#REF!</v>
      </c>
      <c r="Z68" s="808" t="e">
        <f>'Repo Details and VaR'!#REF!</f>
        <v>#REF!</v>
      </c>
      <c r="AA68" s="271" t="s">
        <v>1006</v>
      </c>
      <c r="AE68" s="1029" t="e">
        <f t="shared" si="5"/>
        <v>#REF!</v>
      </c>
    </row>
    <row r="69" spans="1:31" x14ac:dyDescent="0.25">
      <c r="A69" s="716" t="e">
        <f>'Repo Details and VaR'!#REF!</f>
        <v>#REF!</v>
      </c>
      <c r="B69" s="368" t="e">
        <f>'Repo Details and VaR'!#REF!</f>
        <v>#REF!</v>
      </c>
      <c r="C69" s="366" t="e">
        <f>'Repo Details and VaR'!#REF!</f>
        <v>#REF!</v>
      </c>
      <c r="D69" s="60" t="e">
        <f>'Repo Details and VaR'!#REF!</f>
        <v>#REF!</v>
      </c>
      <c r="E69" s="369" t="e">
        <f>'Repo Details and VaR'!#REF!</f>
        <v>#REF!</v>
      </c>
      <c r="F69" s="370" t="e">
        <f>'Repo Details and VaR'!#REF!</f>
        <v>#REF!</v>
      </c>
      <c r="G69" s="369" t="e">
        <f>'Repo Details and VaR'!#REF!</f>
        <v>#REF!</v>
      </c>
      <c r="H69" s="369" t="e">
        <f>'Repo Details and VaR'!#REF!</f>
        <v>#REF!</v>
      </c>
      <c r="I69" s="395" t="e">
        <f>'Repo Details and VaR'!#REF!</f>
        <v>#REF!</v>
      </c>
      <c r="J69" s="339" t="e">
        <f>'Repo Details and VaR'!#REF!</f>
        <v>#REF!</v>
      </c>
      <c r="K69" s="339" t="e">
        <f>'Repo Details and VaR'!#REF!</f>
        <v>#REF!</v>
      </c>
      <c r="L69" s="339" t="e">
        <f>'Repo Details and VaR'!#REF!</f>
        <v>#REF!</v>
      </c>
      <c r="M69" s="369" t="e">
        <f>'Repo Details and VaR'!#REF!</f>
        <v>#REF!</v>
      </c>
      <c r="N69" s="261" t="e">
        <f>'Repo Details and VaR'!#REF!</f>
        <v>#REF!</v>
      </c>
      <c r="O69" s="261" t="e">
        <f>'Repo Details and VaR'!#REF!</f>
        <v>#REF!</v>
      </c>
      <c r="P69" s="1032" t="e">
        <f>'Repo Details and VaR'!#REF!</f>
        <v>#REF!</v>
      </c>
      <c r="Q69" s="417" t="e">
        <f>'Repo Details and VaR'!#REF!</f>
        <v>#REF!</v>
      </c>
      <c r="R69" s="403" t="e">
        <f>IF(A69="CASHUSD","",'Repo Details and VaR'!#REF!-'Repo Details and VaR'!#REF!)</f>
        <v>#REF!</v>
      </c>
      <c r="S69" s="339" t="e">
        <f t="shared" si="1"/>
        <v>#REF!</v>
      </c>
      <c r="T69" s="369" t="e">
        <f t="shared" si="2"/>
        <v>#REF!</v>
      </c>
      <c r="U69" s="369" t="e">
        <f t="shared" si="4"/>
        <v>#REF!</v>
      </c>
      <c r="V69" s="728"/>
      <c r="W69" s="303"/>
      <c r="X69" s="807" t="e">
        <f t="shared" si="3"/>
        <v>#REF!</v>
      </c>
      <c r="Y69" s="807" t="e">
        <f t="shared" si="3"/>
        <v>#REF!</v>
      </c>
      <c r="Z69" s="808" t="e">
        <f>'Repo Details and VaR'!#REF!</f>
        <v>#REF!</v>
      </c>
      <c r="AA69" s="271" t="s">
        <v>1006</v>
      </c>
      <c r="AE69" s="1029" t="e">
        <f t="shared" si="5"/>
        <v>#REF!</v>
      </c>
    </row>
    <row r="70" spans="1:31" ht="15.75" thickBot="1" x14ac:dyDescent="0.3">
      <c r="A70" s="717" t="str">
        <f>'Repo Details and VaR'!B64</f>
        <v>CASHUSD01</v>
      </c>
      <c r="B70" s="373" t="str">
        <f>'Repo Details and VaR'!C64</f>
        <v>US TREASURY</v>
      </c>
      <c r="C70" s="362" t="str">
        <f>'Repo Details and VaR'!D64</f>
        <v>CASH</v>
      </c>
      <c r="D70" s="71">
        <f>'Repo Details and VaR'!G64</f>
        <v>73050</v>
      </c>
      <c r="E70" s="374">
        <f>'Repo Details and VaR'!I64</f>
        <v>1</v>
      </c>
      <c r="F70" s="375">
        <f>'Repo Details and VaR'!J64</f>
        <v>1</v>
      </c>
      <c r="G70" s="374">
        <f>'Repo Details and VaR'!K64</f>
        <v>0</v>
      </c>
      <c r="H70" s="374">
        <f>'Repo Details and VaR'!M64</f>
        <v>1</v>
      </c>
      <c r="I70" s="376">
        <f>'Repo Details and VaR'!O64</f>
        <v>0</v>
      </c>
      <c r="J70" s="377">
        <f>'Repo Details and VaR'!V64</f>
        <v>0</v>
      </c>
      <c r="K70" s="377">
        <f>'Repo Details and VaR'!W64</f>
        <v>0</v>
      </c>
      <c r="L70" s="377">
        <f>'Repo Details and VaR'!X64</f>
        <v>0</v>
      </c>
      <c r="M70" s="374">
        <f>'Repo Details and VaR'!Y64</f>
        <v>0</v>
      </c>
      <c r="N70" s="294">
        <f>'Repo Details and VaR'!AA64</f>
        <v>0</v>
      </c>
      <c r="O70" s="294">
        <f>'Repo Details and VaR'!AC64</f>
        <v>0</v>
      </c>
      <c r="P70" s="1033">
        <f>'Repo Details and VaR'!AJ64</f>
        <v>2.7397200000000002E-3</v>
      </c>
      <c r="Q70" s="419" t="e">
        <f>'Repo Details and VaR'!AH64</f>
        <v>#N/A</v>
      </c>
      <c r="R70" s="404">
        <f>IF(A70="CASHUSD","",'Repo Details and VaR'!AS64-'Repo Details and VaR'!AT64)</f>
        <v>0</v>
      </c>
      <c r="S70" s="377">
        <f t="shared" si="1"/>
        <v>10</v>
      </c>
      <c r="T70" s="374">
        <f t="shared" si="2"/>
        <v>0</v>
      </c>
      <c r="U70" s="374">
        <f t="shared" si="4"/>
        <v>0</v>
      </c>
      <c r="V70" s="728"/>
      <c r="W70" s="303"/>
      <c r="X70" s="807" t="str">
        <f t="shared" si="3"/>
        <v>CASH</v>
      </c>
      <c r="Y70" s="807" t="str">
        <f t="shared" si="3"/>
        <v>USG</v>
      </c>
      <c r="Z70" s="808" t="str">
        <f>'Repo Details and VaR'!AU64</f>
        <v>CASHUSD01</v>
      </c>
      <c r="AA70" s="271" t="s">
        <v>1006</v>
      </c>
      <c r="AE70" s="1029">
        <f t="shared" si="5"/>
        <v>0</v>
      </c>
    </row>
    <row r="71" spans="1:31" ht="15.75" thickTop="1" x14ac:dyDescent="0.25">
      <c r="A71" s="715">
        <f>'Repo Details and VaR'!A65</f>
        <v>100000</v>
      </c>
      <c r="B71" s="367" t="str">
        <f>'Repo Details and VaR'!B65</f>
        <v>DAIWA CAPITAL MARKETS EUROPE LIMITED USD</v>
      </c>
      <c r="C71" s="354"/>
      <c r="D71" s="427"/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  <c r="P71" s="420"/>
      <c r="Q71" s="420"/>
      <c r="R71" s="405"/>
      <c r="S71" s="354"/>
      <c r="T71" s="354"/>
      <c r="U71" s="354"/>
      <c r="V71" s="728"/>
      <c r="W71" s="303"/>
      <c r="X71" s="807" t="str">
        <f t="shared" si="3"/>
        <v/>
      </c>
      <c r="Y71" s="807" t="str">
        <f t="shared" si="3"/>
        <v/>
      </c>
      <c r="Z71" s="808">
        <f>'Repo Details and VaR'!AU65</f>
        <v>0</v>
      </c>
      <c r="AA71" s="271" t="s">
        <v>1006</v>
      </c>
      <c r="AE71" s="1029">
        <f t="shared" si="5"/>
        <v>0</v>
      </c>
    </row>
    <row r="72" spans="1:31" x14ac:dyDescent="0.25">
      <c r="A72" s="716" t="str">
        <f>'Repo Details and VaR'!B68</f>
        <v>CASHUSD01</v>
      </c>
      <c r="B72" s="368" t="str">
        <f>'Repo Details and VaR'!C68</f>
        <v>US TREASURY</v>
      </c>
      <c r="C72" s="366" t="str">
        <f>'Repo Details and VaR'!D68</f>
        <v>CASH</v>
      </c>
      <c r="D72" s="60">
        <f>'Repo Details and VaR'!G68</f>
        <v>73050</v>
      </c>
      <c r="E72" s="369">
        <f>'Repo Details and VaR'!I68</f>
        <v>1</v>
      </c>
      <c r="F72" s="370">
        <f>'Repo Details and VaR'!J68</f>
        <v>1</v>
      </c>
      <c r="G72" s="369">
        <f>'Repo Details and VaR'!K68</f>
        <v>0</v>
      </c>
      <c r="H72" s="369">
        <f>'Repo Details and VaR'!M68</f>
        <v>1</v>
      </c>
      <c r="I72" s="371">
        <f>'Repo Details and VaR'!O68</f>
        <v>0</v>
      </c>
      <c r="J72" s="339">
        <f>'Repo Details and VaR'!V68</f>
        <v>0</v>
      </c>
      <c r="K72" s="339">
        <f>'Repo Details and VaR'!W68</f>
        <v>0</v>
      </c>
      <c r="L72" s="339">
        <f>'Repo Details and VaR'!X68</f>
        <v>0</v>
      </c>
      <c r="M72" s="369">
        <f>'Repo Details and VaR'!Y68</f>
        <v>0</v>
      </c>
      <c r="N72" s="261">
        <f>'Repo Details and VaR'!AA68</f>
        <v>0</v>
      </c>
      <c r="O72" s="261">
        <f>'Repo Details and VaR'!AC68</f>
        <v>0</v>
      </c>
      <c r="P72" s="1034">
        <f>'Repo Details and VaR'!AJ68</f>
        <v>2.7397200000000002E-3</v>
      </c>
      <c r="Q72" s="417" t="e">
        <f>'Repo Details and VaR'!AH68</f>
        <v>#N/A</v>
      </c>
      <c r="R72" s="403">
        <f>IF(A72="CASHUSD","",'Repo Details and VaR'!AS68-'Repo Details and VaR'!AT68)</f>
        <v>0</v>
      </c>
      <c r="S72" s="339">
        <f t="shared" si="1"/>
        <v>10</v>
      </c>
      <c r="T72" s="369">
        <f t="shared" si="2"/>
        <v>0</v>
      </c>
      <c r="U72" s="369">
        <f t="shared" ref="U72" si="6">T72*SQRT(3/365)*H72</f>
        <v>0</v>
      </c>
      <c r="V72" s="728"/>
      <c r="W72" s="303"/>
      <c r="X72" s="807" t="str">
        <f t="shared" si="3"/>
        <v>CASH</v>
      </c>
      <c r="Y72" s="807" t="str">
        <f t="shared" si="3"/>
        <v>USG</v>
      </c>
      <c r="Z72" s="808" t="str">
        <f>'Repo Details and VaR'!AU68</f>
        <v>CASHUSD01</v>
      </c>
      <c r="AA72" s="271" t="s">
        <v>1006</v>
      </c>
      <c r="AE72" s="1029">
        <f t="shared" si="5"/>
        <v>0</v>
      </c>
    </row>
    <row r="73" spans="1:31" x14ac:dyDescent="0.25">
      <c r="A73" s="716" t="e">
        <f>'Repo Details and VaR'!#REF!</f>
        <v>#REF!</v>
      </c>
      <c r="B73" s="368" t="e">
        <f>'Repo Details and VaR'!#REF!</f>
        <v>#REF!</v>
      </c>
      <c r="C73" s="366" t="e">
        <f>'Repo Details and VaR'!#REF!</f>
        <v>#REF!</v>
      </c>
      <c r="D73" s="60" t="e">
        <f>'Repo Details and VaR'!#REF!</f>
        <v>#REF!</v>
      </c>
      <c r="E73" s="369" t="e">
        <f>'Repo Details and VaR'!#REF!</f>
        <v>#REF!</v>
      </c>
      <c r="F73" s="370" t="e">
        <f>'Repo Details and VaR'!#REF!</f>
        <v>#REF!</v>
      </c>
      <c r="G73" s="369" t="e">
        <f>'Repo Details and VaR'!#REF!</f>
        <v>#REF!</v>
      </c>
      <c r="H73" s="369" t="e">
        <f>'Repo Details and VaR'!#REF!</f>
        <v>#REF!</v>
      </c>
      <c r="I73" s="395" t="e">
        <f>'Repo Details and VaR'!#REF!</f>
        <v>#REF!</v>
      </c>
      <c r="J73" s="339" t="e">
        <f>'Repo Details and VaR'!#REF!</f>
        <v>#REF!</v>
      </c>
      <c r="K73" s="339" t="e">
        <f>'Repo Details and VaR'!#REF!</f>
        <v>#REF!</v>
      </c>
      <c r="L73" s="339" t="e">
        <f>'Repo Details and VaR'!#REF!</f>
        <v>#REF!</v>
      </c>
      <c r="M73" s="369" t="e">
        <f>'Repo Details and VaR'!#REF!</f>
        <v>#REF!</v>
      </c>
      <c r="N73" s="261" t="e">
        <f>'Repo Details and VaR'!#REF!</f>
        <v>#REF!</v>
      </c>
      <c r="O73" s="261" t="e">
        <f>'Repo Details and VaR'!#REF!</f>
        <v>#REF!</v>
      </c>
      <c r="P73" s="1032" t="e">
        <f>'Repo Details and VaR'!#REF!</f>
        <v>#REF!</v>
      </c>
      <c r="Q73" s="417" t="e">
        <f>'Repo Details and VaR'!#REF!</f>
        <v>#REF!</v>
      </c>
      <c r="R73" s="403" t="e">
        <f>IF(A73="CASHUSD","",'Repo Details and VaR'!#REF!-'Repo Details and VaR'!#REF!)</f>
        <v>#REF!</v>
      </c>
      <c r="S73" s="339" t="e">
        <f t="shared" si="1"/>
        <v>#REF!</v>
      </c>
      <c r="T73" s="369" t="e">
        <f t="shared" si="2"/>
        <v>#REF!</v>
      </c>
      <c r="U73" s="369" t="e">
        <f t="shared" ref="U73:U81" si="7">T73*SQRT(3/365)*H73</f>
        <v>#REF!</v>
      </c>
      <c r="V73" s="728"/>
      <c r="W73" s="303"/>
      <c r="X73" s="807" t="e">
        <f t="shared" si="3"/>
        <v>#REF!</v>
      </c>
      <c r="Y73" s="807" t="e">
        <f t="shared" si="3"/>
        <v>#REF!</v>
      </c>
      <c r="Z73" s="808" t="e">
        <f>'Repo Details and VaR'!#REF!</f>
        <v>#REF!</v>
      </c>
      <c r="AA73" s="271" t="s">
        <v>1006</v>
      </c>
      <c r="AE73" s="1029" t="e">
        <f t="shared" si="5"/>
        <v>#REF!</v>
      </c>
    </row>
    <row r="74" spans="1:31" x14ac:dyDescent="0.25">
      <c r="A74" s="716" t="e">
        <f>'Repo Details and VaR'!#REF!</f>
        <v>#REF!</v>
      </c>
      <c r="B74" s="368" t="e">
        <f>'Repo Details and VaR'!#REF!</f>
        <v>#REF!</v>
      </c>
      <c r="C74" s="366" t="e">
        <f>'Repo Details and VaR'!#REF!</f>
        <v>#REF!</v>
      </c>
      <c r="D74" s="60" t="e">
        <f>'Repo Details and VaR'!#REF!</f>
        <v>#REF!</v>
      </c>
      <c r="E74" s="369" t="e">
        <f>'Repo Details and VaR'!#REF!</f>
        <v>#REF!</v>
      </c>
      <c r="F74" s="370" t="e">
        <f>'Repo Details and VaR'!#REF!</f>
        <v>#REF!</v>
      </c>
      <c r="G74" s="369" t="e">
        <f>'Repo Details and VaR'!#REF!</f>
        <v>#REF!</v>
      </c>
      <c r="H74" s="369" t="e">
        <f>'Repo Details and VaR'!#REF!</f>
        <v>#REF!</v>
      </c>
      <c r="I74" s="395" t="e">
        <f>'Repo Details and VaR'!#REF!</f>
        <v>#REF!</v>
      </c>
      <c r="J74" s="339" t="e">
        <f>'Repo Details and VaR'!#REF!</f>
        <v>#REF!</v>
      </c>
      <c r="K74" s="339" t="e">
        <f>'Repo Details and VaR'!#REF!</f>
        <v>#REF!</v>
      </c>
      <c r="L74" s="339" t="e">
        <f>'Repo Details and VaR'!#REF!</f>
        <v>#REF!</v>
      </c>
      <c r="M74" s="369" t="e">
        <f>'Repo Details and VaR'!#REF!</f>
        <v>#REF!</v>
      </c>
      <c r="N74" s="261" t="e">
        <f>'Repo Details and VaR'!#REF!</f>
        <v>#REF!</v>
      </c>
      <c r="O74" s="261" t="e">
        <f>'Repo Details and VaR'!#REF!</f>
        <v>#REF!</v>
      </c>
      <c r="P74" s="1032" t="e">
        <f>'Repo Details and VaR'!#REF!</f>
        <v>#REF!</v>
      </c>
      <c r="Q74" s="417" t="e">
        <f>'Repo Details and VaR'!#REF!</f>
        <v>#REF!</v>
      </c>
      <c r="R74" s="403" t="e">
        <f>IF(A74="CASHUSD","",'Repo Details and VaR'!#REF!-'Repo Details and VaR'!#REF!)</f>
        <v>#REF!</v>
      </c>
      <c r="S74" s="339" t="e">
        <f t="shared" si="1"/>
        <v>#REF!</v>
      </c>
      <c r="T74" s="369" t="e">
        <f t="shared" si="2"/>
        <v>#REF!</v>
      </c>
      <c r="U74" s="369" t="e">
        <f t="shared" si="7"/>
        <v>#REF!</v>
      </c>
      <c r="V74" s="728"/>
      <c r="W74" s="303"/>
      <c r="X74" s="807" t="e">
        <f t="shared" si="3"/>
        <v>#REF!</v>
      </c>
      <c r="Y74" s="807" t="e">
        <f t="shared" si="3"/>
        <v>#REF!</v>
      </c>
      <c r="Z74" s="808" t="e">
        <f>'Repo Details and VaR'!#REF!</f>
        <v>#REF!</v>
      </c>
      <c r="AA74" s="271" t="s">
        <v>1006</v>
      </c>
      <c r="AE74" s="1029" t="e">
        <f t="shared" si="5"/>
        <v>#REF!</v>
      </c>
    </row>
    <row r="75" spans="1:31" x14ac:dyDescent="0.25">
      <c r="A75" s="716" t="e">
        <f>'Repo Details and VaR'!#REF!</f>
        <v>#REF!</v>
      </c>
      <c r="B75" s="368" t="e">
        <f>'Repo Details and VaR'!#REF!</f>
        <v>#REF!</v>
      </c>
      <c r="C75" s="366" t="e">
        <f>'Repo Details and VaR'!#REF!</f>
        <v>#REF!</v>
      </c>
      <c r="D75" s="60" t="e">
        <f>'Repo Details and VaR'!#REF!</f>
        <v>#REF!</v>
      </c>
      <c r="E75" s="369" t="e">
        <f>'Repo Details and VaR'!#REF!</f>
        <v>#REF!</v>
      </c>
      <c r="F75" s="370" t="e">
        <f>'Repo Details and VaR'!#REF!</f>
        <v>#REF!</v>
      </c>
      <c r="G75" s="369" t="e">
        <f>'Repo Details and VaR'!#REF!</f>
        <v>#REF!</v>
      </c>
      <c r="H75" s="369" t="e">
        <f>'Repo Details and VaR'!#REF!</f>
        <v>#REF!</v>
      </c>
      <c r="I75" s="395" t="e">
        <f>'Repo Details and VaR'!#REF!</f>
        <v>#REF!</v>
      </c>
      <c r="J75" s="339" t="e">
        <f>'Repo Details and VaR'!#REF!</f>
        <v>#REF!</v>
      </c>
      <c r="K75" s="339" t="e">
        <f>'Repo Details and VaR'!#REF!</f>
        <v>#REF!</v>
      </c>
      <c r="L75" s="339" t="e">
        <f>'Repo Details and VaR'!#REF!</f>
        <v>#REF!</v>
      </c>
      <c r="M75" s="369" t="e">
        <f>'Repo Details and VaR'!#REF!</f>
        <v>#REF!</v>
      </c>
      <c r="N75" s="261" t="e">
        <f>'Repo Details and VaR'!#REF!</f>
        <v>#REF!</v>
      </c>
      <c r="O75" s="261" t="e">
        <f>'Repo Details and VaR'!#REF!</f>
        <v>#REF!</v>
      </c>
      <c r="P75" s="1032" t="e">
        <f>'Repo Details and VaR'!#REF!</f>
        <v>#REF!</v>
      </c>
      <c r="Q75" s="417" t="e">
        <f>'Repo Details and VaR'!#REF!</f>
        <v>#REF!</v>
      </c>
      <c r="R75" s="403" t="e">
        <f>IF(A75="CASHUSD","",'Repo Details and VaR'!#REF!-'Repo Details and VaR'!#REF!)</f>
        <v>#REF!</v>
      </c>
      <c r="S75" s="339" t="e">
        <f t="shared" si="1"/>
        <v>#REF!</v>
      </c>
      <c r="T75" s="369" t="e">
        <f t="shared" si="2"/>
        <v>#REF!</v>
      </c>
      <c r="U75" s="369" t="e">
        <f t="shared" si="7"/>
        <v>#REF!</v>
      </c>
      <c r="V75" s="728"/>
      <c r="W75" s="303"/>
      <c r="X75" s="807" t="e">
        <f t="shared" si="3"/>
        <v>#REF!</v>
      </c>
      <c r="Y75" s="807" t="e">
        <f t="shared" si="3"/>
        <v>#REF!</v>
      </c>
      <c r="Z75" s="808" t="e">
        <f>'Repo Details and VaR'!#REF!</f>
        <v>#REF!</v>
      </c>
      <c r="AA75" s="271" t="s">
        <v>1006</v>
      </c>
      <c r="AE75" s="1029" t="e">
        <f t="shared" si="5"/>
        <v>#REF!</v>
      </c>
    </row>
    <row r="76" spans="1:31" x14ac:dyDescent="0.25">
      <c r="A76" s="716" t="e">
        <f>'Repo Details and VaR'!#REF!</f>
        <v>#REF!</v>
      </c>
      <c r="B76" s="368" t="e">
        <f>'Repo Details and VaR'!#REF!</f>
        <v>#REF!</v>
      </c>
      <c r="C76" s="366" t="e">
        <f>'Repo Details and VaR'!#REF!</f>
        <v>#REF!</v>
      </c>
      <c r="D76" s="60" t="e">
        <f>'Repo Details and VaR'!#REF!</f>
        <v>#REF!</v>
      </c>
      <c r="E76" s="369" t="e">
        <f>'Repo Details and VaR'!#REF!</f>
        <v>#REF!</v>
      </c>
      <c r="F76" s="370" t="e">
        <f>'Repo Details and VaR'!#REF!</f>
        <v>#REF!</v>
      </c>
      <c r="G76" s="369" t="e">
        <f>'Repo Details and VaR'!#REF!</f>
        <v>#REF!</v>
      </c>
      <c r="H76" s="369" t="e">
        <f>'Repo Details and VaR'!#REF!</f>
        <v>#REF!</v>
      </c>
      <c r="I76" s="395" t="e">
        <f>'Repo Details and VaR'!#REF!</f>
        <v>#REF!</v>
      </c>
      <c r="J76" s="339" t="e">
        <f>'Repo Details and VaR'!#REF!</f>
        <v>#REF!</v>
      </c>
      <c r="K76" s="339" t="e">
        <f>'Repo Details and VaR'!#REF!</f>
        <v>#REF!</v>
      </c>
      <c r="L76" s="339" t="e">
        <f>'Repo Details and VaR'!#REF!</f>
        <v>#REF!</v>
      </c>
      <c r="M76" s="369" t="e">
        <f>'Repo Details and VaR'!#REF!</f>
        <v>#REF!</v>
      </c>
      <c r="N76" s="261" t="e">
        <f>'Repo Details and VaR'!#REF!</f>
        <v>#REF!</v>
      </c>
      <c r="O76" s="261" t="e">
        <f>'Repo Details and VaR'!#REF!</f>
        <v>#REF!</v>
      </c>
      <c r="P76" s="1032" t="e">
        <f>'Repo Details and VaR'!#REF!</f>
        <v>#REF!</v>
      </c>
      <c r="Q76" s="417" t="e">
        <f>'Repo Details and VaR'!#REF!</f>
        <v>#REF!</v>
      </c>
      <c r="R76" s="403" t="e">
        <f>IF(A76="CASHUSD","",'Repo Details and VaR'!#REF!-'Repo Details and VaR'!#REF!)</f>
        <v>#REF!</v>
      </c>
      <c r="S76" s="339" t="e">
        <f t="shared" si="1"/>
        <v>#REF!</v>
      </c>
      <c r="T76" s="369" t="e">
        <f t="shared" si="2"/>
        <v>#REF!</v>
      </c>
      <c r="U76" s="369" t="e">
        <f t="shared" si="7"/>
        <v>#REF!</v>
      </c>
      <c r="V76" s="728"/>
      <c r="W76" s="303"/>
      <c r="X76" s="807" t="e">
        <f t="shared" si="3"/>
        <v>#REF!</v>
      </c>
      <c r="Y76" s="807" t="e">
        <f t="shared" si="3"/>
        <v>#REF!</v>
      </c>
      <c r="Z76" s="808" t="e">
        <f>'Repo Details and VaR'!#REF!</f>
        <v>#REF!</v>
      </c>
      <c r="AA76" s="271" t="s">
        <v>1006</v>
      </c>
      <c r="AE76" s="1029" t="e">
        <f t="shared" si="5"/>
        <v>#REF!</v>
      </c>
    </row>
    <row r="77" spans="1:31" x14ac:dyDescent="0.25">
      <c r="A77" s="716" t="e">
        <f>'Repo Details and VaR'!#REF!</f>
        <v>#REF!</v>
      </c>
      <c r="B77" s="368" t="e">
        <f>'Repo Details and VaR'!#REF!</f>
        <v>#REF!</v>
      </c>
      <c r="C77" s="366" t="e">
        <f>'Repo Details and VaR'!#REF!</f>
        <v>#REF!</v>
      </c>
      <c r="D77" s="60" t="e">
        <f>'Repo Details and VaR'!#REF!</f>
        <v>#REF!</v>
      </c>
      <c r="E77" s="369" t="e">
        <f>'Repo Details and VaR'!#REF!</f>
        <v>#REF!</v>
      </c>
      <c r="F77" s="370" t="e">
        <f>'Repo Details and VaR'!#REF!</f>
        <v>#REF!</v>
      </c>
      <c r="G77" s="369" t="e">
        <f>'Repo Details and VaR'!#REF!</f>
        <v>#REF!</v>
      </c>
      <c r="H77" s="369" t="e">
        <f>'Repo Details and VaR'!#REF!</f>
        <v>#REF!</v>
      </c>
      <c r="I77" s="395" t="e">
        <f>'Repo Details and VaR'!#REF!</f>
        <v>#REF!</v>
      </c>
      <c r="J77" s="339" t="e">
        <f>'Repo Details and VaR'!#REF!</f>
        <v>#REF!</v>
      </c>
      <c r="K77" s="339" t="e">
        <f>'Repo Details and VaR'!#REF!</f>
        <v>#REF!</v>
      </c>
      <c r="L77" s="339" t="e">
        <f>'Repo Details and VaR'!#REF!</f>
        <v>#REF!</v>
      </c>
      <c r="M77" s="369" t="e">
        <f>'Repo Details and VaR'!#REF!</f>
        <v>#REF!</v>
      </c>
      <c r="N77" s="261" t="e">
        <f>'Repo Details and VaR'!#REF!</f>
        <v>#REF!</v>
      </c>
      <c r="O77" s="261" t="e">
        <f>'Repo Details and VaR'!#REF!</f>
        <v>#REF!</v>
      </c>
      <c r="P77" s="1032" t="e">
        <f>'Repo Details and VaR'!#REF!</f>
        <v>#REF!</v>
      </c>
      <c r="Q77" s="417" t="e">
        <f>'Repo Details and VaR'!#REF!</f>
        <v>#REF!</v>
      </c>
      <c r="R77" s="403" t="e">
        <f>IF(A77="CASHUSD","",'Repo Details and VaR'!#REF!-'Repo Details and VaR'!#REF!)</f>
        <v>#REF!</v>
      </c>
      <c r="S77" s="339" t="e">
        <f t="shared" si="1"/>
        <v>#REF!</v>
      </c>
      <c r="T77" s="369" t="e">
        <f t="shared" si="2"/>
        <v>#REF!</v>
      </c>
      <c r="U77" s="369" t="e">
        <f t="shared" si="7"/>
        <v>#REF!</v>
      </c>
      <c r="V77" s="728"/>
      <c r="W77" s="303"/>
      <c r="X77" s="807" t="e">
        <f t="shared" si="3"/>
        <v>#REF!</v>
      </c>
      <c r="Y77" s="807" t="e">
        <f t="shared" si="3"/>
        <v>#REF!</v>
      </c>
      <c r="Z77" s="808" t="e">
        <f>'Repo Details and VaR'!#REF!</f>
        <v>#REF!</v>
      </c>
      <c r="AA77" s="271" t="s">
        <v>1006</v>
      </c>
      <c r="AE77" s="1029" t="e">
        <f t="shared" si="5"/>
        <v>#REF!</v>
      </c>
    </row>
    <row r="78" spans="1:31" x14ac:dyDescent="0.25">
      <c r="A78" s="716" t="e">
        <f>'Repo Details and VaR'!#REF!</f>
        <v>#REF!</v>
      </c>
      <c r="B78" s="368" t="e">
        <f>'Repo Details and VaR'!#REF!</f>
        <v>#REF!</v>
      </c>
      <c r="C78" s="366" t="e">
        <f>'Repo Details and VaR'!#REF!</f>
        <v>#REF!</v>
      </c>
      <c r="D78" s="60" t="e">
        <f>'Repo Details and VaR'!#REF!</f>
        <v>#REF!</v>
      </c>
      <c r="E78" s="369" t="e">
        <f>'Repo Details and VaR'!#REF!</f>
        <v>#REF!</v>
      </c>
      <c r="F78" s="370" t="e">
        <f>'Repo Details and VaR'!#REF!</f>
        <v>#REF!</v>
      </c>
      <c r="G78" s="369" t="e">
        <f>'Repo Details and VaR'!#REF!</f>
        <v>#REF!</v>
      </c>
      <c r="H78" s="369" t="e">
        <f>'Repo Details and VaR'!#REF!</f>
        <v>#REF!</v>
      </c>
      <c r="I78" s="395" t="e">
        <f>'Repo Details and VaR'!#REF!</f>
        <v>#REF!</v>
      </c>
      <c r="J78" s="339" t="e">
        <f>'Repo Details and VaR'!#REF!</f>
        <v>#REF!</v>
      </c>
      <c r="K78" s="339" t="e">
        <f>'Repo Details and VaR'!#REF!</f>
        <v>#REF!</v>
      </c>
      <c r="L78" s="339" t="e">
        <f>'Repo Details and VaR'!#REF!</f>
        <v>#REF!</v>
      </c>
      <c r="M78" s="369" t="e">
        <f>'Repo Details and VaR'!#REF!</f>
        <v>#REF!</v>
      </c>
      <c r="N78" s="261" t="e">
        <f>'Repo Details and VaR'!#REF!</f>
        <v>#REF!</v>
      </c>
      <c r="O78" s="261" t="e">
        <f>'Repo Details and VaR'!#REF!</f>
        <v>#REF!</v>
      </c>
      <c r="P78" s="1032" t="e">
        <f>'Repo Details and VaR'!#REF!</f>
        <v>#REF!</v>
      </c>
      <c r="Q78" s="417" t="e">
        <f>'Repo Details and VaR'!#REF!</f>
        <v>#REF!</v>
      </c>
      <c r="R78" s="403" t="e">
        <f>IF(A78="CASHUSD","",'Repo Details and VaR'!#REF!-'Repo Details and VaR'!#REF!)</f>
        <v>#REF!</v>
      </c>
      <c r="S78" s="339" t="e">
        <f t="shared" si="1"/>
        <v>#REF!</v>
      </c>
      <c r="T78" s="369" t="e">
        <f t="shared" si="2"/>
        <v>#REF!</v>
      </c>
      <c r="U78" s="369" t="e">
        <f t="shared" si="7"/>
        <v>#REF!</v>
      </c>
      <c r="V78" s="728"/>
      <c r="W78" s="303"/>
      <c r="X78" s="807" t="e">
        <f t="shared" si="3"/>
        <v>#REF!</v>
      </c>
      <c r="Y78" s="807" t="e">
        <f t="shared" si="3"/>
        <v>#REF!</v>
      </c>
      <c r="Z78" s="808" t="e">
        <f>'Repo Details and VaR'!#REF!</f>
        <v>#REF!</v>
      </c>
      <c r="AA78" s="271" t="s">
        <v>1006</v>
      </c>
      <c r="AE78" s="1029" t="e">
        <f t="shared" si="5"/>
        <v>#REF!</v>
      </c>
    </row>
    <row r="79" spans="1:31" x14ac:dyDescent="0.25">
      <c r="A79" s="716" t="e">
        <f>'Repo Details and VaR'!#REF!</f>
        <v>#REF!</v>
      </c>
      <c r="B79" s="368" t="e">
        <f>'Repo Details and VaR'!#REF!</f>
        <v>#REF!</v>
      </c>
      <c r="C79" s="366" t="e">
        <f>'Repo Details and VaR'!#REF!</f>
        <v>#REF!</v>
      </c>
      <c r="D79" s="60" t="e">
        <f>'Repo Details and VaR'!#REF!</f>
        <v>#REF!</v>
      </c>
      <c r="E79" s="369" t="e">
        <f>'Repo Details and VaR'!#REF!</f>
        <v>#REF!</v>
      </c>
      <c r="F79" s="370" t="e">
        <f>'Repo Details and VaR'!#REF!</f>
        <v>#REF!</v>
      </c>
      <c r="G79" s="369" t="e">
        <f>'Repo Details and VaR'!#REF!</f>
        <v>#REF!</v>
      </c>
      <c r="H79" s="369" t="e">
        <f>'Repo Details and VaR'!#REF!</f>
        <v>#REF!</v>
      </c>
      <c r="I79" s="395" t="e">
        <f>'Repo Details and VaR'!#REF!</f>
        <v>#REF!</v>
      </c>
      <c r="J79" s="339" t="e">
        <f>'Repo Details and VaR'!#REF!</f>
        <v>#REF!</v>
      </c>
      <c r="K79" s="339" t="e">
        <f>'Repo Details and VaR'!#REF!</f>
        <v>#REF!</v>
      </c>
      <c r="L79" s="339" t="e">
        <f>'Repo Details and VaR'!#REF!</f>
        <v>#REF!</v>
      </c>
      <c r="M79" s="369" t="e">
        <f>'Repo Details and VaR'!#REF!</f>
        <v>#REF!</v>
      </c>
      <c r="N79" s="261" t="e">
        <f>'Repo Details and VaR'!#REF!</f>
        <v>#REF!</v>
      </c>
      <c r="O79" s="261" t="e">
        <f>'Repo Details and VaR'!#REF!</f>
        <v>#REF!</v>
      </c>
      <c r="P79" s="1032" t="e">
        <f>'Repo Details and VaR'!#REF!</f>
        <v>#REF!</v>
      </c>
      <c r="Q79" s="417" t="e">
        <f>'Repo Details and VaR'!#REF!</f>
        <v>#REF!</v>
      </c>
      <c r="R79" s="403" t="e">
        <f>IF(A79="CASHUSD","",'Repo Details and VaR'!#REF!-'Repo Details and VaR'!#REF!)</f>
        <v>#REF!</v>
      </c>
      <c r="S79" s="339" t="e">
        <f t="shared" si="1"/>
        <v>#REF!</v>
      </c>
      <c r="T79" s="369" t="e">
        <f t="shared" si="2"/>
        <v>#REF!</v>
      </c>
      <c r="U79" s="369" t="e">
        <f t="shared" si="7"/>
        <v>#REF!</v>
      </c>
      <c r="V79" s="728"/>
      <c r="W79" s="303"/>
      <c r="X79" s="807" t="e">
        <f t="shared" si="3"/>
        <v>#REF!</v>
      </c>
      <c r="Y79" s="807" t="e">
        <f t="shared" si="3"/>
        <v>#REF!</v>
      </c>
      <c r="Z79" s="808" t="e">
        <f>'Repo Details and VaR'!#REF!</f>
        <v>#REF!</v>
      </c>
      <c r="AA79" s="271" t="s">
        <v>1006</v>
      </c>
      <c r="AE79" s="1029" t="e">
        <f t="shared" si="5"/>
        <v>#REF!</v>
      </c>
    </row>
    <row r="80" spans="1:31" x14ac:dyDescent="0.25">
      <c r="A80" s="716" t="e">
        <f>'Repo Details and VaR'!#REF!</f>
        <v>#REF!</v>
      </c>
      <c r="B80" s="368" t="e">
        <f>'Repo Details and VaR'!#REF!</f>
        <v>#REF!</v>
      </c>
      <c r="C80" s="366" t="e">
        <f>'Repo Details and VaR'!#REF!</f>
        <v>#REF!</v>
      </c>
      <c r="D80" s="60" t="e">
        <f>'Repo Details and VaR'!#REF!</f>
        <v>#REF!</v>
      </c>
      <c r="E80" s="369" t="e">
        <f>'Repo Details and VaR'!#REF!</f>
        <v>#REF!</v>
      </c>
      <c r="F80" s="370" t="e">
        <f>'Repo Details and VaR'!#REF!</f>
        <v>#REF!</v>
      </c>
      <c r="G80" s="369" t="e">
        <f>'Repo Details and VaR'!#REF!</f>
        <v>#REF!</v>
      </c>
      <c r="H80" s="369" t="e">
        <f>'Repo Details and VaR'!#REF!</f>
        <v>#REF!</v>
      </c>
      <c r="I80" s="395" t="e">
        <f>'Repo Details and VaR'!#REF!</f>
        <v>#REF!</v>
      </c>
      <c r="J80" s="339" t="e">
        <f>'Repo Details and VaR'!#REF!</f>
        <v>#REF!</v>
      </c>
      <c r="K80" s="339" t="e">
        <f>'Repo Details and VaR'!#REF!</f>
        <v>#REF!</v>
      </c>
      <c r="L80" s="339" t="e">
        <f>'Repo Details and VaR'!#REF!</f>
        <v>#REF!</v>
      </c>
      <c r="M80" s="369" t="e">
        <f>'Repo Details and VaR'!#REF!</f>
        <v>#REF!</v>
      </c>
      <c r="N80" s="261" t="e">
        <f>'Repo Details and VaR'!#REF!</f>
        <v>#REF!</v>
      </c>
      <c r="O80" s="261" t="e">
        <f>'Repo Details and VaR'!#REF!</f>
        <v>#REF!</v>
      </c>
      <c r="P80" s="1032" t="e">
        <f>'Repo Details and VaR'!#REF!</f>
        <v>#REF!</v>
      </c>
      <c r="Q80" s="417" t="e">
        <f>'Repo Details and VaR'!#REF!</f>
        <v>#REF!</v>
      </c>
      <c r="R80" s="403" t="e">
        <f>IF(A80="CASHUSD","",'Repo Details and VaR'!#REF!-'Repo Details and VaR'!#REF!)</f>
        <v>#REF!</v>
      </c>
      <c r="S80" s="339" t="e">
        <f t="shared" si="1"/>
        <v>#REF!</v>
      </c>
      <c r="T80" s="369" t="e">
        <f t="shared" si="2"/>
        <v>#REF!</v>
      </c>
      <c r="U80" s="369" t="e">
        <f t="shared" si="7"/>
        <v>#REF!</v>
      </c>
      <c r="V80" s="728"/>
      <c r="W80" s="303"/>
      <c r="X80" s="807" t="e">
        <f t="shared" si="3"/>
        <v>#REF!</v>
      </c>
      <c r="Y80" s="807" t="e">
        <f t="shared" si="3"/>
        <v>#REF!</v>
      </c>
      <c r="Z80" s="808" t="e">
        <f>'Repo Details and VaR'!#REF!</f>
        <v>#REF!</v>
      </c>
      <c r="AA80" s="271" t="s">
        <v>1006</v>
      </c>
      <c r="AE80" s="1029" t="e">
        <f t="shared" si="5"/>
        <v>#REF!</v>
      </c>
    </row>
    <row r="81" spans="1:31" ht="15.75" thickBot="1" x14ac:dyDescent="0.3">
      <c r="A81" s="717" t="e">
        <f>'Repo Details and VaR'!#REF!</f>
        <v>#REF!</v>
      </c>
      <c r="B81" s="373" t="e">
        <f>'Repo Details and VaR'!#REF!</f>
        <v>#REF!</v>
      </c>
      <c r="C81" s="362" t="e">
        <f>'Repo Details and VaR'!#REF!</f>
        <v>#REF!</v>
      </c>
      <c r="D81" s="71" t="e">
        <f>'Repo Details and VaR'!#REF!</f>
        <v>#REF!</v>
      </c>
      <c r="E81" s="374" t="e">
        <f>'Repo Details and VaR'!#REF!</f>
        <v>#REF!</v>
      </c>
      <c r="F81" s="375" t="e">
        <f>'Repo Details and VaR'!#REF!</f>
        <v>#REF!</v>
      </c>
      <c r="G81" s="374" t="e">
        <f>'Repo Details and VaR'!#REF!</f>
        <v>#REF!</v>
      </c>
      <c r="H81" s="374" t="e">
        <f>'Repo Details and VaR'!#REF!</f>
        <v>#REF!</v>
      </c>
      <c r="I81" s="376" t="e">
        <f>'Repo Details and VaR'!#REF!</f>
        <v>#REF!</v>
      </c>
      <c r="J81" s="377" t="e">
        <f>'Repo Details and VaR'!#REF!</f>
        <v>#REF!</v>
      </c>
      <c r="K81" s="377" t="e">
        <f>'Repo Details and VaR'!#REF!</f>
        <v>#REF!</v>
      </c>
      <c r="L81" s="377" t="e">
        <f>'Repo Details and VaR'!#REF!</f>
        <v>#REF!</v>
      </c>
      <c r="M81" s="374" t="e">
        <f>'Repo Details and VaR'!#REF!</f>
        <v>#REF!</v>
      </c>
      <c r="N81" s="294" t="e">
        <f>'Repo Details and VaR'!#REF!</f>
        <v>#REF!</v>
      </c>
      <c r="O81" s="294" t="e">
        <f>'Repo Details and VaR'!#REF!</f>
        <v>#REF!</v>
      </c>
      <c r="P81" s="1033" t="e">
        <f>'Repo Details and VaR'!#REF!</f>
        <v>#REF!</v>
      </c>
      <c r="Q81" s="419" t="e">
        <f>'Repo Details and VaR'!#REF!</f>
        <v>#REF!</v>
      </c>
      <c r="R81" s="404" t="e">
        <f>IF(A81="CASHUSD","",'Repo Details and VaR'!#REF!-'Repo Details and VaR'!#REF!)</f>
        <v>#REF!</v>
      </c>
      <c r="S81" s="377" t="e">
        <f t="shared" si="1"/>
        <v>#REF!</v>
      </c>
      <c r="T81" s="374" t="e">
        <f t="shared" si="2"/>
        <v>#REF!</v>
      </c>
      <c r="U81" s="374" t="e">
        <f t="shared" si="7"/>
        <v>#REF!</v>
      </c>
      <c r="V81" s="728"/>
      <c r="W81" s="303"/>
      <c r="X81" s="807" t="e">
        <f t="shared" si="3"/>
        <v>#REF!</v>
      </c>
      <c r="Y81" s="807" t="e">
        <f t="shared" si="3"/>
        <v>#REF!</v>
      </c>
      <c r="Z81" s="808" t="e">
        <f>'Repo Details and VaR'!#REF!</f>
        <v>#REF!</v>
      </c>
      <c r="AA81" s="271" t="s">
        <v>1006</v>
      </c>
      <c r="AE81" s="1029" t="e">
        <f t="shared" si="5"/>
        <v>#REF!</v>
      </c>
    </row>
    <row r="82" spans="1:31" ht="15.75" thickTop="1" x14ac:dyDescent="0.25">
      <c r="A82" s="715">
        <f>'Repo Details and VaR'!A69</f>
        <v>66250</v>
      </c>
      <c r="B82" s="367" t="str">
        <f>'Repo Details and VaR'!B69</f>
        <v>DAIWA CAPITAL MARKETS EUROPE LIMITED EUR</v>
      </c>
      <c r="C82" s="354"/>
      <c r="D82" s="427"/>
      <c r="E82" s="354"/>
      <c r="F82" s="354"/>
      <c r="G82" s="354"/>
      <c r="H82" s="354"/>
      <c r="I82" s="354"/>
      <c r="J82" s="354"/>
      <c r="K82" s="354"/>
      <c r="L82" s="354"/>
      <c r="M82" s="354"/>
      <c r="N82" s="354"/>
      <c r="O82" s="354"/>
      <c r="P82" s="420"/>
      <c r="Q82" s="420"/>
      <c r="R82" s="405"/>
      <c r="S82" s="354"/>
      <c r="T82" s="354"/>
      <c r="U82" s="354"/>
      <c r="V82" s="728"/>
      <c r="W82" s="303"/>
      <c r="X82" s="807" t="str">
        <f t="shared" si="3"/>
        <v/>
      </c>
      <c r="Y82" s="807" t="str">
        <f t="shared" si="3"/>
        <v/>
      </c>
      <c r="Z82" s="808">
        <f>'Repo Details and VaR'!AU69</f>
        <v>0</v>
      </c>
      <c r="AA82" s="271" t="s">
        <v>1006</v>
      </c>
      <c r="AE82" s="1029">
        <f t="shared" si="5"/>
        <v>0</v>
      </c>
    </row>
    <row r="83" spans="1:31" x14ac:dyDescent="0.25">
      <c r="A83" s="716" t="str">
        <f>'Repo Details and VaR'!B71</f>
        <v>CASHUSD01</v>
      </c>
      <c r="B83" s="368" t="str">
        <f>'Repo Details and VaR'!C71</f>
        <v>US TREASURY</v>
      </c>
      <c r="C83" s="366" t="str">
        <f>'Repo Details and VaR'!D71</f>
        <v>CASH</v>
      </c>
      <c r="D83" s="60">
        <f>'Repo Details and VaR'!G71</f>
        <v>73050</v>
      </c>
      <c r="E83" s="369">
        <f>'Repo Details and VaR'!I71</f>
        <v>1</v>
      </c>
      <c r="F83" s="370">
        <f>'Repo Details and VaR'!J71</f>
        <v>1</v>
      </c>
      <c r="G83" s="369">
        <f>'Repo Details and VaR'!K71</f>
        <v>0</v>
      </c>
      <c r="H83" s="369">
        <f>'Repo Details and VaR'!M71</f>
        <v>1</v>
      </c>
      <c r="I83" s="371">
        <f>'Repo Details and VaR'!O71</f>
        <v>0</v>
      </c>
      <c r="J83" s="339">
        <f>'Repo Details and VaR'!V71</f>
        <v>0</v>
      </c>
      <c r="K83" s="339">
        <f>'Repo Details and VaR'!W71</f>
        <v>0</v>
      </c>
      <c r="L83" s="339">
        <f>'Repo Details and VaR'!X71</f>
        <v>0</v>
      </c>
      <c r="M83" s="369">
        <f>'Repo Details and VaR'!Y71</f>
        <v>0</v>
      </c>
      <c r="N83" s="261">
        <f>'Repo Details and VaR'!AA71</f>
        <v>0</v>
      </c>
      <c r="O83" s="261">
        <f>'Repo Details and VaR'!AC71</f>
        <v>0</v>
      </c>
      <c r="P83" s="1034">
        <f>'Repo Details and VaR'!AJ71</f>
        <v>2.7397200000000002E-3</v>
      </c>
      <c r="Q83" s="417" t="e">
        <f>'Repo Details and VaR'!AH71</f>
        <v>#N/A</v>
      </c>
      <c r="R83" s="403">
        <f>IF(A83="CASHUSD","",'Repo Details and VaR'!AS71-'Repo Details and VaR'!AT71)</f>
        <v>0</v>
      </c>
      <c r="S83" s="339">
        <f t="shared" si="1"/>
        <v>10</v>
      </c>
      <c r="T83" s="372">
        <f t="shared" si="2"/>
        <v>0</v>
      </c>
      <c r="U83" s="372">
        <f t="shared" ref="U83:U86" si="8">T83*SQRT(3/365)*H83</f>
        <v>0</v>
      </c>
      <c r="V83" s="728"/>
      <c r="W83" s="303"/>
      <c r="X83" s="807" t="str">
        <f t="shared" si="3"/>
        <v>CASH</v>
      </c>
      <c r="Y83" s="807" t="str">
        <f t="shared" si="3"/>
        <v>USG</v>
      </c>
      <c r="Z83" s="808" t="str">
        <f>'Repo Details and VaR'!AU71</f>
        <v>CASHUSD01</v>
      </c>
      <c r="AA83" s="271" t="s">
        <v>1006</v>
      </c>
      <c r="AE83" s="1029">
        <f t="shared" si="5"/>
        <v>0</v>
      </c>
    </row>
    <row r="84" spans="1:31" x14ac:dyDescent="0.25">
      <c r="A84" s="716" t="e">
        <f>'Repo Details and VaR'!#REF!</f>
        <v>#REF!</v>
      </c>
      <c r="B84" s="368" t="e">
        <f>'Repo Details and VaR'!#REF!</f>
        <v>#REF!</v>
      </c>
      <c r="C84" s="366" t="e">
        <f>'Repo Details and VaR'!#REF!</f>
        <v>#REF!</v>
      </c>
      <c r="D84" s="60" t="e">
        <f>'Repo Details and VaR'!#REF!</f>
        <v>#REF!</v>
      </c>
      <c r="E84" s="369" t="e">
        <f>'Repo Details and VaR'!#REF!</f>
        <v>#REF!</v>
      </c>
      <c r="F84" s="370" t="e">
        <f>'Repo Details and VaR'!#REF!</f>
        <v>#REF!</v>
      </c>
      <c r="G84" s="369" t="e">
        <f>'Repo Details and VaR'!#REF!</f>
        <v>#REF!</v>
      </c>
      <c r="H84" s="369" t="e">
        <f>'Repo Details and VaR'!#REF!</f>
        <v>#REF!</v>
      </c>
      <c r="I84" s="395" t="e">
        <f>'Repo Details and VaR'!#REF!</f>
        <v>#REF!</v>
      </c>
      <c r="J84" s="339" t="e">
        <f>'Repo Details and VaR'!#REF!</f>
        <v>#REF!</v>
      </c>
      <c r="K84" s="339" t="e">
        <f>'Repo Details and VaR'!#REF!</f>
        <v>#REF!</v>
      </c>
      <c r="L84" s="339" t="e">
        <f>'Repo Details and VaR'!#REF!</f>
        <v>#REF!</v>
      </c>
      <c r="M84" s="369" t="e">
        <f>'Repo Details and VaR'!#REF!</f>
        <v>#REF!</v>
      </c>
      <c r="N84" s="261" t="e">
        <f>'Repo Details and VaR'!#REF!</f>
        <v>#REF!</v>
      </c>
      <c r="O84" s="261" t="e">
        <f>'Repo Details and VaR'!#REF!</f>
        <v>#REF!</v>
      </c>
      <c r="P84" s="1032" t="e">
        <f>'Repo Details and VaR'!#REF!</f>
        <v>#REF!</v>
      </c>
      <c r="Q84" s="417" t="e">
        <f>'Repo Details and VaR'!#REF!</f>
        <v>#REF!</v>
      </c>
      <c r="R84" s="403" t="e">
        <f>IF(A84="CASHUSD","",'Repo Details and VaR'!#REF!-'Repo Details and VaR'!#REF!)</f>
        <v>#REF!</v>
      </c>
      <c r="S84" s="339">
        <f t="shared" si="1"/>
        <v>10</v>
      </c>
      <c r="T84" s="369">
        <f t="shared" si="2"/>
        <v>0</v>
      </c>
      <c r="U84" s="369" t="e">
        <f t="shared" si="8"/>
        <v>#REF!</v>
      </c>
      <c r="V84" s="728"/>
      <c r="W84" s="303"/>
      <c r="X84" s="807" t="e">
        <f t="shared" si="3"/>
        <v>#REF!</v>
      </c>
      <c r="Y84" s="807" t="e">
        <f t="shared" si="3"/>
        <v>#REF!</v>
      </c>
      <c r="Z84" s="808" t="str">
        <f>'Repo Details and VaR'!AU81</f>
        <v>CASHUSD01</v>
      </c>
      <c r="AA84" s="271" t="s">
        <v>1006</v>
      </c>
      <c r="AE84" s="1029" t="e">
        <f t="shared" si="5"/>
        <v>#REF!</v>
      </c>
    </row>
    <row r="85" spans="1:31" x14ac:dyDescent="0.25">
      <c r="A85" s="716" t="e">
        <f>'Repo Details and VaR'!#REF!</f>
        <v>#REF!</v>
      </c>
      <c r="B85" s="368" t="e">
        <f>'Repo Details and VaR'!#REF!</f>
        <v>#REF!</v>
      </c>
      <c r="C85" s="366" t="e">
        <f>'Repo Details and VaR'!#REF!</f>
        <v>#REF!</v>
      </c>
      <c r="D85" s="60" t="e">
        <f>'Repo Details and VaR'!#REF!</f>
        <v>#REF!</v>
      </c>
      <c r="E85" s="369" t="e">
        <f>'Repo Details and VaR'!#REF!</f>
        <v>#REF!</v>
      </c>
      <c r="F85" s="370" t="e">
        <f>'Repo Details and VaR'!#REF!</f>
        <v>#REF!</v>
      </c>
      <c r="G85" s="369" t="e">
        <f>'Repo Details and VaR'!#REF!</f>
        <v>#REF!</v>
      </c>
      <c r="H85" s="369" t="e">
        <f>'Repo Details and VaR'!#REF!</f>
        <v>#REF!</v>
      </c>
      <c r="I85" s="395" t="e">
        <f>'Repo Details and VaR'!#REF!</f>
        <v>#REF!</v>
      </c>
      <c r="J85" s="339" t="e">
        <f>'Repo Details and VaR'!#REF!</f>
        <v>#REF!</v>
      </c>
      <c r="K85" s="339" t="e">
        <f>'Repo Details and VaR'!#REF!</f>
        <v>#REF!</v>
      </c>
      <c r="L85" s="339" t="e">
        <f>'Repo Details and VaR'!#REF!</f>
        <v>#REF!</v>
      </c>
      <c r="M85" s="369" t="e">
        <f>'Repo Details and VaR'!#REF!</f>
        <v>#REF!</v>
      </c>
      <c r="N85" s="261" t="e">
        <f>'Repo Details and VaR'!#REF!</f>
        <v>#REF!</v>
      </c>
      <c r="O85" s="261" t="e">
        <f>'Repo Details and VaR'!#REF!</f>
        <v>#REF!</v>
      </c>
      <c r="P85" s="1032" t="e">
        <f>'Repo Details and VaR'!#REF!</f>
        <v>#REF!</v>
      </c>
      <c r="Q85" s="417" t="e">
        <f>'Repo Details and VaR'!#REF!</f>
        <v>#REF!</v>
      </c>
      <c r="R85" s="403" t="e">
        <f>IF(A85="CASHUSD","",'Repo Details and VaR'!#REF!-'Repo Details and VaR'!#REF!)</f>
        <v>#REF!</v>
      </c>
      <c r="S85" s="339">
        <f t="shared" si="1"/>
        <v>0</v>
      </c>
      <c r="T85" s="369">
        <f t="shared" si="2"/>
        <v>0</v>
      </c>
      <c r="U85" s="369" t="e">
        <f t="shared" si="8"/>
        <v>#REF!</v>
      </c>
      <c r="V85" s="728"/>
      <c r="W85" s="303"/>
      <c r="X85" s="807" t="e">
        <f t="shared" si="3"/>
        <v>#REF!</v>
      </c>
      <c r="Y85" s="807" t="e">
        <f t="shared" si="3"/>
        <v>#REF!</v>
      </c>
      <c r="Z85" s="808">
        <f>'Repo Details and VaR'!AU82</f>
        <v>0</v>
      </c>
      <c r="AA85" s="271" t="s">
        <v>1006</v>
      </c>
      <c r="AE85" s="1029" t="e">
        <f t="shared" si="5"/>
        <v>#REF!</v>
      </c>
    </row>
    <row r="86" spans="1:31" ht="15.75" thickBot="1" x14ac:dyDescent="0.3">
      <c r="A86" s="710" t="e">
        <f>'Repo Details and VaR'!#REF!</f>
        <v>#REF!</v>
      </c>
      <c r="B86" s="362" t="e">
        <f>'Repo Details and VaR'!#REF!</f>
        <v>#REF!</v>
      </c>
      <c r="C86" s="362" t="e">
        <f>'Repo Details and VaR'!#REF!</f>
        <v>#REF!</v>
      </c>
      <c r="D86" s="71" t="e">
        <f>'Repo Details and VaR'!#REF!</f>
        <v>#REF!</v>
      </c>
      <c r="E86" s="374" t="e">
        <f>'Repo Details and VaR'!#REF!</f>
        <v>#REF!</v>
      </c>
      <c r="F86" s="375" t="e">
        <f>'Repo Details and VaR'!#REF!</f>
        <v>#REF!</v>
      </c>
      <c r="G86" s="374" t="e">
        <f>'Repo Details and VaR'!#REF!</f>
        <v>#REF!</v>
      </c>
      <c r="H86" s="374" t="e">
        <f>'Repo Details and VaR'!#REF!</f>
        <v>#REF!</v>
      </c>
      <c r="I86" s="376" t="e">
        <f>'Repo Details and VaR'!#REF!</f>
        <v>#REF!</v>
      </c>
      <c r="J86" s="377" t="e">
        <f>'Repo Details and VaR'!#REF!</f>
        <v>#REF!</v>
      </c>
      <c r="K86" s="377" t="e">
        <f>'Repo Details and VaR'!#REF!</f>
        <v>#REF!</v>
      </c>
      <c r="L86" s="377" t="e">
        <f>'Repo Details and VaR'!#REF!</f>
        <v>#REF!</v>
      </c>
      <c r="M86" s="374" t="e">
        <f>'Repo Details and VaR'!#REF!</f>
        <v>#REF!</v>
      </c>
      <c r="N86" s="294" t="e">
        <f>'Repo Details and VaR'!#REF!</f>
        <v>#REF!</v>
      </c>
      <c r="O86" s="294" t="e">
        <f>'Repo Details and VaR'!#REF!</f>
        <v>#REF!</v>
      </c>
      <c r="P86" s="1033" t="e">
        <f>'Repo Details and VaR'!#REF!</f>
        <v>#REF!</v>
      </c>
      <c r="Q86" s="419" t="e">
        <f>'Repo Details and VaR'!#REF!</f>
        <v>#REF!</v>
      </c>
      <c r="R86" s="404" t="e">
        <f>IF(A86="CASHUSD","",'Repo Details and VaR'!#REF!-'Repo Details and VaR'!#REF!)</f>
        <v>#REF!</v>
      </c>
      <c r="S86" s="377" t="e">
        <f t="shared" si="1"/>
        <v>#N/A</v>
      </c>
      <c r="T86" s="374" t="e">
        <f t="shared" si="2"/>
        <v>#N/A</v>
      </c>
      <c r="U86" s="374" t="e">
        <f t="shared" si="8"/>
        <v>#N/A</v>
      </c>
      <c r="V86" s="728"/>
      <c r="W86" s="303"/>
      <c r="X86" s="807" t="e">
        <f t="shared" si="3"/>
        <v>#REF!</v>
      </c>
      <c r="Y86" s="807" t="e">
        <f t="shared" si="3"/>
        <v>#REF!</v>
      </c>
      <c r="Z86" s="808" t="str">
        <f>'Repo Details and VaR'!AU83</f>
        <v>FR0010916924</v>
      </c>
      <c r="AA86" s="271" t="s">
        <v>1006</v>
      </c>
      <c r="AE86" s="1029" t="e">
        <f t="shared" si="5"/>
        <v>#REF!</v>
      </c>
    </row>
    <row r="87" spans="1:31" ht="15.75" thickTop="1" x14ac:dyDescent="0.25">
      <c r="A87" s="365"/>
      <c r="B87" s="365"/>
      <c r="C87" s="365"/>
      <c r="D87" s="365"/>
      <c r="E87" s="365"/>
      <c r="F87" s="365"/>
      <c r="G87" s="365"/>
      <c r="H87" s="365"/>
      <c r="I87" s="365"/>
      <c r="J87" s="365"/>
      <c r="K87" s="365"/>
      <c r="L87" s="365"/>
      <c r="M87" s="365"/>
      <c r="N87" s="365"/>
      <c r="O87" s="365"/>
      <c r="P87" s="365"/>
      <c r="Q87" s="365"/>
      <c r="R87" s="365"/>
      <c r="S87" s="365"/>
      <c r="T87" s="365"/>
      <c r="U87" s="365"/>
      <c r="V87" s="727"/>
      <c r="W87" s="303"/>
      <c r="X87" s="303"/>
    </row>
    <row r="88" spans="1:31" x14ac:dyDescent="0.25">
      <c r="O88" s="303"/>
    </row>
    <row r="89" spans="1:31" x14ac:dyDescent="0.25">
      <c r="A89" s="271" t="s">
        <v>780</v>
      </c>
      <c r="K89" s="809"/>
      <c r="O89" s="303"/>
    </row>
    <row r="90" spans="1:31" x14ac:dyDescent="0.25">
      <c r="A90" s="715"/>
      <c r="B90" s="367"/>
      <c r="C90" s="354"/>
      <c r="D90" s="427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420"/>
      <c r="Q90" s="420"/>
      <c r="R90" s="405"/>
      <c r="S90" s="354"/>
      <c r="T90" s="354"/>
      <c r="U90" s="354"/>
      <c r="V90" s="726"/>
      <c r="W90" s="303"/>
      <c r="X90" s="807"/>
      <c r="Y90" s="807"/>
      <c r="Z90" s="808"/>
    </row>
    <row r="91" spans="1:31" x14ac:dyDescent="0.25">
      <c r="A91" s="716"/>
      <c r="B91" s="368"/>
      <c r="C91" s="366"/>
      <c r="D91" s="60"/>
      <c r="E91" s="369"/>
      <c r="F91" s="370"/>
      <c r="G91" s="369"/>
      <c r="H91" s="369"/>
      <c r="I91" s="371"/>
      <c r="J91" s="339"/>
      <c r="K91" s="339"/>
      <c r="L91" s="339"/>
      <c r="M91" s="369"/>
      <c r="N91" s="261"/>
      <c r="O91" s="261"/>
      <c r="P91" s="416"/>
      <c r="Q91" s="417"/>
      <c r="R91" s="403"/>
      <c r="S91" s="339"/>
      <c r="T91" s="372"/>
      <c r="U91" s="372"/>
      <c r="V91" s="728"/>
      <c r="W91" s="303"/>
      <c r="X91" s="807"/>
      <c r="Y91" s="807"/>
      <c r="Z91" s="808"/>
    </row>
    <row r="92" spans="1:31" ht="15.75" thickBot="1" x14ac:dyDescent="0.3">
      <c r="A92" s="710"/>
      <c r="B92" s="362"/>
      <c r="C92" s="362"/>
      <c r="D92" s="71"/>
      <c r="E92" s="374"/>
      <c r="F92" s="375"/>
      <c r="G92" s="374"/>
      <c r="H92" s="374"/>
      <c r="I92" s="376"/>
      <c r="J92" s="377"/>
      <c r="K92" s="377"/>
      <c r="L92" s="377"/>
      <c r="M92" s="374"/>
      <c r="N92" s="294"/>
      <c r="O92" s="294"/>
      <c r="P92" s="418"/>
      <c r="Q92" s="419"/>
      <c r="R92" s="404"/>
      <c r="S92" s="377"/>
      <c r="T92" s="374"/>
      <c r="U92" s="374"/>
      <c r="V92" s="728"/>
      <c r="W92" s="303"/>
      <c r="X92" s="807"/>
      <c r="Y92" s="807"/>
      <c r="Z92" s="808"/>
    </row>
    <row r="93" spans="1:31" ht="15.75" thickTop="1" x14ac:dyDescent="0.25">
      <c r="A93" s="715"/>
      <c r="B93" s="367"/>
      <c r="C93" s="354"/>
      <c r="D93" s="427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420"/>
      <c r="Q93" s="420"/>
      <c r="R93" s="405"/>
      <c r="S93" s="354"/>
      <c r="T93" s="354"/>
      <c r="U93" s="354"/>
      <c r="V93" s="726"/>
      <c r="W93" s="303"/>
      <c r="X93" s="807"/>
      <c r="Y93" s="807"/>
      <c r="Z93" s="808"/>
    </row>
    <row r="94" spans="1:31" x14ac:dyDescent="0.25">
      <c r="A94" s="716"/>
      <c r="B94" s="368"/>
      <c r="C94" s="366"/>
      <c r="D94" s="60"/>
      <c r="E94" s="369"/>
      <c r="F94" s="370"/>
      <c r="G94" s="369"/>
      <c r="H94" s="369"/>
      <c r="I94" s="371"/>
      <c r="J94" s="339"/>
      <c r="K94" s="339"/>
      <c r="L94" s="339"/>
      <c r="M94" s="369"/>
      <c r="N94" s="261"/>
      <c r="O94" s="261"/>
      <c r="P94" s="416"/>
      <c r="Q94" s="417"/>
      <c r="R94" s="403"/>
      <c r="S94" s="339"/>
      <c r="T94" s="372"/>
      <c r="U94" s="372"/>
      <c r="V94" s="726"/>
      <c r="W94" s="303"/>
      <c r="X94" s="807"/>
      <c r="Y94" s="807"/>
      <c r="Z94" s="808"/>
    </row>
    <row r="95" spans="1:31" ht="15.75" thickBot="1" x14ac:dyDescent="0.3">
      <c r="A95" s="710"/>
      <c r="B95" s="362"/>
      <c r="C95" s="362"/>
      <c r="D95" s="71"/>
      <c r="E95" s="374"/>
      <c r="F95" s="375"/>
      <c r="G95" s="374"/>
      <c r="H95" s="374"/>
      <c r="I95" s="376"/>
      <c r="J95" s="377"/>
      <c r="K95" s="377"/>
      <c r="L95" s="377"/>
      <c r="M95" s="374"/>
      <c r="N95" s="294"/>
      <c r="O95" s="294"/>
      <c r="P95" s="418"/>
      <c r="Q95" s="419"/>
      <c r="R95" s="404"/>
      <c r="S95" s="377"/>
      <c r="T95" s="374"/>
      <c r="U95" s="374"/>
      <c r="V95" s="726"/>
      <c r="W95" s="303"/>
      <c r="X95" s="807"/>
      <c r="Y95" s="807"/>
      <c r="Z95" s="808"/>
    </row>
    <row r="96" spans="1:31" ht="15.75" thickTop="1" x14ac:dyDescent="0.25">
      <c r="A96" s="718"/>
      <c r="B96" s="378"/>
      <c r="C96" s="354"/>
      <c r="D96" s="427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420"/>
      <c r="Q96" s="420"/>
      <c r="R96" s="405"/>
      <c r="S96" s="354"/>
      <c r="T96" s="354"/>
      <c r="U96" s="354"/>
      <c r="V96" s="726"/>
      <c r="W96" s="303"/>
    </row>
    <row r="97" spans="1:23" x14ac:dyDescent="0.25">
      <c r="A97" s="716"/>
      <c r="B97" s="368"/>
      <c r="C97" s="366"/>
      <c r="D97" s="60"/>
      <c r="E97" s="369"/>
      <c r="F97" s="370"/>
      <c r="G97" s="369"/>
      <c r="H97" s="369"/>
      <c r="I97" s="371"/>
      <c r="J97" s="339"/>
      <c r="K97" s="339"/>
      <c r="L97" s="339"/>
      <c r="M97" s="369"/>
      <c r="N97" s="261"/>
      <c r="O97" s="261"/>
      <c r="P97" s="416"/>
      <c r="Q97" s="417"/>
      <c r="R97" s="403"/>
      <c r="S97" s="339"/>
      <c r="T97" s="372"/>
      <c r="U97" s="372"/>
      <c r="V97" s="726"/>
      <c r="W97" s="303"/>
    </row>
    <row r="98" spans="1:23" ht="15.75" thickBot="1" x14ac:dyDescent="0.3">
      <c r="A98" s="710"/>
      <c r="B98" s="362"/>
      <c r="C98" s="362"/>
      <c r="D98" s="71"/>
      <c r="E98" s="374"/>
      <c r="F98" s="375"/>
      <c r="G98" s="374"/>
      <c r="H98" s="374"/>
      <c r="I98" s="376"/>
      <c r="J98" s="377"/>
      <c r="K98" s="377"/>
      <c r="L98" s="377"/>
      <c r="M98" s="374"/>
      <c r="N98" s="294"/>
      <c r="O98" s="294"/>
      <c r="P98" s="418"/>
      <c r="Q98" s="419"/>
      <c r="R98" s="404"/>
      <c r="S98" s="377"/>
      <c r="T98" s="374"/>
      <c r="U98" s="374"/>
      <c r="V98" s="726"/>
      <c r="W98" s="303"/>
    </row>
    <row r="99" spans="1:23" ht="15.75" thickTop="1" x14ac:dyDescent="0.25">
      <c r="A99" s="718"/>
      <c r="B99" s="378"/>
      <c r="C99" s="354"/>
      <c r="D99" s="427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420"/>
      <c r="Q99" s="420"/>
      <c r="R99" s="405"/>
      <c r="S99" s="354"/>
      <c r="T99" s="354"/>
      <c r="U99" s="354"/>
      <c r="V99" s="726"/>
      <c r="W99" s="303"/>
    </row>
    <row r="100" spans="1:23" x14ac:dyDescent="0.25">
      <c r="A100" s="716"/>
      <c r="B100" s="368"/>
      <c r="C100" s="366"/>
      <c r="D100" s="60"/>
      <c r="E100" s="369"/>
      <c r="F100" s="370"/>
      <c r="G100" s="369"/>
      <c r="H100" s="369"/>
      <c r="I100" s="371"/>
      <c r="J100" s="339"/>
      <c r="K100" s="339"/>
      <c r="L100" s="339"/>
      <c r="M100" s="369"/>
      <c r="N100" s="261"/>
      <c r="O100" s="261"/>
      <c r="P100" s="416"/>
      <c r="Q100" s="417"/>
      <c r="R100" s="403"/>
      <c r="S100" s="339"/>
      <c r="T100" s="372"/>
      <c r="U100" s="372"/>
      <c r="V100" s="726"/>
      <c r="W100" s="303"/>
    </row>
    <row r="101" spans="1:23" ht="15.75" thickBot="1" x14ac:dyDescent="0.3">
      <c r="A101" s="710"/>
      <c r="B101" s="362"/>
      <c r="C101" s="362"/>
      <c r="D101" s="71"/>
      <c r="E101" s="374"/>
      <c r="F101" s="375"/>
      <c r="G101" s="374"/>
      <c r="H101" s="374"/>
      <c r="I101" s="376"/>
      <c r="J101" s="377"/>
      <c r="K101" s="377"/>
      <c r="L101" s="377"/>
      <c r="M101" s="374"/>
      <c r="N101" s="294"/>
      <c r="O101" s="294"/>
      <c r="P101" s="418"/>
      <c r="Q101" s="419"/>
      <c r="R101" s="404"/>
      <c r="S101" s="377"/>
      <c r="T101" s="374"/>
      <c r="U101" s="374"/>
      <c r="V101" s="726"/>
      <c r="W101" s="303"/>
    </row>
    <row r="102" spans="1:23" ht="15.75" thickTop="1" x14ac:dyDescent="0.25">
      <c r="A102" s="718"/>
      <c r="B102" s="378"/>
      <c r="C102" s="354"/>
      <c r="D102" s="427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420"/>
      <c r="Q102" s="420"/>
      <c r="R102" s="405"/>
      <c r="S102" s="354"/>
      <c r="T102" s="354"/>
      <c r="U102" s="354"/>
      <c r="V102" s="726"/>
      <c r="W102" s="303"/>
    </row>
    <row r="103" spans="1:23" x14ac:dyDescent="0.25">
      <c r="A103" s="716"/>
      <c r="B103" s="368"/>
      <c r="C103" s="366"/>
      <c r="D103" s="60"/>
      <c r="E103" s="369"/>
      <c r="F103" s="370"/>
      <c r="G103" s="369"/>
      <c r="H103" s="369"/>
      <c r="I103" s="371"/>
      <c r="J103" s="339"/>
      <c r="K103" s="339"/>
      <c r="L103" s="339"/>
      <c r="M103" s="369"/>
      <c r="N103" s="261"/>
      <c r="O103" s="261"/>
      <c r="P103" s="416"/>
      <c r="Q103" s="417"/>
      <c r="R103" s="403"/>
      <c r="S103" s="339"/>
      <c r="T103" s="372"/>
      <c r="U103" s="372"/>
      <c r="V103" s="726"/>
      <c r="W103" s="303"/>
    </row>
    <row r="104" spans="1:23" ht="15.75" thickBot="1" x14ac:dyDescent="0.3">
      <c r="A104" s="710"/>
      <c r="B104" s="362"/>
      <c r="C104" s="362"/>
      <c r="D104" s="71"/>
      <c r="E104" s="374"/>
      <c r="F104" s="375"/>
      <c r="G104" s="374"/>
      <c r="H104" s="374"/>
      <c r="I104" s="376"/>
      <c r="J104" s="377"/>
      <c r="K104" s="377"/>
      <c r="L104" s="377"/>
      <c r="M104" s="374"/>
      <c r="N104" s="294"/>
      <c r="O104" s="294"/>
      <c r="P104" s="418"/>
      <c r="Q104" s="419"/>
      <c r="R104" s="404"/>
      <c r="S104" s="377"/>
      <c r="T104" s="374"/>
      <c r="U104" s="374"/>
      <c r="V104" s="726"/>
      <c r="W104" s="303"/>
    </row>
    <row r="105" spans="1:23" ht="15.75" thickTop="1" x14ac:dyDescent="0.25">
      <c r="A105" s="718"/>
      <c r="B105" s="378"/>
      <c r="C105" s="354"/>
      <c r="D105" s="427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420"/>
      <c r="Q105" s="420"/>
      <c r="R105" s="405"/>
      <c r="S105" s="354"/>
      <c r="T105" s="354"/>
      <c r="U105" s="354"/>
      <c r="V105" s="726"/>
      <c r="W105" s="303"/>
    </row>
    <row r="106" spans="1:23" x14ac:dyDescent="0.25">
      <c r="A106" s="716"/>
      <c r="B106" s="368"/>
      <c r="C106" s="366"/>
      <c r="D106" s="60"/>
      <c r="E106" s="369"/>
      <c r="F106" s="370"/>
      <c r="G106" s="369"/>
      <c r="H106" s="369"/>
      <c r="I106" s="371"/>
      <c r="J106" s="339"/>
      <c r="K106" s="339"/>
      <c r="L106" s="339"/>
      <c r="M106" s="369"/>
      <c r="N106" s="261"/>
      <c r="O106" s="261"/>
      <c r="P106" s="416"/>
      <c r="Q106" s="417"/>
      <c r="R106" s="403"/>
      <c r="S106" s="339"/>
      <c r="T106" s="372"/>
      <c r="U106" s="372"/>
      <c r="V106" s="726"/>
      <c r="W106" s="303"/>
    </row>
    <row r="107" spans="1:23" ht="15.75" thickBot="1" x14ac:dyDescent="0.3">
      <c r="A107" s="710"/>
      <c r="B107" s="362"/>
      <c r="C107" s="362"/>
      <c r="D107" s="71"/>
      <c r="E107" s="374"/>
      <c r="F107" s="375"/>
      <c r="G107" s="374"/>
      <c r="H107" s="374"/>
      <c r="I107" s="376"/>
      <c r="J107" s="377"/>
      <c r="K107" s="377"/>
      <c r="L107" s="377"/>
      <c r="M107" s="374"/>
      <c r="N107" s="294"/>
      <c r="O107" s="294"/>
      <c r="P107" s="418"/>
      <c r="Q107" s="419"/>
      <c r="R107" s="404"/>
      <c r="S107" s="377"/>
      <c r="T107" s="374"/>
      <c r="U107" s="374"/>
      <c r="V107" s="726"/>
      <c r="W107" s="303"/>
    </row>
    <row r="108" spans="1:23" ht="15.75" thickTop="1" x14ac:dyDescent="0.25">
      <c r="A108" s="718"/>
      <c r="B108" s="378"/>
      <c r="C108" s="354"/>
      <c r="D108" s="427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420"/>
      <c r="Q108" s="420"/>
      <c r="R108" s="405"/>
      <c r="S108" s="354"/>
      <c r="T108" s="354"/>
      <c r="U108" s="354"/>
      <c r="V108" s="726"/>
      <c r="W108" s="303"/>
    </row>
    <row r="109" spans="1:23" x14ac:dyDescent="0.25">
      <c r="A109" s="716"/>
      <c r="B109" s="368"/>
      <c r="C109" s="366"/>
      <c r="D109" s="60"/>
      <c r="E109" s="369"/>
      <c r="F109" s="370"/>
      <c r="G109" s="369"/>
      <c r="H109" s="369"/>
      <c r="I109" s="371"/>
      <c r="J109" s="339"/>
      <c r="K109" s="339"/>
      <c r="L109" s="339"/>
      <c r="M109" s="369"/>
      <c r="N109" s="261"/>
      <c r="O109" s="261"/>
      <c r="P109" s="416"/>
      <c r="Q109" s="417"/>
      <c r="R109" s="403"/>
      <c r="S109" s="339"/>
      <c r="T109" s="372"/>
      <c r="U109" s="372"/>
      <c r="V109" s="726"/>
      <c r="W109" s="303"/>
    </row>
    <row r="110" spans="1:23" ht="15.75" thickBot="1" x14ac:dyDescent="0.3">
      <c r="A110" s="710"/>
      <c r="B110" s="362"/>
      <c r="C110" s="362"/>
      <c r="D110" s="71"/>
      <c r="E110" s="374"/>
      <c r="F110" s="375"/>
      <c r="G110" s="374"/>
      <c r="H110" s="374"/>
      <c r="I110" s="376"/>
      <c r="J110" s="377"/>
      <c r="K110" s="377"/>
      <c r="L110" s="377"/>
      <c r="M110" s="374"/>
      <c r="N110" s="294"/>
      <c r="O110" s="294"/>
      <c r="P110" s="418"/>
      <c r="Q110" s="419"/>
      <c r="R110" s="404"/>
      <c r="S110" s="377"/>
      <c r="T110" s="374"/>
      <c r="U110" s="374"/>
      <c r="V110" s="726"/>
      <c r="W110" s="303"/>
    </row>
    <row r="111" spans="1:23" ht="15.75" thickTop="1" x14ac:dyDescent="0.25">
      <c r="A111" s="718"/>
      <c r="B111" s="378"/>
      <c r="C111" s="354"/>
      <c r="D111" s="427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420"/>
      <c r="Q111" s="420"/>
      <c r="R111" s="405"/>
      <c r="S111" s="354"/>
      <c r="T111" s="354"/>
      <c r="U111" s="354"/>
      <c r="V111" s="726"/>
      <c r="W111" s="303"/>
    </row>
    <row r="112" spans="1:23" x14ac:dyDescent="0.25">
      <c r="A112" s="716"/>
      <c r="B112" s="368"/>
      <c r="C112" s="366"/>
      <c r="D112" s="60"/>
      <c r="E112" s="369"/>
      <c r="F112" s="370"/>
      <c r="G112" s="369"/>
      <c r="H112" s="369"/>
      <c r="I112" s="371"/>
      <c r="J112" s="339"/>
      <c r="K112" s="339"/>
      <c r="L112" s="339"/>
      <c r="M112" s="369"/>
      <c r="N112" s="261"/>
      <c r="O112" s="261"/>
      <c r="P112" s="416"/>
      <c r="Q112" s="417"/>
      <c r="R112" s="403"/>
      <c r="S112" s="339"/>
      <c r="T112" s="372"/>
      <c r="U112" s="372"/>
      <c r="V112" s="726"/>
      <c r="W112" s="303"/>
    </row>
    <row r="113" spans="1:23" ht="15.75" thickBot="1" x14ac:dyDescent="0.3">
      <c r="A113" s="710"/>
      <c r="B113" s="362"/>
      <c r="C113" s="362"/>
      <c r="D113" s="71"/>
      <c r="E113" s="374"/>
      <c r="F113" s="375"/>
      <c r="G113" s="374"/>
      <c r="H113" s="374"/>
      <c r="I113" s="376"/>
      <c r="J113" s="377"/>
      <c r="K113" s="377"/>
      <c r="L113" s="377"/>
      <c r="M113" s="374"/>
      <c r="N113" s="294"/>
      <c r="O113" s="294"/>
      <c r="P113" s="418"/>
      <c r="Q113" s="419"/>
      <c r="R113" s="404"/>
      <c r="S113" s="377"/>
      <c r="T113" s="374"/>
      <c r="U113" s="374"/>
      <c r="V113" s="726"/>
      <c r="W113" s="303"/>
    </row>
    <row r="114" spans="1:23" ht="15.75" thickTop="1" x14ac:dyDescent="0.25">
      <c r="A114" s="718"/>
      <c r="B114" s="378"/>
      <c r="C114" s="354"/>
      <c r="D114" s="427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420"/>
      <c r="Q114" s="420"/>
      <c r="R114" s="405"/>
      <c r="S114" s="354"/>
      <c r="T114" s="354"/>
      <c r="U114" s="354"/>
      <c r="V114" s="726"/>
      <c r="W114" s="303"/>
    </row>
    <row r="115" spans="1:23" x14ac:dyDescent="0.25">
      <c r="A115" s="716"/>
      <c r="B115" s="368"/>
      <c r="C115" s="366"/>
      <c r="D115" s="60"/>
      <c r="E115" s="369"/>
      <c r="F115" s="370"/>
      <c r="G115" s="369"/>
      <c r="H115" s="369"/>
      <c r="I115" s="371"/>
      <c r="J115" s="339"/>
      <c r="K115" s="339"/>
      <c r="L115" s="339"/>
      <c r="M115" s="369"/>
      <c r="N115" s="261"/>
      <c r="O115" s="261"/>
      <c r="P115" s="416"/>
      <c r="Q115" s="417"/>
      <c r="R115" s="403"/>
      <c r="S115" s="339"/>
      <c r="T115" s="372"/>
      <c r="U115" s="372"/>
      <c r="V115" s="726"/>
      <c r="W115" s="303"/>
    </row>
    <row r="116" spans="1:23" ht="15.75" thickBot="1" x14ac:dyDescent="0.3">
      <c r="A116" s="710"/>
      <c r="B116" s="362"/>
      <c r="C116" s="362"/>
      <c r="D116" s="71"/>
      <c r="E116" s="374"/>
      <c r="F116" s="375"/>
      <c r="G116" s="374"/>
      <c r="H116" s="374"/>
      <c r="I116" s="376"/>
      <c r="J116" s="377"/>
      <c r="K116" s="377"/>
      <c r="L116" s="377"/>
      <c r="M116" s="374"/>
      <c r="N116" s="294"/>
      <c r="O116" s="294"/>
      <c r="P116" s="418"/>
      <c r="Q116" s="419"/>
      <c r="R116" s="404"/>
      <c r="S116" s="377"/>
      <c r="T116" s="374"/>
      <c r="U116" s="374"/>
      <c r="V116" s="726"/>
      <c r="W116" s="303"/>
    </row>
    <row r="117" spans="1:23" ht="15.75" thickTop="1" x14ac:dyDescent="0.25">
      <c r="A117" s="718"/>
      <c r="B117" s="378"/>
      <c r="C117" s="354"/>
      <c r="D117" s="427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420"/>
      <c r="Q117" s="420"/>
      <c r="R117" s="405"/>
      <c r="S117" s="354"/>
      <c r="T117" s="354"/>
      <c r="U117" s="354"/>
      <c r="V117" s="726"/>
      <c r="W117" s="303"/>
    </row>
    <row r="118" spans="1:23" x14ac:dyDescent="0.25">
      <c r="A118" s="716"/>
      <c r="B118" s="368"/>
      <c r="C118" s="366"/>
      <c r="D118" s="60"/>
      <c r="E118" s="369"/>
      <c r="F118" s="370"/>
      <c r="G118" s="369"/>
      <c r="H118" s="369"/>
      <c r="I118" s="371"/>
      <c r="J118" s="339"/>
      <c r="K118" s="339"/>
      <c r="L118" s="339"/>
      <c r="M118" s="369"/>
      <c r="N118" s="261"/>
      <c r="O118" s="261"/>
      <c r="P118" s="416"/>
      <c r="Q118" s="417"/>
      <c r="R118" s="403"/>
      <c r="S118" s="339"/>
      <c r="T118" s="372"/>
      <c r="U118" s="372"/>
      <c r="V118" s="726"/>
      <c r="W118" s="303"/>
    </row>
    <row r="119" spans="1:23" ht="15.75" thickBot="1" x14ac:dyDescent="0.3">
      <c r="A119" s="710"/>
      <c r="B119" s="362"/>
      <c r="C119" s="362"/>
      <c r="D119" s="71"/>
      <c r="E119" s="374"/>
      <c r="F119" s="375"/>
      <c r="G119" s="374"/>
      <c r="H119" s="374"/>
      <c r="I119" s="376"/>
      <c r="J119" s="377"/>
      <c r="K119" s="377"/>
      <c r="L119" s="377"/>
      <c r="M119" s="374"/>
      <c r="N119" s="294"/>
      <c r="O119" s="294"/>
      <c r="P119" s="418"/>
      <c r="Q119" s="419"/>
      <c r="R119" s="404"/>
      <c r="S119" s="377"/>
      <c r="T119" s="374"/>
      <c r="U119" s="374"/>
      <c r="V119" s="726"/>
      <c r="W119" s="303"/>
    </row>
    <row r="120" spans="1:23" ht="15.75" thickTop="1" x14ac:dyDescent="0.25">
      <c r="A120" s="718"/>
      <c r="B120" s="378"/>
      <c r="C120" s="354"/>
      <c r="D120" s="427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420"/>
      <c r="Q120" s="420"/>
      <c r="R120" s="405"/>
      <c r="S120" s="354"/>
      <c r="T120" s="354"/>
      <c r="U120" s="354"/>
      <c r="V120" s="726"/>
      <c r="W120" s="303"/>
    </row>
    <row r="121" spans="1:23" x14ac:dyDescent="0.25">
      <c r="A121" s="716"/>
      <c r="B121" s="368"/>
      <c r="C121" s="366"/>
      <c r="D121" s="60"/>
      <c r="E121" s="369"/>
      <c r="F121" s="370"/>
      <c r="G121" s="369"/>
      <c r="H121" s="369"/>
      <c r="I121" s="371"/>
      <c r="J121" s="339"/>
      <c r="K121" s="339"/>
      <c r="L121" s="339"/>
      <c r="M121" s="369"/>
      <c r="N121" s="261"/>
      <c r="O121" s="261"/>
      <c r="P121" s="416"/>
      <c r="Q121" s="417"/>
      <c r="R121" s="403"/>
      <c r="S121" s="339"/>
      <c r="T121" s="372"/>
      <c r="U121" s="372"/>
      <c r="V121" s="726"/>
      <c r="W121" s="303"/>
    </row>
    <row r="122" spans="1:23" ht="15.75" thickBot="1" x14ac:dyDescent="0.3">
      <c r="A122" s="710"/>
      <c r="B122" s="362"/>
      <c r="C122" s="362"/>
      <c r="D122" s="71"/>
      <c r="E122" s="374"/>
      <c r="F122" s="375"/>
      <c r="G122" s="374"/>
      <c r="H122" s="374"/>
      <c r="I122" s="376"/>
      <c r="J122" s="377"/>
      <c r="K122" s="377"/>
      <c r="L122" s="377"/>
      <c r="M122" s="374"/>
      <c r="N122" s="294"/>
      <c r="O122" s="294"/>
      <c r="P122" s="418"/>
      <c r="Q122" s="419"/>
      <c r="R122" s="404"/>
      <c r="S122" s="377"/>
      <c r="T122" s="374"/>
      <c r="U122" s="374"/>
      <c r="V122" s="726"/>
      <c r="W122" s="303"/>
    </row>
    <row r="123" spans="1:23" ht="15.75" thickTop="1" x14ac:dyDescent="0.25">
      <c r="A123" s="718"/>
      <c r="B123" s="378"/>
      <c r="C123" s="354"/>
      <c r="D123" s="427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420"/>
      <c r="Q123" s="420"/>
      <c r="R123" s="405"/>
      <c r="S123" s="354"/>
      <c r="T123" s="354"/>
      <c r="U123" s="354"/>
      <c r="V123" s="726"/>
      <c r="W123" s="303"/>
    </row>
    <row r="124" spans="1:23" x14ac:dyDescent="0.25">
      <c r="A124" s="716"/>
      <c r="B124" s="368"/>
      <c r="C124" s="366"/>
      <c r="D124" s="60"/>
      <c r="E124" s="369"/>
      <c r="F124" s="370"/>
      <c r="G124" s="369"/>
      <c r="H124" s="369"/>
      <c r="I124" s="371"/>
      <c r="J124" s="339"/>
      <c r="K124" s="339"/>
      <c r="L124" s="339"/>
      <c r="M124" s="369"/>
      <c r="N124" s="261"/>
      <c r="O124" s="261"/>
      <c r="P124" s="416"/>
      <c r="Q124" s="417"/>
      <c r="R124" s="403"/>
      <c r="S124" s="339"/>
      <c r="T124" s="372"/>
      <c r="U124" s="372"/>
      <c r="V124" s="726"/>
      <c r="W124" s="303"/>
    </row>
    <row r="125" spans="1:23" ht="15.75" thickBot="1" x14ac:dyDescent="0.3">
      <c r="A125" s="710"/>
      <c r="B125" s="362"/>
      <c r="C125" s="362"/>
      <c r="D125" s="71"/>
      <c r="E125" s="374"/>
      <c r="F125" s="375"/>
      <c r="G125" s="374"/>
      <c r="H125" s="374"/>
      <c r="I125" s="376"/>
      <c r="J125" s="377"/>
      <c r="K125" s="377"/>
      <c r="L125" s="377"/>
      <c r="M125" s="374"/>
      <c r="N125" s="294"/>
      <c r="O125" s="294"/>
      <c r="P125" s="418"/>
      <c r="Q125" s="419"/>
      <c r="R125" s="404"/>
      <c r="S125" s="377"/>
      <c r="T125" s="374"/>
      <c r="U125" s="374"/>
      <c r="V125" s="726"/>
      <c r="W125" s="303"/>
    </row>
    <row r="126" spans="1:23" ht="15.75" thickTop="1" x14ac:dyDescent="0.25">
      <c r="A126" s="718"/>
      <c r="B126" s="378"/>
      <c r="C126" s="354"/>
      <c r="D126" s="427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420"/>
      <c r="Q126" s="420"/>
      <c r="R126" s="405"/>
      <c r="S126" s="354"/>
      <c r="T126" s="354"/>
      <c r="U126" s="354"/>
      <c r="V126" s="726"/>
      <c r="W126" s="303"/>
    </row>
    <row r="127" spans="1:23" x14ac:dyDescent="0.25">
      <c r="A127" s="716"/>
      <c r="B127" s="368"/>
      <c r="C127" s="366"/>
      <c r="D127" s="60"/>
      <c r="E127" s="369"/>
      <c r="F127" s="370"/>
      <c r="G127" s="369"/>
      <c r="H127" s="369"/>
      <c r="I127" s="371"/>
      <c r="J127" s="339"/>
      <c r="K127" s="339"/>
      <c r="L127" s="339"/>
      <c r="M127" s="369"/>
      <c r="N127" s="261"/>
      <c r="O127" s="261"/>
      <c r="P127" s="416"/>
      <c r="Q127" s="417"/>
      <c r="R127" s="403"/>
      <c r="S127" s="339"/>
      <c r="T127" s="372"/>
      <c r="U127" s="372"/>
      <c r="V127" s="726"/>
      <c r="W127" s="303"/>
    </row>
    <row r="128" spans="1:23" ht="15.75" thickBot="1" x14ac:dyDescent="0.3">
      <c r="A128" s="710"/>
      <c r="B128" s="362"/>
      <c r="C128" s="362"/>
      <c r="D128" s="71"/>
      <c r="E128" s="374"/>
      <c r="F128" s="375"/>
      <c r="G128" s="374"/>
      <c r="H128" s="374"/>
      <c r="I128" s="376"/>
      <c r="J128" s="377"/>
      <c r="K128" s="377"/>
      <c r="L128" s="377"/>
      <c r="M128" s="374"/>
      <c r="N128" s="294"/>
      <c r="O128" s="294"/>
      <c r="P128" s="418"/>
      <c r="Q128" s="419"/>
      <c r="R128" s="404"/>
      <c r="S128" s="377"/>
      <c r="T128" s="374"/>
      <c r="U128" s="374"/>
      <c r="V128" s="726"/>
      <c r="W128" s="303"/>
    </row>
    <row r="129" spans="1:23" ht="15.75" thickTop="1" x14ac:dyDescent="0.25">
      <c r="A129" s="718"/>
      <c r="B129" s="378"/>
      <c r="C129" s="354"/>
      <c r="D129" s="427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420"/>
      <c r="Q129" s="420"/>
      <c r="R129" s="405"/>
      <c r="S129" s="354"/>
      <c r="T129" s="354"/>
      <c r="U129" s="354"/>
      <c r="V129" s="726"/>
      <c r="W129" s="303"/>
    </row>
    <row r="130" spans="1:23" x14ac:dyDescent="0.25">
      <c r="A130" s="716"/>
      <c r="B130" s="368"/>
      <c r="C130" s="366"/>
      <c r="D130" s="60"/>
      <c r="E130" s="369"/>
      <c r="F130" s="370"/>
      <c r="G130" s="369"/>
      <c r="H130" s="369"/>
      <c r="I130" s="371"/>
      <c r="J130" s="339"/>
      <c r="K130" s="339"/>
      <c r="L130" s="339"/>
      <c r="M130" s="369"/>
      <c r="N130" s="261"/>
      <c r="O130" s="261"/>
      <c r="P130" s="416"/>
      <c r="Q130" s="417"/>
      <c r="R130" s="403"/>
      <c r="S130" s="339"/>
      <c r="T130" s="372"/>
      <c r="U130" s="372"/>
      <c r="V130" s="726"/>
      <c r="W130" s="303"/>
    </row>
    <row r="131" spans="1:23" ht="15.75" thickBot="1" x14ac:dyDescent="0.3">
      <c r="A131" s="710"/>
      <c r="B131" s="362"/>
      <c r="C131" s="362"/>
      <c r="D131" s="71"/>
      <c r="E131" s="374"/>
      <c r="F131" s="375"/>
      <c r="G131" s="374"/>
      <c r="H131" s="374"/>
      <c r="I131" s="376"/>
      <c r="J131" s="377"/>
      <c r="K131" s="377"/>
      <c r="L131" s="377"/>
      <c r="M131" s="374"/>
      <c r="N131" s="294"/>
      <c r="O131" s="294"/>
      <c r="P131" s="418"/>
      <c r="Q131" s="419"/>
      <c r="R131" s="404"/>
      <c r="S131" s="377"/>
      <c r="T131" s="374"/>
      <c r="U131" s="374"/>
      <c r="V131" s="726"/>
      <c r="W131" s="303"/>
    </row>
    <row r="132" spans="1:23" ht="15.75" thickTop="1" x14ac:dyDescent="0.25">
      <c r="A132" s="718"/>
      <c r="B132" s="378"/>
      <c r="C132" s="354"/>
      <c r="D132" s="427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420"/>
      <c r="Q132" s="420"/>
      <c r="R132" s="405"/>
      <c r="S132" s="354"/>
      <c r="T132" s="354"/>
      <c r="U132" s="354"/>
      <c r="V132" s="726"/>
      <c r="W132" s="303"/>
    </row>
    <row r="133" spans="1:23" x14ac:dyDescent="0.25">
      <c r="A133" s="716"/>
      <c r="B133" s="368"/>
      <c r="C133" s="366"/>
      <c r="D133" s="60"/>
      <c r="E133" s="369"/>
      <c r="F133" s="370"/>
      <c r="G133" s="369"/>
      <c r="H133" s="369"/>
      <c r="I133" s="371"/>
      <c r="J133" s="339"/>
      <c r="K133" s="339"/>
      <c r="L133" s="339"/>
      <c r="M133" s="369"/>
      <c r="N133" s="261"/>
      <c r="O133" s="261"/>
      <c r="P133" s="416"/>
      <c r="Q133" s="417"/>
      <c r="R133" s="403"/>
      <c r="S133" s="339"/>
      <c r="T133" s="372"/>
      <c r="U133" s="372"/>
      <c r="V133" s="726"/>
      <c r="W133" s="303"/>
    </row>
    <row r="134" spans="1:23" ht="15.75" thickBot="1" x14ac:dyDescent="0.3">
      <c r="A134" s="710"/>
      <c r="B134" s="362"/>
      <c r="C134" s="362"/>
      <c r="D134" s="71"/>
      <c r="E134" s="374"/>
      <c r="F134" s="375"/>
      <c r="G134" s="374"/>
      <c r="H134" s="374"/>
      <c r="I134" s="376"/>
      <c r="J134" s="377"/>
      <c r="K134" s="377"/>
      <c r="L134" s="377"/>
      <c r="M134" s="374"/>
      <c r="N134" s="294"/>
      <c r="O134" s="294"/>
      <c r="P134" s="418"/>
      <c r="Q134" s="419"/>
      <c r="R134" s="404"/>
      <c r="S134" s="377"/>
      <c r="T134" s="374"/>
      <c r="U134" s="374"/>
      <c r="V134" s="726"/>
      <c r="W134" s="303"/>
    </row>
    <row r="135" spans="1:23" ht="15.75" thickTop="1" x14ac:dyDescent="0.25">
      <c r="A135" s="718"/>
      <c r="B135" s="378"/>
      <c r="C135" s="354"/>
      <c r="D135" s="427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420"/>
      <c r="Q135" s="420"/>
      <c r="R135" s="405"/>
      <c r="S135" s="354"/>
      <c r="T135" s="354"/>
      <c r="U135" s="354"/>
      <c r="V135" s="726"/>
      <c r="W135" s="303"/>
    </row>
    <row r="136" spans="1:23" x14ac:dyDescent="0.25">
      <c r="A136" s="716"/>
      <c r="B136" s="368"/>
      <c r="C136" s="366"/>
      <c r="D136" s="60"/>
      <c r="E136" s="369"/>
      <c r="F136" s="370"/>
      <c r="G136" s="369"/>
      <c r="H136" s="369"/>
      <c r="I136" s="371"/>
      <c r="J136" s="339"/>
      <c r="K136" s="339"/>
      <c r="L136" s="339"/>
      <c r="M136" s="369"/>
      <c r="N136" s="261"/>
      <c r="O136" s="261"/>
      <c r="P136" s="416"/>
      <c r="Q136" s="417"/>
      <c r="R136" s="403"/>
      <c r="S136" s="339"/>
      <c r="T136" s="372"/>
      <c r="U136" s="372"/>
      <c r="V136" s="726"/>
      <c r="W136" s="303"/>
    </row>
    <row r="137" spans="1:23" ht="15.75" thickBot="1" x14ac:dyDescent="0.3">
      <c r="A137" s="710"/>
      <c r="B137" s="362"/>
      <c r="C137" s="362"/>
      <c r="D137" s="71"/>
      <c r="E137" s="374"/>
      <c r="F137" s="375"/>
      <c r="G137" s="374"/>
      <c r="H137" s="374"/>
      <c r="I137" s="376"/>
      <c r="J137" s="377"/>
      <c r="K137" s="377"/>
      <c r="L137" s="377"/>
      <c r="M137" s="374"/>
      <c r="N137" s="294"/>
      <c r="O137" s="294"/>
      <c r="P137" s="418"/>
      <c r="Q137" s="419"/>
      <c r="R137" s="404"/>
      <c r="S137" s="377"/>
      <c r="T137" s="374"/>
      <c r="U137" s="374"/>
      <c r="V137" s="726"/>
      <c r="W137" s="303"/>
    </row>
    <row r="138" spans="1:23" ht="15.75" thickTop="1" x14ac:dyDescent="0.25">
      <c r="A138" s="718"/>
      <c r="B138" s="378"/>
      <c r="C138" s="354"/>
      <c r="D138" s="427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420"/>
      <c r="Q138" s="420"/>
      <c r="R138" s="405"/>
      <c r="S138" s="354"/>
      <c r="T138" s="354"/>
      <c r="U138" s="354"/>
      <c r="V138" s="726"/>
      <c r="W138" s="303"/>
    </row>
    <row r="139" spans="1:23" x14ac:dyDescent="0.25">
      <c r="A139" s="716"/>
      <c r="B139" s="368"/>
      <c r="C139" s="366"/>
      <c r="D139" s="60"/>
      <c r="E139" s="369"/>
      <c r="F139" s="370"/>
      <c r="G139" s="369"/>
      <c r="H139" s="369"/>
      <c r="I139" s="371"/>
      <c r="J139" s="339"/>
      <c r="K139" s="339"/>
      <c r="L139" s="339"/>
      <c r="M139" s="369"/>
      <c r="N139" s="261"/>
      <c r="O139" s="261"/>
      <c r="P139" s="416"/>
      <c r="Q139" s="417"/>
      <c r="R139" s="403"/>
      <c r="S139" s="339"/>
      <c r="T139" s="372"/>
      <c r="U139" s="372"/>
      <c r="V139" s="726"/>
      <c r="W139" s="303"/>
    </row>
    <row r="140" spans="1:23" ht="15.75" thickBot="1" x14ac:dyDescent="0.3">
      <c r="A140" s="710"/>
      <c r="B140" s="362"/>
      <c r="C140" s="362"/>
      <c r="D140" s="71"/>
      <c r="E140" s="374"/>
      <c r="F140" s="375"/>
      <c r="G140" s="374"/>
      <c r="H140" s="374"/>
      <c r="I140" s="376"/>
      <c r="J140" s="377"/>
      <c r="K140" s="377"/>
      <c r="L140" s="377"/>
      <c r="M140" s="374"/>
      <c r="N140" s="294"/>
      <c r="O140" s="294"/>
      <c r="P140" s="418"/>
      <c r="Q140" s="419"/>
      <c r="R140" s="404"/>
      <c r="S140" s="377"/>
      <c r="T140" s="374"/>
      <c r="U140" s="374"/>
      <c r="V140" s="726"/>
      <c r="W140" s="303"/>
    </row>
    <row r="141" spans="1:23" ht="15.75" thickTop="1" x14ac:dyDescent="0.25"/>
  </sheetData>
  <conditionalFormatting sqref="N59:P61 M58:O58 K51:L51 L56:N56 N50:P50">
    <cfRule type="cellIs" dxfId="18" priority="43" operator="greaterThan">
      <formula>0</formula>
    </cfRule>
  </conditionalFormatting>
  <conditionalFormatting sqref="M56:O56 R90:R95 R66:R86">
    <cfRule type="cellIs" dxfId="17" priority="39" operator="lessThan">
      <formula>0</formula>
    </cfRule>
  </conditionalFormatting>
  <conditionalFormatting sqref="L56">
    <cfRule type="cellIs" dxfId="16" priority="34" operator="lessThan">
      <formula>0</formula>
    </cfRule>
  </conditionalFormatting>
  <conditionalFormatting sqref="B53:B57">
    <cfRule type="cellIs" dxfId="15" priority="30" operator="greaterThanOrEqual">
      <formula>1</formula>
    </cfRule>
  </conditionalFormatting>
  <conditionalFormatting sqref="R96:R98">
    <cfRule type="cellIs" dxfId="14" priority="19" operator="lessThan">
      <formula>0</formula>
    </cfRule>
  </conditionalFormatting>
  <conditionalFormatting sqref="R99:R101">
    <cfRule type="cellIs" dxfId="13" priority="18" operator="lessThan">
      <formula>0</formula>
    </cfRule>
  </conditionalFormatting>
  <conditionalFormatting sqref="R102:R104">
    <cfRule type="cellIs" dxfId="12" priority="17" operator="lessThan">
      <formula>0</formula>
    </cfRule>
  </conditionalFormatting>
  <conditionalFormatting sqref="R105:R107">
    <cfRule type="cellIs" dxfId="11" priority="16" operator="lessThan">
      <formula>0</formula>
    </cfRule>
  </conditionalFormatting>
  <conditionalFormatting sqref="R108:R110">
    <cfRule type="cellIs" dxfId="10" priority="15" operator="lessThan">
      <formula>0</formula>
    </cfRule>
  </conditionalFormatting>
  <conditionalFormatting sqref="R111:R113">
    <cfRule type="cellIs" dxfId="9" priority="14" operator="lessThan">
      <formula>0</formula>
    </cfRule>
  </conditionalFormatting>
  <conditionalFormatting sqref="R114:R116">
    <cfRule type="cellIs" dxfId="8" priority="13" operator="lessThan">
      <formula>0</formula>
    </cfRule>
  </conditionalFormatting>
  <conditionalFormatting sqref="R120:R122">
    <cfRule type="cellIs" dxfId="7" priority="10" operator="lessThan">
      <formula>0</formula>
    </cfRule>
  </conditionalFormatting>
  <conditionalFormatting sqref="R123:R125">
    <cfRule type="cellIs" dxfId="6" priority="9" operator="lessThan">
      <formula>0</formula>
    </cfRule>
  </conditionalFormatting>
  <conditionalFormatting sqref="R126:R128">
    <cfRule type="cellIs" dxfId="5" priority="8" operator="lessThan">
      <formula>0</formula>
    </cfRule>
  </conditionalFormatting>
  <conditionalFormatting sqref="R129:R131">
    <cfRule type="cellIs" dxfId="4" priority="7" operator="lessThan">
      <formula>0</formula>
    </cfRule>
  </conditionalFormatting>
  <conditionalFormatting sqref="R132:R134">
    <cfRule type="cellIs" dxfId="3" priority="6" operator="lessThan">
      <formula>0</formula>
    </cfRule>
  </conditionalFormatting>
  <conditionalFormatting sqref="R135:R137">
    <cfRule type="cellIs" dxfId="2" priority="5" operator="lessThan">
      <formula>0</formula>
    </cfRule>
  </conditionalFormatting>
  <conditionalFormatting sqref="R138:R140">
    <cfRule type="cellIs" dxfId="1" priority="4" operator="lessThan">
      <formula>0</formula>
    </cfRule>
  </conditionalFormatting>
  <conditionalFormatting sqref="R117:R119">
    <cfRule type="cellIs" dxfId="0" priority="3" operator="lessThan">
      <formula>0</formula>
    </cfRule>
  </conditionalFormatting>
  <pageMargins left="0.25" right="0.25" top="0.75" bottom="0.7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3]!Build_IMR_Risk_Report">
                <anchor moveWithCells="1" sizeWithCells="1">
                  <from>
                    <xdr:col>23</xdr:col>
                    <xdr:colOff>142875</xdr:colOff>
                    <xdr:row>0</xdr:row>
                    <xdr:rowOff>504825</xdr:rowOff>
                  </from>
                  <to>
                    <xdr:col>23</xdr:col>
                    <xdr:colOff>1257300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C44"/>
  <sheetViews>
    <sheetView workbookViewId="0"/>
  </sheetViews>
  <sheetFormatPr defaultColWidth="9.140625" defaultRowHeight="15" x14ac:dyDescent="0.25"/>
  <cols>
    <col min="1" max="1" width="9.140625" style="52"/>
    <col min="2" max="2" width="10" style="52" bestFit="1" customWidth="1"/>
    <col min="3" max="3" width="22.140625" style="52" customWidth="1"/>
    <col min="4" max="4" width="11.5703125" style="52" bestFit="1" customWidth="1"/>
    <col min="5" max="5" width="10.140625" style="52" bestFit="1" customWidth="1"/>
    <col min="6" max="6" width="9.85546875" style="52" bestFit="1" customWidth="1"/>
    <col min="7" max="8" width="10.140625" style="52" bestFit="1" customWidth="1"/>
    <col min="9" max="12" width="9.140625" style="52"/>
    <col min="13" max="13" width="9.85546875" style="52" bestFit="1" customWidth="1"/>
    <col min="14" max="14" width="9.140625" style="52"/>
    <col min="15" max="15" width="11.5703125" style="52" bestFit="1" customWidth="1"/>
    <col min="16" max="16" width="11.5703125" style="52" customWidth="1"/>
    <col min="17" max="17" width="12.5703125" style="52" bestFit="1" customWidth="1"/>
    <col min="18" max="21" width="12.5703125" style="52" customWidth="1"/>
    <col min="22" max="22" width="12.140625" style="52" bestFit="1" customWidth="1"/>
    <col min="23" max="24" width="9.140625" style="52"/>
    <col min="25" max="25" width="10" style="52" bestFit="1" customWidth="1"/>
    <col min="26" max="28" width="9.140625" style="52"/>
    <col min="29" max="29" width="10" style="52" bestFit="1" customWidth="1"/>
    <col min="30" max="16384" width="9.140625" style="52"/>
  </cols>
  <sheetData>
    <row r="1" spans="1:29" s="1" customFormat="1" ht="45.75" customHeight="1" thickBot="1" x14ac:dyDescent="0.3"/>
    <row r="2" spans="1:29" s="28" customFormat="1" ht="24.75" thickTop="1" thickBot="1" x14ac:dyDescent="0.4">
      <c r="A2" s="27" t="s">
        <v>49</v>
      </c>
    </row>
    <row r="3" spans="1:29" ht="15.75" thickTop="1" x14ac:dyDescent="0.25"/>
    <row r="4" spans="1:29" ht="23.25" x14ac:dyDescent="0.35">
      <c r="A4" s="11" t="s">
        <v>26</v>
      </c>
      <c r="B4" s="12">
        <f>ValDate</f>
        <v>44651</v>
      </c>
      <c r="O4" s="52" t="s">
        <v>828</v>
      </c>
      <c r="P4" s="52" t="s">
        <v>828</v>
      </c>
      <c r="Q4" s="52" t="s">
        <v>625</v>
      </c>
      <c r="R4" s="52" t="s">
        <v>625</v>
      </c>
      <c r="S4" s="52" t="s">
        <v>7</v>
      </c>
      <c r="T4" s="52" t="s">
        <v>7</v>
      </c>
      <c r="U4" s="52" t="s">
        <v>1620</v>
      </c>
      <c r="V4" s="52" t="s">
        <v>1621</v>
      </c>
    </row>
    <row r="5" spans="1:29" x14ac:dyDescent="0.25">
      <c r="A5" s="2"/>
      <c r="B5" s="2"/>
      <c r="O5" s="52" t="s">
        <v>939</v>
      </c>
      <c r="P5" s="52" t="s">
        <v>948</v>
      </c>
      <c r="Q5" s="52" t="s">
        <v>330</v>
      </c>
      <c r="R5" s="52" t="s">
        <v>827</v>
      </c>
      <c r="S5" s="52" t="s">
        <v>330</v>
      </c>
      <c r="T5" s="52" t="s">
        <v>827</v>
      </c>
      <c r="U5" s="52" t="s">
        <v>827</v>
      </c>
      <c r="V5" s="52" t="s">
        <v>827</v>
      </c>
      <c r="AC5" s="52" t="s">
        <v>789</v>
      </c>
    </row>
    <row r="6" spans="1:29" x14ac:dyDescent="0.25">
      <c r="B6" s="1289" t="s">
        <v>368</v>
      </c>
      <c r="C6" s="1289"/>
      <c r="D6" s="1289"/>
      <c r="E6" s="1289"/>
      <c r="F6" s="1289"/>
      <c r="G6" s="1289"/>
      <c r="H6" s="1289"/>
      <c r="I6" s="1289"/>
      <c r="O6" s="52">
        <f>VLOOKUP(O5,FX_TABLE,2,FALSE)</f>
        <v>1</v>
      </c>
      <c r="P6" s="52">
        <f>VLOOKUP(P5,FX_TABLE,2,FALSE)</f>
        <v>1.1065499999999999</v>
      </c>
      <c r="AC6" s="86">
        <v>43346</v>
      </c>
    </row>
    <row r="7" spans="1:29" x14ac:dyDescent="0.25">
      <c r="B7" s="87" t="s">
        <v>109</v>
      </c>
      <c r="C7" s="87" t="s">
        <v>110</v>
      </c>
      <c r="D7" s="52" t="s">
        <v>301</v>
      </c>
      <c r="E7" s="52" t="s">
        <v>302</v>
      </c>
      <c r="F7" s="87" t="s">
        <v>111</v>
      </c>
      <c r="G7" s="87" t="s">
        <v>112</v>
      </c>
      <c r="H7" s="87" t="s">
        <v>30</v>
      </c>
      <c r="I7" s="52" t="s">
        <v>367</v>
      </c>
      <c r="M7" s="765" t="s">
        <v>76</v>
      </c>
      <c r="N7" s="631" t="s">
        <v>60</v>
      </c>
      <c r="O7" s="810" t="str">
        <f>O5&amp;" "&amp;O4</f>
        <v>USD Bond</v>
      </c>
      <c r="P7" s="810" t="str">
        <f>P5&amp;" "&amp;P4</f>
        <v>EUR Bond</v>
      </c>
      <c r="Q7" s="631" t="str">
        <f>Q4&amp;" "&amp;Q5</f>
        <v>USG Reverse</v>
      </c>
      <c r="R7" s="631" t="str">
        <f>R4</f>
        <v>USG</v>
      </c>
      <c r="S7" s="631" t="str">
        <f>"Bund "&amp;S5</f>
        <v>Bund Reverse</v>
      </c>
      <c r="T7" s="631" t="str">
        <f>"Bund "&amp;T5</f>
        <v>Bund Repo</v>
      </c>
      <c r="U7" s="631" t="str">
        <f>U4</f>
        <v>USD Corp</v>
      </c>
      <c r="V7" s="631" t="str">
        <f>V4</f>
        <v>EUR Corp</v>
      </c>
      <c r="AC7" s="86">
        <v>43381</v>
      </c>
    </row>
    <row r="8" spans="1:29" x14ac:dyDescent="0.25">
      <c r="B8" s="52" t="s">
        <v>102</v>
      </c>
      <c r="C8" s="497" t="s">
        <v>493</v>
      </c>
      <c r="D8" s="503" t="e">
        <f>ROUND(_xll.BDP(C8,"PX_MID"),4)</f>
        <v>#VALUE!</v>
      </c>
      <c r="E8" s="499" t="e">
        <f>D8</f>
        <v>#VALUE!</v>
      </c>
      <c r="F8" s="500">
        <f>$B$4+1</f>
        <v>44652</v>
      </c>
      <c r="G8" s="500">
        <f>IF(WEEKDAY(F8,2)&lt;6,F8,F8+8-WEEKDAY(F8,2))</f>
        <v>44652</v>
      </c>
      <c r="H8" s="113" t="e">
        <f>E8/100</f>
        <v>#VALUE!</v>
      </c>
      <c r="I8" s="503" t="e">
        <f>ROUND(_xll.BDH(C8,"PX_MID",WORKDAY(ValDate,-1,Holidays),WORKDAY(ValDate,-1,Holidays)),4)</f>
        <v>#VALUE!</v>
      </c>
      <c r="K8" s="503"/>
      <c r="M8" s="10">
        <f>ValDate</f>
        <v>44651</v>
      </c>
      <c r="N8" s="809">
        <f>SUM('Risk Report'!D20:D23)/1000+'Risk Report'!D19*'Risk Report'!H19/1000</f>
        <v>769.55398271750005</v>
      </c>
      <c r="O8" s="809">
        <f>SUMIFS('Risk Report'!$D$9:$D$25,'Risk Report'!$F$9:$F$25,$M8,'Risk Report'!$C$9:$C$25,O$4,'Risk Report'!$G$9:$G$25,O$5)*O$6/1000</f>
        <v>0</v>
      </c>
      <c r="P8" s="809">
        <f>SUMIFS('Risk Report'!$D$9:$D$25,'Risk Report'!$F$9:$F$25,$M8,'Risk Report'!$C$9:$C$25,P$4,'Risk Report'!$G$9:$G$25,P$5)*P$6/1000</f>
        <v>0</v>
      </c>
      <c r="Q8" s="809">
        <f>SUMIFS('Repo Details and VaR'!$O$50:$O$71,'Repo Details and VaR'!$Q$50:$Q$71,'Repo Curves &amp; Graphs'!$M8,'Repo Details and VaR'!$O$50:$O$71,"&gt;0",'Repo Details and VaR'!$H$50:$H$71,'Repo Curves &amp; Graphs'!Q$4)/1000</f>
        <v>0</v>
      </c>
      <c r="R8" s="809">
        <f>SUMIFS('Repo Details and VaR'!$O$50:$O$71,'Repo Details and VaR'!$Q$50:$Q$71,'Repo Curves &amp; Graphs'!$M8,'Repo Details and VaR'!$O$50:$O$71,"&lt;0",'Repo Details and VaR'!$H$50:$H$71,'Repo Curves &amp; Graphs'!R$4)/1000</f>
        <v>0</v>
      </c>
      <c r="S8" s="809">
        <f>SUMIFS('Repo Details and VaR'!$O$50:$O$71,'Repo Details and VaR'!$Q$50:$Q$71,'Repo Curves &amp; Graphs'!$M8,'Repo Details and VaR'!$O$50:$O$71,"&gt;0",'Repo Details and VaR'!$H$50:$H$71,'Repo Curves &amp; Graphs'!S$4)/1000</f>
        <v>0</v>
      </c>
      <c r="T8" s="809">
        <f>SUMIFS('Repo Details and VaR'!$O$50:$O$71,'Repo Details and VaR'!$Q$50:$Q$71,'Repo Curves &amp; Graphs'!$M8,'Repo Details and VaR'!$O$50:$O$71,"&lt;0",'Repo Details and VaR'!$H$50:$H$71,'Repo Curves &amp; Graphs'!T$4)/1000</f>
        <v>0</v>
      </c>
      <c r="U8" s="809">
        <f>SUMIFS('Repo Details and VaR'!$O$50:$O$71,'Repo Details and VaR'!$Q$50:$Q$71,'Repo Curves &amp; Graphs'!$M8,'Repo Details and VaR'!$O$50:$O$71,"&lt;0",'Repo Details and VaR'!$D$50:$D$71,"DOMESTIC MTN")/1000</f>
        <v>0</v>
      </c>
      <c r="V8" s="809">
        <f>SUMIFS('Repo Details and VaR'!$O$50:$O$71,'Repo Details and VaR'!$Q$50:$Q$71,'Repo Curves &amp; Graphs'!$M8,'Repo Details and VaR'!$O$50:$O$71,"&lt;0",'Repo Details and VaR'!$D$50:$D$71,"EURO MTN")/1000</f>
        <v>0</v>
      </c>
      <c r="AC8" s="86">
        <v>43416</v>
      </c>
    </row>
    <row r="9" spans="1:29" x14ac:dyDescent="0.25">
      <c r="B9" s="52" t="s">
        <v>103</v>
      </c>
      <c r="C9" s="497" t="s">
        <v>492</v>
      </c>
      <c r="D9" s="498" t="e">
        <f>ROUND(_xll.BDP(C9,"PX_MID"),4)</f>
        <v>#VALUE!</v>
      </c>
      <c r="E9" s="499" t="e">
        <f t="shared" ref="E9:E19" si="0">D9</f>
        <v>#VALUE!</v>
      </c>
      <c r="F9" s="500">
        <f>$B$4+7</f>
        <v>44658</v>
      </c>
      <c r="G9" s="500">
        <f>F9</f>
        <v>44658</v>
      </c>
      <c r="H9" s="113" t="e">
        <f t="shared" ref="H9:H14" si="1">E9/100</f>
        <v>#VALUE!</v>
      </c>
      <c r="I9" s="503" t="e">
        <f>ROUND(_xll.BDH(C9,"PX_MID",WORKDAY(ValDate,-1,Holidays),WORKDAY(ValDate,-1,Holidays)),4)</f>
        <v>#VALUE!</v>
      </c>
      <c r="K9" s="503"/>
      <c r="M9" s="10">
        <f t="shared" ref="M9:M43" si="2">WORKDAY(M8,1,Holidays)</f>
        <v>44652</v>
      </c>
      <c r="N9" s="809">
        <v>0</v>
      </c>
      <c r="O9" s="809">
        <f>SUMIFS('Risk Report'!$D$9:$D$25,'Risk Report'!$F$9:$F$25,$M9,'Risk Report'!$C$9:$C$25,O$4,'Risk Report'!$G$9:$G$25,O$5)*O$6/1000</f>
        <v>0</v>
      </c>
      <c r="P9" s="809">
        <f>SUMIFS('Risk Report'!$D$9:$D$25,'Risk Report'!$F$9:$F$25,$M9,'Risk Report'!$C$9:$C$25,P$4,'Risk Report'!$G$9:$G$25,P$5)*P$6/1000</f>
        <v>0</v>
      </c>
      <c r="Q9" s="809">
        <f>SUMIFS('Repo Details and VaR'!$O$50:$O$71,'Repo Details and VaR'!$Q$50:$Q$71,'Repo Curves &amp; Graphs'!$M9,'Repo Details and VaR'!$O$50:$O$71,"&gt;0",'Repo Details and VaR'!$H$50:$H$71,'Repo Curves &amp; Graphs'!Q$4)/1000</f>
        <v>0</v>
      </c>
      <c r="R9" s="809">
        <f>SUMIFS('Repo Details and VaR'!$O$50:$O$71,'Repo Details and VaR'!$Q$50:$Q$71,'Repo Curves &amp; Graphs'!$M9,'Repo Details and VaR'!$O$50:$O$71,"&lt;0",'Repo Details and VaR'!$H$50:$H$71,'Repo Curves &amp; Graphs'!R$4)/1000</f>
        <v>0</v>
      </c>
      <c r="S9" s="809">
        <f>SUMIFS('Repo Details and VaR'!$O$50:$O$71,'Repo Details and VaR'!$Q$50:$Q$71,'Repo Curves &amp; Graphs'!$M9,'Repo Details and VaR'!$O$50:$O$71,"&gt;0",'Repo Details and VaR'!$H$50:$H$71,'Repo Curves &amp; Graphs'!S$4)/1000</f>
        <v>0</v>
      </c>
      <c r="T9" s="809">
        <f>SUMIFS('Repo Details and VaR'!$O$50:$O$71,'Repo Details and VaR'!$Q$50:$Q$71,'Repo Curves &amp; Graphs'!$M9,'Repo Details and VaR'!$O$50:$O$71,"&lt;0",'Repo Details and VaR'!$H$50:$H$71,'Repo Curves &amp; Graphs'!T$4)/1000</f>
        <v>0</v>
      </c>
      <c r="U9" s="809">
        <f>SUMIFS('Repo Details and VaR'!$O$50:$O$71,'Repo Details and VaR'!$Q$50:$Q$71,'Repo Curves &amp; Graphs'!$M9,'Repo Details and VaR'!$O$50:$O$71,"&lt;0",'Repo Details and VaR'!$D$50:$D$71,"DOMESTIC MTN")/1000</f>
        <v>0</v>
      </c>
      <c r="V9" s="809">
        <f>SUMIFS('Repo Details and VaR'!$O$50:$O$71,'Repo Details and VaR'!$Q$50:$Q$71,'Repo Curves &amp; Graphs'!$M9,'Repo Details and VaR'!$O$50:$O$71,"&lt;0",'Repo Details and VaR'!$D$50:$D$71,"EURO MTN")/1000</f>
        <v>0</v>
      </c>
      <c r="AC9" s="86">
        <v>43426</v>
      </c>
    </row>
    <row r="10" spans="1:29" x14ac:dyDescent="0.25">
      <c r="B10" s="52" t="s">
        <v>104</v>
      </c>
      <c r="C10" s="497" t="s">
        <v>497</v>
      </c>
      <c r="D10" s="498" t="e">
        <f>ROUND(_xll.BDP(C10,"PX_MID"),4)</f>
        <v>#VALUE!</v>
      </c>
      <c r="E10" s="499" t="e">
        <f t="shared" si="0"/>
        <v>#VALUE!</v>
      </c>
      <c r="F10" s="500">
        <f>$B$4+7*2</f>
        <v>44665</v>
      </c>
      <c r="G10" s="500">
        <f>F10</f>
        <v>44665</v>
      </c>
      <c r="H10" s="113" t="e">
        <f t="shared" si="1"/>
        <v>#VALUE!</v>
      </c>
      <c r="I10" s="503" t="e">
        <f>ROUND(_xll.BDH(C10,"PX_MID",WORKDAY(ValDate,-1,Holidays),WORKDAY(ValDate,-1,Holidays)),4)</f>
        <v>#VALUE!</v>
      </c>
      <c r="M10" s="10">
        <f t="shared" si="2"/>
        <v>44655</v>
      </c>
      <c r="N10" s="809">
        <v>0</v>
      </c>
      <c r="O10" s="809">
        <f>SUMIFS('Risk Report'!$D$9:$D$25,'Risk Report'!$F$9:$F$25,$M10,'Risk Report'!$C$9:$C$25,O$4,'Risk Report'!$G$9:$G$25,O$5)*O$6/1000</f>
        <v>0</v>
      </c>
      <c r="P10" s="809">
        <f>SUMIFS('Risk Report'!$D$9:$D$25,'Risk Report'!$F$9:$F$25,$M10,'Risk Report'!$C$9:$C$25,P$4,'Risk Report'!$G$9:$G$25,P$5)*P$6/1000</f>
        <v>0</v>
      </c>
      <c r="Q10" s="809">
        <f>SUMIFS('Repo Details and VaR'!$O$50:$O$71,'Repo Details and VaR'!$Q$50:$Q$71,'Repo Curves &amp; Graphs'!$M10,'Repo Details and VaR'!$O$50:$O$71,"&gt;0",'Repo Details and VaR'!$H$50:$H$71,'Repo Curves &amp; Graphs'!Q$4)/1000</f>
        <v>0</v>
      </c>
      <c r="R10" s="809">
        <f>SUMIFS('Repo Details and VaR'!$O$50:$O$71,'Repo Details and VaR'!$Q$50:$Q$71,'Repo Curves &amp; Graphs'!$M10,'Repo Details and VaR'!$O$50:$O$71,"&lt;0",'Repo Details and VaR'!$H$50:$H$71,'Repo Curves &amp; Graphs'!R$4)/1000</f>
        <v>0</v>
      </c>
      <c r="S10" s="809">
        <f>SUMIFS('Repo Details and VaR'!$O$50:$O$71,'Repo Details and VaR'!$Q$50:$Q$71,'Repo Curves &amp; Graphs'!$M10,'Repo Details and VaR'!$O$50:$O$71,"&gt;0",'Repo Details and VaR'!$H$50:$H$71,'Repo Curves &amp; Graphs'!S$4)/1000</f>
        <v>0</v>
      </c>
      <c r="T10" s="809">
        <f>SUMIFS('Repo Details and VaR'!$O$50:$O$71,'Repo Details and VaR'!$Q$50:$Q$71,'Repo Curves &amp; Graphs'!$M10,'Repo Details and VaR'!$O$50:$O$71,"&lt;0",'Repo Details and VaR'!$H$50:$H$71,'Repo Curves &amp; Graphs'!T$4)/1000</f>
        <v>0</v>
      </c>
      <c r="U10" s="809">
        <f>SUMIFS('Repo Details and VaR'!$O$50:$O$71,'Repo Details and VaR'!$Q$50:$Q$71,'Repo Curves &amp; Graphs'!$M10,'Repo Details and VaR'!$O$50:$O$71,"&lt;0",'Repo Details and VaR'!$D$50:$D$71,"DOMESTIC MTN")/1000</f>
        <v>0</v>
      </c>
      <c r="V10" s="809">
        <f>SUMIFS('Repo Details and VaR'!$O$50:$O$71,'Repo Details and VaR'!$Q$50:$Q$71,'Repo Curves &amp; Graphs'!$M10,'Repo Details and VaR'!$O$50:$O$71,"&lt;0",'Repo Details and VaR'!$D$50:$D$71,"EURO MTN")/1000</f>
        <v>0</v>
      </c>
      <c r="AC10" s="86">
        <v>43459</v>
      </c>
    </row>
    <row r="11" spans="1:29" x14ac:dyDescent="0.25">
      <c r="B11" s="52" t="s">
        <v>105</v>
      </c>
      <c r="C11" s="497" t="s">
        <v>498</v>
      </c>
      <c r="D11" s="498" t="e">
        <f>ROUND(_xll.BDP(C11,"PX_MID"),4)</f>
        <v>#VALUE!</v>
      </c>
      <c r="E11" s="499" t="e">
        <f t="shared" si="0"/>
        <v>#VALUE!</v>
      </c>
      <c r="F11" s="500">
        <f>$B$4+7*3</f>
        <v>44672</v>
      </c>
      <c r="G11" s="500">
        <f>F11</f>
        <v>44672</v>
      </c>
      <c r="H11" s="113" t="e">
        <f t="shared" si="1"/>
        <v>#VALUE!</v>
      </c>
      <c r="I11" s="503" t="e">
        <f>ROUND(_xll.BDH(C11,"PX_MID",WORKDAY(ValDate,-1,Holidays),WORKDAY(ValDate,-1,Holidays)),4)</f>
        <v>#VALUE!</v>
      </c>
      <c r="M11" s="10">
        <f t="shared" si="2"/>
        <v>44656</v>
      </c>
      <c r="N11" s="809">
        <v>0</v>
      </c>
      <c r="O11" s="809">
        <f>SUMIFS('Risk Report'!$D$9:$D$25,'Risk Report'!$F$9:$F$25,$M11,'Risk Report'!$C$9:$C$25,O$4,'Risk Report'!$G$9:$G$25,O$5)*O$6/1000</f>
        <v>0</v>
      </c>
      <c r="P11" s="809">
        <f>SUMIFS('Risk Report'!$D$9:$D$25,'Risk Report'!$F$9:$F$25,$M11,'Risk Report'!$C$9:$C$25,P$4,'Risk Report'!$G$9:$G$25,P$5)*P$6/1000</f>
        <v>0</v>
      </c>
      <c r="Q11" s="809">
        <f>SUMIFS('Repo Details and VaR'!$O$50:$O$71,'Repo Details and VaR'!$Q$50:$Q$71,'Repo Curves &amp; Graphs'!$M11,'Repo Details and VaR'!$O$50:$O$71,"&gt;0",'Repo Details and VaR'!$H$50:$H$71,'Repo Curves &amp; Graphs'!Q$4)/1000</f>
        <v>0</v>
      </c>
      <c r="R11" s="809">
        <f>SUMIFS('Repo Details and VaR'!$O$50:$O$71,'Repo Details and VaR'!$Q$50:$Q$71,'Repo Curves &amp; Graphs'!$M11,'Repo Details and VaR'!$O$50:$O$71,"&lt;0",'Repo Details and VaR'!$H$50:$H$71,'Repo Curves &amp; Graphs'!R$4)/1000</f>
        <v>0</v>
      </c>
      <c r="S11" s="809">
        <f>SUMIFS('Repo Details and VaR'!$O$50:$O$71,'Repo Details and VaR'!$Q$50:$Q$71,'Repo Curves &amp; Graphs'!$M11,'Repo Details and VaR'!$O$50:$O$71,"&gt;0",'Repo Details and VaR'!$H$50:$H$71,'Repo Curves &amp; Graphs'!S$4)/1000</f>
        <v>0</v>
      </c>
      <c r="T11" s="809">
        <f>SUMIFS('Repo Details and VaR'!$O$50:$O$71,'Repo Details and VaR'!$Q$50:$Q$71,'Repo Curves &amp; Graphs'!$M11,'Repo Details and VaR'!$O$50:$O$71,"&lt;0",'Repo Details and VaR'!$H$50:$H$71,'Repo Curves &amp; Graphs'!T$4)/1000</f>
        <v>0</v>
      </c>
      <c r="U11" s="809">
        <f>SUMIFS('Repo Details and VaR'!$O$50:$O$71,'Repo Details and VaR'!$Q$50:$Q$71,'Repo Curves &amp; Graphs'!$M11,'Repo Details and VaR'!$O$50:$O$71,"&lt;0",'Repo Details and VaR'!$D$50:$D$71,"DOMESTIC MTN")/1000</f>
        <v>0</v>
      </c>
      <c r="V11" s="809">
        <f>SUMIFS('Repo Details and VaR'!$O$50:$O$71,'Repo Details and VaR'!$Q$50:$Q$71,'Repo Curves &amp; Graphs'!$M11,'Repo Details and VaR'!$O$50:$O$71,"&lt;0",'Repo Details and VaR'!$D$50:$D$71,"EURO MTN")/1000</f>
        <v>0</v>
      </c>
      <c r="AC11" s="86">
        <v>43466</v>
      </c>
    </row>
    <row r="12" spans="1:29" x14ac:dyDescent="0.25">
      <c r="B12" s="52" t="s">
        <v>106</v>
      </c>
      <c r="C12" s="497" t="s">
        <v>494</v>
      </c>
      <c r="D12" s="498" t="e">
        <f>ROUND(_xll.BDP(C12,"PX_MID"),4)</f>
        <v>#VALUE!</v>
      </c>
      <c r="E12" s="499" t="e">
        <f t="shared" si="0"/>
        <v>#VALUE!</v>
      </c>
      <c r="F12" s="500">
        <f>DATE(YEAR($B$4),MONTH($B$4)+1,DAY($B$4))</f>
        <v>44682</v>
      </c>
      <c r="G12" s="500">
        <f>IF(WEEKDAY(F12,2)&lt;6,F12,F12+8-WEEKDAY(F12,2))</f>
        <v>44683</v>
      </c>
      <c r="H12" s="113" t="e">
        <f t="shared" si="1"/>
        <v>#VALUE!</v>
      </c>
      <c r="I12" s="503" t="e">
        <f>ROUND(_xll.BDH(C12,"PX_MID",WORKDAY(ValDate,-1,Holidays),WORKDAY(ValDate,-1,Holidays)),4)</f>
        <v>#VALUE!</v>
      </c>
      <c r="M12" s="10">
        <f t="shared" si="2"/>
        <v>44657</v>
      </c>
      <c r="N12" s="809">
        <v>0</v>
      </c>
      <c r="O12" s="809">
        <f>SUMIFS('Risk Report'!$D$9:$D$25,'Risk Report'!$F$9:$F$25,$M12,'Risk Report'!$C$9:$C$25,O$4,'Risk Report'!$G$9:$G$25,O$5)*O$6/1000</f>
        <v>0</v>
      </c>
      <c r="P12" s="809">
        <f>SUMIFS('Risk Report'!$D$9:$D$25,'Risk Report'!$F$9:$F$25,$M12,'Risk Report'!$C$9:$C$25,P$4,'Risk Report'!$G$9:$G$25,P$5)*P$6/1000</f>
        <v>0</v>
      </c>
      <c r="Q12" s="809">
        <f>SUMIFS('Repo Details and VaR'!$O$50:$O$71,'Repo Details and VaR'!$Q$50:$Q$71,'Repo Curves &amp; Graphs'!$M12,'Repo Details and VaR'!$O$50:$O$71,"&gt;0",'Repo Details and VaR'!$H$50:$H$71,'Repo Curves &amp; Graphs'!Q$4)/1000</f>
        <v>0</v>
      </c>
      <c r="R12" s="809">
        <f>SUMIFS('Repo Details and VaR'!$O$50:$O$71,'Repo Details and VaR'!$Q$50:$Q$71,'Repo Curves &amp; Graphs'!$M12,'Repo Details and VaR'!$O$50:$O$71,"&lt;0",'Repo Details and VaR'!$H$50:$H$71,'Repo Curves &amp; Graphs'!R$4)/1000</f>
        <v>0</v>
      </c>
      <c r="S12" s="809">
        <f>SUMIFS('Repo Details and VaR'!$O$50:$O$71,'Repo Details and VaR'!$Q$50:$Q$71,'Repo Curves &amp; Graphs'!$M12,'Repo Details and VaR'!$O$50:$O$71,"&gt;0",'Repo Details and VaR'!$H$50:$H$71,'Repo Curves &amp; Graphs'!S$4)/1000</f>
        <v>0</v>
      </c>
      <c r="T12" s="809">
        <f>SUMIFS('Repo Details and VaR'!$O$50:$O$71,'Repo Details and VaR'!$Q$50:$Q$71,'Repo Curves &amp; Graphs'!$M12,'Repo Details and VaR'!$O$50:$O$71,"&lt;0",'Repo Details and VaR'!$H$50:$H$71,'Repo Curves &amp; Graphs'!T$4)/1000</f>
        <v>0</v>
      </c>
      <c r="U12" s="809">
        <f>SUMIFS('Repo Details and VaR'!$O$50:$O$71,'Repo Details and VaR'!$Q$50:$Q$71,'Repo Curves &amp; Graphs'!$M12,'Repo Details and VaR'!$O$50:$O$71,"&lt;0",'Repo Details and VaR'!$D$50:$D$71,"DOMESTIC MTN")/1000</f>
        <v>0</v>
      </c>
      <c r="V12" s="809">
        <f>SUMIFS('Repo Details and VaR'!$O$50:$O$71,'Repo Details and VaR'!$Q$50:$Q$71,'Repo Curves &amp; Graphs'!$M12,'Repo Details and VaR'!$O$50:$O$71,"&lt;0",'Repo Details and VaR'!$D$50:$D$71,"EURO MTN")/1000</f>
        <v>0</v>
      </c>
      <c r="AC12" s="86">
        <v>43486</v>
      </c>
    </row>
    <row r="13" spans="1:29" x14ac:dyDescent="0.25">
      <c r="B13" s="52" t="s">
        <v>107</v>
      </c>
      <c r="C13" s="52" t="s">
        <v>495</v>
      </c>
      <c r="D13" s="498" t="e">
        <f>ROUND(_xll.BDP(C13,"PX_MID"),4)</f>
        <v>#VALUE!</v>
      </c>
      <c r="E13" s="499" t="e">
        <f t="shared" si="0"/>
        <v>#VALUE!</v>
      </c>
      <c r="F13" s="86">
        <f>DATE(YEAR($B$4),MONTH($B$4)+2,DAY($B$4))</f>
        <v>44712</v>
      </c>
      <c r="G13" s="86">
        <f>IF(WEEKDAY(F13,2)&lt;6,F13,F13+8-WEEKDAY(F13,2))</f>
        <v>44712</v>
      </c>
      <c r="H13" s="113" t="e">
        <f t="shared" si="1"/>
        <v>#VALUE!</v>
      </c>
      <c r="I13" s="503" t="e">
        <f>ROUND(_xll.BDH(C13,"PX_MID",WORKDAY(ValDate,-1,Holidays),WORKDAY(ValDate,-1,Holidays)),4)</f>
        <v>#VALUE!</v>
      </c>
      <c r="M13" s="10">
        <f t="shared" si="2"/>
        <v>44658</v>
      </c>
      <c r="N13" s="809">
        <v>0</v>
      </c>
      <c r="O13" s="809">
        <f>SUMIFS('Risk Report'!$D$9:$D$25,'Risk Report'!$F$9:$F$25,$M13,'Risk Report'!$C$9:$C$25,O$4,'Risk Report'!$G$9:$G$25,O$5)*O$6/1000</f>
        <v>0</v>
      </c>
      <c r="P13" s="809">
        <f>SUMIFS('Risk Report'!$D$9:$D$25,'Risk Report'!$F$9:$F$25,$M13,'Risk Report'!$C$9:$C$25,P$4,'Risk Report'!$G$9:$G$25,P$5)*P$6/1000</f>
        <v>0</v>
      </c>
      <c r="Q13" s="809">
        <f>SUMIFS('Repo Details and VaR'!$O$50:$O$71,'Repo Details and VaR'!$Q$50:$Q$71,'Repo Curves &amp; Graphs'!$M13,'Repo Details and VaR'!$O$50:$O$71,"&gt;0",'Repo Details and VaR'!$H$50:$H$71,'Repo Curves &amp; Graphs'!Q$4)/1000</f>
        <v>0</v>
      </c>
      <c r="R13" s="809">
        <f>SUMIFS('Repo Details and VaR'!$O$50:$O$71,'Repo Details and VaR'!$Q$50:$Q$71,'Repo Curves &amp; Graphs'!$M13,'Repo Details and VaR'!$O$50:$O$71,"&lt;0",'Repo Details and VaR'!$H$50:$H$71,'Repo Curves &amp; Graphs'!R$4)/1000</f>
        <v>0</v>
      </c>
      <c r="S13" s="809">
        <f>SUMIFS('Repo Details and VaR'!$O$50:$O$71,'Repo Details and VaR'!$Q$50:$Q$71,'Repo Curves &amp; Graphs'!$M13,'Repo Details and VaR'!$O$50:$O$71,"&gt;0",'Repo Details and VaR'!$H$50:$H$71,'Repo Curves &amp; Graphs'!S$4)/1000</f>
        <v>0</v>
      </c>
      <c r="T13" s="809">
        <f>SUMIFS('Repo Details and VaR'!$O$50:$O$71,'Repo Details and VaR'!$Q$50:$Q$71,'Repo Curves &amp; Graphs'!$M13,'Repo Details and VaR'!$O$50:$O$71,"&lt;0",'Repo Details and VaR'!$H$50:$H$71,'Repo Curves &amp; Graphs'!T$4)/1000</f>
        <v>0</v>
      </c>
      <c r="U13" s="809">
        <f>SUMIFS('Repo Details and VaR'!$O$50:$O$71,'Repo Details and VaR'!$Q$50:$Q$71,'Repo Curves &amp; Graphs'!$M13,'Repo Details and VaR'!$O$50:$O$71,"&lt;0",'Repo Details and VaR'!$D$50:$D$71,"DOMESTIC MTN")/1000</f>
        <v>0</v>
      </c>
      <c r="V13" s="809">
        <f>SUMIFS('Repo Details and VaR'!$O$50:$O$71,'Repo Details and VaR'!$Q$50:$Q$71,'Repo Curves &amp; Graphs'!$M13,'Repo Details and VaR'!$O$50:$O$71,"&lt;0",'Repo Details and VaR'!$D$50:$D$71,"EURO MTN")/1000</f>
        <v>0</v>
      </c>
      <c r="AC13" s="86">
        <v>43514</v>
      </c>
    </row>
    <row r="14" spans="1:29" x14ac:dyDescent="0.25">
      <c r="B14" s="52" t="s">
        <v>108</v>
      </c>
      <c r="C14" s="52" t="s">
        <v>496</v>
      </c>
      <c r="D14" s="498" t="e">
        <f>ROUND(_xll.BDP(C14,"PX_MID"),4)</f>
        <v>#VALUE!</v>
      </c>
      <c r="E14" s="499" t="e">
        <f t="shared" si="0"/>
        <v>#VALUE!</v>
      </c>
      <c r="F14" s="86">
        <f>DATE(YEAR($B$4),MONTH($B$4)+3,DAY($B$4))</f>
        <v>44743</v>
      </c>
      <c r="G14" s="86">
        <f>IF(WEEKDAY(F14,2)&lt;6,F14,F14+8-WEEKDAY(F14,2))</f>
        <v>44743</v>
      </c>
      <c r="H14" s="113" t="e">
        <f t="shared" si="1"/>
        <v>#VALUE!</v>
      </c>
      <c r="I14" s="503" t="e">
        <f>ROUND(_xll.BDH(C14,"PX_MID",WORKDAY(ValDate,-1,Holidays),WORKDAY(ValDate,-1,Holidays)),4)</f>
        <v>#VALUE!</v>
      </c>
      <c r="M14" s="10">
        <f t="shared" si="2"/>
        <v>44659</v>
      </c>
      <c r="N14" s="809">
        <v>0</v>
      </c>
      <c r="O14" s="809">
        <f>SUMIFS('Risk Report'!$D$9:$D$25,'Risk Report'!$F$9:$F$25,$M14,'Risk Report'!$C$9:$C$25,O$4,'Risk Report'!$G$9:$G$25,O$5)*O$6/1000</f>
        <v>0</v>
      </c>
      <c r="P14" s="809">
        <f>SUMIFS('Risk Report'!$D$9:$D$25,'Risk Report'!$F$9:$F$25,$M14,'Risk Report'!$C$9:$C$25,P$4,'Risk Report'!$G$9:$G$25,P$5)*P$6/1000</f>
        <v>0</v>
      </c>
      <c r="Q14" s="809">
        <f>SUMIFS('Repo Details and VaR'!$O$50:$O$71,'Repo Details and VaR'!$Q$50:$Q$71,'Repo Curves &amp; Graphs'!$M14,'Repo Details and VaR'!$O$50:$O$71,"&gt;0",'Repo Details and VaR'!$H$50:$H$71,'Repo Curves &amp; Graphs'!Q$4)/1000</f>
        <v>0</v>
      </c>
      <c r="R14" s="809">
        <f>SUMIFS('Repo Details and VaR'!$O$50:$O$71,'Repo Details and VaR'!$Q$50:$Q$71,'Repo Curves &amp; Graphs'!$M14,'Repo Details and VaR'!$O$50:$O$71,"&lt;0",'Repo Details and VaR'!$H$50:$H$71,'Repo Curves &amp; Graphs'!R$4)/1000</f>
        <v>0</v>
      </c>
      <c r="S14" s="809">
        <f>SUMIFS('Repo Details and VaR'!$O$50:$O$71,'Repo Details and VaR'!$Q$50:$Q$71,'Repo Curves &amp; Graphs'!$M14,'Repo Details and VaR'!$O$50:$O$71,"&gt;0",'Repo Details and VaR'!$H$50:$H$71,'Repo Curves &amp; Graphs'!S$4)/1000</f>
        <v>0</v>
      </c>
      <c r="T14" s="809">
        <f>SUMIFS('Repo Details and VaR'!$O$50:$O$71,'Repo Details and VaR'!$Q$50:$Q$71,'Repo Curves &amp; Graphs'!$M14,'Repo Details and VaR'!$O$50:$O$71,"&lt;0",'Repo Details and VaR'!$H$50:$H$71,'Repo Curves &amp; Graphs'!T$4)/1000</f>
        <v>0</v>
      </c>
      <c r="U14" s="809">
        <f>SUMIFS('Repo Details and VaR'!$O$50:$O$71,'Repo Details and VaR'!$Q$50:$Q$71,'Repo Curves &amp; Graphs'!$M14,'Repo Details and VaR'!$O$50:$O$71,"&lt;0",'Repo Details and VaR'!$D$50:$D$71,"DOMESTIC MTN")/1000</f>
        <v>0</v>
      </c>
      <c r="V14" s="809">
        <f>SUMIFS('Repo Details and VaR'!$O$50:$O$71,'Repo Details and VaR'!$Q$50:$Q$71,'Repo Curves &amp; Graphs'!$M14,'Repo Details and VaR'!$O$50:$O$71,"&lt;0",'Repo Details and VaR'!$D$50:$D$71,"EURO MTN")/1000</f>
        <v>0</v>
      </c>
      <c r="AC14" s="86">
        <v>43574</v>
      </c>
    </row>
    <row r="15" spans="1:29" x14ac:dyDescent="0.25">
      <c r="B15" s="52" t="s">
        <v>544</v>
      </c>
      <c r="C15" s="52" t="s">
        <v>546</v>
      </c>
      <c r="D15" s="232" t="e">
        <f>ROUND(_xll.BDP(C15,"PX mid"),4)</f>
        <v>#VALUE!</v>
      </c>
      <c r="E15" s="499" t="e">
        <f t="shared" si="0"/>
        <v>#VALUE!</v>
      </c>
      <c r="I15" s="503" t="e">
        <f>ROUND(_xll.BDH(C15,"PX_MID",WORKDAY(ValDate,-1,Holidays),WORKDAY(ValDate,-1,Holidays)),4)</f>
        <v>#VALUE!</v>
      </c>
      <c r="M15" s="10">
        <f t="shared" si="2"/>
        <v>44662</v>
      </c>
      <c r="N15" s="809">
        <v>0</v>
      </c>
      <c r="O15" s="809">
        <f>SUMIFS('Risk Report'!$D$9:$D$25,'Risk Report'!$F$9:$F$25,$M15,'Risk Report'!$C$9:$C$25,O$4,'Risk Report'!$G$9:$G$25,O$5)*O$6/1000</f>
        <v>0</v>
      </c>
      <c r="P15" s="809">
        <f>SUMIFS('Risk Report'!$D$9:$D$25,'Risk Report'!$F$9:$F$25,$M15,'Risk Report'!$C$9:$C$25,P$4,'Risk Report'!$G$9:$G$25,P$5)*P$6/1000</f>
        <v>0</v>
      </c>
      <c r="Q15" s="809">
        <f>SUMIFS('Repo Details and VaR'!$O$50:$O$71,'Repo Details and VaR'!$Q$50:$Q$71,'Repo Curves &amp; Graphs'!$M15,'Repo Details and VaR'!$O$50:$O$71,"&gt;0",'Repo Details and VaR'!$H$50:$H$71,'Repo Curves &amp; Graphs'!Q$4)/1000</f>
        <v>0</v>
      </c>
      <c r="R15" s="809">
        <f>SUMIFS('Repo Details and VaR'!$O$50:$O$71,'Repo Details and VaR'!$Q$50:$Q$71,'Repo Curves &amp; Graphs'!$M15,'Repo Details and VaR'!$O$50:$O$71,"&lt;0",'Repo Details and VaR'!$H$50:$H$71,'Repo Curves &amp; Graphs'!R$4)/1000</f>
        <v>0</v>
      </c>
      <c r="S15" s="809">
        <f>SUMIFS('Repo Details and VaR'!$O$50:$O$71,'Repo Details and VaR'!$Q$50:$Q$71,'Repo Curves &amp; Graphs'!$M15,'Repo Details and VaR'!$O$50:$O$71,"&gt;0",'Repo Details and VaR'!$H$50:$H$71,'Repo Curves &amp; Graphs'!S$4)/1000</f>
        <v>0</v>
      </c>
      <c r="T15" s="809">
        <f>SUMIFS('Repo Details and VaR'!$O$50:$O$71,'Repo Details and VaR'!$Q$50:$Q$71,'Repo Curves &amp; Graphs'!$M15,'Repo Details and VaR'!$O$50:$O$71,"&lt;0",'Repo Details and VaR'!$H$50:$H$71,'Repo Curves &amp; Graphs'!T$4)/1000</f>
        <v>0</v>
      </c>
      <c r="U15" s="809">
        <f>SUMIFS('Repo Details and VaR'!$O$50:$O$71,'Repo Details and VaR'!$Q$50:$Q$71,'Repo Curves &amp; Graphs'!$M15,'Repo Details and VaR'!$O$50:$O$71,"&lt;0",'Repo Details and VaR'!$D$50:$D$71,"DOMESTIC MTN")/1000</f>
        <v>0</v>
      </c>
      <c r="V15" s="809">
        <f>SUMIFS('Repo Details and VaR'!$O$50:$O$71,'Repo Details and VaR'!$Q$50:$Q$71,'Repo Curves &amp; Graphs'!$M15,'Repo Details and VaR'!$O$50:$O$71,"&lt;0",'Repo Details and VaR'!$D$50:$D$71,"EURO MTN")/1000</f>
        <v>0</v>
      </c>
      <c r="AC15" s="86">
        <v>43612</v>
      </c>
    </row>
    <row r="16" spans="1:29" x14ac:dyDescent="0.25">
      <c r="B16" s="52" t="s">
        <v>545</v>
      </c>
      <c r="C16" s="52" t="s">
        <v>547</v>
      </c>
      <c r="D16" s="232" t="e">
        <f>ROUND(_xll.BDP(C16,"PX mid"),4)</f>
        <v>#VALUE!</v>
      </c>
      <c r="E16" s="499" t="e">
        <f t="shared" si="0"/>
        <v>#VALUE!</v>
      </c>
      <c r="I16" s="503" t="e">
        <f>ROUND(_xll.BDH(C16,"PX_MID",WORKDAY(ValDate,-1,Holidays),WORKDAY(ValDate,-1,Holidays)),4)</f>
        <v>#VALUE!</v>
      </c>
      <c r="M16" s="10">
        <f t="shared" si="2"/>
        <v>44663</v>
      </c>
      <c r="N16" s="809">
        <v>0</v>
      </c>
      <c r="O16" s="809">
        <f>SUMIFS('Risk Report'!$D$9:$D$25,'Risk Report'!$F$9:$F$25,$M16,'Risk Report'!$C$9:$C$25,O$4,'Risk Report'!$G$9:$G$25,O$5)*O$6/1000</f>
        <v>0</v>
      </c>
      <c r="P16" s="809">
        <f>SUMIFS('Risk Report'!$D$9:$D$25,'Risk Report'!$F$9:$F$25,$M16,'Risk Report'!$C$9:$C$25,P$4,'Risk Report'!$G$9:$G$25,P$5)*P$6/1000</f>
        <v>0</v>
      </c>
      <c r="Q16" s="809">
        <f>SUMIFS('Repo Details and VaR'!$O$50:$O$71,'Repo Details and VaR'!$Q$50:$Q$71,'Repo Curves &amp; Graphs'!$M16,'Repo Details and VaR'!$O$50:$O$71,"&gt;0",'Repo Details and VaR'!$H$50:$H$71,'Repo Curves &amp; Graphs'!Q$4)/1000</f>
        <v>0</v>
      </c>
      <c r="R16" s="809">
        <f>SUMIFS('Repo Details and VaR'!$O$50:$O$71,'Repo Details and VaR'!$Q$50:$Q$71,'Repo Curves &amp; Graphs'!$M16,'Repo Details and VaR'!$O$50:$O$71,"&lt;0",'Repo Details and VaR'!$H$50:$H$71,'Repo Curves &amp; Graphs'!R$4)/1000</f>
        <v>0</v>
      </c>
      <c r="S16" s="809">
        <f>SUMIFS('Repo Details and VaR'!$O$50:$O$71,'Repo Details and VaR'!$Q$50:$Q$71,'Repo Curves &amp; Graphs'!$M16,'Repo Details and VaR'!$O$50:$O$71,"&gt;0",'Repo Details and VaR'!$H$50:$H$71,'Repo Curves &amp; Graphs'!S$4)/1000</f>
        <v>0</v>
      </c>
      <c r="T16" s="809">
        <f>SUMIFS('Repo Details and VaR'!$O$50:$O$71,'Repo Details and VaR'!$Q$50:$Q$71,'Repo Curves &amp; Graphs'!$M16,'Repo Details and VaR'!$O$50:$O$71,"&lt;0",'Repo Details and VaR'!$H$50:$H$71,'Repo Curves &amp; Graphs'!T$4)/1000</f>
        <v>0</v>
      </c>
      <c r="U16" s="809">
        <f>SUMIFS('Repo Details and VaR'!$O$50:$O$71,'Repo Details and VaR'!$Q$50:$Q$71,'Repo Curves &amp; Graphs'!$M16,'Repo Details and VaR'!$O$50:$O$71,"&lt;0",'Repo Details and VaR'!$D$50:$D$71,"DOMESTIC MTN")/1000</f>
        <v>0</v>
      </c>
      <c r="V16" s="809">
        <f>SUMIFS('Repo Details and VaR'!$O$50:$O$71,'Repo Details and VaR'!$Q$50:$Q$71,'Repo Curves &amp; Graphs'!$M16,'Repo Details and VaR'!$O$50:$O$71,"&lt;0",'Repo Details and VaR'!$D$50:$D$71,"EURO MTN")/1000</f>
        <v>0</v>
      </c>
      <c r="AC16" s="86">
        <v>43650</v>
      </c>
    </row>
    <row r="17" spans="2:29" x14ac:dyDescent="0.25">
      <c r="B17" s="52" t="s">
        <v>106</v>
      </c>
      <c r="C17" s="52" t="s">
        <v>499</v>
      </c>
      <c r="D17" s="232" t="e">
        <f>ROUND(_xll.BDP(C17,"PX Mid"),4)</f>
        <v>#VALUE!</v>
      </c>
      <c r="E17" s="499" t="e">
        <f t="shared" si="0"/>
        <v>#VALUE!</v>
      </c>
      <c r="I17" s="503" t="e">
        <f>ROUND(_xll.BDH(C17,"PX_MID",WORKDAY(ValDate,-1,Holidays),WORKDAY(ValDate,-1,Holidays)),4)</f>
        <v>#VALUE!</v>
      </c>
      <c r="M17" s="10">
        <f t="shared" si="2"/>
        <v>44664</v>
      </c>
      <c r="N17" s="809">
        <v>0</v>
      </c>
      <c r="O17" s="809">
        <f>SUMIFS('Risk Report'!$D$9:$D$25,'Risk Report'!$F$9:$F$25,$M17,'Risk Report'!$C$9:$C$25,O$4,'Risk Report'!$G$9:$G$25,O$5)*O$6/1000</f>
        <v>0</v>
      </c>
      <c r="P17" s="809">
        <f>SUMIFS('Risk Report'!$D$9:$D$25,'Risk Report'!$F$9:$F$25,$M17,'Risk Report'!$C$9:$C$25,P$4,'Risk Report'!$G$9:$G$25,P$5)*P$6/1000</f>
        <v>0</v>
      </c>
      <c r="Q17" s="809">
        <f>SUMIFS('Repo Details and VaR'!$O$50:$O$71,'Repo Details and VaR'!$Q$50:$Q$71,'Repo Curves &amp; Graphs'!$M17,'Repo Details and VaR'!$O$50:$O$71,"&gt;0",'Repo Details and VaR'!$H$50:$H$71,'Repo Curves &amp; Graphs'!Q$4)/1000</f>
        <v>0</v>
      </c>
      <c r="R17" s="809">
        <f>SUMIFS('Repo Details and VaR'!$O$50:$O$71,'Repo Details and VaR'!$Q$50:$Q$71,'Repo Curves &amp; Graphs'!$M17,'Repo Details and VaR'!$O$50:$O$71,"&lt;0",'Repo Details and VaR'!$H$50:$H$71,'Repo Curves &amp; Graphs'!R$4)/1000</f>
        <v>0</v>
      </c>
      <c r="S17" s="809">
        <f>SUMIFS('Repo Details and VaR'!$O$50:$O$71,'Repo Details and VaR'!$Q$50:$Q$71,'Repo Curves &amp; Graphs'!$M17,'Repo Details and VaR'!$O$50:$O$71,"&gt;0",'Repo Details and VaR'!$H$50:$H$71,'Repo Curves &amp; Graphs'!S$4)/1000</f>
        <v>0</v>
      </c>
      <c r="T17" s="809">
        <f>SUMIFS('Repo Details and VaR'!$O$50:$O$71,'Repo Details and VaR'!$Q$50:$Q$71,'Repo Curves &amp; Graphs'!$M17,'Repo Details and VaR'!$O$50:$O$71,"&lt;0",'Repo Details and VaR'!$H$50:$H$71,'Repo Curves &amp; Graphs'!T$4)/1000</f>
        <v>0</v>
      </c>
      <c r="U17" s="809">
        <f>SUMIFS('Repo Details and VaR'!$O$50:$O$71,'Repo Details and VaR'!$Q$50:$Q$71,'Repo Curves &amp; Graphs'!$M17,'Repo Details and VaR'!$O$50:$O$71,"&lt;0",'Repo Details and VaR'!$D$50:$D$71,"DOMESTIC MTN")/1000</f>
        <v>0</v>
      </c>
      <c r="V17" s="809">
        <f>SUMIFS('Repo Details and VaR'!$O$50:$O$71,'Repo Details and VaR'!$Q$50:$Q$71,'Repo Curves &amp; Graphs'!$M17,'Repo Details and VaR'!$O$50:$O$71,"&lt;0",'Repo Details and VaR'!$D$50:$D$71,"EURO MTN")/1000</f>
        <v>0</v>
      </c>
      <c r="AC17" s="86">
        <v>43710</v>
      </c>
    </row>
    <row r="18" spans="2:29" x14ac:dyDescent="0.25">
      <c r="B18" s="52" t="s">
        <v>369</v>
      </c>
      <c r="C18" s="52" t="s">
        <v>371</v>
      </c>
      <c r="D18" s="232" t="e">
        <f>ROUND(_xll.BDP(C18,"YLD_ytm_mid"),4)</f>
        <v>#VALUE!</v>
      </c>
      <c r="E18" s="499" t="e">
        <f t="shared" si="0"/>
        <v>#VALUE!</v>
      </c>
      <c r="I18" s="503" t="e">
        <f>ROUND(_xll.BDH(C18,"PX_MID",WORKDAY(ValDate,-1,Holidays),WORKDAY(ValDate,-1,Holidays)),4)</f>
        <v>#VALUE!</v>
      </c>
      <c r="M18" s="10">
        <f t="shared" si="2"/>
        <v>44665</v>
      </c>
      <c r="N18" s="809">
        <v>0</v>
      </c>
      <c r="O18" s="809">
        <f>SUMIFS('Risk Report'!$D$9:$D$25,'Risk Report'!$F$9:$F$25,$M18,'Risk Report'!$C$9:$C$25,O$4,'Risk Report'!$G$9:$G$25,O$5)*O$6/1000</f>
        <v>0</v>
      </c>
      <c r="P18" s="809">
        <f>SUMIFS('Risk Report'!$D$9:$D$25,'Risk Report'!$F$9:$F$25,$M18,'Risk Report'!$C$9:$C$25,P$4,'Risk Report'!$G$9:$G$25,P$5)*P$6/1000</f>
        <v>0</v>
      </c>
      <c r="Q18" s="809">
        <f>SUMIFS('Repo Details and VaR'!$O$50:$O$71,'Repo Details and VaR'!$Q$50:$Q$71,'Repo Curves &amp; Graphs'!$M18,'Repo Details and VaR'!$O$50:$O$71,"&gt;0",'Repo Details and VaR'!$H$50:$H$71,'Repo Curves &amp; Graphs'!Q$4)/1000</f>
        <v>0</v>
      </c>
      <c r="R18" s="809">
        <f>SUMIFS('Repo Details and VaR'!$O$50:$O$71,'Repo Details and VaR'!$Q$50:$Q$71,'Repo Curves &amp; Graphs'!$M18,'Repo Details and VaR'!$O$50:$O$71,"&lt;0",'Repo Details and VaR'!$H$50:$H$71,'Repo Curves &amp; Graphs'!R$4)/1000</f>
        <v>0</v>
      </c>
      <c r="S18" s="809">
        <f>SUMIFS('Repo Details and VaR'!$O$50:$O$71,'Repo Details and VaR'!$Q$50:$Q$71,'Repo Curves &amp; Graphs'!$M18,'Repo Details and VaR'!$O$50:$O$71,"&gt;0",'Repo Details and VaR'!$H$50:$H$71,'Repo Curves &amp; Graphs'!S$4)/1000</f>
        <v>0</v>
      </c>
      <c r="T18" s="809">
        <f>SUMIFS('Repo Details and VaR'!$O$50:$O$71,'Repo Details and VaR'!$Q$50:$Q$71,'Repo Curves &amp; Graphs'!$M18,'Repo Details and VaR'!$O$50:$O$71,"&lt;0",'Repo Details and VaR'!$H$50:$H$71,'Repo Curves &amp; Graphs'!T$4)/1000</f>
        <v>0</v>
      </c>
      <c r="U18" s="809">
        <f>SUMIFS('Repo Details and VaR'!$O$50:$O$71,'Repo Details and VaR'!$Q$50:$Q$71,'Repo Curves &amp; Graphs'!$M18,'Repo Details and VaR'!$O$50:$O$71,"&lt;0",'Repo Details and VaR'!$D$50:$D$71,"DOMESTIC MTN")/1000</f>
        <v>0</v>
      </c>
      <c r="V18" s="809">
        <f>SUMIFS('Repo Details and VaR'!$O$50:$O$71,'Repo Details and VaR'!$Q$50:$Q$71,'Repo Curves &amp; Graphs'!$M18,'Repo Details and VaR'!$O$50:$O$71,"&lt;0",'Repo Details and VaR'!$D$50:$D$71,"EURO MTN")/1000</f>
        <v>0</v>
      </c>
      <c r="AC18" s="86">
        <v>43752</v>
      </c>
    </row>
    <row r="19" spans="2:29" x14ac:dyDescent="0.25">
      <c r="B19" s="52" t="s">
        <v>370</v>
      </c>
      <c r="C19" s="52" t="s">
        <v>372</v>
      </c>
      <c r="D19" s="232" t="e">
        <f>ROUND(_xll.BDP(C19,"YLD_ytm_mid"),4)</f>
        <v>#VALUE!</v>
      </c>
      <c r="E19" s="499" t="e">
        <f t="shared" si="0"/>
        <v>#VALUE!</v>
      </c>
      <c r="I19" s="503" t="e">
        <f>ROUND(_xll.BDH(C19,"PX_MID",WORKDAY(ValDate,-1,Holidays),WORKDAY(ValDate,-1,Holidays)),4)</f>
        <v>#VALUE!</v>
      </c>
      <c r="M19" s="10">
        <f t="shared" si="2"/>
        <v>44666</v>
      </c>
      <c r="N19" s="809">
        <v>0</v>
      </c>
      <c r="O19" s="809">
        <f>SUMIFS('Risk Report'!$D$9:$D$25,'Risk Report'!$F$9:$F$25,$M19,'Risk Report'!$C$9:$C$25,O$4,'Risk Report'!$G$9:$G$25,O$5)*O$6/1000</f>
        <v>0</v>
      </c>
      <c r="P19" s="809">
        <f>SUMIFS('Risk Report'!$D$9:$D$25,'Risk Report'!$F$9:$F$25,$M19,'Risk Report'!$C$9:$C$25,P$4,'Risk Report'!$G$9:$G$25,P$5)*P$6/1000</f>
        <v>0</v>
      </c>
      <c r="Q19" s="809">
        <f>SUMIFS('Repo Details and VaR'!$O$50:$O$71,'Repo Details and VaR'!$Q$50:$Q$71,'Repo Curves &amp; Graphs'!$M19,'Repo Details and VaR'!$O$50:$O$71,"&gt;0",'Repo Details and VaR'!$H$50:$H$71,'Repo Curves &amp; Graphs'!Q$4)/1000</f>
        <v>0</v>
      </c>
      <c r="R19" s="809">
        <f>SUMIFS('Repo Details and VaR'!$O$50:$O$71,'Repo Details and VaR'!$Q$50:$Q$71,'Repo Curves &amp; Graphs'!$M19,'Repo Details and VaR'!$O$50:$O$71,"&lt;0",'Repo Details and VaR'!$H$50:$H$71,'Repo Curves &amp; Graphs'!R$4)/1000</f>
        <v>0</v>
      </c>
      <c r="S19" s="809">
        <f>SUMIFS('Repo Details and VaR'!$O$50:$O$71,'Repo Details and VaR'!$Q$50:$Q$71,'Repo Curves &amp; Graphs'!$M19,'Repo Details and VaR'!$O$50:$O$71,"&gt;0",'Repo Details and VaR'!$H$50:$H$71,'Repo Curves &amp; Graphs'!S$4)/1000</f>
        <v>0</v>
      </c>
      <c r="T19" s="809">
        <f>SUMIFS('Repo Details and VaR'!$O$50:$O$71,'Repo Details and VaR'!$Q$50:$Q$71,'Repo Curves &amp; Graphs'!$M19,'Repo Details and VaR'!$O$50:$O$71,"&lt;0",'Repo Details and VaR'!$H$50:$H$71,'Repo Curves &amp; Graphs'!T$4)/1000</f>
        <v>0</v>
      </c>
      <c r="U19" s="809">
        <f>SUMIFS('Repo Details and VaR'!$O$50:$O$71,'Repo Details and VaR'!$Q$50:$Q$71,'Repo Curves &amp; Graphs'!$M19,'Repo Details and VaR'!$O$50:$O$71,"&lt;0",'Repo Details and VaR'!$D$50:$D$71,"DOMESTIC MTN")/1000</f>
        <v>0</v>
      </c>
      <c r="V19" s="809">
        <f>SUMIFS('Repo Details and VaR'!$O$50:$O$71,'Repo Details and VaR'!$Q$50:$Q$71,'Repo Curves &amp; Graphs'!$M19,'Repo Details and VaR'!$O$50:$O$71,"&lt;0",'Repo Details and VaR'!$D$50:$D$71,"EURO MTN")/1000</f>
        <v>0</v>
      </c>
      <c r="AC19" s="86">
        <v>43780</v>
      </c>
    </row>
    <row r="20" spans="2:29" x14ac:dyDescent="0.25">
      <c r="M20" s="10">
        <f t="shared" si="2"/>
        <v>44669</v>
      </c>
      <c r="N20" s="809">
        <v>0</v>
      </c>
      <c r="O20" s="809">
        <f>SUMIFS('Risk Report'!$D$9:$D$25,'Risk Report'!$F$9:$F$25,$M20,'Risk Report'!$C$9:$C$25,O$4,'Risk Report'!$G$9:$G$25,O$5)*O$6/1000</f>
        <v>0</v>
      </c>
      <c r="P20" s="809">
        <f>SUMIFS('Risk Report'!$D$9:$D$25,'Risk Report'!$F$9:$F$25,$M20,'Risk Report'!$C$9:$C$25,P$4,'Risk Report'!$G$9:$G$25,P$5)*P$6/1000</f>
        <v>0</v>
      </c>
      <c r="Q20" s="809">
        <f>SUMIFS('Repo Details and VaR'!$O$50:$O$71,'Repo Details and VaR'!$Q$50:$Q$71,'Repo Curves &amp; Graphs'!$M20,'Repo Details and VaR'!$O$50:$O$71,"&gt;0",'Repo Details and VaR'!$H$50:$H$71,'Repo Curves &amp; Graphs'!Q$4)/1000</f>
        <v>0</v>
      </c>
      <c r="R20" s="809">
        <f>SUMIFS('Repo Details and VaR'!$O$50:$O$71,'Repo Details and VaR'!$Q$50:$Q$71,'Repo Curves &amp; Graphs'!$M20,'Repo Details and VaR'!$O$50:$O$71,"&lt;0",'Repo Details and VaR'!$H$50:$H$71,'Repo Curves &amp; Graphs'!R$4)/1000</f>
        <v>-79800.037079999995</v>
      </c>
      <c r="S20" s="809">
        <f>SUMIFS('Repo Details and VaR'!$O$50:$O$71,'Repo Details and VaR'!$Q$50:$Q$71,'Repo Curves &amp; Graphs'!$M20,'Repo Details and VaR'!$O$50:$O$71,"&gt;0",'Repo Details and VaR'!$H$50:$H$71,'Repo Curves &amp; Graphs'!S$4)/1000</f>
        <v>0</v>
      </c>
      <c r="T20" s="809">
        <f>SUMIFS('Repo Details and VaR'!$O$50:$O$71,'Repo Details and VaR'!$Q$50:$Q$71,'Repo Curves &amp; Graphs'!$M20,'Repo Details and VaR'!$O$50:$O$71,"&lt;0",'Repo Details and VaR'!$H$50:$H$71,'Repo Curves &amp; Graphs'!T$4)/1000</f>
        <v>0</v>
      </c>
      <c r="U20" s="809">
        <f>SUMIFS('Repo Details and VaR'!$O$50:$O$71,'Repo Details and VaR'!$Q$50:$Q$71,'Repo Curves &amp; Graphs'!$M20,'Repo Details and VaR'!$O$50:$O$71,"&lt;0",'Repo Details and VaR'!$D$50:$D$71,"DOMESTIC MTN")/1000</f>
        <v>0</v>
      </c>
      <c r="V20" s="809">
        <f>SUMIFS('Repo Details and VaR'!$O$50:$O$71,'Repo Details and VaR'!$Q$50:$Q$71,'Repo Curves &amp; Graphs'!$M20,'Repo Details and VaR'!$O$50:$O$71,"&lt;0",'Repo Details and VaR'!$D$50:$D$71,"EURO MTN")/1000</f>
        <v>0</v>
      </c>
      <c r="AC20" s="86">
        <v>43797</v>
      </c>
    </row>
    <row r="21" spans="2:29" x14ac:dyDescent="0.25">
      <c r="M21" s="10">
        <f t="shared" si="2"/>
        <v>44670</v>
      </c>
      <c r="N21" s="809">
        <v>0</v>
      </c>
      <c r="O21" s="809">
        <f>SUMIFS('Risk Report'!$D$9:$D$25,'Risk Report'!$F$9:$F$25,$M21,'Risk Report'!$C$9:$C$25,O$4,'Risk Report'!$G$9:$G$25,O$5)*O$6/1000</f>
        <v>0</v>
      </c>
      <c r="P21" s="809">
        <f>SUMIFS('Risk Report'!$D$9:$D$25,'Risk Report'!$F$9:$F$25,$M21,'Risk Report'!$C$9:$C$25,P$4,'Risk Report'!$G$9:$G$25,P$5)*P$6/1000</f>
        <v>0</v>
      </c>
      <c r="Q21" s="809">
        <f>SUMIFS('Repo Details and VaR'!$O$50:$O$71,'Repo Details and VaR'!$Q$50:$Q$71,'Repo Curves &amp; Graphs'!$M21,'Repo Details and VaR'!$O$50:$O$71,"&gt;0",'Repo Details and VaR'!$H$50:$H$71,'Repo Curves &amp; Graphs'!Q$4)/1000</f>
        <v>0</v>
      </c>
      <c r="R21" s="809">
        <f>SUMIFS('Repo Details and VaR'!$O$50:$O$71,'Repo Details and VaR'!$Q$50:$Q$71,'Repo Curves &amp; Graphs'!$M21,'Repo Details and VaR'!$O$50:$O$71,"&lt;0",'Repo Details and VaR'!$H$50:$H$71,'Repo Curves &amp; Graphs'!R$4)/1000</f>
        <v>0</v>
      </c>
      <c r="S21" s="809">
        <f>SUMIFS('Repo Details and VaR'!$O$50:$O$71,'Repo Details and VaR'!$Q$50:$Q$71,'Repo Curves &amp; Graphs'!$M21,'Repo Details and VaR'!$O$50:$O$71,"&gt;0",'Repo Details and VaR'!$H$50:$H$71,'Repo Curves &amp; Graphs'!S$4)/1000</f>
        <v>0</v>
      </c>
      <c r="T21" s="809">
        <f>SUMIFS('Repo Details and VaR'!$O$50:$O$71,'Repo Details and VaR'!$Q$50:$Q$71,'Repo Curves &amp; Graphs'!$M21,'Repo Details and VaR'!$O$50:$O$71,"&lt;0",'Repo Details and VaR'!$H$50:$H$71,'Repo Curves &amp; Graphs'!T$4)/1000</f>
        <v>0</v>
      </c>
      <c r="U21" s="809">
        <f>SUMIFS('Repo Details and VaR'!$O$50:$O$71,'Repo Details and VaR'!$Q$50:$Q$71,'Repo Curves &amp; Graphs'!$M21,'Repo Details and VaR'!$O$50:$O$71,"&lt;0",'Repo Details and VaR'!$D$50:$D$71,"DOMESTIC MTN")/1000</f>
        <v>0</v>
      </c>
      <c r="V21" s="809">
        <f>SUMIFS('Repo Details and VaR'!$O$50:$O$71,'Repo Details and VaR'!$Q$50:$Q$71,'Repo Curves &amp; Graphs'!$M21,'Repo Details and VaR'!$O$50:$O$71,"&lt;0",'Repo Details and VaR'!$D$50:$D$71,"EURO MTN")/1000</f>
        <v>0</v>
      </c>
      <c r="AC21" s="86">
        <v>43824</v>
      </c>
    </row>
    <row r="22" spans="2:29" x14ac:dyDescent="0.25">
      <c r="M22" s="10">
        <f t="shared" si="2"/>
        <v>44671</v>
      </c>
      <c r="N22" s="809">
        <v>0</v>
      </c>
      <c r="O22" s="809">
        <f>SUMIFS('Risk Report'!$D$9:$D$25,'Risk Report'!$F$9:$F$25,$M22,'Risk Report'!$C$9:$C$25,O$4,'Risk Report'!$G$9:$G$25,O$5)*O$6/1000</f>
        <v>0</v>
      </c>
      <c r="P22" s="809">
        <f>SUMIFS('Risk Report'!$D$9:$D$25,'Risk Report'!$F$9:$F$25,$M22,'Risk Report'!$C$9:$C$25,P$4,'Risk Report'!$G$9:$G$25,P$5)*P$6/1000</f>
        <v>0</v>
      </c>
      <c r="Q22" s="809">
        <f>SUMIFS('Repo Details and VaR'!$O$50:$O$71,'Repo Details and VaR'!$Q$50:$Q$71,'Repo Curves &amp; Graphs'!$M22,'Repo Details and VaR'!$O$50:$O$71,"&gt;0",'Repo Details and VaR'!$H$50:$H$71,'Repo Curves &amp; Graphs'!Q$4)/1000</f>
        <v>0</v>
      </c>
      <c r="R22" s="809">
        <f>SUMIFS('Repo Details and VaR'!$O$50:$O$71,'Repo Details and VaR'!$Q$50:$Q$71,'Repo Curves &amp; Graphs'!$M22,'Repo Details and VaR'!$O$50:$O$71,"&lt;0",'Repo Details and VaR'!$H$50:$H$71,'Repo Curves &amp; Graphs'!R$4)/1000</f>
        <v>0</v>
      </c>
      <c r="S22" s="809">
        <f>SUMIFS('Repo Details and VaR'!$O$50:$O$71,'Repo Details and VaR'!$Q$50:$Q$71,'Repo Curves &amp; Graphs'!$M22,'Repo Details and VaR'!$O$50:$O$71,"&gt;0",'Repo Details and VaR'!$H$50:$H$71,'Repo Curves &amp; Graphs'!S$4)/1000</f>
        <v>0</v>
      </c>
      <c r="T22" s="809">
        <f>SUMIFS('Repo Details and VaR'!$O$50:$O$71,'Repo Details and VaR'!$Q$50:$Q$71,'Repo Curves &amp; Graphs'!$M22,'Repo Details and VaR'!$O$50:$O$71,"&lt;0",'Repo Details and VaR'!$H$50:$H$71,'Repo Curves &amp; Graphs'!T$4)/1000</f>
        <v>0</v>
      </c>
      <c r="U22" s="809">
        <f>SUMIFS('Repo Details and VaR'!$O$50:$O$71,'Repo Details and VaR'!$Q$50:$Q$71,'Repo Curves &amp; Graphs'!$M22,'Repo Details and VaR'!$O$50:$O$71,"&lt;0",'Repo Details and VaR'!$D$50:$D$71,"DOMESTIC MTN")/1000</f>
        <v>0</v>
      </c>
      <c r="V22" s="809">
        <f>SUMIFS('Repo Details and VaR'!$O$50:$O$71,'Repo Details and VaR'!$Q$50:$Q$71,'Repo Curves &amp; Graphs'!$M22,'Repo Details and VaR'!$O$50:$O$71,"&lt;0",'Repo Details and VaR'!$D$50:$D$71,"EURO MTN")/1000</f>
        <v>0</v>
      </c>
      <c r="AC22" s="86">
        <v>43831</v>
      </c>
    </row>
    <row r="23" spans="2:29" x14ac:dyDescent="0.25">
      <c r="M23" s="10">
        <f t="shared" si="2"/>
        <v>44672</v>
      </c>
      <c r="N23" s="809">
        <v>0</v>
      </c>
      <c r="O23" s="809">
        <f>SUMIFS('Risk Report'!$D$9:$D$25,'Risk Report'!$F$9:$F$25,$M23,'Risk Report'!$C$9:$C$25,O$4,'Risk Report'!$G$9:$G$25,O$5)*O$6/1000</f>
        <v>0</v>
      </c>
      <c r="P23" s="809">
        <f>SUMIFS('Risk Report'!$D$9:$D$25,'Risk Report'!$F$9:$F$25,$M23,'Risk Report'!$C$9:$C$25,P$4,'Risk Report'!$G$9:$G$25,P$5)*P$6/1000</f>
        <v>0</v>
      </c>
      <c r="Q23" s="809">
        <f>SUMIFS('Repo Details and VaR'!$O$50:$O$71,'Repo Details and VaR'!$Q$50:$Q$71,'Repo Curves &amp; Graphs'!$M23,'Repo Details and VaR'!$O$50:$O$71,"&gt;0",'Repo Details and VaR'!$H$50:$H$71,'Repo Curves &amp; Graphs'!Q$4)/1000</f>
        <v>0</v>
      </c>
      <c r="R23" s="809">
        <f>SUMIFS('Repo Details and VaR'!$O$50:$O$71,'Repo Details and VaR'!$Q$50:$Q$71,'Repo Curves &amp; Graphs'!$M23,'Repo Details and VaR'!$O$50:$O$71,"&lt;0",'Repo Details and VaR'!$H$50:$H$71,'Repo Curves &amp; Graphs'!R$4)/1000</f>
        <v>0</v>
      </c>
      <c r="S23" s="809">
        <f>SUMIFS('Repo Details and VaR'!$O$50:$O$71,'Repo Details and VaR'!$Q$50:$Q$71,'Repo Curves &amp; Graphs'!$M23,'Repo Details and VaR'!$O$50:$O$71,"&gt;0",'Repo Details and VaR'!$H$50:$H$71,'Repo Curves &amp; Graphs'!S$4)/1000</f>
        <v>0</v>
      </c>
      <c r="T23" s="809">
        <f>SUMIFS('Repo Details and VaR'!$O$50:$O$71,'Repo Details and VaR'!$Q$50:$Q$71,'Repo Curves &amp; Graphs'!$M23,'Repo Details and VaR'!$O$50:$O$71,"&lt;0",'Repo Details and VaR'!$H$50:$H$71,'Repo Curves &amp; Graphs'!T$4)/1000</f>
        <v>0</v>
      </c>
      <c r="U23" s="809">
        <f>SUMIFS('Repo Details and VaR'!$O$50:$O$71,'Repo Details and VaR'!$Q$50:$Q$71,'Repo Curves &amp; Graphs'!$M23,'Repo Details and VaR'!$O$50:$O$71,"&lt;0",'Repo Details and VaR'!$D$50:$D$71,"DOMESTIC MTN")/1000</f>
        <v>0</v>
      </c>
      <c r="V23" s="809">
        <f>SUMIFS('Repo Details and VaR'!$O$50:$O$71,'Repo Details and VaR'!$Q$50:$Q$71,'Repo Curves &amp; Graphs'!$M23,'Repo Details and VaR'!$O$50:$O$71,"&lt;0",'Repo Details and VaR'!$D$50:$D$71,"EURO MTN")/1000</f>
        <v>0</v>
      </c>
      <c r="AC23" s="86">
        <v>43850</v>
      </c>
    </row>
    <row r="24" spans="2:29" x14ac:dyDescent="0.25">
      <c r="M24" s="10">
        <f t="shared" si="2"/>
        <v>44673</v>
      </c>
      <c r="N24" s="809">
        <v>0</v>
      </c>
      <c r="O24" s="809">
        <f>SUMIFS('Risk Report'!$D$9:$D$25,'Risk Report'!$F$9:$F$25,$M24,'Risk Report'!$C$9:$C$25,O$4,'Risk Report'!$G$9:$G$25,O$5)*O$6/1000</f>
        <v>0</v>
      </c>
      <c r="P24" s="809">
        <f>SUMIFS('Risk Report'!$D$9:$D$25,'Risk Report'!$F$9:$F$25,$M24,'Risk Report'!$C$9:$C$25,P$4,'Risk Report'!$G$9:$G$25,P$5)*P$6/1000</f>
        <v>0</v>
      </c>
      <c r="Q24" s="809">
        <f>SUMIFS('Repo Details and VaR'!$O$50:$O$71,'Repo Details and VaR'!$Q$50:$Q$71,'Repo Curves &amp; Graphs'!$M24,'Repo Details and VaR'!$O$50:$O$71,"&gt;0",'Repo Details and VaR'!$H$50:$H$71,'Repo Curves &amp; Graphs'!Q$4)/1000</f>
        <v>0</v>
      </c>
      <c r="R24" s="809">
        <f>SUMIFS('Repo Details and VaR'!$O$50:$O$71,'Repo Details and VaR'!$Q$50:$Q$71,'Repo Curves &amp; Graphs'!$M24,'Repo Details and VaR'!$O$50:$O$71,"&lt;0",'Repo Details and VaR'!$H$50:$H$71,'Repo Curves &amp; Graphs'!R$4)/1000</f>
        <v>0</v>
      </c>
      <c r="S24" s="809">
        <f>SUMIFS('Repo Details and VaR'!$O$50:$O$71,'Repo Details and VaR'!$Q$50:$Q$71,'Repo Curves &amp; Graphs'!$M24,'Repo Details and VaR'!$O$50:$O$71,"&gt;0",'Repo Details and VaR'!$H$50:$H$71,'Repo Curves &amp; Graphs'!S$4)/1000</f>
        <v>0</v>
      </c>
      <c r="T24" s="809">
        <f>SUMIFS('Repo Details and VaR'!$O$50:$O$71,'Repo Details and VaR'!$Q$50:$Q$71,'Repo Curves &amp; Graphs'!$M24,'Repo Details and VaR'!$O$50:$O$71,"&lt;0",'Repo Details and VaR'!$H$50:$H$71,'Repo Curves &amp; Graphs'!T$4)/1000</f>
        <v>0</v>
      </c>
      <c r="U24" s="809">
        <f>SUMIFS('Repo Details and VaR'!$O$50:$O$71,'Repo Details and VaR'!$Q$50:$Q$71,'Repo Curves &amp; Graphs'!$M24,'Repo Details and VaR'!$O$50:$O$71,"&lt;0",'Repo Details and VaR'!$D$50:$D$71,"DOMESTIC MTN")/1000</f>
        <v>0</v>
      </c>
      <c r="V24" s="809">
        <f>SUMIFS('Repo Details and VaR'!$O$50:$O$71,'Repo Details and VaR'!$Q$50:$Q$71,'Repo Curves &amp; Graphs'!$M24,'Repo Details and VaR'!$O$50:$O$71,"&lt;0",'Repo Details and VaR'!$D$50:$D$71,"EURO MTN")/1000</f>
        <v>0</v>
      </c>
      <c r="AC24" s="86">
        <v>43878</v>
      </c>
    </row>
    <row r="25" spans="2:29" x14ac:dyDescent="0.25">
      <c r="M25" s="10">
        <f t="shared" si="2"/>
        <v>44676</v>
      </c>
      <c r="N25" s="809">
        <v>0</v>
      </c>
      <c r="O25" s="809">
        <f>SUMIFS('Risk Report'!$D$9:$D$25,'Risk Report'!$F$9:$F$25,$M25,'Risk Report'!$C$9:$C$25,O$4,'Risk Report'!$G$9:$G$25,O$5)*O$6/1000</f>
        <v>0</v>
      </c>
      <c r="P25" s="809">
        <f>SUMIFS('Risk Report'!$D$9:$D$25,'Risk Report'!$F$9:$F$25,$M25,'Risk Report'!$C$9:$C$25,P$4,'Risk Report'!$G$9:$G$25,P$5)*P$6/1000</f>
        <v>0</v>
      </c>
      <c r="Q25" s="809">
        <f>SUMIFS('Repo Details and VaR'!$O$50:$O$71,'Repo Details and VaR'!$Q$50:$Q$71,'Repo Curves &amp; Graphs'!$M25,'Repo Details and VaR'!$O$50:$O$71,"&gt;0",'Repo Details and VaR'!$H$50:$H$71,'Repo Curves &amp; Graphs'!Q$4)/1000</f>
        <v>0</v>
      </c>
      <c r="R25" s="809">
        <f>SUMIFS('Repo Details and VaR'!$O$50:$O$71,'Repo Details and VaR'!$Q$50:$Q$71,'Repo Curves &amp; Graphs'!$M25,'Repo Details and VaR'!$O$50:$O$71,"&lt;0",'Repo Details and VaR'!$H$50:$H$71,'Repo Curves &amp; Graphs'!R$4)/1000</f>
        <v>0</v>
      </c>
      <c r="S25" s="809">
        <f>SUMIFS('Repo Details and VaR'!$O$50:$O$71,'Repo Details and VaR'!$Q$50:$Q$71,'Repo Curves &amp; Graphs'!$M25,'Repo Details and VaR'!$O$50:$O$71,"&gt;0",'Repo Details and VaR'!$H$50:$H$71,'Repo Curves &amp; Graphs'!S$4)/1000</f>
        <v>0</v>
      </c>
      <c r="T25" s="809">
        <f>SUMIFS('Repo Details and VaR'!$O$50:$O$71,'Repo Details and VaR'!$Q$50:$Q$71,'Repo Curves &amp; Graphs'!$M25,'Repo Details and VaR'!$O$50:$O$71,"&lt;0",'Repo Details and VaR'!$H$50:$H$71,'Repo Curves &amp; Graphs'!T$4)/1000</f>
        <v>0</v>
      </c>
      <c r="U25" s="809">
        <f>SUMIFS('Repo Details and VaR'!$O$50:$O$71,'Repo Details and VaR'!$Q$50:$Q$71,'Repo Curves &amp; Graphs'!$M25,'Repo Details and VaR'!$O$50:$O$71,"&lt;0",'Repo Details and VaR'!$D$50:$D$71,"DOMESTIC MTN")/1000</f>
        <v>0</v>
      </c>
      <c r="V25" s="809">
        <f>SUMIFS('Repo Details and VaR'!$O$50:$O$71,'Repo Details and VaR'!$Q$50:$Q$71,'Repo Curves &amp; Graphs'!$M25,'Repo Details and VaR'!$O$50:$O$71,"&lt;0",'Repo Details and VaR'!$D$50:$D$71,"EURO MTN")/1000</f>
        <v>0</v>
      </c>
      <c r="AC25" s="86">
        <v>43931</v>
      </c>
    </row>
    <row r="26" spans="2:29" x14ac:dyDescent="0.25">
      <c r="M26" s="10">
        <f t="shared" si="2"/>
        <v>44677</v>
      </c>
      <c r="N26" s="809">
        <v>0</v>
      </c>
      <c r="O26" s="809">
        <f>SUMIFS('Risk Report'!$D$9:$D$25,'Risk Report'!$F$9:$F$25,$M26,'Risk Report'!$C$9:$C$25,O$4,'Risk Report'!$G$9:$G$25,O$5)*O$6/1000</f>
        <v>0</v>
      </c>
      <c r="P26" s="809">
        <f>SUMIFS('Risk Report'!$D$9:$D$25,'Risk Report'!$F$9:$F$25,$M26,'Risk Report'!$C$9:$C$25,P$4,'Risk Report'!$G$9:$G$25,P$5)*P$6/1000</f>
        <v>0</v>
      </c>
      <c r="Q26" s="809">
        <f>SUMIFS('Repo Details and VaR'!$O$50:$O$71,'Repo Details and VaR'!$Q$50:$Q$71,'Repo Curves &amp; Graphs'!$M26,'Repo Details and VaR'!$O$50:$O$71,"&gt;0",'Repo Details and VaR'!$H$50:$H$71,'Repo Curves &amp; Graphs'!Q$4)/1000</f>
        <v>0</v>
      </c>
      <c r="R26" s="809">
        <f>SUMIFS('Repo Details and VaR'!$O$50:$O$71,'Repo Details and VaR'!$Q$50:$Q$71,'Repo Curves &amp; Graphs'!$M26,'Repo Details and VaR'!$O$50:$O$71,"&lt;0",'Repo Details and VaR'!$H$50:$H$71,'Repo Curves &amp; Graphs'!R$4)/1000</f>
        <v>0</v>
      </c>
      <c r="S26" s="809">
        <f>SUMIFS('Repo Details and VaR'!$O$50:$O$71,'Repo Details and VaR'!$Q$50:$Q$71,'Repo Curves &amp; Graphs'!$M26,'Repo Details and VaR'!$O$50:$O$71,"&gt;0",'Repo Details and VaR'!$H$50:$H$71,'Repo Curves &amp; Graphs'!S$4)/1000</f>
        <v>0</v>
      </c>
      <c r="T26" s="809">
        <f>SUMIFS('Repo Details and VaR'!$O$50:$O$71,'Repo Details and VaR'!$Q$50:$Q$71,'Repo Curves &amp; Graphs'!$M26,'Repo Details and VaR'!$O$50:$O$71,"&lt;0",'Repo Details and VaR'!$H$50:$H$71,'Repo Curves &amp; Graphs'!T$4)/1000</f>
        <v>0</v>
      </c>
      <c r="U26" s="809">
        <f>SUMIFS('Repo Details and VaR'!$O$50:$O$71,'Repo Details and VaR'!$Q$50:$Q$71,'Repo Curves &amp; Graphs'!$M26,'Repo Details and VaR'!$O$50:$O$71,"&lt;0",'Repo Details and VaR'!$D$50:$D$71,"DOMESTIC MTN")/1000</f>
        <v>0</v>
      </c>
      <c r="V26" s="809">
        <f>SUMIFS('Repo Details and VaR'!$O$50:$O$71,'Repo Details and VaR'!$Q$50:$Q$71,'Repo Curves &amp; Graphs'!$M26,'Repo Details and VaR'!$O$50:$O$71,"&lt;0",'Repo Details and VaR'!$D$50:$D$71,"EURO MTN")/1000</f>
        <v>0</v>
      </c>
      <c r="AC26" s="86">
        <v>43976</v>
      </c>
    </row>
    <row r="27" spans="2:29" x14ac:dyDescent="0.25">
      <c r="M27" s="10">
        <f t="shared" si="2"/>
        <v>44678</v>
      </c>
      <c r="N27" s="809">
        <v>0</v>
      </c>
      <c r="O27" s="809">
        <f>SUMIFS('Risk Report'!$D$9:$D$25,'Risk Report'!$F$9:$F$25,$M27,'Risk Report'!$C$9:$C$25,O$4,'Risk Report'!$G$9:$G$25,O$5)*O$6/1000</f>
        <v>0</v>
      </c>
      <c r="P27" s="809">
        <f>SUMIFS('Risk Report'!$D$9:$D$25,'Risk Report'!$F$9:$F$25,$M27,'Risk Report'!$C$9:$C$25,P$4,'Risk Report'!$G$9:$G$25,P$5)*P$6/1000</f>
        <v>0</v>
      </c>
      <c r="Q27" s="809">
        <f>SUMIFS('Repo Details and VaR'!$O$50:$O$71,'Repo Details and VaR'!$Q$50:$Q$71,'Repo Curves &amp; Graphs'!$M27,'Repo Details and VaR'!$O$50:$O$71,"&gt;0",'Repo Details and VaR'!$H$50:$H$71,'Repo Curves &amp; Graphs'!Q$4)/1000</f>
        <v>0</v>
      </c>
      <c r="R27" s="809">
        <f>SUMIFS('Repo Details and VaR'!$O$50:$O$71,'Repo Details and VaR'!$Q$50:$Q$71,'Repo Curves &amp; Graphs'!$M27,'Repo Details and VaR'!$O$50:$O$71,"&lt;0",'Repo Details and VaR'!$H$50:$H$71,'Repo Curves &amp; Graphs'!R$4)/1000</f>
        <v>0</v>
      </c>
      <c r="S27" s="809">
        <f>SUMIFS('Repo Details and VaR'!$O$50:$O$71,'Repo Details and VaR'!$Q$50:$Q$71,'Repo Curves &amp; Graphs'!$M27,'Repo Details and VaR'!$O$50:$O$71,"&gt;0",'Repo Details and VaR'!$H$50:$H$71,'Repo Curves &amp; Graphs'!S$4)/1000</f>
        <v>0</v>
      </c>
      <c r="T27" s="809">
        <f>SUMIFS('Repo Details and VaR'!$O$50:$O$71,'Repo Details and VaR'!$Q$50:$Q$71,'Repo Curves &amp; Graphs'!$M27,'Repo Details and VaR'!$O$50:$O$71,"&lt;0",'Repo Details and VaR'!$H$50:$H$71,'Repo Curves &amp; Graphs'!T$4)/1000</f>
        <v>0</v>
      </c>
      <c r="U27" s="809">
        <f>SUMIFS('Repo Details and VaR'!$O$50:$O$71,'Repo Details and VaR'!$Q$50:$Q$71,'Repo Curves &amp; Graphs'!$M27,'Repo Details and VaR'!$O$50:$O$71,"&lt;0",'Repo Details and VaR'!$D$50:$D$71,"DOMESTIC MTN")/1000</f>
        <v>0</v>
      </c>
      <c r="V27" s="809">
        <f>SUMIFS('Repo Details and VaR'!$O$50:$O$71,'Repo Details and VaR'!$Q$50:$Q$71,'Repo Curves &amp; Graphs'!$M27,'Repo Details and VaR'!$O$50:$O$71,"&lt;0",'Repo Details and VaR'!$D$50:$D$71,"EURO MTN")/1000</f>
        <v>0</v>
      </c>
      <c r="AC27" s="86">
        <v>44015</v>
      </c>
    </row>
    <row r="28" spans="2:29" x14ac:dyDescent="0.25">
      <c r="M28" s="10">
        <f t="shared" si="2"/>
        <v>44679</v>
      </c>
      <c r="N28" s="809">
        <v>0</v>
      </c>
      <c r="O28" s="809">
        <f>SUMIFS('Risk Report'!$D$9:$D$25,'Risk Report'!$F$9:$F$25,$M28,'Risk Report'!$C$9:$C$25,O$4,'Risk Report'!$G$9:$G$25,O$5)*O$6/1000</f>
        <v>0</v>
      </c>
      <c r="P28" s="809">
        <f>SUMIFS('Risk Report'!$D$9:$D$25,'Risk Report'!$F$9:$F$25,$M28,'Risk Report'!$C$9:$C$25,P$4,'Risk Report'!$G$9:$G$25,P$5)*P$6/1000</f>
        <v>0</v>
      </c>
      <c r="Q28" s="809">
        <f>SUMIFS('Repo Details and VaR'!$O$50:$O$71,'Repo Details and VaR'!$Q$50:$Q$71,'Repo Curves &amp; Graphs'!$M28,'Repo Details and VaR'!$O$50:$O$71,"&gt;0",'Repo Details and VaR'!$H$50:$H$71,'Repo Curves &amp; Graphs'!Q$4)/1000</f>
        <v>0</v>
      </c>
      <c r="R28" s="809">
        <f>SUMIFS('Repo Details and VaR'!$O$50:$O$71,'Repo Details and VaR'!$Q$50:$Q$71,'Repo Curves &amp; Graphs'!$M28,'Repo Details and VaR'!$O$50:$O$71,"&lt;0",'Repo Details and VaR'!$H$50:$H$71,'Repo Curves &amp; Graphs'!R$4)/1000</f>
        <v>0</v>
      </c>
      <c r="S28" s="809">
        <f>SUMIFS('Repo Details and VaR'!$O$50:$O$71,'Repo Details and VaR'!$Q$50:$Q$71,'Repo Curves &amp; Graphs'!$M28,'Repo Details and VaR'!$O$50:$O$71,"&gt;0",'Repo Details and VaR'!$H$50:$H$71,'Repo Curves &amp; Graphs'!S$4)/1000</f>
        <v>0</v>
      </c>
      <c r="T28" s="809">
        <f>SUMIFS('Repo Details and VaR'!$O$50:$O$71,'Repo Details and VaR'!$Q$50:$Q$71,'Repo Curves &amp; Graphs'!$M28,'Repo Details and VaR'!$O$50:$O$71,"&lt;0",'Repo Details and VaR'!$H$50:$H$71,'Repo Curves &amp; Graphs'!T$4)/1000</f>
        <v>0</v>
      </c>
      <c r="U28" s="809">
        <f>SUMIFS('Repo Details and VaR'!$O$50:$O$71,'Repo Details and VaR'!$Q$50:$Q$71,'Repo Curves &amp; Graphs'!$M28,'Repo Details and VaR'!$O$50:$O$71,"&lt;0",'Repo Details and VaR'!$D$50:$D$71,"DOMESTIC MTN")/1000</f>
        <v>0</v>
      </c>
      <c r="V28" s="809">
        <f>SUMIFS('Repo Details and VaR'!$O$50:$O$71,'Repo Details and VaR'!$Q$50:$Q$71,'Repo Curves &amp; Graphs'!$M28,'Repo Details and VaR'!$O$50:$O$71,"&lt;0",'Repo Details and VaR'!$D$50:$D$71,"EURO MTN")/1000</f>
        <v>0</v>
      </c>
      <c r="AC28" s="86">
        <v>44016</v>
      </c>
    </row>
    <row r="29" spans="2:29" x14ac:dyDescent="0.25">
      <c r="M29" s="10">
        <f t="shared" si="2"/>
        <v>44680</v>
      </c>
      <c r="N29" s="809">
        <v>0</v>
      </c>
      <c r="O29" s="809">
        <f>SUMIFS('Risk Report'!$D$9:$D$25,'Risk Report'!$F$9:$F$25,$M29,'Risk Report'!$C$9:$C$25,O$4,'Risk Report'!$G$9:$G$25,O$5)*O$6/1000</f>
        <v>0</v>
      </c>
      <c r="P29" s="809">
        <f>SUMIFS('Risk Report'!$D$9:$D$25,'Risk Report'!$F$9:$F$25,$M29,'Risk Report'!$C$9:$C$25,P$4,'Risk Report'!$G$9:$G$25,P$5)*P$6/1000</f>
        <v>0</v>
      </c>
      <c r="Q29" s="809">
        <f>SUMIFS('Repo Details and VaR'!$O$50:$O$71,'Repo Details and VaR'!$Q$50:$Q$71,'Repo Curves &amp; Graphs'!$M29,'Repo Details and VaR'!$O$50:$O$71,"&gt;0",'Repo Details and VaR'!$H$50:$H$71,'Repo Curves &amp; Graphs'!Q$4)/1000</f>
        <v>0</v>
      </c>
      <c r="R29" s="809">
        <f>SUMIFS('Repo Details and VaR'!$O$50:$O$71,'Repo Details and VaR'!$Q$50:$Q$71,'Repo Curves &amp; Graphs'!$M29,'Repo Details and VaR'!$O$50:$O$71,"&lt;0",'Repo Details and VaR'!$H$50:$H$71,'Repo Curves &amp; Graphs'!R$4)/1000</f>
        <v>0</v>
      </c>
      <c r="S29" s="809">
        <f>SUMIFS('Repo Details and VaR'!$O$50:$O$71,'Repo Details and VaR'!$Q$50:$Q$71,'Repo Curves &amp; Graphs'!$M29,'Repo Details and VaR'!$O$50:$O$71,"&gt;0",'Repo Details and VaR'!$H$50:$H$71,'Repo Curves &amp; Graphs'!S$4)/1000</f>
        <v>0</v>
      </c>
      <c r="T29" s="809">
        <f>SUMIFS('Repo Details and VaR'!$O$50:$O$71,'Repo Details and VaR'!$Q$50:$Q$71,'Repo Curves &amp; Graphs'!$M29,'Repo Details and VaR'!$O$50:$O$71,"&lt;0",'Repo Details and VaR'!$H$50:$H$71,'Repo Curves &amp; Graphs'!T$4)/1000</f>
        <v>0</v>
      </c>
      <c r="U29" s="809">
        <f>SUMIFS('Repo Details and VaR'!$O$50:$O$71,'Repo Details and VaR'!$Q$50:$Q$71,'Repo Curves &amp; Graphs'!$M29,'Repo Details and VaR'!$O$50:$O$71,"&lt;0",'Repo Details and VaR'!$D$50:$D$71,"DOMESTIC MTN")/1000</f>
        <v>0</v>
      </c>
      <c r="V29" s="809">
        <f>SUMIFS('Repo Details and VaR'!$O$50:$O$71,'Repo Details and VaR'!$Q$50:$Q$71,'Repo Curves &amp; Graphs'!$M29,'Repo Details and VaR'!$O$50:$O$71,"&lt;0",'Repo Details and VaR'!$D$50:$D$71,"EURO MTN")/1000</f>
        <v>0</v>
      </c>
      <c r="AC29" s="86">
        <v>44081</v>
      </c>
    </row>
    <row r="30" spans="2:29" x14ac:dyDescent="0.25">
      <c r="M30" s="10">
        <f t="shared" si="2"/>
        <v>44683</v>
      </c>
      <c r="N30" s="809">
        <v>0</v>
      </c>
      <c r="O30" s="809">
        <f>SUMIFS('Risk Report'!$D$9:$D$25,'Risk Report'!$F$9:$F$25,$M30,'Risk Report'!$C$9:$C$25,O$4,'Risk Report'!$G$9:$G$25,O$5)*O$6/1000</f>
        <v>0</v>
      </c>
      <c r="P30" s="809">
        <f>SUMIFS('Risk Report'!$D$9:$D$25,'Risk Report'!$F$9:$F$25,$M30,'Risk Report'!$C$9:$C$25,P$4,'Risk Report'!$G$9:$G$25,P$5)*P$6/1000</f>
        <v>0</v>
      </c>
      <c r="Q30" s="809">
        <f>SUMIFS('Repo Details and VaR'!$O$50:$O$71,'Repo Details and VaR'!$Q$50:$Q$71,'Repo Curves &amp; Graphs'!$M30,'Repo Details and VaR'!$O$50:$O$71,"&gt;0",'Repo Details and VaR'!$H$50:$H$71,'Repo Curves &amp; Graphs'!Q$4)/1000</f>
        <v>0</v>
      </c>
      <c r="R30" s="809">
        <f>SUMIFS('Repo Details and VaR'!$O$50:$O$71,'Repo Details and VaR'!$Q$50:$Q$71,'Repo Curves &amp; Graphs'!$M30,'Repo Details and VaR'!$O$50:$O$71,"&lt;0",'Repo Details and VaR'!$H$50:$H$71,'Repo Curves &amp; Graphs'!R$4)/1000</f>
        <v>0</v>
      </c>
      <c r="S30" s="809">
        <f>SUMIFS('Repo Details and VaR'!$O$50:$O$71,'Repo Details and VaR'!$Q$50:$Q$71,'Repo Curves &amp; Graphs'!$M30,'Repo Details and VaR'!$O$50:$O$71,"&gt;0",'Repo Details and VaR'!$H$50:$H$71,'Repo Curves &amp; Graphs'!S$4)/1000</f>
        <v>0</v>
      </c>
      <c r="T30" s="809">
        <f>SUMIFS('Repo Details and VaR'!$O$50:$O$71,'Repo Details and VaR'!$Q$50:$Q$71,'Repo Curves &amp; Graphs'!$M30,'Repo Details and VaR'!$O$50:$O$71,"&lt;0",'Repo Details and VaR'!$H$50:$H$71,'Repo Curves &amp; Graphs'!T$4)/1000</f>
        <v>0</v>
      </c>
      <c r="U30" s="809">
        <f>SUMIFS('Repo Details and VaR'!$O$50:$O$71,'Repo Details and VaR'!$Q$50:$Q$71,'Repo Curves &amp; Graphs'!$M30,'Repo Details and VaR'!$O$50:$O$71,"&lt;0",'Repo Details and VaR'!$D$50:$D$71,"DOMESTIC MTN")/1000</f>
        <v>0</v>
      </c>
      <c r="V30" s="809">
        <f>SUMIFS('Repo Details and VaR'!$O$50:$O$71,'Repo Details and VaR'!$Q$50:$Q$71,'Repo Curves &amp; Graphs'!$M30,'Repo Details and VaR'!$O$50:$O$71,"&lt;0",'Repo Details and VaR'!$D$50:$D$71,"EURO MTN")/1000</f>
        <v>0</v>
      </c>
      <c r="AC30" s="86">
        <v>44116</v>
      </c>
    </row>
    <row r="31" spans="2:29" x14ac:dyDescent="0.25">
      <c r="M31" s="10">
        <f t="shared" si="2"/>
        <v>44684</v>
      </c>
      <c r="N31" s="809">
        <v>0</v>
      </c>
      <c r="O31" s="809">
        <f>SUMIFS('Risk Report'!$D$9:$D$25,'Risk Report'!$F$9:$F$25,$M31,'Risk Report'!$C$9:$C$25,O$4,'Risk Report'!$G$9:$G$25,O$5)*O$6/1000</f>
        <v>0</v>
      </c>
      <c r="P31" s="809">
        <f>SUMIFS('Risk Report'!$D$9:$D$25,'Risk Report'!$F$9:$F$25,$M31,'Risk Report'!$C$9:$C$25,P$4,'Risk Report'!$G$9:$G$25,P$5)*P$6/1000</f>
        <v>0</v>
      </c>
      <c r="Q31" s="809">
        <f>SUMIFS('Repo Details and VaR'!$O$50:$O$71,'Repo Details and VaR'!$Q$50:$Q$71,'Repo Curves &amp; Graphs'!$M31,'Repo Details and VaR'!$O$50:$O$71,"&gt;0",'Repo Details and VaR'!$H$50:$H$71,'Repo Curves &amp; Graphs'!Q$4)/1000</f>
        <v>0</v>
      </c>
      <c r="R31" s="809">
        <f>SUMIFS('Repo Details and VaR'!$O$50:$O$71,'Repo Details and VaR'!$Q$50:$Q$71,'Repo Curves &amp; Graphs'!$M31,'Repo Details and VaR'!$O$50:$O$71,"&lt;0",'Repo Details and VaR'!$H$50:$H$71,'Repo Curves &amp; Graphs'!R$4)/1000</f>
        <v>0</v>
      </c>
      <c r="S31" s="809">
        <f>SUMIFS('Repo Details and VaR'!$O$50:$O$71,'Repo Details and VaR'!$Q$50:$Q$71,'Repo Curves &amp; Graphs'!$M31,'Repo Details and VaR'!$O$50:$O$71,"&gt;0",'Repo Details and VaR'!$H$50:$H$71,'Repo Curves &amp; Graphs'!S$4)/1000</f>
        <v>0</v>
      </c>
      <c r="T31" s="809">
        <f>SUMIFS('Repo Details and VaR'!$O$50:$O$71,'Repo Details and VaR'!$Q$50:$Q$71,'Repo Curves &amp; Graphs'!$M31,'Repo Details and VaR'!$O$50:$O$71,"&lt;0",'Repo Details and VaR'!$H$50:$H$71,'Repo Curves &amp; Graphs'!T$4)/1000</f>
        <v>0</v>
      </c>
      <c r="U31" s="809">
        <f>SUMIFS('Repo Details and VaR'!$O$50:$O$71,'Repo Details and VaR'!$Q$50:$Q$71,'Repo Curves &amp; Graphs'!$M31,'Repo Details and VaR'!$O$50:$O$71,"&lt;0",'Repo Details and VaR'!$D$50:$D$71,"DOMESTIC MTN")/1000</f>
        <v>0</v>
      </c>
      <c r="V31" s="809">
        <f>SUMIFS('Repo Details and VaR'!$O$50:$O$71,'Repo Details and VaR'!$Q$50:$Q$71,'Repo Curves &amp; Graphs'!$M31,'Repo Details and VaR'!$O$50:$O$71,"&lt;0",'Repo Details and VaR'!$D$50:$D$71,"EURO MTN")/1000</f>
        <v>0</v>
      </c>
      <c r="AC31" s="86">
        <v>44146</v>
      </c>
    </row>
    <row r="32" spans="2:29" x14ac:dyDescent="0.25">
      <c r="M32" s="10">
        <f t="shared" si="2"/>
        <v>44685</v>
      </c>
      <c r="N32" s="809">
        <v>0</v>
      </c>
      <c r="O32" s="809">
        <f>SUMIFS('Risk Report'!$D$9:$D$25,'Risk Report'!$F$9:$F$25,$M32,'Risk Report'!$C$9:$C$25,O$4,'Risk Report'!$G$9:$G$25,O$5)*O$6/1000</f>
        <v>0</v>
      </c>
      <c r="P32" s="809">
        <f>SUMIFS('Risk Report'!$D$9:$D$25,'Risk Report'!$F$9:$F$25,$M32,'Risk Report'!$C$9:$C$25,P$4,'Risk Report'!$G$9:$G$25,P$5)*P$6/1000</f>
        <v>0</v>
      </c>
      <c r="Q32" s="809">
        <f>SUMIFS('Repo Details and VaR'!$O$50:$O$71,'Repo Details and VaR'!$Q$50:$Q$71,'Repo Curves &amp; Graphs'!$M32,'Repo Details and VaR'!$O$50:$O$71,"&gt;0",'Repo Details and VaR'!$H$50:$H$71,'Repo Curves &amp; Graphs'!Q$4)/1000</f>
        <v>0</v>
      </c>
      <c r="R32" s="809">
        <f>SUMIFS('Repo Details and VaR'!$O$50:$O$71,'Repo Details and VaR'!$Q$50:$Q$71,'Repo Curves &amp; Graphs'!$M32,'Repo Details and VaR'!$O$50:$O$71,"&lt;0",'Repo Details and VaR'!$H$50:$H$71,'Repo Curves &amp; Graphs'!R$4)/1000</f>
        <v>0</v>
      </c>
      <c r="S32" s="809">
        <f>SUMIFS('Repo Details and VaR'!$O$50:$O$71,'Repo Details and VaR'!$Q$50:$Q$71,'Repo Curves &amp; Graphs'!$M32,'Repo Details and VaR'!$O$50:$O$71,"&gt;0",'Repo Details and VaR'!$H$50:$H$71,'Repo Curves &amp; Graphs'!S$4)/1000</f>
        <v>0</v>
      </c>
      <c r="T32" s="809">
        <f>SUMIFS('Repo Details and VaR'!$O$50:$O$71,'Repo Details and VaR'!$Q$50:$Q$71,'Repo Curves &amp; Graphs'!$M32,'Repo Details and VaR'!$O$50:$O$71,"&lt;0",'Repo Details and VaR'!$H$50:$H$71,'Repo Curves &amp; Graphs'!T$4)/1000</f>
        <v>0</v>
      </c>
      <c r="U32" s="809">
        <f>SUMIFS('Repo Details and VaR'!$O$50:$O$71,'Repo Details and VaR'!$Q$50:$Q$71,'Repo Curves &amp; Graphs'!$M32,'Repo Details and VaR'!$O$50:$O$71,"&lt;0",'Repo Details and VaR'!$D$50:$D$71,"DOMESTIC MTN")/1000</f>
        <v>0</v>
      </c>
      <c r="V32" s="809">
        <f>SUMIFS('Repo Details and VaR'!$O$50:$O$71,'Repo Details and VaR'!$Q$50:$Q$71,'Repo Curves &amp; Graphs'!$M32,'Repo Details and VaR'!$O$50:$O$71,"&lt;0",'Repo Details and VaR'!$D$50:$D$71,"EURO MTN")/1000</f>
        <v>0</v>
      </c>
      <c r="AC32" s="86">
        <v>44161</v>
      </c>
    </row>
    <row r="33" spans="13:29" x14ac:dyDescent="0.25">
      <c r="M33" s="10">
        <f t="shared" si="2"/>
        <v>44686</v>
      </c>
      <c r="N33" s="809">
        <v>0</v>
      </c>
      <c r="O33" s="809">
        <f>SUMIFS('Risk Report'!$D$9:$D$25,'Risk Report'!$F$9:$F$25,$M33,'Risk Report'!$C$9:$C$25,O$4,'Risk Report'!$G$9:$G$25,O$5)*O$6/1000</f>
        <v>0</v>
      </c>
      <c r="P33" s="809">
        <f>SUMIFS('Risk Report'!$D$9:$D$25,'Risk Report'!$F$9:$F$25,$M33,'Risk Report'!$C$9:$C$25,P$4,'Risk Report'!$G$9:$G$25,P$5)*P$6/1000</f>
        <v>0</v>
      </c>
      <c r="Q33" s="809">
        <f>SUMIFS('Repo Details and VaR'!$O$50:$O$71,'Repo Details and VaR'!$Q$50:$Q$71,'Repo Curves &amp; Graphs'!$M33,'Repo Details and VaR'!$O$50:$O$71,"&gt;0",'Repo Details and VaR'!$H$50:$H$71,'Repo Curves &amp; Graphs'!Q$4)/1000</f>
        <v>0</v>
      </c>
      <c r="R33" s="809">
        <f>SUMIFS('Repo Details and VaR'!$O$50:$O$71,'Repo Details and VaR'!$Q$50:$Q$71,'Repo Curves &amp; Graphs'!$M33,'Repo Details and VaR'!$O$50:$O$71,"&lt;0",'Repo Details and VaR'!$H$50:$H$71,'Repo Curves &amp; Graphs'!R$4)/1000</f>
        <v>0</v>
      </c>
      <c r="S33" s="809">
        <f>SUMIFS('Repo Details and VaR'!$O$50:$O$71,'Repo Details and VaR'!$Q$50:$Q$71,'Repo Curves &amp; Graphs'!$M33,'Repo Details and VaR'!$O$50:$O$71,"&gt;0",'Repo Details and VaR'!$H$50:$H$71,'Repo Curves &amp; Graphs'!S$4)/1000</f>
        <v>0</v>
      </c>
      <c r="T33" s="809">
        <f>SUMIFS('Repo Details and VaR'!$O$50:$O$71,'Repo Details and VaR'!$Q$50:$Q$71,'Repo Curves &amp; Graphs'!$M33,'Repo Details and VaR'!$O$50:$O$71,"&lt;0",'Repo Details and VaR'!$H$50:$H$71,'Repo Curves &amp; Graphs'!T$4)/1000</f>
        <v>0</v>
      </c>
      <c r="U33" s="809">
        <f>SUMIFS('Repo Details and VaR'!$O$50:$O$71,'Repo Details and VaR'!$Q$50:$Q$71,'Repo Curves &amp; Graphs'!$M33,'Repo Details and VaR'!$O$50:$O$71,"&lt;0",'Repo Details and VaR'!$D$50:$D$71,"DOMESTIC MTN")/1000</f>
        <v>0</v>
      </c>
      <c r="V33" s="809">
        <f>SUMIFS('Repo Details and VaR'!$O$50:$O$71,'Repo Details and VaR'!$Q$50:$Q$71,'Repo Curves &amp; Graphs'!$M33,'Repo Details and VaR'!$O$50:$O$71,"&lt;0",'Repo Details and VaR'!$D$50:$D$71,"EURO MTN")/1000</f>
        <v>0</v>
      </c>
      <c r="AC33" s="86">
        <v>44190</v>
      </c>
    </row>
    <row r="34" spans="13:29" x14ac:dyDescent="0.25">
      <c r="M34" s="10">
        <f t="shared" si="2"/>
        <v>44687</v>
      </c>
      <c r="N34" s="809">
        <v>0</v>
      </c>
      <c r="O34" s="809">
        <f>SUMIFS('Risk Report'!$D$9:$D$25,'Risk Report'!$F$9:$F$25,$M34,'Risk Report'!$C$9:$C$25,O$4,'Risk Report'!$G$9:$G$25,O$5)*O$6/1000</f>
        <v>0</v>
      </c>
      <c r="P34" s="809">
        <f>SUMIFS('Risk Report'!$D$9:$D$25,'Risk Report'!$F$9:$F$25,$M34,'Risk Report'!$C$9:$C$25,P$4,'Risk Report'!$G$9:$G$25,P$5)*P$6/1000</f>
        <v>0</v>
      </c>
      <c r="Q34" s="809">
        <f>SUMIFS('Repo Details and VaR'!$O$50:$O$71,'Repo Details and VaR'!$Q$50:$Q$71,'Repo Curves &amp; Graphs'!$M34,'Repo Details and VaR'!$O$50:$O$71,"&gt;0",'Repo Details and VaR'!$H$50:$H$71,'Repo Curves &amp; Graphs'!Q$4)/1000</f>
        <v>0</v>
      </c>
      <c r="R34" s="809">
        <f>SUMIFS('Repo Details and VaR'!$O$50:$O$71,'Repo Details and VaR'!$Q$50:$Q$71,'Repo Curves &amp; Graphs'!$M34,'Repo Details and VaR'!$O$50:$O$71,"&lt;0",'Repo Details and VaR'!$H$50:$H$71,'Repo Curves &amp; Graphs'!R$4)/1000</f>
        <v>0</v>
      </c>
      <c r="S34" s="809">
        <f>SUMIFS('Repo Details and VaR'!$O$50:$O$71,'Repo Details and VaR'!$Q$50:$Q$71,'Repo Curves &amp; Graphs'!$M34,'Repo Details and VaR'!$O$50:$O$71,"&gt;0",'Repo Details and VaR'!$H$50:$H$71,'Repo Curves &amp; Graphs'!S$4)/1000</f>
        <v>0</v>
      </c>
      <c r="T34" s="809">
        <f>SUMIFS('Repo Details and VaR'!$O$50:$O$71,'Repo Details and VaR'!$Q$50:$Q$71,'Repo Curves &amp; Graphs'!$M34,'Repo Details and VaR'!$O$50:$O$71,"&lt;0",'Repo Details and VaR'!$H$50:$H$71,'Repo Curves &amp; Graphs'!T$4)/1000</f>
        <v>0</v>
      </c>
      <c r="U34" s="809">
        <f>SUMIFS('Repo Details and VaR'!$O$50:$O$71,'Repo Details and VaR'!$Q$50:$Q$71,'Repo Curves &amp; Graphs'!$M34,'Repo Details and VaR'!$O$50:$O$71,"&lt;0",'Repo Details and VaR'!$D$50:$D$71,"DOMESTIC MTN")/1000</f>
        <v>0</v>
      </c>
      <c r="V34" s="809">
        <f>SUMIFS('Repo Details and VaR'!$O$50:$O$71,'Repo Details and VaR'!$Q$50:$Q$71,'Repo Curves &amp; Graphs'!$M34,'Repo Details and VaR'!$O$50:$O$71,"&lt;0",'Repo Details and VaR'!$D$50:$D$71,"EURO MTN")/1000</f>
        <v>0</v>
      </c>
      <c r="AC34" s="86">
        <v>44197</v>
      </c>
    </row>
    <row r="35" spans="13:29" x14ac:dyDescent="0.25">
      <c r="M35" s="10">
        <f t="shared" si="2"/>
        <v>44690</v>
      </c>
      <c r="N35" s="809">
        <v>0</v>
      </c>
      <c r="O35" s="809">
        <f>SUMIFS('Risk Report'!$D$9:$D$25,'Risk Report'!$F$9:$F$25,$M35,'Risk Report'!$C$9:$C$25,O$4,'Risk Report'!$G$9:$G$25,O$5)*O$6/1000</f>
        <v>0</v>
      </c>
      <c r="P35" s="809">
        <f>SUMIFS('Risk Report'!$D$9:$D$25,'Risk Report'!$F$9:$F$25,$M35,'Risk Report'!$C$9:$C$25,P$4,'Risk Report'!$G$9:$G$25,P$5)*P$6/1000</f>
        <v>0</v>
      </c>
      <c r="Q35" s="809">
        <f>SUMIFS('Repo Details and VaR'!$O$50:$O$71,'Repo Details and VaR'!$Q$50:$Q$71,'Repo Curves &amp; Graphs'!$M35,'Repo Details and VaR'!$O$50:$O$71,"&gt;0",'Repo Details and VaR'!$H$50:$H$71,'Repo Curves &amp; Graphs'!Q$4)/1000</f>
        <v>0</v>
      </c>
      <c r="R35" s="809">
        <f>SUMIFS('Repo Details and VaR'!$O$50:$O$71,'Repo Details and VaR'!$Q$50:$Q$71,'Repo Curves &amp; Graphs'!$M35,'Repo Details and VaR'!$O$50:$O$71,"&lt;0",'Repo Details and VaR'!$H$50:$H$71,'Repo Curves &amp; Graphs'!R$4)/1000</f>
        <v>0</v>
      </c>
      <c r="S35" s="809">
        <f>SUMIFS('Repo Details and VaR'!$O$50:$O$71,'Repo Details and VaR'!$Q$50:$Q$71,'Repo Curves &amp; Graphs'!$M35,'Repo Details and VaR'!$O$50:$O$71,"&gt;0",'Repo Details and VaR'!$H$50:$H$71,'Repo Curves &amp; Graphs'!S$4)/1000</f>
        <v>0</v>
      </c>
      <c r="T35" s="809">
        <f>SUMIFS('Repo Details and VaR'!$O$50:$O$71,'Repo Details and VaR'!$Q$50:$Q$71,'Repo Curves &amp; Graphs'!$M35,'Repo Details and VaR'!$O$50:$O$71,"&lt;0",'Repo Details and VaR'!$H$50:$H$71,'Repo Curves &amp; Graphs'!T$4)/1000</f>
        <v>0</v>
      </c>
      <c r="U35" s="809">
        <f>SUMIFS('Repo Details and VaR'!$O$50:$O$71,'Repo Details and VaR'!$Q$50:$Q$71,'Repo Curves &amp; Graphs'!$M35,'Repo Details and VaR'!$O$50:$O$71,"&lt;0",'Repo Details and VaR'!$D$50:$D$71,"DOMESTIC MTN")/1000</f>
        <v>0</v>
      </c>
      <c r="V35" s="809">
        <f>SUMIFS('Repo Details and VaR'!$O$50:$O$71,'Repo Details and VaR'!$Q$50:$Q$71,'Repo Curves &amp; Graphs'!$M35,'Repo Details and VaR'!$O$50:$O$71,"&lt;0",'Repo Details and VaR'!$D$50:$D$71,"EURO MTN")/1000</f>
        <v>0</v>
      </c>
      <c r="AC35" s="86">
        <v>44214</v>
      </c>
    </row>
    <row r="36" spans="13:29" x14ac:dyDescent="0.25">
      <c r="M36" s="10">
        <f t="shared" si="2"/>
        <v>44691</v>
      </c>
      <c r="N36" s="809">
        <v>0</v>
      </c>
      <c r="O36" s="809">
        <f>SUMIFS('Risk Report'!$D$9:$D$25,'Risk Report'!$F$9:$F$25,$M36,'Risk Report'!$C$9:$C$25,O$4,'Risk Report'!$G$9:$G$25,O$5)*O$6/1000</f>
        <v>0</v>
      </c>
      <c r="P36" s="809">
        <f>SUMIFS('Risk Report'!$D$9:$D$25,'Risk Report'!$F$9:$F$25,$M36,'Risk Report'!$C$9:$C$25,P$4,'Risk Report'!$G$9:$G$25,P$5)*P$6/1000</f>
        <v>0</v>
      </c>
      <c r="Q36" s="809">
        <f>SUMIFS('Repo Details and VaR'!$O$50:$O$71,'Repo Details and VaR'!$Q$50:$Q$71,'Repo Curves &amp; Graphs'!$M36,'Repo Details and VaR'!$O$50:$O$71,"&gt;0",'Repo Details and VaR'!$H$50:$H$71,'Repo Curves &amp; Graphs'!Q$4)/1000</f>
        <v>0</v>
      </c>
      <c r="R36" s="809">
        <f>SUMIFS('Repo Details and VaR'!$O$50:$O$71,'Repo Details and VaR'!$Q$50:$Q$71,'Repo Curves &amp; Graphs'!$M36,'Repo Details and VaR'!$O$50:$O$71,"&lt;0",'Repo Details and VaR'!$H$50:$H$71,'Repo Curves &amp; Graphs'!R$4)/1000</f>
        <v>0</v>
      </c>
      <c r="S36" s="809">
        <f>SUMIFS('Repo Details and VaR'!$O$50:$O$71,'Repo Details and VaR'!$Q$50:$Q$71,'Repo Curves &amp; Graphs'!$M36,'Repo Details and VaR'!$O$50:$O$71,"&gt;0",'Repo Details and VaR'!$H$50:$H$71,'Repo Curves &amp; Graphs'!S$4)/1000</f>
        <v>0</v>
      </c>
      <c r="T36" s="809">
        <f>SUMIFS('Repo Details and VaR'!$O$50:$O$71,'Repo Details and VaR'!$Q$50:$Q$71,'Repo Curves &amp; Graphs'!$M36,'Repo Details and VaR'!$O$50:$O$71,"&lt;0",'Repo Details and VaR'!$H$50:$H$71,'Repo Curves &amp; Graphs'!T$4)/1000</f>
        <v>0</v>
      </c>
      <c r="U36" s="809">
        <f>SUMIFS('Repo Details and VaR'!$O$50:$O$71,'Repo Details and VaR'!$Q$50:$Q$71,'Repo Curves &amp; Graphs'!$M36,'Repo Details and VaR'!$O$50:$O$71,"&lt;0",'Repo Details and VaR'!$D$50:$D$71,"DOMESTIC MTN")/1000</f>
        <v>0</v>
      </c>
      <c r="V36" s="809">
        <f>SUMIFS('Repo Details and VaR'!$O$50:$O$71,'Repo Details and VaR'!$Q$50:$Q$71,'Repo Curves &amp; Graphs'!$M36,'Repo Details and VaR'!$O$50:$O$71,"&lt;0",'Repo Details and VaR'!$D$50:$D$71,"EURO MTN")/1000</f>
        <v>0</v>
      </c>
      <c r="AC36" s="86">
        <v>44242</v>
      </c>
    </row>
    <row r="37" spans="13:29" x14ac:dyDescent="0.25">
      <c r="M37" s="10">
        <f t="shared" si="2"/>
        <v>44692</v>
      </c>
      <c r="N37" s="809">
        <v>0</v>
      </c>
      <c r="O37" s="809">
        <f>SUMIFS('Risk Report'!$D$9:$D$25,'Risk Report'!$F$9:$F$25,$M37,'Risk Report'!$C$9:$C$25,O$4,'Risk Report'!$G$9:$G$25,O$5)*O$6/1000</f>
        <v>0</v>
      </c>
      <c r="P37" s="809">
        <f>SUMIFS('Risk Report'!$D$9:$D$25,'Risk Report'!$F$9:$F$25,$M37,'Risk Report'!$C$9:$C$25,P$4,'Risk Report'!$G$9:$G$25,P$5)*P$6/1000</f>
        <v>0</v>
      </c>
      <c r="Q37" s="809">
        <f>SUMIFS('Repo Details and VaR'!$O$50:$O$71,'Repo Details and VaR'!$Q$50:$Q$71,'Repo Curves &amp; Graphs'!$M37,'Repo Details and VaR'!$O$50:$O$71,"&gt;0",'Repo Details and VaR'!$H$50:$H$71,'Repo Curves &amp; Graphs'!Q$4)/1000</f>
        <v>0</v>
      </c>
      <c r="R37" s="809">
        <f>SUMIFS('Repo Details and VaR'!$O$50:$O$71,'Repo Details and VaR'!$Q$50:$Q$71,'Repo Curves &amp; Graphs'!$M37,'Repo Details and VaR'!$O$50:$O$71,"&lt;0",'Repo Details and VaR'!$H$50:$H$71,'Repo Curves &amp; Graphs'!R$4)/1000</f>
        <v>0</v>
      </c>
      <c r="S37" s="809">
        <f>SUMIFS('Repo Details and VaR'!$O$50:$O$71,'Repo Details and VaR'!$Q$50:$Q$71,'Repo Curves &amp; Graphs'!$M37,'Repo Details and VaR'!$O$50:$O$71,"&gt;0",'Repo Details and VaR'!$H$50:$H$71,'Repo Curves &amp; Graphs'!S$4)/1000</f>
        <v>0</v>
      </c>
      <c r="T37" s="809">
        <f>SUMIFS('Repo Details and VaR'!$O$50:$O$71,'Repo Details and VaR'!$Q$50:$Q$71,'Repo Curves &amp; Graphs'!$M37,'Repo Details and VaR'!$O$50:$O$71,"&lt;0",'Repo Details and VaR'!$H$50:$H$71,'Repo Curves &amp; Graphs'!T$4)/1000</f>
        <v>0</v>
      </c>
      <c r="U37" s="809">
        <f>SUMIFS('Repo Details and VaR'!$O$50:$O$71,'Repo Details and VaR'!$Q$50:$Q$71,'Repo Curves &amp; Graphs'!$M37,'Repo Details and VaR'!$O$50:$O$71,"&lt;0",'Repo Details and VaR'!$D$50:$D$71,"DOMESTIC MTN")/1000</f>
        <v>0</v>
      </c>
      <c r="V37" s="809">
        <f>SUMIFS('Repo Details and VaR'!$O$50:$O$71,'Repo Details and VaR'!$Q$50:$Q$71,'Repo Curves &amp; Graphs'!$M37,'Repo Details and VaR'!$O$50:$O$71,"&lt;0",'Repo Details and VaR'!$D$50:$D$71,"EURO MTN")/1000</f>
        <v>0</v>
      </c>
      <c r="AC37" s="86">
        <v>44288</v>
      </c>
    </row>
    <row r="38" spans="13:29" x14ac:dyDescent="0.25">
      <c r="M38" s="10">
        <f t="shared" si="2"/>
        <v>44693</v>
      </c>
      <c r="N38" s="809">
        <v>0</v>
      </c>
      <c r="O38" s="809">
        <f>SUMIFS('Risk Report'!$D$9:$D$25,'Risk Report'!$F$9:$F$25,$M38,'Risk Report'!$C$9:$C$25,O$4,'Risk Report'!$G$9:$G$25,O$5)*O$6/1000</f>
        <v>0</v>
      </c>
      <c r="P38" s="809">
        <f>SUMIFS('Risk Report'!$D$9:$D$25,'Risk Report'!$F$9:$F$25,$M38,'Risk Report'!$C$9:$C$25,P$4,'Risk Report'!$G$9:$G$25,P$5)*P$6/1000</f>
        <v>0</v>
      </c>
      <c r="Q38" s="809">
        <f>SUMIFS('Repo Details and VaR'!$O$50:$O$71,'Repo Details and VaR'!$Q$50:$Q$71,'Repo Curves &amp; Graphs'!$M38,'Repo Details and VaR'!$O$50:$O$71,"&gt;0",'Repo Details and VaR'!$H$50:$H$71,'Repo Curves &amp; Graphs'!Q$4)/1000</f>
        <v>0</v>
      </c>
      <c r="R38" s="809">
        <f>SUMIFS('Repo Details and VaR'!$O$50:$O$71,'Repo Details and VaR'!$Q$50:$Q$71,'Repo Curves &amp; Graphs'!$M38,'Repo Details and VaR'!$O$50:$O$71,"&lt;0",'Repo Details and VaR'!$H$50:$H$71,'Repo Curves &amp; Graphs'!R$4)/1000</f>
        <v>0</v>
      </c>
      <c r="S38" s="809">
        <f>SUMIFS('Repo Details and VaR'!$O$50:$O$71,'Repo Details and VaR'!$Q$50:$Q$71,'Repo Curves &amp; Graphs'!$M38,'Repo Details and VaR'!$O$50:$O$71,"&gt;0",'Repo Details and VaR'!$H$50:$H$71,'Repo Curves &amp; Graphs'!S$4)/1000</f>
        <v>0</v>
      </c>
      <c r="T38" s="809">
        <f>SUMIFS('Repo Details and VaR'!$O$50:$O$71,'Repo Details and VaR'!$Q$50:$Q$71,'Repo Curves &amp; Graphs'!$M38,'Repo Details and VaR'!$O$50:$O$71,"&lt;0",'Repo Details and VaR'!$H$50:$H$71,'Repo Curves &amp; Graphs'!T$4)/1000</f>
        <v>0</v>
      </c>
      <c r="U38" s="809">
        <f>SUMIFS('Repo Details and VaR'!$O$50:$O$71,'Repo Details and VaR'!$Q$50:$Q$71,'Repo Curves &amp; Graphs'!$M38,'Repo Details and VaR'!$O$50:$O$71,"&lt;0",'Repo Details and VaR'!$D$50:$D$71,"DOMESTIC MTN")/1000</f>
        <v>0</v>
      </c>
      <c r="V38" s="809">
        <f>SUMIFS('Repo Details and VaR'!$O$50:$O$71,'Repo Details and VaR'!$Q$50:$Q$71,'Repo Curves &amp; Graphs'!$M38,'Repo Details and VaR'!$O$50:$O$71,"&lt;0",'Repo Details and VaR'!$D$50:$D$71,"EURO MTN")/1000</f>
        <v>0</v>
      </c>
      <c r="AC38" s="86">
        <v>44347</v>
      </c>
    </row>
    <row r="39" spans="13:29" x14ac:dyDescent="0.25">
      <c r="M39" s="10">
        <f t="shared" si="2"/>
        <v>44694</v>
      </c>
      <c r="N39" s="809">
        <v>0</v>
      </c>
      <c r="O39" s="809">
        <f>SUMIFS('Risk Report'!$D$9:$D$25,'Risk Report'!$F$9:$F$25,$M39,'Risk Report'!$C$9:$C$25,O$4,'Risk Report'!$G$9:$G$25,O$5)*O$6/1000</f>
        <v>0</v>
      </c>
      <c r="P39" s="809">
        <f>SUMIFS('Risk Report'!$D$9:$D$25,'Risk Report'!$F$9:$F$25,$M39,'Risk Report'!$C$9:$C$25,P$4,'Risk Report'!$G$9:$G$25,P$5)*P$6/1000</f>
        <v>0</v>
      </c>
      <c r="Q39" s="809">
        <f>SUMIFS('Repo Details and VaR'!$O$50:$O$71,'Repo Details and VaR'!$Q$50:$Q$71,'Repo Curves &amp; Graphs'!$M39,'Repo Details and VaR'!$O$50:$O$71,"&gt;0",'Repo Details and VaR'!$H$50:$H$71,'Repo Curves &amp; Graphs'!Q$4)/1000</f>
        <v>0</v>
      </c>
      <c r="R39" s="809">
        <f>SUMIFS('Repo Details and VaR'!$O$50:$O$71,'Repo Details and VaR'!$Q$50:$Q$71,'Repo Curves &amp; Graphs'!$M39,'Repo Details and VaR'!$O$50:$O$71,"&lt;0",'Repo Details and VaR'!$H$50:$H$71,'Repo Curves &amp; Graphs'!R$4)/1000</f>
        <v>0</v>
      </c>
      <c r="S39" s="809">
        <f>SUMIFS('Repo Details and VaR'!$O$50:$O$71,'Repo Details and VaR'!$Q$50:$Q$71,'Repo Curves &amp; Graphs'!$M39,'Repo Details and VaR'!$O$50:$O$71,"&gt;0",'Repo Details and VaR'!$H$50:$H$71,'Repo Curves &amp; Graphs'!S$4)/1000</f>
        <v>0</v>
      </c>
      <c r="T39" s="809">
        <f>SUMIFS('Repo Details and VaR'!$O$50:$O$71,'Repo Details and VaR'!$Q$50:$Q$71,'Repo Curves &amp; Graphs'!$M39,'Repo Details and VaR'!$O$50:$O$71,"&lt;0",'Repo Details and VaR'!$H$50:$H$71,'Repo Curves &amp; Graphs'!T$4)/1000</f>
        <v>0</v>
      </c>
      <c r="U39" s="809">
        <f>SUMIFS('Repo Details and VaR'!$O$50:$O$71,'Repo Details and VaR'!$Q$50:$Q$71,'Repo Curves &amp; Graphs'!$M39,'Repo Details and VaR'!$O$50:$O$71,"&lt;0",'Repo Details and VaR'!$D$50:$D$71,"DOMESTIC MTN")/1000</f>
        <v>0</v>
      </c>
      <c r="V39" s="809">
        <f>SUMIFS('Repo Details and VaR'!$O$50:$O$71,'Repo Details and VaR'!$Q$50:$Q$71,'Repo Curves &amp; Graphs'!$M39,'Repo Details and VaR'!$O$50:$O$71,"&lt;0",'Repo Details and VaR'!$D$50:$D$71,"EURO MTN")/1000</f>
        <v>0</v>
      </c>
      <c r="AC39" s="86">
        <v>44382</v>
      </c>
    </row>
    <row r="40" spans="13:29" x14ac:dyDescent="0.25">
      <c r="M40" s="10">
        <f t="shared" si="2"/>
        <v>44697</v>
      </c>
      <c r="N40" s="809">
        <v>0</v>
      </c>
      <c r="O40" s="809">
        <f>SUMIFS('Risk Report'!$D$9:$D$25,'Risk Report'!$F$9:$F$25,$M40,'Risk Report'!$C$9:$C$25,O$4,'Risk Report'!$G$9:$G$25,O$5)*O$6/1000</f>
        <v>0</v>
      </c>
      <c r="P40" s="809">
        <f>SUMIFS('Risk Report'!$D$9:$D$25,'Risk Report'!$F$9:$F$25,$M40,'Risk Report'!$C$9:$C$25,P$4,'Risk Report'!$G$9:$G$25,P$5)*P$6/1000</f>
        <v>0</v>
      </c>
      <c r="Q40" s="809">
        <f>SUMIFS('Repo Details and VaR'!$O$50:$O$71,'Repo Details and VaR'!$Q$50:$Q$71,'Repo Curves &amp; Graphs'!$M40,'Repo Details and VaR'!$O$50:$O$71,"&gt;0",'Repo Details and VaR'!$H$50:$H$71,'Repo Curves &amp; Graphs'!Q$4)/1000</f>
        <v>0</v>
      </c>
      <c r="R40" s="809">
        <f>SUMIFS('Repo Details and VaR'!$O$50:$O$71,'Repo Details and VaR'!$Q$50:$Q$71,'Repo Curves &amp; Graphs'!$M40,'Repo Details and VaR'!$O$50:$O$71,"&lt;0",'Repo Details and VaR'!$H$50:$H$71,'Repo Curves &amp; Graphs'!R$4)/1000</f>
        <v>0</v>
      </c>
      <c r="S40" s="809">
        <f>SUMIFS('Repo Details and VaR'!$O$50:$O$71,'Repo Details and VaR'!$Q$50:$Q$71,'Repo Curves &amp; Graphs'!$M40,'Repo Details and VaR'!$O$50:$O$71,"&gt;0",'Repo Details and VaR'!$H$50:$H$71,'Repo Curves &amp; Graphs'!S$4)/1000</f>
        <v>0</v>
      </c>
      <c r="T40" s="809">
        <f>SUMIFS('Repo Details and VaR'!$O$50:$O$71,'Repo Details and VaR'!$Q$50:$Q$71,'Repo Curves &amp; Graphs'!$M40,'Repo Details and VaR'!$O$50:$O$71,"&lt;0",'Repo Details and VaR'!$H$50:$H$71,'Repo Curves &amp; Graphs'!T$4)/1000</f>
        <v>0</v>
      </c>
      <c r="U40" s="809">
        <f>SUMIFS('Repo Details and VaR'!$O$50:$O$71,'Repo Details and VaR'!$Q$50:$Q$71,'Repo Curves &amp; Graphs'!$M40,'Repo Details and VaR'!$O$50:$O$71,"&lt;0",'Repo Details and VaR'!$D$50:$D$71,"DOMESTIC MTN")/1000</f>
        <v>0</v>
      </c>
      <c r="V40" s="809">
        <f>SUMIFS('Repo Details and VaR'!$O$50:$O$71,'Repo Details and VaR'!$Q$50:$Q$71,'Repo Curves &amp; Graphs'!$M40,'Repo Details and VaR'!$O$50:$O$71,"&lt;0",'Repo Details and VaR'!$D$50:$D$71,"EURO MTN")/1000</f>
        <v>0</v>
      </c>
      <c r="AC40" s="86">
        <v>44445</v>
      </c>
    </row>
    <row r="41" spans="13:29" x14ac:dyDescent="0.25">
      <c r="M41" s="10">
        <f t="shared" si="2"/>
        <v>44698</v>
      </c>
      <c r="N41" s="809">
        <v>0</v>
      </c>
      <c r="O41" s="809">
        <f>SUMIFS('Risk Report'!$D$9:$D$25,'Risk Report'!$F$9:$F$25,$M41,'Risk Report'!$C$9:$C$25,O$4,'Risk Report'!$G$9:$G$25,O$5)*O$6/1000</f>
        <v>0</v>
      </c>
      <c r="P41" s="809">
        <f>SUMIFS('Risk Report'!$D$9:$D$25,'Risk Report'!$F$9:$F$25,$M41,'Risk Report'!$C$9:$C$25,P$4,'Risk Report'!$G$9:$G$25,P$5)*P$6/1000</f>
        <v>0</v>
      </c>
      <c r="Q41" s="809">
        <f>SUMIFS('Repo Details and VaR'!$O$50:$O$71,'Repo Details and VaR'!$Q$50:$Q$71,'Repo Curves &amp; Graphs'!$M41,'Repo Details and VaR'!$O$50:$O$71,"&gt;0",'Repo Details and VaR'!$H$50:$H$71,'Repo Curves &amp; Graphs'!Q$4)/1000</f>
        <v>0</v>
      </c>
      <c r="R41" s="809">
        <f>SUMIFS('Repo Details and VaR'!$O$50:$O$71,'Repo Details and VaR'!$Q$50:$Q$71,'Repo Curves &amp; Graphs'!$M41,'Repo Details and VaR'!$O$50:$O$71,"&lt;0",'Repo Details and VaR'!$H$50:$H$71,'Repo Curves &amp; Graphs'!R$4)/1000</f>
        <v>0</v>
      </c>
      <c r="S41" s="809">
        <f>SUMIFS('Repo Details and VaR'!$O$50:$O$71,'Repo Details and VaR'!$Q$50:$Q$71,'Repo Curves &amp; Graphs'!$M41,'Repo Details and VaR'!$O$50:$O$71,"&gt;0",'Repo Details and VaR'!$H$50:$H$71,'Repo Curves &amp; Graphs'!S$4)/1000</f>
        <v>0</v>
      </c>
      <c r="T41" s="809">
        <f>SUMIFS('Repo Details and VaR'!$O$50:$O$71,'Repo Details and VaR'!$Q$50:$Q$71,'Repo Curves &amp; Graphs'!$M41,'Repo Details and VaR'!$O$50:$O$71,"&lt;0",'Repo Details and VaR'!$H$50:$H$71,'Repo Curves &amp; Graphs'!T$4)/1000</f>
        <v>0</v>
      </c>
      <c r="U41" s="809">
        <f>SUMIFS('Repo Details and VaR'!$O$50:$O$71,'Repo Details and VaR'!$Q$50:$Q$71,'Repo Curves &amp; Graphs'!$M41,'Repo Details and VaR'!$O$50:$O$71,"&lt;0",'Repo Details and VaR'!$D$50:$D$71,"DOMESTIC MTN")/1000</f>
        <v>0</v>
      </c>
      <c r="V41" s="809">
        <f>SUMIFS('Repo Details and VaR'!$O$50:$O$71,'Repo Details and VaR'!$Q$50:$Q$71,'Repo Curves &amp; Graphs'!$M41,'Repo Details and VaR'!$O$50:$O$71,"&lt;0",'Repo Details and VaR'!$D$50:$D$71,"EURO MTN")/1000</f>
        <v>0</v>
      </c>
      <c r="AC41" s="86">
        <v>44480</v>
      </c>
    </row>
    <row r="42" spans="13:29" x14ac:dyDescent="0.25">
      <c r="M42" s="10">
        <f t="shared" si="2"/>
        <v>44699</v>
      </c>
      <c r="N42" s="809">
        <v>0</v>
      </c>
      <c r="O42" s="809">
        <f>SUMIFS('Risk Report'!$D$9:$D$25,'Risk Report'!$F$9:$F$25,$M42,'Risk Report'!$C$9:$C$25,O$4,'Risk Report'!$G$9:$G$25,O$5)*O$6/1000</f>
        <v>0</v>
      </c>
      <c r="P42" s="809">
        <f>SUMIFS('Risk Report'!$D$9:$D$25,'Risk Report'!$F$9:$F$25,$M42,'Risk Report'!$C$9:$C$25,P$4,'Risk Report'!$G$9:$G$25,P$5)*P$6/1000</f>
        <v>0</v>
      </c>
      <c r="Q42" s="809">
        <f>SUMIFS('Repo Details and VaR'!$O$50:$O$71,'Repo Details and VaR'!$Q$50:$Q$71,'Repo Curves &amp; Graphs'!$M42,'Repo Details and VaR'!$O$50:$O$71,"&gt;0",'Repo Details and VaR'!$H$50:$H$71,'Repo Curves &amp; Graphs'!Q$4)/1000</f>
        <v>0</v>
      </c>
      <c r="R42" s="809">
        <f>SUMIFS('Repo Details and VaR'!$O$50:$O$71,'Repo Details and VaR'!$Q$50:$Q$71,'Repo Curves &amp; Graphs'!$M42,'Repo Details and VaR'!$O$50:$O$71,"&lt;0",'Repo Details and VaR'!$H$50:$H$71,'Repo Curves &amp; Graphs'!R$4)/1000</f>
        <v>0</v>
      </c>
      <c r="S42" s="809">
        <f>SUMIFS('Repo Details and VaR'!$O$50:$O$71,'Repo Details and VaR'!$Q$50:$Q$71,'Repo Curves &amp; Graphs'!$M42,'Repo Details and VaR'!$O$50:$O$71,"&gt;0",'Repo Details and VaR'!$H$50:$H$71,'Repo Curves &amp; Graphs'!S$4)/1000</f>
        <v>0</v>
      </c>
      <c r="T42" s="809">
        <f>SUMIFS('Repo Details and VaR'!$O$50:$O$71,'Repo Details and VaR'!$Q$50:$Q$71,'Repo Curves &amp; Graphs'!$M42,'Repo Details and VaR'!$O$50:$O$71,"&lt;0",'Repo Details and VaR'!$H$50:$H$71,'Repo Curves &amp; Graphs'!T$4)/1000</f>
        <v>0</v>
      </c>
      <c r="U42" s="809">
        <f>SUMIFS('Repo Details and VaR'!$O$50:$O$71,'Repo Details and VaR'!$Q$50:$Q$71,'Repo Curves &amp; Graphs'!$M42,'Repo Details and VaR'!$O$50:$O$71,"&lt;0",'Repo Details and VaR'!$D$50:$D$71,"DOMESTIC MTN")/1000</f>
        <v>0</v>
      </c>
      <c r="V42" s="809">
        <f>SUMIFS('Repo Details and VaR'!$O$50:$O$71,'Repo Details and VaR'!$Q$50:$Q$71,'Repo Curves &amp; Graphs'!$M42,'Repo Details and VaR'!$O$50:$O$71,"&lt;0",'Repo Details and VaR'!$D$50:$D$71,"EURO MTN")/1000</f>
        <v>0</v>
      </c>
      <c r="AC42" s="86">
        <v>44511</v>
      </c>
    </row>
    <row r="43" spans="13:29" x14ac:dyDescent="0.25">
      <c r="M43" s="10">
        <f t="shared" si="2"/>
        <v>44700</v>
      </c>
      <c r="N43" s="809">
        <v>0</v>
      </c>
      <c r="O43" s="809">
        <f>SUMIFS('Risk Report'!$D$9:$D$25,'Risk Report'!$F$9:$F$25,$M43,'Risk Report'!$C$9:$C$25,O$4,'Risk Report'!$G$9:$G$25,O$5)*O$6/1000</f>
        <v>0</v>
      </c>
      <c r="P43" s="809">
        <f>SUMIFS('Risk Report'!$D$9:$D$25,'Risk Report'!$F$9:$F$25,$M43,'Risk Report'!$C$9:$C$25,P$4,'Risk Report'!$G$9:$G$25,P$5)*P$6/1000</f>
        <v>0</v>
      </c>
      <c r="Q43" s="809">
        <f>SUMIFS('Repo Details and VaR'!$O$50:$O$71,'Repo Details and VaR'!$Q$50:$Q$71,'Repo Curves &amp; Graphs'!$M43,'Repo Details and VaR'!$O$50:$O$71,"&gt;0",'Repo Details and VaR'!$H$50:$H$71,'Repo Curves &amp; Graphs'!Q$4)/1000</f>
        <v>0</v>
      </c>
      <c r="R43" s="809">
        <f>SUMIFS('Repo Details and VaR'!$O$50:$O$71,'Repo Details and VaR'!$Q$50:$Q$71,'Repo Curves &amp; Graphs'!$M43,'Repo Details and VaR'!$O$50:$O$71,"&lt;0",'Repo Details and VaR'!$H$50:$H$71,'Repo Curves &amp; Graphs'!R$4)/1000</f>
        <v>0</v>
      </c>
      <c r="S43" s="809">
        <f>SUMIFS('Repo Details and VaR'!$O$50:$O$71,'Repo Details and VaR'!$Q$50:$Q$71,'Repo Curves &amp; Graphs'!$M43,'Repo Details and VaR'!$O$50:$O$71,"&gt;0",'Repo Details and VaR'!$H$50:$H$71,'Repo Curves &amp; Graphs'!S$4)/1000</f>
        <v>0</v>
      </c>
      <c r="T43" s="809">
        <f>SUMIFS('Repo Details and VaR'!$O$50:$O$71,'Repo Details and VaR'!$Q$50:$Q$71,'Repo Curves &amp; Graphs'!$M43,'Repo Details and VaR'!$O$50:$O$71,"&lt;0",'Repo Details and VaR'!$H$50:$H$71,'Repo Curves &amp; Graphs'!T$4)/1000</f>
        <v>0</v>
      </c>
      <c r="U43" s="809">
        <f>SUMIFS('Repo Details and VaR'!$O$50:$O$71,'Repo Details and VaR'!$Q$50:$Q$71,'Repo Curves &amp; Graphs'!$M43,'Repo Details and VaR'!$O$50:$O$71,"&lt;0",'Repo Details and VaR'!$D$50:$D$71,"DOMESTIC MTN")/1000</f>
        <v>0</v>
      </c>
      <c r="V43" s="809">
        <f>SUMIFS('Repo Details and VaR'!$O$50:$O$71,'Repo Details and VaR'!$Q$50:$Q$71,'Repo Curves &amp; Graphs'!$M43,'Repo Details and VaR'!$O$50:$O$71,"&lt;0",'Repo Details and VaR'!$D$50:$D$71,"EURO MTN")/1000</f>
        <v>0</v>
      </c>
      <c r="AC43" s="86">
        <v>44525</v>
      </c>
    </row>
    <row r="44" spans="13:29" x14ac:dyDescent="0.25">
      <c r="AC44" s="86">
        <v>44554</v>
      </c>
    </row>
  </sheetData>
  <mergeCells count="1">
    <mergeCell ref="B6:I6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3:D32"/>
  <sheetViews>
    <sheetView workbookViewId="0"/>
  </sheetViews>
  <sheetFormatPr defaultColWidth="9.140625" defaultRowHeight="15" x14ac:dyDescent="0.25"/>
  <cols>
    <col min="1" max="1" width="9.140625" style="2"/>
    <col min="2" max="2" width="16.140625" style="2" customWidth="1"/>
    <col min="3" max="16384" width="9.140625" style="2"/>
  </cols>
  <sheetData>
    <row r="3" spans="2:4" x14ac:dyDescent="0.25">
      <c r="B3" s="690" t="s">
        <v>385</v>
      </c>
      <c r="C3" s="691" t="s">
        <v>384</v>
      </c>
    </row>
    <row r="4" spans="2:4" x14ac:dyDescent="0.25">
      <c r="B4" s="690" t="s">
        <v>386</v>
      </c>
      <c r="C4" s="691" t="str">
        <f>"S:\Lucid\Investment Committee &amp; Risk\Risk Daily Reports - Funds\MM Term Income Master Fund\Excel\MM Term-IMR Series NW1 Risk "&amp;YEAR(ValDate)&amp;"-"&amp;IF(MONTH(ValDate)&lt;10,"0","")&amp;MONTH(ValDate)&amp;"-"&amp;IF(DAY(ValDate)&lt;10,"0","")&amp;DAY(ValDate)</f>
        <v>S:\Lucid\Investment Committee &amp; Risk\Risk Daily Reports - Funds\MM Term Income Master Fund\Excel\MM Term-IMR Series NW1 Risk 2022-03-31</v>
      </c>
    </row>
    <row r="5" spans="2:4" x14ac:dyDescent="0.25">
      <c r="B5" s="690" t="s">
        <v>387</v>
      </c>
      <c r="C5" s="691" t="str">
        <f>"S:\Lucid\Investment Committee &amp; Risk\Risk Daily Reports - Funds\MM Term Income Master Fund\PDF\MM Term-IMR Series NW1 Risk "&amp;YEAR(ValDate)&amp;"-"&amp;IF(MONTH(ValDate)&lt;10,"0","")&amp;MONTH(ValDate)&amp;"-"&amp;IF(DAY(ValDate)&lt;10,"0","")&amp;DAY(ValDate)&amp;".pdf"</f>
        <v>S:\Lucid\Investment Committee &amp; Risk\Risk Daily Reports - Funds\MM Term Income Master Fund\PDF\MM Term-IMR Series NW1 Risk 2022-03-31.pdf</v>
      </c>
    </row>
    <row r="6" spans="2:4" x14ac:dyDescent="0.25">
      <c r="B6" s="42" t="s">
        <v>396</v>
      </c>
      <c r="C6" s="691" t="str">
        <f>'Risk Report'!A2&amp;" for "&amp;MONTH(ValDate)&amp;"-"&amp;DAY(ValDate)&amp;"-"&amp;YEAR(ValDate)</f>
        <v>MM Term Income Master Fund - NW1 Series PORTFOLIO REPORT for 3-31-2022</v>
      </c>
    </row>
    <row r="7" spans="2:4" x14ac:dyDescent="0.25">
      <c r="B7" s="42" t="s">
        <v>423</v>
      </c>
      <c r="C7" s="692" t="s">
        <v>451</v>
      </c>
    </row>
    <row r="8" spans="2:4" x14ac:dyDescent="0.25">
      <c r="B8" s="4"/>
      <c r="C8" s="692" t="s">
        <v>424</v>
      </c>
    </row>
    <row r="9" spans="2:4" x14ac:dyDescent="0.25">
      <c r="B9" s="4"/>
      <c r="C9" s="692" t="s">
        <v>425</v>
      </c>
      <c r="D9" s="692"/>
    </row>
    <row r="10" spans="2:4" x14ac:dyDescent="0.25">
      <c r="B10" s="4"/>
      <c r="C10" s="692"/>
      <c r="D10" s="692"/>
    </row>
    <row r="11" spans="2:4" x14ac:dyDescent="0.25">
      <c r="B11" s="4"/>
      <c r="C11" s="692"/>
      <c r="D11" s="692"/>
    </row>
    <row r="14" spans="2:4" x14ac:dyDescent="0.25">
      <c r="B14" s="2" t="s">
        <v>588</v>
      </c>
      <c r="C14" s="4" t="str">
        <f>"S:\Mandates\Funds\MM Term Income Master Fund LLC\Books&amp;Records\"&amp;YEAR(ValDate)&amp;"\"&amp;VLOOKUP(MONTH(ValDate),B21:C32,2,FALSE)&amp;" "&amp;YEAR(ValDate)&amp;"\MMT IM-T IMR "&amp;IF(MONTH(ValDate)&lt;10,"0","")&amp;MONTH(ValDate)&amp;"-"&amp;IF(DAY(ValDate)&lt;10,"0","")&amp;DAY(ValDate)&amp;"-"&amp;YEAR(ValDate)</f>
        <v>S:\Mandates\Funds\MM Term Income Master Fund LLC\Books&amp;Records\2022\03 - March 2022\MMT IM-T IMR 03-31-2022</v>
      </c>
    </row>
    <row r="15" spans="2:4" x14ac:dyDescent="0.25">
      <c r="B15" s="4" t="s">
        <v>659</v>
      </c>
      <c r="C15" s="2" t="s">
        <v>658</v>
      </c>
    </row>
    <row r="16" spans="2:4" s="765" customFormat="1" x14ac:dyDescent="0.25">
      <c r="B16" s="4" t="s">
        <v>836</v>
      </c>
      <c r="C16" s="765" t="s">
        <v>837</v>
      </c>
    </row>
    <row r="17" spans="2:3" s="765" customFormat="1" x14ac:dyDescent="0.25">
      <c r="B17" s="4" t="s">
        <v>898</v>
      </c>
      <c r="C17" s="765" t="str">
        <f>"S:\Mandates\Funds\Fund Reporting\NEXEN Reports\Archive\SecHldgs_"&amp;IF(DAY(ValDate)&lt;10,"0","")&amp;DAY(ValDate)&amp;IF(MONTH(ValDate)&lt;10,"0","")&amp;MONTH(ValDate)&amp;YEAR(ValDate)&amp;".csv"</f>
        <v>S:\Mandates\Funds\Fund Reporting\NEXEN Reports\Archive\SecHldgs_31032022.csv</v>
      </c>
    </row>
    <row r="18" spans="2:3" s="765" customFormat="1" x14ac:dyDescent="0.25">
      <c r="B18" s="4" t="s">
        <v>898</v>
      </c>
      <c r="C18" s="765" t="str">
        <f>"S:\Mandates\Funds\Fund Reporting\NEXEN Reports\SecHldgs_"&amp;IF(DAY(ValDate)&lt;10,"0","")&amp;DAY(ValDate)&amp;IF(MONTH(ValDate)&lt;10,"0","")&amp;MONTH(ValDate)&amp;YEAR(ValDate)&amp;".csv"</f>
        <v>S:\Mandates\Funds\Fund Reporting\NEXEN Reports\SecHldgs_31032022.csv</v>
      </c>
    </row>
    <row r="19" spans="2:3" s="765" customFormat="1" x14ac:dyDescent="0.25">
      <c r="B19" s="4" t="s">
        <v>922</v>
      </c>
      <c r="C19" s="765" t="s">
        <v>923</v>
      </c>
    </row>
    <row r="20" spans="2:3" s="765" customFormat="1" x14ac:dyDescent="0.25">
      <c r="B20" s="4" t="s">
        <v>1079</v>
      </c>
      <c r="C20" s="765" t="s">
        <v>1085</v>
      </c>
    </row>
    <row r="21" spans="2:3" x14ac:dyDescent="0.25">
      <c r="B21" s="4">
        <v>1</v>
      </c>
      <c r="C21" s="29" t="s">
        <v>578</v>
      </c>
    </row>
    <row r="22" spans="2:3" x14ac:dyDescent="0.25">
      <c r="B22" s="4">
        <v>2</v>
      </c>
      <c r="C22" s="29" t="s">
        <v>579</v>
      </c>
    </row>
    <row r="23" spans="2:3" x14ac:dyDescent="0.25">
      <c r="B23" s="4">
        <v>3</v>
      </c>
      <c r="C23" s="29" t="s">
        <v>580</v>
      </c>
    </row>
    <row r="24" spans="2:3" x14ac:dyDescent="0.25">
      <c r="B24" s="4">
        <v>4</v>
      </c>
      <c r="C24" s="29" t="s">
        <v>581</v>
      </c>
    </row>
    <row r="25" spans="2:3" x14ac:dyDescent="0.25">
      <c r="B25" s="4">
        <v>5</v>
      </c>
      <c r="C25" s="29" t="s">
        <v>582</v>
      </c>
    </row>
    <row r="26" spans="2:3" x14ac:dyDescent="0.25">
      <c r="B26" s="4">
        <v>6</v>
      </c>
      <c r="C26" s="29" t="s">
        <v>638</v>
      </c>
    </row>
    <row r="27" spans="2:3" x14ac:dyDescent="0.25">
      <c r="B27" s="4">
        <v>7</v>
      </c>
      <c r="C27" s="29" t="s">
        <v>647</v>
      </c>
    </row>
    <row r="28" spans="2:3" x14ac:dyDescent="0.25">
      <c r="B28" s="4">
        <v>8</v>
      </c>
      <c r="C28" s="29" t="s">
        <v>583</v>
      </c>
    </row>
    <row r="29" spans="2:3" x14ac:dyDescent="0.25">
      <c r="B29" s="4">
        <v>9</v>
      </c>
      <c r="C29" s="29" t="s">
        <v>584</v>
      </c>
    </row>
    <row r="30" spans="2:3" x14ac:dyDescent="0.25">
      <c r="B30" s="4">
        <v>10</v>
      </c>
      <c r="C30" s="29" t="s">
        <v>585</v>
      </c>
    </row>
    <row r="31" spans="2:3" x14ac:dyDescent="0.25">
      <c r="B31" s="4">
        <v>11</v>
      </c>
      <c r="C31" s="29" t="s">
        <v>586</v>
      </c>
    </row>
    <row r="32" spans="2:3" x14ac:dyDescent="0.25">
      <c r="B32" s="4">
        <v>12</v>
      </c>
      <c r="C32" s="29" t="s">
        <v>587</v>
      </c>
    </row>
  </sheetData>
  <hyperlinks>
    <hyperlink ref="C8" r:id="rId1" xr:uid="{00000000-0004-0000-0800-000000000000}"/>
    <hyperlink ref="C9" r:id="rId2" xr:uid="{00000000-0004-0000-0800-000001000000}"/>
    <hyperlink ref="C7" r:id="rId3" xr:uid="{00000000-0004-0000-0800-000004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pageSetUpPr fitToPage="1"/>
  </sheetPr>
  <dimension ref="A1:P88"/>
  <sheetViews>
    <sheetView topLeftCell="A24" workbookViewId="0">
      <selection activeCell="A24" sqref="A24"/>
    </sheetView>
  </sheetViews>
  <sheetFormatPr defaultColWidth="9.140625" defaultRowHeight="15" x14ac:dyDescent="0.25"/>
  <cols>
    <col min="1" max="1" width="5.85546875" style="2" customWidth="1"/>
    <col min="2" max="3" width="19" style="2" customWidth="1"/>
    <col min="4" max="4" width="18" style="2" customWidth="1"/>
    <col min="5" max="5" width="16.140625" style="2" customWidth="1"/>
    <col min="6" max="6" width="15.42578125" style="2" customWidth="1"/>
    <col min="7" max="7" width="3.5703125" style="2" customWidth="1"/>
    <col min="8" max="11" width="9.140625" style="2"/>
    <col min="12" max="13" width="14.140625" style="2" customWidth="1"/>
    <col min="14" max="15" width="14.42578125" style="2" customWidth="1"/>
    <col min="16" max="16384" width="9.140625" style="2"/>
  </cols>
  <sheetData>
    <row r="1" spans="1:16" s="437" customFormat="1" ht="33" customHeight="1" thickBot="1" x14ac:dyDescent="0.3">
      <c r="A1" s="2"/>
      <c r="B1" s="4"/>
      <c r="C1" s="4"/>
      <c r="D1" s="4"/>
      <c r="E1" s="4"/>
      <c r="F1" s="480" t="s">
        <v>413</v>
      </c>
      <c r="G1" s="4"/>
    </row>
    <row r="2" spans="1:16" s="437" customFormat="1" ht="18.75" thickTop="1" thickBot="1" x14ac:dyDescent="0.35">
      <c r="A2" s="438"/>
      <c r="B2" s="439" t="s">
        <v>458</v>
      </c>
      <c r="C2" s="439"/>
      <c r="D2" s="439"/>
      <c r="E2" s="439" t="s">
        <v>459</v>
      </c>
      <c r="F2" s="440">
        <f>ValDate</f>
        <v>44651</v>
      </c>
      <c r="G2" s="4"/>
      <c r="L2" s="307"/>
      <c r="M2" s="307" t="s">
        <v>344</v>
      </c>
      <c r="N2" s="477" t="s">
        <v>475</v>
      </c>
      <c r="O2" s="477" t="s">
        <v>486</v>
      </c>
      <c r="P2" s="307" t="s">
        <v>476</v>
      </c>
    </row>
    <row r="3" spans="1:16" s="437" customFormat="1" ht="15.75" thickTop="1" x14ac:dyDescent="0.25">
      <c r="A3" s="2"/>
      <c r="B3" s="441"/>
      <c r="C3" s="442"/>
      <c r="D3" s="443"/>
      <c r="E3" s="443"/>
      <c r="F3" s="4"/>
      <c r="G3" s="4"/>
      <c r="L3" s="295" t="s">
        <v>354</v>
      </c>
      <c r="M3" s="379">
        <f>SUM(M4:M6)</f>
        <v>0</v>
      </c>
      <c r="N3" s="379">
        <f>SUM(N4:N6)</f>
        <v>0</v>
      </c>
      <c r="O3" s="379"/>
      <c r="P3" s="380">
        <f>IF(M3,N3/M3,0)</f>
        <v>0</v>
      </c>
    </row>
    <row r="4" spans="1:16" s="437" customFormat="1" x14ac:dyDescent="0.25">
      <c r="A4" s="2"/>
      <c r="B4" s="441" t="s">
        <v>460</v>
      </c>
      <c r="C4" s="442"/>
      <c r="D4" s="443"/>
      <c r="E4" s="443"/>
      <c r="F4" s="4"/>
      <c r="G4" s="4"/>
      <c r="L4" s="7" t="s">
        <v>148</v>
      </c>
      <c r="M4" s="381">
        <f>SUMIF('Risk Report'!$C$64:$C$86,'HairCut Report'!$L4,'Risk Report'!$I$64:$I$86)</f>
        <v>0</v>
      </c>
      <c r="N4" s="381">
        <f>SUMIF('Risk Report'!$C$64:$C$86,'HairCut Report'!$L4,'Risk Report'!$L$64:$L$86)</f>
        <v>0</v>
      </c>
      <c r="O4" s="6" t="str">
        <f>IF(M4,SUMIF('Repo Details and VaR'!$D$50:$D$71,L4,'Repo Details and VaR'!$AT$50:$AT$71)/SUMIF('Repo Details and VaR'!$D$50:$D$71,L4,'Repo Details and VaR'!$AS$50:$AS$71),"")</f>
        <v/>
      </c>
      <c r="P4" s="380">
        <f t="shared" ref="P4:P9" si="0">IF(M4,N4/M4,0)</f>
        <v>0</v>
      </c>
    </row>
    <row r="5" spans="1:16" s="437" customFormat="1" x14ac:dyDescent="0.25">
      <c r="A5" s="2"/>
      <c r="B5" s="441" t="s">
        <v>461</v>
      </c>
      <c r="C5" s="442"/>
      <c r="D5" s="443"/>
      <c r="E5" s="443"/>
      <c r="F5" s="4"/>
      <c r="G5" s="4"/>
      <c r="L5" s="7" t="s">
        <v>154</v>
      </c>
      <c r="M5" s="381">
        <f>SUMIF('Risk Report'!$C$64:$C$86,'HairCut Report'!$L5,'Risk Report'!$I$64:$I$86)</f>
        <v>0</v>
      </c>
      <c r="N5" s="381">
        <f>SUMIF('Risk Report'!$C$64:$C$86,'HairCut Report'!$L5,'Risk Report'!$L$64:$L$86)</f>
        <v>0</v>
      </c>
      <c r="O5" s="6" t="str">
        <f>IF(M5,SUMIF('Repo Details and VaR'!$D$50:$D$71,L5,'Repo Details and VaR'!$AT$50:$AT$71)/SUMIF('Repo Details and VaR'!$D$50:$D$71,L5,'Repo Details and VaR'!$AS$50:$AS$71),"")</f>
        <v/>
      </c>
      <c r="P5" s="380">
        <f t="shared" si="0"/>
        <v>0</v>
      </c>
    </row>
    <row r="6" spans="1:16" s="437" customFormat="1" x14ac:dyDescent="0.25">
      <c r="A6" s="2"/>
      <c r="B6" s="441"/>
      <c r="C6" s="442"/>
      <c r="D6" s="443"/>
      <c r="E6" s="443"/>
      <c r="F6" s="4"/>
      <c r="G6" s="4"/>
      <c r="L6" s="7" t="s">
        <v>144</v>
      </c>
      <c r="M6" s="381">
        <f>SUMIF('Risk Report'!$C$64:$C$86,'HairCut Report'!$L6,'Risk Report'!$I$64:$I$86)</f>
        <v>0</v>
      </c>
      <c r="N6" s="381">
        <f>SUMIF('Risk Report'!$C$64:$C$86,'HairCut Report'!$L6,'Risk Report'!$L$64:$L$86)</f>
        <v>0</v>
      </c>
      <c r="O6" s="381" t="str">
        <f>IF(M6,SUMIF('Repo Details and VaR'!$D$50:$D$71,L6,'Repo Details and VaR'!$AT$50:$AT$71)/SUMIF('Repo Details and VaR'!$D$50:$D$71,L6,'Repo Details and VaR'!$AS$50:$AS$71),"")</f>
        <v/>
      </c>
      <c r="P6" s="380">
        <f t="shared" si="0"/>
        <v>0</v>
      </c>
    </row>
    <row r="7" spans="1:16" s="437" customFormat="1" ht="15.75" x14ac:dyDescent="0.25">
      <c r="A7" s="2"/>
      <c r="B7" s="1290" t="s">
        <v>462</v>
      </c>
      <c r="C7" s="1290"/>
      <c r="D7" s="4"/>
      <c r="E7" s="4"/>
      <c r="F7" s="4"/>
      <c r="G7" s="4"/>
      <c r="L7" s="341" t="s">
        <v>310</v>
      </c>
      <c r="M7" s="381">
        <f>SUMIF('Risk Report'!$C$64:$C$86,'HairCut Report'!$L7,'Risk Report'!$I$64:$I$86)</f>
        <v>0</v>
      </c>
      <c r="N7" s="381">
        <f>SUMIF('Risk Report'!$C$64:$C$86,'HairCut Report'!$L7,'Risk Report'!$L$64:$L$86)</f>
        <v>0</v>
      </c>
      <c r="O7" s="381" t="str">
        <f>IF(M7,SUMIF('Repo Details and VaR'!$D$50:$D$71,L7,'Repo Details and VaR'!$AT$50:$AT$71)/SUMIF('Repo Details and VaR'!$D$50:$D$71,L7,'Repo Details and VaR'!$AS$50:$AS$71),"")</f>
        <v/>
      </c>
      <c r="P7" s="380">
        <f t="shared" si="0"/>
        <v>0</v>
      </c>
    </row>
    <row r="8" spans="1:16" s="437" customFormat="1" ht="15.75" thickBot="1" x14ac:dyDescent="0.3">
      <c r="A8" s="2"/>
      <c r="B8" s="444" t="s">
        <v>463</v>
      </c>
      <c r="C8" s="4"/>
      <c r="D8" s="441"/>
      <c r="E8" s="441"/>
      <c r="F8" s="4"/>
      <c r="G8" s="4"/>
      <c r="L8" s="321" t="s">
        <v>355</v>
      </c>
      <c r="M8" s="340">
        <f>SUMIF('Risk Report'!$C$64:$C$86,'HairCut Report'!$L8,'Risk Report'!$I$64:$I$86)</f>
        <v>0</v>
      </c>
      <c r="N8" s="340">
        <f>SUMIF($C$29:$C$47,L8,$L$29:$L$47)</f>
        <v>0</v>
      </c>
      <c r="O8" s="340" t="str">
        <f>IF(M8,SUMIF('Repo Details and VaR'!$D$50:$D$71,L8,'Repo Details and VaR'!$AT$50:$AT$71)/SUMIF('Repo Details and VaR'!$D$50:$D$71,L8,'Repo Details and VaR'!$AS$50:$AS$71),"")</f>
        <v/>
      </c>
      <c r="P8" s="382">
        <f t="shared" si="0"/>
        <v>0</v>
      </c>
    </row>
    <row r="9" spans="1:16" s="437" customFormat="1" ht="18" thickBot="1" x14ac:dyDescent="0.3">
      <c r="A9" s="2"/>
      <c r="B9" s="444" t="s">
        <v>464</v>
      </c>
      <c r="C9" s="445" t="s">
        <v>465</v>
      </c>
      <c r="D9" s="446" t="s">
        <v>466</v>
      </c>
      <c r="E9" s="446" t="s">
        <v>483</v>
      </c>
      <c r="F9" s="447" t="s">
        <v>482</v>
      </c>
      <c r="G9" s="4"/>
      <c r="L9" s="320" t="s">
        <v>356</v>
      </c>
      <c r="M9" s="383">
        <f>SUM(M4:M8)</f>
        <v>0</v>
      </c>
      <c r="N9" s="383">
        <f>SUM(N4:N8)</f>
        <v>0</v>
      </c>
      <c r="O9" s="383"/>
      <c r="P9" s="384">
        <f t="shared" si="0"/>
        <v>0</v>
      </c>
    </row>
    <row r="10" spans="1:16" s="437" customFormat="1" x14ac:dyDescent="0.25">
      <c r="A10" s="2"/>
      <c r="B10" s="448" t="s">
        <v>477</v>
      </c>
      <c r="C10" s="449">
        <v>0</v>
      </c>
      <c r="D10" s="450">
        <v>0</v>
      </c>
      <c r="E10" s="451" t="s">
        <v>467</v>
      </c>
      <c r="F10" s="452" t="s">
        <v>467</v>
      </c>
      <c r="G10" s="110"/>
    </row>
    <row r="11" spans="1:16" s="437" customFormat="1" x14ac:dyDescent="0.25">
      <c r="A11" s="2"/>
      <c r="B11" s="448" t="s">
        <v>478</v>
      </c>
      <c r="C11" s="453">
        <v>0</v>
      </c>
      <c r="D11" s="454">
        <v>0</v>
      </c>
      <c r="E11" s="455" t="s">
        <v>467</v>
      </c>
      <c r="F11" s="456" t="s">
        <v>467</v>
      </c>
      <c r="G11" s="110"/>
    </row>
    <row r="12" spans="1:16" s="437" customFormat="1" x14ac:dyDescent="0.25">
      <c r="A12" s="2"/>
      <c r="B12" s="448" t="s">
        <v>468</v>
      </c>
      <c r="C12" s="453">
        <v>0</v>
      </c>
      <c r="D12" s="454">
        <v>0</v>
      </c>
      <c r="E12" s="455" t="s">
        <v>467</v>
      </c>
      <c r="F12" s="456" t="s">
        <v>467</v>
      </c>
      <c r="G12" s="110"/>
    </row>
    <row r="13" spans="1:16" s="437" customFormat="1" x14ac:dyDescent="0.25">
      <c r="A13" s="2"/>
      <c r="B13" s="448" t="s">
        <v>479</v>
      </c>
      <c r="C13" s="453">
        <v>0</v>
      </c>
      <c r="D13" s="454">
        <v>0</v>
      </c>
      <c r="E13" s="455" t="s">
        <v>467</v>
      </c>
      <c r="F13" s="456" t="s">
        <v>467</v>
      </c>
      <c r="G13" s="110"/>
    </row>
    <row r="14" spans="1:16" s="437" customFormat="1" x14ac:dyDescent="0.25">
      <c r="A14" s="2"/>
      <c r="B14" s="448" t="s">
        <v>469</v>
      </c>
      <c r="C14" s="453">
        <v>0</v>
      </c>
      <c r="D14" s="454">
        <v>0</v>
      </c>
      <c r="E14" s="455" t="s">
        <v>467</v>
      </c>
      <c r="F14" s="456" t="s">
        <v>467</v>
      </c>
      <c r="G14" s="110"/>
    </row>
    <row r="15" spans="1:16" s="437" customFormat="1" x14ac:dyDescent="0.25">
      <c r="A15" s="2"/>
      <c r="B15" s="448" t="s">
        <v>470</v>
      </c>
      <c r="C15" s="458">
        <v>0</v>
      </c>
      <c r="D15" s="459">
        <v>0</v>
      </c>
      <c r="E15" s="460" t="s">
        <v>467</v>
      </c>
      <c r="F15" s="461" t="s">
        <v>467</v>
      </c>
      <c r="G15" s="110"/>
    </row>
    <row r="16" spans="1:16" s="437" customFormat="1" x14ac:dyDescent="0.25">
      <c r="A16" s="2"/>
      <c r="B16" s="448" t="s">
        <v>471</v>
      </c>
      <c r="C16" s="458">
        <v>0</v>
      </c>
      <c r="D16" s="459">
        <v>0</v>
      </c>
      <c r="E16" s="460" t="s">
        <v>467</v>
      </c>
      <c r="F16" s="461" t="s">
        <v>467</v>
      </c>
      <c r="G16" s="110"/>
    </row>
    <row r="17" spans="1:7" s="437" customFormat="1" ht="15.75" thickBot="1" x14ac:dyDescent="0.3">
      <c r="A17" s="2"/>
      <c r="B17" s="448" t="s">
        <v>480</v>
      </c>
      <c r="C17" s="463">
        <v>0</v>
      </c>
      <c r="D17" s="464">
        <v>0</v>
      </c>
      <c r="E17" s="465" t="s">
        <v>467</v>
      </c>
      <c r="F17" s="466" t="s">
        <v>467</v>
      </c>
      <c r="G17" s="110"/>
    </row>
    <row r="18" spans="1:7" s="437" customFormat="1" x14ac:dyDescent="0.25">
      <c r="A18" s="2"/>
      <c r="B18" s="462" t="s">
        <v>356</v>
      </c>
      <c r="C18" s="467">
        <f>SUM(C10:C17)</f>
        <v>0</v>
      </c>
      <c r="D18" s="467">
        <f>SUM(D10:D17)</f>
        <v>0</v>
      </c>
      <c r="E18" s="468" t="s">
        <v>467</v>
      </c>
      <c r="F18" s="469" t="s">
        <v>467</v>
      </c>
      <c r="G18" s="110"/>
    </row>
    <row r="19" spans="1:7" s="437" customFormat="1" x14ac:dyDescent="0.25">
      <c r="A19" s="2"/>
      <c r="B19" s="448"/>
      <c r="C19" s="467"/>
      <c r="D19" s="467"/>
      <c r="E19" s="143"/>
      <c r="F19" s="403"/>
      <c r="G19" s="110"/>
    </row>
    <row r="20" spans="1:7" s="437" customFormat="1" x14ac:dyDescent="0.25">
      <c r="A20" s="2"/>
      <c r="B20" s="467"/>
      <c r="C20" s="467"/>
      <c r="D20" s="467"/>
      <c r="E20" s="110"/>
      <c r="F20" s="470"/>
      <c r="G20" s="110"/>
    </row>
    <row r="21" spans="1:7" s="437" customFormat="1" x14ac:dyDescent="0.25">
      <c r="A21" s="2"/>
      <c r="B21" s="1291" t="s">
        <v>472</v>
      </c>
      <c r="C21" s="1291"/>
      <c r="D21" s="467"/>
      <c r="E21" s="110"/>
      <c r="F21" s="470"/>
      <c r="G21" s="110"/>
    </row>
    <row r="22" spans="1:7" s="437" customFormat="1" ht="15.75" thickBot="1" x14ac:dyDescent="0.3">
      <c r="A22" s="2"/>
      <c r="B22" s="444" t="s">
        <v>463</v>
      </c>
      <c r="C22" s="4"/>
      <c r="D22" s="441"/>
      <c r="E22" s="441"/>
      <c r="F22" s="4"/>
      <c r="G22" s="110"/>
    </row>
    <row r="23" spans="1:7" s="437" customFormat="1" ht="18" thickBot="1" x14ac:dyDescent="0.3">
      <c r="A23" s="2"/>
      <c r="B23" s="444" t="s">
        <v>464</v>
      </c>
      <c r="C23" s="445" t="s">
        <v>465</v>
      </c>
      <c r="D23" s="446" t="s">
        <v>466</v>
      </c>
      <c r="E23" s="446" t="s">
        <v>483</v>
      </c>
      <c r="F23" s="447" t="s">
        <v>482</v>
      </c>
      <c r="G23" s="110"/>
    </row>
    <row r="24" spans="1:7" s="437" customFormat="1" x14ac:dyDescent="0.25">
      <c r="A24" s="2"/>
      <c r="B24" s="448" t="s">
        <v>477</v>
      </c>
      <c r="C24" s="449">
        <f t="shared" ref="C24:E26" si="1">M4</f>
        <v>0</v>
      </c>
      <c r="D24" s="459">
        <f t="shared" si="1"/>
        <v>0</v>
      </c>
      <c r="E24" s="479" t="str">
        <f t="shared" si="1"/>
        <v/>
      </c>
      <c r="F24" s="452" t="str">
        <f>IF(C24,+D24/C24,"-")</f>
        <v>-</v>
      </c>
      <c r="G24" s="110"/>
    </row>
    <row r="25" spans="1:7" s="437" customFormat="1" x14ac:dyDescent="0.25">
      <c r="A25" s="2"/>
      <c r="B25" s="448" t="s">
        <v>478</v>
      </c>
      <c r="C25" s="453">
        <f t="shared" si="1"/>
        <v>0</v>
      </c>
      <c r="D25" s="459">
        <f t="shared" si="1"/>
        <v>0</v>
      </c>
      <c r="E25" s="471" t="str">
        <f t="shared" si="1"/>
        <v/>
      </c>
      <c r="F25" s="456" t="str">
        <f>IF(C25,+D25/C25,"-")</f>
        <v>-</v>
      </c>
      <c r="G25" s="110"/>
    </row>
    <row r="26" spans="1:7" s="437" customFormat="1" x14ac:dyDescent="0.25">
      <c r="A26" s="2"/>
      <c r="B26" s="448" t="s">
        <v>468</v>
      </c>
      <c r="C26" s="453">
        <f t="shared" si="1"/>
        <v>0</v>
      </c>
      <c r="D26" s="459">
        <f t="shared" si="1"/>
        <v>0</v>
      </c>
      <c r="E26" s="472" t="str">
        <f t="shared" si="1"/>
        <v/>
      </c>
      <c r="F26" s="457" t="str">
        <f t="shared" ref="F26:F32" si="2">IF(C26,+D26/C26,"-")</f>
        <v>-</v>
      </c>
      <c r="G26" s="110"/>
    </row>
    <row r="27" spans="1:7" s="437" customFormat="1" x14ac:dyDescent="0.25">
      <c r="A27" s="2"/>
      <c r="B27" s="448" t="s">
        <v>479</v>
      </c>
      <c r="C27" s="453">
        <v>0</v>
      </c>
      <c r="D27" s="459">
        <v>0</v>
      </c>
      <c r="E27" s="472" t="s">
        <v>467</v>
      </c>
      <c r="F27" s="457" t="str">
        <f t="shared" si="2"/>
        <v>-</v>
      </c>
      <c r="G27" s="110"/>
    </row>
    <row r="28" spans="1:7" s="437" customFormat="1" x14ac:dyDescent="0.25">
      <c r="A28" s="2"/>
      <c r="B28" s="448" t="s">
        <v>469</v>
      </c>
      <c r="C28" s="453">
        <v>0</v>
      </c>
      <c r="D28" s="459">
        <v>0</v>
      </c>
      <c r="E28" s="472" t="s">
        <v>467</v>
      </c>
      <c r="F28" s="457" t="str">
        <f t="shared" si="2"/>
        <v>-</v>
      </c>
      <c r="G28" s="110"/>
    </row>
    <row r="29" spans="1:7" s="437" customFormat="1" x14ac:dyDescent="0.25">
      <c r="A29" s="2"/>
      <c r="B29" s="448" t="s">
        <v>470</v>
      </c>
      <c r="C29" s="453">
        <v>0</v>
      </c>
      <c r="D29" s="459">
        <v>0</v>
      </c>
      <c r="E29" s="472" t="s">
        <v>467</v>
      </c>
      <c r="F29" s="456" t="str">
        <f t="shared" si="2"/>
        <v>-</v>
      </c>
      <c r="G29" s="110"/>
    </row>
    <row r="30" spans="1:7" s="437" customFormat="1" x14ac:dyDescent="0.25">
      <c r="A30" s="2"/>
      <c r="B30" s="448" t="s">
        <v>471</v>
      </c>
      <c r="C30" s="458">
        <v>0</v>
      </c>
      <c r="D30" s="459">
        <v>0</v>
      </c>
      <c r="E30" s="473" t="s">
        <v>467</v>
      </c>
      <c r="F30" s="461" t="str">
        <f t="shared" si="2"/>
        <v>-</v>
      </c>
      <c r="G30" s="110"/>
    </row>
    <row r="31" spans="1:7" s="437" customFormat="1" x14ac:dyDescent="0.25">
      <c r="A31" s="2"/>
      <c r="B31" s="448" t="s">
        <v>480</v>
      </c>
      <c r="C31" s="458">
        <v>0</v>
      </c>
      <c r="D31" s="459">
        <v>0</v>
      </c>
      <c r="E31" s="473" t="s">
        <v>467</v>
      </c>
      <c r="F31" s="461" t="str">
        <f>IF(C31,+D31/C31,"-")</f>
        <v>-</v>
      </c>
      <c r="G31" s="110"/>
    </row>
    <row r="32" spans="1:7" s="437" customFormat="1" ht="15.75" thickBot="1" x14ac:dyDescent="0.3">
      <c r="A32" s="2"/>
      <c r="B32" s="448" t="s">
        <v>310</v>
      </c>
      <c r="C32" s="463">
        <v>0</v>
      </c>
      <c r="D32" s="464">
        <v>50000</v>
      </c>
      <c r="E32" s="474" t="s">
        <v>467</v>
      </c>
      <c r="F32" s="466" t="str">
        <f t="shared" si="2"/>
        <v>-</v>
      </c>
      <c r="G32" s="110"/>
    </row>
    <row r="33" spans="1:7" s="437" customFormat="1" x14ac:dyDescent="0.25">
      <c r="A33" s="2"/>
      <c r="B33" s="462" t="s">
        <v>356</v>
      </c>
      <c r="C33" s="467">
        <f>SUM(C24:C32)</f>
        <v>0</v>
      </c>
      <c r="D33" s="467">
        <f>SUM(D24:D32)</f>
        <v>50000</v>
      </c>
      <c r="E33" s="469" t="e">
        <f>SUMPRODUCT(C24:C32,E24:E32)/SUM(C24:C32)</f>
        <v>#DIV/0!</v>
      </c>
      <c r="F33" s="469" t="e">
        <f>D33/C33</f>
        <v>#DIV/0!</v>
      </c>
      <c r="G33" s="110"/>
    </row>
    <row r="34" spans="1:7" s="437" customFormat="1" x14ac:dyDescent="0.25">
      <c r="A34" s="2"/>
      <c r="B34" s="462"/>
      <c r="C34" s="467"/>
      <c r="D34" s="467"/>
      <c r="E34" s="143"/>
      <c r="F34" s="403"/>
      <c r="G34" s="110"/>
    </row>
    <row r="35" spans="1:7" s="437" customFormat="1" x14ac:dyDescent="0.25">
      <c r="A35" s="2"/>
      <c r="B35" s="467"/>
      <c r="C35" s="467"/>
      <c r="D35" s="467"/>
      <c r="E35" s="110"/>
      <c r="F35" s="470"/>
      <c r="G35" s="110"/>
    </row>
    <row r="36" spans="1:7" s="437" customFormat="1" x14ac:dyDescent="0.25">
      <c r="A36" s="2"/>
      <c r="B36" s="1291" t="s">
        <v>473</v>
      </c>
      <c r="C36" s="1291"/>
      <c r="D36" s="467"/>
      <c r="E36" s="110"/>
      <c r="F36" s="470"/>
      <c r="G36" s="110"/>
    </row>
    <row r="37" spans="1:7" s="437" customFormat="1" ht="15.75" thickBot="1" x14ac:dyDescent="0.3">
      <c r="A37" s="2"/>
      <c r="B37" s="444" t="s">
        <v>463</v>
      </c>
      <c r="C37" s="4"/>
      <c r="D37" s="441"/>
      <c r="E37" s="441"/>
      <c r="F37" s="4"/>
      <c r="G37" s="110"/>
    </row>
    <row r="38" spans="1:7" s="437" customFormat="1" ht="18" thickBot="1" x14ac:dyDescent="0.3">
      <c r="A38" s="2"/>
      <c r="B38" s="444" t="s">
        <v>464</v>
      </c>
      <c r="C38" s="445" t="s">
        <v>465</v>
      </c>
      <c r="D38" s="446" t="s">
        <v>466</v>
      </c>
      <c r="E38" s="446" t="s">
        <v>483</v>
      </c>
      <c r="F38" s="447" t="s">
        <v>482</v>
      </c>
      <c r="G38" s="110"/>
    </row>
    <row r="39" spans="1:7" s="437" customFormat="1" x14ac:dyDescent="0.25">
      <c r="A39" s="2"/>
      <c r="B39" s="448" t="s">
        <v>477</v>
      </c>
      <c r="C39" s="449">
        <v>0</v>
      </c>
      <c r="D39" s="450">
        <v>0</v>
      </c>
      <c r="E39" s="451" t="s">
        <v>467</v>
      </c>
      <c r="F39" s="452" t="s">
        <v>467</v>
      </c>
      <c r="G39" s="110"/>
    </row>
    <row r="40" spans="1:7" s="437" customFormat="1" x14ac:dyDescent="0.25">
      <c r="A40" s="2"/>
      <c r="B40" s="448" t="s">
        <v>478</v>
      </c>
      <c r="C40" s="453">
        <v>0</v>
      </c>
      <c r="D40" s="459">
        <v>0</v>
      </c>
      <c r="E40" s="472" t="s">
        <v>467</v>
      </c>
      <c r="F40" s="457" t="str">
        <f t="shared" ref="F40:F46" si="3">IF(C40,+D40/C40,"")</f>
        <v/>
      </c>
      <c r="G40" s="110"/>
    </row>
    <row r="41" spans="1:7" s="437" customFormat="1" x14ac:dyDescent="0.25">
      <c r="A41" s="2"/>
      <c r="B41" s="448" t="s">
        <v>468</v>
      </c>
      <c r="C41" s="453">
        <v>0</v>
      </c>
      <c r="D41" s="459">
        <v>0</v>
      </c>
      <c r="E41" s="472" t="s">
        <v>467</v>
      </c>
      <c r="F41" s="457" t="str">
        <f t="shared" si="3"/>
        <v/>
      </c>
      <c r="G41" s="110"/>
    </row>
    <row r="42" spans="1:7" s="437" customFormat="1" x14ac:dyDescent="0.25">
      <c r="A42" s="2"/>
      <c r="B42" s="448" t="s">
        <v>479</v>
      </c>
      <c r="C42" s="453">
        <v>0</v>
      </c>
      <c r="D42" s="459">
        <v>0</v>
      </c>
      <c r="E42" s="472" t="s">
        <v>467</v>
      </c>
      <c r="F42" s="457" t="str">
        <f t="shared" si="3"/>
        <v/>
      </c>
      <c r="G42" s="110"/>
    </row>
    <row r="43" spans="1:7" s="437" customFormat="1" x14ac:dyDescent="0.25">
      <c r="A43" s="2"/>
      <c r="B43" s="448" t="s">
        <v>469</v>
      </c>
      <c r="C43" s="453">
        <v>0</v>
      </c>
      <c r="D43" s="459">
        <v>0</v>
      </c>
      <c r="E43" s="472" t="s">
        <v>467</v>
      </c>
      <c r="F43" s="457" t="str">
        <f t="shared" si="3"/>
        <v/>
      </c>
      <c r="G43" s="110"/>
    </row>
    <row r="44" spans="1:7" s="437" customFormat="1" x14ac:dyDescent="0.25">
      <c r="A44" s="2"/>
      <c r="B44" s="448" t="s">
        <v>470</v>
      </c>
      <c r="C44" s="453">
        <v>0</v>
      </c>
      <c r="D44" s="459">
        <v>0</v>
      </c>
      <c r="E44" s="472" t="s">
        <v>467</v>
      </c>
      <c r="F44" s="456" t="str">
        <f t="shared" si="3"/>
        <v/>
      </c>
      <c r="G44" s="110"/>
    </row>
    <row r="45" spans="1:7" s="437" customFormat="1" x14ac:dyDescent="0.25">
      <c r="A45" s="2"/>
      <c r="B45" s="448" t="s">
        <v>471</v>
      </c>
      <c r="C45" s="458">
        <v>0</v>
      </c>
      <c r="D45" s="459">
        <v>0</v>
      </c>
      <c r="E45" s="473" t="s">
        <v>467</v>
      </c>
      <c r="F45" s="461" t="str">
        <f t="shared" si="3"/>
        <v/>
      </c>
      <c r="G45" s="110"/>
    </row>
    <row r="46" spans="1:7" s="437" customFormat="1" ht="15.75" thickBot="1" x14ac:dyDescent="0.3">
      <c r="A46" s="2"/>
      <c r="B46" s="448" t="s">
        <v>480</v>
      </c>
      <c r="C46" s="463">
        <v>0</v>
      </c>
      <c r="D46" s="464">
        <v>0</v>
      </c>
      <c r="E46" s="474" t="s">
        <v>467</v>
      </c>
      <c r="F46" s="466" t="str">
        <f t="shared" si="3"/>
        <v/>
      </c>
      <c r="G46" s="110"/>
    </row>
    <row r="47" spans="1:7" s="437" customFormat="1" x14ac:dyDescent="0.25">
      <c r="A47" s="2"/>
      <c r="B47" s="462" t="s">
        <v>356</v>
      </c>
      <c r="C47" s="467">
        <f>SUM(C39:C46)</f>
        <v>0</v>
      </c>
      <c r="D47" s="467">
        <f>SUM(D39:D46)</f>
        <v>0</v>
      </c>
      <c r="E47" s="468" t="s">
        <v>467</v>
      </c>
      <c r="F47" s="469" t="s">
        <v>467</v>
      </c>
      <c r="G47" s="110"/>
    </row>
    <row r="48" spans="1:7" s="437" customFormat="1" x14ac:dyDescent="0.25">
      <c r="A48" s="2"/>
      <c r="B48" s="4"/>
      <c r="C48" s="4"/>
      <c r="D48" s="4"/>
      <c r="E48" s="4"/>
      <c r="F48" s="4"/>
      <c r="G48" s="4"/>
    </row>
    <row r="49" spans="1:7" s="437" customFormat="1" ht="15.75" x14ac:dyDescent="0.25">
      <c r="A49" s="475" t="s">
        <v>484</v>
      </c>
      <c r="B49" s="4"/>
      <c r="C49" s="4"/>
      <c r="D49" s="4"/>
      <c r="E49" s="4"/>
      <c r="F49" s="4"/>
      <c r="G49" s="4"/>
    </row>
    <row r="50" spans="1:7" s="437" customFormat="1" ht="15.75" x14ac:dyDescent="0.25">
      <c r="A50" s="475" t="s">
        <v>481</v>
      </c>
      <c r="B50" s="475"/>
      <c r="C50" s="475"/>
      <c r="D50" s="475"/>
      <c r="E50" s="475"/>
      <c r="F50" s="475"/>
      <c r="G50" s="4"/>
    </row>
    <row r="51" spans="1:7" s="437" customFormat="1" x14ac:dyDescent="0.25">
      <c r="A51" s="2"/>
      <c r="B51" s="476" t="s">
        <v>474</v>
      </c>
      <c r="C51" s="4"/>
      <c r="D51" s="4"/>
      <c r="E51" s="4"/>
      <c r="F51" s="4"/>
      <c r="G51" s="4"/>
    </row>
    <row r="52" spans="1:7" s="437" customFormat="1" x14ac:dyDescent="0.25"/>
    <row r="53" spans="1:7" s="437" customFormat="1" x14ac:dyDescent="0.25"/>
    <row r="54" spans="1:7" s="437" customFormat="1" x14ac:dyDescent="0.25"/>
    <row r="55" spans="1:7" s="437" customFormat="1" x14ac:dyDescent="0.25"/>
    <row r="56" spans="1:7" s="437" customFormat="1" x14ac:dyDescent="0.25"/>
    <row r="57" spans="1:7" s="437" customFormat="1" x14ac:dyDescent="0.25"/>
    <row r="58" spans="1:7" s="437" customFormat="1" x14ac:dyDescent="0.25"/>
    <row r="59" spans="1:7" s="437" customFormat="1" x14ac:dyDescent="0.25"/>
    <row r="60" spans="1:7" s="437" customFormat="1" x14ac:dyDescent="0.25"/>
    <row r="61" spans="1:7" s="437" customFormat="1" x14ac:dyDescent="0.25"/>
    <row r="62" spans="1:7" s="437" customFormat="1" x14ac:dyDescent="0.25"/>
    <row r="63" spans="1:7" s="437" customFormat="1" x14ac:dyDescent="0.25"/>
    <row r="64" spans="1:7" s="437" customFormat="1" x14ac:dyDescent="0.25"/>
    <row r="65" s="437" customFormat="1" x14ac:dyDescent="0.25"/>
    <row r="66" s="437" customFormat="1" x14ac:dyDescent="0.25"/>
    <row r="67" s="437" customFormat="1" x14ac:dyDescent="0.25"/>
    <row r="68" s="437" customFormat="1" x14ac:dyDescent="0.25"/>
    <row r="69" s="437" customFormat="1" x14ac:dyDescent="0.25"/>
    <row r="70" s="437" customFormat="1" x14ac:dyDescent="0.25"/>
    <row r="71" s="437" customFormat="1" x14ac:dyDescent="0.25"/>
    <row r="72" s="437" customFormat="1" x14ac:dyDescent="0.25"/>
    <row r="73" s="437" customFormat="1" x14ac:dyDescent="0.25"/>
    <row r="74" s="437" customFormat="1" x14ac:dyDescent="0.25"/>
    <row r="75" s="437" customFormat="1" x14ac:dyDescent="0.25"/>
    <row r="76" s="437" customFormat="1" x14ac:dyDescent="0.25"/>
    <row r="77" s="437" customFormat="1" x14ac:dyDescent="0.25"/>
    <row r="78" s="437" customFormat="1" x14ac:dyDescent="0.25"/>
    <row r="79" s="437" customFormat="1" x14ac:dyDescent="0.25"/>
    <row r="80" s="437" customFormat="1" x14ac:dyDescent="0.25"/>
    <row r="81" s="437" customFormat="1" x14ac:dyDescent="0.25"/>
    <row r="82" s="437" customFormat="1" x14ac:dyDescent="0.25"/>
    <row r="83" s="437" customFormat="1" x14ac:dyDescent="0.25"/>
    <row r="84" s="437" customFormat="1" x14ac:dyDescent="0.25"/>
    <row r="85" s="437" customFormat="1" x14ac:dyDescent="0.25"/>
    <row r="86" s="437" customFormat="1" x14ac:dyDescent="0.25"/>
    <row r="87" s="437" customFormat="1" x14ac:dyDescent="0.25"/>
    <row r="88" s="437" customFormat="1" x14ac:dyDescent="0.25"/>
  </sheetData>
  <mergeCells count="3">
    <mergeCell ref="B7:C7"/>
    <mergeCell ref="B21:C21"/>
    <mergeCell ref="B36:C36"/>
  </mergeCells>
  <pageMargins left="0" right="0" top="0.5" bottom="0.25" header="0.3" footer="0.3"/>
  <pageSetup scale="9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82"/>
  <sheetViews>
    <sheetView workbookViewId="0"/>
  </sheetViews>
  <sheetFormatPr defaultColWidth="9.140625" defaultRowHeight="15" x14ac:dyDescent="0.25"/>
  <cols>
    <col min="1" max="1" width="3.85546875" style="2" customWidth="1"/>
    <col min="2" max="2" width="43.140625" style="2" bestFit="1" customWidth="1"/>
    <col min="3" max="3" width="10.140625" style="2" customWidth="1"/>
    <col min="4" max="4" width="9.140625" style="2"/>
    <col min="5" max="5" width="11" style="2" customWidth="1"/>
    <col min="6" max="6" width="9.140625" style="2"/>
    <col min="7" max="11" width="9.140625" style="765"/>
    <col min="12" max="12" width="11.140625" style="2" customWidth="1"/>
    <col min="13" max="14" width="11" style="2" customWidth="1"/>
    <col min="15" max="15" width="13.85546875" style="2" bestFit="1" customWidth="1"/>
    <col min="16" max="16" width="22.5703125" style="2" customWidth="1"/>
    <col min="17" max="17" width="2" style="2" customWidth="1"/>
    <col min="18" max="18" width="7.85546875" style="2" customWidth="1"/>
    <col min="19" max="19" width="6.5703125" style="2" customWidth="1"/>
    <col min="20" max="20" width="9.140625" style="2"/>
    <col min="21" max="21" width="11.85546875" style="2" customWidth="1"/>
    <col min="22" max="24" width="9.140625" style="2"/>
    <col min="25" max="25" width="1.85546875" style="2" customWidth="1"/>
    <col min="26" max="26" width="2.42578125" style="2" customWidth="1"/>
    <col min="27" max="30" width="9.140625" style="2"/>
    <col min="31" max="39" width="4.85546875" style="2" customWidth="1"/>
    <col min="40" max="40" width="2.85546875" style="2" customWidth="1"/>
    <col min="41" max="16384" width="9.140625" style="2"/>
  </cols>
  <sheetData>
    <row r="1" spans="1:41" ht="45.75" customHeight="1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748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ht="24.75" thickTop="1" thickBot="1" x14ac:dyDescent="0.4">
      <c r="A2" s="3" t="s">
        <v>294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748"/>
      <c r="Z2" s="752" t="s">
        <v>640</v>
      </c>
      <c r="AA2" s="1"/>
      <c r="AB2" s="751" t="s">
        <v>642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752" t="s">
        <v>641</v>
      </c>
    </row>
    <row r="3" spans="1:41" ht="15.75" thickTop="1" x14ac:dyDescent="0.25">
      <c r="Y3" s="749"/>
    </row>
    <row r="4" spans="1:41" ht="60.75" thickBot="1" x14ac:dyDescent="0.3">
      <c r="Y4" s="750"/>
      <c r="AE4" s="185" t="s">
        <v>225</v>
      </c>
      <c r="AF4" s="186" t="s">
        <v>226</v>
      </c>
      <c r="AG4" s="186" t="s">
        <v>227</v>
      </c>
      <c r="AH4" s="186" t="s">
        <v>228</v>
      </c>
      <c r="AI4" s="186" t="s">
        <v>229</v>
      </c>
      <c r="AJ4" s="186" t="s">
        <v>230</v>
      </c>
      <c r="AK4" s="186" t="s">
        <v>231</v>
      </c>
      <c r="AL4" s="186" t="s">
        <v>232</v>
      </c>
      <c r="AM4" s="186" t="s">
        <v>233</v>
      </c>
    </row>
    <row r="5" spans="1:41" ht="15.75" thickBot="1" x14ac:dyDescent="0.3">
      <c r="B5" s="1292" t="s">
        <v>214</v>
      </c>
      <c r="C5" s="1293"/>
      <c r="D5" s="1293"/>
      <c r="E5" s="1293"/>
      <c r="F5" s="1293"/>
      <c r="G5" s="1293"/>
      <c r="H5" s="1293"/>
      <c r="I5" s="1293"/>
      <c r="J5" s="1293"/>
      <c r="K5" s="1293"/>
      <c r="L5" s="1293"/>
      <c r="M5" s="1293"/>
      <c r="N5" s="1293"/>
      <c r="O5" s="1293"/>
      <c r="P5" s="1294"/>
      <c r="R5" s="1297" t="s">
        <v>215</v>
      </c>
      <c r="S5" s="1298"/>
      <c r="T5" s="1298"/>
      <c r="U5" s="1298"/>
      <c r="V5" s="1298"/>
      <c r="W5" s="1298"/>
      <c r="X5" s="1299"/>
      <c r="Y5" s="750"/>
      <c r="AA5" s="1295" t="s">
        <v>216</v>
      </c>
      <c r="AB5" s="1296"/>
      <c r="AD5" s="187" t="s">
        <v>225</v>
      </c>
      <c r="AE5" s="188">
        <v>0.5</v>
      </c>
      <c r="AF5" s="189"/>
      <c r="AG5" s="190"/>
      <c r="AH5" s="190"/>
      <c r="AI5" s="190"/>
      <c r="AJ5" s="190"/>
      <c r="AK5" s="190"/>
      <c r="AL5" s="190"/>
      <c r="AM5" s="190"/>
      <c r="AN5" s="190"/>
    </row>
    <row r="6" spans="1:41" ht="15.75" thickBot="1" x14ac:dyDescent="0.3">
      <c r="B6" s="179" t="s">
        <v>54</v>
      </c>
      <c r="C6" s="182" t="s">
        <v>426</v>
      </c>
      <c r="D6" s="182" t="s">
        <v>427</v>
      </c>
      <c r="E6" s="182" t="s">
        <v>320</v>
      </c>
      <c r="F6" s="182" t="s">
        <v>902</v>
      </c>
      <c r="G6" s="182" t="s">
        <v>903</v>
      </c>
      <c r="H6" s="182" t="s">
        <v>1</v>
      </c>
      <c r="I6" s="182" t="s">
        <v>217</v>
      </c>
      <c r="J6" s="182" t="s">
        <v>218</v>
      </c>
      <c r="K6" s="182" t="s">
        <v>219</v>
      </c>
      <c r="L6" s="182" t="s">
        <v>904</v>
      </c>
      <c r="M6" s="182" t="s">
        <v>905</v>
      </c>
      <c r="N6" s="182" t="s">
        <v>906</v>
      </c>
      <c r="O6" s="182" t="s">
        <v>630</v>
      </c>
      <c r="P6" s="762" t="s">
        <v>101</v>
      </c>
      <c r="Q6" s="58"/>
      <c r="R6" s="1269" t="s">
        <v>643</v>
      </c>
      <c r="S6" s="1300"/>
      <c r="T6" s="753"/>
      <c r="U6" s="682" t="s">
        <v>615</v>
      </c>
      <c r="V6" s="682" t="s">
        <v>220</v>
      </c>
      <c r="W6" s="682" t="s">
        <v>221</v>
      </c>
      <c r="X6" s="683" t="s">
        <v>616</v>
      </c>
      <c r="Y6" s="750"/>
      <c r="AA6" s="177" t="s">
        <v>217</v>
      </c>
      <c r="AB6" s="178">
        <v>0.5</v>
      </c>
      <c r="AD6" s="187" t="s">
        <v>226</v>
      </c>
      <c r="AE6" s="191">
        <v>0.2</v>
      </c>
      <c r="AF6" s="188">
        <v>0.2</v>
      </c>
      <c r="AG6" s="189"/>
      <c r="AH6" s="190"/>
      <c r="AI6" s="190"/>
      <c r="AJ6" s="190"/>
      <c r="AK6" s="190"/>
      <c r="AL6" s="190"/>
      <c r="AM6" s="190"/>
      <c r="AN6" s="190"/>
    </row>
    <row r="7" spans="1:41" ht="15.75" thickBot="1" x14ac:dyDescent="0.3">
      <c r="B7" s="756" t="s">
        <v>593</v>
      </c>
      <c r="C7" s="757">
        <v>75.125</v>
      </c>
      <c r="D7" s="757" t="s">
        <v>21</v>
      </c>
      <c r="E7" s="758">
        <v>250</v>
      </c>
      <c r="F7" s="758">
        <v>150</v>
      </c>
      <c r="G7" s="759" t="s">
        <v>907</v>
      </c>
      <c r="H7" s="759">
        <v>0.25</v>
      </c>
      <c r="I7" s="759">
        <v>0.3</v>
      </c>
      <c r="J7" s="759">
        <v>0.6</v>
      </c>
      <c r="K7" s="759">
        <v>0.5</v>
      </c>
      <c r="L7" s="760">
        <v>0.5</v>
      </c>
      <c r="M7" s="760">
        <v>0.55000000000000004</v>
      </c>
      <c r="N7" s="760">
        <v>0.5</v>
      </c>
      <c r="O7" s="761">
        <v>7</v>
      </c>
      <c r="P7" s="763" t="s">
        <v>223</v>
      </c>
      <c r="Q7" s="57"/>
      <c r="R7" s="47" t="s">
        <v>644</v>
      </c>
      <c r="S7" s="331" t="s">
        <v>645</v>
      </c>
      <c r="T7" s="754"/>
      <c r="U7" s="684" t="s">
        <v>617</v>
      </c>
      <c r="V7" s="685" t="s">
        <v>618</v>
      </c>
      <c r="W7" s="685" t="s">
        <v>619</v>
      </c>
      <c r="X7" s="686" t="s">
        <v>620</v>
      </c>
      <c r="Y7" s="750"/>
      <c r="AA7" s="179" t="s">
        <v>218</v>
      </c>
      <c r="AB7" s="180">
        <v>0.75</v>
      </c>
      <c r="AD7" s="187" t="s">
        <v>227</v>
      </c>
      <c r="AE7" s="192" t="s">
        <v>234</v>
      </c>
      <c r="AF7" s="193" t="s">
        <v>234</v>
      </c>
      <c r="AG7" s="188" t="s">
        <v>234</v>
      </c>
      <c r="AH7" s="189"/>
      <c r="AI7" s="190"/>
      <c r="AJ7" s="190"/>
      <c r="AK7" s="190"/>
      <c r="AL7" s="190"/>
      <c r="AM7" s="190"/>
      <c r="AN7" s="190"/>
    </row>
    <row r="8" spans="1:41" ht="15.75" thickBot="1" x14ac:dyDescent="0.3">
      <c r="B8" s="181" t="s">
        <v>824</v>
      </c>
      <c r="C8" s="687">
        <v>67.5</v>
      </c>
      <c r="D8" s="182" t="s">
        <v>5</v>
      </c>
      <c r="E8" s="268">
        <v>250</v>
      </c>
      <c r="F8" s="758">
        <v>100</v>
      </c>
      <c r="G8" s="695" t="s">
        <v>907</v>
      </c>
      <c r="H8" s="695">
        <v>0.4</v>
      </c>
      <c r="I8" s="695">
        <v>0.25</v>
      </c>
      <c r="J8" s="695">
        <v>0.4</v>
      </c>
      <c r="K8" s="695">
        <v>0.4</v>
      </c>
      <c r="L8" s="694">
        <v>0.4</v>
      </c>
      <c r="M8" s="694">
        <v>0.55000000000000004</v>
      </c>
      <c r="N8" s="694">
        <v>0.5</v>
      </c>
      <c r="O8" s="693">
        <v>-3</v>
      </c>
      <c r="P8" s="180" t="s">
        <v>223</v>
      </c>
      <c r="Q8" s="57"/>
      <c r="R8" s="755"/>
      <c r="S8" s="4"/>
      <c r="T8" s="702" t="s">
        <v>7</v>
      </c>
      <c r="U8" s="58"/>
      <c r="V8" s="169">
        <v>0</v>
      </c>
      <c r="W8" s="169">
        <v>0</v>
      </c>
      <c r="X8" s="94">
        <v>1E-4</v>
      </c>
      <c r="Y8" s="750"/>
      <c r="AA8" s="183" t="s">
        <v>219</v>
      </c>
      <c r="AB8" s="184">
        <v>0.6</v>
      </c>
      <c r="AD8" s="187" t="s">
        <v>228</v>
      </c>
      <c r="AE8" s="194">
        <v>0.2</v>
      </c>
      <c r="AF8" s="195">
        <v>0.1</v>
      </c>
      <c r="AG8" s="196" t="s">
        <v>234</v>
      </c>
      <c r="AH8" s="188">
        <v>0.5</v>
      </c>
      <c r="AI8" s="189"/>
      <c r="AJ8" s="190"/>
      <c r="AK8" s="190"/>
      <c r="AL8" s="190"/>
      <c r="AM8" s="190"/>
      <c r="AN8" s="190"/>
    </row>
    <row r="9" spans="1:41" ht="15.75" thickBot="1" x14ac:dyDescent="0.3">
      <c r="B9" s="181" t="s">
        <v>908</v>
      </c>
      <c r="C9" s="687">
        <v>60</v>
      </c>
      <c r="D9" s="182" t="s">
        <v>0</v>
      </c>
      <c r="E9" s="268">
        <v>100</v>
      </c>
      <c r="F9" s="758">
        <v>0</v>
      </c>
      <c r="G9" s="695" t="s">
        <v>909</v>
      </c>
      <c r="H9" s="695">
        <v>0.25</v>
      </c>
      <c r="I9" s="695">
        <v>0.25</v>
      </c>
      <c r="J9" s="695">
        <v>0.6</v>
      </c>
      <c r="K9" s="695">
        <v>0.6</v>
      </c>
      <c r="L9" s="694">
        <v>0.6</v>
      </c>
      <c r="M9" s="694">
        <v>0.55000000000000004</v>
      </c>
      <c r="N9" s="694">
        <v>0.5</v>
      </c>
      <c r="O9" s="693">
        <v>8</v>
      </c>
      <c r="P9" s="180" t="s">
        <v>223</v>
      </c>
      <c r="Q9" s="57"/>
      <c r="R9" s="755"/>
      <c r="S9" s="4"/>
      <c r="T9" s="702" t="s">
        <v>15</v>
      </c>
      <c r="U9" s="58"/>
      <c r="V9" s="169"/>
      <c r="W9" s="169"/>
      <c r="X9" s="94">
        <f>X8+0.0001</f>
        <v>2.0000000000000001E-4</v>
      </c>
      <c r="Y9" s="750"/>
      <c r="AD9" s="187" t="s">
        <v>229</v>
      </c>
      <c r="AE9" s="197">
        <v>0.15</v>
      </c>
      <c r="AF9" s="198">
        <v>0.15</v>
      </c>
      <c r="AG9" s="198" t="s">
        <v>234</v>
      </c>
      <c r="AH9" s="199">
        <v>0.2</v>
      </c>
      <c r="AI9" s="188">
        <v>0.6</v>
      </c>
      <c r="AJ9" s="189"/>
      <c r="AK9" s="190"/>
      <c r="AL9" s="190"/>
      <c r="AM9" s="190"/>
      <c r="AN9" s="190"/>
    </row>
    <row r="10" spans="1:41" ht="15.75" thickBot="1" x14ac:dyDescent="0.3">
      <c r="B10" s="181" t="s">
        <v>910</v>
      </c>
      <c r="C10" s="687" t="s">
        <v>911</v>
      </c>
      <c r="D10" s="182" t="s">
        <v>10</v>
      </c>
      <c r="E10" s="268">
        <v>250</v>
      </c>
      <c r="F10" s="758">
        <v>100</v>
      </c>
      <c r="G10" s="695" t="s">
        <v>912</v>
      </c>
      <c r="H10" s="695">
        <v>0.3</v>
      </c>
      <c r="I10" s="695">
        <v>0.5</v>
      </c>
      <c r="J10" s="695">
        <v>0.4</v>
      </c>
      <c r="K10" s="695">
        <v>0.4</v>
      </c>
      <c r="L10" s="694">
        <v>0.4</v>
      </c>
      <c r="M10" s="694">
        <v>0.6</v>
      </c>
      <c r="N10" s="694">
        <v>0.6</v>
      </c>
      <c r="O10" s="693">
        <v>-3</v>
      </c>
      <c r="P10" s="180" t="s">
        <v>222</v>
      </c>
      <c r="Q10" s="57"/>
      <c r="R10" s="755"/>
      <c r="S10" s="4"/>
      <c r="T10" s="702" t="s">
        <v>8</v>
      </c>
      <c r="U10" s="58"/>
      <c r="V10" s="169">
        <v>0</v>
      </c>
      <c r="W10" s="169">
        <v>0</v>
      </c>
      <c r="X10" s="94">
        <f>X9+0.0001</f>
        <v>3.0000000000000003E-4</v>
      </c>
      <c r="Y10" s="750"/>
      <c r="AD10" s="187" t="s">
        <v>230</v>
      </c>
      <c r="AE10" s="200">
        <v>0.15</v>
      </c>
      <c r="AF10" s="201">
        <v>0.15</v>
      </c>
      <c r="AG10" s="201" t="s">
        <v>234</v>
      </c>
      <c r="AH10" s="202">
        <v>0.2</v>
      </c>
      <c r="AI10" s="203">
        <v>0.5</v>
      </c>
      <c r="AJ10" s="188">
        <v>0.6</v>
      </c>
      <c r="AK10" s="189"/>
      <c r="AL10" s="190"/>
      <c r="AM10" s="190"/>
      <c r="AN10" s="190"/>
    </row>
    <row r="11" spans="1:41" ht="15.75" thickBot="1" x14ac:dyDescent="0.3">
      <c r="B11" s="181" t="s">
        <v>621</v>
      </c>
      <c r="C11" s="687">
        <v>68.75</v>
      </c>
      <c r="D11" s="182" t="s">
        <v>5</v>
      </c>
      <c r="E11" s="268">
        <v>250</v>
      </c>
      <c r="F11" s="758">
        <v>100</v>
      </c>
      <c r="G11" s="695" t="s">
        <v>907</v>
      </c>
      <c r="H11" s="695">
        <v>0.3</v>
      </c>
      <c r="I11" s="695">
        <v>0.25</v>
      </c>
      <c r="J11" s="695">
        <v>0.5</v>
      </c>
      <c r="K11" s="695">
        <v>0.5</v>
      </c>
      <c r="L11" s="694">
        <v>0.5</v>
      </c>
      <c r="M11" s="694">
        <v>0.55000000000000004</v>
      </c>
      <c r="N11" s="694">
        <v>0.5</v>
      </c>
      <c r="O11" s="693">
        <v>6</v>
      </c>
      <c r="P11" s="180" t="s">
        <v>223</v>
      </c>
      <c r="Q11" s="57"/>
      <c r="R11" s="755"/>
      <c r="S11" s="4"/>
      <c r="T11" s="702" t="s">
        <v>16</v>
      </c>
      <c r="U11" s="58"/>
      <c r="V11" s="169"/>
      <c r="W11" s="169"/>
      <c r="X11" s="94">
        <f>X10+0.0001</f>
        <v>4.0000000000000002E-4</v>
      </c>
      <c r="Y11" s="750"/>
      <c r="AD11" s="187" t="s">
        <v>231</v>
      </c>
      <c r="AE11" s="200">
        <v>0.1</v>
      </c>
      <c r="AF11" s="201">
        <v>0.1</v>
      </c>
      <c r="AG11" s="201" t="s">
        <v>234</v>
      </c>
      <c r="AH11" s="202">
        <v>0.1</v>
      </c>
      <c r="AI11" s="204">
        <v>0.2</v>
      </c>
      <c r="AJ11" s="205">
        <v>0.2</v>
      </c>
      <c r="AK11" s="188">
        <v>0.4</v>
      </c>
      <c r="AL11" s="189"/>
      <c r="AM11" s="190"/>
      <c r="AN11" s="190"/>
    </row>
    <row r="12" spans="1:41" ht="15.75" thickBot="1" x14ac:dyDescent="0.3">
      <c r="B12" s="181" t="s">
        <v>913</v>
      </c>
      <c r="C12" s="687">
        <v>68.75</v>
      </c>
      <c r="D12" s="182" t="s">
        <v>5</v>
      </c>
      <c r="E12" s="268">
        <v>250</v>
      </c>
      <c r="F12" s="758">
        <v>100</v>
      </c>
      <c r="G12" s="695" t="s">
        <v>907</v>
      </c>
      <c r="H12" s="695">
        <v>0.3</v>
      </c>
      <c r="I12" s="695">
        <v>0.25</v>
      </c>
      <c r="J12" s="695">
        <v>0.5</v>
      </c>
      <c r="K12" s="695">
        <v>0.5</v>
      </c>
      <c r="L12" s="694">
        <v>0.5</v>
      </c>
      <c r="M12" s="694">
        <v>0.55000000000000004</v>
      </c>
      <c r="N12" s="694">
        <v>0.5</v>
      </c>
      <c r="O12" s="693">
        <v>6</v>
      </c>
      <c r="P12" s="180" t="s">
        <v>223</v>
      </c>
      <c r="Q12" s="57"/>
      <c r="R12" s="395">
        <v>100</v>
      </c>
      <c r="S12" s="339"/>
      <c r="T12" s="702" t="s">
        <v>17</v>
      </c>
      <c r="U12" s="58"/>
      <c r="V12" s="169"/>
      <c r="W12" s="169"/>
      <c r="X12" s="94">
        <v>8.0000000000000004E-4</v>
      </c>
      <c r="Y12" s="750"/>
      <c r="AD12" s="187" t="s">
        <v>232</v>
      </c>
      <c r="AE12" s="200">
        <v>0.15</v>
      </c>
      <c r="AF12" s="201">
        <v>0.15</v>
      </c>
      <c r="AG12" s="201" t="s">
        <v>234</v>
      </c>
      <c r="AH12" s="202">
        <v>0.15</v>
      </c>
      <c r="AI12" s="204">
        <v>0.25</v>
      </c>
      <c r="AJ12" s="206">
        <v>0.25</v>
      </c>
      <c r="AK12" s="205">
        <v>0.1</v>
      </c>
      <c r="AL12" s="188">
        <v>0.4</v>
      </c>
      <c r="AM12" s="189"/>
      <c r="AN12" s="190"/>
    </row>
    <row r="13" spans="1:41" ht="15.75" thickBot="1" x14ac:dyDescent="0.3">
      <c r="B13" s="181" t="s">
        <v>914</v>
      </c>
      <c r="C13" s="687">
        <v>56.38</v>
      </c>
      <c r="D13" s="182" t="s">
        <v>14</v>
      </c>
      <c r="E13" s="268">
        <v>0</v>
      </c>
      <c r="F13" s="758">
        <v>0</v>
      </c>
      <c r="G13" s="695" t="s">
        <v>912</v>
      </c>
      <c r="H13" s="695">
        <v>0.25</v>
      </c>
      <c r="I13" s="695">
        <v>0.25</v>
      </c>
      <c r="J13" s="695">
        <v>0.5</v>
      </c>
      <c r="K13" s="695">
        <v>0.5</v>
      </c>
      <c r="L13" s="694">
        <v>0.5</v>
      </c>
      <c r="M13" s="694">
        <v>0.6</v>
      </c>
      <c r="N13" s="694">
        <v>0.6</v>
      </c>
      <c r="O13" s="693">
        <v>-3</v>
      </c>
      <c r="P13" s="180" t="s">
        <v>223</v>
      </c>
      <c r="Q13" s="57"/>
      <c r="R13" s="395">
        <v>95</v>
      </c>
      <c r="S13" s="339">
        <f>R12-0.0000001</f>
        <v>99.999999900000006</v>
      </c>
      <c r="T13" s="702" t="s">
        <v>9</v>
      </c>
      <c r="U13" s="58" t="s">
        <v>197</v>
      </c>
      <c r="V13" s="169">
        <v>0</v>
      </c>
      <c r="W13" s="169">
        <v>1.0300000000000001E-3</v>
      </c>
      <c r="X13" s="94">
        <v>1.6000000000000001E-3</v>
      </c>
      <c r="Y13" s="750"/>
      <c r="AD13" s="187" t="s">
        <v>233</v>
      </c>
      <c r="AE13" s="207">
        <v>0</v>
      </c>
      <c r="AF13" s="208">
        <v>0</v>
      </c>
      <c r="AG13" s="208" t="s">
        <v>234</v>
      </c>
      <c r="AH13" s="209">
        <v>0</v>
      </c>
      <c r="AI13" s="210">
        <v>0</v>
      </c>
      <c r="AJ13" s="211">
        <v>0</v>
      </c>
      <c r="AK13" s="211">
        <v>0</v>
      </c>
      <c r="AL13" s="212">
        <v>0</v>
      </c>
      <c r="AM13" s="188">
        <v>0.5</v>
      </c>
    </row>
    <row r="14" spans="1:41" x14ac:dyDescent="0.25">
      <c r="B14" s="181" t="s">
        <v>915</v>
      </c>
      <c r="C14" s="687">
        <v>59</v>
      </c>
      <c r="D14" s="182" t="s">
        <v>14</v>
      </c>
      <c r="E14" s="268">
        <v>100</v>
      </c>
      <c r="F14" s="758">
        <v>20</v>
      </c>
      <c r="G14" s="695" t="s">
        <v>912</v>
      </c>
      <c r="H14" s="695">
        <v>0.3</v>
      </c>
      <c r="I14" s="695">
        <v>0.25</v>
      </c>
      <c r="J14" s="695">
        <v>0.5</v>
      </c>
      <c r="K14" s="695">
        <v>0.5</v>
      </c>
      <c r="L14" s="694">
        <v>0.5</v>
      </c>
      <c r="M14" s="694">
        <v>0.6</v>
      </c>
      <c r="N14" s="694">
        <v>0.6</v>
      </c>
      <c r="O14" s="693">
        <v>8</v>
      </c>
      <c r="P14" s="180" t="s">
        <v>223</v>
      </c>
      <c r="Q14" s="57"/>
      <c r="R14" s="395">
        <v>90</v>
      </c>
      <c r="S14" s="339">
        <f t="shared" ref="S14:S25" si="0">R13-0.0000001</f>
        <v>94.999999900000006</v>
      </c>
      <c r="T14" s="702" t="s">
        <v>18</v>
      </c>
      <c r="U14" s="170" t="s">
        <v>198</v>
      </c>
      <c r="V14" s="169"/>
      <c r="W14" s="169"/>
      <c r="X14" s="94">
        <v>2.3999999999999998E-3</v>
      </c>
      <c r="Y14" s="750"/>
    </row>
    <row r="15" spans="1:41" x14ac:dyDescent="0.25">
      <c r="B15" s="181" t="s">
        <v>916</v>
      </c>
      <c r="C15" s="687">
        <v>60</v>
      </c>
      <c r="D15" s="182" t="s">
        <v>0</v>
      </c>
      <c r="E15" s="268">
        <v>100</v>
      </c>
      <c r="F15" s="758">
        <v>20</v>
      </c>
      <c r="G15" s="695" t="s">
        <v>912</v>
      </c>
      <c r="H15" s="695">
        <v>0.3</v>
      </c>
      <c r="I15" s="695">
        <v>0.25</v>
      </c>
      <c r="J15" s="695">
        <v>0.5</v>
      </c>
      <c r="K15" s="695">
        <v>0.5</v>
      </c>
      <c r="L15" s="694">
        <v>0.5</v>
      </c>
      <c r="M15" s="694">
        <v>0.6</v>
      </c>
      <c r="N15" s="694">
        <v>0.6</v>
      </c>
      <c r="O15" s="693">
        <v>8</v>
      </c>
      <c r="P15" s="180" t="s">
        <v>223</v>
      </c>
      <c r="Q15" s="57"/>
      <c r="R15" s="395">
        <v>85</v>
      </c>
      <c r="S15" s="339">
        <f t="shared" si="0"/>
        <v>89.999999900000006</v>
      </c>
      <c r="T15" s="702" t="s">
        <v>19</v>
      </c>
      <c r="U15" s="58" t="s">
        <v>199</v>
      </c>
      <c r="V15" s="169"/>
      <c r="W15" s="169"/>
      <c r="X15" s="94">
        <v>4.0000000000000001E-3</v>
      </c>
      <c r="Y15" s="750"/>
    </row>
    <row r="16" spans="1:41" x14ac:dyDescent="0.25">
      <c r="B16" s="181" t="s">
        <v>917</v>
      </c>
      <c r="C16" s="687">
        <v>59</v>
      </c>
      <c r="D16" s="182" t="s">
        <v>14</v>
      </c>
      <c r="E16" s="268">
        <v>100</v>
      </c>
      <c r="F16" s="758">
        <v>20</v>
      </c>
      <c r="G16" s="695" t="s">
        <v>912</v>
      </c>
      <c r="H16" s="695">
        <v>0.3</v>
      </c>
      <c r="I16" s="695">
        <v>0.2</v>
      </c>
      <c r="J16" s="695">
        <v>0.5</v>
      </c>
      <c r="K16" s="695">
        <v>0.5</v>
      </c>
      <c r="L16" s="694">
        <v>0.5</v>
      </c>
      <c r="M16" s="694">
        <v>0.6</v>
      </c>
      <c r="N16" s="694">
        <v>0.6</v>
      </c>
      <c r="O16" s="693">
        <v>8</v>
      </c>
      <c r="P16" s="180" t="s">
        <v>223</v>
      </c>
      <c r="Q16" s="57"/>
      <c r="R16" s="395">
        <v>80</v>
      </c>
      <c r="S16" s="339">
        <f t="shared" si="0"/>
        <v>84.999999900000006</v>
      </c>
      <c r="T16" s="702" t="s">
        <v>10</v>
      </c>
      <c r="U16" s="58" t="s">
        <v>200</v>
      </c>
      <c r="V16" s="169">
        <v>1.0300000000000001E-3</v>
      </c>
      <c r="W16" s="169">
        <v>2.1199999999999999E-3</v>
      </c>
      <c r="X16" s="94">
        <v>6.0000000000000001E-3</v>
      </c>
      <c r="Y16" s="750"/>
    </row>
    <row r="17" spans="2:25" x14ac:dyDescent="0.25">
      <c r="B17" s="181" t="s">
        <v>784</v>
      </c>
      <c r="C17" s="687">
        <v>57.5</v>
      </c>
      <c r="D17" s="182" t="s">
        <v>14</v>
      </c>
      <c r="E17" s="268">
        <v>100</v>
      </c>
      <c r="F17" s="758">
        <v>25</v>
      </c>
      <c r="G17" s="695" t="s">
        <v>912</v>
      </c>
      <c r="H17" s="695">
        <v>0.3</v>
      </c>
      <c r="I17" s="695">
        <v>0.25</v>
      </c>
      <c r="J17" s="695">
        <v>0.5</v>
      </c>
      <c r="K17" s="695">
        <v>0.5</v>
      </c>
      <c r="L17" s="694">
        <v>0.5</v>
      </c>
      <c r="M17" s="694">
        <v>0.6</v>
      </c>
      <c r="N17" s="694">
        <v>0.6</v>
      </c>
      <c r="O17" s="693">
        <v>8</v>
      </c>
      <c r="P17" s="180" t="s">
        <v>223</v>
      </c>
      <c r="Q17" s="57"/>
      <c r="R17" s="395">
        <v>75</v>
      </c>
      <c r="S17" s="339">
        <f t="shared" si="0"/>
        <v>79.999999900000006</v>
      </c>
      <c r="T17" s="702" t="s">
        <v>20</v>
      </c>
      <c r="U17" s="58" t="s">
        <v>201</v>
      </c>
      <c r="V17" s="169"/>
      <c r="W17" s="169"/>
      <c r="X17" s="94">
        <v>8.0000000000000002E-3</v>
      </c>
      <c r="Y17" s="750"/>
    </row>
    <row r="18" spans="2:25" x14ac:dyDescent="0.25">
      <c r="B18" s="181" t="s">
        <v>918</v>
      </c>
      <c r="C18" s="687">
        <v>57.75</v>
      </c>
      <c r="D18" s="182" t="s">
        <v>14</v>
      </c>
      <c r="E18" s="268">
        <v>100</v>
      </c>
      <c r="F18" s="758">
        <v>20</v>
      </c>
      <c r="G18" s="695" t="s">
        <v>912</v>
      </c>
      <c r="H18" s="695">
        <v>0.3</v>
      </c>
      <c r="I18" s="695">
        <v>0.25</v>
      </c>
      <c r="J18" s="695">
        <v>0.5</v>
      </c>
      <c r="K18" s="695">
        <v>0.5</v>
      </c>
      <c r="L18" s="694">
        <v>0.5</v>
      </c>
      <c r="M18" s="694">
        <v>0.6</v>
      </c>
      <c r="N18" s="694">
        <v>0.6</v>
      </c>
      <c r="O18" s="693">
        <v>8</v>
      </c>
      <c r="P18" s="180" t="s">
        <v>223</v>
      </c>
      <c r="Q18" s="57"/>
      <c r="R18" s="395">
        <v>70</v>
      </c>
      <c r="S18" s="339">
        <f t="shared" si="0"/>
        <v>74.999999900000006</v>
      </c>
      <c r="T18" s="702" t="s">
        <v>21</v>
      </c>
      <c r="U18" s="58" t="s">
        <v>202</v>
      </c>
      <c r="V18" s="169"/>
      <c r="W18" s="169"/>
      <c r="X18" s="94">
        <v>1.6E-2</v>
      </c>
      <c r="Y18" s="750"/>
    </row>
    <row r="19" spans="2:25" x14ac:dyDescent="0.25">
      <c r="B19" s="181" t="s">
        <v>919</v>
      </c>
      <c r="C19" s="687" t="s">
        <v>911</v>
      </c>
      <c r="D19" s="182" t="s">
        <v>9</v>
      </c>
      <c r="E19" s="268">
        <v>250</v>
      </c>
      <c r="F19" s="758">
        <v>50</v>
      </c>
      <c r="G19" s="695" t="s">
        <v>912</v>
      </c>
      <c r="H19" s="695">
        <v>0.3</v>
      </c>
      <c r="I19" s="695">
        <v>0.25</v>
      </c>
      <c r="J19" s="695">
        <v>0.3</v>
      </c>
      <c r="K19" s="695">
        <v>0.3</v>
      </c>
      <c r="L19" s="694">
        <v>0.3</v>
      </c>
      <c r="M19" s="694">
        <v>0.6</v>
      </c>
      <c r="N19" s="694">
        <v>0.6</v>
      </c>
      <c r="O19" s="693">
        <v>8</v>
      </c>
      <c r="P19" s="180" t="s">
        <v>222</v>
      </c>
      <c r="R19" s="395">
        <v>65</v>
      </c>
      <c r="S19" s="339">
        <f t="shared" si="0"/>
        <v>69.999999900000006</v>
      </c>
      <c r="T19" s="702" t="s">
        <v>13</v>
      </c>
      <c r="U19" s="58" t="s">
        <v>203</v>
      </c>
      <c r="V19" s="169">
        <v>1.5939999999999999E-2</v>
      </c>
      <c r="W19" s="169">
        <v>1.209E-2</v>
      </c>
      <c r="X19" s="94">
        <v>0.02</v>
      </c>
      <c r="Y19" s="750"/>
    </row>
    <row r="20" spans="2:25" x14ac:dyDescent="0.25">
      <c r="B20" s="181" t="s">
        <v>920</v>
      </c>
      <c r="C20" s="687" t="s">
        <v>911</v>
      </c>
      <c r="D20" s="182" t="s">
        <v>9</v>
      </c>
      <c r="E20" s="268">
        <v>250</v>
      </c>
      <c r="F20" s="758">
        <v>25</v>
      </c>
      <c r="G20" s="695" t="s">
        <v>912</v>
      </c>
      <c r="H20" s="695">
        <v>0.3</v>
      </c>
      <c r="I20" s="695">
        <v>0.25</v>
      </c>
      <c r="J20" s="695">
        <v>0.3</v>
      </c>
      <c r="K20" s="695">
        <v>0.3</v>
      </c>
      <c r="L20" s="694">
        <v>0.3</v>
      </c>
      <c r="M20" s="694">
        <v>0.6</v>
      </c>
      <c r="N20" s="694">
        <v>0.6</v>
      </c>
      <c r="O20" s="693">
        <v>8</v>
      </c>
      <c r="P20" s="180" t="s">
        <v>222</v>
      </c>
      <c r="R20" s="395">
        <v>60</v>
      </c>
      <c r="S20" s="339">
        <f t="shared" si="0"/>
        <v>64.999999900000006</v>
      </c>
      <c r="T20" s="702" t="s">
        <v>5</v>
      </c>
      <c r="U20" s="58" t="s">
        <v>204</v>
      </c>
      <c r="V20" s="169"/>
      <c r="W20" s="169"/>
      <c r="X20" s="94">
        <v>0.04</v>
      </c>
      <c r="Y20" s="750"/>
    </row>
    <row r="21" spans="2:25" x14ac:dyDescent="0.25">
      <c r="B21" s="181" t="s">
        <v>921</v>
      </c>
      <c r="C21" s="687">
        <v>57</v>
      </c>
      <c r="D21" s="182" t="s">
        <v>14</v>
      </c>
      <c r="E21" s="268">
        <v>100</v>
      </c>
      <c r="F21" s="758">
        <v>20</v>
      </c>
      <c r="G21" s="695" t="s">
        <v>912</v>
      </c>
      <c r="H21" s="695">
        <v>0.3</v>
      </c>
      <c r="I21" s="695">
        <v>0.2</v>
      </c>
      <c r="J21" s="695">
        <v>0.25</v>
      </c>
      <c r="K21" s="695">
        <v>0.25</v>
      </c>
      <c r="L21" s="694">
        <v>0.25</v>
      </c>
      <c r="M21" s="694">
        <v>0.6</v>
      </c>
      <c r="N21" s="694">
        <v>0.6</v>
      </c>
      <c r="O21" s="693">
        <v>8</v>
      </c>
      <c r="P21" s="180" t="s">
        <v>223</v>
      </c>
      <c r="R21" s="395">
        <v>55</v>
      </c>
      <c r="S21" s="339">
        <f t="shared" si="0"/>
        <v>59.999999899999999</v>
      </c>
      <c r="T21" s="702" t="s">
        <v>0</v>
      </c>
      <c r="U21" s="58" t="s">
        <v>205</v>
      </c>
      <c r="V21" s="169"/>
      <c r="W21" s="169"/>
      <c r="X21" s="94">
        <v>0.08</v>
      </c>
      <c r="Y21" s="750"/>
    </row>
    <row r="22" spans="2:25" x14ac:dyDescent="0.25">
      <c r="B22" s="181" t="s">
        <v>924</v>
      </c>
      <c r="C22" s="687">
        <v>65.125</v>
      </c>
      <c r="D22" s="182" t="s">
        <v>5</v>
      </c>
      <c r="E22" s="268">
        <v>250</v>
      </c>
      <c r="F22" s="758">
        <v>75</v>
      </c>
      <c r="G22" s="695" t="s">
        <v>907</v>
      </c>
      <c r="H22" s="695">
        <v>0.3</v>
      </c>
      <c r="I22" s="695">
        <v>0.25</v>
      </c>
      <c r="J22" s="695">
        <v>0.4</v>
      </c>
      <c r="K22" s="695">
        <v>0.4</v>
      </c>
      <c r="L22" s="694">
        <v>0.4</v>
      </c>
      <c r="M22" s="694">
        <v>0.55000000000000004</v>
      </c>
      <c r="N22" s="694">
        <v>0.5</v>
      </c>
      <c r="O22" s="693">
        <v>-3</v>
      </c>
      <c r="P22" s="180" t="s">
        <v>223</v>
      </c>
      <c r="R22" s="395">
        <v>50</v>
      </c>
      <c r="S22" s="339">
        <f t="shared" si="0"/>
        <v>54.999999899999999</v>
      </c>
      <c r="T22" s="702" t="s">
        <v>14</v>
      </c>
      <c r="U22" s="58" t="s">
        <v>206</v>
      </c>
      <c r="V22" s="169">
        <v>8.9029999999999998E-2</v>
      </c>
      <c r="W22" s="169">
        <v>5.9020000000000003E-2</v>
      </c>
      <c r="X22" s="94">
        <v>0.14000000000000001</v>
      </c>
      <c r="Y22" s="750"/>
    </row>
    <row r="23" spans="2:25" x14ac:dyDescent="0.25">
      <c r="B23" s="181" t="s">
        <v>925</v>
      </c>
      <c r="C23" s="687">
        <v>61.5</v>
      </c>
      <c r="D23" s="182" t="s">
        <v>0</v>
      </c>
      <c r="E23" s="268">
        <v>100</v>
      </c>
      <c r="F23" s="758">
        <v>20</v>
      </c>
      <c r="G23" s="695" t="s">
        <v>912</v>
      </c>
      <c r="H23" s="695">
        <v>0.25</v>
      </c>
      <c r="I23" s="695">
        <v>0.2</v>
      </c>
      <c r="J23" s="695">
        <v>0.25</v>
      </c>
      <c r="K23" s="695">
        <v>0.25</v>
      </c>
      <c r="L23" s="694">
        <v>0.25</v>
      </c>
      <c r="M23" s="694">
        <v>0.55000000000000004</v>
      </c>
      <c r="N23" s="694">
        <v>0.5</v>
      </c>
      <c r="O23" s="693">
        <v>8</v>
      </c>
      <c r="P23" s="180" t="s">
        <v>223</v>
      </c>
      <c r="R23" s="395">
        <v>45</v>
      </c>
      <c r="S23" s="339">
        <f t="shared" si="0"/>
        <v>49.999999899999999</v>
      </c>
      <c r="T23" s="702" t="s">
        <v>22</v>
      </c>
      <c r="U23" s="58" t="s">
        <v>208</v>
      </c>
      <c r="V23" s="169"/>
      <c r="W23" s="169"/>
      <c r="X23" s="94">
        <v>0.2</v>
      </c>
      <c r="Y23" s="750"/>
    </row>
    <row r="24" spans="2:25" x14ac:dyDescent="0.25">
      <c r="B24" s="181" t="s">
        <v>622</v>
      </c>
      <c r="C24" s="687">
        <v>55.625</v>
      </c>
      <c r="D24" s="182" t="s">
        <v>0</v>
      </c>
      <c r="E24" s="268">
        <v>250</v>
      </c>
      <c r="F24" s="758">
        <v>75</v>
      </c>
      <c r="G24" s="695" t="s">
        <v>912</v>
      </c>
      <c r="H24" s="695">
        <v>0.3</v>
      </c>
      <c r="I24" s="695">
        <v>0.25</v>
      </c>
      <c r="J24" s="695">
        <v>0.6</v>
      </c>
      <c r="K24" s="695">
        <v>0.6</v>
      </c>
      <c r="L24" s="694">
        <v>0.6</v>
      </c>
      <c r="M24" s="694">
        <v>0.55000000000000004</v>
      </c>
      <c r="N24" s="694">
        <v>0.5</v>
      </c>
      <c r="O24" s="693">
        <v>7</v>
      </c>
      <c r="P24" s="180" t="s">
        <v>223</v>
      </c>
      <c r="R24" s="395">
        <v>30</v>
      </c>
      <c r="S24" s="339">
        <f t="shared" si="0"/>
        <v>44.999999899999999</v>
      </c>
      <c r="T24" s="702" t="s">
        <v>11</v>
      </c>
      <c r="U24" s="58" t="s">
        <v>209</v>
      </c>
      <c r="V24" s="169">
        <v>0.22051999999999999</v>
      </c>
      <c r="W24" s="169">
        <v>0.22525999999999999</v>
      </c>
      <c r="X24" s="94">
        <v>0.3</v>
      </c>
      <c r="Y24" s="750"/>
    </row>
    <row r="25" spans="2:25" x14ac:dyDescent="0.25">
      <c r="B25" s="181" t="s">
        <v>926</v>
      </c>
      <c r="C25" s="687">
        <v>50</v>
      </c>
      <c r="D25" s="182" t="s">
        <v>22</v>
      </c>
      <c r="E25" s="268">
        <v>100</v>
      </c>
      <c r="F25" s="758">
        <v>25</v>
      </c>
      <c r="G25" s="695" t="s">
        <v>912</v>
      </c>
      <c r="H25" s="695">
        <v>0.25</v>
      </c>
      <c r="I25" s="695">
        <v>0.2</v>
      </c>
      <c r="J25" s="695">
        <v>0.25</v>
      </c>
      <c r="K25" s="695">
        <v>0.25</v>
      </c>
      <c r="L25" s="694">
        <v>0.25</v>
      </c>
      <c r="M25" s="694">
        <v>0.75</v>
      </c>
      <c r="N25" s="694">
        <v>0.75</v>
      </c>
      <c r="O25" s="693">
        <v>8</v>
      </c>
      <c r="P25" s="180" t="s">
        <v>223</v>
      </c>
      <c r="R25" s="764">
        <v>0</v>
      </c>
      <c r="S25" s="340">
        <f t="shared" si="0"/>
        <v>29.999999899999999</v>
      </c>
      <c r="T25" s="321" t="s">
        <v>12</v>
      </c>
      <c r="U25" s="149" t="s">
        <v>210</v>
      </c>
      <c r="V25" s="171">
        <v>1</v>
      </c>
      <c r="W25" s="171">
        <v>1</v>
      </c>
      <c r="X25" s="172">
        <v>1</v>
      </c>
      <c r="Y25" s="750"/>
    </row>
    <row r="26" spans="2:25" x14ac:dyDescent="0.25">
      <c r="B26" s="181" t="s">
        <v>927</v>
      </c>
      <c r="C26" s="687">
        <v>50</v>
      </c>
      <c r="D26" s="182" t="s">
        <v>22</v>
      </c>
      <c r="E26" s="268">
        <v>100</v>
      </c>
      <c r="F26" s="758">
        <v>25</v>
      </c>
      <c r="G26" s="695" t="s">
        <v>912</v>
      </c>
      <c r="H26" s="695">
        <v>0.4</v>
      </c>
      <c r="I26" s="695">
        <v>0.25</v>
      </c>
      <c r="J26" s="695">
        <v>0.4</v>
      </c>
      <c r="K26" s="695">
        <v>0.4</v>
      </c>
      <c r="L26" s="694">
        <v>0.4</v>
      </c>
      <c r="M26" s="694">
        <v>0.75</v>
      </c>
      <c r="N26" s="694">
        <v>0.75</v>
      </c>
      <c r="O26" s="693">
        <v>-3</v>
      </c>
      <c r="P26" s="180" t="s">
        <v>223</v>
      </c>
      <c r="Y26" s="750"/>
    </row>
    <row r="27" spans="2:25" x14ac:dyDescent="0.25">
      <c r="B27" s="181" t="s">
        <v>928</v>
      </c>
      <c r="C27" s="687">
        <v>55</v>
      </c>
      <c r="D27" s="182" t="s">
        <v>14</v>
      </c>
      <c r="E27" s="268">
        <v>100</v>
      </c>
      <c r="F27" s="758">
        <v>25</v>
      </c>
      <c r="G27" s="695" t="s">
        <v>912</v>
      </c>
      <c r="H27" s="695">
        <v>0.25</v>
      </c>
      <c r="I27" s="695">
        <v>0.2</v>
      </c>
      <c r="J27" s="695">
        <v>0.25</v>
      </c>
      <c r="K27" s="695">
        <v>0.25</v>
      </c>
      <c r="L27" s="694">
        <v>0.25</v>
      </c>
      <c r="M27" s="694">
        <v>0.75</v>
      </c>
      <c r="N27" s="694">
        <v>0.75</v>
      </c>
      <c r="O27" s="693">
        <v>8</v>
      </c>
      <c r="P27" s="180" t="s">
        <v>223</v>
      </c>
      <c r="Y27" s="750"/>
    </row>
    <row r="28" spans="2:25" x14ac:dyDescent="0.25">
      <c r="B28" s="181" t="s">
        <v>623</v>
      </c>
      <c r="C28" s="687">
        <v>71.625</v>
      </c>
      <c r="D28" s="182" t="s">
        <v>13</v>
      </c>
      <c r="E28" s="268">
        <v>250</v>
      </c>
      <c r="F28" s="758">
        <v>100</v>
      </c>
      <c r="G28" s="695" t="s">
        <v>907</v>
      </c>
      <c r="H28" s="695">
        <v>0.3</v>
      </c>
      <c r="I28" s="695">
        <v>0.25</v>
      </c>
      <c r="J28" s="695">
        <v>0.4</v>
      </c>
      <c r="K28" s="695">
        <v>0.4</v>
      </c>
      <c r="L28" s="694">
        <v>0.4</v>
      </c>
      <c r="M28" s="694">
        <v>0.6</v>
      </c>
      <c r="N28" s="694">
        <v>0.6</v>
      </c>
      <c r="O28" s="693">
        <v>-3</v>
      </c>
      <c r="P28" s="180" t="s">
        <v>223</v>
      </c>
      <c r="Y28" s="750"/>
    </row>
    <row r="29" spans="2:25" x14ac:dyDescent="0.25">
      <c r="B29" s="181" t="s">
        <v>929</v>
      </c>
      <c r="C29" s="687">
        <v>70</v>
      </c>
      <c r="D29" s="182" t="s">
        <v>13</v>
      </c>
      <c r="E29" s="268">
        <v>250</v>
      </c>
      <c r="F29" s="758">
        <v>100</v>
      </c>
      <c r="G29" s="695" t="s">
        <v>912</v>
      </c>
      <c r="H29" s="695">
        <v>0.3</v>
      </c>
      <c r="I29" s="695">
        <v>0.2</v>
      </c>
      <c r="J29" s="695">
        <v>0.25</v>
      </c>
      <c r="K29" s="695">
        <v>0.25</v>
      </c>
      <c r="L29" s="694">
        <v>0.25</v>
      </c>
      <c r="M29" s="694">
        <v>0.6</v>
      </c>
      <c r="N29" s="694">
        <v>0.6</v>
      </c>
      <c r="O29" s="693">
        <v>5</v>
      </c>
      <c r="P29" s="180" t="s">
        <v>223</v>
      </c>
      <c r="T29" s="4"/>
      <c r="Y29" s="747"/>
    </row>
    <row r="30" spans="2:25" x14ac:dyDescent="0.25">
      <c r="B30" s="181" t="s">
        <v>930</v>
      </c>
      <c r="C30" s="687">
        <v>68.5</v>
      </c>
      <c r="D30" s="182" t="s">
        <v>5</v>
      </c>
      <c r="E30" s="268">
        <v>250</v>
      </c>
      <c r="F30" s="758">
        <v>100</v>
      </c>
      <c r="G30" s="695" t="s">
        <v>912</v>
      </c>
      <c r="H30" s="695">
        <v>0.3</v>
      </c>
      <c r="I30" s="695">
        <v>0.2</v>
      </c>
      <c r="J30" s="695">
        <v>0.25</v>
      </c>
      <c r="K30" s="695">
        <v>0.25</v>
      </c>
      <c r="L30" s="694">
        <v>0.25</v>
      </c>
      <c r="M30" s="694">
        <v>0.6</v>
      </c>
      <c r="N30" s="694">
        <v>0.6</v>
      </c>
      <c r="O30" s="693">
        <v>5</v>
      </c>
      <c r="P30" s="180" t="s">
        <v>223</v>
      </c>
      <c r="Y30" s="747"/>
    </row>
    <row r="31" spans="2:25" x14ac:dyDescent="0.25">
      <c r="B31" s="181" t="s">
        <v>931</v>
      </c>
      <c r="C31" s="687">
        <v>68.5</v>
      </c>
      <c r="D31" s="182" t="s">
        <v>5</v>
      </c>
      <c r="E31" s="268">
        <v>250</v>
      </c>
      <c r="F31" s="758">
        <v>100</v>
      </c>
      <c r="G31" s="695" t="s">
        <v>912</v>
      </c>
      <c r="H31" s="695">
        <v>0.3</v>
      </c>
      <c r="I31" s="695">
        <v>0.2</v>
      </c>
      <c r="J31" s="695">
        <v>0.25</v>
      </c>
      <c r="K31" s="695">
        <v>0.25</v>
      </c>
      <c r="L31" s="694">
        <v>0.25</v>
      </c>
      <c r="M31" s="694">
        <v>0.6</v>
      </c>
      <c r="N31" s="694">
        <v>0.6</v>
      </c>
      <c r="O31" s="693">
        <v>6</v>
      </c>
      <c r="P31" s="180" t="s">
        <v>223</v>
      </c>
      <c r="Y31" s="747"/>
    </row>
    <row r="32" spans="2:25" x14ac:dyDescent="0.25">
      <c r="B32" s="181" t="s">
        <v>838</v>
      </c>
      <c r="C32" s="687" t="s">
        <v>911</v>
      </c>
      <c r="D32" s="182" t="s">
        <v>19</v>
      </c>
      <c r="E32" s="268" t="e">
        <v>#N/A</v>
      </c>
      <c r="F32" s="758">
        <v>200</v>
      </c>
      <c r="G32" s="695" t="s">
        <v>936</v>
      </c>
      <c r="H32" s="695">
        <v>0.3</v>
      </c>
      <c r="I32" s="695">
        <v>0.2</v>
      </c>
      <c r="J32" s="695">
        <v>0.25</v>
      </c>
      <c r="K32" s="695">
        <v>0.25</v>
      </c>
      <c r="L32" s="694">
        <v>0.25</v>
      </c>
      <c r="M32" s="694">
        <v>0.6</v>
      </c>
      <c r="N32" s="694">
        <v>0.6</v>
      </c>
      <c r="O32" s="693">
        <v>6</v>
      </c>
      <c r="P32" s="180" t="s">
        <v>222</v>
      </c>
      <c r="Y32" s="747"/>
    </row>
    <row r="33" spans="2:25" x14ac:dyDescent="0.25">
      <c r="B33" s="181" t="s">
        <v>932</v>
      </c>
      <c r="C33" s="687">
        <v>69.25</v>
      </c>
      <c r="D33" s="182" t="s">
        <v>5</v>
      </c>
      <c r="E33" s="268">
        <v>100</v>
      </c>
      <c r="F33" s="758">
        <v>100</v>
      </c>
      <c r="G33" s="695" t="s">
        <v>907</v>
      </c>
      <c r="H33" s="695">
        <v>0.3</v>
      </c>
      <c r="I33" s="695">
        <v>0.25</v>
      </c>
      <c r="J33" s="695">
        <v>0.6</v>
      </c>
      <c r="K33" s="695">
        <v>0.6</v>
      </c>
      <c r="L33" s="694">
        <v>0.6</v>
      </c>
      <c r="M33" s="694">
        <v>0.55000000000000004</v>
      </c>
      <c r="N33" s="694">
        <v>0.5</v>
      </c>
      <c r="O33" s="693">
        <v>7</v>
      </c>
      <c r="P33" s="180" t="s">
        <v>223</v>
      </c>
      <c r="Y33" s="747"/>
    </row>
    <row r="34" spans="2:25" x14ac:dyDescent="0.25">
      <c r="B34" s="181" t="s">
        <v>933</v>
      </c>
      <c r="C34" s="687">
        <v>65.25</v>
      </c>
      <c r="D34" s="182" t="s">
        <v>5</v>
      </c>
      <c r="E34" s="268">
        <v>100</v>
      </c>
      <c r="F34" s="758">
        <v>50</v>
      </c>
      <c r="G34" s="695" t="s">
        <v>907</v>
      </c>
      <c r="H34" s="695">
        <v>0.3</v>
      </c>
      <c r="I34" s="695">
        <v>0.25</v>
      </c>
      <c r="J34" s="695">
        <v>0.6</v>
      </c>
      <c r="K34" s="695">
        <v>0.6</v>
      </c>
      <c r="L34" s="694">
        <v>0.6</v>
      </c>
      <c r="M34" s="694">
        <v>0.55000000000000004</v>
      </c>
      <c r="N34" s="694">
        <v>0.5</v>
      </c>
      <c r="O34" s="693">
        <v>7</v>
      </c>
      <c r="P34" s="180" t="s">
        <v>223</v>
      </c>
      <c r="Y34" s="747"/>
    </row>
    <row r="35" spans="2:25" x14ac:dyDescent="0.25">
      <c r="B35" s="181" t="s">
        <v>934</v>
      </c>
      <c r="C35" s="687">
        <v>64.5</v>
      </c>
      <c r="D35" s="182" t="s">
        <v>0</v>
      </c>
      <c r="E35" s="268">
        <v>100</v>
      </c>
      <c r="F35" s="758">
        <v>25</v>
      </c>
      <c r="G35" s="695" t="s">
        <v>907</v>
      </c>
      <c r="H35" s="695">
        <v>0.3</v>
      </c>
      <c r="I35" s="695">
        <v>0.25</v>
      </c>
      <c r="J35" s="695">
        <v>0.6</v>
      </c>
      <c r="K35" s="695">
        <v>0.6</v>
      </c>
      <c r="L35" s="694">
        <v>0.6</v>
      </c>
      <c r="M35" s="694">
        <v>0.55000000000000004</v>
      </c>
      <c r="N35" s="694">
        <v>0.5</v>
      </c>
      <c r="O35" s="693">
        <v>7</v>
      </c>
      <c r="P35" s="180" t="s">
        <v>223</v>
      </c>
      <c r="W35" s="4"/>
      <c r="Y35" s="747"/>
    </row>
    <row r="36" spans="2:25" x14ac:dyDescent="0.25">
      <c r="B36" s="181" t="s">
        <v>935</v>
      </c>
      <c r="C36" s="687">
        <v>65</v>
      </c>
      <c r="D36" s="182" t="s">
        <v>5</v>
      </c>
      <c r="E36" s="268">
        <v>100</v>
      </c>
      <c r="F36" s="758">
        <v>25</v>
      </c>
      <c r="G36" s="695" t="s">
        <v>907</v>
      </c>
      <c r="H36" s="695">
        <v>0.3</v>
      </c>
      <c r="I36" s="695">
        <v>0.25</v>
      </c>
      <c r="J36" s="695">
        <v>0.6</v>
      </c>
      <c r="K36" s="695">
        <v>0.6</v>
      </c>
      <c r="L36" s="694">
        <v>0.6</v>
      </c>
      <c r="M36" s="694">
        <v>0.55000000000000004</v>
      </c>
      <c r="N36" s="694">
        <v>0.5</v>
      </c>
      <c r="O36" s="693">
        <v>7</v>
      </c>
      <c r="P36" s="180" t="s">
        <v>223</v>
      </c>
      <c r="T36" s="4"/>
      <c r="Y36" s="747"/>
    </row>
    <row r="37" spans="2:25" x14ac:dyDescent="0.25">
      <c r="B37" s="181"/>
      <c r="C37" s="687"/>
      <c r="D37" s="182"/>
      <c r="E37" s="268"/>
      <c r="F37" s="695"/>
      <c r="G37" s="695"/>
      <c r="H37" s="695"/>
      <c r="I37" s="695"/>
      <c r="J37" s="695"/>
      <c r="K37" s="695"/>
      <c r="L37" s="694"/>
      <c r="M37" s="694"/>
      <c r="N37" s="694"/>
      <c r="O37" s="693"/>
      <c r="P37" s="180"/>
      <c r="Y37" s="747"/>
    </row>
    <row r="38" spans="2:25" x14ac:dyDescent="0.25">
      <c r="B38" s="181"/>
      <c r="C38" s="687"/>
      <c r="D38" s="182"/>
      <c r="E38" s="268"/>
      <c r="F38" s="695"/>
      <c r="G38" s="695"/>
      <c r="H38" s="695"/>
      <c r="I38" s="695"/>
      <c r="J38" s="695"/>
      <c r="K38" s="695"/>
      <c r="L38" s="694"/>
      <c r="M38" s="694"/>
      <c r="N38" s="694"/>
      <c r="O38" s="693"/>
      <c r="P38" s="180"/>
      <c r="Y38" s="747"/>
    </row>
    <row r="39" spans="2:25" x14ac:dyDescent="0.25">
      <c r="B39" s="181"/>
      <c r="C39" s="687"/>
      <c r="D39" s="182"/>
      <c r="E39" s="268"/>
      <c r="F39" s="695"/>
      <c r="G39" s="695"/>
      <c r="H39" s="695"/>
      <c r="I39" s="695"/>
      <c r="J39" s="695"/>
      <c r="K39" s="695"/>
      <c r="L39" s="694"/>
      <c r="M39" s="694"/>
      <c r="N39" s="694"/>
      <c r="O39" s="693"/>
      <c r="P39" s="180"/>
      <c r="Y39" s="747"/>
    </row>
    <row r="40" spans="2:25" x14ac:dyDescent="0.25">
      <c r="B40" s="181"/>
      <c r="C40" s="687"/>
      <c r="D40" s="182"/>
      <c r="E40" s="268"/>
      <c r="F40" s="695"/>
      <c r="G40" s="695"/>
      <c r="H40" s="695"/>
      <c r="I40" s="695"/>
      <c r="J40" s="695"/>
      <c r="K40" s="695"/>
      <c r="L40" s="694"/>
      <c r="M40" s="694"/>
      <c r="N40" s="694"/>
      <c r="O40" s="693"/>
      <c r="P40" s="180"/>
      <c r="Y40" s="747"/>
    </row>
    <row r="41" spans="2:25" x14ac:dyDescent="0.25">
      <c r="B41" s="181"/>
      <c r="C41" s="687"/>
      <c r="D41" s="182"/>
      <c r="E41" s="268"/>
      <c r="F41" s="695"/>
      <c r="G41" s="695"/>
      <c r="H41" s="695"/>
      <c r="I41" s="695"/>
      <c r="J41" s="695"/>
      <c r="K41" s="695"/>
      <c r="L41" s="694"/>
      <c r="M41" s="694"/>
      <c r="N41" s="694"/>
      <c r="O41" s="693"/>
      <c r="P41" s="180"/>
      <c r="Y41" s="747"/>
    </row>
    <row r="42" spans="2:25" x14ac:dyDescent="0.25">
      <c r="B42" s="181"/>
      <c r="C42" s="687"/>
      <c r="D42" s="182"/>
      <c r="E42" s="268"/>
      <c r="F42" s="695"/>
      <c r="G42" s="695"/>
      <c r="H42" s="695"/>
      <c r="I42" s="695"/>
      <c r="J42" s="695"/>
      <c r="K42" s="695"/>
      <c r="L42" s="694"/>
      <c r="M42" s="694"/>
      <c r="N42" s="694"/>
      <c r="O42" s="693"/>
      <c r="P42" s="180"/>
      <c r="Y42" s="747"/>
    </row>
    <row r="43" spans="2:25" x14ac:dyDescent="0.25">
      <c r="B43" s="181"/>
      <c r="C43" s="687"/>
      <c r="D43" s="182"/>
      <c r="E43" s="268"/>
      <c r="F43" s="695"/>
      <c r="G43" s="695"/>
      <c r="H43" s="695"/>
      <c r="I43" s="695"/>
      <c r="J43" s="695"/>
      <c r="K43" s="695"/>
      <c r="L43" s="694"/>
      <c r="M43" s="694"/>
      <c r="N43" s="694"/>
      <c r="O43" s="693"/>
      <c r="P43" s="180"/>
      <c r="Y43" s="747"/>
    </row>
    <row r="44" spans="2:25" x14ac:dyDescent="0.25">
      <c r="B44" s="181"/>
      <c r="C44" s="687"/>
      <c r="D44" s="182"/>
      <c r="E44" s="268"/>
      <c r="F44" s="695"/>
      <c r="G44" s="695"/>
      <c r="H44" s="695"/>
      <c r="I44" s="695"/>
      <c r="J44" s="695"/>
      <c r="K44" s="695"/>
      <c r="L44" s="694"/>
      <c r="M44" s="694"/>
      <c r="N44" s="694"/>
      <c r="O44" s="693"/>
      <c r="P44" s="180"/>
      <c r="Y44" s="747"/>
    </row>
    <row r="45" spans="2:25" x14ac:dyDescent="0.25">
      <c r="B45" s="181"/>
      <c r="C45" s="687"/>
      <c r="D45" s="182"/>
      <c r="E45" s="268"/>
      <c r="F45" s="695"/>
      <c r="G45" s="695"/>
      <c r="H45" s="695"/>
      <c r="I45" s="695"/>
      <c r="J45" s="695"/>
      <c r="K45" s="695"/>
      <c r="L45" s="694"/>
      <c r="M45" s="694"/>
      <c r="N45" s="694"/>
      <c r="O45" s="693"/>
      <c r="P45" s="180"/>
      <c r="Y45" s="747"/>
    </row>
    <row r="46" spans="2:25" x14ac:dyDescent="0.25">
      <c r="B46" s="181"/>
      <c r="C46" s="687"/>
      <c r="D46" s="182"/>
      <c r="E46" s="268"/>
      <c r="F46" s="695"/>
      <c r="G46" s="695"/>
      <c r="H46" s="695"/>
      <c r="I46" s="695"/>
      <c r="J46" s="695"/>
      <c r="K46" s="695"/>
      <c r="L46" s="694"/>
      <c r="M46" s="694"/>
      <c r="N46" s="694"/>
      <c r="O46" s="693"/>
      <c r="P46" s="180"/>
      <c r="Y46" s="747"/>
    </row>
    <row r="47" spans="2:25" x14ac:dyDescent="0.25">
      <c r="B47" s="181"/>
      <c r="C47" s="687"/>
      <c r="D47" s="182"/>
      <c r="E47" s="268"/>
      <c r="F47" s="695"/>
      <c r="G47" s="695"/>
      <c r="H47" s="695"/>
      <c r="I47" s="695"/>
      <c r="J47" s="695"/>
      <c r="K47" s="695"/>
      <c r="L47" s="694"/>
      <c r="M47" s="694"/>
      <c r="N47" s="694"/>
      <c r="O47" s="693"/>
      <c r="P47" s="180"/>
      <c r="Y47" s="747"/>
    </row>
    <row r="48" spans="2:25" x14ac:dyDescent="0.25">
      <c r="B48" s="181"/>
      <c r="C48" s="687"/>
      <c r="D48" s="182"/>
      <c r="E48" s="268"/>
      <c r="F48" s="695"/>
      <c r="G48" s="695"/>
      <c r="H48" s="695"/>
      <c r="I48" s="695"/>
      <c r="J48" s="695"/>
      <c r="K48" s="695"/>
      <c r="L48" s="694"/>
      <c r="M48" s="694"/>
      <c r="N48" s="694"/>
      <c r="O48" s="693"/>
      <c r="P48" s="180"/>
      <c r="Y48" s="747"/>
    </row>
    <row r="49" spans="2:25" x14ac:dyDescent="0.25">
      <c r="B49" s="181"/>
      <c r="C49" s="687"/>
      <c r="D49" s="182"/>
      <c r="E49" s="268"/>
      <c r="F49" s="695"/>
      <c r="G49" s="695"/>
      <c r="H49" s="695"/>
      <c r="I49" s="695"/>
      <c r="J49" s="695"/>
      <c r="K49" s="695"/>
      <c r="L49" s="694"/>
      <c r="M49" s="694"/>
      <c r="N49" s="694"/>
      <c r="O49" s="693"/>
      <c r="P49" s="180"/>
      <c r="Y49" s="747"/>
    </row>
    <row r="50" spans="2:25" x14ac:dyDescent="0.25">
      <c r="B50" s="181"/>
      <c r="C50" s="687"/>
      <c r="D50" s="182"/>
      <c r="E50" s="268"/>
      <c r="F50" s="695"/>
      <c r="G50" s="695"/>
      <c r="H50" s="695"/>
      <c r="I50" s="695"/>
      <c r="J50" s="695"/>
      <c r="K50" s="695"/>
      <c r="L50" s="694"/>
      <c r="M50" s="694"/>
      <c r="N50" s="694"/>
      <c r="O50" s="693"/>
      <c r="P50" s="180"/>
      <c r="Y50" s="747"/>
    </row>
    <row r="51" spans="2:25" x14ac:dyDescent="0.25">
      <c r="B51" s="181"/>
      <c r="C51" s="687"/>
      <c r="D51" s="182"/>
      <c r="E51" s="268"/>
      <c r="F51" s="695"/>
      <c r="G51" s="695"/>
      <c r="H51" s="695"/>
      <c r="I51" s="695"/>
      <c r="J51" s="695"/>
      <c r="K51" s="695"/>
      <c r="L51" s="694"/>
      <c r="M51" s="694"/>
      <c r="N51" s="694"/>
      <c r="O51" s="693"/>
      <c r="P51" s="180"/>
      <c r="Y51" s="747"/>
    </row>
    <row r="52" spans="2:25" x14ac:dyDescent="0.25">
      <c r="B52" s="181"/>
      <c r="C52" s="687"/>
      <c r="D52" s="182"/>
      <c r="E52" s="268"/>
      <c r="F52" s="695"/>
      <c r="G52" s="695"/>
      <c r="H52" s="695"/>
      <c r="I52" s="695"/>
      <c r="J52" s="695"/>
      <c r="K52" s="695"/>
      <c r="L52" s="694"/>
      <c r="M52" s="694"/>
      <c r="N52" s="694"/>
      <c r="O52" s="693"/>
      <c r="P52" s="180"/>
      <c r="Y52" s="747"/>
    </row>
    <row r="53" spans="2:25" x14ac:dyDescent="0.25">
      <c r="B53" s="181"/>
      <c r="C53" s="687"/>
      <c r="D53" s="182"/>
      <c r="E53" s="268"/>
      <c r="F53" s="695"/>
      <c r="G53" s="695"/>
      <c r="H53" s="695"/>
      <c r="I53" s="695"/>
      <c r="J53" s="695"/>
      <c r="K53" s="695"/>
      <c r="L53" s="694"/>
      <c r="M53" s="694"/>
      <c r="N53" s="694"/>
      <c r="O53" s="693"/>
      <c r="P53" s="180"/>
      <c r="Y53" s="747"/>
    </row>
    <row r="54" spans="2:25" x14ac:dyDescent="0.25">
      <c r="B54" s="181"/>
      <c r="C54" s="687"/>
      <c r="D54" s="182"/>
      <c r="E54" s="268"/>
      <c r="F54" s="695"/>
      <c r="G54" s="695"/>
      <c r="H54" s="695"/>
      <c r="I54" s="695"/>
      <c r="J54" s="695"/>
      <c r="K54" s="695"/>
      <c r="L54" s="694"/>
      <c r="M54" s="694"/>
      <c r="N54" s="694"/>
      <c r="O54" s="693"/>
      <c r="P54" s="180"/>
      <c r="Y54" s="747"/>
    </row>
    <row r="55" spans="2:25" x14ac:dyDescent="0.25">
      <c r="B55" s="181"/>
      <c r="C55" s="687"/>
      <c r="D55" s="182"/>
      <c r="E55" s="268"/>
      <c r="F55" s="695"/>
      <c r="G55" s="695"/>
      <c r="H55" s="695"/>
      <c r="I55" s="695"/>
      <c r="J55" s="695"/>
      <c r="K55" s="695"/>
      <c r="L55" s="694"/>
      <c r="M55" s="694"/>
      <c r="N55" s="694"/>
      <c r="O55" s="693"/>
      <c r="P55" s="180"/>
      <c r="Y55" s="747"/>
    </row>
    <row r="56" spans="2:25" x14ac:dyDescent="0.25">
      <c r="B56" s="181"/>
      <c r="C56" s="687"/>
      <c r="D56" s="182"/>
      <c r="E56" s="268"/>
      <c r="F56" s="695"/>
      <c r="G56" s="695"/>
      <c r="H56" s="695"/>
      <c r="I56" s="695"/>
      <c r="J56" s="695"/>
      <c r="K56" s="695"/>
      <c r="L56" s="694"/>
      <c r="M56" s="694"/>
      <c r="N56" s="694"/>
      <c r="O56" s="693"/>
      <c r="P56" s="180"/>
      <c r="Y56" s="747"/>
    </row>
    <row r="57" spans="2:25" x14ac:dyDescent="0.25">
      <c r="B57" s="181"/>
      <c r="C57" s="687"/>
      <c r="D57" s="182"/>
      <c r="E57" s="268"/>
      <c r="F57" s="695"/>
      <c r="G57" s="695"/>
      <c r="H57" s="695"/>
      <c r="I57" s="695"/>
      <c r="J57" s="695"/>
      <c r="K57" s="695"/>
      <c r="L57" s="694"/>
      <c r="M57" s="694"/>
      <c r="N57" s="694"/>
      <c r="O57" s="693"/>
      <c r="P57" s="180"/>
      <c r="Y57" s="747"/>
    </row>
    <row r="58" spans="2:25" x14ac:dyDescent="0.25">
      <c r="B58" s="181"/>
      <c r="C58" s="687"/>
      <c r="D58" s="182"/>
      <c r="E58" s="268"/>
      <c r="F58" s="695"/>
      <c r="G58" s="695"/>
      <c r="H58" s="695"/>
      <c r="I58" s="695"/>
      <c r="J58" s="695"/>
      <c r="K58" s="695"/>
      <c r="L58" s="694"/>
      <c r="M58" s="694"/>
      <c r="N58" s="694"/>
      <c r="O58" s="693"/>
      <c r="P58" s="180"/>
      <c r="Y58" s="747"/>
    </row>
    <row r="59" spans="2:25" x14ac:dyDescent="0.25">
      <c r="B59" s="181"/>
      <c r="C59" s="687"/>
      <c r="D59" s="182"/>
      <c r="E59" s="268"/>
      <c r="F59" s="695"/>
      <c r="G59" s="695"/>
      <c r="H59" s="695"/>
      <c r="I59" s="695"/>
      <c r="J59" s="695"/>
      <c r="K59" s="695"/>
      <c r="L59" s="694"/>
      <c r="M59" s="694"/>
      <c r="N59" s="694"/>
      <c r="O59" s="693"/>
      <c r="P59" s="180"/>
      <c r="Y59" s="747"/>
    </row>
    <row r="60" spans="2:25" x14ac:dyDescent="0.25">
      <c r="B60" s="181"/>
      <c r="C60" s="687"/>
      <c r="D60" s="182"/>
      <c r="E60" s="268"/>
      <c r="F60" s="695"/>
      <c r="G60" s="695"/>
      <c r="H60" s="695"/>
      <c r="I60" s="695"/>
      <c r="J60" s="695"/>
      <c r="K60" s="695"/>
      <c r="L60" s="694"/>
      <c r="M60" s="694"/>
      <c r="N60" s="694"/>
      <c r="O60" s="693"/>
      <c r="P60" s="180"/>
      <c r="Y60" s="747"/>
    </row>
    <row r="61" spans="2:25" x14ac:dyDescent="0.25">
      <c r="B61" s="181"/>
      <c r="C61" s="687"/>
      <c r="D61" s="182"/>
      <c r="E61" s="268"/>
      <c r="F61" s="695"/>
      <c r="G61" s="695"/>
      <c r="H61" s="695"/>
      <c r="I61" s="695"/>
      <c r="J61" s="695"/>
      <c r="K61" s="695"/>
      <c r="L61" s="694"/>
      <c r="M61" s="694"/>
      <c r="N61" s="694"/>
      <c r="O61" s="693"/>
      <c r="P61" s="180"/>
      <c r="Y61" s="747"/>
    </row>
    <row r="62" spans="2:25" x14ac:dyDescent="0.25">
      <c r="B62" s="181"/>
      <c r="C62" s="687"/>
      <c r="D62" s="182"/>
      <c r="E62" s="268"/>
      <c r="F62" s="695"/>
      <c r="G62" s="695"/>
      <c r="H62" s="695"/>
      <c r="I62" s="695"/>
      <c r="J62" s="695"/>
      <c r="K62" s="695"/>
      <c r="L62" s="694"/>
      <c r="M62" s="694"/>
      <c r="N62" s="694"/>
      <c r="O62" s="693"/>
      <c r="P62" s="180"/>
      <c r="Y62" s="747"/>
    </row>
    <row r="63" spans="2:25" x14ac:dyDescent="0.25">
      <c r="B63" s="181"/>
      <c r="C63" s="687"/>
      <c r="D63" s="182"/>
      <c r="E63" s="268"/>
      <c r="F63" s="695"/>
      <c r="G63" s="695"/>
      <c r="H63" s="695"/>
      <c r="I63" s="695"/>
      <c r="J63" s="695"/>
      <c r="K63" s="695"/>
      <c r="L63" s="694"/>
      <c r="M63" s="694"/>
      <c r="N63" s="694"/>
      <c r="O63" s="693"/>
      <c r="P63" s="180"/>
      <c r="Y63" s="747"/>
    </row>
    <row r="64" spans="2:25" x14ac:dyDescent="0.25">
      <c r="B64" s="181"/>
      <c r="C64" s="687"/>
      <c r="D64" s="182"/>
      <c r="E64" s="268"/>
      <c r="F64" s="695"/>
      <c r="G64" s="695"/>
      <c r="H64" s="695"/>
      <c r="I64" s="695"/>
      <c r="J64" s="695"/>
      <c r="K64" s="695"/>
      <c r="L64" s="694"/>
      <c r="M64" s="694"/>
      <c r="N64" s="694"/>
      <c r="O64" s="693"/>
      <c r="P64" s="180"/>
      <c r="Y64" s="747"/>
    </row>
    <row r="65" spans="2:25" x14ac:dyDescent="0.25">
      <c r="B65" s="181"/>
      <c r="C65" s="687"/>
      <c r="D65" s="182"/>
      <c r="E65" s="268"/>
      <c r="F65" s="695"/>
      <c r="G65" s="695"/>
      <c r="H65" s="695"/>
      <c r="I65" s="695"/>
      <c r="J65" s="695"/>
      <c r="K65" s="695"/>
      <c r="L65" s="694"/>
      <c r="M65" s="694"/>
      <c r="N65" s="694"/>
      <c r="O65" s="693"/>
      <c r="P65" s="180"/>
      <c r="Y65" s="747"/>
    </row>
    <row r="66" spans="2:25" x14ac:dyDescent="0.25">
      <c r="B66" s="181"/>
      <c r="C66" s="687"/>
      <c r="D66" s="182"/>
      <c r="E66" s="268"/>
      <c r="F66" s="695"/>
      <c r="G66" s="695"/>
      <c r="H66" s="695"/>
      <c r="I66" s="695"/>
      <c r="J66" s="695"/>
      <c r="K66" s="695"/>
      <c r="L66" s="694"/>
      <c r="M66" s="694"/>
      <c r="N66" s="694"/>
      <c r="O66" s="693"/>
      <c r="P66" s="180"/>
      <c r="Y66" s="747"/>
    </row>
    <row r="67" spans="2:25" x14ac:dyDescent="0.25">
      <c r="B67" s="181"/>
      <c r="C67" s="687"/>
      <c r="D67" s="182"/>
      <c r="E67" s="268"/>
      <c r="F67" s="695"/>
      <c r="G67" s="695"/>
      <c r="H67" s="695"/>
      <c r="I67" s="695"/>
      <c r="J67" s="695"/>
      <c r="K67" s="695"/>
      <c r="L67" s="694"/>
      <c r="M67" s="694"/>
      <c r="N67" s="694"/>
      <c r="O67" s="693"/>
      <c r="P67" s="180"/>
    </row>
    <row r="68" spans="2:25" x14ac:dyDescent="0.25">
      <c r="B68" s="181"/>
      <c r="C68" s="687"/>
      <c r="D68" s="182"/>
      <c r="E68" s="268"/>
      <c r="F68" s="695"/>
      <c r="G68" s="695"/>
      <c r="H68" s="695"/>
      <c r="I68" s="695"/>
      <c r="J68" s="695"/>
      <c r="K68" s="695"/>
      <c r="L68" s="694"/>
      <c r="M68" s="694"/>
      <c r="N68" s="694"/>
      <c r="O68" s="693"/>
      <c r="P68" s="180"/>
    </row>
    <row r="69" spans="2:25" x14ac:dyDescent="0.25">
      <c r="B69" s="181"/>
      <c r="C69" s="687"/>
      <c r="D69" s="182"/>
      <c r="E69" s="268"/>
      <c r="F69" s="695"/>
      <c r="G69" s="695"/>
      <c r="H69" s="695"/>
      <c r="I69" s="695"/>
      <c r="J69" s="695"/>
      <c r="K69" s="695"/>
      <c r="L69" s="694"/>
      <c r="M69" s="694"/>
      <c r="N69" s="694"/>
      <c r="O69" s="693"/>
      <c r="P69" s="180"/>
    </row>
    <row r="70" spans="2:25" x14ac:dyDescent="0.25">
      <c r="B70" s="181"/>
      <c r="C70" s="687"/>
      <c r="D70" s="182"/>
      <c r="E70" s="268"/>
      <c r="F70" s="695"/>
      <c r="G70" s="695"/>
      <c r="H70" s="695"/>
      <c r="I70" s="695"/>
      <c r="J70" s="695"/>
      <c r="K70" s="695"/>
      <c r="L70" s="694"/>
      <c r="M70" s="694"/>
      <c r="N70" s="694"/>
      <c r="O70" s="693"/>
      <c r="P70" s="180"/>
    </row>
    <row r="71" spans="2:25" x14ac:dyDescent="0.25">
      <c r="B71" s="181"/>
      <c r="C71" s="687"/>
      <c r="D71" s="182"/>
      <c r="E71" s="268"/>
      <c r="F71" s="695"/>
      <c r="G71" s="695"/>
      <c r="H71" s="695"/>
      <c r="I71" s="695"/>
      <c r="J71" s="695"/>
      <c r="K71" s="695"/>
      <c r="L71" s="694"/>
      <c r="M71" s="694"/>
      <c r="N71" s="694"/>
      <c r="O71" s="693"/>
      <c r="P71" s="180"/>
    </row>
    <row r="72" spans="2:25" x14ac:dyDescent="0.25">
      <c r="B72" s="181"/>
      <c r="C72" s="687"/>
      <c r="D72" s="182"/>
      <c r="E72" s="268"/>
      <c r="F72" s="695"/>
      <c r="G72" s="695"/>
      <c r="H72" s="695"/>
      <c r="I72" s="695"/>
      <c r="J72" s="695"/>
      <c r="K72" s="695"/>
      <c r="L72" s="694"/>
      <c r="M72" s="694"/>
      <c r="N72" s="694"/>
      <c r="O72" s="693"/>
      <c r="P72" s="180"/>
    </row>
    <row r="73" spans="2:25" x14ac:dyDescent="0.25">
      <c r="B73" s="181"/>
      <c r="C73" s="687"/>
      <c r="D73" s="182"/>
      <c r="E73" s="268"/>
      <c r="F73" s="695"/>
      <c r="G73" s="695"/>
      <c r="H73" s="695"/>
      <c r="I73" s="695"/>
      <c r="J73" s="695"/>
      <c r="K73" s="695"/>
      <c r="L73" s="694"/>
      <c r="M73" s="694"/>
      <c r="N73" s="694"/>
      <c r="O73" s="693"/>
      <c r="P73" s="180"/>
    </row>
    <row r="74" spans="2:25" x14ac:dyDescent="0.25">
      <c r="B74" s="181"/>
      <c r="C74" s="687"/>
      <c r="D74" s="182"/>
      <c r="E74" s="268"/>
      <c r="F74" s="695"/>
      <c r="G74" s="695"/>
      <c r="H74" s="695"/>
      <c r="I74" s="695"/>
      <c r="J74" s="695"/>
      <c r="K74" s="695"/>
      <c r="L74" s="694"/>
      <c r="M74" s="694"/>
      <c r="N74" s="694"/>
      <c r="O74" s="693"/>
      <c r="P74" s="180"/>
    </row>
    <row r="75" spans="2:25" x14ac:dyDescent="0.25">
      <c r="B75" s="181"/>
      <c r="C75" s="687"/>
      <c r="D75" s="182"/>
      <c r="E75" s="268"/>
      <c r="F75" s="695"/>
      <c r="G75" s="695"/>
      <c r="H75" s="695"/>
      <c r="I75" s="695"/>
      <c r="J75" s="695"/>
      <c r="K75" s="695"/>
      <c r="L75" s="694"/>
      <c r="M75" s="694"/>
      <c r="N75" s="694"/>
      <c r="O75" s="693"/>
      <c r="P75" s="180"/>
    </row>
    <row r="76" spans="2:25" x14ac:dyDescent="0.25">
      <c r="B76" s="181"/>
      <c r="C76" s="687"/>
      <c r="D76" s="182"/>
      <c r="E76" s="268"/>
      <c r="F76" s="695"/>
      <c r="G76" s="695"/>
      <c r="H76" s="695"/>
      <c r="I76" s="695"/>
      <c r="J76" s="695"/>
      <c r="K76" s="695"/>
      <c r="L76" s="694"/>
      <c r="M76" s="694"/>
      <c r="N76" s="694"/>
      <c r="O76" s="693"/>
      <c r="P76" s="180"/>
    </row>
    <row r="77" spans="2:25" x14ac:dyDescent="0.25">
      <c r="B77" s="181"/>
      <c r="C77" s="687"/>
      <c r="D77" s="182"/>
      <c r="E77" s="268"/>
      <c r="F77" s="695"/>
      <c r="G77" s="695"/>
      <c r="H77" s="695"/>
      <c r="I77" s="695"/>
      <c r="J77" s="695"/>
      <c r="K77" s="695"/>
      <c r="L77" s="694"/>
      <c r="M77" s="694"/>
      <c r="N77" s="694"/>
      <c r="O77" s="693"/>
      <c r="P77" s="180"/>
    </row>
    <row r="78" spans="2:25" x14ac:dyDescent="0.25">
      <c r="B78" s="181"/>
      <c r="C78" s="687"/>
      <c r="D78" s="182"/>
      <c r="E78" s="268"/>
      <c r="F78" s="695"/>
      <c r="G78" s="695"/>
      <c r="H78" s="695"/>
      <c r="I78" s="695"/>
      <c r="J78" s="695"/>
      <c r="K78" s="695"/>
      <c r="L78" s="694"/>
      <c r="M78" s="694"/>
      <c r="N78" s="694"/>
      <c r="O78" s="693"/>
      <c r="P78" s="180"/>
    </row>
    <row r="79" spans="2:25" x14ac:dyDescent="0.25">
      <c r="B79" s="181"/>
      <c r="C79" s="687"/>
      <c r="D79" s="182"/>
      <c r="E79" s="268"/>
      <c r="F79" s="695"/>
      <c r="G79" s="695"/>
      <c r="H79" s="695"/>
      <c r="I79" s="695"/>
      <c r="J79" s="695"/>
      <c r="K79" s="695"/>
      <c r="L79" s="694"/>
      <c r="M79" s="694"/>
      <c r="N79" s="694"/>
      <c r="O79" s="693"/>
      <c r="P79" s="180"/>
    </row>
    <row r="80" spans="2:25" x14ac:dyDescent="0.25">
      <c r="B80" s="181"/>
      <c r="C80" s="687"/>
      <c r="D80" s="182"/>
      <c r="E80" s="268"/>
      <c r="F80" s="695"/>
      <c r="G80" s="695"/>
      <c r="H80" s="695"/>
      <c r="I80" s="695"/>
      <c r="J80" s="695"/>
      <c r="K80" s="695"/>
      <c r="L80" s="694"/>
      <c r="M80" s="694"/>
      <c r="N80" s="694"/>
      <c r="O80" s="693"/>
      <c r="P80" s="180"/>
    </row>
    <row r="81" spans="2:16" x14ac:dyDescent="0.25">
      <c r="B81" s="181"/>
      <c r="C81" s="687"/>
      <c r="D81" s="182"/>
      <c r="E81" s="268"/>
      <c r="F81" s="695"/>
      <c r="G81" s="695"/>
      <c r="H81" s="695"/>
      <c r="I81" s="695"/>
      <c r="J81" s="695"/>
      <c r="K81" s="695"/>
      <c r="L81" s="694"/>
      <c r="M81" s="694"/>
      <c r="N81" s="694"/>
      <c r="O81" s="693"/>
      <c r="P81" s="180"/>
    </row>
    <row r="82" spans="2:16" x14ac:dyDescent="0.25">
      <c r="B82" s="181"/>
      <c r="C82" s="687"/>
      <c r="D82" s="182"/>
      <c r="E82" s="268"/>
      <c r="F82" s="695"/>
      <c r="G82" s="695"/>
      <c r="H82" s="695"/>
      <c r="I82" s="695"/>
      <c r="J82" s="695"/>
      <c r="K82" s="695"/>
      <c r="L82" s="694"/>
      <c r="M82" s="694"/>
      <c r="N82" s="694"/>
      <c r="O82" s="693"/>
      <c r="P82" s="180"/>
    </row>
  </sheetData>
  <mergeCells count="4">
    <mergeCell ref="B5:P5"/>
    <mergeCell ref="AA5:AB5"/>
    <mergeCell ref="R5:X5"/>
    <mergeCell ref="R6:S6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U2640"/>
  <sheetViews>
    <sheetView topLeftCell="A2" workbookViewId="0">
      <selection activeCell="A2" sqref="A2:O2019"/>
    </sheetView>
  </sheetViews>
  <sheetFormatPr defaultColWidth="9.140625" defaultRowHeight="15" x14ac:dyDescent="0.25"/>
  <cols>
    <col min="1" max="1" width="8.42578125" style="2" bestFit="1" customWidth="1"/>
    <col min="2" max="2" width="12.85546875" style="2" bestFit="1" customWidth="1"/>
    <col min="3" max="3" width="9.140625" style="2"/>
    <col min="4" max="4" width="35.5703125" style="2" bestFit="1" customWidth="1"/>
    <col min="5" max="5" width="11.42578125" style="2" bestFit="1" customWidth="1"/>
    <col min="6" max="6" width="21.85546875" style="2" customWidth="1"/>
    <col min="7" max="7" width="22.42578125" style="2" bestFit="1" customWidth="1"/>
    <col min="8" max="8" width="19.42578125" style="2" customWidth="1"/>
    <col min="9" max="9" width="13.140625" style="2" bestFit="1" customWidth="1"/>
    <col min="10" max="11" width="10.140625" style="2" bestFit="1" customWidth="1"/>
    <col min="12" max="14" width="9.140625" style="2"/>
    <col min="15" max="15" width="15.42578125" style="2" customWidth="1"/>
    <col min="16" max="16384" width="9.140625" style="2"/>
  </cols>
  <sheetData>
    <row r="1" spans="1:21" ht="51.75" customHeight="1" x14ac:dyDescent="0.25"/>
    <row r="2" spans="1:21" ht="18.75" x14ac:dyDescent="0.25">
      <c r="A2" s="118" t="s">
        <v>614</v>
      </c>
      <c r="B2" s="765"/>
      <c r="C2" s="765"/>
      <c r="D2" s="765"/>
      <c r="E2" s="1059" t="s">
        <v>318</v>
      </c>
      <c r="F2" s="681">
        <v>44650.692040972222</v>
      </c>
      <c r="G2" s="765"/>
      <c r="H2" s="765"/>
      <c r="I2" s="765"/>
      <c r="J2" s="765"/>
      <c r="K2" s="765"/>
      <c r="L2" s="765"/>
      <c r="M2" s="765"/>
      <c r="N2" s="765"/>
      <c r="O2" s="765"/>
    </row>
    <row r="3" spans="1:21" x14ac:dyDescent="0.25">
      <c r="A3" s="765"/>
      <c r="B3" s="765"/>
      <c r="C3" s="765"/>
      <c r="D3" s="765"/>
      <c r="E3" s="765"/>
      <c r="F3" s="765"/>
      <c r="G3" s="765"/>
      <c r="H3" s="765"/>
      <c r="I3" s="765"/>
      <c r="J3" s="765"/>
      <c r="K3" s="765"/>
      <c r="L3" s="765"/>
      <c r="M3" s="765"/>
      <c r="N3" s="765"/>
      <c r="O3" s="765"/>
    </row>
    <row r="4" spans="1:21" x14ac:dyDescent="0.25">
      <c r="A4" s="187"/>
      <c r="B4" s="765"/>
      <c r="C4" s="765"/>
      <c r="D4" s="765"/>
      <c r="E4" s="765"/>
      <c r="F4" s="765"/>
      <c r="G4" s="765"/>
      <c r="H4" s="765"/>
      <c r="I4" s="765"/>
      <c r="J4" s="765"/>
      <c r="K4" s="765"/>
      <c r="L4" s="765"/>
      <c r="M4" s="765"/>
      <c r="N4" s="765"/>
      <c r="O4" s="765"/>
    </row>
    <row r="5" spans="1:21" x14ac:dyDescent="0.25">
      <c r="A5" s="187"/>
      <c r="B5" s="612" t="s">
        <v>835</v>
      </c>
      <c r="C5" s="613">
        <v>7</v>
      </c>
      <c r="D5" s="613" t="s">
        <v>835</v>
      </c>
      <c r="E5" s="613"/>
      <c r="F5" s="613"/>
      <c r="G5" s="613"/>
      <c r="H5" s="613"/>
      <c r="I5" s="613"/>
      <c r="J5" s="613"/>
      <c r="K5" s="613"/>
      <c r="L5" s="613"/>
      <c r="M5" s="613"/>
      <c r="N5" s="613"/>
      <c r="O5" s="613"/>
      <c r="P5" s="613"/>
      <c r="Q5" s="613"/>
      <c r="R5" s="613"/>
      <c r="S5" s="613"/>
      <c r="T5" s="613"/>
      <c r="U5" s="614"/>
    </row>
    <row r="6" spans="1:21" x14ac:dyDescent="0.25">
      <c r="A6" s="187"/>
      <c r="B6" s="615"/>
      <c r="C6" s="1060"/>
      <c r="D6" s="1060" t="s">
        <v>1943</v>
      </c>
      <c r="E6" s="1060">
        <v>14</v>
      </c>
      <c r="F6" s="1060"/>
      <c r="G6" s="1060"/>
      <c r="H6" s="1060"/>
      <c r="I6" s="1060"/>
      <c r="J6" s="1060"/>
      <c r="K6" s="1060"/>
      <c r="L6" s="1060"/>
      <c r="M6" s="1060"/>
      <c r="N6" s="1060"/>
      <c r="O6" s="1060"/>
      <c r="P6" s="616"/>
      <c r="Q6" s="616"/>
      <c r="R6" s="616"/>
      <c r="S6" s="616"/>
      <c r="T6" s="616"/>
      <c r="U6" s="617"/>
    </row>
    <row r="7" spans="1:21" x14ac:dyDescent="0.25">
      <c r="A7" s="187"/>
      <c r="B7" s="618"/>
      <c r="C7" s="1060"/>
      <c r="D7" s="1060" t="s">
        <v>4902</v>
      </c>
      <c r="E7" s="1060">
        <v>3</v>
      </c>
      <c r="F7" s="1096"/>
      <c r="G7" s="1060"/>
      <c r="H7" s="1060"/>
      <c r="I7" s="1060"/>
      <c r="J7" s="1060"/>
      <c r="K7" s="1060"/>
      <c r="L7" s="1060"/>
      <c r="M7" s="1060"/>
      <c r="N7" s="1060"/>
      <c r="O7" s="1060"/>
      <c r="P7" s="616"/>
      <c r="Q7" s="616"/>
      <c r="R7" s="616"/>
      <c r="S7" s="616"/>
      <c r="T7" s="616"/>
      <c r="U7" s="617"/>
    </row>
    <row r="8" spans="1:21" x14ac:dyDescent="0.25">
      <c r="A8" s="187"/>
      <c r="B8" s="618"/>
      <c r="C8" s="1060"/>
      <c r="D8" s="1060" t="s">
        <v>4607</v>
      </c>
      <c r="E8" s="1060">
        <v>2</v>
      </c>
      <c r="F8" s="1096"/>
      <c r="G8" s="1060"/>
      <c r="H8" s="1060"/>
      <c r="I8" s="1060"/>
      <c r="J8" s="1060"/>
      <c r="K8" s="1060"/>
      <c r="L8" s="1060"/>
      <c r="M8" s="1060"/>
      <c r="N8" s="1060"/>
      <c r="O8" s="1060"/>
      <c r="P8" s="616"/>
      <c r="Q8" s="616"/>
      <c r="R8" s="616"/>
      <c r="S8" s="616"/>
      <c r="T8" s="616"/>
      <c r="U8" s="617"/>
    </row>
    <row r="9" spans="1:21" x14ac:dyDescent="0.25">
      <c r="A9" s="187"/>
      <c r="B9" s="618"/>
      <c r="C9" s="1060"/>
      <c r="D9" s="1060" t="s">
        <v>4486</v>
      </c>
      <c r="E9" s="1060">
        <v>9</v>
      </c>
      <c r="F9" s="1060"/>
      <c r="G9" s="1060"/>
      <c r="H9" s="1060"/>
      <c r="I9" s="1060"/>
      <c r="J9" s="1060"/>
      <c r="K9" s="1060"/>
      <c r="L9" s="1060"/>
      <c r="M9" s="1060"/>
      <c r="N9" s="1060"/>
      <c r="O9" s="1060"/>
      <c r="P9" s="616"/>
      <c r="Q9" s="616"/>
      <c r="R9" s="616"/>
      <c r="S9" s="616"/>
      <c r="T9" s="616"/>
      <c r="U9" s="617"/>
    </row>
    <row r="10" spans="1:21" x14ac:dyDescent="0.25">
      <c r="A10" s="187"/>
      <c r="B10" s="618"/>
      <c r="C10" s="1060"/>
      <c r="D10" s="1060" t="s">
        <v>4419</v>
      </c>
      <c r="E10" s="1060">
        <v>3</v>
      </c>
      <c r="F10" s="1060"/>
      <c r="G10" s="1060"/>
      <c r="H10" s="1060"/>
      <c r="I10" s="1060"/>
      <c r="J10" s="1060"/>
      <c r="K10" s="1060"/>
      <c r="L10" s="1060"/>
      <c r="M10" s="1060"/>
      <c r="N10" s="1060"/>
      <c r="O10" s="1060"/>
      <c r="P10" s="616"/>
      <c r="Q10" s="616"/>
      <c r="R10" s="616"/>
      <c r="S10" s="616"/>
      <c r="T10" s="616"/>
      <c r="U10" s="617"/>
    </row>
    <row r="11" spans="1:21" x14ac:dyDescent="0.25">
      <c r="A11" s="187"/>
      <c r="B11" s="618"/>
      <c r="C11" s="1060"/>
      <c r="D11" s="1060" t="s">
        <v>947</v>
      </c>
      <c r="E11" s="1060">
        <v>29</v>
      </c>
      <c r="F11" s="1060"/>
      <c r="G11" s="1060"/>
      <c r="H11" s="1060"/>
      <c r="I11" s="1060"/>
      <c r="J11" s="1060"/>
      <c r="K11" s="1060"/>
      <c r="L11" s="1060"/>
      <c r="M11" s="1060"/>
      <c r="N11" s="1060"/>
      <c r="O11" s="1060"/>
      <c r="P11" s="616"/>
      <c r="Q11" s="616"/>
      <c r="R11" s="616"/>
      <c r="S11" s="616"/>
      <c r="T11" s="616"/>
      <c r="U11" s="617"/>
    </row>
    <row r="12" spans="1:21" x14ac:dyDescent="0.25">
      <c r="A12" s="187"/>
      <c r="B12" s="615"/>
      <c r="C12" s="1060"/>
      <c r="D12" s="1060" t="s">
        <v>982</v>
      </c>
      <c r="E12" s="1060">
        <v>9</v>
      </c>
      <c r="F12" s="1060"/>
      <c r="G12" s="1060"/>
      <c r="H12" s="1060"/>
      <c r="I12" s="1060"/>
      <c r="J12" s="1060"/>
      <c r="K12" s="1060"/>
      <c r="L12" s="1060"/>
      <c r="M12" s="1060"/>
      <c r="N12" s="1060"/>
      <c r="O12" s="1060"/>
      <c r="P12" s="616"/>
      <c r="Q12" s="616"/>
      <c r="R12" s="616"/>
      <c r="S12" s="616"/>
      <c r="T12" s="616"/>
      <c r="U12" s="617"/>
    </row>
    <row r="13" spans="1:21" x14ac:dyDescent="0.25">
      <c r="A13" s="187"/>
      <c r="B13" s="615"/>
      <c r="C13" s="1060"/>
      <c r="D13" s="1060"/>
      <c r="E13" s="1060"/>
      <c r="F13" s="1060"/>
      <c r="G13" s="1060"/>
      <c r="H13" s="1060"/>
      <c r="I13" s="1060"/>
      <c r="J13" s="1060"/>
      <c r="K13" s="1060"/>
      <c r="L13" s="1060"/>
      <c r="M13" s="1060"/>
      <c r="N13" s="1060"/>
      <c r="O13" s="1060"/>
      <c r="P13" s="616"/>
      <c r="Q13" s="616"/>
      <c r="R13" s="616"/>
      <c r="S13" s="616"/>
      <c r="T13" s="616"/>
      <c r="U13" s="617"/>
    </row>
    <row r="14" spans="1:21" x14ac:dyDescent="0.25">
      <c r="A14" s="187"/>
      <c r="B14" s="615"/>
      <c r="C14" s="1060"/>
      <c r="D14" s="1060"/>
      <c r="E14" s="1060"/>
      <c r="F14" s="1060"/>
      <c r="G14" s="1060"/>
      <c r="H14" s="1060"/>
      <c r="I14" s="1060"/>
      <c r="J14" s="1060"/>
      <c r="K14" s="1060"/>
      <c r="L14" s="1060"/>
      <c r="M14" s="1060"/>
      <c r="N14" s="1060"/>
      <c r="O14" s="1060"/>
      <c r="P14" s="616"/>
      <c r="Q14" s="616"/>
      <c r="R14" s="616"/>
      <c r="S14" s="616"/>
      <c r="T14" s="616"/>
      <c r="U14" s="617"/>
    </row>
    <row r="15" spans="1:21" x14ac:dyDescent="0.25">
      <c r="A15" s="187"/>
      <c r="B15" s="619"/>
      <c r="C15" s="620"/>
      <c r="D15" s="620"/>
      <c r="E15" s="620"/>
      <c r="F15" s="620"/>
      <c r="G15" s="620"/>
      <c r="H15" s="620"/>
      <c r="I15" s="620"/>
      <c r="J15" s="620"/>
      <c r="K15" s="620"/>
      <c r="L15" s="620"/>
      <c r="M15" s="620"/>
      <c r="N15" s="620"/>
      <c r="O15" s="620"/>
      <c r="P15" s="620"/>
      <c r="Q15" s="620"/>
      <c r="R15" s="620"/>
      <c r="S15" s="620"/>
      <c r="T15" s="620"/>
      <c r="U15" s="621"/>
    </row>
    <row r="16" spans="1:21" x14ac:dyDescent="0.25">
      <c r="A16" s="187"/>
      <c r="B16" s="765"/>
      <c r="C16" s="765"/>
      <c r="D16" s="765"/>
      <c r="E16" s="765"/>
      <c r="F16" s="765"/>
      <c r="G16" s="765"/>
      <c r="H16" s="765"/>
      <c r="I16" s="765"/>
      <c r="J16" s="765"/>
      <c r="K16" s="765"/>
      <c r="L16" s="765"/>
      <c r="M16" s="765"/>
      <c r="N16" s="765"/>
      <c r="O16" s="765"/>
    </row>
    <row r="17" spans="1:17" x14ac:dyDescent="0.25">
      <c r="A17" s="765"/>
      <c r="B17" s="765"/>
      <c r="C17" s="765"/>
      <c r="D17" s="765"/>
      <c r="E17" s="765"/>
      <c r="F17" s="765"/>
      <c r="G17" s="765"/>
      <c r="H17" s="864"/>
      <c r="I17" s="765"/>
      <c r="J17" s="765"/>
      <c r="K17" s="765"/>
      <c r="L17" s="765"/>
      <c r="M17" s="765"/>
      <c r="N17" s="765"/>
      <c r="O17" s="765"/>
    </row>
    <row r="18" spans="1:17" x14ac:dyDescent="0.25">
      <c r="A18" s="765"/>
      <c r="B18" s="765"/>
      <c r="C18" s="765"/>
      <c r="D18" s="765"/>
      <c r="E18" s="765"/>
      <c r="F18" s="765"/>
      <c r="G18" s="765"/>
      <c r="H18" s="765"/>
      <c r="I18" s="102"/>
      <c r="J18" s="765"/>
      <c r="K18" s="765"/>
      <c r="L18" s="765"/>
      <c r="M18" s="765"/>
      <c r="N18" s="765"/>
      <c r="O18" s="765"/>
    </row>
    <row r="19" spans="1:17" x14ac:dyDescent="0.25">
      <c r="A19" s="765"/>
      <c r="B19" s="622" t="s">
        <v>835</v>
      </c>
      <c r="C19" s="623" t="s">
        <v>939</v>
      </c>
      <c r="D19" s="623" t="s">
        <v>1943</v>
      </c>
      <c r="E19" s="1061">
        <v>68116</v>
      </c>
      <c r="F19" s="1061" t="s">
        <v>4903</v>
      </c>
      <c r="G19" s="1061" t="s">
        <v>3284</v>
      </c>
      <c r="H19" s="625">
        <v>0</v>
      </c>
      <c r="I19" s="625">
        <v>615000</v>
      </c>
      <c r="J19" s="1095">
        <v>44648</v>
      </c>
      <c r="K19" s="1062">
        <v>44648</v>
      </c>
      <c r="L19" s="1063">
        <v>0</v>
      </c>
      <c r="M19" s="1063">
        <v>0</v>
      </c>
      <c r="N19" s="1064">
        <v>0</v>
      </c>
      <c r="O19" s="830" t="s">
        <v>1714</v>
      </c>
    </row>
    <row r="20" spans="1:17" x14ac:dyDescent="0.25">
      <c r="A20" s="765"/>
      <c r="B20" s="624" t="s">
        <v>835</v>
      </c>
      <c r="C20" s="1061" t="s">
        <v>939</v>
      </c>
      <c r="D20" s="1061" t="s">
        <v>1943</v>
      </c>
      <c r="E20" s="1061">
        <v>67910</v>
      </c>
      <c r="F20" s="1061" t="s">
        <v>4903</v>
      </c>
      <c r="G20" s="1061" t="s">
        <v>3284</v>
      </c>
      <c r="H20" s="625">
        <v>0</v>
      </c>
      <c r="I20" s="625">
        <v>500000</v>
      </c>
      <c r="J20" s="1062">
        <v>44642</v>
      </c>
      <c r="K20" s="1062">
        <v>44642</v>
      </c>
      <c r="L20" s="1063">
        <v>0</v>
      </c>
      <c r="M20" s="1063">
        <v>0</v>
      </c>
      <c r="N20" s="1064">
        <v>0</v>
      </c>
      <c r="O20" s="626" t="s">
        <v>1714</v>
      </c>
    </row>
    <row r="21" spans="1:17" x14ac:dyDescent="0.25">
      <c r="A21" s="765"/>
      <c r="B21" s="624" t="s">
        <v>835</v>
      </c>
      <c r="C21" s="1061" t="s">
        <v>939</v>
      </c>
      <c r="D21" s="1061" t="s">
        <v>1943</v>
      </c>
      <c r="E21" s="1061">
        <v>67909</v>
      </c>
      <c r="F21" s="1061" t="s">
        <v>4903</v>
      </c>
      <c r="G21" s="1061" t="s">
        <v>4579</v>
      </c>
      <c r="H21" s="625">
        <v>0</v>
      </c>
      <c r="I21" s="625">
        <v>400000</v>
      </c>
      <c r="J21" s="1062">
        <v>44642</v>
      </c>
      <c r="K21" s="1062">
        <v>44642</v>
      </c>
      <c r="L21" s="1063">
        <v>0</v>
      </c>
      <c r="M21" s="1063">
        <v>0</v>
      </c>
      <c r="N21" s="1064">
        <v>0</v>
      </c>
      <c r="O21" s="626" t="s">
        <v>1714</v>
      </c>
    </row>
    <row r="22" spans="1:17" x14ac:dyDescent="0.25">
      <c r="A22" s="765"/>
      <c r="B22" s="624" t="s">
        <v>835</v>
      </c>
      <c r="C22" s="1061" t="s">
        <v>939</v>
      </c>
      <c r="D22" s="1065" t="s">
        <v>1943</v>
      </c>
      <c r="E22" s="1061">
        <v>67668</v>
      </c>
      <c r="F22" s="1065" t="s">
        <v>4903</v>
      </c>
      <c r="G22" s="1061" t="s">
        <v>3284</v>
      </c>
      <c r="H22" s="625">
        <v>0</v>
      </c>
      <c r="I22" s="625">
        <v>200000</v>
      </c>
      <c r="J22" s="1062">
        <v>44635</v>
      </c>
      <c r="K22" s="1062">
        <v>44635</v>
      </c>
      <c r="L22" s="1063">
        <v>0</v>
      </c>
      <c r="M22" s="1063">
        <v>0</v>
      </c>
      <c r="N22" s="1064">
        <v>0</v>
      </c>
      <c r="O22" s="831" t="s">
        <v>1714</v>
      </c>
    </row>
    <row r="23" spans="1:17" x14ac:dyDescent="0.25">
      <c r="A23" s="765"/>
      <c r="B23" s="624" t="s">
        <v>835</v>
      </c>
      <c r="C23" s="1061" t="s">
        <v>939</v>
      </c>
      <c r="D23" s="1065" t="s">
        <v>1943</v>
      </c>
      <c r="E23" s="1061">
        <v>68131</v>
      </c>
      <c r="F23" s="1061" t="s">
        <v>827</v>
      </c>
      <c r="G23" s="1061" t="s">
        <v>4579</v>
      </c>
      <c r="H23" s="625">
        <v>300000</v>
      </c>
      <c r="I23" s="625">
        <v>305000</v>
      </c>
      <c r="J23" s="1062">
        <v>44648</v>
      </c>
      <c r="K23" s="1062">
        <v>44669</v>
      </c>
      <c r="L23" s="1063">
        <v>4.5000000000000005E-3</v>
      </c>
      <c r="M23" s="1063">
        <v>1.7500000000000002E-2</v>
      </c>
      <c r="N23" s="1064">
        <v>0</v>
      </c>
      <c r="O23" s="626" t="s">
        <v>1714</v>
      </c>
    </row>
    <row r="24" spans="1:17" x14ac:dyDescent="0.25">
      <c r="A24" s="765"/>
      <c r="B24" s="624" t="s">
        <v>835</v>
      </c>
      <c r="C24" s="1061" t="s">
        <v>939</v>
      </c>
      <c r="D24" s="1061" t="s">
        <v>1943</v>
      </c>
      <c r="E24" s="1061">
        <v>68013</v>
      </c>
      <c r="F24" s="1061" t="s">
        <v>827</v>
      </c>
      <c r="G24" s="1061" t="s">
        <v>4579</v>
      </c>
      <c r="H24" s="625">
        <v>300037.08</v>
      </c>
      <c r="I24" s="625">
        <v>305000</v>
      </c>
      <c r="J24" s="1062">
        <v>44645</v>
      </c>
      <c r="K24" s="1062">
        <v>44669</v>
      </c>
      <c r="L24" s="1063">
        <v>4.5000000000000005E-3</v>
      </c>
      <c r="M24" s="1063">
        <v>1.7500000000000002E-2</v>
      </c>
      <c r="N24" s="1064">
        <v>0</v>
      </c>
      <c r="O24" s="626" t="s">
        <v>1714</v>
      </c>
    </row>
    <row r="25" spans="1:17" s="765" customFormat="1" x14ac:dyDescent="0.25">
      <c r="B25" s="624" t="s">
        <v>835</v>
      </c>
      <c r="C25" s="1061" t="s">
        <v>939</v>
      </c>
      <c r="D25" s="1061" t="s">
        <v>1943</v>
      </c>
      <c r="E25" s="1061">
        <v>67914</v>
      </c>
      <c r="F25" s="1061" t="s">
        <v>827</v>
      </c>
      <c r="G25" s="1061" t="s">
        <v>4579</v>
      </c>
      <c r="H25" s="625">
        <v>800000</v>
      </c>
      <c r="I25" s="625">
        <v>812000</v>
      </c>
      <c r="J25" s="1062">
        <v>44642</v>
      </c>
      <c r="K25" s="1062">
        <v>44729</v>
      </c>
      <c r="L25" s="1063">
        <v>7.0999999999999995E-3</v>
      </c>
      <c r="M25" s="1063">
        <v>1.7500000000000002E-2</v>
      </c>
      <c r="N25" s="1064">
        <v>0</v>
      </c>
      <c r="O25" s="626" t="s">
        <v>1714</v>
      </c>
    </row>
    <row r="26" spans="1:17" x14ac:dyDescent="0.25">
      <c r="A26" s="765"/>
      <c r="B26" s="624" t="s">
        <v>835</v>
      </c>
      <c r="C26" s="1061" t="s">
        <v>939</v>
      </c>
      <c r="D26" s="1061" t="s">
        <v>1943</v>
      </c>
      <c r="E26" s="1061">
        <v>67679</v>
      </c>
      <c r="F26" s="1061" t="s">
        <v>827</v>
      </c>
      <c r="G26" s="1061" t="s">
        <v>4579</v>
      </c>
      <c r="H26" s="625">
        <v>6700000</v>
      </c>
      <c r="I26" s="625">
        <v>6752000</v>
      </c>
      <c r="J26" s="1062">
        <v>44635</v>
      </c>
      <c r="K26" s="1062">
        <v>44669</v>
      </c>
      <c r="L26" s="1063">
        <v>4.5000000000000005E-3</v>
      </c>
      <c r="M26" s="1063">
        <v>1.7500000000000002E-2</v>
      </c>
      <c r="N26" s="1064">
        <v>0</v>
      </c>
      <c r="O26" s="626" t="s">
        <v>1714</v>
      </c>
    </row>
    <row r="27" spans="1:17" s="765" customFormat="1" x14ac:dyDescent="0.25">
      <c r="B27" s="624" t="s">
        <v>835</v>
      </c>
      <c r="C27" s="1061" t="s">
        <v>939</v>
      </c>
      <c r="D27" s="1061" t="s">
        <v>1943</v>
      </c>
      <c r="E27" s="1061">
        <v>67736</v>
      </c>
      <c r="F27" s="1061" t="s">
        <v>827</v>
      </c>
      <c r="G27" s="1061" t="s">
        <v>4579</v>
      </c>
      <c r="H27" s="625">
        <v>22944969.989999998</v>
      </c>
      <c r="I27" s="625">
        <v>23151000</v>
      </c>
      <c r="J27" s="1062">
        <v>44637</v>
      </c>
      <c r="K27" s="1062">
        <v>44669</v>
      </c>
      <c r="L27" s="1063">
        <v>4.6999999999999993E-3</v>
      </c>
      <c r="M27" s="1063">
        <v>1.7500000000000002E-2</v>
      </c>
      <c r="N27" s="1064">
        <v>0</v>
      </c>
      <c r="O27" s="626" t="s">
        <v>1714</v>
      </c>
    </row>
    <row r="28" spans="1:17" s="765" customFormat="1" x14ac:dyDescent="0.25">
      <c r="B28" s="624" t="s">
        <v>835</v>
      </c>
      <c r="C28" s="1061" t="s">
        <v>939</v>
      </c>
      <c r="D28" s="1061" t="s">
        <v>1943</v>
      </c>
      <c r="E28" s="1061">
        <v>67739</v>
      </c>
      <c r="F28" s="1061" t="s">
        <v>827</v>
      </c>
      <c r="G28" s="1061" t="s">
        <v>4579</v>
      </c>
      <c r="H28" s="625">
        <v>45890617.420000002</v>
      </c>
      <c r="I28" s="625">
        <v>46303000</v>
      </c>
      <c r="J28" s="1062">
        <v>44637</v>
      </c>
      <c r="K28" s="1062">
        <v>44729</v>
      </c>
      <c r="L28" s="1063">
        <v>6.7000000000000002E-3</v>
      </c>
      <c r="M28" s="1063">
        <v>1.7500000000000002E-2</v>
      </c>
      <c r="N28" s="1064">
        <v>0</v>
      </c>
      <c r="O28" s="626" t="s">
        <v>1714</v>
      </c>
    </row>
    <row r="29" spans="1:17" s="765" customFormat="1" x14ac:dyDescent="0.25">
      <c r="B29" s="624" t="s">
        <v>835</v>
      </c>
      <c r="C29" s="1061" t="s">
        <v>939</v>
      </c>
      <c r="D29" s="1061" t="s">
        <v>1943</v>
      </c>
      <c r="E29" s="1061">
        <v>67738</v>
      </c>
      <c r="F29" s="1061" t="s">
        <v>827</v>
      </c>
      <c r="G29" s="1061" t="s">
        <v>4579</v>
      </c>
      <c r="H29" s="625">
        <v>49554691.289999999</v>
      </c>
      <c r="I29" s="625">
        <v>50000000</v>
      </c>
      <c r="J29" s="1062">
        <v>44637</v>
      </c>
      <c r="K29" s="1062">
        <v>44729</v>
      </c>
      <c r="L29" s="1063">
        <v>6.7000000000000002E-3</v>
      </c>
      <c r="M29" s="1063">
        <v>1.7500000000000002E-2</v>
      </c>
      <c r="N29" s="1064">
        <v>0</v>
      </c>
      <c r="O29" s="626" t="s">
        <v>1714</v>
      </c>
    </row>
    <row r="30" spans="1:17" x14ac:dyDescent="0.25">
      <c r="A30" s="765"/>
      <c r="B30" s="624" t="s">
        <v>835</v>
      </c>
      <c r="C30" s="1061" t="s">
        <v>939</v>
      </c>
      <c r="D30" s="1061" t="s">
        <v>1943</v>
      </c>
      <c r="E30" s="1061">
        <v>67737</v>
      </c>
      <c r="F30" s="1061" t="s">
        <v>827</v>
      </c>
      <c r="G30" s="1061" t="s">
        <v>4579</v>
      </c>
      <c r="H30" s="625">
        <v>49554691.289999999</v>
      </c>
      <c r="I30" s="625">
        <v>50000000</v>
      </c>
      <c r="J30" s="1062">
        <v>44637</v>
      </c>
      <c r="K30" s="1062">
        <v>44729</v>
      </c>
      <c r="L30" s="1063">
        <v>6.7000000000000002E-3</v>
      </c>
      <c r="M30" s="1063">
        <v>1.7500000000000002E-2</v>
      </c>
      <c r="N30" s="1064">
        <v>0</v>
      </c>
      <c r="O30" s="626" t="s">
        <v>1714</v>
      </c>
      <c r="Q30" s="102"/>
    </row>
    <row r="31" spans="1:17" x14ac:dyDescent="0.25">
      <c r="A31" s="765"/>
      <c r="B31" s="624" t="s">
        <v>835</v>
      </c>
      <c r="C31" s="1061" t="s">
        <v>939</v>
      </c>
      <c r="D31" s="1061" t="s">
        <v>1943</v>
      </c>
      <c r="E31" s="1061">
        <v>67735</v>
      </c>
      <c r="F31" s="1061" t="s">
        <v>827</v>
      </c>
      <c r="G31" s="1061" t="s">
        <v>4579</v>
      </c>
      <c r="H31" s="625">
        <v>49555030.009999998</v>
      </c>
      <c r="I31" s="625">
        <v>50000000</v>
      </c>
      <c r="J31" s="1062">
        <v>44637</v>
      </c>
      <c r="K31" s="1062">
        <v>44669</v>
      </c>
      <c r="L31" s="1063">
        <v>4.6999999999999993E-3</v>
      </c>
      <c r="M31" s="1063">
        <v>1.7500000000000002E-2</v>
      </c>
      <c r="N31" s="1064">
        <v>0</v>
      </c>
      <c r="O31" s="626" t="s">
        <v>1714</v>
      </c>
      <c r="Q31" s="102"/>
    </row>
    <row r="32" spans="1:17" s="765" customFormat="1" x14ac:dyDescent="0.25">
      <c r="B32" s="624" t="s">
        <v>835</v>
      </c>
      <c r="C32" s="1061" t="s">
        <v>939</v>
      </c>
      <c r="D32" s="1061" t="s">
        <v>1943</v>
      </c>
      <c r="E32" s="1061">
        <v>0</v>
      </c>
      <c r="F32" s="1061"/>
      <c r="G32" s="1061" t="s">
        <v>607</v>
      </c>
      <c r="H32" s="625">
        <v>0</v>
      </c>
      <c r="I32" s="625">
        <v>0</v>
      </c>
      <c r="J32" s="1062">
        <v>44637</v>
      </c>
      <c r="K32" s="1062">
        <v>44637</v>
      </c>
      <c r="L32" s="1063">
        <v>0</v>
      </c>
      <c r="M32" s="1063">
        <v>0</v>
      </c>
      <c r="N32" s="1064">
        <v>0</v>
      </c>
      <c r="O32" s="626"/>
      <c r="Q32" s="102"/>
    </row>
    <row r="33" spans="1:17" x14ac:dyDescent="0.25">
      <c r="A33" s="765"/>
      <c r="B33" s="624" t="s">
        <v>835</v>
      </c>
      <c r="C33" s="1061" t="s">
        <v>939</v>
      </c>
      <c r="D33" s="1061" t="s">
        <v>4902</v>
      </c>
      <c r="E33" s="1061">
        <v>68196</v>
      </c>
      <c r="F33" s="1061" t="s">
        <v>4903</v>
      </c>
      <c r="G33" s="1061" t="s">
        <v>3284</v>
      </c>
      <c r="H33" s="625">
        <v>0</v>
      </c>
      <c r="I33" s="625">
        <v>320000</v>
      </c>
      <c r="J33" s="1062">
        <v>44650</v>
      </c>
      <c r="K33" s="1062">
        <v>44650</v>
      </c>
      <c r="L33" s="1063">
        <v>0</v>
      </c>
      <c r="M33" s="1063">
        <v>0</v>
      </c>
      <c r="N33" s="1064">
        <v>0</v>
      </c>
      <c r="O33" s="626" t="s">
        <v>1714</v>
      </c>
      <c r="Q33" s="102"/>
    </row>
    <row r="34" spans="1:17" x14ac:dyDescent="0.25">
      <c r="A34" s="765"/>
      <c r="B34" s="624" t="s">
        <v>835</v>
      </c>
      <c r="C34" s="1061" t="s">
        <v>939</v>
      </c>
      <c r="D34" s="1061" t="s">
        <v>4902</v>
      </c>
      <c r="E34" s="1061">
        <v>67666</v>
      </c>
      <c r="F34" s="1061" t="s">
        <v>4903</v>
      </c>
      <c r="G34" s="1061" t="s">
        <v>3284</v>
      </c>
      <c r="H34" s="625">
        <v>0</v>
      </c>
      <c r="I34" s="625">
        <v>250000</v>
      </c>
      <c r="J34" s="1062">
        <v>44635</v>
      </c>
      <c r="K34" s="1062">
        <v>44635</v>
      </c>
      <c r="L34" s="1063">
        <v>0</v>
      </c>
      <c r="M34" s="1063">
        <v>0</v>
      </c>
      <c r="N34" s="1064">
        <v>0</v>
      </c>
      <c r="O34" s="626" t="s">
        <v>1714</v>
      </c>
      <c r="Q34" s="102"/>
    </row>
    <row r="35" spans="1:17" x14ac:dyDescent="0.25">
      <c r="A35" s="765"/>
      <c r="B35" s="624" t="s">
        <v>835</v>
      </c>
      <c r="C35" s="1061" t="s">
        <v>939</v>
      </c>
      <c r="D35" s="1061" t="s">
        <v>4902</v>
      </c>
      <c r="E35" s="1061">
        <v>0</v>
      </c>
      <c r="F35" s="1061"/>
      <c r="G35" s="1061" t="s">
        <v>607</v>
      </c>
      <c r="H35" s="625">
        <v>0</v>
      </c>
      <c r="I35" s="625">
        <v>0</v>
      </c>
      <c r="J35" s="1062">
        <v>44635</v>
      </c>
      <c r="K35" s="1062">
        <v>44635</v>
      </c>
      <c r="L35" s="1063">
        <v>0</v>
      </c>
      <c r="M35" s="1063">
        <v>0</v>
      </c>
      <c r="N35" s="1064">
        <v>0</v>
      </c>
      <c r="O35" s="626"/>
      <c r="Q35" s="102"/>
    </row>
    <row r="36" spans="1:17" x14ac:dyDescent="0.25">
      <c r="A36" s="765"/>
      <c r="B36" s="624" t="s">
        <v>835</v>
      </c>
      <c r="C36" s="1061" t="s">
        <v>948</v>
      </c>
      <c r="D36" s="1061" t="s">
        <v>4607</v>
      </c>
      <c r="E36" s="1061">
        <v>66250</v>
      </c>
      <c r="F36" s="1061" t="s">
        <v>827</v>
      </c>
      <c r="G36" s="1061" t="s">
        <v>4420</v>
      </c>
      <c r="H36" s="625">
        <v>30350034</v>
      </c>
      <c r="I36" s="625">
        <v>26000000</v>
      </c>
      <c r="J36" s="1062">
        <v>44634</v>
      </c>
      <c r="K36" s="1062">
        <v>44663</v>
      </c>
      <c r="L36" s="1063">
        <v>-5.6999999999999993E-3</v>
      </c>
      <c r="M36" s="1063">
        <v>0.01</v>
      </c>
      <c r="N36" s="1064">
        <v>0</v>
      </c>
      <c r="O36" s="626" t="s">
        <v>1714</v>
      </c>
      <c r="Q36" s="102"/>
    </row>
    <row r="37" spans="1:17" x14ac:dyDescent="0.25">
      <c r="A37" s="765"/>
      <c r="B37" s="624" t="s">
        <v>835</v>
      </c>
      <c r="C37" s="1061" t="s">
        <v>939</v>
      </c>
      <c r="D37" s="1061" t="s">
        <v>4607</v>
      </c>
      <c r="E37" s="1061">
        <v>0</v>
      </c>
      <c r="F37" s="1061"/>
      <c r="G37" s="1061" t="s">
        <v>607</v>
      </c>
      <c r="H37" s="625">
        <v>0</v>
      </c>
      <c r="I37" s="625">
        <v>0</v>
      </c>
      <c r="J37" s="1062">
        <v>44634</v>
      </c>
      <c r="K37" s="1062">
        <v>44634</v>
      </c>
      <c r="L37" s="1063">
        <v>0</v>
      </c>
      <c r="M37" s="1063">
        <v>0</v>
      </c>
      <c r="N37" s="1064">
        <v>0</v>
      </c>
      <c r="O37" s="626"/>
      <c r="Q37" s="102"/>
    </row>
    <row r="38" spans="1:17" s="765" customFormat="1" x14ac:dyDescent="0.25">
      <c r="B38" s="624" t="s">
        <v>835</v>
      </c>
      <c r="C38" s="1061" t="s">
        <v>939</v>
      </c>
      <c r="D38" s="1061" t="s">
        <v>4486</v>
      </c>
      <c r="E38" s="1061">
        <v>68197</v>
      </c>
      <c r="F38" s="1061" t="s">
        <v>4903</v>
      </c>
      <c r="G38" s="1061" t="s">
        <v>3284</v>
      </c>
      <c r="H38" s="625">
        <v>0</v>
      </c>
      <c r="I38" s="625">
        <v>290000</v>
      </c>
      <c r="J38" s="1062">
        <v>44651</v>
      </c>
      <c r="K38" s="1062">
        <v>44651</v>
      </c>
      <c r="L38" s="1063">
        <v>0</v>
      </c>
      <c r="M38" s="1063">
        <v>0</v>
      </c>
      <c r="N38" s="1064">
        <v>0</v>
      </c>
      <c r="O38" s="626" t="s">
        <v>1714</v>
      </c>
      <c r="Q38" s="102"/>
    </row>
    <row r="39" spans="1:17" x14ac:dyDescent="0.25">
      <c r="A39" s="765"/>
      <c r="B39" s="624" t="s">
        <v>835</v>
      </c>
      <c r="C39" s="1061" t="s">
        <v>939</v>
      </c>
      <c r="D39" s="1061" t="s">
        <v>4486</v>
      </c>
      <c r="E39" s="1061">
        <v>68183</v>
      </c>
      <c r="F39" s="1061" t="s">
        <v>4903</v>
      </c>
      <c r="G39" s="1061" t="s">
        <v>4579</v>
      </c>
      <c r="H39" s="625">
        <v>0</v>
      </c>
      <c r="I39" s="625">
        <v>350000</v>
      </c>
      <c r="J39" s="1062">
        <v>44650</v>
      </c>
      <c r="K39" s="1062">
        <v>44650</v>
      </c>
      <c r="L39" s="1063">
        <v>0</v>
      </c>
      <c r="M39" s="1063">
        <v>0</v>
      </c>
      <c r="N39" s="1064">
        <v>0</v>
      </c>
      <c r="O39" s="626" t="s">
        <v>1714</v>
      </c>
      <c r="Q39" s="102"/>
    </row>
    <row r="40" spans="1:17" s="765" customFormat="1" x14ac:dyDescent="0.25">
      <c r="B40" s="624" t="s">
        <v>835</v>
      </c>
      <c r="C40" s="1061" t="s">
        <v>939</v>
      </c>
      <c r="D40" s="1061" t="s">
        <v>4486</v>
      </c>
      <c r="E40" s="1061">
        <v>68117</v>
      </c>
      <c r="F40" s="1061" t="s">
        <v>4903</v>
      </c>
      <c r="G40" s="1061" t="s">
        <v>3284</v>
      </c>
      <c r="H40" s="625">
        <v>0</v>
      </c>
      <c r="I40" s="625">
        <v>200000</v>
      </c>
      <c r="J40" s="1062">
        <v>44649</v>
      </c>
      <c r="K40" s="1062">
        <v>44649</v>
      </c>
      <c r="L40" s="1063">
        <v>0</v>
      </c>
      <c r="M40" s="1063">
        <v>0</v>
      </c>
      <c r="N40" s="1064">
        <v>0</v>
      </c>
      <c r="O40" s="626" t="s">
        <v>1714</v>
      </c>
      <c r="Q40" s="102"/>
    </row>
    <row r="41" spans="1:17" s="765" customFormat="1" x14ac:dyDescent="0.25">
      <c r="B41" s="624" t="s">
        <v>835</v>
      </c>
      <c r="C41" s="1061" t="s">
        <v>939</v>
      </c>
      <c r="D41" s="1061" t="s">
        <v>4486</v>
      </c>
      <c r="E41" s="1061">
        <v>68077</v>
      </c>
      <c r="F41" s="1061" t="s">
        <v>4903</v>
      </c>
      <c r="G41" s="1061" t="s">
        <v>3284</v>
      </c>
      <c r="H41" s="625">
        <v>0</v>
      </c>
      <c r="I41" s="625">
        <v>225000</v>
      </c>
      <c r="J41" s="1062">
        <v>44648</v>
      </c>
      <c r="K41" s="1062">
        <v>44648</v>
      </c>
      <c r="L41" s="1063">
        <v>0</v>
      </c>
      <c r="M41" s="1063">
        <v>0</v>
      </c>
      <c r="N41" s="1064">
        <v>0</v>
      </c>
      <c r="O41" s="626" t="s">
        <v>1714</v>
      </c>
      <c r="Q41" s="102"/>
    </row>
    <row r="42" spans="1:17" x14ac:dyDescent="0.25">
      <c r="A42" s="765"/>
      <c r="B42" s="624" t="s">
        <v>835</v>
      </c>
      <c r="C42" s="1061" t="s">
        <v>939</v>
      </c>
      <c r="D42" s="1061" t="s">
        <v>4486</v>
      </c>
      <c r="E42" s="1061">
        <v>67960</v>
      </c>
      <c r="F42" s="1061" t="s">
        <v>4903</v>
      </c>
      <c r="G42" s="1061" t="s">
        <v>3284</v>
      </c>
      <c r="H42" s="625">
        <v>0</v>
      </c>
      <c r="I42" s="625">
        <v>300000</v>
      </c>
      <c r="J42" s="1062">
        <v>44644</v>
      </c>
      <c r="K42" s="1062">
        <v>44644</v>
      </c>
      <c r="L42" s="1063">
        <v>0</v>
      </c>
      <c r="M42" s="1063">
        <v>0</v>
      </c>
      <c r="N42" s="1064">
        <v>0</v>
      </c>
      <c r="O42" s="626" t="s">
        <v>1714</v>
      </c>
      <c r="Q42" s="102"/>
    </row>
    <row r="43" spans="1:17" s="765" customFormat="1" x14ac:dyDescent="0.25">
      <c r="B43" s="624" t="s">
        <v>835</v>
      </c>
      <c r="C43" s="1061" t="s">
        <v>939</v>
      </c>
      <c r="D43" s="1061" t="s">
        <v>4486</v>
      </c>
      <c r="E43" s="1061">
        <v>67919</v>
      </c>
      <c r="F43" s="1061" t="s">
        <v>4903</v>
      </c>
      <c r="G43" s="1061" t="s">
        <v>4579</v>
      </c>
      <c r="H43" s="625">
        <v>0</v>
      </c>
      <c r="I43" s="625">
        <v>260000</v>
      </c>
      <c r="J43" s="1062">
        <v>44643</v>
      </c>
      <c r="K43" s="1062">
        <v>44643</v>
      </c>
      <c r="L43" s="1063">
        <v>0</v>
      </c>
      <c r="M43" s="1063">
        <v>0</v>
      </c>
      <c r="N43" s="1064">
        <v>0</v>
      </c>
      <c r="O43" s="626" t="s">
        <v>1714</v>
      </c>
      <c r="Q43" s="102"/>
    </row>
    <row r="44" spans="1:17" x14ac:dyDescent="0.25">
      <c r="A44" s="765"/>
      <c r="B44" s="624" t="s">
        <v>835</v>
      </c>
      <c r="C44" s="1061" t="s">
        <v>939</v>
      </c>
      <c r="D44" s="1061" t="s">
        <v>4486</v>
      </c>
      <c r="E44" s="1061">
        <v>67667</v>
      </c>
      <c r="F44" s="1061" t="s">
        <v>4903</v>
      </c>
      <c r="G44" s="1061" t="s">
        <v>3284</v>
      </c>
      <c r="H44" s="625">
        <v>0</v>
      </c>
      <c r="I44" s="625">
        <v>240000</v>
      </c>
      <c r="J44" s="1062">
        <v>44636</v>
      </c>
      <c r="K44" s="1062">
        <v>44636</v>
      </c>
      <c r="L44" s="1063">
        <v>0</v>
      </c>
      <c r="M44" s="1063">
        <v>0</v>
      </c>
      <c r="N44" s="1064">
        <v>0</v>
      </c>
      <c r="O44" s="626" t="s">
        <v>1714</v>
      </c>
      <c r="Q44" s="102"/>
    </row>
    <row r="45" spans="1:17" x14ac:dyDescent="0.25">
      <c r="A45" s="765"/>
      <c r="B45" s="624" t="s">
        <v>835</v>
      </c>
      <c r="C45" s="1061" t="s">
        <v>939</v>
      </c>
      <c r="D45" s="1061" t="s">
        <v>4486</v>
      </c>
      <c r="E45" s="1061">
        <v>67626</v>
      </c>
      <c r="F45" s="1061" t="s">
        <v>4903</v>
      </c>
      <c r="G45" s="1061" t="s">
        <v>3284</v>
      </c>
      <c r="H45" s="625">
        <v>0</v>
      </c>
      <c r="I45" s="625">
        <v>1200000</v>
      </c>
      <c r="J45" s="1062">
        <v>44634</v>
      </c>
      <c r="K45" s="1062">
        <v>44634</v>
      </c>
      <c r="L45" s="1063">
        <v>0</v>
      </c>
      <c r="M45" s="1063">
        <v>0</v>
      </c>
      <c r="N45" s="1064">
        <v>0</v>
      </c>
      <c r="O45" s="626" t="s">
        <v>1714</v>
      </c>
      <c r="Q45" s="102"/>
    </row>
    <row r="46" spans="1:17" s="765" customFormat="1" x14ac:dyDescent="0.25">
      <c r="B46" s="624" t="s">
        <v>835</v>
      </c>
      <c r="C46" s="1061" t="s">
        <v>939</v>
      </c>
      <c r="D46" s="1061" t="s">
        <v>4486</v>
      </c>
      <c r="E46" s="1061">
        <v>0</v>
      </c>
      <c r="F46" s="1061"/>
      <c r="G46" s="1061" t="s">
        <v>607</v>
      </c>
      <c r="H46" s="625">
        <v>0</v>
      </c>
      <c r="I46" s="625">
        <v>0</v>
      </c>
      <c r="J46" s="1062">
        <v>44634</v>
      </c>
      <c r="K46" s="1062">
        <v>44634</v>
      </c>
      <c r="L46" s="1063">
        <v>0</v>
      </c>
      <c r="M46" s="1063">
        <v>0</v>
      </c>
      <c r="N46" s="1064">
        <v>0</v>
      </c>
      <c r="O46" s="626"/>
      <c r="Q46" s="102"/>
    </row>
    <row r="47" spans="1:17" s="765" customFormat="1" x14ac:dyDescent="0.25">
      <c r="B47" s="624" t="s">
        <v>835</v>
      </c>
      <c r="C47" s="1061" t="s">
        <v>948</v>
      </c>
      <c r="D47" s="1065" t="s">
        <v>4419</v>
      </c>
      <c r="E47" s="1061">
        <v>65883</v>
      </c>
      <c r="F47" s="1065" t="s">
        <v>827</v>
      </c>
      <c r="G47" s="1061" t="s">
        <v>4420</v>
      </c>
      <c r="H47" s="625">
        <v>39819288.600000001</v>
      </c>
      <c r="I47" s="625">
        <v>34360000</v>
      </c>
      <c r="J47" s="1062">
        <v>44623</v>
      </c>
      <c r="K47" s="1062">
        <v>44652</v>
      </c>
      <c r="L47" s="1063">
        <v>-6.1999999999999998E-3</v>
      </c>
      <c r="M47" s="1063">
        <v>2.5000000000000001E-2</v>
      </c>
      <c r="N47" s="1064">
        <v>0</v>
      </c>
      <c r="O47" s="831" t="s">
        <v>1714</v>
      </c>
      <c r="Q47" s="102"/>
    </row>
    <row r="48" spans="1:17" x14ac:dyDescent="0.25">
      <c r="A48" s="765"/>
      <c r="B48" s="624" t="s">
        <v>835</v>
      </c>
      <c r="C48" s="1061" t="s">
        <v>948</v>
      </c>
      <c r="D48" s="1065" t="s">
        <v>4419</v>
      </c>
      <c r="E48" s="1061">
        <v>66249</v>
      </c>
      <c r="F48" s="1065" t="s">
        <v>827</v>
      </c>
      <c r="G48" s="1061" t="s">
        <v>4420</v>
      </c>
      <c r="H48" s="625">
        <v>100102396.88</v>
      </c>
      <c r="I48" s="625">
        <v>87100000</v>
      </c>
      <c r="J48" s="1062">
        <v>44634</v>
      </c>
      <c r="K48" s="1062">
        <v>44663</v>
      </c>
      <c r="L48" s="1063">
        <v>-6.1999999999999998E-3</v>
      </c>
      <c r="M48" s="1063">
        <v>2.5000000000000001E-2</v>
      </c>
      <c r="N48" s="1064">
        <v>0</v>
      </c>
      <c r="O48" s="831" t="s">
        <v>1714</v>
      </c>
      <c r="Q48" s="102"/>
    </row>
    <row r="49" spans="1:17" x14ac:dyDescent="0.25">
      <c r="A49" s="765"/>
      <c r="B49" s="624" t="s">
        <v>835</v>
      </c>
      <c r="C49" s="1061" t="s">
        <v>939</v>
      </c>
      <c r="D49" s="1065" t="s">
        <v>4419</v>
      </c>
      <c r="E49" s="1061">
        <v>0</v>
      </c>
      <c r="F49" s="1065"/>
      <c r="G49" s="1061" t="s">
        <v>607</v>
      </c>
      <c r="H49" s="625">
        <v>0</v>
      </c>
      <c r="I49" s="625">
        <v>0</v>
      </c>
      <c r="J49" s="1062">
        <v>44634</v>
      </c>
      <c r="K49" s="1062">
        <v>44634</v>
      </c>
      <c r="L49" s="1063">
        <v>0</v>
      </c>
      <c r="M49" s="1063">
        <v>0</v>
      </c>
      <c r="N49" s="1064">
        <v>0</v>
      </c>
      <c r="O49" s="831"/>
      <c r="Q49" s="102"/>
    </row>
    <row r="50" spans="1:17" x14ac:dyDescent="0.25">
      <c r="A50" s="765"/>
      <c r="B50" s="624" t="s">
        <v>835</v>
      </c>
      <c r="C50" s="1061" t="s">
        <v>939</v>
      </c>
      <c r="D50" s="1061" t="s">
        <v>947</v>
      </c>
      <c r="E50" s="1061">
        <v>68195</v>
      </c>
      <c r="F50" s="1061" t="s">
        <v>3925</v>
      </c>
      <c r="G50" s="1061" t="s">
        <v>3284</v>
      </c>
      <c r="H50" s="625">
        <v>0</v>
      </c>
      <c r="I50" s="625">
        <v>694000</v>
      </c>
      <c r="J50" s="1062">
        <v>44650</v>
      </c>
      <c r="K50" s="1062">
        <v>44650</v>
      </c>
      <c r="L50" s="1063">
        <v>0</v>
      </c>
      <c r="M50" s="1063">
        <v>0</v>
      </c>
      <c r="N50" s="1064">
        <v>0</v>
      </c>
      <c r="O50" s="626" t="s">
        <v>1714</v>
      </c>
      <c r="Q50" s="102"/>
    </row>
    <row r="51" spans="1:17" x14ac:dyDescent="0.25">
      <c r="A51" s="765"/>
      <c r="B51" s="624" t="s">
        <v>835</v>
      </c>
      <c r="C51" s="1061" t="s">
        <v>939</v>
      </c>
      <c r="D51" s="1061" t="s">
        <v>947</v>
      </c>
      <c r="E51" s="1061">
        <v>68194</v>
      </c>
      <c r="F51" s="1061" t="s">
        <v>3925</v>
      </c>
      <c r="G51" s="1061" t="s">
        <v>3284</v>
      </c>
      <c r="H51" s="625">
        <v>0</v>
      </c>
      <c r="I51" s="625">
        <v>424000</v>
      </c>
      <c r="J51" s="1062">
        <v>44649</v>
      </c>
      <c r="K51" s="1062">
        <v>44649</v>
      </c>
      <c r="L51" s="1063">
        <v>0</v>
      </c>
      <c r="M51" s="1063">
        <v>0</v>
      </c>
      <c r="N51" s="1064">
        <v>0</v>
      </c>
      <c r="O51" s="626" t="s">
        <v>1714</v>
      </c>
      <c r="Q51" s="102"/>
    </row>
    <row r="52" spans="1:17" x14ac:dyDescent="0.25">
      <c r="A52" s="765"/>
      <c r="B52" s="624" t="s">
        <v>835</v>
      </c>
      <c r="C52" s="1061" t="s">
        <v>939</v>
      </c>
      <c r="D52" s="1061" t="s">
        <v>947</v>
      </c>
      <c r="E52" s="1061">
        <v>68127</v>
      </c>
      <c r="F52" s="1061" t="s">
        <v>3925</v>
      </c>
      <c r="G52" s="1061" t="s">
        <v>3284</v>
      </c>
      <c r="H52" s="625">
        <v>0</v>
      </c>
      <c r="I52" s="625">
        <v>708000</v>
      </c>
      <c r="J52" s="1062">
        <v>44648</v>
      </c>
      <c r="K52" s="1062">
        <v>44648</v>
      </c>
      <c r="L52" s="1063">
        <v>0</v>
      </c>
      <c r="M52" s="1063">
        <v>0</v>
      </c>
      <c r="N52" s="1064">
        <v>0</v>
      </c>
      <c r="O52" s="626" t="s">
        <v>1714</v>
      </c>
      <c r="Q52" s="102"/>
    </row>
    <row r="53" spans="1:17" x14ac:dyDescent="0.25">
      <c r="A53" s="765"/>
      <c r="B53" s="624" t="s">
        <v>835</v>
      </c>
      <c r="C53" s="1061" t="s">
        <v>939</v>
      </c>
      <c r="D53" s="1061" t="s">
        <v>947</v>
      </c>
      <c r="E53" s="1061">
        <v>67952</v>
      </c>
      <c r="F53" s="1061" t="s">
        <v>3925</v>
      </c>
      <c r="G53" s="1061" t="s">
        <v>3284</v>
      </c>
      <c r="H53" s="625">
        <v>0</v>
      </c>
      <c r="I53" s="625">
        <v>801000</v>
      </c>
      <c r="J53" s="1062">
        <v>44643</v>
      </c>
      <c r="K53" s="1062">
        <v>44643</v>
      </c>
      <c r="L53" s="1063">
        <v>0</v>
      </c>
      <c r="M53" s="1063">
        <v>0</v>
      </c>
      <c r="N53" s="1064">
        <v>0</v>
      </c>
      <c r="O53" s="626" t="s">
        <v>1714</v>
      </c>
      <c r="Q53" s="102"/>
    </row>
    <row r="54" spans="1:17" x14ac:dyDescent="0.25">
      <c r="A54" s="765"/>
      <c r="B54" s="624" t="s">
        <v>835</v>
      </c>
      <c r="C54" s="1061" t="s">
        <v>939</v>
      </c>
      <c r="D54" s="1061" t="s">
        <v>947</v>
      </c>
      <c r="E54" s="1061">
        <v>67916</v>
      </c>
      <c r="F54" s="1061" t="s">
        <v>3925</v>
      </c>
      <c r="G54" s="1061" t="s">
        <v>3284</v>
      </c>
      <c r="H54" s="625">
        <v>0</v>
      </c>
      <c r="I54" s="625">
        <v>782000</v>
      </c>
      <c r="J54" s="1062">
        <v>44642</v>
      </c>
      <c r="K54" s="1062">
        <v>44642</v>
      </c>
      <c r="L54" s="1063">
        <v>0</v>
      </c>
      <c r="M54" s="1063">
        <v>0</v>
      </c>
      <c r="N54" s="1064">
        <v>0</v>
      </c>
      <c r="O54" s="626" t="s">
        <v>1714</v>
      </c>
      <c r="Q54" s="102"/>
    </row>
    <row r="55" spans="1:17" x14ac:dyDescent="0.25">
      <c r="A55" s="765"/>
      <c r="B55" s="624" t="s">
        <v>835</v>
      </c>
      <c r="C55" s="1061" t="s">
        <v>939</v>
      </c>
      <c r="D55" s="1061" t="s">
        <v>947</v>
      </c>
      <c r="E55" s="1061">
        <v>67624</v>
      </c>
      <c r="F55" s="1061" t="s">
        <v>3925</v>
      </c>
      <c r="G55" s="1061" t="s">
        <v>3284</v>
      </c>
      <c r="H55" s="625">
        <v>0</v>
      </c>
      <c r="I55" s="625">
        <v>1434000</v>
      </c>
      <c r="J55" s="1062">
        <v>44631</v>
      </c>
      <c r="K55" s="1062">
        <v>44631</v>
      </c>
      <c r="L55" s="1063">
        <v>0</v>
      </c>
      <c r="M55" s="1063">
        <v>0</v>
      </c>
      <c r="N55" s="1064">
        <v>0</v>
      </c>
      <c r="O55" s="626" t="s">
        <v>1714</v>
      </c>
      <c r="Q55" s="102"/>
    </row>
    <row r="56" spans="1:17" x14ac:dyDescent="0.25">
      <c r="A56" s="765"/>
      <c r="B56" s="624" t="s">
        <v>835</v>
      </c>
      <c r="C56" s="1061" t="s">
        <v>939</v>
      </c>
      <c r="D56" s="1061" t="s">
        <v>947</v>
      </c>
      <c r="E56" s="1061">
        <v>66448</v>
      </c>
      <c r="F56" s="1061" t="s">
        <v>3925</v>
      </c>
      <c r="G56" s="1061" t="s">
        <v>3284</v>
      </c>
      <c r="H56" s="625">
        <v>0</v>
      </c>
      <c r="I56" s="625">
        <v>961000</v>
      </c>
      <c r="J56" s="1062">
        <v>44630</v>
      </c>
      <c r="K56" s="1062">
        <v>44630</v>
      </c>
      <c r="L56" s="1063">
        <v>0</v>
      </c>
      <c r="M56" s="1063">
        <v>0</v>
      </c>
      <c r="N56" s="1064">
        <v>0</v>
      </c>
      <c r="O56" s="626" t="s">
        <v>1714</v>
      </c>
      <c r="Q56" s="102"/>
    </row>
    <row r="57" spans="1:17" x14ac:dyDescent="0.25">
      <c r="A57" s="765"/>
      <c r="B57" s="624" t="s">
        <v>835</v>
      </c>
      <c r="C57" s="1061" t="s">
        <v>939</v>
      </c>
      <c r="D57" s="1061" t="s">
        <v>947</v>
      </c>
      <c r="E57" s="1061">
        <v>65966</v>
      </c>
      <c r="F57" s="1061" t="s">
        <v>4903</v>
      </c>
      <c r="G57" s="1061" t="s">
        <v>3284</v>
      </c>
      <c r="H57" s="625">
        <v>0</v>
      </c>
      <c r="I57" s="625">
        <v>1400000</v>
      </c>
      <c r="J57" s="1062">
        <v>44627</v>
      </c>
      <c r="K57" s="1062">
        <v>44627</v>
      </c>
      <c r="L57" s="1063">
        <v>0</v>
      </c>
      <c r="M57" s="1063">
        <v>0</v>
      </c>
      <c r="N57" s="1064">
        <v>0</v>
      </c>
      <c r="O57" s="626" t="s">
        <v>1714</v>
      </c>
      <c r="Q57" s="102"/>
    </row>
    <row r="58" spans="1:17" x14ac:dyDescent="0.25">
      <c r="A58" s="765"/>
      <c r="B58" s="624" t="s">
        <v>835</v>
      </c>
      <c r="C58" s="1061" t="s">
        <v>939</v>
      </c>
      <c r="D58" s="1061" t="s">
        <v>947</v>
      </c>
      <c r="E58" s="1061">
        <v>63571</v>
      </c>
      <c r="F58" s="1061" t="s">
        <v>3925</v>
      </c>
      <c r="G58" s="1061" t="s">
        <v>3284</v>
      </c>
      <c r="H58" s="625">
        <v>0</v>
      </c>
      <c r="I58" s="625">
        <v>547000</v>
      </c>
      <c r="J58" s="1062">
        <v>44580</v>
      </c>
      <c r="K58" s="1062">
        <v>44580</v>
      </c>
      <c r="L58" s="1063">
        <v>0</v>
      </c>
      <c r="M58" s="1063">
        <v>0</v>
      </c>
      <c r="N58" s="1064">
        <v>0</v>
      </c>
      <c r="O58" s="626" t="s">
        <v>1714</v>
      </c>
      <c r="Q58" s="102"/>
    </row>
    <row r="59" spans="1:17" x14ac:dyDescent="0.25">
      <c r="A59" s="765"/>
      <c r="B59" s="624" t="s">
        <v>835</v>
      </c>
      <c r="C59" s="1061" t="s">
        <v>939</v>
      </c>
      <c r="D59" s="1061" t="s">
        <v>947</v>
      </c>
      <c r="E59" s="1061">
        <v>60574</v>
      </c>
      <c r="F59" s="1061" t="s">
        <v>3925</v>
      </c>
      <c r="G59" s="1061" t="s">
        <v>3284</v>
      </c>
      <c r="H59" s="625">
        <v>0</v>
      </c>
      <c r="I59" s="625">
        <v>741000</v>
      </c>
      <c r="J59" s="1062">
        <v>44571</v>
      </c>
      <c r="K59" s="1062">
        <v>44571</v>
      </c>
      <c r="L59" s="1063">
        <v>0</v>
      </c>
      <c r="M59" s="1063">
        <v>0</v>
      </c>
      <c r="N59" s="1064">
        <v>0</v>
      </c>
      <c r="O59" s="626" t="s">
        <v>1714</v>
      </c>
      <c r="Q59" s="102"/>
    </row>
    <row r="60" spans="1:17" x14ac:dyDescent="0.25">
      <c r="A60" s="765"/>
      <c r="B60" s="624" t="s">
        <v>835</v>
      </c>
      <c r="C60" s="1061" t="s">
        <v>939</v>
      </c>
      <c r="D60" s="1061" t="s">
        <v>947</v>
      </c>
      <c r="E60" s="1061">
        <v>58103</v>
      </c>
      <c r="F60" s="1061" t="s">
        <v>3925</v>
      </c>
      <c r="G60" s="1061" t="s">
        <v>3284</v>
      </c>
      <c r="H60" s="625">
        <v>0</v>
      </c>
      <c r="I60" s="625">
        <v>204000</v>
      </c>
      <c r="J60" s="1062">
        <v>44536</v>
      </c>
      <c r="K60" s="1062">
        <v>44536</v>
      </c>
      <c r="L60" s="1063">
        <v>0</v>
      </c>
      <c r="M60" s="1063">
        <v>0</v>
      </c>
      <c r="N60" s="1064">
        <v>0</v>
      </c>
      <c r="O60" s="626" t="s">
        <v>1714</v>
      </c>
      <c r="Q60" s="102"/>
    </row>
    <row r="61" spans="1:17" x14ac:dyDescent="0.25">
      <c r="A61" s="765"/>
      <c r="B61" s="624" t="s">
        <v>835</v>
      </c>
      <c r="C61" s="1061" t="s">
        <v>939</v>
      </c>
      <c r="D61" s="1061" t="s">
        <v>947</v>
      </c>
      <c r="E61" s="1061">
        <v>68072</v>
      </c>
      <c r="F61" s="1061" t="s">
        <v>5071</v>
      </c>
      <c r="G61" s="1061" t="s">
        <v>607</v>
      </c>
      <c r="H61" s="625">
        <v>17439</v>
      </c>
      <c r="I61" s="625">
        <v>17439</v>
      </c>
      <c r="J61" s="1062">
        <v>44643</v>
      </c>
      <c r="K61" s="1062">
        <v>44643</v>
      </c>
      <c r="L61" s="1063">
        <v>3.3259999999999998E-2</v>
      </c>
      <c r="M61" s="1063">
        <v>0</v>
      </c>
      <c r="N61" s="1064">
        <v>0</v>
      </c>
      <c r="O61" s="626" t="s">
        <v>1714</v>
      </c>
      <c r="Q61" s="102"/>
    </row>
    <row r="62" spans="1:17" x14ac:dyDescent="0.25">
      <c r="A62" s="765"/>
      <c r="B62" s="624" t="s">
        <v>835</v>
      </c>
      <c r="C62" s="1061" t="s">
        <v>939</v>
      </c>
      <c r="D62" s="1061" t="s">
        <v>947</v>
      </c>
      <c r="E62" s="1061">
        <v>68026</v>
      </c>
      <c r="F62" s="1061" t="s">
        <v>330</v>
      </c>
      <c r="G62" s="1061" t="s">
        <v>4579</v>
      </c>
      <c r="H62" s="625">
        <v>300000</v>
      </c>
      <c r="I62" s="625">
        <v>306500</v>
      </c>
      <c r="J62" s="1062">
        <v>44645</v>
      </c>
      <c r="K62" s="1062">
        <v>44727</v>
      </c>
      <c r="L62" s="1063">
        <v>1.026E-2</v>
      </c>
      <c r="M62" s="1063">
        <v>2.4390243902400001E-2</v>
      </c>
      <c r="N62" s="1064">
        <v>20</v>
      </c>
      <c r="O62" s="626" t="s">
        <v>1714</v>
      </c>
      <c r="Q62" s="102"/>
    </row>
    <row r="63" spans="1:17" x14ac:dyDescent="0.25">
      <c r="A63" s="765"/>
      <c r="B63" s="624" t="s">
        <v>835</v>
      </c>
      <c r="C63" s="1061" t="s">
        <v>939</v>
      </c>
      <c r="D63" s="1061" t="s">
        <v>947</v>
      </c>
      <c r="E63" s="1061">
        <v>68024</v>
      </c>
      <c r="F63" s="1061" t="s">
        <v>827</v>
      </c>
      <c r="G63" s="1061" t="s">
        <v>5070</v>
      </c>
      <c r="H63" s="625">
        <v>300000</v>
      </c>
      <c r="I63" s="625">
        <v>300000</v>
      </c>
      <c r="J63" s="1062">
        <v>44645</v>
      </c>
      <c r="K63" s="1062">
        <v>44727</v>
      </c>
      <c r="L63" s="1063">
        <v>5.4760000000000003E-2</v>
      </c>
      <c r="M63" s="1063">
        <v>0</v>
      </c>
      <c r="N63" s="1064">
        <v>465</v>
      </c>
      <c r="O63" s="626" t="s">
        <v>1714</v>
      </c>
      <c r="Q63" s="102"/>
    </row>
    <row r="64" spans="1:17" s="765" customFormat="1" x14ac:dyDescent="0.25">
      <c r="B64" s="624" t="s">
        <v>835</v>
      </c>
      <c r="C64" s="1061" t="s">
        <v>939</v>
      </c>
      <c r="D64" s="1061" t="s">
        <v>947</v>
      </c>
      <c r="E64" s="1061">
        <v>67904</v>
      </c>
      <c r="F64" s="1061" t="s">
        <v>330</v>
      </c>
      <c r="G64" s="1061" t="s">
        <v>4579</v>
      </c>
      <c r="H64" s="625">
        <v>1700000</v>
      </c>
      <c r="I64" s="625">
        <v>1730000</v>
      </c>
      <c r="J64" s="1062">
        <v>44642</v>
      </c>
      <c r="K64" s="1062">
        <v>44727</v>
      </c>
      <c r="L64" s="1063">
        <v>1.026E-2</v>
      </c>
      <c r="M64" s="1063">
        <v>2.4390243902400001E-2</v>
      </c>
      <c r="N64" s="1064">
        <v>20</v>
      </c>
      <c r="O64" s="626" t="s">
        <v>1714</v>
      </c>
      <c r="Q64" s="102"/>
    </row>
    <row r="65" spans="1:17" s="765" customFormat="1" x14ac:dyDescent="0.25">
      <c r="B65" s="624" t="s">
        <v>835</v>
      </c>
      <c r="C65" s="1061" t="s">
        <v>939</v>
      </c>
      <c r="D65" s="1061" t="s">
        <v>947</v>
      </c>
      <c r="E65" s="1061">
        <v>67721</v>
      </c>
      <c r="F65" s="1061" t="s">
        <v>827</v>
      </c>
      <c r="G65" s="1061" t="s">
        <v>2339</v>
      </c>
      <c r="H65" s="625">
        <v>500000</v>
      </c>
      <c r="I65" s="625">
        <v>585188</v>
      </c>
      <c r="J65" s="1062">
        <v>44635</v>
      </c>
      <c r="K65" s="1062">
        <v>44727</v>
      </c>
      <c r="L65" s="1063">
        <v>3.3259999999999998E-2</v>
      </c>
      <c r="M65" s="1063">
        <v>0</v>
      </c>
      <c r="N65" s="1064">
        <v>250</v>
      </c>
      <c r="O65" s="626" t="s">
        <v>1714</v>
      </c>
      <c r="Q65" s="102"/>
    </row>
    <row r="66" spans="1:17" s="765" customFormat="1" x14ac:dyDescent="0.25">
      <c r="B66" s="624" t="s">
        <v>835</v>
      </c>
      <c r="C66" s="1061" t="s">
        <v>939</v>
      </c>
      <c r="D66" s="1061" t="s">
        <v>947</v>
      </c>
      <c r="E66" s="1061">
        <v>68126</v>
      </c>
      <c r="F66" s="1061" t="s">
        <v>827</v>
      </c>
      <c r="G66" s="1061" t="s">
        <v>3378</v>
      </c>
      <c r="H66" s="625">
        <v>600000</v>
      </c>
      <c r="I66" s="625">
        <v>600000</v>
      </c>
      <c r="J66" s="1062">
        <v>44648</v>
      </c>
      <c r="K66" s="1062">
        <v>44727</v>
      </c>
      <c r="L66" s="1063">
        <v>5.4760000000000003E-2</v>
      </c>
      <c r="M66" s="1063">
        <v>0</v>
      </c>
      <c r="N66" s="1064">
        <v>465</v>
      </c>
      <c r="O66" s="626" t="s">
        <v>1714</v>
      </c>
      <c r="Q66" s="102"/>
    </row>
    <row r="67" spans="1:17" s="765" customFormat="1" x14ac:dyDescent="0.25">
      <c r="B67" s="624" t="s">
        <v>835</v>
      </c>
      <c r="C67" s="1061" t="s">
        <v>939</v>
      </c>
      <c r="D67" s="1061" t="s">
        <v>947</v>
      </c>
      <c r="E67" s="1061">
        <v>68125</v>
      </c>
      <c r="F67" s="1061" t="s">
        <v>330</v>
      </c>
      <c r="G67" s="1061" t="s">
        <v>5073</v>
      </c>
      <c r="H67" s="625">
        <v>600000</v>
      </c>
      <c r="I67" s="625">
        <v>646000</v>
      </c>
      <c r="J67" s="1139">
        <v>44648</v>
      </c>
      <c r="K67" s="1139">
        <v>44727</v>
      </c>
      <c r="L67" s="1063">
        <v>1.026E-2</v>
      </c>
      <c r="M67" s="1063">
        <v>2.4390243902400001E-2</v>
      </c>
      <c r="N67" s="1064">
        <v>20</v>
      </c>
      <c r="O67" s="626" t="s">
        <v>1714</v>
      </c>
      <c r="Q67" s="102"/>
    </row>
    <row r="68" spans="1:17" s="765" customFormat="1" x14ac:dyDescent="0.25">
      <c r="B68" s="624" t="s">
        <v>835</v>
      </c>
      <c r="C68" s="1061" t="s">
        <v>939</v>
      </c>
      <c r="D68" s="1061" t="s">
        <v>947</v>
      </c>
      <c r="E68" s="1061">
        <v>67676</v>
      </c>
      <c r="F68" s="1061" t="s">
        <v>330</v>
      </c>
      <c r="G68" s="1061" t="s">
        <v>4579</v>
      </c>
      <c r="H68" s="625">
        <v>6700000</v>
      </c>
      <c r="I68" s="625">
        <v>6800000</v>
      </c>
      <c r="J68" s="1062">
        <v>44635</v>
      </c>
      <c r="K68" s="1062">
        <v>44727</v>
      </c>
      <c r="L68" s="1063">
        <v>1.026E-2</v>
      </c>
      <c r="M68" s="1063">
        <v>2.4390243902400001E-2</v>
      </c>
      <c r="N68" s="1064">
        <v>20</v>
      </c>
      <c r="O68" s="626" t="s">
        <v>1714</v>
      </c>
      <c r="Q68" s="102"/>
    </row>
    <row r="69" spans="1:17" x14ac:dyDescent="0.25">
      <c r="A69" s="765"/>
      <c r="B69" s="624" t="s">
        <v>835</v>
      </c>
      <c r="C69" s="1061" t="s">
        <v>939</v>
      </c>
      <c r="D69" s="1061" t="s">
        <v>947</v>
      </c>
      <c r="E69" s="1061">
        <v>67903</v>
      </c>
      <c r="F69" s="1061" t="s">
        <v>827</v>
      </c>
      <c r="G69" s="1061" t="s">
        <v>2933</v>
      </c>
      <c r="H69" s="625">
        <v>1700000</v>
      </c>
      <c r="I69" s="625">
        <v>1700000</v>
      </c>
      <c r="J69" s="1062">
        <v>44642</v>
      </c>
      <c r="K69" s="1062">
        <v>44727</v>
      </c>
      <c r="L69" s="1063">
        <v>3.576E-2</v>
      </c>
      <c r="M69" s="1063">
        <v>0</v>
      </c>
      <c r="N69" s="1064">
        <v>275</v>
      </c>
      <c r="O69" s="626" t="s">
        <v>1714</v>
      </c>
      <c r="Q69" s="102"/>
    </row>
    <row r="70" spans="1:17" x14ac:dyDescent="0.25">
      <c r="A70" s="765"/>
      <c r="B70" s="624" t="s">
        <v>835</v>
      </c>
      <c r="C70" s="1061" t="s">
        <v>939</v>
      </c>
      <c r="D70" s="1061" t="s">
        <v>947</v>
      </c>
      <c r="E70" s="1061">
        <v>67717</v>
      </c>
      <c r="F70" s="1061" t="s">
        <v>827</v>
      </c>
      <c r="G70" s="1061" t="s">
        <v>4622</v>
      </c>
      <c r="H70" s="625">
        <v>2200000</v>
      </c>
      <c r="I70" s="625">
        <v>2200000</v>
      </c>
      <c r="J70" s="1062">
        <v>44635</v>
      </c>
      <c r="K70" s="1062">
        <v>44727</v>
      </c>
      <c r="L70" s="1063">
        <v>3.3259999999999998E-2</v>
      </c>
      <c r="M70" s="1063">
        <v>0</v>
      </c>
      <c r="N70" s="1064">
        <v>250</v>
      </c>
      <c r="O70" s="626" t="s">
        <v>1714</v>
      </c>
      <c r="Q70" s="102"/>
    </row>
    <row r="71" spans="1:17" x14ac:dyDescent="0.25">
      <c r="A71" s="765"/>
      <c r="B71" s="624" t="s">
        <v>835</v>
      </c>
      <c r="C71" s="1061" t="s">
        <v>939</v>
      </c>
      <c r="D71" s="1061" t="s">
        <v>947</v>
      </c>
      <c r="E71" s="1061">
        <v>67782</v>
      </c>
      <c r="F71" s="1061" t="s">
        <v>330</v>
      </c>
      <c r="G71" s="1061" t="s">
        <v>4579</v>
      </c>
      <c r="H71" s="625">
        <v>216338781</v>
      </c>
      <c r="I71" s="625">
        <v>220000000</v>
      </c>
      <c r="J71" s="1062">
        <v>44637</v>
      </c>
      <c r="K71" s="1062">
        <v>44727</v>
      </c>
      <c r="L71" s="1063">
        <v>1.026E-2</v>
      </c>
      <c r="M71" s="1063">
        <v>2.4390243902400001E-2</v>
      </c>
      <c r="N71" s="1064">
        <v>0</v>
      </c>
      <c r="O71" s="626" t="s">
        <v>1714</v>
      </c>
      <c r="Q71" s="102"/>
    </row>
    <row r="72" spans="1:17" x14ac:dyDescent="0.25">
      <c r="A72" s="765"/>
      <c r="B72" s="624" t="s">
        <v>835</v>
      </c>
      <c r="C72" s="1061" t="s">
        <v>939</v>
      </c>
      <c r="D72" s="1061" t="s">
        <v>947</v>
      </c>
      <c r="E72" s="1061">
        <v>67720</v>
      </c>
      <c r="F72" s="1061" t="s">
        <v>827</v>
      </c>
      <c r="G72" s="1061" t="s">
        <v>2339</v>
      </c>
      <c r="H72" s="625">
        <v>9269566</v>
      </c>
      <c r="I72" s="625">
        <v>10848877</v>
      </c>
      <c r="J72" s="1062">
        <v>44635</v>
      </c>
      <c r="K72" s="1062">
        <v>44727</v>
      </c>
      <c r="L72" s="1063">
        <v>3.3259999999999998E-2</v>
      </c>
      <c r="M72" s="1063">
        <v>0</v>
      </c>
      <c r="N72" s="1064">
        <v>250</v>
      </c>
      <c r="O72" s="626" t="s">
        <v>1714</v>
      </c>
      <c r="Q72" s="102"/>
    </row>
    <row r="73" spans="1:17" x14ac:dyDescent="0.25">
      <c r="A73" s="765"/>
      <c r="B73" s="624" t="s">
        <v>835</v>
      </c>
      <c r="C73" s="1061" t="s">
        <v>939</v>
      </c>
      <c r="D73" s="1061" t="s">
        <v>947</v>
      </c>
      <c r="E73" s="1061">
        <v>68252</v>
      </c>
      <c r="F73" s="1061" t="s">
        <v>827</v>
      </c>
      <c r="G73" s="1061" t="s">
        <v>4599</v>
      </c>
      <c r="H73" s="625">
        <v>10000000</v>
      </c>
      <c r="I73" s="625">
        <v>10000000</v>
      </c>
      <c r="J73" s="1062">
        <v>44651</v>
      </c>
      <c r="K73" s="1062">
        <v>44680</v>
      </c>
      <c r="L73" s="1063">
        <v>2.6657E-2</v>
      </c>
      <c r="M73" s="1063">
        <v>0</v>
      </c>
      <c r="N73" s="1064">
        <v>235</v>
      </c>
      <c r="O73" s="626" t="s">
        <v>1714</v>
      </c>
      <c r="Q73" s="102"/>
    </row>
    <row r="74" spans="1:17" x14ac:dyDescent="0.25">
      <c r="A74" s="765"/>
      <c r="B74" s="624" t="s">
        <v>835</v>
      </c>
      <c r="C74" s="1061" t="s">
        <v>939</v>
      </c>
      <c r="D74" s="1061" t="s">
        <v>947</v>
      </c>
      <c r="E74" s="1061">
        <v>67716</v>
      </c>
      <c r="F74" s="1061" t="s">
        <v>827</v>
      </c>
      <c r="G74" s="1061" t="s">
        <v>3011</v>
      </c>
      <c r="H74" s="625">
        <v>13400000</v>
      </c>
      <c r="I74" s="625">
        <v>13400000</v>
      </c>
      <c r="J74" s="1062">
        <v>44635</v>
      </c>
      <c r="K74" s="1062">
        <v>44727</v>
      </c>
      <c r="L74" s="1063">
        <v>3.576E-2</v>
      </c>
      <c r="M74" s="1063">
        <v>0</v>
      </c>
      <c r="N74" s="1064">
        <v>275</v>
      </c>
      <c r="O74" s="626" t="s">
        <v>1714</v>
      </c>
      <c r="Q74" s="102"/>
    </row>
    <row r="75" spans="1:17" x14ac:dyDescent="0.25">
      <c r="A75" s="765"/>
      <c r="B75" s="624" t="s">
        <v>835</v>
      </c>
      <c r="C75" s="1061" t="s">
        <v>939</v>
      </c>
      <c r="D75" s="1061" t="s">
        <v>947</v>
      </c>
      <c r="E75" s="1061">
        <v>67719</v>
      </c>
      <c r="F75" s="1061" t="s">
        <v>827</v>
      </c>
      <c r="G75" s="1061" t="s">
        <v>2982</v>
      </c>
      <c r="H75" s="625">
        <v>24432976</v>
      </c>
      <c r="I75" s="625">
        <v>24432976</v>
      </c>
      <c r="J75" s="1062">
        <v>44635</v>
      </c>
      <c r="K75" s="1062">
        <v>44727</v>
      </c>
      <c r="L75" s="1063">
        <v>5.4760000000000003E-2</v>
      </c>
      <c r="M75" s="1063">
        <v>0</v>
      </c>
      <c r="N75" s="1064">
        <v>465</v>
      </c>
      <c r="O75" s="626" t="s">
        <v>1714</v>
      </c>
      <c r="Q75" s="102"/>
    </row>
    <row r="76" spans="1:17" x14ac:dyDescent="0.25">
      <c r="A76" s="765"/>
      <c r="B76" s="624" t="s">
        <v>835</v>
      </c>
      <c r="C76" s="1061" t="s">
        <v>939</v>
      </c>
      <c r="D76" s="1061" t="s">
        <v>947</v>
      </c>
      <c r="E76" s="1061">
        <v>67715</v>
      </c>
      <c r="F76" s="1061" t="s">
        <v>827</v>
      </c>
      <c r="G76" s="1061" t="s">
        <v>1695</v>
      </c>
      <c r="H76" s="625">
        <v>44350150</v>
      </c>
      <c r="I76" s="625">
        <v>44350150</v>
      </c>
      <c r="J76" s="1062">
        <v>44635</v>
      </c>
      <c r="K76" s="1062">
        <v>44727</v>
      </c>
      <c r="L76" s="1063">
        <v>3.1009999999999999E-2</v>
      </c>
      <c r="M76" s="1063">
        <v>0</v>
      </c>
      <c r="N76" s="1064">
        <v>227.5</v>
      </c>
      <c r="O76" s="626" t="s">
        <v>1714</v>
      </c>
      <c r="Q76" s="102"/>
    </row>
    <row r="77" spans="1:17" x14ac:dyDescent="0.25">
      <c r="A77" s="765"/>
      <c r="B77" s="624" t="s">
        <v>835</v>
      </c>
      <c r="C77" s="1061" t="s">
        <v>939</v>
      </c>
      <c r="D77" s="1061" t="s">
        <v>947</v>
      </c>
      <c r="E77" s="1061">
        <v>67725</v>
      </c>
      <c r="F77" s="1061" t="s">
        <v>827</v>
      </c>
      <c r="G77" s="1061" t="s">
        <v>1560</v>
      </c>
      <c r="H77" s="625">
        <v>118886089</v>
      </c>
      <c r="I77" s="625">
        <v>124621986</v>
      </c>
      <c r="J77" s="1062">
        <v>44635</v>
      </c>
      <c r="K77" s="1062">
        <v>44727</v>
      </c>
      <c r="L77" s="1063">
        <v>3.0759999999999999E-2</v>
      </c>
      <c r="M77" s="1063">
        <v>0</v>
      </c>
      <c r="N77" s="1064">
        <v>225</v>
      </c>
      <c r="O77" s="626" t="s">
        <v>1714</v>
      </c>
      <c r="Q77" s="102"/>
    </row>
    <row r="78" spans="1:17" x14ac:dyDescent="0.25">
      <c r="A78" s="765"/>
      <c r="B78" s="624" t="s">
        <v>835</v>
      </c>
      <c r="C78" s="1061" t="s">
        <v>939</v>
      </c>
      <c r="D78" s="1061" t="s">
        <v>947</v>
      </c>
      <c r="E78" s="1061">
        <v>68216</v>
      </c>
      <c r="F78" s="1061" t="s">
        <v>5071</v>
      </c>
      <c r="G78" s="1061" t="s">
        <v>607</v>
      </c>
      <c r="H78" s="625">
        <v>390609</v>
      </c>
      <c r="I78" s="625">
        <v>390609</v>
      </c>
      <c r="J78" s="1062">
        <v>44650</v>
      </c>
      <c r="K78" s="1062">
        <v>44650</v>
      </c>
      <c r="L78" s="1063">
        <v>3.3259999999999998E-2</v>
      </c>
      <c r="M78" s="1063">
        <v>0</v>
      </c>
      <c r="N78" s="1064">
        <v>0</v>
      </c>
      <c r="O78" s="626" t="s">
        <v>1714</v>
      </c>
      <c r="Q78" s="102"/>
    </row>
    <row r="79" spans="1:17" x14ac:dyDescent="0.25">
      <c r="A79" s="765"/>
      <c r="B79" s="624" t="s">
        <v>835</v>
      </c>
      <c r="C79" s="1061" t="s">
        <v>948</v>
      </c>
      <c r="D79" s="1061" t="s">
        <v>982</v>
      </c>
      <c r="E79" s="1061">
        <v>67905</v>
      </c>
      <c r="F79" s="1061" t="s">
        <v>827</v>
      </c>
      <c r="G79" s="1061" t="s">
        <v>4509</v>
      </c>
      <c r="H79" s="625">
        <v>3808000</v>
      </c>
      <c r="I79" s="625">
        <v>3808000</v>
      </c>
      <c r="J79" s="1062">
        <v>44642</v>
      </c>
      <c r="K79" s="1062">
        <v>44734</v>
      </c>
      <c r="L79" s="1063">
        <v>1.363E-2</v>
      </c>
      <c r="M79" s="1063">
        <v>0</v>
      </c>
      <c r="N79" s="1064">
        <v>185</v>
      </c>
      <c r="O79" s="626" t="s">
        <v>1714</v>
      </c>
      <c r="Q79" s="102"/>
    </row>
    <row r="80" spans="1:17" x14ac:dyDescent="0.25">
      <c r="A80" s="765"/>
      <c r="B80" s="624" t="s">
        <v>835</v>
      </c>
      <c r="C80" s="1061" t="s">
        <v>948</v>
      </c>
      <c r="D80" s="1061" t="s">
        <v>982</v>
      </c>
      <c r="E80" s="1061">
        <v>67723</v>
      </c>
      <c r="F80" s="1061" t="s">
        <v>827</v>
      </c>
      <c r="G80" s="1061" t="s">
        <v>3418</v>
      </c>
      <c r="H80" s="625">
        <v>12224694.890000001</v>
      </c>
      <c r="I80" s="625">
        <v>12837041</v>
      </c>
      <c r="J80" s="1062">
        <v>44635</v>
      </c>
      <c r="K80" s="1062">
        <v>44727</v>
      </c>
      <c r="L80" s="1063">
        <v>2.2000000000000002E-2</v>
      </c>
      <c r="M80" s="1063">
        <v>0</v>
      </c>
      <c r="N80" s="1064">
        <v>270</v>
      </c>
      <c r="O80" s="626" t="s">
        <v>1714</v>
      </c>
      <c r="Q80" s="102"/>
    </row>
    <row r="81" spans="1:17" x14ac:dyDescent="0.25">
      <c r="A81" s="765"/>
      <c r="B81" s="624" t="s">
        <v>835</v>
      </c>
      <c r="C81" s="1061" t="s">
        <v>948</v>
      </c>
      <c r="D81" s="1061" t="s">
        <v>982</v>
      </c>
      <c r="E81" s="1061">
        <v>67722</v>
      </c>
      <c r="F81" s="1061" t="s">
        <v>827</v>
      </c>
      <c r="G81" s="1061" t="s">
        <v>3131</v>
      </c>
      <c r="H81" s="625">
        <v>14300000</v>
      </c>
      <c r="I81" s="625">
        <v>14300000</v>
      </c>
      <c r="J81" s="1062">
        <v>44635</v>
      </c>
      <c r="K81" s="1062">
        <v>44727</v>
      </c>
      <c r="L81" s="1063">
        <v>4.1500000000000002E-2</v>
      </c>
      <c r="M81" s="1063">
        <v>0</v>
      </c>
      <c r="N81" s="1064">
        <v>465</v>
      </c>
      <c r="O81" s="626" t="s">
        <v>1714</v>
      </c>
      <c r="Q81" s="102"/>
    </row>
    <row r="82" spans="1:17" x14ac:dyDescent="0.25">
      <c r="A82" s="765"/>
      <c r="B82" s="624" t="s">
        <v>835</v>
      </c>
      <c r="C82" s="1061" t="s">
        <v>948</v>
      </c>
      <c r="D82" s="1061" t="s">
        <v>982</v>
      </c>
      <c r="E82" s="1061">
        <v>67732</v>
      </c>
      <c r="F82" s="1061" t="s">
        <v>330</v>
      </c>
      <c r="G82" s="1061" t="s">
        <v>4420</v>
      </c>
      <c r="H82" s="625">
        <v>23402200</v>
      </c>
      <c r="I82" s="625">
        <v>20454000</v>
      </c>
      <c r="J82" s="1062">
        <v>44635</v>
      </c>
      <c r="K82" s="1062">
        <v>44727</v>
      </c>
      <c r="L82" s="1063">
        <v>-3.0000000000000001E-3</v>
      </c>
      <c r="M82" s="1063">
        <v>3.8461538461500001E-2</v>
      </c>
      <c r="N82" s="1064">
        <v>20</v>
      </c>
      <c r="O82" s="626" t="s">
        <v>1714</v>
      </c>
      <c r="Q82" s="102"/>
    </row>
    <row r="83" spans="1:17" x14ac:dyDescent="0.25">
      <c r="A83" s="765"/>
      <c r="B83" s="624" t="s">
        <v>835</v>
      </c>
      <c r="C83" s="1061" t="s">
        <v>948</v>
      </c>
      <c r="D83" s="1061" t="s">
        <v>982</v>
      </c>
      <c r="E83" s="1061">
        <v>67906</v>
      </c>
      <c r="F83" s="1061" t="s">
        <v>827</v>
      </c>
      <c r="G83" s="1061" t="s">
        <v>4510</v>
      </c>
      <c r="H83" s="625">
        <v>66202000</v>
      </c>
      <c r="I83" s="625">
        <v>66202000</v>
      </c>
      <c r="J83" s="1062">
        <v>44642</v>
      </c>
      <c r="K83" s="1062">
        <v>44734</v>
      </c>
      <c r="L83" s="1063">
        <v>1.363E-2</v>
      </c>
      <c r="M83" s="1063">
        <v>0</v>
      </c>
      <c r="N83" s="1064">
        <v>185</v>
      </c>
      <c r="O83" s="626" t="s">
        <v>1714</v>
      </c>
      <c r="Q83" s="102"/>
    </row>
    <row r="84" spans="1:17" x14ac:dyDescent="0.25">
      <c r="A84" s="765"/>
      <c r="B84" s="624" t="s">
        <v>835</v>
      </c>
      <c r="C84" s="1061" t="s">
        <v>948</v>
      </c>
      <c r="D84" s="1061" t="s">
        <v>982</v>
      </c>
      <c r="E84" s="1061">
        <v>67907</v>
      </c>
      <c r="F84" s="1061" t="s">
        <v>330</v>
      </c>
      <c r="G84" s="1061" t="s">
        <v>4420</v>
      </c>
      <c r="H84" s="625">
        <v>70010682.340000004</v>
      </c>
      <c r="I84" s="625">
        <v>62410000</v>
      </c>
      <c r="J84" s="1062">
        <v>44642</v>
      </c>
      <c r="K84" s="1062">
        <v>44734</v>
      </c>
      <c r="L84" s="1063">
        <v>-2.8699999999999997E-3</v>
      </c>
      <c r="M84" s="1063">
        <v>3.8461538461500001E-2</v>
      </c>
      <c r="N84" s="1064">
        <v>20</v>
      </c>
      <c r="O84" s="626" t="s">
        <v>1714</v>
      </c>
      <c r="Q84" s="102"/>
    </row>
    <row r="85" spans="1:17" x14ac:dyDescent="0.25">
      <c r="A85" s="765"/>
      <c r="B85" s="624" t="s">
        <v>835</v>
      </c>
      <c r="C85" s="1061" t="s">
        <v>948</v>
      </c>
      <c r="D85" s="1061" t="s">
        <v>982</v>
      </c>
      <c r="E85" s="1061">
        <v>67920</v>
      </c>
      <c r="F85" s="1061" t="s">
        <v>827</v>
      </c>
      <c r="G85" s="1061" t="s">
        <v>2358</v>
      </c>
      <c r="H85" s="625">
        <v>76400000</v>
      </c>
      <c r="I85" s="625">
        <v>76400000</v>
      </c>
      <c r="J85" s="1062">
        <v>44635</v>
      </c>
      <c r="K85" s="1062">
        <v>44727</v>
      </c>
      <c r="L85" s="1063">
        <v>1.6E-2</v>
      </c>
      <c r="M85" s="1063">
        <v>0</v>
      </c>
      <c r="N85" s="1064">
        <v>210</v>
      </c>
      <c r="O85" s="626" t="s">
        <v>1714</v>
      </c>
      <c r="Q85" s="102"/>
    </row>
    <row r="86" spans="1:17" x14ac:dyDescent="0.25">
      <c r="A86" s="765"/>
      <c r="B86" s="624" t="s">
        <v>835</v>
      </c>
      <c r="C86" s="1061" t="s">
        <v>948</v>
      </c>
      <c r="D86" s="1061" t="s">
        <v>982</v>
      </c>
      <c r="E86" s="1061">
        <v>67726</v>
      </c>
      <c r="F86" s="1061" t="s">
        <v>330</v>
      </c>
      <c r="G86" s="1061" t="s">
        <v>4420</v>
      </c>
      <c r="H86" s="625">
        <v>76400000</v>
      </c>
      <c r="I86" s="625">
        <v>66300000</v>
      </c>
      <c r="J86" s="1062">
        <v>44635</v>
      </c>
      <c r="K86" s="1062">
        <v>44727</v>
      </c>
      <c r="L86" s="1063">
        <v>-3.0000000000000001E-3</v>
      </c>
      <c r="M86" s="1063">
        <v>3.8461538461500001E-2</v>
      </c>
      <c r="N86" s="1064">
        <v>20</v>
      </c>
      <c r="O86" s="626" t="s">
        <v>1714</v>
      </c>
      <c r="Q86" s="102"/>
    </row>
    <row r="87" spans="1:17" s="765" customFormat="1" x14ac:dyDescent="0.25">
      <c r="B87" s="624" t="s">
        <v>835</v>
      </c>
      <c r="C87" s="1061" t="s">
        <v>939</v>
      </c>
      <c r="D87" s="1061" t="s">
        <v>982</v>
      </c>
      <c r="E87" s="1061">
        <v>0</v>
      </c>
      <c r="F87" s="1061"/>
      <c r="G87" s="1061" t="s">
        <v>607</v>
      </c>
      <c r="H87" s="625">
        <v>0</v>
      </c>
      <c r="I87" s="625">
        <v>0</v>
      </c>
      <c r="J87" s="1158">
        <v>44635</v>
      </c>
      <c r="K87" s="1158">
        <v>44635</v>
      </c>
      <c r="L87" s="1063">
        <v>0</v>
      </c>
      <c r="M87" s="1063">
        <v>0</v>
      </c>
      <c r="N87" s="1064">
        <v>0</v>
      </c>
      <c r="O87" s="626"/>
      <c r="Q87" s="102"/>
    </row>
    <row r="88" spans="1:17" s="765" customFormat="1" x14ac:dyDescent="0.25">
      <c r="B88" s="624"/>
      <c r="C88" s="1061"/>
      <c r="D88" s="1061"/>
      <c r="E88" s="1061"/>
      <c r="F88" s="1061"/>
      <c r="G88" s="1061"/>
      <c r="H88" s="625"/>
      <c r="I88" s="625"/>
      <c r="J88" s="1158"/>
      <c r="K88" s="1158"/>
      <c r="L88" s="1063"/>
      <c r="M88" s="1063"/>
      <c r="N88" s="1064"/>
      <c r="O88" s="626"/>
      <c r="Q88" s="102"/>
    </row>
    <row r="89" spans="1:17" x14ac:dyDescent="0.25">
      <c r="A89" s="765"/>
      <c r="B89" s="624"/>
      <c r="C89" s="1061"/>
      <c r="D89" s="1061"/>
      <c r="E89" s="1061"/>
      <c r="F89" s="1061"/>
      <c r="G89" s="1061"/>
      <c r="H89" s="625"/>
      <c r="I89" s="625"/>
      <c r="J89" s="1062"/>
      <c r="K89" s="1062"/>
      <c r="L89" s="1063"/>
      <c r="M89" s="1063"/>
      <c r="N89" s="1064"/>
      <c r="O89" s="626"/>
      <c r="Q89" s="102"/>
    </row>
    <row r="90" spans="1:17" x14ac:dyDescent="0.25">
      <c r="A90" s="765"/>
      <c r="B90" s="624"/>
      <c r="C90" s="1061"/>
      <c r="D90" s="1061"/>
      <c r="E90" s="1061"/>
      <c r="F90" s="1061"/>
      <c r="G90" s="1061"/>
      <c r="H90" s="625"/>
      <c r="I90" s="625"/>
      <c r="J90" s="1062"/>
      <c r="K90" s="1062"/>
      <c r="L90" s="1063"/>
      <c r="M90" s="1063"/>
      <c r="N90" s="1064"/>
      <c r="O90" s="626"/>
      <c r="Q90" s="102"/>
    </row>
    <row r="91" spans="1:17" x14ac:dyDescent="0.25">
      <c r="A91" s="765"/>
      <c r="B91" s="624"/>
      <c r="C91" s="1061"/>
      <c r="D91" s="1061"/>
      <c r="E91" s="1061"/>
      <c r="F91" s="1061"/>
      <c r="G91" s="1061"/>
      <c r="H91" s="625"/>
      <c r="I91" s="625"/>
      <c r="J91" s="1062"/>
      <c r="K91" s="1062"/>
      <c r="L91" s="1063"/>
      <c r="M91" s="1063"/>
      <c r="N91" s="1064"/>
      <c r="O91" s="626"/>
      <c r="Q91" s="102"/>
    </row>
    <row r="92" spans="1:17" x14ac:dyDescent="0.25">
      <c r="A92" s="765"/>
      <c r="B92" s="624"/>
      <c r="C92" s="1061"/>
      <c r="D92" s="1061"/>
      <c r="E92" s="1061"/>
      <c r="F92" s="1061"/>
      <c r="G92" s="1061"/>
      <c r="H92" s="625"/>
      <c r="I92" s="625"/>
      <c r="J92" s="1062"/>
      <c r="K92" s="1062"/>
      <c r="L92" s="1063"/>
      <c r="M92" s="1063"/>
      <c r="N92" s="1064"/>
      <c r="O92" s="626"/>
      <c r="Q92" s="102"/>
    </row>
    <row r="93" spans="1:17" x14ac:dyDescent="0.25">
      <c r="A93" s="765"/>
      <c r="B93" s="624"/>
      <c r="C93" s="1061"/>
      <c r="D93" s="1061"/>
      <c r="E93" s="1061"/>
      <c r="F93" s="1061"/>
      <c r="G93" s="1061"/>
      <c r="H93" s="625"/>
      <c r="I93" s="625"/>
      <c r="J93" s="1062"/>
      <c r="K93" s="1062"/>
      <c r="L93" s="1063"/>
      <c r="M93" s="1063"/>
      <c r="N93" s="1064"/>
      <c r="O93" s="626"/>
      <c r="Q93" s="102"/>
    </row>
    <row r="94" spans="1:17" x14ac:dyDescent="0.25">
      <c r="A94" s="765"/>
      <c r="B94" s="624"/>
      <c r="C94" s="1061"/>
      <c r="D94" s="1061"/>
      <c r="E94" s="1061"/>
      <c r="F94" s="1061"/>
      <c r="G94" s="1061"/>
      <c r="H94" s="625"/>
      <c r="I94" s="625"/>
      <c r="J94" s="1062"/>
      <c r="K94" s="1062"/>
      <c r="L94" s="1063"/>
      <c r="M94" s="1063"/>
      <c r="N94" s="1064"/>
      <c r="O94" s="626"/>
      <c r="Q94" s="102"/>
    </row>
    <row r="95" spans="1:17" x14ac:dyDescent="0.25">
      <c r="A95" s="765"/>
      <c r="B95" s="624"/>
      <c r="C95" s="1061"/>
      <c r="D95" s="1061"/>
      <c r="E95" s="1061"/>
      <c r="F95" s="1061"/>
      <c r="G95" s="1061"/>
      <c r="H95" s="625"/>
      <c r="I95" s="625"/>
      <c r="J95" s="1062"/>
      <c r="K95" s="1062"/>
      <c r="L95" s="1063"/>
      <c r="M95" s="1063"/>
      <c r="N95" s="1064"/>
      <c r="O95" s="626"/>
      <c r="Q95" s="102"/>
    </row>
    <row r="96" spans="1:17" x14ac:dyDescent="0.25">
      <c r="A96" s="765"/>
      <c r="B96" s="624"/>
      <c r="C96" s="1061"/>
      <c r="D96" s="1061"/>
      <c r="E96" s="1061"/>
      <c r="F96" s="1061"/>
      <c r="G96" s="1061"/>
      <c r="H96" s="625"/>
      <c r="I96" s="625"/>
      <c r="J96" s="1062"/>
      <c r="K96" s="1062"/>
      <c r="L96" s="1063"/>
      <c r="M96" s="1063"/>
      <c r="N96" s="1064"/>
      <c r="O96" s="626"/>
      <c r="Q96" s="102"/>
    </row>
    <row r="97" spans="1:17" x14ac:dyDescent="0.25">
      <c r="A97" s="765"/>
      <c r="B97" s="624"/>
      <c r="C97" s="1061"/>
      <c r="D97" s="1061"/>
      <c r="E97" s="1061"/>
      <c r="F97" s="1061"/>
      <c r="G97" s="1061"/>
      <c r="H97" s="625"/>
      <c r="I97" s="625"/>
      <c r="J97" s="1062"/>
      <c r="K97" s="1062"/>
      <c r="L97" s="1063"/>
      <c r="M97" s="1063"/>
      <c r="N97" s="1064"/>
      <c r="O97" s="626"/>
      <c r="Q97" s="102"/>
    </row>
    <row r="98" spans="1:17" x14ac:dyDescent="0.25">
      <c r="A98" s="765"/>
      <c r="B98" s="624"/>
      <c r="C98" s="1061"/>
      <c r="D98" s="1061"/>
      <c r="E98" s="1061"/>
      <c r="F98" s="1061"/>
      <c r="G98" s="1061"/>
      <c r="H98" s="625"/>
      <c r="I98" s="625"/>
      <c r="J98" s="1062"/>
      <c r="K98" s="1062"/>
      <c r="L98" s="1063"/>
      <c r="M98" s="1063"/>
      <c r="N98" s="1064"/>
      <c r="O98" s="626"/>
      <c r="Q98" s="102"/>
    </row>
    <row r="99" spans="1:17" x14ac:dyDescent="0.25">
      <c r="A99" s="765"/>
      <c r="B99" s="624"/>
      <c r="C99" s="1061"/>
      <c r="D99" s="1061"/>
      <c r="E99" s="1061"/>
      <c r="F99" s="1061"/>
      <c r="G99" s="1061"/>
      <c r="H99" s="625"/>
      <c r="I99" s="625"/>
      <c r="J99" s="1062"/>
      <c r="K99" s="1062"/>
      <c r="L99" s="1063"/>
      <c r="M99" s="1063"/>
      <c r="N99" s="1064"/>
      <c r="O99" s="626"/>
      <c r="Q99" s="102"/>
    </row>
    <row r="100" spans="1:17" x14ac:dyDescent="0.25">
      <c r="A100" s="765"/>
      <c r="B100" s="624"/>
      <c r="C100" s="1061"/>
      <c r="D100" s="1061"/>
      <c r="E100" s="1061"/>
      <c r="F100" s="1061"/>
      <c r="G100" s="1061"/>
      <c r="H100" s="625"/>
      <c r="I100" s="625"/>
      <c r="J100" s="1062"/>
      <c r="K100" s="1062"/>
      <c r="L100" s="1063"/>
      <c r="M100" s="1063"/>
      <c r="N100" s="1064"/>
      <c r="O100" s="626"/>
      <c r="P100" s="765"/>
      <c r="Q100" s="102"/>
    </row>
    <row r="101" spans="1:17" x14ac:dyDescent="0.25">
      <c r="A101" s="765"/>
      <c r="B101" s="624"/>
      <c r="C101" s="1061"/>
      <c r="D101" s="1061"/>
      <c r="E101" s="1061"/>
      <c r="F101" s="1061"/>
      <c r="G101" s="1061"/>
      <c r="H101" s="625"/>
      <c r="I101" s="625"/>
      <c r="J101" s="1062"/>
      <c r="K101" s="1062"/>
      <c r="L101" s="1063"/>
      <c r="M101" s="1063"/>
      <c r="N101" s="1064"/>
      <c r="O101" s="626"/>
      <c r="P101" s="765"/>
      <c r="Q101" s="102"/>
    </row>
    <row r="102" spans="1:17" x14ac:dyDescent="0.25">
      <c r="A102" s="765"/>
      <c r="B102" s="624"/>
      <c r="C102" s="1061"/>
      <c r="D102" s="1061"/>
      <c r="E102" s="1061"/>
      <c r="F102" s="1061"/>
      <c r="G102" s="1061"/>
      <c r="H102" s="625"/>
      <c r="I102" s="625"/>
      <c r="J102" s="1062"/>
      <c r="K102" s="1062"/>
      <c r="L102" s="1063"/>
      <c r="M102" s="1063"/>
      <c r="N102" s="1064"/>
      <c r="O102" s="626"/>
      <c r="P102" s="765"/>
      <c r="Q102" s="102"/>
    </row>
    <row r="103" spans="1:17" x14ac:dyDescent="0.25">
      <c r="A103" s="765"/>
      <c r="B103" s="624"/>
      <c r="C103" s="1061"/>
      <c r="D103" s="1061"/>
      <c r="E103" s="1061"/>
      <c r="F103" s="1061"/>
      <c r="G103" s="1061"/>
      <c r="H103" s="625"/>
      <c r="I103" s="625"/>
      <c r="J103" s="1062"/>
      <c r="K103" s="1062"/>
      <c r="L103" s="1063"/>
      <c r="M103" s="1063"/>
      <c r="N103" s="1064"/>
      <c r="O103" s="626"/>
      <c r="P103" s="765"/>
    </row>
    <row r="104" spans="1:17" x14ac:dyDescent="0.25">
      <c r="A104" s="765"/>
      <c r="B104" s="624"/>
      <c r="C104" s="1061"/>
      <c r="D104" s="1061"/>
      <c r="E104" s="1061"/>
      <c r="F104" s="1061"/>
      <c r="G104" s="1061"/>
      <c r="H104" s="625"/>
      <c r="I104" s="625"/>
      <c r="J104" s="1062"/>
      <c r="K104" s="1062"/>
      <c r="L104" s="1063"/>
      <c r="M104" s="1063"/>
      <c r="N104" s="1064"/>
      <c r="O104" s="626"/>
      <c r="P104" s="765"/>
    </row>
    <row r="105" spans="1:17" x14ac:dyDescent="0.25">
      <c r="A105" s="765"/>
      <c r="B105" s="624"/>
      <c r="C105" s="1061"/>
      <c r="D105" s="1061"/>
      <c r="E105" s="1061"/>
      <c r="F105" s="1061"/>
      <c r="G105" s="1061"/>
      <c r="H105" s="625"/>
      <c r="I105" s="625"/>
      <c r="J105" s="1062"/>
      <c r="K105" s="1062"/>
      <c r="L105" s="1063"/>
      <c r="M105" s="1063"/>
      <c r="N105" s="1064"/>
      <c r="O105" s="626"/>
      <c r="P105" s="765"/>
    </row>
    <row r="106" spans="1:17" x14ac:dyDescent="0.25">
      <c r="A106" s="765"/>
      <c r="B106" s="624"/>
      <c r="C106" s="1061"/>
      <c r="D106" s="1061"/>
      <c r="E106" s="1061"/>
      <c r="F106" s="1061"/>
      <c r="G106" s="1061"/>
      <c r="H106" s="625"/>
      <c r="I106" s="625"/>
      <c r="J106" s="1062"/>
      <c r="K106" s="1062"/>
      <c r="L106" s="1063"/>
      <c r="M106" s="1063"/>
      <c r="N106" s="1064"/>
      <c r="O106" s="626"/>
      <c r="P106" s="765"/>
    </row>
    <row r="107" spans="1:17" x14ac:dyDescent="0.25">
      <c r="A107" s="765"/>
      <c r="B107" s="624"/>
      <c r="C107" s="1061"/>
      <c r="D107" s="1061"/>
      <c r="E107" s="1061"/>
      <c r="F107" s="1061"/>
      <c r="G107" s="1061"/>
      <c r="H107" s="625"/>
      <c r="I107" s="625"/>
      <c r="J107" s="1062"/>
      <c r="K107" s="1062"/>
      <c r="L107" s="1063"/>
      <c r="M107" s="1063"/>
      <c r="N107" s="1064"/>
      <c r="O107" s="626"/>
      <c r="P107" s="765"/>
    </row>
    <row r="108" spans="1:17" x14ac:dyDescent="0.25">
      <c r="A108" s="765"/>
      <c r="B108" s="624"/>
      <c r="C108" s="1061"/>
      <c r="D108" s="1061"/>
      <c r="E108" s="1061"/>
      <c r="F108" s="1061"/>
      <c r="G108" s="1061"/>
      <c r="H108" s="625"/>
      <c r="I108" s="625"/>
      <c r="J108" s="1062"/>
      <c r="K108" s="1062"/>
      <c r="L108" s="1063"/>
      <c r="M108" s="1063"/>
      <c r="N108" s="1064"/>
      <c r="O108" s="626"/>
      <c r="P108" s="765"/>
    </row>
    <row r="109" spans="1:17" x14ac:dyDescent="0.25">
      <c r="A109" s="765"/>
      <c r="B109" s="624"/>
      <c r="C109" s="1061"/>
      <c r="D109" s="1061"/>
      <c r="E109" s="1061"/>
      <c r="F109" s="1061"/>
      <c r="G109" s="1061"/>
      <c r="H109" s="625"/>
      <c r="I109" s="625"/>
      <c r="J109" s="1062"/>
      <c r="K109" s="1062"/>
      <c r="L109" s="1063"/>
      <c r="M109" s="1063"/>
      <c r="N109" s="1064"/>
      <c r="O109" s="626"/>
      <c r="P109" s="765"/>
    </row>
    <row r="110" spans="1:17" x14ac:dyDescent="0.25">
      <c r="A110" s="765"/>
      <c r="B110" s="624"/>
      <c r="C110" s="1061"/>
      <c r="D110" s="1061"/>
      <c r="E110" s="1061"/>
      <c r="F110" s="1061"/>
      <c r="G110" s="1061"/>
      <c r="H110" s="625"/>
      <c r="I110" s="625"/>
      <c r="J110" s="1062"/>
      <c r="K110" s="1062"/>
      <c r="L110" s="1063"/>
      <c r="M110" s="1063"/>
      <c r="N110" s="1064"/>
      <c r="O110" s="626"/>
      <c r="P110" s="765"/>
    </row>
    <row r="111" spans="1:17" x14ac:dyDescent="0.25">
      <c r="A111" s="765"/>
      <c r="B111" s="624"/>
      <c r="C111" s="1061"/>
      <c r="D111" s="1061"/>
      <c r="E111" s="1061"/>
      <c r="F111" s="1061"/>
      <c r="G111" s="1061"/>
      <c r="H111" s="625"/>
      <c r="I111" s="625"/>
      <c r="J111" s="1062"/>
      <c r="K111" s="1062"/>
      <c r="L111" s="1063"/>
      <c r="M111" s="1063"/>
      <c r="N111" s="1064"/>
      <c r="O111" s="626"/>
      <c r="P111" s="765"/>
    </row>
    <row r="112" spans="1:17" x14ac:dyDescent="0.25">
      <c r="A112" s="765"/>
      <c r="B112" s="624"/>
      <c r="C112" s="1061"/>
      <c r="D112" s="1061"/>
      <c r="E112" s="1061"/>
      <c r="F112" s="1061"/>
      <c r="G112" s="1061"/>
      <c r="H112" s="625"/>
      <c r="I112" s="625"/>
      <c r="J112" s="1062"/>
      <c r="K112" s="1062"/>
      <c r="L112" s="1063"/>
      <c r="M112" s="1063"/>
      <c r="N112" s="1064"/>
      <c r="O112" s="626"/>
      <c r="P112" s="765"/>
    </row>
    <row r="113" spans="1:16" x14ac:dyDescent="0.25">
      <c r="A113" s="765"/>
      <c r="B113" s="624"/>
      <c r="C113" s="1061"/>
      <c r="D113" s="1061"/>
      <c r="E113" s="1061"/>
      <c r="F113" s="1061"/>
      <c r="G113" s="1061"/>
      <c r="H113" s="625"/>
      <c r="I113" s="625"/>
      <c r="J113" s="1062"/>
      <c r="K113" s="1062"/>
      <c r="L113" s="1063"/>
      <c r="M113" s="1063"/>
      <c r="N113" s="1064"/>
      <c r="O113" s="626"/>
      <c r="P113" s="765"/>
    </row>
    <row r="114" spans="1:16" x14ac:dyDescent="0.25">
      <c r="A114" s="765"/>
      <c r="B114" s="624"/>
      <c r="C114" s="1061"/>
      <c r="D114" s="1061"/>
      <c r="E114" s="1061"/>
      <c r="F114" s="1061"/>
      <c r="G114" s="1061"/>
      <c r="H114" s="625"/>
      <c r="I114" s="625"/>
      <c r="J114" s="1062"/>
      <c r="K114" s="1062"/>
      <c r="L114" s="1063"/>
      <c r="M114" s="1063"/>
      <c r="N114" s="1064"/>
      <c r="O114" s="626"/>
    </row>
    <row r="115" spans="1:16" x14ac:dyDescent="0.25">
      <c r="A115" s="765"/>
      <c r="B115" s="624"/>
      <c r="C115" s="1061"/>
      <c r="D115" s="1061"/>
      <c r="E115" s="1061"/>
      <c r="F115" s="1061"/>
      <c r="G115" s="1061"/>
      <c r="H115" s="625"/>
      <c r="I115" s="625"/>
      <c r="J115" s="1062"/>
      <c r="K115" s="1062"/>
      <c r="L115" s="1063"/>
      <c r="M115" s="1063"/>
      <c r="N115" s="1064"/>
      <c r="O115" s="626"/>
    </row>
    <row r="116" spans="1:16" x14ac:dyDescent="0.25">
      <c r="A116" s="765"/>
      <c r="B116" s="624"/>
      <c r="C116" s="1061"/>
      <c r="D116" s="1061"/>
      <c r="E116" s="1061"/>
      <c r="F116" s="1061"/>
      <c r="G116" s="1061"/>
      <c r="H116" s="625"/>
      <c r="I116" s="625"/>
      <c r="J116" s="1062"/>
      <c r="K116" s="1062"/>
      <c r="L116" s="1063"/>
      <c r="M116" s="1063"/>
      <c r="N116" s="1064"/>
      <c r="O116" s="626"/>
    </row>
    <row r="117" spans="1:16" x14ac:dyDescent="0.25">
      <c r="A117" s="765"/>
      <c r="B117" s="624"/>
      <c r="C117" s="1061"/>
      <c r="D117" s="1061"/>
      <c r="E117" s="1061"/>
      <c r="F117" s="1061"/>
      <c r="G117" s="1061"/>
      <c r="H117" s="625"/>
      <c r="I117" s="625"/>
      <c r="J117" s="1062"/>
      <c r="K117" s="1062"/>
      <c r="L117" s="1063"/>
      <c r="M117" s="1063"/>
      <c r="N117" s="1064"/>
      <c r="O117" s="626"/>
    </row>
    <row r="118" spans="1:16" x14ac:dyDescent="0.25">
      <c r="A118" s="765"/>
      <c r="B118" s="624"/>
      <c r="C118" s="1061"/>
      <c r="D118" s="1061"/>
      <c r="E118" s="1061"/>
      <c r="F118" s="1061"/>
      <c r="G118" s="1061"/>
      <c r="H118" s="625"/>
      <c r="I118" s="625"/>
      <c r="J118" s="1062"/>
      <c r="K118" s="1062"/>
      <c r="L118" s="1063"/>
      <c r="M118" s="1063"/>
      <c r="N118" s="1064"/>
      <c r="O118" s="626"/>
    </row>
    <row r="119" spans="1:16" x14ac:dyDescent="0.25">
      <c r="A119" s="765"/>
      <c r="B119" s="624"/>
      <c r="C119" s="1061"/>
      <c r="D119" s="1061"/>
      <c r="E119" s="1061"/>
      <c r="F119" s="1061"/>
      <c r="G119" s="1061"/>
      <c r="H119" s="625"/>
      <c r="I119" s="625"/>
      <c r="J119" s="1062"/>
      <c r="K119" s="1062"/>
      <c r="L119" s="1063"/>
      <c r="M119" s="1063"/>
      <c r="N119" s="1064"/>
      <c r="O119" s="626"/>
    </row>
    <row r="120" spans="1:16" x14ac:dyDescent="0.25">
      <c r="A120" s="765"/>
      <c r="B120" s="624"/>
      <c r="C120" s="1061"/>
      <c r="D120" s="1061"/>
      <c r="E120" s="1061"/>
      <c r="F120" s="1061"/>
      <c r="G120" s="1061"/>
      <c r="H120" s="625"/>
      <c r="I120" s="625"/>
      <c r="J120" s="1062"/>
      <c r="K120" s="1062"/>
      <c r="L120" s="1063"/>
      <c r="M120" s="1063"/>
      <c r="N120" s="1064"/>
      <c r="O120" s="626"/>
    </row>
    <row r="121" spans="1:16" x14ac:dyDescent="0.25">
      <c r="A121" s="765"/>
      <c r="B121" s="624"/>
      <c r="C121" s="1061"/>
      <c r="D121" s="1061"/>
      <c r="E121" s="1061"/>
      <c r="F121" s="1061"/>
      <c r="G121" s="1061"/>
      <c r="H121" s="625"/>
      <c r="I121" s="625"/>
      <c r="J121" s="1062"/>
      <c r="K121" s="1062"/>
      <c r="L121" s="1063"/>
      <c r="M121" s="1063"/>
      <c r="N121" s="1064"/>
      <c r="O121" s="626"/>
    </row>
    <row r="122" spans="1:16" x14ac:dyDescent="0.25">
      <c r="A122" s="765"/>
      <c r="B122" s="624"/>
      <c r="C122" s="1061"/>
      <c r="D122" s="1061"/>
      <c r="E122" s="1061"/>
      <c r="F122" s="1061"/>
      <c r="G122" s="1061"/>
      <c r="H122" s="625"/>
      <c r="I122" s="625"/>
      <c r="J122" s="1062"/>
      <c r="K122" s="1062"/>
      <c r="L122" s="1063"/>
      <c r="M122" s="1063"/>
      <c r="N122" s="1064"/>
      <c r="O122" s="626"/>
    </row>
    <row r="123" spans="1:16" x14ac:dyDescent="0.25">
      <c r="A123" s="765"/>
      <c r="B123" s="624"/>
      <c r="C123" s="1061"/>
      <c r="D123" s="1061"/>
      <c r="E123" s="1061"/>
      <c r="F123" s="1061"/>
      <c r="G123" s="1061"/>
      <c r="H123" s="625"/>
      <c r="I123" s="625"/>
      <c r="J123" s="1062"/>
      <c r="K123" s="1062"/>
      <c r="L123" s="1063"/>
      <c r="M123" s="1063"/>
      <c r="N123" s="1064"/>
      <c r="O123" s="626"/>
    </row>
    <row r="124" spans="1:16" x14ac:dyDescent="0.25">
      <c r="A124" s="765"/>
      <c r="B124" s="624"/>
      <c r="C124" s="1061"/>
      <c r="D124" s="1061"/>
      <c r="E124" s="1061"/>
      <c r="F124" s="1061"/>
      <c r="G124" s="1061"/>
      <c r="H124" s="625"/>
      <c r="I124" s="625"/>
      <c r="J124" s="1062"/>
      <c r="K124" s="1062"/>
      <c r="L124" s="1063"/>
      <c r="M124" s="1063"/>
      <c r="N124" s="1064"/>
      <c r="O124" s="626"/>
    </row>
    <row r="125" spans="1:16" x14ac:dyDescent="0.25">
      <c r="A125" s="765"/>
      <c r="B125" s="624"/>
      <c r="C125" s="1061"/>
      <c r="D125" s="1061"/>
      <c r="E125" s="1061"/>
      <c r="F125" s="1061"/>
      <c r="G125" s="1061"/>
      <c r="H125" s="625"/>
      <c r="I125" s="625"/>
      <c r="J125" s="1062"/>
      <c r="K125" s="1062"/>
      <c r="L125" s="1063"/>
      <c r="M125" s="1063"/>
      <c r="N125" s="1064"/>
      <c r="O125" s="626"/>
    </row>
    <row r="126" spans="1:16" x14ac:dyDescent="0.25">
      <c r="A126" s="765"/>
      <c r="B126" s="624"/>
      <c r="C126" s="1061"/>
      <c r="D126" s="1061"/>
      <c r="E126" s="1061"/>
      <c r="F126" s="1061"/>
      <c r="G126" s="1061"/>
      <c r="H126" s="625"/>
      <c r="I126" s="625"/>
      <c r="J126" s="1062"/>
      <c r="K126" s="1062"/>
      <c r="L126" s="1063"/>
      <c r="M126" s="1063"/>
      <c r="N126" s="1064"/>
      <c r="O126" s="626"/>
    </row>
    <row r="127" spans="1:16" x14ac:dyDescent="0.25">
      <c r="A127" s="765"/>
      <c r="B127" s="624"/>
      <c r="C127" s="1061"/>
      <c r="D127" s="1061"/>
      <c r="E127" s="1061"/>
      <c r="F127" s="1061"/>
      <c r="G127" s="1061"/>
      <c r="H127" s="625"/>
      <c r="I127" s="625"/>
      <c r="J127" s="1062"/>
      <c r="K127" s="1062"/>
      <c r="L127" s="1063"/>
      <c r="M127" s="1063"/>
      <c r="N127" s="1064"/>
      <c r="O127" s="626"/>
    </row>
    <row r="128" spans="1:16" x14ac:dyDescent="0.25">
      <c r="A128" s="765"/>
      <c r="B128" s="624"/>
      <c r="C128" s="1061"/>
      <c r="D128" s="1061"/>
      <c r="E128" s="1061"/>
      <c r="F128" s="1061"/>
      <c r="G128" s="1061"/>
      <c r="H128" s="625"/>
      <c r="I128" s="625"/>
      <c r="J128" s="1062"/>
      <c r="K128" s="1062"/>
      <c r="L128" s="1063"/>
      <c r="M128" s="1063"/>
      <c r="N128" s="1064"/>
      <c r="O128" s="626"/>
    </row>
    <row r="129" spans="1:15" x14ac:dyDescent="0.25">
      <c r="A129" s="765"/>
      <c r="B129" s="624"/>
      <c r="C129" s="1061"/>
      <c r="D129" s="1061"/>
      <c r="E129" s="1061"/>
      <c r="F129" s="1061"/>
      <c r="G129" s="1061"/>
      <c r="H129" s="625"/>
      <c r="I129" s="625"/>
      <c r="J129" s="1062"/>
      <c r="K129" s="1062"/>
      <c r="L129" s="1063"/>
      <c r="M129" s="1063"/>
      <c r="N129" s="1064"/>
      <c r="O129" s="626"/>
    </row>
    <row r="130" spans="1:15" x14ac:dyDescent="0.25">
      <c r="A130" s="765"/>
      <c r="B130" s="624"/>
      <c r="C130" s="1061"/>
      <c r="D130" s="1061"/>
      <c r="E130" s="1061"/>
      <c r="F130" s="1061"/>
      <c r="G130" s="1061"/>
      <c r="H130" s="625"/>
      <c r="I130" s="625"/>
      <c r="J130" s="1062"/>
      <c r="K130" s="1062"/>
      <c r="L130" s="1063"/>
      <c r="M130" s="1063"/>
      <c r="N130" s="1064"/>
      <c r="O130" s="626"/>
    </row>
    <row r="131" spans="1:15" x14ac:dyDescent="0.25">
      <c r="A131" s="765"/>
      <c r="B131" s="624"/>
      <c r="C131" s="1061"/>
      <c r="D131" s="1061"/>
      <c r="E131" s="1061"/>
      <c r="F131" s="1061"/>
      <c r="G131" s="1061"/>
      <c r="H131" s="625"/>
      <c r="I131" s="625"/>
      <c r="J131" s="1062"/>
      <c r="K131" s="1062"/>
      <c r="L131" s="1063"/>
      <c r="M131" s="1063"/>
      <c r="N131" s="1064"/>
      <c r="O131" s="626"/>
    </row>
    <row r="132" spans="1:15" x14ac:dyDescent="0.25">
      <c r="A132" s="765"/>
      <c r="B132" s="624"/>
      <c r="C132" s="1061"/>
      <c r="D132" s="1061"/>
      <c r="E132" s="1061"/>
      <c r="F132" s="1061"/>
      <c r="G132" s="1061"/>
      <c r="H132" s="625"/>
      <c r="I132" s="625"/>
      <c r="J132" s="1062"/>
      <c r="K132" s="1062"/>
      <c r="L132" s="1063"/>
      <c r="M132" s="1063"/>
      <c r="N132" s="1064"/>
      <c r="O132" s="626"/>
    </row>
    <row r="133" spans="1:15" x14ac:dyDescent="0.25">
      <c r="A133" s="765"/>
      <c r="B133" s="624"/>
      <c r="C133" s="1061"/>
      <c r="D133" s="1061"/>
      <c r="E133" s="1061"/>
      <c r="F133" s="1061"/>
      <c r="G133" s="1061"/>
      <c r="H133" s="625"/>
      <c r="I133" s="625"/>
      <c r="J133" s="1062"/>
      <c r="K133" s="1062"/>
      <c r="L133" s="1063"/>
      <c r="M133" s="1063"/>
      <c r="N133" s="1064"/>
      <c r="O133" s="626"/>
    </row>
    <row r="134" spans="1:15" x14ac:dyDescent="0.25">
      <c r="A134" s="765"/>
      <c r="B134" s="624"/>
      <c r="C134" s="1061"/>
      <c r="D134" s="1061"/>
      <c r="E134" s="1061"/>
      <c r="F134" s="1061"/>
      <c r="G134" s="1061"/>
      <c r="H134" s="625"/>
      <c r="I134" s="625"/>
      <c r="J134" s="1062"/>
      <c r="K134" s="1062"/>
      <c r="L134" s="1063"/>
      <c r="M134" s="1063"/>
      <c r="N134" s="1064"/>
      <c r="O134" s="626"/>
    </row>
    <row r="135" spans="1:15" x14ac:dyDescent="0.25">
      <c r="A135" s="765"/>
      <c r="B135" s="624"/>
      <c r="C135" s="1061"/>
      <c r="D135" s="1061"/>
      <c r="E135" s="1061"/>
      <c r="F135" s="1061"/>
      <c r="G135" s="1061"/>
      <c r="H135" s="625"/>
      <c r="I135" s="625"/>
      <c r="J135" s="1062"/>
      <c r="K135" s="1062"/>
      <c r="L135" s="1063"/>
      <c r="M135" s="1063"/>
      <c r="N135" s="1064"/>
      <c r="O135" s="626"/>
    </row>
    <row r="136" spans="1:15" x14ac:dyDescent="0.25">
      <c r="A136" s="765"/>
      <c r="B136" s="624"/>
      <c r="C136" s="1061"/>
      <c r="D136" s="1061"/>
      <c r="E136" s="1061"/>
      <c r="F136" s="1061"/>
      <c r="G136" s="1061"/>
      <c r="H136" s="625"/>
      <c r="I136" s="625"/>
      <c r="J136" s="1062"/>
      <c r="K136" s="1062"/>
      <c r="L136" s="1063"/>
      <c r="M136" s="1063"/>
      <c r="N136" s="1064"/>
      <c r="O136" s="626"/>
    </row>
    <row r="137" spans="1:15" x14ac:dyDescent="0.25">
      <c r="A137" s="765"/>
      <c r="B137" s="624"/>
      <c r="C137" s="1061"/>
      <c r="D137" s="1061"/>
      <c r="E137" s="1061"/>
      <c r="F137" s="1061"/>
      <c r="G137" s="1061"/>
      <c r="H137" s="625"/>
      <c r="I137" s="625"/>
      <c r="J137" s="1062"/>
      <c r="K137" s="1062"/>
      <c r="L137" s="1063"/>
      <c r="M137" s="1063"/>
      <c r="N137" s="1064"/>
      <c r="O137" s="626"/>
    </row>
    <row r="138" spans="1:15" x14ac:dyDescent="0.25">
      <c r="A138" s="765"/>
      <c r="B138" s="624"/>
      <c r="C138" s="1061"/>
      <c r="D138" s="1061"/>
      <c r="E138" s="1061"/>
      <c r="F138" s="1061"/>
      <c r="G138" s="1061"/>
      <c r="H138" s="625"/>
      <c r="I138" s="625"/>
      <c r="J138" s="1062"/>
      <c r="K138" s="1062"/>
      <c r="L138" s="1063"/>
      <c r="M138" s="1063"/>
      <c r="N138" s="1064"/>
      <c r="O138" s="626"/>
    </row>
    <row r="139" spans="1:15" x14ac:dyDescent="0.25">
      <c r="A139" s="765"/>
      <c r="B139" s="624"/>
      <c r="C139" s="1061"/>
      <c r="D139" s="1061"/>
      <c r="E139" s="1061"/>
      <c r="F139" s="1061"/>
      <c r="G139" s="1061"/>
      <c r="H139" s="625"/>
      <c r="I139" s="625"/>
      <c r="J139" s="1062"/>
      <c r="K139" s="1062"/>
      <c r="L139" s="1063"/>
      <c r="M139" s="1063"/>
      <c r="N139" s="1064"/>
      <c r="O139" s="626"/>
    </row>
    <row r="140" spans="1:15" x14ac:dyDescent="0.25">
      <c r="A140" s="765"/>
      <c r="B140" s="624"/>
      <c r="C140" s="1061"/>
      <c r="D140" s="1061"/>
      <c r="E140" s="1061"/>
      <c r="F140" s="1061"/>
      <c r="G140" s="1061"/>
      <c r="H140" s="625"/>
      <c r="I140" s="625"/>
      <c r="J140" s="1062"/>
      <c r="K140" s="1062"/>
      <c r="L140" s="1063"/>
      <c r="M140" s="1063"/>
      <c r="N140" s="1064"/>
      <c r="O140" s="626"/>
    </row>
    <row r="141" spans="1:15" x14ac:dyDescent="0.25">
      <c r="A141" s="765"/>
      <c r="B141" s="624"/>
      <c r="C141" s="1061"/>
      <c r="D141" s="1061"/>
      <c r="E141" s="1061"/>
      <c r="F141" s="1061"/>
      <c r="G141" s="1061"/>
      <c r="H141" s="625"/>
      <c r="I141" s="625"/>
      <c r="J141" s="1062"/>
      <c r="K141" s="1062"/>
      <c r="L141" s="1063"/>
      <c r="M141" s="1063"/>
      <c r="N141" s="1064"/>
      <c r="O141" s="626"/>
    </row>
    <row r="142" spans="1:15" x14ac:dyDescent="0.25">
      <c r="A142" s="765"/>
      <c r="B142" s="624"/>
      <c r="C142" s="1061"/>
      <c r="D142" s="1061"/>
      <c r="E142" s="1061"/>
      <c r="F142" s="1061"/>
      <c r="G142" s="1061"/>
      <c r="H142" s="625"/>
      <c r="I142" s="625"/>
      <c r="J142" s="1062"/>
      <c r="K142" s="1062"/>
      <c r="L142" s="1063"/>
      <c r="M142" s="1063"/>
      <c r="N142" s="1064"/>
      <c r="O142" s="626"/>
    </row>
    <row r="143" spans="1:15" x14ac:dyDescent="0.25">
      <c r="A143" s="765"/>
      <c r="B143" s="624"/>
      <c r="C143" s="1061"/>
      <c r="D143" s="1061"/>
      <c r="E143" s="1061"/>
      <c r="F143" s="1061"/>
      <c r="G143" s="1061"/>
      <c r="H143" s="625"/>
      <c r="I143" s="625"/>
      <c r="J143" s="1062"/>
      <c r="K143" s="1062"/>
      <c r="L143" s="1063"/>
      <c r="M143" s="1063"/>
      <c r="N143" s="1064"/>
      <c r="O143" s="626"/>
    </row>
    <row r="144" spans="1:15" x14ac:dyDescent="0.25">
      <c r="A144" s="765"/>
      <c r="B144" s="624"/>
      <c r="C144" s="1061"/>
      <c r="D144" s="1061"/>
      <c r="E144" s="1061"/>
      <c r="F144" s="1061"/>
      <c r="G144" s="1061"/>
      <c r="H144" s="625"/>
      <c r="I144" s="625"/>
      <c r="J144" s="1062"/>
      <c r="K144" s="1062"/>
      <c r="L144" s="1063"/>
      <c r="M144" s="1063"/>
      <c r="N144" s="1064"/>
      <c r="O144" s="626"/>
    </row>
    <row r="145" spans="1:15" x14ac:dyDescent="0.25">
      <c r="A145" s="765"/>
      <c r="B145" s="624"/>
      <c r="C145" s="1061"/>
      <c r="D145" s="1061"/>
      <c r="E145" s="1061"/>
      <c r="F145" s="1061"/>
      <c r="G145" s="1061"/>
      <c r="H145" s="625"/>
      <c r="I145" s="625"/>
      <c r="J145" s="1062"/>
      <c r="K145" s="1062"/>
      <c r="L145" s="1063"/>
      <c r="M145" s="1063"/>
      <c r="N145" s="1064"/>
      <c r="O145" s="626"/>
    </row>
    <row r="146" spans="1:15" x14ac:dyDescent="0.25">
      <c r="A146" s="765"/>
      <c r="B146" s="624"/>
      <c r="C146" s="1061"/>
      <c r="D146" s="1061"/>
      <c r="E146" s="1061"/>
      <c r="F146" s="1061"/>
      <c r="G146" s="1061"/>
      <c r="H146" s="625"/>
      <c r="I146" s="625"/>
      <c r="J146" s="1062"/>
      <c r="K146" s="1062"/>
      <c r="L146" s="1063"/>
      <c r="M146" s="1063"/>
      <c r="N146" s="1064"/>
      <c r="O146" s="626"/>
    </row>
    <row r="147" spans="1:15" x14ac:dyDescent="0.25">
      <c r="A147" s="765"/>
      <c r="B147" s="624"/>
      <c r="C147" s="1061"/>
      <c r="D147" s="1061"/>
      <c r="E147" s="1061"/>
      <c r="F147" s="1061"/>
      <c r="G147" s="1061"/>
      <c r="H147" s="625"/>
      <c r="I147" s="625"/>
      <c r="J147" s="1062"/>
      <c r="K147" s="1062"/>
      <c r="L147" s="1063"/>
      <c r="M147" s="1063"/>
      <c r="N147" s="1064"/>
      <c r="O147" s="626"/>
    </row>
    <row r="148" spans="1:15" x14ac:dyDescent="0.25">
      <c r="A148" s="765"/>
      <c r="B148" s="624"/>
      <c r="C148" s="1061"/>
      <c r="D148" s="1061"/>
      <c r="E148" s="1061"/>
      <c r="F148" s="1061"/>
      <c r="G148" s="1061"/>
      <c r="H148" s="625"/>
      <c r="I148" s="625"/>
      <c r="J148" s="1062"/>
      <c r="K148" s="1062"/>
      <c r="L148" s="1063"/>
      <c r="M148" s="1063"/>
      <c r="N148" s="1064"/>
      <c r="O148" s="626"/>
    </row>
    <row r="149" spans="1:15" x14ac:dyDescent="0.25">
      <c r="A149" s="765"/>
      <c r="B149" s="624"/>
      <c r="C149" s="1061"/>
      <c r="D149" s="1061"/>
      <c r="E149" s="1061"/>
      <c r="F149" s="1061"/>
      <c r="G149" s="1061"/>
      <c r="H149" s="625"/>
      <c r="I149" s="625"/>
      <c r="J149" s="1062"/>
      <c r="K149" s="1062"/>
      <c r="L149" s="1063"/>
      <c r="M149" s="1063"/>
      <c r="N149" s="1064"/>
      <c r="O149" s="626"/>
    </row>
    <row r="150" spans="1:15" x14ac:dyDescent="0.25">
      <c r="A150" s="765"/>
      <c r="B150" s="624"/>
      <c r="C150" s="1061"/>
      <c r="D150" s="1061"/>
      <c r="E150" s="1061"/>
      <c r="F150" s="1061"/>
      <c r="G150" s="1061"/>
      <c r="H150" s="625"/>
      <c r="I150" s="625"/>
      <c r="J150" s="1062"/>
      <c r="K150" s="1062"/>
      <c r="L150" s="1063"/>
      <c r="M150" s="1063"/>
      <c r="N150" s="1064"/>
      <c r="O150" s="626"/>
    </row>
    <row r="151" spans="1:15" x14ac:dyDescent="0.25">
      <c r="A151" s="765"/>
      <c r="B151" s="624"/>
      <c r="C151" s="1061"/>
      <c r="D151" s="1061"/>
      <c r="E151" s="1061"/>
      <c r="F151" s="1061"/>
      <c r="G151" s="1061"/>
      <c r="H151" s="625"/>
      <c r="I151" s="625"/>
      <c r="J151" s="1062"/>
      <c r="K151" s="1062"/>
      <c r="L151" s="1063"/>
      <c r="M151" s="1063"/>
      <c r="N151" s="1064"/>
      <c r="O151" s="626"/>
    </row>
    <row r="152" spans="1:15" x14ac:dyDescent="0.25">
      <c r="A152" s="765"/>
      <c r="B152" s="624"/>
      <c r="C152" s="1061"/>
      <c r="D152" s="1061"/>
      <c r="E152" s="1061"/>
      <c r="F152" s="1061"/>
      <c r="G152" s="1061"/>
      <c r="H152" s="625"/>
      <c r="I152" s="625"/>
      <c r="J152" s="1062"/>
      <c r="K152" s="1062"/>
      <c r="L152" s="1063"/>
      <c r="M152" s="1063"/>
      <c r="N152" s="1064"/>
      <c r="O152" s="626"/>
    </row>
    <row r="153" spans="1:15" x14ac:dyDescent="0.25">
      <c r="A153" s="765"/>
      <c r="B153" s="624"/>
      <c r="C153" s="1061"/>
      <c r="D153" s="1061"/>
      <c r="E153" s="1061"/>
      <c r="F153" s="1061"/>
      <c r="G153" s="1061"/>
      <c r="H153" s="625"/>
      <c r="I153" s="625"/>
      <c r="J153" s="1062"/>
      <c r="K153" s="1062"/>
      <c r="L153" s="1063"/>
      <c r="M153" s="1063"/>
      <c r="N153" s="1064"/>
      <c r="O153" s="626"/>
    </row>
    <row r="154" spans="1:15" x14ac:dyDescent="0.25">
      <c r="A154" s="765"/>
      <c r="B154" s="624"/>
      <c r="C154" s="1061"/>
      <c r="D154" s="1061"/>
      <c r="E154" s="1061"/>
      <c r="F154" s="1061"/>
      <c r="G154" s="1061"/>
      <c r="H154" s="625"/>
      <c r="I154" s="625"/>
      <c r="J154" s="1062"/>
      <c r="K154" s="1062"/>
      <c r="L154" s="1063"/>
      <c r="M154" s="1063"/>
      <c r="N154" s="1064"/>
      <c r="O154" s="626"/>
    </row>
    <row r="155" spans="1:15" x14ac:dyDescent="0.25">
      <c r="A155" s="765"/>
      <c r="B155" s="624"/>
      <c r="C155" s="1061"/>
      <c r="D155" s="1061"/>
      <c r="E155" s="1061"/>
      <c r="F155" s="1061"/>
      <c r="G155" s="1061"/>
      <c r="H155" s="625"/>
      <c r="I155" s="625"/>
      <c r="J155" s="1062"/>
      <c r="K155" s="1062"/>
      <c r="L155" s="1063"/>
      <c r="M155" s="1063"/>
      <c r="N155" s="1064"/>
      <c r="O155" s="626"/>
    </row>
    <row r="156" spans="1:15" x14ac:dyDescent="0.25">
      <c r="A156" s="765"/>
      <c r="B156" s="624"/>
      <c r="C156" s="1061"/>
      <c r="D156" s="1061"/>
      <c r="E156" s="1061"/>
      <c r="F156" s="1061"/>
      <c r="G156" s="1061"/>
      <c r="H156" s="625"/>
      <c r="I156" s="625"/>
      <c r="J156" s="1062"/>
      <c r="K156" s="1062"/>
      <c r="L156" s="1063"/>
      <c r="M156" s="1063"/>
      <c r="N156" s="1064"/>
      <c r="O156" s="626"/>
    </row>
    <row r="157" spans="1:15" x14ac:dyDescent="0.25">
      <c r="A157" s="765"/>
      <c r="B157" s="624"/>
      <c r="C157" s="1061"/>
      <c r="D157" s="1061"/>
      <c r="E157" s="1061"/>
      <c r="F157" s="1061"/>
      <c r="G157" s="1061"/>
      <c r="H157" s="625"/>
      <c r="I157" s="625"/>
      <c r="J157" s="1062"/>
      <c r="K157" s="1062"/>
      <c r="L157" s="1063"/>
      <c r="M157" s="1063"/>
      <c r="N157" s="1064"/>
      <c r="O157" s="626"/>
    </row>
    <row r="158" spans="1:15" x14ac:dyDescent="0.25">
      <c r="A158" s="765"/>
      <c r="B158" s="624"/>
      <c r="C158" s="1061"/>
      <c r="D158" s="1061"/>
      <c r="E158" s="1061"/>
      <c r="F158" s="1061"/>
      <c r="G158" s="1061"/>
      <c r="H158" s="625"/>
      <c r="I158" s="625"/>
      <c r="J158" s="1062"/>
      <c r="K158" s="1062"/>
      <c r="L158" s="1063"/>
      <c r="M158" s="1063"/>
      <c r="N158" s="1064"/>
      <c r="O158" s="626"/>
    </row>
    <row r="159" spans="1:15" x14ac:dyDescent="0.25">
      <c r="A159" s="765"/>
      <c r="B159" s="624"/>
      <c r="C159" s="1061"/>
      <c r="D159" s="1061"/>
      <c r="E159" s="1061"/>
      <c r="F159" s="1061"/>
      <c r="G159" s="1061"/>
      <c r="H159" s="625"/>
      <c r="I159" s="625"/>
      <c r="J159" s="1062"/>
      <c r="K159" s="1062"/>
      <c r="L159" s="1063"/>
      <c r="M159" s="1063"/>
      <c r="N159" s="1064"/>
      <c r="O159" s="626"/>
    </row>
    <row r="160" spans="1:15" x14ac:dyDescent="0.25">
      <c r="A160" s="765"/>
      <c r="B160" s="624"/>
      <c r="C160" s="1061"/>
      <c r="D160" s="1061"/>
      <c r="E160" s="1061"/>
      <c r="F160" s="1061"/>
      <c r="G160" s="1061"/>
      <c r="H160" s="625"/>
      <c r="I160" s="625"/>
      <c r="J160" s="1062"/>
      <c r="K160" s="1062"/>
      <c r="L160" s="1063"/>
      <c r="M160" s="1063"/>
      <c r="N160" s="1064"/>
      <c r="O160" s="626"/>
    </row>
    <row r="161" spans="1:15" x14ac:dyDescent="0.25">
      <c r="A161" s="765"/>
      <c r="B161" s="624"/>
      <c r="C161" s="1061"/>
      <c r="D161" s="1061"/>
      <c r="E161" s="1061"/>
      <c r="F161" s="1061"/>
      <c r="G161" s="1061"/>
      <c r="H161" s="625"/>
      <c r="I161" s="625"/>
      <c r="J161" s="1062"/>
      <c r="K161" s="1062"/>
      <c r="L161" s="1063"/>
      <c r="M161" s="1063"/>
      <c r="N161" s="1064"/>
      <c r="O161" s="626"/>
    </row>
    <row r="162" spans="1:15" x14ac:dyDescent="0.25">
      <c r="A162" s="765"/>
      <c r="B162" s="624"/>
      <c r="C162" s="1061"/>
      <c r="D162" s="1061"/>
      <c r="E162" s="1061"/>
      <c r="F162" s="1061"/>
      <c r="G162" s="1061"/>
      <c r="H162" s="625"/>
      <c r="I162" s="625"/>
      <c r="J162" s="1062"/>
      <c r="K162" s="1062"/>
      <c r="L162" s="1063"/>
      <c r="M162" s="1063"/>
      <c r="N162" s="1064"/>
      <c r="O162" s="626"/>
    </row>
    <row r="163" spans="1:15" x14ac:dyDescent="0.25">
      <c r="A163" s="765"/>
      <c r="B163" s="624"/>
      <c r="C163" s="1061"/>
      <c r="D163" s="1061"/>
      <c r="E163" s="1061"/>
      <c r="F163" s="1061"/>
      <c r="G163" s="1061"/>
      <c r="H163" s="625"/>
      <c r="I163" s="625"/>
      <c r="J163" s="1062"/>
      <c r="K163" s="1062"/>
      <c r="L163" s="1063"/>
      <c r="M163" s="1063"/>
      <c r="N163" s="1064"/>
      <c r="O163" s="626"/>
    </row>
    <row r="164" spans="1:15" x14ac:dyDescent="0.25">
      <c r="A164" s="765"/>
      <c r="B164" s="624"/>
      <c r="C164" s="1061"/>
      <c r="D164" s="1061"/>
      <c r="E164" s="1061"/>
      <c r="F164" s="1061"/>
      <c r="G164" s="1061"/>
      <c r="H164" s="625"/>
      <c r="I164" s="625"/>
      <c r="J164" s="1062"/>
      <c r="K164" s="1062"/>
      <c r="L164" s="1063"/>
      <c r="M164" s="1063"/>
      <c r="N164" s="1064"/>
      <c r="O164" s="626"/>
    </row>
    <row r="165" spans="1:15" x14ac:dyDescent="0.25">
      <c r="A165" s="765"/>
      <c r="B165" s="624"/>
      <c r="C165" s="1061"/>
      <c r="D165" s="1061"/>
      <c r="E165" s="1061"/>
      <c r="F165" s="1061"/>
      <c r="G165" s="1061"/>
      <c r="H165" s="625"/>
      <c r="I165" s="625"/>
      <c r="J165" s="1062"/>
      <c r="K165" s="1062"/>
      <c r="L165" s="1063"/>
      <c r="M165" s="1063"/>
      <c r="N165" s="1064"/>
      <c r="O165" s="626"/>
    </row>
    <row r="166" spans="1:15" x14ac:dyDescent="0.25">
      <c r="A166" s="765"/>
      <c r="B166" s="624"/>
      <c r="C166" s="1061"/>
      <c r="D166" s="1061"/>
      <c r="E166" s="1061"/>
      <c r="F166" s="1061"/>
      <c r="G166" s="1061"/>
      <c r="H166" s="625"/>
      <c r="I166" s="625"/>
      <c r="J166" s="1062"/>
      <c r="K166" s="1062"/>
      <c r="L166" s="1063"/>
      <c r="M166" s="1063"/>
      <c r="N166" s="1064"/>
      <c r="O166" s="626"/>
    </row>
    <row r="167" spans="1:15" x14ac:dyDescent="0.25">
      <c r="A167" s="765"/>
      <c r="B167" s="624"/>
      <c r="C167" s="1061"/>
      <c r="D167" s="1061"/>
      <c r="E167" s="1061"/>
      <c r="F167" s="1061"/>
      <c r="G167" s="1061"/>
      <c r="H167" s="625"/>
      <c r="I167" s="625"/>
      <c r="J167" s="1062"/>
      <c r="K167" s="1062"/>
      <c r="L167" s="1063"/>
      <c r="M167" s="1063"/>
      <c r="N167" s="1064"/>
      <c r="O167" s="626"/>
    </row>
    <row r="168" spans="1:15" x14ac:dyDescent="0.25">
      <c r="A168" s="765"/>
      <c r="B168" s="624"/>
      <c r="C168" s="1061"/>
      <c r="D168" s="1061"/>
      <c r="E168" s="1061"/>
      <c r="F168" s="1061"/>
      <c r="G168" s="1061"/>
      <c r="H168" s="625"/>
      <c r="I168" s="625"/>
      <c r="J168" s="1062"/>
      <c r="K168" s="1062"/>
      <c r="L168" s="1063"/>
      <c r="M168" s="1063"/>
      <c r="N168" s="1064"/>
      <c r="O168" s="626"/>
    </row>
    <row r="169" spans="1:15" x14ac:dyDescent="0.25">
      <c r="A169" s="765"/>
      <c r="B169" s="624"/>
      <c r="C169" s="1061"/>
      <c r="D169" s="1061"/>
      <c r="E169" s="1061"/>
      <c r="F169" s="1061"/>
      <c r="G169" s="1061"/>
      <c r="H169" s="625"/>
      <c r="I169" s="625"/>
      <c r="J169" s="1062"/>
      <c r="K169" s="1062"/>
      <c r="L169" s="1063"/>
      <c r="M169" s="1063"/>
      <c r="N169" s="1064"/>
      <c r="O169" s="626"/>
    </row>
    <row r="170" spans="1:15" x14ac:dyDescent="0.25">
      <c r="A170" s="765"/>
      <c r="B170" s="624"/>
      <c r="C170" s="1061"/>
      <c r="D170" s="1061"/>
      <c r="E170" s="1061"/>
      <c r="F170" s="1061"/>
      <c r="G170" s="1061"/>
      <c r="H170" s="625"/>
      <c r="I170" s="625"/>
      <c r="J170" s="1062"/>
      <c r="K170" s="1062"/>
      <c r="L170" s="1063"/>
      <c r="M170" s="1063"/>
      <c r="N170" s="1064"/>
      <c r="O170" s="626"/>
    </row>
    <row r="171" spans="1:15" x14ac:dyDescent="0.25">
      <c r="A171" s="765"/>
      <c r="B171" s="624"/>
      <c r="C171" s="1061"/>
      <c r="D171" s="1061"/>
      <c r="E171" s="1061"/>
      <c r="F171" s="1061"/>
      <c r="G171" s="1061"/>
      <c r="H171" s="625"/>
      <c r="I171" s="625"/>
      <c r="J171" s="1062"/>
      <c r="K171" s="1062"/>
      <c r="L171" s="1063"/>
      <c r="M171" s="1063"/>
      <c r="N171" s="1064"/>
      <c r="O171" s="626"/>
    </row>
    <row r="172" spans="1:15" x14ac:dyDescent="0.25">
      <c r="A172" s="765"/>
      <c r="B172" s="624"/>
      <c r="C172" s="1061"/>
      <c r="D172" s="1061"/>
      <c r="E172" s="1061"/>
      <c r="F172" s="1061"/>
      <c r="G172" s="1061"/>
      <c r="H172" s="625"/>
      <c r="I172" s="625"/>
      <c r="J172" s="1062"/>
      <c r="K172" s="1062"/>
      <c r="L172" s="1063"/>
      <c r="M172" s="1063"/>
      <c r="N172" s="1064"/>
      <c r="O172" s="626"/>
    </row>
    <row r="173" spans="1:15" x14ac:dyDescent="0.25">
      <c r="A173" s="765"/>
      <c r="B173" s="624"/>
      <c r="C173" s="1061"/>
      <c r="D173" s="1061"/>
      <c r="E173" s="1061"/>
      <c r="F173" s="1061"/>
      <c r="G173" s="1061"/>
      <c r="H173" s="625"/>
      <c r="I173" s="625"/>
      <c r="J173" s="1062"/>
      <c r="K173" s="1062"/>
      <c r="L173" s="1063"/>
      <c r="M173" s="1063"/>
      <c r="N173" s="1064"/>
      <c r="O173" s="626"/>
    </row>
    <row r="174" spans="1:15" x14ac:dyDescent="0.25">
      <c r="A174" s="765"/>
      <c r="B174" s="624"/>
      <c r="C174" s="1061"/>
      <c r="D174" s="1061"/>
      <c r="E174" s="1061"/>
      <c r="F174" s="1061"/>
      <c r="G174" s="1061"/>
      <c r="H174" s="625"/>
      <c r="I174" s="625"/>
      <c r="J174" s="1062"/>
      <c r="K174" s="1062"/>
      <c r="L174" s="1063"/>
      <c r="M174" s="1063"/>
      <c r="N174" s="1064"/>
      <c r="O174" s="626"/>
    </row>
    <row r="175" spans="1:15" x14ac:dyDescent="0.25">
      <c r="A175" s="765"/>
      <c r="B175" s="624"/>
      <c r="C175" s="1061"/>
      <c r="D175" s="1061"/>
      <c r="E175" s="1061"/>
      <c r="F175" s="1061"/>
      <c r="G175" s="1061"/>
      <c r="H175" s="625"/>
      <c r="I175" s="625"/>
      <c r="J175" s="1062"/>
      <c r="K175" s="1062"/>
      <c r="L175" s="1063"/>
      <c r="M175" s="1063"/>
      <c r="N175" s="1064"/>
      <c r="O175" s="626"/>
    </row>
    <row r="176" spans="1:15" x14ac:dyDescent="0.25">
      <c r="A176" s="765"/>
      <c r="B176" s="624"/>
      <c r="C176" s="1061"/>
      <c r="D176" s="1061"/>
      <c r="E176" s="1061"/>
      <c r="F176" s="1061"/>
      <c r="G176" s="1061"/>
      <c r="H176" s="625"/>
      <c r="I176" s="625"/>
      <c r="J176" s="1062"/>
      <c r="K176" s="1062"/>
      <c r="L176" s="1063"/>
      <c r="M176" s="1063"/>
      <c r="N176" s="1064"/>
      <c r="O176" s="626"/>
    </row>
    <row r="177" spans="1:15" x14ac:dyDescent="0.25">
      <c r="A177" s="765"/>
      <c r="B177" s="624"/>
      <c r="C177" s="1061"/>
      <c r="D177" s="1061"/>
      <c r="E177" s="1061"/>
      <c r="F177" s="1061"/>
      <c r="G177" s="1061"/>
      <c r="H177" s="625"/>
      <c r="I177" s="625"/>
      <c r="J177" s="1062"/>
      <c r="K177" s="1062"/>
      <c r="L177" s="1063"/>
      <c r="M177" s="1063"/>
      <c r="N177" s="1064"/>
      <c r="O177" s="626"/>
    </row>
    <row r="178" spans="1:15" x14ac:dyDescent="0.25">
      <c r="A178" s="765"/>
      <c r="B178" s="624"/>
      <c r="C178" s="1061"/>
      <c r="D178" s="1061"/>
      <c r="E178" s="1061"/>
      <c r="F178" s="1061"/>
      <c r="G178" s="1061"/>
      <c r="H178" s="625"/>
      <c r="I178" s="625"/>
      <c r="J178" s="1062"/>
      <c r="K178" s="1062"/>
      <c r="L178" s="1063"/>
      <c r="M178" s="1063"/>
      <c r="N178" s="1064"/>
      <c r="O178" s="626"/>
    </row>
    <row r="179" spans="1:15" x14ac:dyDescent="0.25">
      <c r="A179" s="765"/>
      <c r="B179" s="624"/>
      <c r="C179" s="1061"/>
      <c r="D179" s="1061"/>
      <c r="E179" s="1061"/>
      <c r="F179" s="1061"/>
      <c r="G179" s="1061"/>
      <c r="H179" s="625"/>
      <c r="I179" s="625"/>
      <c r="J179" s="1062"/>
      <c r="K179" s="1062"/>
      <c r="L179" s="1063"/>
      <c r="M179" s="1063"/>
      <c r="N179" s="1064"/>
      <c r="O179" s="626"/>
    </row>
    <row r="180" spans="1:15" x14ac:dyDescent="0.25">
      <c r="A180" s="765"/>
      <c r="B180" s="624"/>
      <c r="C180" s="1061"/>
      <c r="D180" s="1061"/>
      <c r="E180" s="1061"/>
      <c r="F180" s="1061"/>
      <c r="G180" s="1061"/>
      <c r="H180" s="625"/>
      <c r="I180" s="625"/>
      <c r="J180" s="1062"/>
      <c r="K180" s="1062"/>
      <c r="L180" s="1063"/>
      <c r="M180" s="1063"/>
      <c r="N180" s="1064"/>
      <c r="O180" s="626"/>
    </row>
    <row r="181" spans="1:15" x14ac:dyDescent="0.25">
      <c r="A181" s="765"/>
      <c r="B181" s="624"/>
      <c r="C181" s="1061"/>
      <c r="D181" s="1061"/>
      <c r="E181" s="1061"/>
      <c r="F181" s="1061"/>
      <c r="G181" s="1061"/>
      <c r="H181" s="625"/>
      <c r="I181" s="625"/>
      <c r="J181" s="1062"/>
      <c r="K181" s="1062"/>
      <c r="L181" s="1063"/>
      <c r="M181" s="1063"/>
      <c r="N181" s="1064"/>
      <c r="O181" s="626"/>
    </row>
    <row r="182" spans="1:15" x14ac:dyDescent="0.25">
      <c r="A182" s="765"/>
      <c r="B182" s="624"/>
      <c r="C182" s="1061"/>
      <c r="D182" s="1061"/>
      <c r="E182" s="1061"/>
      <c r="F182" s="1061"/>
      <c r="G182" s="1061"/>
      <c r="H182" s="625"/>
      <c r="I182" s="625"/>
      <c r="J182" s="1062"/>
      <c r="K182" s="1062"/>
      <c r="L182" s="1063"/>
      <c r="M182" s="1063"/>
      <c r="N182" s="1064"/>
      <c r="O182" s="626"/>
    </row>
    <row r="183" spans="1:15" x14ac:dyDescent="0.25">
      <c r="A183" s="765"/>
      <c r="B183" s="624"/>
      <c r="C183" s="1061"/>
      <c r="D183" s="1061"/>
      <c r="E183" s="1061"/>
      <c r="F183" s="1061"/>
      <c r="G183" s="1061"/>
      <c r="H183" s="625"/>
      <c r="I183" s="625"/>
      <c r="J183" s="1062"/>
      <c r="K183" s="1062"/>
      <c r="L183" s="1063"/>
      <c r="M183" s="1063"/>
      <c r="N183" s="1064"/>
      <c r="O183" s="626"/>
    </row>
    <row r="184" spans="1:15" x14ac:dyDescent="0.25">
      <c r="A184" s="765"/>
      <c r="B184" s="624"/>
      <c r="C184" s="1061"/>
      <c r="D184" s="1061"/>
      <c r="E184" s="1061"/>
      <c r="F184" s="1061"/>
      <c r="G184" s="1061"/>
      <c r="H184" s="625"/>
      <c r="I184" s="625"/>
      <c r="J184" s="1062"/>
      <c r="K184" s="1062"/>
      <c r="L184" s="1063"/>
      <c r="M184" s="1063"/>
      <c r="N184" s="1064"/>
      <c r="O184" s="626"/>
    </row>
    <row r="185" spans="1:15" x14ac:dyDescent="0.25">
      <c r="A185" s="765"/>
      <c r="B185" s="624"/>
      <c r="C185" s="1061"/>
      <c r="D185" s="1061"/>
      <c r="E185" s="1061"/>
      <c r="F185" s="1061"/>
      <c r="G185" s="1061"/>
      <c r="H185" s="625"/>
      <c r="I185" s="625"/>
      <c r="J185" s="1062"/>
      <c r="K185" s="1062"/>
      <c r="L185" s="1063"/>
      <c r="M185" s="1063"/>
      <c r="N185" s="1064"/>
      <c r="O185" s="626"/>
    </row>
    <row r="186" spans="1:15" x14ac:dyDescent="0.25">
      <c r="A186" s="765"/>
      <c r="B186" s="624"/>
      <c r="C186" s="1061"/>
      <c r="D186" s="1061"/>
      <c r="E186" s="1061"/>
      <c r="F186" s="1061"/>
      <c r="G186" s="1061"/>
      <c r="H186" s="625"/>
      <c r="I186" s="625"/>
      <c r="J186" s="1062"/>
      <c r="K186" s="1062"/>
      <c r="L186" s="1063"/>
      <c r="M186" s="1063"/>
      <c r="N186" s="1064"/>
      <c r="O186" s="626"/>
    </row>
    <row r="187" spans="1:15" x14ac:dyDescent="0.25">
      <c r="A187" s="765"/>
      <c r="B187" s="624"/>
      <c r="C187" s="1061"/>
      <c r="D187" s="1061"/>
      <c r="E187" s="1061"/>
      <c r="F187" s="1061"/>
      <c r="G187" s="1061"/>
      <c r="H187" s="625"/>
      <c r="I187" s="625"/>
      <c r="J187" s="1062"/>
      <c r="K187" s="1062"/>
      <c r="L187" s="1063"/>
      <c r="M187" s="1063"/>
      <c r="N187" s="1064"/>
      <c r="O187" s="626"/>
    </row>
    <row r="188" spans="1:15" x14ac:dyDescent="0.25">
      <c r="A188" s="765"/>
      <c r="B188" s="624"/>
      <c r="C188" s="1061"/>
      <c r="D188" s="1061"/>
      <c r="E188" s="1061"/>
      <c r="F188" s="1061"/>
      <c r="G188" s="1061"/>
      <c r="H188" s="625"/>
      <c r="I188" s="625"/>
      <c r="J188" s="1062"/>
      <c r="K188" s="1062"/>
      <c r="L188" s="1063"/>
      <c r="M188" s="1063"/>
      <c r="N188" s="1064"/>
      <c r="O188" s="626"/>
    </row>
    <row r="189" spans="1:15" x14ac:dyDescent="0.25">
      <c r="A189" s="765"/>
      <c r="B189" s="624"/>
      <c r="C189" s="1061"/>
      <c r="D189" s="1061"/>
      <c r="E189" s="1061"/>
      <c r="F189" s="1061"/>
      <c r="G189" s="1061"/>
      <c r="H189" s="625"/>
      <c r="I189" s="625"/>
      <c r="J189" s="1062"/>
      <c r="K189" s="1062"/>
      <c r="L189" s="1063"/>
      <c r="M189" s="1063"/>
      <c r="N189" s="1064"/>
      <c r="O189" s="626"/>
    </row>
    <row r="190" spans="1:15" x14ac:dyDescent="0.25">
      <c r="A190" s="765"/>
      <c r="B190" s="624"/>
      <c r="C190" s="1061"/>
      <c r="D190" s="1061"/>
      <c r="E190" s="1061"/>
      <c r="F190" s="1061"/>
      <c r="G190" s="1061"/>
      <c r="H190" s="625"/>
      <c r="I190" s="625"/>
      <c r="J190" s="1062"/>
      <c r="K190" s="1062"/>
      <c r="L190" s="1063"/>
      <c r="M190" s="1063"/>
      <c r="N190" s="1064"/>
      <c r="O190" s="626"/>
    </row>
    <row r="191" spans="1:15" x14ac:dyDescent="0.25">
      <c r="A191" s="765"/>
      <c r="B191" s="624"/>
      <c r="C191" s="1061"/>
      <c r="D191" s="1061"/>
      <c r="E191" s="1061"/>
      <c r="F191" s="1061"/>
      <c r="G191" s="1061"/>
      <c r="H191" s="625"/>
      <c r="I191" s="625"/>
      <c r="J191" s="1062"/>
      <c r="K191" s="1062"/>
      <c r="L191" s="1063"/>
      <c r="M191" s="1063"/>
      <c r="N191" s="1064"/>
      <c r="O191" s="626"/>
    </row>
    <row r="192" spans="1:15" x14ac:dyDescent="0.25">
      <c r="A192" s="765"/>
      <c r="B192" s="624"/>
      <c r="C192" s="1061"/>
      <c r="D192" s="1061"/>
      <c r="E192" s="1061"/>
      <c r="F192" s="1061"/>
      <c r="G192" s="1061"/>
      <c r="H192" s="625"/>
      <c r="I192" s="625"/>
      <c r="J192" s="1062"/>
      <c r="K192" s="1062"/>
      <c r="L192" s="1063"/>
      <c r="M192" s="1063"/>
      <c r="N192" s="1064"/>
      <c r="O192" s="626"/>
    </row>
    <row r="193" spans="1:15" x14ac:dyDescent="0.25">
      <c r="A193" s="765"/>
      <c r="B193" s="624"/>
      <c r="C193" s="1061"/>
      <c r="D193" s="1061"/>
      <c r="E193" s="1061"/>
      <c r="F193" s="1061"/>
      <c r="G193" s="1061"/>
      <c r="H193" s="625"/>
      <c r="I193" s="625"/>
      <c r="J193" s="1062"/>
      <c r="K193" s="1062"/>
      <c r="L193" s="1063"/>
      <c r="M193" s="1063"/>
      <c r="N193" s="1064"/>
      <c r="O193" s="626"/>
    </row>
    <row r="194" spans="1:15" x14ac:dyDescent="0.25">
      <c r="A194" s="765"/>
      <c r="B194" s="624"/>
      <c r="C194" s="1061"/>
      <c r="D194" s="1061"/>
      <c r="E194" s="1061"/>
      <c r="F194" s="1061"/>
      <c r="G194" s="1061"/>
      <c r="H194" s="625"/>
      <c r="I194" s="625"/>
      <c r="J194" s="1062"/>
      <c r="K194" s="1062"/>
      <c r="L194" s="1063"/>
      <c r="M194" s="1063"/>
      <c r="N194" s="1064"/>
      <c r="O194" s="626"/>
    </row>
    <row r="195" spans="1:15" x14ac:dyDescent="0.25">
      <c r="A195" s="765"/>
      <c r="B195" s="624"/>
      <c r="C195" s="1061"/>
      <c r="D195" s="1061"/>
      <c r="E195" s="1061"/>
      <c r="F195" s="1061"/>
      <c r="G195" s="1061"/>
      <c r="H195" s="625"/>
      <c r="I195" s="625"/>
      <c r="J195" s="1062"/>
      <c r="K195" s="1062"/>
      <c r="L195" s="1063"/>
      <c r="M195" s="1063"/>
      <c r="N195" s="1064"/>
      <c r="O195" s="626"/>
    </row>
    <row r="196" spans="1:15" x14ac:dyDescent="0.25">
      <c r="A196" s="765"/>
      <c r="B196" s="624"/>
      <c r="C196" s="1061"/>
      <c r="D196" s="1061"/>
      <c r="E196" s="1061"/>
      <c r="F196" s="1061"/>
      <c r="G196" s="1061"/>
      <c r="H196" s="625"/>
      <c r="I196" s="625"/>
      <c r="J196" s="1062"/>
      <c r="K196" s="1062"/>
      <c r="L196" s="1063"/>
      <c r="M196" s="1063"/>
      <c r="N196" s="1064"/>
      <c r="O196" s="626"/>
    </row>
    <row r="197" spans="1:15" x14ac:dyDescent="0.25">
      <c r="A197" s="765"/>
      <c r="B197" s="624"/>
      <c r="C197" s="1061"/>
      <c r="D197" s="1061"/>
      <c r="E197" s="1061"/>
      <c r="F197" s="1061"/>
      <c r="G197" s="1061"/>
      <c r="H197" s="625"/>
      <c r="I197" s="625"/>
      <c r="J197" s="1062"/>
      <c r="K197" s="1062"/>
      <c r="L197" s="1063"/>
      <c r="M197" s="1063"/>
      <c r="N197" s="1064"/>
      <c r="O197" s="626"/>
    </row>
    <row r="198" spans="1:15" x14ac:dyDescent="0.25">
      <c r="A198" s="765"/>
      <c r="B198" s="624"/>
      <c r="C198" s="1061"/>
      <c r="D198" s="1061"/>
      <c r="E198" s="1061"/>
      <c r="F198" s="1061"/>
      <c r="G198" s="1061"/>
      <c r="H198" s="625"/>
      <c r="I198" s="625"/>
      <c r="J198" s="1062"/>
      <c r="K198" s="1062"/>
      <c r="L198" s="1063"/>
      <c r="M198" s="1063"/>
      <c r="N198" s="1064"/>
      <c r="O198" s="626"/>
    </row>
    <row r="199" spans="1:15" x14ac:dyDescent="0.25">
      <c r="A199" s="765"/>
      <c r="B199" s="624"/>
      <c r="C199" s="1061"/>
      <c r="D199" s="1061"/>
      <c r="E199" s="1061"/>
      <c r="F199" s="1061"/>
      <c r="G199" s="1061"/>
      <c r="H199" s="625"/>
      <c r="I199" s="625"/>
      <c r="J199" s="1062"/>
      <c r="K199" s="1062"/>
      <c r="L199" s="1063"/>
      <c r="M199" s="1063"/>
      <c r="N199" s="1064"/>
      <c r="O199" s="626"/>
    </row>
    <row r="200" spans="1:15" x14ac:dyDescent="0.25">
      <c r="A200" s="765"/>
      <c r="B200" s="624"/>
      <c r="C200" s="1061"/>
      <c r="D200" s="1061"/>
      <c r="E200" s="1061"/>
      <c r="F200" s="1061"/>
      <c r="G200" s="1061"/>
      <c r="H200" s="625"/>
      <c r="I200" s="625"/>
      <c r="J200" s="1062"/>
      <c r="K200" s="1062"/>
      <c r="L200" s="1063"/>
      <c r="M200" s="1063"/>
      <c r="N200" s="1064"/>
      <c r="O200" s="626"/>
    </row>
    <row r="201" spans="1:15" x14ac:dyDescent="0.25">
      <c r="A201" s="765"/>
      <c r="B201" s="624"/>
      <c r="C201" s="1061"/>
      <c r="D201" s="1061"/>
      <c r="E201" s="1061"/>
      <c r="F201" s="1061"/>
      <c r="G201" s="1061"/>
      <c r="H201" s="625"/>
      <c r="I201" s="625"/>
      <c r="J201" s="1062"/>
      <c r="K201" s="1062"/>
      <c r="L201" s="1063"/>
      <c r="M201" s="1063"/>
      <c r="N201" s="1064"/>
      <c r="O201" s="626"/>
    </row>
    <row r="202" spans="1:15" x14ac:dyDescent="0.25">
      <c r="A202" s="765"/>
      <c r="B202" s="624"/>
      <c r="C202" s="1061"/>
      <c r="D202" s="1061"/>
      <c r="E202" s="1061"/>
      <c r="F202" s="1061"/>
      <c r="G202" s="1061"/>
      <c r="H202" s="625"/>
      <c r="I202" s="625"/>
      <c r="J202" s="1062"/>
      <c r="K202" s="1062"/>
      <c r="L202" s="1063"/>
      <c r="M202" s="1063"/>
      <c r="N202" s="1064"/>
      <c r="O202" s="626"/>
    </row>
    <row r="203" spans="1:15" x14ac:dyDescent="0.25">
      <c r="A203" s="765"/>
      <c r="B203" s="624"/>
      <c r="C203" s="1061"/>
      <c r="D203" s="1061"/>
      <c r="E203" s="1061"/>
      <c r="F203" s="1061"/>
      <c r="G203" s="1061"/>
      <c r="H203" s="625"/>
      <c r="I203" s="625"/>
      <c r="J203" s="1062"/>
      <c r="K203" s="1062"/>
      <c r="L203" s="1063"/>
      <c r="M203" s="1063"/>
      <c r="N203" s="1064"/>
      <c r="O203" s="626"/>
    </row>
    <row r="204" spans="1:15" x14ac:dyDescent="0.25">
      <c r="A204" s="765"/>
      <c r="B204" s="624"/>
      <c r="C204" s="1061"/>
      <c r="D204" s="1061"/>
      <c r="E204" s="1061"/>
      <c r="F204" s="1061"/>
      <c r="G204" s="1061"/>
      <c r="H204" s="625"/>
      <c r="I204" s="625"/>
      <c r="J204" s="1062"/>
      <c r="K204" s="1062"/>
      <c r="L204" s="1063"/>
      <c r="M204" s="1063"/>
      <c r="N204" s="1064"/>
      <c r="O204" s="626"/>
    </row>
    <row r="205" spans="1:15" x14ac:dyDescent="0.25">
      <c r="A205" s="765"/>
      <c r="B205" s="624"/>
      <c r="C205" s="1061"/>
      <c r="D205" s="1061"/>
      <c r="E205" s="1061"/>
      <c r="F205" s="1061"/>
      <c r="G205" s="1061"/>
      <c r="H205" s="625"/>
      <c r="I205" s="625"/>
      <c r="J205" s="1062"/>
      <c r="K205" s="1062"/>
      <c r="L205" s="1063"/>
      <c r="M205" s="1063"/>
      <c r="N205" s="1064"/>
      <c r="O205" s="626"/>
    </row>
    <row r="206" spans="1:15" x14ac:dyDescent="0.25">
      <c r="A206" s="765"/>
      <c r="B206" s="624"/>
      <c r="C206" s="1061"/>
      <c r="D206" s="1061"/>
      <c r="E206" s="1061"/>
      <c r="F206" s="1061"/>
      <c r="G206" s="1061"/>
      <c r="H206" s="625"/>
      <c r="I206" s="625"/>
      <c r="J206" s="1062"/>
      <c r="K206" s="1062"/>
      <c r="L206" s="1063"/>
      <c r="M206" s="1063"/>
      <c r="N206" s="1064"/>
      <c r="O206" s="626"/>
    </row>
    <row r="207" spans="1:15" x14ac:dyDescent="0.25">
      <c r="A207" s="765"/>
      <c r="B207" s="624"/>
      <c r="C207" s="1061"/>
      <c r="D207" s="1061"/>
      <c r="E207" s="1061"/>
      <c r="F207" s="1061"/>
      <c r="G207" s="1061"/>
      <c r="H207" s="625"/>
      <c r="I207" s="625"/>
      <c r="J207" s="1062"/>
      <c r="K207" s="1062"/>
      <c r="L207" s="1063"/>
      <c r="M207" s="1063"/>
      <c r="N207" s="1064"/>
      <c r="O207" s="626"/>
    </row>
    <row r="208" spans="1:15" x14ac:dyDescent="0.25">
      <c r="A208" s="765"/>
      <c r="B208" s="624"/>
      <c r="C208" s="1061"/>
      <c r="D208" s="1061"/>
      <c r="E208" s="1061"/>
      <c r="F208" s="1061"/>
      <c r="G208" s="1061"/>
      <c r="H208" s="625"/>
      <c r="I208" s="625"/>
      <c r="J208" s="1062"/>
      <c r="K208" s="1062"/>
      <c r="L208" s="1063"/>
      <c r="M208" s="1063"/>
      <c r="N208" s="1064"/>
      <c r="O208" s="626"/>
    </row>
    <row r="209" spans="1:15" x14ac:dyDescent="0.25">
      <c r="A209" s="765"/>
      <c r="B209" s="624"/>
      <c r="C209" s="1061"/>
      <c r="D209" s="1061"/>
      <c r="E209" s="1061"/>
      <c r="F209" s="1061"/>
      <c r="G209" s="1061"/>
      <c r="H209" s="625"/>
      <c r="I209" s="625"/>
      <c r="J209" s="1062"/>
      <c r="K209" s="1062"/>
      <c r="L209" s="1063"/>
      <c r="M209" s="1063"/>
      <c r="N209" s="1064"/>
      <c r="O209" s="626"/>
    </row>
    <row r="210" spans="1:15" x14ac:dyDescent="0.25">
      <c r="A210" s="765"/>
      <c r="B210" s="624"/>
      <c r="C210" s="1061"/>
      <c r="D210" s="1061"/>
      <c r="E210" s="1061"/>
      <c r="F210" s="1061"/>
      <c r="G210" s="1061"/>
      <c r="H210" s="625"/>
      <c r="I210" s="625"/>
      <c r="J210" s="1062"/>
      <c r="K210" s="1062"/>
      <c r="L210" s="1063"/>
      <c r="M210" s="1063"/>
      <c r="N210" s="1064"/>
      <c r="O210" s="626"/>
    </row>
    <row r="211" spans="1:15" x14ac:dyDescent="0.25">
      <c r="A211" s="765"/>
      <c r="B211" s="624"/>
      <c r="C211" s="1061"/>
      <c r="D211" s="1061"/>
      <c r="E211" s="1061"/>
      <c r="F211" s="1061"/>
      <c r="G211" s="1061"/>
      <c r="H211" s="625"/>
      <c r="I211" s="625"/>
      <c r="J211" s="1062"/>
      <c r="K211" s="1062"/>
      <c r="L211" s="1063"/>
      <c r="M211" s="1063"/>
      <c r="N211" s="1064"/>
      <c r="O211" s="626"/>
    </row>
    <row r="212" spans="1:15" x14ac:dyDescent="0.25">
      <c r="A212" s="765"/>
      <c r="B212" s="624"/>
      <c r="C212" s="1061"/>
      <c r="D212" s="1061"/>
      <c r="E212" s="1061"/>
      <c r="F212" s="1061"/>
      <c r="G212" s="1061"/>
      <c r="H212" s="625"/>
      <c r="I212" s="625"/>
      <c r="J212" s="1062"/>
      <c r="K212" s="1062"/>
      <c r="L212" s="1063"/>
      <c r="M212" s="1063"/>
      <c r="N212" s="1064"/>
      <c r="O212" s="626"/>
    </row>
    <row r="213" spans="1:15" x14ac:dyDescent="0.25">
      <c r="A213" s="765"/>
      <c r="B213" s="624"/>
      <c r="C213" s="1061"/>
      <c r="D213" s="1061"/>
      <c r="E213" s="1061"/>
      <c r="F213" s="1061"/>
      <c r="G213" s="1061"/>
      <c r="H213" s="625"/>
      <c r="I213" s="625"/>
      <c r="J213" s="1062"/>
      <c r="K213" s="1062"/>
      <c r="L213" s="1063"/>
      <c r="M213" s="1063"/>
      <c r="N213" s="1064"/>
      <c r="O213" s="626"/>
    </row>
    <row r="214" spans="1:15" x14ac:dyDescent="0.25">
      <c r="A214" s="765"/>
      <c r="B214" s="624"/>
      <c r="C214" s="1061"/>
      <c r="D214" s="1061"/>
      <c r="E214" s="1061"/>
      <c r="F214" s="1061"/>
      <c r="G214" s="1061"/>
      <c r="H214" s="625"/>
      <c r="I214" s="625"/>
      <c r="J214" s="1062"/>
      <c r="K214" s="1062"/>
      <c r="L214" s="1063"/>
      <c r="M214" s="1063"/>
      <c r="N214" s="1064"/>
      <c r="O214" s="626"/>
    </row>
    <row r="215" spans="1:15" x14ac:dyDescent="0.25">
      <c r="A215" s="765"/>
      <c r="B215" s="624"/>
      <c r="C215" s="1061"/>
      <c r="D215" s="1061"/>
      <c r="E215" s="1061"/>
      <c r="F215" s="1061"/>
      <c r="G215" s="1061"/>
      <c r="H215" s="625"/>
      <c r="I215" s="625"/>
      <c r="J215" s="1062"/>
      <c r="K215" s="1062"/>
      <c r="L215" s="1063"/>
      <c r="M215" s="1063"/>
      <c r="N215" s="1064"/>
      <c r="O215" s="626"/>
    </row>
    <row r="216" spans="1:15" x14ac:dyDescent="0.25">
      <c r="A216" s="765"/>
      <c r="B216" s="624"/>
      <c r="C216" s="1061"/>
      <c r="D216" s="1061"/>
      <c r="E216" s="1061"/>
      <c r="F216" s="1061"/>
      <c r="G216" s="1061"/>
      <c r="H216" s="625"/>
      <c r="I216" s="625"/>
      <c r="J216" s="1062"/>
      <c r="K216" s="1062"/>
      <c r="L216" s="1063"/>
      <c r="M216" s="1063"/>
      <c r="N216" s="1064"/>
      <c r="O216" s="626"/>
    </row>
    <row r="217" spans="1:15" x14ac:dyDescent="0.25">
      <c r="A217" s="765"/>
      <c r="B217" s="624"/>
      <c r="C217" s="1061"/>
      <c r="D217" s="1061"/>
      <c r="E217" s="1061"/>
      <c r="F217" s="1061"/>
      <c r="G217" s="1061"/>
      <c r="H217" s="625"/>
      <c r="I217" s="625"/>
      <c r="J217" s="1062"/>
      <c r="K217" s="1062"/>
      <c r="L217" s="1063"/>
      <c r="M217" s="1063"/>
      <c r="N217" s="1064"/>
      <c r="O217" s="626"/>
    </row>
    <row r="218" spans="1:15" x14ac:dyDescent="0.25">
      <c r="A218" s="765"/>
      <c r="B218" s="624"/>
      <c r="C218" s="1061"/>
      <c r="D218" s="1061"/>
      <c r="E218" s="1061"/>
      <c r="F218" s="1061"/>
      <c r="G218" s="1061"/>
      <c r="H218" s="625"/>
      <c r="I218" s="625"/>
      <c r="J218" s="1062"/>
      <c r="K218" s="1062"/>
      <c r="L218" s="1063"/>
      <c r="M218" s="1063"/>
      <c r="N218" s="1064"/>
      <c r="O218" s="626"/>
    </row>
    <row r="219" spans="1:15" x14ac:dyDescent="0.25">
      <c r="A219" s="765"/>
      <c r="B219" s="624"/>
      <c r="C219" s="1061"/>
      <c r="D219" s="1061"/>
      <c r="E219" s="1061"/>
      <c r="F219" s="1061"/>
      <c r="G219" s="1061"/>
      <c r="H219" s="625"/>
      <c r="I219" s="625"/>
      <c r="J219" s="1062"/>
      <c r="K219" s="1062"/>
      <c r="L219" s="1063"/>
      <c r="M219" s="1063"/>
      <c r="N219" s="1064"/>
      <c r="O219" s="626"/>
    </row>
    <row r="220" spans="1:15" x14ac:dyDescent="0.25">
      <c r="A220" s="765"/>
      <c r="B220" s="624"/>
      <c r="C220" s="1061"/>
      <c r="D220" s="1061"/>
      <c r="E220" s="1061"/>
      <c r="F220" s="1061"/>
      <c r="G220" s="1061"/>
      <c r="H220" s="625"/>
      <c r="I220" s="625"/>
      <c r="J220" s="1062"/>
      <c r="K220" s="1062"/>
      <c r="L220" s="1063"/>
      <c r="M220" s="1063"/>
      <c r="N220" s="1064"/>
      <c r="O220" s="626"/>
    </row>
    <row r="221" spans="1:15" x14ac:dyDescent="0.25">
      <c r="A221" s="765"/>
      <c r="B221" s="624"/>
      <c r="C221" s="1061"/>
      <c r="D221" s="1061"/>
      <c r="E221" s="1061"/>
      <c r="F221" s="1061"/>
      <c r="G221" s="1061"/>
      <c r="H221" s="625"/>
      <c r="I221" s="625"/>
      <c r="J221" s="1062"/>
      <c r="K221" s="1062"/>
      <c r="L221" s="1063"/>
      <c r="M221" s="1063"/>
      <c r="N221" s="1064"/>
      <c r="O221" s="626"/>
    </row>
    <row r="222" spans="1:15" x14ac:dyDescent="0.25">
      <c r="A222" s="765"/>
      <c r="B222" s="624"/>
      <c r="C222" s="1061"/>
      <c r="D222" s="1061"/>
      <c r="E222" s="1061"/>
      <c r="F222" s="1061"/>
      <c r="G222" s="1061"/>
      <c r="H222" s="625"/>
      <c r="I222" s="625"/>
      <c r="J222" s="1062"/>
      <c r="K222" s="1062"/>
      <c r="L222" s="1063"/>
      <c r="M222" s="1063"/>
      <c r="N222" s="1064"/>
      <c r="O222" s="626"/>
    </row>
    <row r="223" spans="1:15" x14ac:dyDescent="0.25">
      <c r="A223" s="765"/>
      <c r="B223" s="624"/>
      <c r="C223" s="1061"/>
      <c r="D223" s="1061"/>
      <c r="E223" s="1061"/>
      <c r="F223" s="1061"/>
      <c r="G223" s="1061"/>
      <c r="H223" s="625"/>
      <c r="I223" s="625"/>
      <c r="J223" s="1062"/>
      <c r="K223" s="1062"/>
      <c r="L223" s="1063"/>
      <c r="M223" s="1063"/>
      <c r="N223" s="1064"/>
      <c r="O223" s="626"/>
    </row>
    <row r="224" spans="1:15" x14ac:dyDescent="0.25">
      <c r="A224" s="765"/>
      <c r="B224" s="624"/>
      <c r="C224" s="1061"/>
      <c r="D224" s="1061"/>
      <c r="E224" s="1061"/>
      <c r="F224" s="1061"/>
      <c r="G224" s="1061"/>
      <c r="H224" s="625"/>
      <c r="I224" s="625"/>
      <c r="J224" s="1062"/>
      <c r="K224" s="1062"/>
      <c r="L224" s="1063"/>
      <c r="M224" s="1063"/>
      <c r="N224" s="1064"/>
      <c r="O224" s="626"/>
    </row>
    <row r="225" spans="1:15" x14ac:dyDescent="0.25">
      <c r="A225" s="765"/>
      <c r="B225" s="624"/>
      <c r="C225" s="1061"/>
      <c r="D225" s="1061"/>
      <c r="E225" s="1061"/>
      <c r="F225" s="1061"/>
      <c r="G225" s="1061"/>
      <c r="H225" s="625"/>
      <c r="I225" s="625"/>
      <c r="J225" s="1062"/>
      <c r="K225" s="1062"/>
      <c r="L225" s="1063"/>
      <c r="M225" s="1063"/>
      <c r="N225" s="1064"/>
      <c r="O225" s="626"/>
    </row>
    <row r="226" spans="1:15" x14ac:dyDescent="0.25">
      <c r="A226" s="765"/>
      <c r="B226" s="624"/>
      <c r="C226" s="1061"/>
      <c r="D226" s="1061"/>
      <c r="E226" s="1061"/>
      <c r="F226" s="1061"/>
      <c r="G226" s="1061"/>
      <c r="H226" s="625"/>
      <c r="I226" s="625"/>
      <c r="J226" s="1062"/>
      <c r="K226" s="1062"/>
      <c r="L226" s="1063"/>
      <c r="M226" s="1063"/>
      <c r="N226" s="1064"/>
      <c r="O226" s="626"/>
    </row>
    <row r="227" spans="1:15" x14ac:dyDescent="0.25">
      <c r="A227" s="765"/>
      <c r="B227" s="624"/>
      <c r="C227" s="1061"/>
      <c r="D227" s="1061"/>
      <c r="E227" s="1061"/>
      <c r="F227" s="1061"/>
      <c r="G227" s="1061"/>
      <c r="H227" s="625"/>
      <c r="I227" s="625"/>
      <c r="J227" s="1062"/>
      <c r="K227" s="1062"/>
      <c r="L227" s="1063"/>
      <c r="M227" s="1063"/>
      <c r="N227" s="1064"/>
      <c r="O227" s="626"/>
    </row>
    <row r="228" spans="1:15" x14ac:dyDescent="0.25">
      <c r="A228" s="765"/>
      <c r="B228" s="624"/>
      <c r="C228" s="1061"/>
      <c r="D228" s="1061"/>
      <c r="E228" s="1061"/>
      <c r="F228" s="1061"/>
      <c r="G228" s="1061"/>
      <c r="H228" s="625"/>
      <c r="I228" s="625"/>
      <c r="J228" s="1062"/>
      <c r="K228" s="1062"/>
      <c r="L228" s="1063"/>
      <c r="M228" s="1063"/>
      <c r="N228" s="1064"/>
      <c r="O228" s="626"/>
    </row>
    <row r="229" spans="1:15" x14ac:dyDescent="0.25">
      <c r="A229" s="765"/>
      <c r="B229" s="624"/>
      <c r="C229" s="1061"/>
      <c r="D229" s="1061"/>
      <c r="E229" s="1061"/>
      <c r="F229" s="1061"/>
      <c r="G229" s="1061"/>
      <c r="H229" s="625"/>
      <c r="I229" s="625"/>
      <c r="J229" s="1062"/>
      <c r="K229" s="1062"/>
      <c r="L229" s="1063"/>
      <c r="M229" s="1063"/>
      <c r="N229" s="1064"/>
      <c r="O229" s="626"/>
    </row>
    <row r="230" spans="1:15" x14ac:dyDescent="0.25">
      <c r="A230" s="765"/>
      <c r="B230" s="624"/>
      <c r="C230" s="1061"/>
      <c r="D230" s="1061"/>
      <c r="E230" s="1061"/>
      <c r="F230" s="1061"/>
      <c r="G230" s="1061"/>
      <c r="H230" s="625"/>
      <c r="I230" s="625"/>
      <c r="J230" s="1062"/>
      <c r="K230" s="1062"/>
      <c r="L230" s="1063"/>
      <c r="M230" s="1063"/>
      <c r="N230" s="1064"/>
      <c r="O230" s="626"/>
    </row>
    <row r="231" spans="1:15" x14ac:dyDescent="0.25">
      <c r="A231" s="765"/>
      <c r="B231" s="624"/>
      <c r="C231" s="1061"/>
      <c r="D231" s="1061"/>
      <c r="E231" s="1061"/>
      <c r="F231" s="1061"/>
      <c r="G231" s="1061"/>
      <c r="H231" s="625"/>
      <c r="I231" s="625"/>
      <c r="J231" s="1062"/>
      <c r="K231" s="1062"/>
      <c r="L231" s="1063"/>
      <c r="M231" s="1063"/>
      <c r="N231" s="1064"/>
      <c r="O231" s="626"/>
    </row>
    <row r="232" spans="1:15" x14ac:dyDescent="0.25">
      <c r="A232" s="765"/>
      <c r="B232" s="624"/>
      <c r="C232" s="1061"/>
      <c r="D232" s="1061"/>
      <c r="E232" s="1061"/>
      <c r="F232" s="1061"/>
      <c r="G232" s="1061"/>
      <c r="H232" s="625"/>
      <c r="I232" s="625"/>
      <c r="J232" s="1062"/>
      <c r="K232" s="1062"/>
      <c r="L232" s="1063"/>
      <c r="M232" s="1063"/>
      <c r="N232" s="1064"/>
      <c r="O232" s="626"/>
    </row>
    <row r="233" spans="1:15" x14ac:dyDescent="0.25">
      <c r="A233" s="765"/>
      <c r="B233" s="624"/>
      <c r="C233" s="1061"/>
      <c r="D233" s="1061"/>
      <c r="E233" s="1061"/>
      <c r="F233" s="1061"/>
      <c r="G233" s="1061"/>
      <c r="H233" s="625"/>
      <c r="I233" s="625"/>
      <c r="J233" s="1062"/>
      <c r="K233" s="1062"/>
      <c r="L233" s="1063"/>
      <c r="M233" s="1063"/>
      <c r="N233" s="1064"/>
      <c r="O233" s="626"/>
    </row>
    <row r="234" spans="1:15" x14ac:dyDescent="0.25">
      <c r="A234" s="765"/>
      <c r="B234" s="624"/>
      <c r="C234" s="1061"/>
      <c r="D234" s="1061"/>
      <c r="E234" s="1061"/>
      <c r="F234" s="1061"/>
      <c r="G234" s="1061"/>
      <c r="H234" s="625"/>
      <c r="I234" s="625"/>
      <c r="J234" s="1062"/>
      <c r="K234" s="1062"/>
      <c r="L234" s="1063"/>
      <c r="M234" s="1063"/>
      <c r="N234" s="1064"/>
      <c r="O234" s="626"/>
    </row>
    <row r="235" spans="1:15" x14ac:dyDescent="0.25">
      <c r="A235" s="765"/>
      <c r="B235" s="624"/>
      <c r="C235" s="1061"/>
      <c r="D235" s="1061"/>
      <c r="E235" s="1061"/>
      <c r="F235" s="1061"/>
      <c r="G235" s="1061"/>
      <c r="H235" s="625"/>
      <c r="I235" s="625"/>
      <c r="J235" s="1062"/>
      <c r="K235" s="1062"/>
      <c r="L235" s="1063"/>
      <c r="M235" s="1063"/>
      <c r="N235" s="1064"/>
      <c r="O235" s="626"/>
    </row>
    <row r="236" spans="1:15" x14ac:dyDescent="0.25">
      <c r="A236" s="765"/>
      <c r="B236" s="624"/>
      <c r="C236" s="1061"/>
      <c r="D236" s="1061"/>
      <c r="E236" s="1061"/>
      <c r="F236" s="1061"/>
      <c r="G236" s="1061"/>
      <c r="H236" s="625"/>
      <c r="I236" s="625"/>
      <c r="J236" s="1062"/>
      <c r="K236" s="1062"/>
      <c r="L236" s="1063"/>
      <c r="M236" s="1063"/>
      <c r="N236" s="1064"/>
      <c r="O236" s="626"/>
    </row>
    <row r="237" spans="1:15" x14ac:dyDescent="0.25">
      <c r="A237" s="765"/>
      <c r="B237" s="624"/>
      <c r="C237" s="1061"/>
      <c r="D237" s="1061"/>
      <c r="E237" s="1061"/>
      <c r="F237" s="1061"/>
      <c r="G237" s="1061"/>
      <c r="H237" s="625"/>
      <c r="I237" s="625"/>
      <c r="J237" s="1062"/>
      <c r="K237" s="1062"/>
      <c r="L237" s="1063"/>
      <c r="M237" s="1063"/>
      <c r="N237" s="1064"/>
      <c r="O237" s="626"/>
    </row>
    <row r="238" spans="1:15" x14ac:dyDescent="0.25">
      <c r="A238" s="765"/>
      <c r="B238" s="624"/>
      <c r="C238" s="1061"/>
      <c r="D238" s="1061"/>
      <c r="E238" s="1061"/>
      <c r="F238" s="1061"/>
      <c r="G238" s="1061"/>
      <c r="H238" s="625"/>
      <c r="I238" s="625"/>
      <c r="J238" s="1062"/>
      <c r="K238" s="1062"/>
      <c r="L238" s="1063"/>
      <c r="M238" s="1063"/>
      <c r="N238" s="1064"/>
      <c r="O238" s="626"/>
    </row>
    <row r="239" spans="1:15" x14ac:dyDescent="0.25">
      <c r="A239" s="765"/>
      <c r="B239" s="624"/>
      <c r="C239" s="1061"/>
      <c r="D239" s="1061"/>
      <c r="E239" s="1061"/>
      <c r="F239" s="1061"/>
      <c r="G239" s="1061"/>
      <c r="H239" s="625"/>
      <c r="I239" s="625"/>
      <c r="J239" s="1062"/>
      <c r="K239" s="1062"/>
      <c r="L239" s="1063"/>
      <c r="M239" s="1063"/>
      <c r="N239" s="1064"/>
      <c r="O239" s="626"/>
    </row>
    <row r="240" spans="1:15" x14ac:dyDescent="0.25">
      <c r="A240" s="765"/>
      <c r="B240" s="624"/>
      <c r="C240" s="1061"/>
      <c r="D240" s="1061"/>
      <c r="E240" s="1061"/>
      <c r="F240" s="1061"/>
      <c r="G240" s="1061"/>
      <c r="H240" s="625"/>
      <c r="I240" s="625"/>
      <c r="J240" s="1062"/>
      <c r="K240" s="1062"/>
      <c r="L240" s="1063"/>
      <c r="M240" s="1063"/>
      <c r="N240" s="1064"/>
      <c r="O240" s="626"/>
    </row>
    <row r="241" spans="1:15" x14ac:dyDescent="0.25">
      <c r="A241" s="765"/>
      <c r="B241" s="624"/>
      <c r="C241" s="1061"/>
      <c r="D241" s="1061"/>
      <c r="E241" s="1061"/>
      <c r="F241" s="1061"/>
      <c r="G241" s="1061"/>
      <c r="H241" s="625"/>
      <c r="I241" s="625"/>
      <c r="J241" s="1062"/>
      <c r="K241" s="1062"/>
      <c r="L241" s="1063"/>
      <c r="M241" s="1063"/>
      <c r="N241" s="1064"/>
      <c r="O241" s="626"/>
    </row>
    <row r="242" spans="1:15" x14ac:dyDescent="0.25">
      <c r="A242" s="765"/>
      <c r="B242" s="624"/>
      <c r="C242" s="1061"/>
      <c r="D242" s="1061"/>
      <c r="E242" s="1061"/>
      <c r="F242" s="1061"/>
      <c r="G242" s="1061"/>
      <c r="H242" s="625"/>
      <c r="I242" s="625"/>
      <c r="J242" s="1062"/>
      <c r="K242" s="1062"/>
      <c r="L242" s="1063"/>
      <c r="M242" s="1063"/>
      <c r="N242" s="1064"/>
      <c r="O242" s="626"/>
    </row>
    <row r="243" spans="1:15" x14ac:dyDescent="0.25">
      <c r="A243" s="765"/>
      <c r="B243" s="624"/>
      <c r="C243" s="1061"/>
      <c r="D243" s="1061"/>
      <c r="E243" s="1061"/>
      <c r="F243" s="1061"/>
      <c r="G243" s="1061"/>
      <c r="H243" s="625"/>
      <c r="I243" s="625"/>
      <c r="J243" s="1062"/>
      <c r="K243" s="1062"/>
      <c r="L243" s="1063"/>
      <c r="M243" s="1063"/>
      <c r="N243" s="1064"/>
      <c r="O243" s="626"/>
    </row>
    <row r="244" spans="1:15" x14ac:dyDescent="0.25">
      <c r="A244" s="765"/>
      <c r="B244" s="624"/>
      <c r="C244" s="1061"/>
      <c r="D244" s="1061"/>
      <c r="E244" s="1061"/>
      <c r="F244" s="1061"/>
      <c r="G244" s="1061"/>
      <c r="H244" s="625"/>
      <c r="I244" s="625"/>
      <c r="J244" s="1062"/>
      <c r="K244" s="1062"/>
      <c r="L244" s="1063"/>
      <c r="M244" s="1063"/>
      <c r="N244" s="1064"/>
      <c r="O244" s="626"/>
    </row>
    <row r="245" spans="1:15" x14ac:dyDescent="0.25">
      <c r="A245" s="765"/>
      <c r="B245" s="624"/>
      <c r="C245" s="1061"/>
      <c r="D245" s="1061"/>
      <c r="E245" s="1061"/>
      <c r="F245" s="1061"/>
      <c r="G245" s="1061"/>
      <c r="H245" s="625"/>
      <c r="I245" s="625"/>
      <c r="J245" s="1062"/>
      <c r="K245" s="1062"/>
      <c r="L245" s="1063"/>
      <c r="M245" s="1063"/>
      <c r="N245" s="1064"/>
      <c r="O245" s="626"/>
    </row>
    <row r="246" spans="1:15" x14ac:dyDescent="0.25">
      <c r="A246" s="765"/>
      <c r="B246" s="624"/>
      <c r="C246" s="1061"/>
      <c r="D246" s="1061"/>
      <c r="E246" s="1061"/>
      <c r="F246" s="1061"/>
      <c r="G246" s="1061"/>
      <c r="H246" s="625"/>
      <c r="I246" s="625"/>
      <c r="J246" s="1062"/>
      <c r="K246" s="1062"/>
      <c r="L246" s="1063"/>
      <c r="M246" s="1063"/>
      <c r="N246" s="1064"/>
      <c r="O246" s="626"/>
    </row>
    <row r="247" spans="1:15" x14ac:dyDescent="0.25">
      <c r="A247" s="765"/>
      <c r="B247" s="624"/>
      <c r="C247" s="1061"/>
      <c r="D247" s="1061"/>
      <c r="E247" s="1061"/>
      <c r="F247" s="1061"/>
      <c r="G247" s="1061"/>
      <c r="H247" s="625"/>
      <c r="I247" s="625"/>
      <c r="J247" s="1062"/>
      <c r="K247" s="1062"/>
      <c r="L247" s="1063"/>
      <c r="M247" s="1063"/>
      <c r="N247" s="1064"/>
      <c r="O247" s="626"/>
    </row>
    <row r="248" spans="1:15" x14ac:dyDescent="0.25">
      <c r="A248" s="765"/>
      <c r="B248" s="624"/>
      <c r="C248" s="1061"/>
      <c r="D248" s="1061"/>
      <c r="E248" s="1061"/>
      <c r="F248" s="1061"/>
      <c r="G248" s="1061"/>
      <c r="H248" s="625"/>
      <c r="I248" s="625"/>
      <c r="J248" s="1062"/>
      <c r="K248" s="1062"/>
      <c r="L248" s="1063"/>
      <c r="M248" s="1063"/>
      <c r="N248" s="1064"/>
      <c r="O248" s="626"/>
    </row>
    <row r="249" spans="1:15" x14ac:dyDescent="0.25">
      <c r="A249" s="765"/>
      <c r="B249" s="624"/>
      <c r="C249" s="1061"/>
      <c r="D249" s="1061"/>
      <c r="E249" s="1061"/>
      <c r="F249" s="1061"/>
      <c r="G249" s="1061"/>
      <c r="H249" s="625"/>
      <c r="I249" s="625"/>
      <c r="J249" s="1062"/>
      <c r="K249" s="1062"/>
      <c r="L249" s="1063"/>
      <c r="M249" s="1063"/>
      <c r="N249" s="1064"/>
      <c r="O249" s="626"/>
    </row>
    <row r="250" spans="1:15" x14ac:dyDescent="0.25">
      <c r="A250" s="765"/>
      <c r="B250" s="624"/>
      <c r="C250" s="1061"/>
      <c r="D250" s="1061"/>
      <c r="E250" s="1061"/>
      <c r="F250" s="1061"/>
      <c r="G250" s="1061"/>
      <c r="H250" s="625"/>
      <c r="I250" s="625"/>
      <c r="J250" s="1062"/>
      <c r="K250" s="1062"/>
      <c r="L250" s="1063"/>
      <c r="M250" s="1063"/>
      <c r="N250" s="1064"/>
      <c r="O250" s="626"/>
    </row>
    <row r="251" spans="1:15" x14ac:dyDescent="0.25">
      <c r="A251" s="765"/>
      <c r="B251" s="624"/>
      <c r="C251" s="1061"/>
      <c r="D251" s="1061"/>
      <c r="E251" s="1061"/>
      <c r="F251" s="1061"/>
      <c r="G251" s="1061"/>
      <c r="H251" s="625"/>
      <c r="I251" s="625"/>
      <c r="J251" s="1062"/>
      <c r="K251" s="1062"/>
      <c r="L251" s="1063"/>
      <c r="M251" s="1063"/>
      <c r="N251" s="1064"/>
      <c r="O251" s="626"/>
    </row>
    <row r="252" spans="1:15" x14ac:dyDescent="0.25">
      <c r="A252" s="765"/>
      <c r="B252" s="624"/>
      <c r="C252" s="1061"/>
      <c r="D252" s="1061"/>
      <c r="E252" s="1061"/>
      <c r="F252" s="1061"/>
      <c r="G252" s="1061"/>
      <c r="H252" s="625"/>
      <c r="I252" s="625"/>
      <c r="J252" s="1062"/>
      <c r="K252" s="1062"/>
      <c r="L252" s="1063"/>
      <c r="M252" s="1063"/>
      <c r="N252" s="1064"/>
      <c r="O252" s="626"/>
    </row>
    <row r="253" spans="1:15" x14ac:dyDescent="0.25">
      <c r="A253" s="765"/>
      <c r="B253" s="624"/>
      <c r="C253" s="1061"/>
      <c r="D253" s="1061"/>
      <c r="E253" s="1061"/>
      <c r="F253" s="1061"/>
      <c r="G253" s="1061"/>
      <c r="H253" s="625"/>
      <c r="I253" s="625"/>
      <c r="J253" s="1062"/>
      <c r="K253" s="1062"/>
      <c r="L253" s="1063"/>
      <c r="M253" s="1063"/>
      <c r="N253" s="1064"/>
      <c r="O253" s="626"/>
    </row>
    <row r="254" spans="1:15" x14ac:dyDescent="0.25">
      <c r="A254" s="765"/>
      <c r="B254" s="624"/>
      <c r="C254" s="1061"/>
      <c r="D254" s="1061"/>
      <c r="E254" s="1061"/>
      <c r="F254" s="1061"/>
      <c r="G254" s="1061"/>
      <c r="H254" s="625"/>
      <c r="I254" s="625"/>
      <c r="J254" s="1062"/>
      <c r="K254" s="1062"/>
      <c r="L254" s="1063"/>
      <c r="M254" s="1063"/>
      <c r="N254" s="1064"/>
      <c r="O254" s="626"/>
    </row>
    <row r="255" spans="1:15" x14ac:dyDescent="0.25">
      <c r="A255" s="765"/>
      <c r="B255" s="624"/>
      <c r="C255" s="1061"/>
      <c r="D255" s="1061"/>
      <c r="E255" s="1061"/>
      <c r="F255" s="1061"/>
      <c r="G255" s="1061"/>
      <c r="H255" s="625"/>
      <c r="I255" s="625"/>
      <c r="J255" s="1062"/>
      <c r="K255" s="1062"/>
      <c r="L255" s="1063"/>
      <c r="M255" s="1063"/>
      <c r="N255" s="1064"/>
      <c r="O255" s="626"/>
    </row>
    <row r="256" spans="1:15" x14ac:dyDescent="0.25">
      <c r="A256" s="765"/>
      <c r="B256" s="624"/>
      <c r="C256" s="1061"/>
      <c r="D256" s="1061"/>
      <c r="E256" s="1061"/>
      <c r="F256" s="1061"/>
      <c r="G256" s="1061"/>
      <c r="H256" s="625"/>
      <c r="I256" s="625"/>
      <c r="J256" s="1062"/>
      <c r="K256" s="1062"/>
      <c r="L256" s="1063"/>
      <c r="M256" s="1063"/>
      <c r="N256" s="1064"/>
      <c r="O256" s="626"/>
    </row>
    <row r="257" spans="1:15" x14ac:dyDescent="0.25">
      <c r="A257" s="765"/>
      <c r="B257" s="624"/>
      <c r="C257" s="1061"/>
      <c r="D257" s="1061"/>
      <c r="E257" s="1061"/>
      <c r="F257" s="1061"/>
      <c r="G257" s="1061"/>
      <c r="H257" s="625"/>
      <c r="I257" s="625"/>
      <c r="J257" s="1062"/>
      <c r="K257" s="1062"/>
      <c r="L257" s="1063"/>
      <c r="M257" s="1063"/>
      <c r="N257" s="1064"/>
      <c r="O257" s="626"/>
    </row>
    <row r="258" spans="1:15" x14ac:dyDescent="0.25">
      <c r="A258" s="765"/>
      <c r="B258" s="624"/>
      <c r="C258" s="1061"/>
      <c r="D258" s="1061"/>
      <c r="E258" s="1061"/>
      <c r="F258" s="1061"/>
      <c r="G258" s="1061"/>
      <c r="H258" s="625"/>
      <c r="I258" s="625"/>
      <c r="J258" s="1062"/>
      <c r="K258" s="1062"/>
      <c r="L258" s="1063"/>
      <c r="M258" s="1063"/>
      <c r="N258" s="1064"/>
      <c r="O258" s="626"/>
    </row>
    <row r="259" spans="1:15" x14ac:dyDescent="0.25">
      <c r="A259" s="765"/>
      <c r="B259" s="624"/>
      <c r="C259" s="1061"/>
      <c r="D259" s="1061"/>
      <c r="E259" s="1061"/>
      <c r="F259" s="1061"/>
      <c r="G259" s="1061"/>
      <c r="H259" s="625"/>
      <c r="I259" s="625"/>
      <c r="J259" s="1062"/>
      <c r="K259" s="1062"/>
      <c r="L259" s="1063"/>
      <c r="M259" s="1063"/>
      <c r="N259" s="1064"/>
      <c r="O259" s="626"/>
    </row>
    <row r="260" spans="1:15" x14ac:dyDescent="0.25">
      <c r="A260" s="765"/>
      <c r="B260" s="624"/>
      <c r="C260" s="1061"/>
      <c r="D260" s="1061"/>
      <c r="E260" s="1061"/>
      <c r="F260" s="1061"/>
      <c r="G260" s="1061"/>
      <c r="H260" s="625"/>
      <c r="I260" s="625"/>
      <c r="J260" s="1062"/>
      <c r="K260" s="1062"/>
      <c r="L260" s="1063"/>
      <c r="M260" s="1063"/>
      <c r="N260" s="1064"/>
      <c r="O260" s="626"/>
    </row>
    <row r="261" spans="1:15" x14ac:dyDescent="0.25">
      <c r="A261" s="765"/>
      <c r="B261" s="624"/>
      <c r="C261" s="1061"/>
      <c r="D261" s="1061"/>
      <c r="E261" s="1061"/>
      <c r="F261" s="1061"/>
      <c r="G261" s="1061"/>
      <c r="H261" s="625"/>
      <c r="I261" s="625"/>
      <c r="J261" s="1062"/>
      <c r="K261" s="1062"/>
      <c r="L261" s="1063"/>
      <c r="M261" s="1063"/>
      <c r="N261" s="1064"/>
      <c r="O261" s="626"/>
    </row>
    <row r="262" spans="1:15" x14ac:dyDescent="0.25">
      <c r="A262" s="765"/>
      <c r="B262" s="624"/>
      <c r="C262" s="1061"/>
      <c r="D262" s="1061"/>
      <c r="E262" s="1061"/>
      <c r="F262" s="1061"/>
      <c r="G262" s="1061"/>
      <c r="H262" s="625"/>
      <c r="I262" s="625"/>
      <c r="J262" s="1062"/>
      <c r="K262" s="1062"/>
      <c r="L262" s="1063"/>
      <c r="M262" s="1063"/>
      <c r="N262" s="1064"/>
      <c r="O262" s="626"/>
    </row>
    <row r="263" spans="1:15" x14ac:dyDescent="0.25">
      <c r="A263" s="765"/>
      <c r="B263" s="624"/>
      <c r="C263" s="1061"/>
      <c r="D263" s="1061"/>
      <c r="E263" s="1061"/>
      <c r="F263" s="1061"/>
      <c r="G263" s="1061"/>
      <c r="H263" s="625"/>
      <c r="I263" s="625"/>
      <c r="J263" s="1062"/>
      <c r="K263" s="1062"/>
      <c r="L263" s="1063"/>
      <c r="M263" s="1063"/>
      <c r="N263" s="1064"/>
      <c r="O263" s="626"/>
    </row>
    <row r="264" spans="1:15" x14ac:dyDescent="0.25">
      <c r="A264" s="765"/>
      <c r="B264" s="624"/>
      <c r="C264" s="1061"/>
      <c r="D264" s="1061"/>
      <c r="E264" s="1061"/>
      <c r="F264" s="1061"/>
      <c r="G264" s="1061"/>
      <c r="H264" s="625"/>
      <c r="I264" s="625"/>
      <c r="J264" s="1062"/>
      <c r="K264" s="1062"/>
      <c r="L264" s="1063"/>
      <c r="M264" s="1063"/>
      <c r="N264" s="1064"/>
      <c r="O264" s="626"/>
    </row>
    <row r="265" spans="1:15" x14ac:dyDescent="0.25">
      <c r="A265" s="765"/>
      <c r="B265" s="624"/>
      <c r="C265" s="1061"/>
      <c r="D265" s="1061"/>
      <c r="E265" s="1061"/>
      <c r="F265" s="1061"/>
      <c r="G265" s="1061"/>
      <c r="H265" s="625"/>
      <c r="I265" s="625"/>
      <c r="J265" s="1062"/>
      <c r="K265" s="1062"/>
      <c r="L265" s="1063"/>
      <c r="M265" s="1063"/>
      <c r="N265" s="1064"/>
      <c r="O265" s="626"/>
    </row>
    <row r="266" spans="1:15" x14ac:dyDescent="0.25">
      <c r="A266" s="765"/>
      <c r="B266" s="624"/>
      <c r="C266" s="1061"/>
      <c r="D266" s="1061"/>
      <c r="E266" s="1061"/>
      <c r="F266" s="1061"/>
      <c r="G266" s="1061"/>
      <c r="H266" s="625"/>
      <c r="I266" s="625"/>
      <c r="J266" s="1062"/>
      <c r="K266" s="1062"/>
      <c r="L266" s="1063"/>
      <c r="M266" s="1063"/>
      <c r="N266" s="1064"/>
      <c r="O266" s="626"/>
    </row>
    <row r="267" spans="1:15" x14ac:dyDescent="0.25">
      <c r="A267" s="765"/>
      <c r="B267" s="624"/>
      <c r="C267" s="1061"/>
      <c r="D267" s="1061"/>
      <c r="E267" s="1061"/>
      <c r="F267" s="1061"/>
      <c r="G267" s="1061"/>
      <c r="H267" s="625"/>
      <c r="I267" s="625"/>
      <c r="J267" s="1062"/>
      <c r="K267" s="1062"/>
      <c r="L267" s="1063"/>
      <c r="M267" s="1063"/>
      <c r="N267" s="1064"/>
      <c r="O267" s="626"/>
    </row>
    <row r="268" spans="1:15" x14ac:dyDescent="0.25">
      <c r="A268" s="765"/>
      <c r="B268" s="624"/>
      <c r="C268" s="1061"/>
      <c r="D268" s="1061"/>
      <c r="E268" s="1061"/>
      <c r="F268" s="1061"/>
      <c r="G268" s="1061"/>
      <c r="H268" s="625"/>
      <c r="I268" s="625"/>
      <c r="J268" s="1062"/>
      <c r="K268" s="1062"/>
      <c r="L268" s="1063"/>
      <c r="M268" s="1063"/>
      <c r="N268" s="1064"/>
      <c r="O268" s="626"/>
    </row>
    <row r="269" spans="1:15" x14ac:dyDescent="0.25">
      <c r="A269" s="765"/>
      <c r="B269" s="624"/>
      <c r="C269" s="1061"/>
      <c r="D269" s="1061"/>
      <c r="E269" s="1061"/>
      <c r="F269" s="1061"/>
      <c r="G269" s="1061"/>
      <c r="H269" s="625"/>
      <c r="I269" s="625"/>
      <c r="J269" s="1062"/>
      <c r="K269" s="1062"/>
      <c r="L269" s="1063"/>
      <c r="M269" s="1063"/>
      <c r="N269" s="1064"/>
      <c r="O269" s="626"/>
    </row>
    <row r="270" spans="1:15" x14ac:dyDescent="0.25">
      <c r="A270" s="765"/>
      <c r="B270" s="624"/>
      <c r="C270" s="1061"/>
      <c r="D270" s="1061"/>
      <c r="E270" s="1061"/>
      <c r="F270" s="1061"/>
      <c r="G270" s="1061"/>
      <c r="H270" s="625"/>
      <c r="I270" s="625"/>
      <c r="J270" s="1062"/>
      <c r="K270" s="1062"/>
      <c r="L270" s="1063"/>
      <c r="M270" s="1063"/>
      <c r="N270" s="1064"/>
      <c r="O270" s="626"/>
    </row>
    <row r="271" spans="1:15" x14ac:dyDescent="0.25">
      <c r="A271" s="765"/>
      <c r="B271" s="624"/>
      <c r="C271" s="1061"/>
      <c r="D271" s="1061"/>
      <c r="E271" s="1061"/>
      <c r="F271" s="1061"/>
      <c r="G271" s="1061"/>
      <c r="H271" s="625"/>
      <c r="I271" s="625"/>
      <c r="J271" s="1062"/>
      <c r="K271" s="1062"/>
      <c r="L271" s="1063"/>
      <c r="M271" s="1063"/>
      <c r="N271" s="1064"/>
      <c r="O271" s="626"/>
    </row>
    <row r="272" spans="1:15" x14ac:dyDescent="0.25">
      <c r="A272" s="765"/>
      <c r="B272" s="624"/>
      <c r="C272" s="1061"/>
      <c r="D272" s="1061"/>
      <c r="E272" s="1061"/>
      <c r="F272" s="1061"/>
      <c r="G272" s="1061"/>
      <c r="H272" s="625"/>
      <c r="I272" s="625"/>
      <c r="J272" s="1062"/>
      <c r="K272" s="1062"/>
      <c r="L272" s="1063"/>
      <c r="M272" s="1063"/>
      <c r="N272" s="1064"/>
      <c r="O272" s="626"/>
    </row>
    <row r="273" spans="1:15" x14ac:dyDescent="0.25">
      <c r="A273" s="765"/>
      <c r="B273" s="624"/>
      <c r="C273" s="1061"/>
      <c r="D273" s="1061"/>
      <c r="E273" s="1061"/>
      <c r="F273" s="1061"/>
      <c r="G273" s="1061"/>
      <c r="H273" s="625"/>
      <c r="I273" s="625"/>
      <c r="J273" s="1062"/>
      <c r="K273" s="1062"/>
      <c r="L273" s="1063"/>
      <c r="M273" s="1063"/>
      <c r="N273" s="1064"/>
      <c r="O273" s="626"/>
    </row>
    <row r="274" spans="1:15" x14ac:dyDescent="0.25">
      <c r="A274" s="765"/>
      <c r="B274" s="624"/>
      <c r="C274" s="1061"/>
      <c r="D274" s="1061"/>
      <c r="E274" s="1061"/>
      <c r="F274" s="1061"/>
      <c r="G274" s="1061"/>
      <c r="H274" s="625"/>
      <c r="I274" s="625"/>
      <c r="J274" s="1062"/>
      <c r="K274" s="1062"/>
      <c r="L274" s="1063"/>
      <c r="M274" s="1063"/>
      <c r="N274" s="1064"/>
      <c r="O274" s="626"/>
    </row>
    <row r="275" spans="1:15" x14ac:dyDescent="0.25">
      <c r="A275" s="765"/>
      <c r="B275" s="624"/>
      <c r="C275" s="1061"/>
      <c r="D275" s="1061"/>
      <c r="E275" s="1061"/>
      <c r="F275" s="1061"/>
      <c r="G275" s="1061"/>
      <c r="H275" s="625"/>
      <c r="I275" s="625"/>
      <c r="J275" s="1062"/>
      <c r="K275" s="1062"/>
      <c r="L275" s="1063"/>
      <c r="M275" s="1063"/>
      <c r="N275" s="1064"/>
      <c r="O275" s="626"/>
    </row>
    <row r="276" spans="1:15" x14ac:dyDescent="0.25">
      <c r="A276" s="765"/>
      <c r="B276" s="624"/>
      <c r="C276" s="1061"/>
      <c r="D276" s="1061"/>
      <c r="E276" s="1061"/>
      <c r="F276" s="1061"/>
      <c r="G276" s="1061"/>
      <c r="H276" s="625"/>
      <c r="I276" s="625"/>
      <c r="J276" s="1062"/>
      <c r="K276" s="1062"/>
      <c r="L276" s="1063"/>
      <c r="M276" s="1063"/>
      <c r="N276" s="1064"/>
      <c r="O276" s="626"/>
    </row>
    <row r="277" spans="1:15" x14ac:dyDescent="0.25">
      <c r="A277" s="765"/>
      <c r="B277" s="624"/>
      <c r="C277" s="1061"/>
      <c r="D277" s="1061"/>
      <c r="E277" s="1061"/>
      <c r="F277" s="1061"/>
      <c r="G277" s="1061"/>
      <c r="H277" s="625"/>
      <c r="I277" s="625"/>
      <c r="J277" s="1062"/>
      <c r="K277" s="1062"/>
      <c r="L277" s="1063"/>
      <c r="M277" s="1063"/>
      <c r="N277" s="1064"/>
      <c r="O277" s="626"/>
    </row>
    <row r="278" spans="1:15" x14ac:dyDescent="0.25">
      <c r="A278" s="765"/>
      <c r="B278" s="624"/>
      <c r="C278" s="1061"/>
      <c r="D278" s="1061"/>
      <c r="E278" s="1061"/>
      <c r="F278" s="1061"/>
      <c r="G278" s="1061"/>
      <c r="H278" s="625"/>
      <c r="I278" s="625"/>
      <c r="J278" s="1062"/>
      <c r="K278" s="1062"/>
      <c r="L278" s="1063"/>
      <c r="M278" s="1063"/>
      <c r="N278" s="1064"/>
      <c r="O278" s="626"/>
    </row>
    <row r="279" spans="1:15" x14ac:dyDescent="0.25">
      <c r="A279" s="765"/>
      <c r="B279" s="624"/>
      <c r="C279" s="1061"/>
      <c r="D279" s="1061"/>
      <c r="E279" s="1061"/>
      <c r="F279" s="1061"/>
      <c r="G279" s="1061"/>
      <c r="H279" s="625"/>
      <c r="I279" s="625"/>
      <c r="J279" s="1062"/>
      <c r="K279" s="1062"/>
      <c r="L279" s="1063"/>
      <c r="M279" s="1063"/>
      <c r="N279" s="1064"/>
      <c r="O279" s="626"/>
    </row>
    <row r="280" spans="1:15" x14ac:dyDescent="0.25">
      <c r="A280" s="765"/>
      <c r="B280" s="624"/>
      <c r="C280" s="1061"/>
      <c r="D280" s="1061"/>
      <c r="E280" s="1061"/>
      <c r="F280" s="1061"/>
      <c r="G280" s="1061"/>
      <c r="H280" s="625"/>
      <c r="I280" s="625"/>
      <c r="J280" s="1062"/>
      <c r="K280" s="1062"/>
      <c r="L280" s="1063"/>
      <c r="M280" s="1063"/>
      <c r="N280" s="1064"/>
      <c r="O280" s="626"/>
    </row>
    <row r="281" spans="1:15" x14ac:dyDescent="0.25">
      <c r="A281" s="765"/>
      <c r="B281" s="624"/>
      <c r="C281" s="1061"/>
      <c r="D281" s="1061"/>
      <c r="E281" s="1061"/>
      <c r="F281" s="1061"/>
      <c r="G281" s="1061"/>
      <c r="H281" s="625"/>
      <c r="I281" s="625"/>
      <c r="J281" s="1062"/>
      <c r="K281" s="1062"/>
      <c r="L281" s="1063"/>
      <c r="M281" s="1063"/>
      <c r="N281" s="1064"/>
      <c r="O281" s="626"/>
    </row>
    <row r="282" spans="1:15" x14ac:dyDescent="0.25">
      <c r="A282" s="765"/>
      <c r="B282" s="624"/>
      <c r="C282" s="1061"/>
      <c r="D282" s="1061"/>
      <c r="E282" s="1061"/>
      <c r="F282" s="1061"/>
      <c r="G282" s="1061"/>
      <c r="H282" s="625"/>
      <c r="I282" s="625"/>
      <c r="J282" s="1062"/>
      <c r="K282" s="1062"/>
      <c r="L282" s="1063"/>
      <c r="M282" s="1063"/>
      <c r="N282" s="1064"/>
      <c r="O282" s="626"/>
    </row>
    <row r="283" spans="1:15" x14ac:dyDescent="0.25">
      <c r="A283" s="765"/>
      <c r="B283" s="624"/>
      <c r="C283" s="1061"/>
      <c r="D283" s="1061"/>
      <c r="E283" s="1061"/>
      <c r="F283" s="1061"/>
      <c r="G283" s="1061"/>
      <c r="H283" s="625"/>
      <c r="I283" s="625"/>
      <c r="J283" s="1062"/>
      <c r="K283" s="1062"/>
      <c r="L283" s="1063"/>
      <c r="M283" s="1063"/>
      <c r="N283" s="1064"/>
      <c r="O283" s="626"/>
    </row>
    <row r="284" spans="1:15" x14ac:dyDescent="0.25">
      <c r="A284" s="765"/>
      <c r="B284" s="624"/>
      <c r="C284" s="1061"/>
      <c r="D284" s="1061"/>
      <c r="E284" s="1061"/>
      <c r="F284" s="1061"/>
      <c r="G284" s="1061"/>
      <c r="H284" s="625"/>
      <c r="I284" s="625"/>
      <c r="J284" s="1062"/>
      <c r="K284" s="1062"/>
      <c r="L284" s="1063"/>
      <c r="M284" s="1063"/>
      <c r="N284" s="1064"/>
      <c r="O284" s="626"/>
    </row>
    <row r="285" spans="1:15" x14ac:dyDescent="0.25">
      <c r="A285" s="765"/>
      <c r="B285" s="624"/>
      <c r="C285" s="1061"/>
      <c r="D285" s="1061"/>
      <c r="E285" s="1061"/>
      <c r="F285" s="1061"/>
      <c r="G285" s="1061"/>
      <c r="H285" s="625"/>
      <c r="I285" s="625"/>
      <c r="J285" s="1062"/>
      <c r="K285" s="1062"/>
      <c r="L285" s="1063"/>
      <c r="M285" s="1063"/>
      <c r="N285" s="1064"/>
      <c r="O285" s="626"/>
    </row>
    <row r="286" spans="1:15" x14ac:dyDescent="0.25">
      <c r="A286" s="765"/>
      <c r="B286" s="624"/>
      <c r="C286" s="1061"/>
      <c r="D286" s="1061"/>
      <c r="E286" s="1061"/>
      <c r="F286" s="1061"/>
      <c r="G286" s="1061"/>
      <c r="H286" s="625"/>
      <c r="I286" s="625"/>
      <c r="J286" s="1062"/>
      <c r="K286" s="1062"/>
      <c r="L286" s="1063"/>
      <c r="M286" s="1063"/>
      <c r="N286" s="1064"/>
      <c r="O286" s="626"/>
    </row>
    <row r="287" spans="1:15" x14ac:dyDescent="0.25">
      <c r="A287" s="765"/>
      <c r="B287" s="624"/>
      <c r="C287" s="1061"/>
      <c r="D287" s="1061"/>
      <c r="E287" s="1061"/>
      <c r="F287" s="1061"/>
      <c r="G287" s="1061"/>
      <c r="H287" s="625"/>
      <c r="I287" s="625"/>
      <c r="J287" s="1062"/>
      <c r="K287" s="1062"/>
      <c r="L287" s="1063"/>
      <c r="M287" s="1063"/>
      <c r="N287" s="1064"/>
      <c r="O287" s="626"/>
    </row>
    <row r="288" spans="1:15" x14ac:dyDescent="0.25">
      <c r="A288" s="765"/>
      <c r="B288" s="624"/>
      <c r="C288" s="1061"/>
      <c r="D288" s="1061"/>
      <c r="E288" s="1061"/>
      <c r="F288" s="1061"/>
      <c r="G288" s="1061"/>
      <c r="H288" s="625"/>
      <c r="I288" s="625"/>
      <c r="J288" s="1062"/>
      <c r="K288" s="1062"/>
      <c r="L288" s="1063"/>
      <c r="M288" s="1063"/>
      <c r="N288" s="1064"/>
      <c r="O288" s="626"/>
    </row>
    <row r="289" spans="1:15" x14ac:dyDescent="0.25">
      <c r="A289" s="765"/>
      <c r="B289" s="624"/>
      <c r="C289" s="1061"/>
      <c r="D289" s="1061"/>
      <c r="E289" s="1061"/>
      <c r="F289" s="1061"/>
      <c r="G289" s="1061"/>
      <c r="H289" s="625"/>
      <c r="I289" s="625"/>
      <c r="J289" s="1062"/>
      <c r="K289" s="1062"/>
      <c r="L289" s="1063"/>
      <c r="M289" s="1063"/>
      <c r="N289" s="1064"/>
      <c r="O289" s="626"/>
    </row>
    <row r="290" spans="1:15" x14ac:dyDescent="0.25">
      <c r="A290" s="765"/>
      <c r="B290" s="624"/>
      <c r="C290" s="1061"/>
      <c r="D290" s="1061"/>
      <c r="E290" s="1061"/>
      <c r="F290" s="1061"/>
      <c r="G290" s="1061"/>
      <c r="H290" s="625"/>
      <c r="I290" s="625"/>
      <c r="J290" s="1062"/>
      <c r="K290" s="1062"/>
      <c r="L290" s="1063"/>
      <c r="M290" s="1063"/>
      <c r="N290" s="1064"/>
      <c r="O290" s="626"/>
    </row>
    <row r="291" spans="1:15" x14ac:dyDescent="0.25">
      <c r="A291" s="765"/>
      <c r="B291" s="624"/>
      <c r="C291" s="1061"/>
      <c r="D291" s="1061"/>
      <c r="E291" s="1061"/>
      <c r="F291" s="1061"/>
      <c r="G291" s="1061"/>
      <c r="H291" s="625"/>
      <c r="I291" s="625"/>
      <c r="J291" s="1062"/>
      <c r="K291" s="1062"/>
      <c r="L291" s="1063"/>
      <c r="M291" s="1063"/>
      <c r="N291" s="1064"/>
      <c r="O291" s="626"/>
    </row>
    <row r="292" spans="1:15" x14ac:dyDescent="0.25">
      <c r="A292" s="765"/>
      <c r="B292" s="624"/>
      <c r="C292" s="1061"/>
      <c r="D292" s="1061"/>
      <c r="E292" s="1061"/>
      <c r="F292" s="1061"/>
      <c r="G292" s="1061"/>
      <c r="H292" s="625"/>
      <c r="I292" s="625"/>
      <c r="J292" s="1062"/>
      <c r="K292" s="1062"/>
      <c r="L292" s="1063"/>
      <c r="M292" s="1063"/>
      <c r="N292" s="1064"/>
      <c r="O292" s="626"/>
    </row>
    <row r="293" spans="1:15" x14ac:dyDescent="0.25">
      <c r="A293" s="765"/>
      <c r="B293" s="624"/>
      <c r="C293" s="1061"/>
      <c r="D293" s="1061"/>
      <c r="E293" s="1061"/>
      <c r="F293" s="1061"/>
      <c r="G293" s="1061"/>
      <c r="H293" s="625"/>
      <c r="I293" s="625"/>
      <c r="J293" s="1062"/>
      <c r="K293" s="1062"/>
      <c r="L293" s="1063"/>
      <c r="M293" s="1063"/>
      <c r="N293" s="1064"/>
      <c r="O293" s="626"/>
    </row>
    <row r="294" spans="1:15" x14ac:dyDescent="0.25">
      <c r="A294" s="765"/>
      <c r="B294" s="624"/>
      <c r="C294" s="1061"/>
      <c r="D294" s="1061"/>
      <c r="E294" s="1061"/>
      <c r="F294" s="1061"/>
      <c r="G294" s="1061"/>
      <c r="H294" s="625"/>
      <c r="I294" s="625"/>
      <c r="J294" s="1062"/>
      <c r="K294" s="1062"/>
      <c r="L294" s="1063"/>
      <c r="M294" s="1063"/>
      <c r="N294" s="1064"/>
      <c r="O294" s="626"/>
    </row>
    <row r="295" spans="1:15" x14ac:dyDescent="0.25">
      <c r="A295" s="765"/>
      <c r="B295" s="624"/>
      <c r="C295" s="1061"/>
      <c r="D295" s="1061"/>
      <c r="E295" s="1061"/>
      <c r="F295" s="1061"/>
      <c r="G295" s="1061"/>
      <c r="H295" s="625"/>
      <c r="I295" s="625"/>
      <c r="J295" s="1062"/>
      <c r="K295" s="1062"/>
      <c r="L295" s="1063"/>
      <c r="M295" s="1063"/>
      <c r="N295" s="1064"/>
      <c r="O295" s="626"/>
    </row>
    <row r="296" spans="1:15" x14ac:dyDescent="0.25">
      <c r="A296" s="765"/>
      <c r="B296" s="624"/>
      <c r="C296" s="1061"/>
      <c r="D296" s="1061"/>
      <c r="E296" s="1061"/>
      <c r="F296" s="1061"/>
      <c r="G296" s="1061"/>
      <c r="H296" s="625"/>
      <c r="I296" s="625"/>
      <c r="J296" s="1062"/>
      <c r="K296" s="1062"/>
      <c r="L296" s="1063"/>
      <c r="M296" s="1063"/>
      <c r="N296" s="1064"/>
      <c r="O296" s="626"/>
    </row>
    <row r="297" spans="1:15" x14ac:dyDescent="0.25">
      <c r="A297" s="765"/>
      <c r="B297" s="624"/>
      <c r="C297" s="1061"/>
      <c r="D297" s="1061"/>
      <c r="E297" s="1061"/>
      <c r="F297" s="1061"/>
      <c r="G297" s="1061"/>
      <c r="H297" s="625"/>
      <c r="I297" s="625"/>
      <c r="J297" s="1062"/>
      <c r="K297" s="1062"/>
      <c r="L297" s="1063"/>
      <c r="M297" s="1063"/>
      <c r="N297" s="1064"/>
      <c r="O297" s="626"/>
    </row>
    <row r="298" spans="1:15" x14ac:dyDescent="0.25">
      <c r="A298" s="765"/>
      <c r="B298" s="624"/>
      <c r="C298" s="1061"/>
      <c r="D298" s="1061"/>
      <c r="E298" s="1061"/>
      <c r="F298" s="1061"/>
      <c r="G298" s="1061"/>
      <c r="H298" s="625"/>
      <c r="I298" s="625"/>
      <c r="J298" s="1062"/>
      <c r="K298" s="1062"/>
      <c r="L298" s="1063"/>
      <c r="M298" s="1063"/>
      <c r="N298" s="1064"/>
      <c r="O298" s="626"/>
    </row>
    <row r="299" spans="1:15" x14ac:dyDescent="0.25">
      <c r="A299" s="765"/>
      <c r="B299" s="624"/>
      <c r="C299" s="1061"/>
      <c r="D299" s="1061"/>
      <c r="E299" s="1061"/>
      <c r="F299" s="1061"/>
      <c r="G299" s="1061"/>
      <c r="H299" s="625"/>
      <c r="I299" s="625"/>
      <c r="J299" s="1062"/>
      <c r="K299" s="1062"/>
      <c r="L299" s="1063"/>
      <c r="M299" s="1063"/>
      <c r="N299" s="1064"/>
      <c r="O299" s="626"/>
    </row>
    <row r="300" spans="1:15" x14ac:dyDescent="0.25">
      <c r="A300" s="765"/>
      <c r="B300" s="624"/>
      <c r="C300" s="1061"/>
      <c r="D300" s="1061"/>
      <c r="E300" s="1061"/>
      <c r="F300" s="1061"/>
      <c r="G300" s="1061"/>
      <c r="H300" s="625"/>
      <c r="I300" s="625"/>
      <c r="J300" s="1062"/>
      <c r="K300" s="1062"/>
      <c r="L300" s="1063"/>
      <c r="M300" s="1063"/>
      <c r="N300" s="1064"/>
      <c r="O300" s="626"/>
    </row>
    <row r="301" spans="1:15" x14ac:dyDescent="0.25">
      <c r="A301" s="765"/>
      <c r="B301" s="624"/>
      <c r="C301" s="1061"/>
      <c r="D301" s="1061"/>
      <c r="E301" s="1061"/>
      <c r="F301" s="1061"/>
      <c r="G301" s="1061"/>
      <c r="H301" s="625"/>
      <c r="I301" s="625"/>
      <c r="J301" s="1062"/>
      <c r="K301" s="1062"/>
      <c r="L301" s="1063"/>
      <c r="M301" s="1063"/>
      <c r="N301" s="1064"/>
      <c r="O301" s="626"/>
    </row>
    <row r="302" spans="1:15" x14ac:dyDescent="0.25">
      <c r="A302" s="765"/>
      <c r="B302" s="624"/>
      <c r="C302" s="1061"/>
      <c r="D302" s="1061"/>
      <c r="E302" s="1061"/>
      <c r="F302" s="1061"/>
      <c r="G302" s="1061"/>
      <c r="H302" s="625"/>
      <c r="I302" s="625"/>
      <c r="J302" s="1062"/>
      <c r="K302" s="1062"/>
      <c r="L302" s="1063"/>
      <c r="M302" s="1063"/>
      <c r="N302" s="1064"/>
      <c r="O302" s="626"/>
    </row>
    <row r="303" spans="1:15" x14ac:dyDescent="0.25">
      <c r="A303" s="765"/>
      <c r="B303" s="624"/>
      <c r="C303" s="1061"/>
      <c r="D303" s="1061"/>
      <c r="E303" s="1061"/>
      <c r="F303" s="1061"/>
      <c r="G303" s="1061"/>
      <c r="H303" s="625"/>
      <c r="I303" s="625"/>
      <c r="J303" s="1062"/>
      <c r="K303" s="1062"/>
      <c r="L303" s="1063"/>
      <c r="M303" s="1063"/>
      <c r="N303" s="1064"/>
      <c r="O303" s="626"/>
    </row>
    <row r="304" spans="1:15" x14ac:dyDescent="0.25">
      <c r="A304" s="765"/>
      <c r="B304" s="624"/>
      <c r="C304" s="1061"/>
      <c r="D304" s="1061"/>
      <c r="E304" s="1061"/>
      <c r="F304" s="1061"/>
      <c r="G304" s="1061"/>
      <c r="H304" s="625"/>
      <c r="I304" s="625"/>
      <c r="J304" s="1062"/>
      <c r="K304" s="1062"/>
      <c r="L304" s="1063"/>
      <c r="M304" s="1063"/>
      <c r="N304" s="1064"/>
      <c r="O304" s="626"/>
    </row>
    <row r="305" spans="1:15" x14ac:dyDescent="0.25">
      <c r="A305" s="765"/>
      <c r="B305" s="624"/>
      <c r="C305" s="1061"/>
      <c r="D305" s="1061"/>
      <c r="E305" s="1061"/>
      <c r="F305" s="1061"/>
      <c r="G305" s="1061"/>
      <c r="H305" s="625"/>
      <c r="I305" s="625"/>
      <c r="J305" s="1062"/>
      <c r="K305" s="1062"/>
      <c r="L305" s="1063"/>
      <c r="M305" s="1063"/>
      <c r="N305" s="1064"/>
      <c r="O305" s="626"/>
    </row>
    <row r="306" spans="1:15" x14ac:dyDescent="0.25">
      <c r="A306" s="765"/>
      <c r="B306" s="624"/>
      <c r="C306" s="1061"/>
      <c r="D306" s="1061"/>
      <c r="E306" s="1061"/>
      <c r="F306" s="1061"/>
      <c r="G306" s="1061"/>
      <c r="H306" s="625"/>
      <c r="I306" s="625"/>
      <c r="J306" s="1062"/>
      <c r="K306" s="1062"/>
      <c r="L306" s="1063"/>
      <c r="M306" s="1063"/>
      <c r="N306" s="1064"/>
      <c r="O306" s="626"/>
    </row>
    <row r="307" spans="1:15" x14ac:dyDescent="0.25">
      <c r="A307" s="765"/>
      <c r="B307" s="624"/>
      <c r="C307" s="1061"/>
      <c r="D307" s="1061"/>
      <c r="E307" s="1061"/>
      <c r="F307" s="1061"/>
      <c r="G307" s="1061"/>
      <c r="H307" s="625"/>
      <c r="I307" s="625"/>
      <c r="J307" s="1062"/>
      <c r="K307" s="1062"/>
      <c r="L307" s="1063"/>
      <c r="M307" s="1063"/>
      <c r="N307" s="1064"/>
      <c r="O307" s="626"/>
    </row>
    <row r="308" spans="1:15" x14ac:dyDescent="0.25">
      <c r="A308" s="765"/>
      <c r="B308" s="624"/>
      <c r="C308" s="1061"/>
      <c r="D308" s="1061"/>
      <c r="E308" s="1061"/>
      <c r="F308" s="1061"/>
      <c r="G308" s="1061"/>
      <c r="H308" s="625"/>
      <c r="I308" s="625"/>
      <c r="J308" s="1062"/>
      <c r="K308" s="1062"/>
      <c r="L308" s="1063"/>
      <c r="M308" s="1063"/>
      <c r="N308" s="1064"/>
      <c r="O308" s="626"/>
    </row>
    <row r="309" spans="1:15" x14ac:dyDescent="0.25">
      <c r="A309" s="765"/>
      <c r="B309" s="624"/>
      <c r="C309" s="1061"/>
      <c r="D309" s="1061"/>
      <c r="E309" s="1061"/>
      <c r="F309" s="1061"/>
      <c r="G309" s="1061"/>
      <c r="H309" s="625"/>
      <c r="I309" s="625"/>
      <c r="J309" s="1062"/>
      <c r="K309" s="1062"/>
      <c r="L309" s="1063"/>
      <c r="M309" s="1063"/>
      <c r="N309" s="1064"/>
      <c r="O309" s="626"/>
    </row>
    <row r="310" spans="1:15" x14ac:dyDescent="0.25">
      <c r="A310" s="765"/>
      <c r="B310" s="624"/>
      <c r="C310" s="1061"/>
      <c r="D310" s="1061"/>
      <c r="E310" s="1061"/>
      <c r="F310" s="1061"/>
      <c r="G310" s="1061"/>
      <c r="H310" s="625"/>
      <c r="I310" s="625"/>
      <c r="J310" s="1062"/>
      <c r="K310" s="1062"/>
      <c r="L310" s="1063"/>
      <c r="M310" s="1063"/>
      <c r="N310" s="1064"/>
      <c r="O310" s="626"/>
    </row>
    <row r="311" spans="1:15" x14ac:dyDescent="0.25">
      <c r="A311" s="765"/>
      <c r="B311" s="624"/>
      <c r="C311" s="1061"/>
      <c r="D311" s="1061"/>
      <c r="E311" s="1061"/>
      <c r="F311" s="1061"/>
      <c r="G311" s="1061"/>
      <c r="H311" s="625"/>
      <c r="I311" s="625"/>
      <c r="J311" s="1062"/>
      <c r="K311" s="1062"/>
      <c r="L311" s="1063"/>
      <c r="M311" s="1063"/>
      <c r="N311" s="1064"/>
      <c r="O311" s="626"/>
    </row>
    <row r="312" spans="1:15" x14ac:dyDescent="0.25">
      <c r="A312" s="765"/>
      <c r="B312" s="624"/>
      <c r="C312" s="1061"/>
      <c r="D312" s="1061"/>
      <c r="E312" s="1061"/>
      <c r="F312" s="1061"/>
      <c r="G312" s="1061"/>
      <c r="H312" s="625"/>
      <c r="I312" s="625"/>
      <c r="J312" s="1062"/>
      <c r="K312" s="1062"/>
      <c r="L312" s="1063"/>
      <c r="M312" s="1063"/>
      <c r="N312" s="1064"/>
      <c r="O312" s="626"/>
    </row>
    <row r="313" spans="1:15" x14ac:dyDescent="0.25">
      <c r="A313" s="765"/>
      <c r="B313" s="624"/>
      <c r="C313" s="1061"/>
      <c r="D313" s="1061"/>
      <c r="E313" s="1061"/>
      <c r="F313" s="1061"/>
      <c r="G313" s="1061"/>
      <c r="H313" s="625"/>
      <c r="I313" s="625"/>
      <c r="J313" s="1062"/>
      <c r="K313" s="1062"/>
      <c r="L313" s="1063"/>
      <c r="M313" s="1063"/>
      <c r="N313" s="1064"/>
      <c r="O313" s="626"/>
    </row>
    <row r="314" spans="1:15" x14ac:dyDescent="0.25">
      <c r="A314" s="765"/>
      <c r="B314" s="624"/>
      <c r="C314" s="1061"/>
      <c r="D314" s="1061"/>
      <c r="E314" s="1061"/>
      <c r="F314" s="1061"/>
      <c r="G314" s="1061"/>
      <c r="H314" s="625"/>
      <c r="I314" s="625"/>
      <c r="J314" s="1062"/>
      <c r="K314" s="1062"/>
      <c r="L314" s="1063"/>
      <c r="M314" s="1063"/>
      <c r="N314" s="1064"/>
      <c r="O314" s="626"/>
    </row>
    <row r="315" spans="1:15" x14ac:dyDescent="0.25">
      <c r="A315" s="765"/>
      <c r="B315" s="624"/>
      <c r="C315" s="1061"/>
      <c r="D315" s="1061"/>
      <c r="E315" s="1061"/>
      <c r="F315" s="1061"/>
      <c r="G315" s="1061"/>
      <c r="H315" s="625"/>
      <c r="I315" s="625"/>
      <c r="J315" s="1062"/>
      <c r="K315" s="1062"/>
      <c r="L315" s="1063"/>
      <c r="M315" s="1063"/>
      <c r="N315" s="1064"/>
      <c r="O315" s="626"/>
    </row>
    <row r="316" spans="1:15" x14ac:dyDescent="0.25">
      <c r="A316" s="765"/>
      <c r="B316" s="624"/>
      <c r="C316" s="1061"/>
      <c r="D316" s="1061"/>
      <c r="E316" s="1061"/>
      <c r="F316" s="1061"/>
      <c r="G316" s="1061"/>
      <c r="H316" s="625"/>
      <c r="I316" s="625"/>
      <c r="J316" s="1062"/>
      <c r="K316" s="1062"/>
      <c r="L316" s="1063"/>
      <c r="M316" s="1063"/>
      <c r="N316" s="1064"/>
      <c r="O316" s="626"/>
    </row>
    <row r="317" spans="1:15" x14ac:dyDescent="0.25">
      <c r="A317" s="765"/>
      <c r="B317" s="624"/>
      <c r="C317" s="1061"/>
      <c r="D317" s="1061"/>
      <c r="E317" s="1061"/>
      <c r="F317" s="1061"/>
      <c r="G317" s="1061"/>
      <c r="H317" s="625"/>
      <c r="I317" s="625"/>
      <c r="J317" s="1062"/>
      <c r="K317" s="1062"/>
      <c r="L317" s="1063"/>
      <c r="M317" s="1063"/>
      <c r="N317" s="1064"/>
      <c r="O317" s="626"/>
    </row>
    <row r="318" spans="1:15" x14ac:dyDescent="0.25">
      <c r="A318" s="765"/>
      <c r="B318" s="624"/>
      <c r="C318" s="1061"/>
      <c r="D318" s="1061"/>
      <c r="E318" s="1061"/>
      <c r="F318" s="1061"/>
      <c r="G318" s="1061"/>
      <c r="H318" s="625"/>
      <c r="I318" s="625"/>
      <c r="J318" s="1062"/>
      <c r="K318" s="1062"/>
      <c r="L318" s="1063"/>
      <c r="M318" s="1063"/>
      <c r="N318" s="1064"/>
      <c r="O318" s="626"/>
    </row>
    <row r="319" spans="1:15" x14ac:dyDescent="0.25">
      <c r="A319" s="765"/>
      <c r="B319" s="624"/>
      <c r="C319" s="1061"/>
      <c r="D319" s="1061"/>
      <c r="E319" s="1061"/>
      <c r="F319" s="1061"/>
      <c r="G319" s="1061"/>
      <c r="H319" s="625"/>
      <c r="I319" s="625"/>
      <c r="J319" s="1062"/>
      <c r="K319" s="1062"/>
      <c r="L319" s="1063"/>
      <c r="M319" s="1063"/>
      <c r="N319" s="1064"/>
      <c r="O319" s="626"/>
    </row>
    <row r="320" spans="1:15" x14ac:dyDescent="0.25">
      <c r="A320" s="765"/>
      <c r="B320" s="624"/>
      <c r="C320" s="1061"/>
      <c r="D320" s="1061"/>
      <c r="E320" s="1061"/>
      <c r="F320" s="1061"/>
      <c r="G320" s="1061"/>
      <c r="H320" s="625"/>
      <c r="I320" s="625"/>
      <c r="J320" s="1062"/>
      <c r="K320" s="1062"/>
      <c r="L320" s="1063"/>
      <c r="M320" s="1063"/>
      <c r="N320" s="1064"/>
      <c r="O320" s="626"/>
    </row>
    <row r="321" spans="1:15" x14ac:dyDescent="0.25">
      <c r="A321" s="765"/>
      <c r="B321" s="624"/>
      <c r="C321" s="1061"/>
      <c r="D321" s="1061"/>
      <c r="E321" s="1061"/>
      <c r="F321" s="1061"/>
      <c r="G321" s="1061"/>
      <c r="H321" s="625"/>
      <c r="I321" s="625"/>
      <c r="J321" s="1062"/>
      <c r="K321" s="1062"/>
      <c r="L321" s="1063"/>
      <c r="M321" s="1063"/>
      <c r="N321" s="1064"/>
      <c r="O321" s="626"/>
    </row>
    <row r="322" spans="1:15" x14ac:dyDescent="0.25">
      <c r="A322" s="765"/>
      <c r="B322" s="624"/>
      <c r="C322" s="1061"/>
      <c r="D322" s="1061"/>
      <c r="E322" s="1061"/>
      <c r="F322" s="1061"/>
      <c r="G322" s="1061"/>
      <c r="H322" s="625"/>
      <c r="I322" s="625"/>
      <c r="J322" s="1062"/>
      <c r="K322" s="1062"/>
      <c r="L322" s="1063"/>
      <c r="M322" s="1063"/>
      <c r="N322" s="1064"/>
      <c r="O322" s="626"/>
    </row>
    <row r="323" spans="1:15" x14ac:dyDescent="0.25">
      <c r="A323" s="765"/>
      <c r="B323" s="624"/>
      <c r="C323" s="1061"/>
      <c r="D323" s="1061"/>
      <c r="E323" s="1061"/>
      <c r="F323" s="1061"/>
      <c r="G323" s="1061"/>
      <c r="H323" s="625"/>
      <c r="I323" s="625"/>
      <c r="J323" s="1062"/>
      <c r="K323" s="1062"/>
      <c r="L323" s="1063"/>
      <c r="M323" s="1063"/>
      <c r="N323" s="1064"/>
      <c r="O323" s="626"/>
    </row>
    <row r="324" spans="1:15" x14ac:dyDescent="0.25">
      <c r="A324" s="765"/>
      <c r="B324" s="624"/>
      <c r="C324" s="1061"/>
      <c r="D324" s="1061"/>
      <c r="E324" s="1061"/>
      <c r="F324" s="1061"/>
      <c r="G324" s="1061"/>
      <c r="H324" s="625"/>
      <c r="I324" s="625"/>
      <c r="J324" s="1062"/>
      <c r="K324" s="1062"/>
      <c r="L324" s="1063"/>
      <c r="M324" s="1063"/>
      <c r="N324" s="1064"/>
      <c r="O324" s="626"/>
    </row>
    <row r="325" spans="1:15" x14ac:dyDescent="0.25">
      <c r="A325" s="765"/>
      <c r="B325" s="624"/>
      <c r="C325" s="1061"/>
      <c r="D325" s="1061"/>
      <c r="E325" s="1061"/>
      <c r="F325" s="1061"/>
      <c r="G325" s="1061"/>
      <c r="H325" s="625"/>
      <c r="I325" s="625"/>
      <c r="J325" s="1062"/>
      <c r="K325" s="1062"/>
      <c r="L325" s="1063"/>
      <c r="M325" s="1063"/>
      <c r="N325" s="1064"/>
      <c r="O325" s="626"/>
    </row>
    <row r="326" spans="1:15" x14ac:dyDescent="0.25">
      <c r="A326" s="765"/>
      <c r="B326" s="624"/>
      <c r="C326" s="1061"/>
      <c r="D326" s="1061"/>
      <c r="E326" s="1061"/>
      <c r="F326" s="1061"/>
      <c r="G326" s="1061"/>
      <c r="H326" s="625"/>
      <c r="I326" s="625"/>
      <c r="J326" s="1062"/>
      <c r="K326" s="1062"/>
      <c r="L326" s="1063"/>
      <c r="M326" s="1063"/>
      <c r="N326" s="1064"/>
      <c r="O326" s="626"/>
    </row>
    <row r="327" spans="1:15" x14ac:dyDescent="0.25">
      <c r="A327" s="765"/>
      <c r="B327" s="624"/>
      <c r="C327" s="1061"/>
      <c r="D327" s="1061"/>
      <c r="E327" s="1061"/>
      <c r="F327" s="1061"/>
      <c r="G327" s="1061"/>
      <c r="H327" s="625"/>
      <c r="I327" s="625"/>
      <c r="J327" s="1062"/>
      <c r="K327" s="1062"/>
      <c r="L327" s="1063"/>
      <c r="M327" s="1063"/>
      <c r="N327" s="1064"/>
      <c r="O327" s="626"/>
    </row>
    <row r="328" spans="1:15" x14ac:dyDescent="0.25">
      <c r="A328" s="765"/>
      <c r="B328" s="624"/>
      <c r="C328" s="1061"/>
      <c r="D328" s="1061"/>
      <c r="E328" s="1061"/>
      <c r="F328" s="1061"/>
      <c r="G328" s="1061"/>
      <c r="H328" s="625"/>
      <c r="I328" s="625"/>
      <c r="J328" s="1062"/>
      <c r="K328" s="1062"/>
      <c r="L328" s="1063"/>
      <c r="M328" s="1063"/>
      <c r="N328" s="1064"/>
      <c r="O328" s="626"/>
    </row>
    <row r="329" spans="1:15" x14ac:dyDescent="0.25">
      <c r="A329" s="765"/>
      <c r="B329" s="624"/>
      <c r="C329" s="1061"/>
      <c r="D329" s="1061"/>
      <c r="E329" s="1061"/>
      <c r="F329" s="1061"/>
      <c r="G329" s="1061"/>
      <c r="H329" s="625"/>
      <c r="I329" s="625"/>
      <c r="J329" s="1062"/>
      <c r="K329" s="1062"/>
      <c r="L329" s="1063"/>
      <c r="M329" s="1063"/>
      <c r="N329" s="1064"/>
      <c r="O329" s="626"/>
    </row>
    <row r="330" spans="1:15" x14ac:dyDescent="0.25">
      <c r="A330" s="765"/>
      <c r="B330" s="624"/>
      <c r="C330" s="1061"/>
      <c r="D330" s="1061"/>
      <c r="E330" s="1061"/>
      <c r="F330" s="1061"/>
      <c r="G330" s="1061"/>
      <c r="H330" s="625"/>
      <c r="I330" s="625"/>
      <c r="J330" s="1062"/>
      <c r="K330" s="1062"/>
      <c r="L330" s="1063"/>
      <c r="M330" s="1063"/>
      <c r="N330" s="1064"/>
      <c r="O330" s="626"/>
    </row>
    <row r="331" spans="1:15" x14ac:dyDescent="0.25">
      <c r="A331" s="765"/>
      <c r="B331" s="624"/>
      <c r="C331" s="1061"/>
      <c r="D331" s="1061"/>
      <c r="E331" s="1061"/>
      <c r="F331" s="1061"/>
      <c r="G331" s="1061"/>
      <c r="H331" s="625"/>
      <c r="I331" s="625"/>
      <c r="J331" s="1062"/>
      <c r="K331" s="1062"/>
      <c r="L331" s="1063"/>
      <c r="M331" s="1063"/>
      <c r="N331" s="1064"/>
      <c r="O331" s="626"/>
    </row>
    <row r="332" spans="1:15" x14ac:dyDescent="0.25">
      <c r="A332" s="765"/>
      <c r="B332" s="624"/>
      <c r="C332" s="1061"/>
      <c r="D332" s="1061"/>
      <c r="E332" s="1061"/>
      <c r="F332" s="1061"/>
      <c r="G332" s="1061"/>
      <c r="H332" s="625"/>
      <c r="I332" s="625"/>
      <c r="J332" s="1062"/>
      <c r="K332" s="1062"/>
      <c r="L332" s="1063"/>
      <c r="M332" s="1063"/>
      <c r="N332" s="1064"/>
      <c r="O332" s="626"/>
    </row>
    <row r="333" spans="1:15" x14ac:dyDescent="0.25">
      <c r="A333" s="765"/>
      <c r="B333" s="624"/>
      <c r="C333" s="1061"/>
      <c r="D333" s="1061"/>
      <c r="E333" s="1061"/>
      <c r="F333" s="1061"/>
      <c r="G333" s="1061"/>
      <c r="H333" s="625"/>
      <c r="I333" s="625"/>
      <c r="J333" s="1062"/>
      <c r="K333" s="1062"/>
      <c r="L333" s="1063"/>
      <c r="M333" s="1063"/>
      <c r="N333" s="1064"/>
      <c r="O333" s="626"/>
    </row>
    <row r="334" spans="1:15" x14ac:dyDescent="0.25">
      <c r="A334" s="765"/>
      <c r="B334" s="624"/>
      <c r="C334" s="1061"/>
      <c r="D334" s="1061"/>
      <c r="E334" s="1061"/>
      <c r="F334" s="1061"/>
      <c r="G334" s="1061"/>
      <c r="H334" s="625"/>
      <c r="I334" s="625"/>
      <c r="J334" s="1062"/>
      <c r="K334" s="1062"/>
      <c r="L334" s="1063"/>
      <c r="M334" s="1063"/>
      <c r="N334" s="1064"/>
      <c r="O334" s="626"/>
    </row>
    <row r="335" spans="1:15" x14ac:dyDescent="0.25">
      <c r="A335" s="765"/>
      <c r="B335" s="624"/>
      <c r="C335" s="1061"/>
      <c r="D335" s="1061"/>
      <c r="E335" s="1061"/>
      <c r="F335" s="1061"/>
      <c r="G335" s="1061"/>
      <c r="H335" s="625"/>
      <c r="I335" s="625"/>
      <c r="J335" s="1062"/>
      <c r="K335" s="1062"/>
      <c r="L335" s="1063"/>
      <c r="M335" s="1063"/>
      <c r="N335" s="1064"/>
      <c r="O335" s="626"/>
    </row>
    <row r="336" spans="1:15" x14ac:dyDescent="0.25">
      <c r="A336" s="765"/>
      <c r="B336" s="624"/>
      <c r="C336" s="1061"/>
      <c r="D336" s="1061"/>
      <c r="E336" s="1061"/>
      <c r="F336" s="1061"/>
      <c r="G336" s="1061"/>
      <c r="H336" s="625"/>
      <c r="I336" s="625"/>
      <c r="J336" s="1062"/>
      <c r="K336" s="1062"/>
      <c r="L336" s="1063"/>
      <c r="M336" s="1063"/>
      <c r="N336" s="1064"/>
      <c r="O336" s="626"/>
    </row>
    <row r="337" spans="1:15" x14ac:dyDescent="0.25">
      <c r="A337" s="765"/>
      <c r="B337" s="624"/>
      <c r="C337" s="1061"/>
      <c r="D337" s="1061"/>
      <c r="E337" s="1061"/>
      <c r="F337" s="1061"/>
      <c r="G337" s="1061"/>
      <c r="H337" s="625"/>
      <c r="I337" s="625"/>
      <c r="J337" s="1062"/>
      <c r="K337" s="1062"/>
      <c r="L337" s="1063"/>
      <c r="M337" s="1063"/>
      <c r="N337" s="1064"/>
      <c r="O337" s="626"/>
    </row>
    <row r="338" spans="1:15" x14ac:dyDescent="0.25">
      <c r="A338" s="765"/>
      <c r="B338" s="624"/>
      <c r="C338" s="1061"/>
      <c r="D338" s="1061"/>
      <c r="E338" s="1061"/>
      <c r="F338" s="1061"/>
      <c r="G338" s="1061"/>
      <c r="H338" s="625"/>
      <c r="I338" s="625"/>
      <c r="J338" s="1062"/>
      <c r="K338" s="1062"/>
      <c r="L338" s="1063"/>
      <c r="M338" s="1063"/>
      <c r="N338" s="1064"/>
      <c r="O338" s="626"/>
    </row>
    <row r="339" spans="1:15" x14ac:dyDescent="0.25">
      <c r="A339" s="765"/>
      <c r="B339" s="624"/>
      <c r="C339" s="1061"/>
      <c r="D339" s="1061"/>
      <c r="E339" s="1061"/>
      <c r="F339" s="1061"/>
      <c r="G339" s="1061"/>
      <c r="H339" s="625"/>
      <c r="I339" s="625"/>
      <c r="J339" s="1062"/>
      <c r="K339" s="1062"/>
      <c r="L339" s="1063"/>
      <c r="M339" s="1063"/>
      <c r="N339" s="1064"/>
      <c r="O339" s="626"/>
    </row>
    <row r="340" spans="1:15" x14ac:dyDescent="0.25">
      <c r="A340" s="765"/>
      <c r="B340" s="624"/>
      <c r="C340" s="1061"/>
      <c r="D340" s="1061"/>
      <c r="E340" s="1061"/>
      <c r="F340" s="1061"/>
      <c r="G340" s="1061"/>
      <c r="H340" s="625"/>
      <c r="I340" s="625"/>
      <c r="J340" s="1062"/>
      <c r="K340" s="1062"/>
      <c r="L340" s="1063"/>
      <c r="M340" s="1063"/>
      <c r="N340" s="1064"/>
      <c r="O340" s="626"/>
    </row>
    <row r="341" spans="1:15" x14ac:dyDescent="0.25">
      <c r="A341" s="765"/>
      <c r="B341" s="624"/>
      <c r="C341" s="1061"/>
      <c r="D341" s="1061"/>
      <c r="E341" s="1061"/>
      <c r="F341" s="1061"/>
      <c r="G341" s="1061"/>
      <c r="H341" s="625"/>
      <c r="I341" s="625"/>
      <c r="J341" s="1062"/>
      <c r="K341" s="1062"/>
      <c r="L341" s="1063"/>
      <c r="M341" s="1063"/>
      <c r="N341" s="1064"/>
      <c r="O341" s="626"/>
    </row>
    <row r="342" spans="1:15" x14ac:dyDescent="0.25">
      <c r="A342" s="765"/>
      <c r="B342" s="624"/>
      <c r="C342" s="1061"/>
      <c r="D342" s="1061"/>
      <c r="E342" s="1061"/>
      <c r="F342" s="1061"/>
      <c r="G342" s="1061"/>
      <c r="H342" s="625"/>
      <c r="I342" s="625"/>
      <c r="J342" s="1062"/>
      <c r="K342" s="1062"/>
      <c r="L342" s="1063"/>
      <c r="M342" s="1063"/>
      <c r="N342" s="1064"/>
      <c r="O342" s="626"/>
    </row>
    <row r="343" spans="1:15" x14ac:dyDescent="0.25">
      <c r="A343" s="765"/>
      <c r="B343" s="624"/>
      <c r="C343" s="1061"/>
      <c r="D343" s="1061"/>
      <c r="E343" s="1061"/>
      <c r="F343" s="1061"/>
      <c r="G343" s="1061"/>
      <c r="H343" s="625"/>
      <c r="I343" s="625"/>
      <c r="J343" s="1062"/>
      <c r="K343" s="1062"/>
      <c r="L343" s="1063"/>
      <c r="M343" s="1063"/>
      <c r="N343" s="1064"/>
      <c r="O343" s="626"/>
    </row>
    <row r="344" spans="1:15" x14ac:dyDescent="0.25">
      <c r="A344" s="765"/>
      <c r="B344" s="624"/>
      <c r="C344" s="1061"/>
      <c r="D344" s="1061"/>
      <c r="E344" s="1061"/>
      <c r="F344" s="1061"/>
      <c r="G344" s="1061"/>
      <c r="H344" s="625"/>
      <c r="I344" s="625"/>
      <c r="J344" s="1062"/>
      <c r="K344" s="1062"/>
      <c r="L344" s="1063"/>
      <c r="M344" s="1063"/>
      <c r="N344" s="1064"/>
      <c r="O344" s="626"/>
    </row>
    <row r="345" spans="1:15" x14ac:dyDescent="0.25">
      <c r="A345" s="765"/>
      <c r="B345" s="624"/>
      <c r="C345" s="1061"/>
      <c r="D345" s="1061"/>
      <c r="E345" s="1061"/>
      <c r="F345" s="1061"/>
      <c r="G345" s="1061"/>
      <c r="H345" s="625"/>
      <c r="I345" s="625"/>
      <c r="J345" s="1062"/>
      <c r="K345" s="1062"/>
      <c r="L345" s="1063"/>
      <c r="M345" s="1063"/>
      <c r="N345" s="1064"/>
      <c r="O345" s="626"/>
    </row>
    <row r="346" spans="1:15" x14ac:dyDescent="0.25">
      <c r="A346" s="765"/>
      <c r="B346" s="624"/>
      <c r="C346" s="1061"/>
      <c r="D346" s="1061"/>
      <c r="E346" s="1061"/>
      <c r="F346" s="1061"/>
      <c r="G346" s="1061"/>
      <c r="H346" s="625"/>
      <c r="I346" s="625"/>
      <c r="J346" s="1062"/>
      <c r="K346" s="1062"/>
      <c r="L346" s="1063"/>
      <c r="M346" s="1063"/>
      <c r="N346" s="1064"/>
      <c r="O346" s="626"/>
    </row>
    <row r="347" spans="1:15" x14ac:dyDescent="0.25">
      <c r="A347" s="765"/>
      <c r="B347" s="624"/>
      <c r="C347" s="1061"/>
      <c r="D347" s="1061"/>
      <c r="E347" s="1061"/>
      <c r="F347" s="1061"/>
      <c r="G347" s="1061"/>
      <c r="H347" s="625"/>
      <c r="I347" s="625"/>
      <c r="J347" s="1062"/>
      <c r="K347" s="1062"/>
      <c r="L347" s="1063"/>
      <c r="M347" s="1063"/>
      <c r="N347" s="1064"/>
      <c r="O347" s="626"/>
    </row>
    <row r="348" spans="1:15" x14ac:dyDescent="0.25">
      <c r="A348" s="765"/>
      <c r="B348" s="624"/>
      <c r="C348" s="1061"/>
      <c r="D348" s="1061"/>
      <c r="E348" s="1061"/>
      <c r="F348" s="1061"/>
      <c r="G348" s="1061"/>
      <c r="H348" s="625"/>
      <c r="I348" s="625"/>
      <c r="J348" s="1062"/>
      <c r="K348" s="1062"/>
      <c r="L348" s="1063"/>
      <c r="M348" s="1063"/>
      <c r="N348" s="1064"/>
      <c r="O348" s="626"/>
    </row>
    <row r="349" spans="1:15" x14ac:dyDescent="0.25">
      <c r="A349" s="765"/>
      <c r="B349" s="624"/>
      <c r="C349" s="1061"/>
      <c r="D349" s="1061"/>
      <c r="E349" s="1061"/>
      <c r="F349" s="1061"/>
      <c r="G349" s="1061"/>
      <c r="H349" s="625"/>
      <c r="I349" s="625"/>
      <c r="J349" s="1062"/>
      <c r="K349" s="1062"/>
      <c r="L349" s="1063"/>
      <c r="M349" s="1063"/>
      <c r="N349" s="1064"/>
      <c r="O349" s="626"/>
    </row>
    <row r="350" spans="1:15" x14ac:dyDescent="0.25">
      <c r="A350" s="765"/>
      <c r="B350" s="624"/>
      <c r="C350" s="1061"/>
      <c r="D350" s="1061"/>
      <c r="E350" s="1061"/>
      <c r="F350" s="1061"/>
      <c r="G350" s="1061"/>
      <c r="H350" s="625"/>
      <c r="I350" s="625"/>
      <c r="J350" s="1062"/>
      <c r="K350" s="1062"/>
      <c r="L350" s="1063"/>
      <c r="M350" s="1063"/>
      <c r="N350" s="1064"/>
      <c r="O350" s="626"/>
    </row>
    <row r="351" spans="1:15" x14ac:dyDescent="0.25">
      <c r="A351" s="765"/>
      <c r="B351" s="624"/>
      <c r="C351" s="1061"/>
      <c r="D351" s="1061"/>
      <c r="E351" s="1061"/>
      <c r="F351" s="1061"/>
      <c r="G351" s="1061"/>
      <c r="H351" s="625"/>
      <c r="I351" s="625"/>
      <c r="J351" s="1062"/>
      <c r="K351" s="1062"/>
      <c r="L351" s="1063"/>
      <c r="M351" s="1063"/>
      <c r="N351" s="1064"/>
      <c r="O351" s="626"/>
    </row>
    <row r="352" spans="1:15" x14ac:dyDescent="0.25">
      <c r="A352" s="765"/>
      <c r="B352" s="624"/>
      <c r="C352" s="1061"/>
      <c r="D352" s="1061"/>
      <c r="E352" s="1061"/>
      <c r="F352" s="1061"/>
      <c r="G352" s="1061"/>
      <c r="H352" s="625"/>
      <c r="I352" s="625"/>
      <c r="J352" s="1062"/>
      <c r="K352" s="1062"/>
      <c r="L352" s="1063"/>
      <c r="M352" s="1063"/>
      <c r="N352" s="1064"/>
      <c r="O352" s="626"/>
    </row>
    <row r="353" spans="1:15" x14ac:dyDescent="0.25">
      <c r="A353" s="765"/>
      <c r="B353" s="624"/>
      <c r="C353" s="1061"/>
      <c r="D353" s="1061"/>
      <c r="E353" s="1061"/>
      <c r="F353" s="1061"/>
      <c r="G353" s="1061"/>
      <c r="H353" s="625"/>
      <c r="I353" s="625"/>
      <c r="J353" s="1062"/>
      <c r="K353" s="1062"/>
      <c r="L353" s="1063"/>
      <c r="M353" s="1063"/>
      <c r="N353" s="1064"/>
      <c r="O353" s="626"/>
    </row>
    <row r="354" spans="1:15" x14ac:dyDescent="0.25">
      <c r="A354" s="765"/>
      <c r="B354" s="624"/>
      <c r="C354" s="1061"/>
      <c r="D354" s="1061"/>
      <c r="E354" s="1061"/>
      <c r="F354" s="1061"/>
      <c r="G354" s="1061"/>
      <c r="H354" s="625"/>
      <c r="I354" s="625"/>
      <c r="J354" s="1062"/>
      <c r="K354" s="1062"/>
      <c r="L354" s="1063"/>
      <c r="M354" s="1063"/>
      <c r="N354" s="1064"/>
      <c r="O354" s="626"/>
    </row>
    <row r="355" spans="1:15" x14ac:dyDescent="0.25">
      <c r="A355" s="765"/>
      <c r="B355" s="624"/>
      <c r="C355" s="1061"/>
      <c r="D355" s="1061"/>
      <c r="E355" s="1061"/>
      <c r="F355" s="1061"/>
      <c r="G355" s="1061"/>
      <c r="H355" s="625"/>
      <c r="I355" s="625"/>
      <c r="J355" s="1062"/>
      <c r="K355" s="1062"/>
      <c r="L355" s="1063"/>
      <c r="M355" s="1063"/>
      <c r="N355" s="1064"/>
      <c r="O355" s="626"/>
    </row>
    <row r="356" spans="1:15" x14ac:dyDescent="0.25">
      <c r="A356" s="765"/>
      <c r="B356" s="624"/>
      <c r="C356" s="1061"/>
      <c r="D356" s="1061"/>
      <c r="E356" s="1061"/>
      <c r="F356" s="1061"/>
      <c r="G356" s="1061"/>
      <c r="H356" s="625"/>
      <c r="I356" s="625"/>
      <c r="J356" s="1062"/>
      <c r="K356" s="1062"/>
      <c r="L356" s="1063"/>
      <c r="M356" s="1063"/>
      <c r="N356" s="1064"/>
      <c r="O356" s="626"/>
    </row>
    <row r="357" spans="1:15" x14ac:dyDescent="0.25">
      <c r="A357" s="765"/>
      <c r="B357" s="624"/>
      <c r="C357" s="1061"/>
      <c r="D357" s="1061"/>
      <c r="E357" s="1061"/>
      <c r="F357" s="1061"/>
      <c r="G357" s="1061"/>
      <c r="H357" s="625"/>
      <c r="I357" s="625"/>
      <c r="J357" s="1062"/>
      <c r="K357" s="1062"/>
      <c r="L357" s="1063"/>
      <c r="M357" s="1063"/>
      <c r="N357" s="1064"/>
      <c r="O357" s="626"/>
    </row>
    <row r="358" spans="1:15" x14ac:dyDescent="0.25">
      <c r="A358" s="765"/>
      <c r="B358" s="624"/>
      <c r="C358" s="1061"/>
      <c r="D358" s="1061"/>
      <c r="E358" s="1061"/>
      <c r="F358" s="1061"/>
      <c r="G358" s="1061"/>
      <c r="H358" s="625"/>
      <c r="I358" s="625"/>
      <c r="J358" s="1062"/>
      <c r="K358" s="1062"/>
      <c r="L358" s="1063"/>
      <c r="M358" s="1063"/>
      <c r="N358" s="1064"/>
      <c r="O358" s="626"/>
    </row>
    <row r="359" spans="1:15" x14ac:dyDescent="0.25">
      <c r="A359" s="765"/>
      <c r="B359" s="624"/>
      <c r="C359" s="1061"/>
      <c r="D359" s="1061"/>
      <c r="E359" s="1061"/>
      <c r="F359" s="1061"/>
      <c r="G359" s="1061"/>
      <c r="H359" s="625"/>
      <c r="I359" s="625"/>
      <c r="J359" s="1062"/>
      <c r="K359" s="1062"/>
      <c r="L359" s="1063"/>
      <c r="M359" s="1063"/>
      <c r="N359" s="1064"/>
      <c r="O359" s="626"/>
    </row>
    <row r="360" spans="1:15" x14ac:dyDescent="0.25">
      <c r="A360" s="765"/>
      <c r="B360" s="624"/>
      <c r="C360" s="1061"/>
      <c r="D360" s="1061"/>
      <c r="E360" s="1061"/>
      <c r="F360" s="1061"/>
      <c r="G360" s="1061"/>
      <c r="H360" s="625"/>
      <c r="I360" s="625"/>
      <c r="J360" s="1062"/>
      <c r="K360" s="1062"/>
      <c r="L360" s="1063"/>
      <c r="M360" s="1063"/>
      <c r="N360" s="1064"/>
      <c r="O360" s="626"/>
    </row>
    <row r="361" spans="1:15" x14ac:dyDescent="0.25">
      <c r="A361" s="765"/>
      <c r="B361" s="624"/>
      <c r="C361" s="1061"/>
      <c r="D361" s="1061"/>
      <c r="E361" s="1061"/>
      <c r="F361" s="1061"/>
      <c r="G361" s="1061"/>
      <c r="H361" s="625"/>
      <c r="I361" s="625"/>
      <c r="J361" s="1062"/>
      <c r="K361" s="1062"/>
      <c r="L361" s="1063"/>
      <c r="M361" s="1063"/>
      <c r="N361" s="1064"/>
      <c r="O361" s="626"/>
    </row>
    <row r="362" spans="1:15" x14ac:dyDescent="0.25">
      <c r="A362" s="765"/>
      <c r="B362" s="624"/>
      <c r="C362" s="1061"/>
      <c r="D362" s="1061"/>
      <c r="E362" s="1061"/>
      <c r="F362" s="1061"/>
      <c r="G362" s="1061"/>
      <c r="H362" s="625"/>
      <c r="I362" s="625"/>
      <c r="J362" s="1062"/>
      <c r="K362" s="1062"/>
      <c r="L362" s="1063"/>
      <c r="M362" s="1063"/>
      <c r="N362" s="1064"/>
      <c r="O362" s="626"/>
    </row>
    <row r="363" spans="1:15" x14ac:dyDescent="0.25">
      <c r="A363" s="765"/>
      <c r="B363" s="624"/>
      <c r="C363" s="1061"/>
      <c r="D363" s="1061"/>
      <c r="E363" s="1061"/>
      <c r="F363" s="1061"/>
      <c r="G363" s="1061"/>
      <c r="H363" s="625"/>
      <c r="I363" s="625"/>
      <c r="J363" s="1062"/>
      <c r="K363" s="1062"/>
      <c r="L363" s="1063"/>
      <c r="M363" s="1063"/>
      <c r="N363" s="1064"/>
      <c r="O363" s="626"/>
    </row>
    <row r="364" spans="1:15" x14ac:dyDescent="0.25">
      <c r="A364" s="765"/>
      <c r="B364" s="624"/>
      <c r="C364" s="1061"/>
      <c r="D364" s="1061"/>
      <c r="E364" s="1061"/>
      <c r="F364" s="1061"/>
      <c r="G364" s="1061"/>
      <c r="H364" s="625"/>
      <c r="I364" s="625"/>
      <c r="J364" s="1062"/>
      <c r="K364" s="1062"/>
      <c r="L364" s="1063"/>
      <c r="M364" s="1063"/>
      <c r="N364" s="1064"/>
      <c r="O364" s="626"/>
    </row>
    <row r="365" spans="1:15" x14ac:dyDescent="0.25">
      <c r="A365" s="765"/>
      <c r="B365" s="624"/>
      <c r="C365" s="1061"/>
      <c r="D365" s="1061"/>
      <c r="E365" s="1061"/>
      <c r="F365" s="1061"/>
      <c r="G365" s="1061"/>
      <c r="H365" s="625"/>
      <c r="I365" s="625"/>
      <c r="J365" s="1062"/>
      <c r="K365" s="1062"/>
      <c r="L365" s="1063"/>
      <c r="M365" s="1063"/>
      <c r="N365" s="1064"/>
      <c r="O365" s="626"/>
    </row>
    <row r="366" spans="1:15" x14ac:dyDescent="0.25">
      <c r="A366" s="765"/>
      <c r="B366" s="624"/>
      <c r="C366" s="1061"/>
      <c r="D366" s="1061"/>
      <c r="E366" s="1061"/>
      <c r="F366" s="1061"/>
      <c r="G366" s="1061"/>
      <c r="H366" s="625"/>
      <c r="I366" s="625"/>
      <c r="J366" s="1062"/>
      <c r="K366" s="1062"/>
      <c r="L366" s="1063"/>
      <c r="M366" s="1063"/>
      <c r="N366" s="1064"/>
      <c r="O366" s="626"/>
    </row>
    <row r="367" spans="1:15" x14ac:dyDescent="0.25">
      <c r="A367" s="765"/>
      <c r="B367" s="624"/>
      <c r="C367" s="1061"/>
      <c r="D367" s="1061"/>
      <c r="E367" s="1061"/>
      <c r="F367" s="1061"/>
      <c r="G367" s="1061"/>
      <c r="H367" s="625"/>
      <c r="I367" s="625"/>
      <c r="J367" s="1062"/>
      <c r="K367" s="1062"/>
      <c r="L367" s="1063"/>
      <c r="M367" s="1063"/>
      <c r="N367" s="1064"/>
      <c r="O367" s="626"/>
    </row>
    <row r="368" spans="1:15" x14ac:dyDescent="0.25">
      <c r="A368" s="765"/>
      <c r="B368" s="624"/>
      <c r="C368" s="1061"/>
      <c r="D368" s="1061"/>
      <c r="E368" s="1061"/>
      <c r="F368" s="1061"/>
      <c r="G368" s="1061"/>
      <c r="H368" s="625"/>
      <c r="I368" s="625"/>
      <c r="J368" s="1062"/>
      <c r="K368" s="1062"/>
      <c r="L368" s="1063"/>
      <c r="M368" s="1063"/>
      <c r="N368" s="1064"/>
      <c r="O368" s="626"/>
    </row>
    <row r="369" spans="1:15" x14ac:dyDescent="0.25">
      <c r="A369" s="765"/>
      <c r="B369" s="624"/>
      <c r="C369" s="1061"/>
      <c r="D369" s="1061"/>
      <c r="E369" s="1061"/>
      <c r="F369" s="1061"/>
      <c r="G369" s="1061"/>
      <c r="H369" s="625"/>
      <c r="I369" s="625"/>
      <c r="J369" s="1062"/>
      <c r="K369" s="1062"/>
      <c r="L369" s="1063"/>
      <c r="M369" s="1063"/>
      <c r="N369" s="1064"/>
      <c r="O369" s="626"/>
    </row>
    <row r="370" spans="1:15" x14ac:dyDescent="0.25">
      <c r="A370" s="765"/>
      <c r="B370" s="624"/>
      <c r="C370" s="1061"/>
      <c r="D370" s="1061"/>
      <c r="E370" s="1061"/>
      <c r="F370" s="1061"/>
      <c r="G370" s="1061"/>
      <c r="H370" s="625"/>
      <c r="I370" s="625"/>
      <c r="J370" s="1061"/>
      <c r="K370" s="1061"/>
      <c r="L370" s="1061"/>
      <c r="M370" s="1061"/>
      <c r="N370" s="1064"/>
      <c r="O370" s="626"/>
    </row>
    <row r="371" spans="1:15" x14ac:dyDescent="0.25">
      <c r="A371" s="765"/>
      <c r="B371" s="624"/>
      <c r="C371" s="1061"/>
      <c r="D371" s="1061"/>
      <c r="E371" s="1061"/>
      <c r="F371" s="1061"/>
      <c r="G371" s="1061"/>
      <c r="H371" s="625"/>
      <c r="I371" s="625"/>
      <c r="J371" s="1061"/>
      <c r="K371" s="1061"/>
      <c r="L371" s="1061"/>
      <c r="M371" s="1061"/>
      <c r="N371" s="1064"/>
      <c r="O371" s="626"/>
    </row>
    <row r="372" spans="1:15" x14ac:dyDescent="0.25">
      <c r="A372" s="765"/>
      <c r="B372" s="624"/>
      <c r="C372" s="1061"/>
      <c r="D372" s="1061"/>
      <c r="E372" s="1061"/>
      <c r="F372" s="1061"/>
      <c r="G372" s="1061"/>
      <c r="H372" s="625"/>
      <c r="I372" s="625"/>
      <c r="J372" s="1061"/>
      <c r="K372" s="1061"/>
      <c r="L372" s="1061"/>
      <c r="M372" s="1061"/>
      <c r="N372" s="1064"/>
      <c r="O372" s="626"/>
    </row>
    <row r="373" spans="1:15" x14ac:dyDescent="0.25">
      <c r="A373" s="765"/>
      <c r="B373" s="624"/>
      <c r="C373" s="1061"/>
      <c r="D373" s="1061"/>
      <c r="E373" s="1061"/>
      <c r="F373" s="1061"/>
      <c r="G373" s="1061"/>
      <c r="H373" s="625"/>
      <c r="I373" s="625"/>
      <c r="J373" s="1061"/>
      <c r="K373" s="1061"/>
      <c r="L373" s="1061"/>
      <c r="M373" s="1061"/>
      <c r="N373" s="1064"/>
      <c r="O373" s="626"/>
    </row>
    <row r="374" spans="1:15" x14ac:dyDescent="0.25">
      <c r="A374" s="765"/>
      <c r="B374" s="624"/>
      <c r="C374" s="1061"/>
      <c r="D374" s="1061"/>
      <c r="E374" s="1061"/>
      <c r="F374" s="1061"/>
      <c r="G374" s="1061"/>
      <c r="H374" s="625"/>
      <c r="I374" s="625"/>
      <c r="J374" s="1061"/>
      <c r="K374" s="1061"/>
      <c r="L374" s="1061"/>
      <c r="M374" s="1061"/>
      <c r="N374" s="1064"/>
      <c r="O374" s="626"/>
    </row>
    <row r="375" spans="1:15" x14ac:dyDescent="0.25">
      <c r="A375" s="765"/>
      <c r="B375" s="624"/>
      <c r="C375" s="1061"/>
      <c r="D375" s="1061"/>
      <c r="E375" s="1061"/>
      <c r="F375" s="1061"/>
      <c r="G375" s="1061"/>
      <c r="H375" s="625"/>
      <c r="I375" s="625"/>
      <c r="J375" s="1061"/>
      <c r="K375" s="1061"/>
      <c r="L375" s="1061"/>
      <c r="M375" s="1061"/>
      <c r="N375" s="1064"/>
      <c r="O375" s="626"/>
    </row>
    <row r="376" spans="1:15" x14ac:dyDescent="0.25">
      <c r="A376" s="765"/>
      <c r="B376" s="624"/>
      <c r="C376" s="1061"/>
      <c r="D376" s="1061"/>
      <c r="E376" s="1061"/>
      <c r="F376" s="1061"/>
      <c r="G376" s="1061"/>
      <c r="H376" s="625"/>
      <c r="I376" s="625"/>
      <c r="J376" s="1061"/>
      <c r="K376" s="1061"/>
      <c r="L376" s="1061"/>
      <c r="M376" s="1061"/>
      <c r="N376" s="1064"/>
      <c r="O376" s="626"/>
    </row>
    <row r="377" spans="1:15" x14ac:dyDescent="0.25">
      <c r="A377" s="765"/>
      <c r="B377" s="624"/>
      <c r="C377" s="1061"/>
      <c r="D377" s="1061"/>
      <c r="E377" s="1061"/>
      <c r="F377" s="1061"/>
      <c r="G377" s="1061"/>
      <c r="H377" s="625"/>
      <c r="I377" s="625"/>
      <c r="J377" s="1061"/>
      <c r="K377" s="1061"/>
      <c r="L377" s="1061"/>
      <c r="M377" s="1061"/>
      <c r="N377" s="1064"/>
      <c r="O377" s="626"/>
    </row>
    <row r="378" spans="1:15" x14ac:dyDescent="0.25">
      <c r="A378" s="765"/>
      <c r="B378" s="624"/>
      <c r="C378" s="1061"/>
      <c r="D378" s="1061"/>
      <c r="E378" s="1061"/>
      <c r="F378" s="1061"/>
      <c r="G378" s="1061"/>
      <c r="H378" s="625"/>
      <c r="I378" s="625"/>
      <c r="J378" s="1061"/>
      <c r="K378" s="1061"/>
      <c r="L378" s="1061"/>
      <c r="M378" s="1061"/>
      <c r="N378" s="1064"/>
      <c r="O378" s="626"/>
    </row>
    <row r="379" spans="1:15" x14ac:dyDescent="0.25">
      <c r="A379" s="765"/>
      <c r="B379" s="624"/>
      <c r="C379" s="1061"/>
      <c r="D379" s="1061"/>
      <c r="E379" s="1061"/>
      <c r="F379" s="1061"/>
      <c r="G379" s="1061"/>
      <c r="H379" s="625"/>
      <c r="I379" s="625"/>
      <c r="J379" s="1061"/>
      <c r="K379" s="1061"/>
      <c r="L379" s="1061"/>
      <c r="M379" s="1061"/>
      <c r="N379" s="1064"/>
      <c r="O379" s="626"/>
    </row>
    <row r="380" spans="1:15" x14ac:dyDescent="0.25">
      <c r="A380" s="765"/>
      <c r="B380" s="624"/>
      <c r="C380" s="1061"/>
      <c r="D380" s="1061"/>
      <c r="E380" s="1061"/>
      <c r="F380" s="1061"/>
      <c r="G380" s="1061"/>
      <c r="H380" s="625"/>
      <c r="I380" s="625"/>
      <c r="J380" s="1061"/>
      <c r="K380" s="1061"/>
      <c r="L380" s="1061"/>
      <c r="M380" s="1061"/>
      <c r="N380" s="1064"/>
      <c r="O380" s="626"/>
    </row>
    <row r="381" spans="1:15" x14ac:dyDescent="0.25">
      <c r="A381" s="765"/>
      <c r="B381" s="624"/>
      <c r="C381" s="1061"/>
      <c r="D381" s="1061"/>
      <c r="E381" s="1061"/>
      <c r="F381" s="1061"/>
      <c r="G381" s="1061"/>
      <c r="H381" s="625"/>
      <c r="I381" s="625"/>
      <c r="J381" s="1061"/>
      <c r="K381" s="1061"/>
      <c r="L381" s="1061"/>
      <c r="M381" s="1061"/>
      <c r="N381" s="1064"/>
      <c r="O381" s="626"/>
    </row>
    <row r="382" spans="1:15" x14ac:dyDescent="0.25">
      <c r="A382" s="765"/>
      <c r="B382" s="624"/>
      <c r="C382" s="1061"/>
      <c r="D382" s="1061"/>
      <c r="E382" s="1061"/>
      <c r="F382" s="1061"/>
      <c r="G382" s="1061"/>
      <c r="H382" s="625"/>
      <c r="I382" s="625"/>
      <c r="J382" s="1061"/>
      <c r="K382" s="1061"/>
      <c r="L382" s="1061"/>
      <c r="M382" s="1061"/>
      <c r="N382" s="1064"/>
      <c r="O382" s="626"/>
    </row>
    <row r="383" spans="1:15" x14ac:dyDescent="0.25">
      <c r="A383" s="765"/>
      <c r="B383" s="624"/>
      <c r="C383" s="1061"/>
      <c r="D383" s="1061"/>
      <c r="E383" s="1061"/>
      <c r="F383" s="1061"/>
      <c r="G383" s="1061"/>
      <c r="H383" s="625"/>
      <c r="I383" s="625"/>
      <c r="J383" s="1061"/>
      <c r="K383" s="1061"/>
      <c r="L383" s="1061"/>
      <c r="M383" s="1061"/>
      <c r="N383" s="1064"/>
      <c r="O383" s="626"/>
    </row>
    <row r="384" spans="1:15" x14ac:dyDescent="0.25">
      <c r="A384" s="765"/>
      <c r="B384" s="624"/>
      <c r="C384" s="1061"/>
      <c r="D384" s="1061"/>
      <c r="E384" s="1061"/>
      <c r="F384" s="1061"/>
      <c r="G384" s="1061"/>
      <c r="H384" s="625"/>
      <c r="I384" s="625"/>
      <c r="J384" s="1061"/>
      <c r="K384" s="1061"/>
      <c r="L384" s="1061"/>
      <c r="M384" s="1061"/>
      <c r="N384" s="1064"/>
      <c r="O384" s="626"/>
    </row>
    <row r="385" spans="1:15" x14ac:dyDescent="0.25">
      <c r="A385" s="765"/>
      <c r="B385" s="624"/>
      <c r="C385" s="1061"/>
      <c r="D385" s="1061"/>
      <c r="E385" s="1061"/>
      <c r="F385" s="1061"/>
      <c r="G385" s="1061"/>
      <c r="H385" s="625"/>
      <c r="I385" s="625"/>
      <c r="J385" s="1061"/>
      <c r="K385" s="1061"/>
      <c r="L385" s="1061"/>
      <c r="M385" s="1061"/>
      <c r="N385" s="1064"/>
      <c r="O385" s="626"/>
    </row>
    <row r="386" spans="1:15" x14ac:dyDescent="0.25">
      <c r="A386" s="765"/>
      <c r="B386" s="624"/>
      <c r="C386" s="1061"/>
      <c r="D386" s="1061"/>
      <c r="E386" s="1061"/>
      <c r="F386" s="1061"/>
      <c r="G386" s="1061"/>
      <c r="H386" s="625"/>
      <c r="I386" s="625"/>
      <c r="J386" s="1061"/>
      <c r="K386" s="1061"/>
      <c r="L386" s="1061"/>
      <c r="M386" s="1061"/>
      <c r="N386" s="1064"/>
      <c r="O386" s="626"/>
    </row>
    <row r="387" spans="1:15" x14ac:dyDescent="0.25">
      <c r="A387" s="765"/>
      <c r="B387" s="624"/>
      <c r="C387" s="1061"/>
      <c r="D387" s="1061"/>
      <c r="E387" s="1061"/>
      <c r="F387" s="1061"/>
      <c r="G387" s="1061"/>
      <c r="H387" s="625"/>
      <c r="I387" s="625"/>
      <c r="J387" s="1061"/>
      <c r="K387" s="1061"/>
      <c r="L387" s="1061"/>
      <c r="M387" s="1061"/>
      <c r="N387" s="1064"/>
      <c r="O387" s="626"/>
    </row>
    <row r="388" spans="1:15" x14ac:dyDescent="0.25">
      <c r="A388" s="765"/>
      <c r="B388" s="624"/>
      <c r="C388" s="1061"/>
      <c r="D388" s="1061"/>
      <c r="E388" s="1061"/>
      <c r="F388" s="1061"/>
      <c r="G388" s="1061"/>
      <c r="H388" s="625"/>
      <c r="I388" s="625"/>
      <c r="J388" s="1061"/>
      <c r="K388" s="1061"/>
      <c r="L388" s="1061"/>
      <c r="M388" s="1061"/>
      <c r="N388" s="1064"/>
      <c r="O388" s="626"/>
    </row>
    <row r="389" spans="1:15" x14ac:dyDescent="0.25">
      <c r="A389" s="765"/>
      <c r="B389" s="624"/>
      <c r="C389" s="1061"/>
      <c r="D389" s="1061"/>
      <c r="E389" s="1061"/>
      <c r="F389" s="1061"/>
      <c r="G389" s="1061"/>
      <c r="H389" s="625"/>
      <c r="I389" s="625"/>
      <c r="J389" s="1061"/>
      <c r="K389" s="1061"/>
      <c r="L389" s="1061"/>
      <c r="M389" s="1061"/>
      <c r="N389" s="1064"/>
      <c r="O389" s="626"/>
    </row>
    <row r="390" spans="1:15" x14ac:dyDescent="0.25">
      <c r="A390" s="765"/>
      <c r="B390" s="624"/>
      <c r="C390" s="1061"/>
      <c r="D390" s="1061"/>
      <c r="E390" s="1061"/>
      <c r="F390" s="1061"/>
      <c r="G390" s="1061"/>
      <c r="H390" s="625"/>
      <c r="I390" s="625"/>
      <c r="J390" s="1061"/>
      <c r="K390" s="1061"/>
      <c r="L390" s="1061"/>
      <c r="M390" s="1061"/>
      <c r="N390" s="1064"/>
      <c r="O390" s="626"/>
    </row>
    <row r="391" spans="1:15" x14ac:dyDescent="0.25">
      <c r="A391" s="765"/>
      <c r="B391" s="624"/>
      <c r="C391" s="1061"/>
      <c r="D391" s="1061"/>
      <c r="E391" s="1061"/>
      <c r="F391" s="1061"/>
      <c r="G391" s="1061"/>
      <c r="H391" s="625"/>
      <c r="I391" s="625"/>
      <c r="J391" s="1061"/>
      <c r="K391" s="1061"/>
      <c r="L391" s="1061"/>
      <c r="M391" s="1061"/>
      <c r="N391" s="1064"/>
      <c r="O391" s="626"/>
    </row>
    <row r="392" spans="1:15" x14ac:dyDescent="0.25">
      <c r="A392" s="765"/>
      <c r="B392" s="624"/>
      <c r="C392" s="1061"/>
      <c r="D392" s="1061"/>
      <c r="E392" s="1061"/>
      <c r="F392" s="1061"/>
      <c r="G392" s="1061"/>
      <c r="H392" s="625"/>
      <c r="I392" s="625"/>
      <c r="J392" s="1061"/>
      <c r="K392" s="1061"/>
      <c r="L392" s="1061"/>
      <c r="M392" s="1061"/>
      <c r="N392" s="1064"/>
      <c r="O392" s="626"/>
    </row>
    <row r="393" spans="1:15" x14ac:dyDescent="0.25">
      <c r="A393" s="765"/>
      <c r="B393" s="624"/>
      <c r="C393" s="1061"/>
      <c r="D393" s="1061"/>
      <c r="E393" s="1061"/>
      <c r="F393" s="1061"/>
      <c r="G393" s="1061"/>
      <c r="H393" s="625"/>
      <c r="I393" s="625"/>
      <c r="J393" s="1061"/>
      <c r="K393" s="1061"/>
      <c r="L393" s="1061"/>
      <c r="M393" s="1061"/>
      <c r="N393" s="1064"/>
      <c r="O393" s="626"/>
    </row>
    <row r="394" spans="1:15" x14ac:dyDescent="0.25">
      <c r="A394" s="765"/>
      <c r="B394" s="624"/>
      <c r="C394" s="1061"/>
      <c r="D394" s="1061"/>
      <c r="E394" s="1061"/>
      <c r="F394" s="1061"/>
      <c r="G394" s="1061"/>
      <c r="H394" s="625"/>
      <c r="I394" s="625"/>
      <c r="J394" s="1061"/>
      <c r="K394" s="1061"/>
      <c r="L394" s="1061"/>
      <c r="M394" s="1061"/>
      <c r="N394" s="1064"/>
      <c r="O394" s="626"/>
    </row>
    <row r="395" spans="1:15" x14ac:dyDescent="0.25">
      <c r="A395" s="765"/>
      <c r="B395" s="624"/>
      <c r="C395" s="1061"/>
      <c r="D395" s="1061"/>
      <c r="E395" s="1061"/>
      <c r="F395" s="1061"/>
      <c r="G395" s="1061"/>
      <c r="H395" s="625"/>
      <c r="I395" s="625"/>
      <c r="J395" s="1061"/>
      <c r="K395" s="1061"/>
      <c r="L395" s="1061"/>
      <c r="M395" s="1061"/>
      <c r="N395" s="1064"/>
      <c r="O395" s="626"/>
    </row>
    <row r="396" spans="1:15" x14ac:dyDescent="0.25">
      <c r="A396" s="765"/>
      <c r="B396" s="624"/>
      <c r="C396" s="1061"/>
      <c r="D396" s="1061"/>
      <c r="E396" s="1061"/>
      <c r="F396" s="1061"/>
      <c r="G396" s="1061"/>
      <c r="H396" s="625"/>
      <c r="I396" s="625"/>
      <c r="J396" s="1061"/>
      <c r="K396" s="1061"/>
      <c r="L396" s="1061"/>
      <c r="M396" s="1061"/>
      <c r="N396" s="1064"/>
      <c r="O396" s="626"/>
    </row>
    <row r="397" spans="1:15" x14ac:dyDescent="0.25">
      <c r="A397" s="765"/>
      <c r="B397" s="624"/>
      <c r="C397" s="1061"/>
      <c r="D397" s="1061"/>
      <c r="E397" s="1061"/>
      <c r="F397" s="1061"/>
      <c r="G397" s="1061"/>
      <c r="H397" s="625"/>
      <c r="I397" s="625"/>
      <c r="J397" s="1061"/>
      <c r="K397" s="1061"/>
      <c r="L397" s="1061"/>
      <c r="M397" s="1061"/>
      <c r="N397" s="1064"/>
      <c r="O397" s="626"/>
    </row>
    <row r="398" spans="1:15" x14ac:dyDescent="0.25">
      <c r="A398" s="765"/>
      <c r="B398" s="624"/>
      <c r="C398" s="1061"/>
      <c r="D398" s="1061"/>
      <c r="E398" s="1061"/>
      <c r="F398" s="1061"/>
      <c r="G398" s="1061"/>
      <c r="H398" s="625"/>
      <c r="I398" s="625"/>
      <c r="J398" s="1061"/>
      <c r="K398" s="1061"/>
      <c r="L398" s="1061"/>
      <c r="M398" s="1061"/>
      <c r="N398" s="1064"/>
      <c r="O398" s="626"/>
    </row>
    <row r="399" spans="1:15" x14ac:dyDescent="0.25">
      <c r="A399" s="765"/>
      <c r="B399" s="624"/>
      <c r="C399" s="1061"/>
      <c r="D399" s="1061"/>
      <c r="E399" s="1061"/>
      <c r="F399" s="1061"/>
      <c r="G399" s="1061"/>
      <c r="H399" s="625"/>
      <c r="I399" s="625"/>
      <c r="J399" s="1061"/>
      <c r="K399" s="1061"/>
      <c r="L399" s="1061"/>
      <c r="M399" s="1061"/>
      <c r="N399" s="1064"/>
      <c r="O399" s="626"/>
    </row>
    <row r="400" spans="1:15" x14ac:dyDescent="0.25">
      <c r="A400" s="765"/>
      <c r="B400" s="624"/>
      <c r="C400" s="1061"/>
      <c r="D400" s="1061"/>
      <c r="E400" s="1061"/>
      <c r="F400" s="1061"/>
      <c r="G400" s="1061"/>
      <c r="H400" s="625"/>
      <c r="I400" s="625"/>
      <c r="J400" s="1061"/>
      <c r="K400" s="1061"/>
      <c r="L400" s="1061"/>
      <c r="M400" s="1061"/>
      <c r="N400" s="1064"/>
      <c r="O400" s="626"/>
    </row>
    <row r="401" spans="1:15" x14ac:dyDescent="0.25">
      <c r="A401" s="765"/>
      <c r="B401" s="624"/>
      <c r="C401" s="1061"/>
      <c r="D401" s="1061"/>
      <c r="E401" s="1061"/>
      <c r="F401" s="1061"/>
      <c r="G401" s="1061"/>
      <c r="H401" s="625"/>
      <c r="I401" s="625"/>
      <c r="J401" s="1061"/>
      <c r="K401" s="1061"/>
      <c r="L401" s="1061"/>
      <c r="M401" s="1061"/>
      <c r="N401" s="1064"/>
      <c r="O401" s="626"/>
    </row>
    <row r="402" spans="1:15" x14ac:dyDescent="0.25">
      <c r="A402" s="765"/>
      <c r="B402" s="624"/>
      <c r="C402" s="1061"/>
      <c r="D402" s="1061"/>
      <c r="E402" s="1061"/>
      <c r="F402" s="1061"/>
      <c r="G402" s="1061"/>
      <c r="H402" s="625"/>
      <c r="I402" s="625"/>
      <c r="J402" s="1061"/>
      <c r="K402" s="1061"/>
      <c r="L402" s="1061"/>
      <c r="M402" s="1061"/>
      <c r="N402" s="1064"/>
      <c r="O402" s="626"/>
    </row>
    <row r="403" spans="1:15" x14ac:dyDescent="0.25">
      <c r="A403" s="765"/>
      <c r="B403" s="624"/>
      <c r="C403" s="1061"/>
      <c r="D403" s="1061"/>
      <c r="E403" s="1061"/>
      <c r="F403" s="1061"/>
      <c r="G403" s="1061"/>
      <c r="H403" s="625"/>
      <c r="I403" s="625"/>
      <c r="J403" s="1061"/>
      <c r="K403" s="1061"/>
      <c r="L403" s="1061"/>
      <c r="M403" s="1061"/>
      <c r="N403" s="1064"/>
      <c r="O403" s="626"/>
    </row>
    <row r="404" spans="1:15" x14ac:dyDescent="0.25">
      <c r="A404" s="765"/>
      <c r="B404" s="624"/>
      <c r="C404" s="1061"/>
      <c r="D404" s="1061"/>
      <c r="E404" s="1061"/>
      <c r="F404" s="1061"/>
      <c r="G404" s="1061"/>
      <c r="H404" s="625"/>
      <c r="I404" s="625"/>
      <c r="J404" s="1061"/>
      <c r="K404" s="1061"/>
      <c r="L404" s="1061"/>
      <c r="M404" s="1061"/>
      <c r="N404" s="1064"/>
      <c r="O404" s="626"/>
    </row>
    <row r="405" spans="1:15" x14ac:dyDescent="0.25">
      <c r="A405" s="765"/>
      <c r="B405" s="624"/>
      <c r="C405" s="1061"/>
      <c r="D405" s="1061"/>
      <c r="E405" s="1061"/>
      <c r="F405" s="1061"/>
      <c r="G405" s="1061"/>
      <c r="H405" s="625"/>
      <c r="I405" s="625"/>
      <c r="J405" s="1061"/>
      <c r="K405" s="1061"/>
      <c r="L405" s="1061"/>
      <c r="M405" s="1061"/>
      <c r="N405" s="1064"/>
      <c r="O405" s="626"/>
    </row>
    <row r="406" spans="1:15" x14ac:dyDescent="0.25">
      <c r="A406" s="765"/>
      <c r="B406" s="624"/>
      <c r="C406" s="1061"/>
      <c r="D406" s="1061"/>
      <c r="E406" s="1061"/>
      <c r="F406" s="1061"/>
      <c r="G406" s="1061"/>
      <c r="H406" s="625"/>
      <c r="I406" s="625"/>
      <c r="J406" s="1061"/>
      <c r="K406" s="1061"/>
      <c r="L406" s="1061"/>
      <c r="M406" s="1061"/>
      <c r="N406" s="1064"/>
      <c r="O406" s="626"/>
    </row>
    <row r="407" spans="1:15" x14ac:dyDescent="0.25">
      <c r="A407" s="765"/>
      <c r="B407" s="624"/>
      <c r="C407" s="1061"/>
      <c r="D407" s="1061"/>
      <c r="E407" s="1061"/>
      <c r="F407" s="1061"/>
      <c r="G407" s="1061"/>
      <c r="H407" s="625"/>
      <c r="I407" s="625"/>
      <c r="J407" s="1061"/>
      <c r="K407" s="1061"/>
      <c r="L407" s="1061"/>
      <c r="M407" s="1061"/>
      <c r="N407" s="1064"/>
      <c r="O407" s="626"/>
    </row>
    <row r="408" spans="1:15" x14ac:dyDescent="0.25">
      <c r="A408" s="765"/>
      <c r="B408" s="624"/>
      <c r="C408" s="1061"/>
      <c r="D408" s="1061"/>
      <c r="E408" s="1061"/>
      <c r="F408" s="1061"/>
      <c r="G408" s="1061"/>
      <c r="H408" s="625"/>
      <c r="I408" s="625"/>
      <c r="J408" s="1061"/>
      <c r="K408" s="1061"/>
      <c r="L408" s="1061"/>
      <c r="M408" s="1061"/>
      <c r="N408" s="1064"/>
      <c r="O408" s="626"/>
    </row>
    <row r="409" spans="1:15" x14ac:dyDescent="0.25">
      <c r="A409" s="765"/>
      <c r="B409" s="624"/>
      <c r="C409" s="1061"/>
      <c r="D409" s="1061"/>
      <c r="E409" s="1061"/>
      <c r="F409" s="1061"/>
      <c r="G409" s="1061"/>
      <c r="H409" s="625"/>
      <c r="I409" s="625"/>
      <c r="J409" s="1061"/>
      <c r="K409" s="1061"/>
      <c r="L409" s="1061"/>
      <c r="M409" s="1061"/>
      <c r="N409" s="1064"/>
      <c r="O409" s="626"/>
    </row>
    <row r="410" spans="1:15" x14ac:dyDescent="0.25">
      <c r="A410" s="765"/>
      <c r="B410" s="624"/>
      <c r="C410" s="1061"/>
      <c r="D410" s="1061"/>
      <c r="E410" s="1061"/>
      <c r="F410" s="1061"/>
      <c r="G410" s="1061"/>
      <c r="H410" s="625"/>
      <c r="I410" s="625"/>
      <c r="J410" s="1061"/>
      <c r="K410" s="1061"/>
      <c r="L410" s="1061"/>
      <c r="M410" s="1061"/>
      <c r="N410" s="1064"/>
      <c r="O410" s="626"/>
    </row>
    <row r="411" spans="1:15" x14ac:dyDescent="0.25">
      <c r="A411" s="765"/>
      <c r="B411" s="624"/>
      <c r="C411" s="1061"/>
      <c r="D411" s="1061"/>
      <c r="E411" s="1061"/>
      <c r="F411" s="1061"/>
      <c r="G411" s="1061"/>
      <c r="H411" s="625"/>
      <c r="I411" s="625"/>
      <c r="J411" s="1061"/>
      <c r="K411" s="1061"/>
      <c r="L411" s="1061"/>
      <c r="M411" s="1061"/>
      <c r="N411" s="1064"/>
      <c r="O411" s="626"/>
    </row>
    <row r="412" spans="1:15" x14ac:dyDescent="0.25">
      <c r="A412" s="765"/>
      <c r="B412" s="624"/>
      <c r="C412" s="1061"/>
      <c r="D412" s="1061"/>
      <c r="E412" s="1061"/>
      <c r="F412" s="1061"/>
      <c r="G412" s="1061"/>
      <c r="H412" s="625"/>
      <c r="I412" s="625"/>
      <c r="J412" s="1061"/>
      <c r="K412" s="1061"/>
      <c r="L412" s="1061"/>
      <c r="M412" s="1061"/>
      <c r="N412" s="1064"/>
      <c r="O412" s="626"/>
    </row>
    <row r="413" spans="1:15" x14ac:dyDescent="0.25">
      <c r="A413" s="765"/>
      <c r="B413" s="624"/>
      <c r="C413" s="1061"/>
      <c r="D413" s="1061"/>
      <c r="E413" s="1061"/>
      <c r="F413" s="1061"/>
      <c r="G413" s="1061"/>
      <c r="H413" s="625"/>
      <c r="I413" s="625"/>
      <c r="J413" s="1061"/>
      <c r="K413" s="1061"/>
      <c r="L413" s="1061"/>
      <c r="M413" s="1061"/>
      <c r="N413" s="1064"/>
      <c r="O413" s="626"/>
    </row>
    <row r="414" spans="1:15" x14ac:dyDescent="0.25">
      <c r="A414" s="765"/>
      <c r="B414" s="624"/>
      <c r="C414" s="1061"/>
      <c r="D414" s="1061"/>
      <c r="E414" s="1061"/>
      <c r="F414" s="1061"/>
      <c r="G414" s="1061"/>
      <c r="H414" s="625"/>
      <c r="I414" s="625"/>
      <c r="J414" s="1061"/>
      <c r="K414" s="1061"/>
      <c r="L414" s="1061"/>
      <c r="M414" s="1061"/>
      <c r="N414" s="1064"/>
      <c r="O414" s="626"/>
    </row>
    <row r="415" spans="1:15" x14ac:dyDescent="0.25">
      <c r="A415" s="765"/>
      <c r="B415" s="624"/>
      <c r="C415" s="1061"/>
      <c r="D415" s="1061"/>
      <c r="E415" s="1061"/>
      <c r="F415" s="1061"/>
      <c r="G415" s="1061"/>
      <c r="H415" s="625"/>
      <c r="I415" s="625"/>
      <c r="J415" s="1061"/>
      <c r="K415" s="1061"/>
      <c r="L415" s="1061"/>
      <c r="M415" s="1061"/>
      <c r="N415" s="1064"/>
      <c r="O415" s="626"/>
    </row>
    <row r="416" spans="1:15" x14ac:dyDescent="0.25">
      <c r="A416" s="765"/>
      <c r="B416" s="624"/>
      <c r="C416" s="1061"/>
      <c r="D416" s="1061"/>
      <c r="E416" s="1061"/>
      <c r="F416" s="1061"/>
      <c r="G416" s="1061"/>
      <c r="H416" s="625"/>
      <c r="I416" s="625"/>
      <c r="J416" s="1061"/>
      <c r="K416" s="1061"/>
      <c r="L416" s="1061"/>
      <c r="M416" s="1061"/>
      <c r="N416" s="1064"/>
      <c r="O416" s="626"/>
    </row>
    <row r="417" spans="1:15" x14ac:dyDescent="0.25">
      <c r="A417" s="765"/>
      <c r="B417" s="624"/>
      <c r="C417" s="1061"/>
      <c r="D417" s="1061"/>
      <c r="E417" s="1061"/>
      <c r="F417" s="1061"/>
      <c r="G417" s="1061"/>
      <c r="H417" s="625"/>
      <c r="I417" s="625"/>
      <c r="J417" s="1061"/>
      <c r="K417" s="1061"/>
      <c r="L417" s="1061"/>
      <c r="M417" s="1061"/>
      <c r="N417" s="1064"/>
      <c r="O417" s="626"/>
    </row>
    <row r="418" spans="1:15" x14ac:dyDescent="0.25">
      <c r="A418" s="765"/>
      <c r="B418" s="624"/>
      <c r="C418" s="1061"/>
      <c r="D418" s="1061"/>
      <c r="E418" s="1061"/>
      <c r="F418" s="1061"/>
      <c r="G418" s="1061"/>
      <c r="H418" s="625"/>
      <c r="I418" s="625"/>
      <c r="J418" s="1061"/>
      <c r="K418" s="1061"/>
      <c r="L418" s="1061"/>
      <c r="M418" s="1061"/>
      <c r="N418" s="1064"/>
      <c r="O418" s="626"/>
    </row>
    <row r="419" spans="1:15" x14ac:dyDescent="0.25">
      <c r="A419" s="765"/>
      <c r="B419" s="624"/>
      <c r="C419" s="1061"/>
      <c r="D419" s="1061"/>
      <c r="E419" s="1061"/>
      <c r="F419" s="1061"/>
      <c r="G419" s="1061"/>
      <c r="H419" s="625"/>
      <c r="I419" s="625"/>
      <c r="J419" s="1061"/>
      <c r="K419" s="1061"/>
      <c r="L419" s="1061"/>
      <c r="M419" s="1061"/>
      <c r="N419" s="1064"/>
      <c r="O419" s="626"/>
    </row>
    <row r="420" spans="1:15" x14ac:dyDescent="0.25">
      <c r="A420" s="765"/>
      <c r="B420" s="624"/>
      <c r="C420" s="1061"/>
      <c r="D420" s="1061"/>
      <c r="E420" s="1061"/>
      <c r="F420" s="1061"/>
      <c r="G420" s="1061"/>
      <c r="H420" s="625"/>
      <c r="I420" s="625"/>
      <c r="J420" s="1061"/>
      <c r="K420" s="1061"/>
      <c r="L420" s="1061"/>
      <c r="M420" s="1061"/>
      <c r="N420" s="1064"/>
      <c r="O420" s="626"/>
    </row>
    <row r="421" spans="1:15" x14ac:dyDescent="0.25">
      <c r="A421" s="765"/>
      <c r="B421" s="624"/>
      <c r="C421" s="1061"/>
      <c r="D421" s="1061"/>
      <c r="E421" s="1061"/>
      <c r="F421" s="1061"/>
      <c r="G421" s="1061"/>
      <c r="H421" s="625"/>
      <c r="I421" s="625"/>
      <c r="J421" s="1061"/>
      <c r="K421" s="1061"/>
      <c r="L421" s="1061"/>
      <c r="M421" s="1061"/>
      <c r="N421" s="1064"/>
      <c r="O421" s="626"/>
    </row>
    <row r="422" spans="1:15" x14ac:dyDescent="0.25">
      <c r="A422" s="765"/>
      <c r="B422" s="624"/>
      <c r="C422" s="1061"/>
      <c r="D422" s="1061"/>
      <c r="E422" s="1061"/>
      <c r="F422" s="1061"/>
      <c r="G422" s="1061"/>
      <c r="H422" s="625"/>
      <c r="I422" s="625"/>
      <c r="J422" s="1061"/>
      <c r="K422" s="1061"/>
      <c r="L422" s="1061"/>
      <c r="M422" s="1061"/>
      <c r="N422" s="1064"/>
      <c r="O422" s="626"/>
    </row>
    <row r="423" spans="1:15" x14ac:dyDescent="0.25">
      <c r="A423" s="765"/>
      <c r="B423" s="624"/>
      <c r="C423" s="1061"/>
      <c r="D423" s="1061"/>
      <c r="E423" s="1061"/>
      <c r="F423" s="1061"/>
      <c r="G423" s="1061"/>
      <c r="H423" s="625"/>
      <c r="I423" s="625"/>
      <c r="J423" s="1061"/>
      <c r="K423" s="1061"/>
      <c r="L423" s="1061"/>
      <c r="M423" s="1061"/>
      <c r="N423" s="1064"/>
      <c r="O423" s="626"/>
    </row>
    <row r="424" spans="1:15" x14ac:dyDescent="0.25">
      <c r="A424" s="765"/>
      <c r="B424" s="624"/>
      <c r="C424" s="1061"/>
      <c r="D424" s="1061"/>
      <c r="E424" s="1061"/>
      <c r="F424" s="1061"/>
      <c r="G424" s="1061"/>
      <c r="H424" s="625"/>
      <c r="I424" s="625"/>
      <c r="J424" s="1061"/>
      <c r="K424" s="1061"/>
      <c r="L424" s="1061"/>
      <c r="M424" s="1061"/>
      <c r="N424" s="1064"/>
      <c r="O424" s="626"/>
    </row>
    <row r="425" spans="1:15" x14ac:dyDescent="0.25">
      <c r="A425" s="765"/>
      <c r="B425" s="624"/>
      <c r="C425" s="1061"/>
      <c r="D425" s="1061"/>
      <c r="E425" s="1061"/>
      <c r="F425" s="1061"/>
      <c r="G425" s="1061"/>
      <c r="H425" s="625"/>
      <c r="I425" s="625"/>
      <c r="J425" s="1061"/>
      <c r="K425" s="1061"/>
      <c r="L425" s="1061"/>
      <c r="M425" s="1061"/>
      <c r="N425" s="1064"/>
      <c r="O425" s="626"/>
    </row>
    <row r="426" spans="1:15" x14ac:dyDescent="0.25">
      <c r="A426" s="765"/>
      <c r="B426" s="624"/>
      <c r="C426" s="1061"/>
      <c r="D426" s="1061"/>
      <c r="E426" s="1061"/>
      <c r="F426" s="1061"/>
      <c r="G426" s="1061"/>
      <c r="H426" s="625"/>
      <c r="I426" s="625"/>
      <c r="J426" s="1061"/>
      <c r="K426" s="1061"/>
      <c r="L426" s="1061"/>
      <c r="M426" s="1061"/>
      <c r="N426" s="1064"/>
      <c r="O426" s="626"/>
    </row>
    <row r="427" spans="1:15" x14ac:dyDescent="0.25">
      <c r="A427" s="765"/>
      <c r="B427" s="624"/>
      <c r="C427" s="1061"/>
      <c r="D427" s="1061"/>
      <c r="E427" s="1061"/>
      <c r="F427" s="1061"/>
      <c r="G427" s="1061"/>
      <c r="H427" s="625"/>
      <c r="I427" s="625"/>
      <c r="J427" s="1061"/>
      <c r="K427" s="1061"/>
      <c r="L427" s="1061"/>
      <c r="M427" s="1061"/>
      <c r="N427" s="1064"/>
      <c r="O427" s="626"/>
    </row>
    <row r="428" spans="1:15" x14ac:dyDescent="0.25">
      <c r="A428" s="765"/>
      <c r="B428" s="624"/>
      <c r="C428" s="1061"/>
      <c r="D428" s="1061"/>
      <c r="E428" s="1061"/>
      <c r="F428" s="1061"/>
      <c r="G428" s="1061"/>
      <c r="H428" s="625"/>
      <c r="I428" s="625"/>
      <c r="J428" s="1061"/>
      <c r="K428" s="1061"/>
      <c r="L428" s="1061"/>
      <c r="M428" s="1061"/>
      <c r="N428" s="1064"/>
      <c r="O428" s="626"/>
    </row>
    <row r="429" spans="1:15" x14ac:dyDescent="0.25">
      <c r="A429" s="765"/>
      <c r="B429" s="624"/>
      <c r="C429" s="1061"/>
      <c r="D429" s="1061"/>
      <c r="E429" s="1061"/>
      <c r="F429" s="1061"/>
      <c r="G429" s="1061"/>
      <c r="H429" s="625"/>
      <c r="I429" s="625"/>
      <c r="J429" s="1061"/>
      <c r="K429" s="1061"/>
      <c r="L429" s="1061"/>
      <c r="M429" s="1061"/>
      <c r="N429" s="1064"/>
      <c r="O429" s="626"/>
    </row>
    <row r="430" spans="1:15" x14ac:dyDescent="0.25">
      <c r="A430" s="765"/>
      <c r="B430" s="624"/>
      <c r="C430" s="1061"/>
      <c r="D430" s="1061"/>
      <c r="E430" s="1061"/>
      <c r="F430" s="1061"/>
      <c r="G430" s="1061"/>
      <c r="H430" s="625"/>
      <c r="I430" s="625"/>
      <c r="J430" s="1061"/>
      <c r="K430" s="1061"/>
      <c r="L430" s="1061"/>
      <c r="M430" s="1061"/>
      <c r="N430" s="1064"/>
      <c r="O430" s="626"/>
    </row>
    <row r="431" spans="1:15" x14ac:dyDescent="0.25">
      <c r="A431" s="765"/>
      <c r="B431" s="624"/>
      <c r="C431" s="1061"/>
      <c r="D431" s="1061"/>
      <c r="E431" s="1061"/>
      <c r="F431" s="1061"/>
      <c r="G431" s="1061"/>
      <c r="H431" s="625"/>
      <c r="I431" s="625"/>
      <c r="J431" s="1061"/>
      <c r="K431" s="1061"/>
      <c r="L431" s="1061"/>
      <c r="M431" s="1061"/>
      <c r="N431" s="1064"/>
      <c r="O431" s="626"/>
    </row>
    <row r="432" spans="1:15" x14ac:dyDescent="0.25">
      <c r="A432" s="765"/>
      <c r="B432" s="624"/>
      <c r="C432" s="1061"/>
      <c r="D432" s="1061"/>
      <c r="E432" s="1061"/>
      <c r="F432" s="1061"/>
      <c r="G432" s="1061"/>
      <c r="H432" s="625"/>
      <c r="I432" s="625"/>
      <c r="J432" s="1061"/>
      <c r="K432" s="1061"/>
      <c r="L432" s="1061"/>
      <c r="M432" s="1061"/>
      <c r="N432" s="1064"/>
      <c r="O432" s="626"/>
    </row>
    <row r="433" spans="1:15" x14ac:dyDescent="0.25">
      <c r="A433" s="765"/>
      <c r="B433" s="624"/>
      <c r="C433" s="1061"/>
      <c r="D433" s="1061"/>
      <c r="E433" s="1061"/>
      <c r="F433" s="1061"/>
      <c r="G433" s="1061"/>
      <c r="H433" s="625"/>
      <c r="I433" s="625"/>
      <c r="J433" s="1061"/>
      <c r="K433" s="1061"/>
      <c r="L433" s="1061"/>
      <c r="M433" s="1061"/>
      <c r="N433" s="1064"/>
      <c r="O433" s="626"/>
    </row>
    <row r="434" spans="1:15" x14ac:dyDescent="0.25">
      <c r="A434" s="765"/>
      <c r="B434" s="624"/>
      <c r="C434" s="1061"/>
      <c r="D434" s="1061"/>
      <c r="E434" s="1061"/>
      <c r="F434" s="1061"/>
      <c r="G434" s="1061"/>
      <c r="H434" s="625"/>
      <c r="I434" s="625"/>
      <c r="J434" s="1061"/>
      <c r="K434" s="1061"/>
      <c r="L434" s="1061"/>
      <c r="M434" s="1061"/>
      <c r="N434" s="1064"/>
      <c r="O434" s="626"/>
    </row>
    <row r="435" spans="1:15" x14ac:dyDescent="0.25">
      <c r="A435" s="765"/>
      <c r="B435" s="624"/>
      <c r="C435" s="1061"/>
      <c r="D435" s="1061"/>
      <c r="E435" s="1061"/>
      <c r="F435" s="1061"/>
      <c r="G435" s="1061"/>
      <c r="H435" s="625"/>
      <c r="I435" s="625"/>
      <c r="J435" s="1061"/>
      <c r="K435" s="1061"/>
      <c r="L435" s="1061"/>
      <c r="M435" s="1061"/>
      <c r="N435" s="1064"/>
      <c r="O435" s="626"/>
    </row>
    <row r="436" spans="1:15" x14ac:dyDescent="0.25">
      <c r="A436" s="765"/>
      <c r="B436" s="624"/>
      <c r="C436" s="1061"/>
      <c r="D436" s="1061"/>
      <c r="E436" s="1061"/>
      <c r="F436" s="1061"/>
      <c r="G436" s="1061"/>
      <c r="H436" s="625"/>
      <c r="I436" s="625"/>
      <c r="J436" s="1061"/>
      <c r="K436" s="1061"/>
      <c r="L436" s="1061"/>
      <c r="M436" s="1061"/>
      <c r="N436" s="1064"/>
      <c r="O436" s="626"/>
    </row>
    <row r="437" spans="1:15" x14ac:dyDescent="0.25">
      <c r="A437" s="765"/>
      <c r="B437" s="624"/>
      <c r="C437" s="1061"/>
      <c r="D437" s="1061"/>
      <c r="E437" s="1061"/>
      <c r="F437" s="1061"/>
      <c r="G437" s="1061"/>
      <c r="H437" s="625"/>
      <c r="I437" s="625"/>
      <c r="J437" s="1061"/>
      <c r="K437" s="1061"/>
      <c r="L437" s="1061"/>
      <c r="M437" s="1061"/>
      <c r="N437" s="1064"/>
      <c r="O437" s="626"/>
    </row>
    <row r="438" spans="1:15" x14ac:dyDescent="0.25">
      <c r="A438" s="765"/>
      <c r="B438" s="624"/>
      <c r="C438" s="1061"/>
      <c r="D438" s="1061"/>
      <c r="E438" s="1061"/>
      <c r="F438" s="1061"/>
      <c r="G438" s="1061"/>
      <c r="H438" s="625"/>
      <c r="I438" s="625"/>
      <c r="J438" s="1061"/>
      <c r="K438" s="1061"/>
      <c r="L438" s="1061"/>
      <c r="M438" s="1061"/>
      <c r="N438" s="1064"/>
      <c r="O438" s="626"/>
    </row>
    <row r="439" spans="1:15" x14ac:dyDescent="0.25">
      <c r="A439" s="765"/>
      <c r="B439" s="624"/>
      <c r="C439" s="1061"/>
      <c r="D439" s="1061"/>
      <c r="E439" s="1061"/>
      <c r="F439" s="1061"/>
      <c r="G439" s="1061"/>
      <c r="H439" s="625"/>
      <c r="I439" s="625"/>
      <c r="J439" s="1061"/>
      <c r="K439" s="1061"/>
      <c r="L439" s="1061"/>
      <c r="M439" s="1061"/>
      <c r="N439" s="1064"/>
      <c r="O439" s="626"/>
    </row>
    <row r="440" spans="1:15" x14ac:dyDescent="0.25">
      <c r="A440" s="765"/>
      <c r="B440" s="624"/>
      <c r="C440" s="1061"/>
      <c r="D440" s="1061"/>
      <c r="E440" s="1061"/>
      <c r="F440" s="1061"/>
      <c r="G440" s="1061"/>
      <c r="H440" s="625"/>
      <c r="I440" s="625"/>
      <c r="J440" s="1061"/>
      <c r="K440" s="1061"/>
      <c r="L440" s="1061"/>
      <c r="M440" s="1061"/>
      <c r="N440" s="1064"/>
      <c r="O440" s="626"/>
    </row>
    <row r="441" spans="1:15" x14ac:dyDescent="0.25">
      <c r="A441" s="765"/>
      <c r="B441" s="624"/>
      <c r="C441" s="1061"/>
      <c r="D441" s="1061"/>
      <c r="E441" s="1061"/>
      <c r="F441" s="1061"/>
      <c r="G441" s="1061"/>
      <c r="H441" s="625"/>
      <c r="I441" s="625"/>
      <c r="J441" s="1061"/>
      <c r="K441" s="1061"/>
      <c r="L441" s="1061"/>
      <c r="M441" s="1061"/>
      <c r="N441" s="1064"/>
      <c r="O441" s="626"/>
    </row>
    <row r="442" spans="1:15" x14ac:dyDescent="0.25">
      <c r="A442" s="765"/>
      <c r="B442" s="624"/>
      <c r="C442" s="1061"/>
      <c r="D442" s="1061"/>
      <c r="E442" s="1061"/>
      <c r="F442" s="1061"/>
      <c r="G442" s="1061"/>
      <c r="H442" s="625"/>
      <c r="I442" s="1061"/>
      <c r="J442" s="1061"/>
      <c r="K442" s="1061"/>
      <c r="L442" s="1061"/>
      <c r="M442" s="1061"/>
      <c r="N442" s="1064"/>
      <c r="O442" s="626"/>
    </row>
    <row r="443" spans="1:15" x14ac:dyDescent="0.25">
      <c r="A443" s="765"/>
      <c r="B443" s="624"/>
      <c r="C443" s="1061"/>
      <c r="D443" s="1061"/>
      <c r="E443" s="1061"/>
      <c r="F443" s="1061"/>
      <c r="G443" s="1061"/>
      <c r="H443" s="625"/>
      <c r="I443" s="1061"/>
      <c r="J443" s="1061"/>
      <c r="K443" s="1061"/>
      <c r="L443" s="1061"/>
      <c r="M443" s="1061"/>
      <c r="N443" s="1064"/>
      <c r="O443" s="626"/>
    </row>
    <row r="444" spans="1:15" x14ac:dyDescent="0.25">
      <c r="A444" s="765"/>
      <c r="B444" s="624"/>
      <c r="C444" s="1061"/>
      <c r="D444" s="1061"/>
      <c r="E444" s="1061"/>
      <c r="F444" s="1061"/>
      <c r="G444" s="1061"/>
      <c r="H444" s="625"/>
      <c r="I444" s="1061"/>
      <c r="J444" s="1061"/>
      <c r="K444" s="1061"/>
      <c r="L444" s="1061"/>
      <c r="M444" s="1061"/>
      <c r="N444" s="1064"/>
      <c r="O444" s="626"/>
    </row>
    <row r="445" spans="1:15" x14ac:dyDescent="0.25">
      <c r="A445" s="765"/>
      <c r="B445" s="624"/>
      <c r="C445" s="1061"/>
      <c r="D445" s="1061"/>
      <c r="E445" s="1061"/>
      <c r="F445" s="1061"/>
      <c r="G445" s="1061"/>
      <c r="H445" s="625"/>
      <c r="I445" s="1061"/>
      <c r="J445" s="1061"/>
      <c r="K445" s="1061"/>
      <c r="L445" s="1061"/>
      <c r="M445" s="1061"/>
      <c r="N445" s="1064"/>
      <c r="O445" s="626"/>
    </row>
    <row r="446" spans="1:15" x14ac:dyDescent="0.25">
      <c r="A446" s="765"/>
      <c r="B446" s="624"/>
      <c r="C446" s="1061"/>
      <c r="D446" s="1061"/>
      <c r="E446" s="1061"/>
      <c r="F446" s="1061"/>
      <c r="G446" s="1061"/>
      <c r="H446" s="625"/>
      <c r="I446" s="1061"/>
      <c r="J446" s="1061"/>
      <c r="K446" s="1061"/>
      <c r="L446" s="1061"/>
      <c r="M446" s="1061"/>
      <c r="N446" s="1064"/>
      <c r="O446" s="626"/>
    </row>
    <row r="447" spans="1:15" x14ac:dyDescent="0.25">
      <c r="A447" s="765"/>
      <c r="B447" s="624"/>
      <c r="C447" s="1061"/>
      <c r="D447" s="1061"/>
      <c r="E447" s="1061"/>
      <c r="F447" s="1061"/>
      <c r="G447" s="1061"/>
      <c r="H447" s="625"/>
      <c r="I447" s="1061"/>
      <c r="J447" s="1061"/>
      <c r="K447" s="1061"/>
      <c r="L447" s="1061"/>
      <c r="M447" s="1061"/>
      <c r="N447" s="1064"/>
      <c r="O447" s="626"/>
    </row>
    <row r="448" spans="1:15" x14ac:dyDescent="0.25">
      <c r="A448" s="765"/>
      <c r="B448" s="624"/>
      <c r="C448" s="1061"/>
      <c r="D448" s="1061"/>
      <c r="E448" s="1061"/>
      <c r="F448" s="1061"/>
      <c r="G448" s="1061"/>
      <c r="H448" s="625"/>
      <c r="I448" s="1061"/>
      <c r="J448" s="1061"/>
      <c r="K448" s="1061"/>
      <c r="L448" s="1061"/>
      <c r="M448" s="1061"/>
      <c r="N448" s="1064"/>
      <c r="O448" s="626"/>
    </row>
    <row r="449" spans="1:15" x14ac:dyDescent="0.25">
      <c r="A449" s="765"/>
      <c r="B449" s="624"/>
      <c r="C449" s="1061"/>
      <c r="D449" s="1061"/>
      <c r="E449" s="1061"/>
      <c r="F449" s="1061"/>
      <c r="G449" s="1061"/>
      <c r="H449" s="625"/>
      <c r="I449" s="1061"/>
      <c r="J449" s="1061"/>
      <c r="K449" s="1061"/>
      <c r="L449" s="1061"/>
      <c r="M449" s="1061"/>
      <c r="N449" s="1064"/>
      <c r="O449" s="626"/>
    </row>
    <row r="450" spans="1:15" x14ac:dyDescent="0.25">
      <c r="A450" s="765"/>
      <c r="B450" s="624"/>
      <c r="C450" s="1061"/>
      <c r="D450" s="1061"/>
      <c r="E450" s="1061"/>
      <c r="F450" s="1061"/>
      <c r="G450" s="1061"/>
      <c r="H450" s="625"/>
      <c r="I450" s="1061"/>
      <c r="J450" s="1061"/>
      <c r="K450" s="1061"/>
      <c r="L450" s="1061"/>
      <c r="M450" s="1061"/>
      <c r="N450" s="1064"/>
      <c r="O450" s="626"/>
    </row>
    <row r="451" spans="1:15" x14ac:dyDescent="0.25">
      <c r="A451" s="765"/>
      <c r="B451" s="624"/>
      <c r="C451" s="1061"/>
      <c r="D451" s="1061"/>
      <c r="E451" s="1061"/>
      <c r="F451" s="1061"/>
      <c r="G451" s="1061"/>
      <c r="H451" s="625"/>
      <c r="I451" s="1061"/>
      <c r="J451" s="1061"/>
      <c r="K451" s="1061"/>
      <c r="L451" s="1061"/>
      <c r="M451" s="1061"/>
      <c r="N451" s="1064"/>
      <c r="O451" s="626"/>
    </row>
    <row r="452" spans="1:15" x14ac:dyDescent="0.25">
      <c r="A452" s="765"/>
      <c r="B452" s="624"/>
      <c r="C452" s="1061"/>
      <c r="D452" s="1061"/>
      <c r="E452" s="1061"/>
      <c r="F452" s="1061"/>
      <c r="G452" s="1061"/>
      <c r="H452" s="625"/>
      <c r="I452" s="1061"/>
      <c r="J452" s="1061"/>
      <c r="K452" s="1061"/>
      <c r="L452" s="1061"/>
      <c r="M452" s="1061"/>
      <c r="N452" s="1064"/>
      <c r="O452" s="626"/>
    </row>
    <row r="453" spans="1:15" x14ac:dyDescent="0.25">
      <c r="A453" s="765"/>
      <c r="B453" s="624"/>
      <c r="C453" s="1061"/>
      <c r="D453" s="1061"/>
      <c r="E453" s="1061"/>
      <c r="F453" s="1061"/>
      <c r="G453" s="1061"/>
      <c r="H453" s="625"/>
      <c r="I453" s="1061"/>
      <c r="J453" s="1061"/>
      <c r="K453" s="1061"/>
      <c r="L453" s="1061"/>
      <c r="M453" s="1061"/>
      <c r="N453" s="1064"/>
      <c r="O453" s="626"/>
    </row>
    <row r="454" spans="1:15" x14ac:dyDescent="0.25">
      <c r="A454" s="765"/>
      <c r="B454" s="624"/>
      <c r="C454" s="1061"/>
      <c r="D454" s="1061"/>
      <c r="E454" s="1061"/>
      <c r="F454" s="1061"/>
      <c r="G454" s="1061"/>
      <c r="H454" s="625"/>
      <c r="I454" s="1061"/>
      <c r="J454" s="1061"/>
      <c r="K454" s="1061"/>
      <c r="L454" s="1061"/>
      <c r="M454" s="1061"/>
      <c r="N454" s="1064"/>
      <c r="O454" s="626"/>
    </row>
    <row r="455" spans="1:15" x14ac:dyDescent="0.25">
      <c r="A455" s="765"/>
      <c r="B455" s="624"/>
      <c r="C455" s="1061"/>
      <c r="D455" s="1061"/>
      <c r="E455" s="1061"/>
      <c r="F455" s="1061"/>
      <c r="G455" s="1061"/>
      <c r="H455" s="625"/>
      <c r="I455" s="1061"/>
      <c r="J455" s="1061"/>
      <c r="K455" s="1061"/>
      <c r="L455" s="1061"/>
      <c r="M455" s="1061"/>
      <c r="N455" s="1064"/>
      <c r="O455" s="626"/>
    </row>
    <row r="456" spans="1:15" x14ac:dyDescent="0.25">
      <c r="A456" s="765"/>
      <c r="B456" s="624"/>
      <c r="C456" s="1061"/>
      <c r="D456" s="1061"/>
      <c r="E456" s="1061"/>
      <c r="F456" s="1061"/>
      <c r="G456" s="1061"/>
      <c r="H456" s="625"/>
      <c r="I456" s="1061"/>
      <c r="J456" s="1061"/>
      <c r="K456" s="1061"/>
      <c r="L456" s="1061"/>
      <c r="M456" s="1061"/>
      <c r="N456" s="1064"/>
      <c r="O456" s="626"/>
    </row>
    <row r="457" spans="1:15" x14ac:dyDescent="0.25">
      <c r="A457" s="765"/>
      <c r="B457" s="624"/>
      <c r="C457" s="1061"/>
      <c r="D457" s="1061"/>
      <c r="E457" s="1061"/>
      <c r="F457" s="1061"/>
      <c r="G457" s="1061"/>
      <c r="H457" s="625"/>
      <c r="I457" s="1061"/>
      <c r="J457" s="1061"/>
      <c r="K457" s="1061"/>
      <c r="L457" s="1061"/>
      <c r="M457" s="1061"/>
      <c r="N457" s="1064"/>
      <c r="O457" s="626"/>
    </row>
    <row r="458" spans="1:15" x14ac:dyDescent="0.25">
      <c r="A458" s="765"/>
      <c r="B458" s="624"/>
      <c r="C458" s="1061"/>
      <c r="D458" s="1061"/>
      <c r="E458" s="1061"/>
      <c r="F458" s="1061"/>
      <c r="G458" s="1061"/>
      <c r="H458" s="625"/>
      <c r="I458" s="1061"/>
      <c r="J458" s="1061"/>
      <c r="K458" s="1061"/>
      <c r="L458" s="1061"/>
      <c r="M458" s="1061"/>
      <c r="N458" s="1064"/>
      <c r="O458" s="626"/>
    </row>
    <row r="459" spans="1:15" x14ac:dyDescent="0.25">
      <c r="A459" s="765"/>
      <c r="B459" s="624"/>
      <c r="C459" s="1061"/>
      <c r="D459" s="1061"/>
      <c r="E459" s="1061"/>
      <c r="F459" s="1061"/>
      <c r="G459" s="1061"/>
      <c r="H459" s="625"/>
      <c r="I459" s="1061"/>
      <c r="J459" s="1061"/>
      <c r="K459" s="1061"/>
      <c r="L459" s="1061"/>
      <c r="M459" s="1061"/>
      <c r="N459" s="1064"/>
      <c r="O459" s="626"/>
    </row>
    <row r="460" spans="1:15" x14ac:dyDescent="0.25">
      <c r="A460" s="765"/>
      <c r="B460" s="624"/>
      <c r="C460" s="1061"/>
      <c r="D460" s="1061"/>
      <c r="E460" s="1061"/>
      <c r="F460" s="1061"/>
      <c r="G460" s="1061"/>
      <c r="H460" s="625"/>
      <c r="I460" s="1061"/>
      <c r="J460" s="1061"/>
      <c r="K460" s="1061"/>
      <c r="L460" s="1061"/>
      <c r="M460" s="1061"/>
      <c r="N460" s="1064"/>
      <c r="O460" s="626"/>
    </row>
    <row r="461" spans="1:15" x14ac:dyDescent="0.25">
      <c r="A461" s="765"/>
      <c r="B461" s="624"/>
      <c r="C461" s="1061"/>
      <c r="D461" s="1061"/>
      <c r="E461" s="1061"/>
      <c r="F461" s="1061"/>
      <c r="G461" s="1061"/>
      <c r="H461" s="625"/>
      <c r="I461" s="1061"/>
      <c r="J461" s="1061"/>
      <c r="K461" s="1061"/>
      <c r="L461" s="1061"/>
      <c r="M461" s="1061"/>
      <c r="N461" s="1064"/>
      <c r="O461" s="626"/>
    </row>
    <row r="462" spans="1:15" x14ac:dyDescent="0.25">
      <c r="A462" s="765"/>
      <c r="B462" s="624"/>
      <c r="C462" s="1061"/>
      <c r="D462" s="1061"/>
      <c r="E462" s="1061"/>
      <c r="F462" s="1061"/>
      <c r="G462" s="1061"/>
      <c r="H462" s="625"/>
      <c r="I462" s="1061"/>
      <c r="J462" s="1061"/>
      <c r="K462" s="1061"/>
      <c r="L462" s="1061"/>
      <c r="M462" s="1061"/>
      <c r="N462" s="1064"/>
      <c r="O462" s="626"/>
    </row>
    <row r="463" spans="1:15" x14ac:dyDescent="0.25">
      <c r="A463" s="765"/>
      <c r="B463" s="624"/>
      <c r="C463" s="1061"/>
      <c r="D463" s="1061"/>
      <c r="E463" s="1061"/>
      <c r="F463" s="1061"/>
      <c r="G463" s="1061"/>
      <c r="H463" s="625"/>
      <c r="I463" s="1061"/>
      <c r="J463" s="1061"/>
      <c r="K463" s="1061"/>
      <c r="L463" s="1061"/>
      <c r="M463" s="1061"/>
      <c r="N463" s="1064"/>
      <c r="O463" s="626"/>
    </row>
    <row r="464" spans="1:15" x14ac:dyDescent="0.25">
      <c r="A464" s="765"/>
      <c r="B464" s="624"/>
      <c r="C464" s="1061"/>
      <c r="D464" s="1061"/>
      <c r="E464" s="1061"/>
      <c r="F464" s="1061"/>
      <c r="G464" s="1061"/>
      <c r="H464" s="625"/>
      <c r="I464" s="1061"/>
      <c r="J464" s="1061"/>
      <c r="K464" s="1061"/>
      <c r="L464" s="1061"/>
      <c r="M464" s="1061"/>
      <c r="N464" s="1064"/>
      <c r="O464" s="626"/>
    </row>
    <row r="465" spans="1:15" x14ac:dyDescent="0.25">
      <c r="A465" s="765"/>
      <c r="B465" s="624"/>
      <c r="C465" s="1061"/>
      <c r="D465" s="1061"/>
      <c r="E465" s="1061"/>
      <c r="F465" s="1061"/>
      <c r="G465" s="1061"/>
      <c r="H465" s="625"/>
      <c r="I465" s="1061"/>
      <c r="J465" s="1061"/>
      <c r="K465" s="1061"/>
      <c r="L465" s="1061"/>
      <c r="M465" s="1061"/>
      <c r="N465" s="1064"/>
      <c r="O465" s="626"/>
    </row>
    <row r="466" spans="1:15" x14ac:dyDescent="0.25">
      <c r="A466" s="765"/>
      <c r="B466" s="624"/>
      <c r="C466" s="1061"/>
      <c r="D466" s="1061"/>
      <c r="E466" s="1061"/>
      <c r="F466" s="1061"/>
      <c r="G466" s="1061"/>
      <c r="H466" s="625"/>
      <c r="I466" s="1061"/>
      <c r="J466" s="1061"/>
      <c r="K466" s="1061"/>
      <c r="L466" s="1061"/>
      <c r="M466" s="1061"/>
      <c r="N466" s="1064"/>
      <c r="O466" s="626"/>
    </row>
    <row r="467" spans="1:15" x14ac:dyDescent="0.25">
      <c r="A467" s="765"/>
      <c r="B467" s="624"/>
      <c r="C467" s="1061"/>
      <c r="D467" s="1061"/>
      <c r="E467" s="1061"/>
      <c r="F467" s="1061"/>
      <c r="G467" s="1061"/>
      <c r="H467" s="625"/>
      <c r="I467" s="1061"/>
      <c r="J467" s="1061"/>
      <c r="K467" s="1061"/>
      <c r="L467" s="1061"/>
      <c r="M467" s="1061"/>
      <c r="N467" s="1064"/>
      <c r="O467" s="626"/>
    </row>
    <row r="468" spans="1:15" x14ac:dyDescent="0.25">
      <c r="A468" s="765"/>
      <c r="B468" s="624"/>
      <c r="C468" s="1061"/>
      <c r="D468" s="1061"/>
      <c r="E468" s="1061"/>
      <c r="F468" s="1061"/>
      <c r="G468" s="1061"/>
      <c r="H468" s="625"/>
      <c r="I468" s="1061"/>
      <c r="J468" s="1061"/>
      <c r="K468" s="1061"/>
      <c r="L468" s="1061"/>
      <c r="M468" s="1061"/>
      <c r="N468" s="1064"/>
      <c r="O468" s="626"/>
    </row>
    <row r="469" spans="1:15" x14ac:dyDescent="0.25">
      <c r="A469" s="765"/>
      <c r="B469" s="624"/>
      <c r="C469" s="1061"/>
      <c r="D469" s="1061"/>
      <c r="E469" s="1061"/>
      <c r="F469" s="1061"/>
      <c r="G469" s="1061"/>
      <c r="H469" s="625"/>
      <c r="I469" s="1061"/>
      <c r="J469" s="1061"/>
      <c r="K469" s="1061"/>
      <c r="L469" s="1061"/>
      <c r="M469" s="1061"/>
      <c r="N469" s="1064"/>
      <c r="O469" s="626"/>
    </row>
    <row r="470" spans="1:15" x14ac:dyDescent="0.25">
      <c r="A470" s="765"/>
      <c r="B470" s="624"/>
      <c r="C470" s="1061"/>
      <c r="D470" s="1061"/>
      <c r="E470" s="1061"/>
      <c r="F470" s="1061"/>
      <c r="G470" s="1061"/>
      <c r="H470" s="625"/>
      <c r="I470" s="1061"/>
      <c r="J470" s="1061"/>
      <c r="K470" s="1061"/>
      <c r="L470" s="1061"/>
      <c r="M470" s="1061"/>
      <c r="N470" s="1064"/>
      <c r="O470" s="626"/>
    </row>
    <row r="471" spans="1:15" x14ac:dyDescent="0.25">
      <c r="A471" s="765"/>
      <c r="B471" s="624"/>
      <c r="C471" s="1061"/>
      <c r="D471" s="1061"/>
      <c r="E471" s="1061"/>
      <c r="F471" s="1061"/>
      <c r="G471" s="1061"/>
      <c r="H471" s="625"/>
      <c r="I471" s="1061"/>
      <c r="J471" s="1061"/>
      <c r="K471" s="1061"/>
      <c r="L471" s="1061"/>
      <c r="M471" s="1061"/>
      <c r="N471" s="1064"/>
      <c r="O471" s="626"/>
    </row>
    <row r="472" spans="1:15" x14ac:dyDescent="0.25">
      <c r="A472" s="765"/>
      <c r="B472" s="624"/>
      <c r="C472" s="1061"/>
      <c r="D472" s="1061"/>
      <c r="E472" s="1061"/>
      <c r="F472" s="1061"/>
      <c r="G472" s="1061"/>
      <c r="H472" s="625"/>
      <c r="I472" s="1061"/>
      <c r="J472" s="1061"/>
      <c r="K472" s="1061"/>
      <c r="L472" s="1061"/>
      <c r="M472" s="1061"/>
      <c r="N472" s="1064"/>
      <c r="O472" s="626"/>
    </row>
    <row r="473" spans="1:15" x14ac:dyDescent="0.25">
      <c r="A473" s="765"/>
      <c r="B473" s="624"/>
      <c r="C473" s="1061"/>
      <c r="D473" s="1061"/>
      <c r="E473" s="1061"/>
      <c r="F473" s="1061"/>
      <c r="G473" s="1061"/>
      <c r="H473" s="625"/>
      <c r="I473" s="1061"/>
      <c r="J473" s="1061"/>
      <c r="K473" s="1061"/>
      <c r="L473" s="1061"/>
      <c r="M473" s="1061"/>
      <c r="N473" s="1064"/>
      <c r="O473" s="626"/>
    </row>
    <row r="474" spans="1:15" x14ac:dyDescent="0.25">
      <c r="A474" s="765"/>
      <c r="B474" s="624"/>
      <c r="C474" s="1061"/>
      <c r="D474" s="1061"/>
      <c r="E474" s="1061"/>
      <c r="F474" s="1061"/>
      <c r="G474" s="1061"/>
      <c r="H474" s="625"/>
      <c r="I474" s="1061"/>
      <c r="J474" s="1061"/>
      <c r="K474" s="1061"/>
      <c r="L474" s="1061"/>
      <c r="M474" s="1061"/>
      <c r="N474" s="1064"/>
      <c r="O474" s="626"/>
    </row>
    <row r="475" spans="1:15" x14ac:dyDescent="0.25">
      <c r="A475" s="765"/>
      <c r="B475" s="624"/>
      <c r="C475" s="1061"/>
      <c r="D475" s="1061"/>
      <c r="E475" s="1061"/>
      <c r="F475" s="1061"/>
      <c r="G475" s="1061"/>
      <c r="H475" s="625"/>
      <c r="I475" s="1061"/>
      <c r="J475" s="1061"/>
      <c r="K475" s="1061"/>
      <c r="L475" s="1061"/>
      <c r="M475" s="1061"/>
      <c r="N475" s="1064"/>
      <c r="O475" s="626"/>
    </row>
    <row r="476" spans="1:15" x14ac:dyDescent="0.25">
      <c r="A476" s="765"/>
      <c r="B476" s="624"/>
      <c r="C476" s="1061"/>
      <c r="D476" s="1061"/>
      <c r="E476" s="1061"/>
      <c r="F476" s="1061"/>
      <c r="G476" s="1061"/>
      <c r="H476" s="625"/>
      <c r="I476" s="1061"/>
      <c r="J476" s="1061"/>
      <c r="K476" s="1061"/>
      <c r="L476" s="1061"/>
      <c r="M476" s="1061"/>
      <c r="N476" s="1064"/>
      <c r="O476" s="626"/>
    </row>
    <row r="477" spans="1:15" x14ac:dyDescent="0.25">
      <c r="A477" s="765"/>
      <c r="B477" s="624"/>
      <c r="C477" s="1061"/>
      <c r="D477" s="1061"/>
      <c r="E477" s="1061"/>
      <c r="F477" s="1061"/>
      <c r="G477" s="1061"/>
      <c r="H477" s="625"/>
      <c r="I477" s="1061"/>
      <c r="J477" s="1061"/>
      <c r="K477" s="1061"/>
      <c r="L477" s="1061"/>
      <c r="M477" s="1061"/>
      <c r="N477" s="1064"/>
      <c r="O477" s="626"/>
    </row>
    <row r="478" spans="1:15" x14ac:dyDescent="0.25">
      <c r="A478" s="765"/>
      <c r="B478" s="624"/>
      <c r="C478" s="1061"/>
      <c r="D478" s="1061"/>
      <c r="E478" s="1061"/>
      <c r="F478" s="1061"/>
      <c r="G478" s="1061"/>
      <c r="H478" s="625"/>
      <c r="I478" s="1061"/>
      <c r="J478" s="1061"/>
      <c r="K478" s="1061"/>
      <c r="L478" s="1061"/>
      <c r="M478" s="1061"/>
      <c r="N478" s="1064"/>
      <c r="O478" s="626"/>
    </row>
    <row r="479" spans="1:15" x14ac:dyDescent="0.25">
      <c r="A479" s="765"/>
      <c r="B479" s="624"/>
      <c r="C479" s="1061"/>
      <c r="D479" s="1061"/>
      <c r="E479" s="1061"/>
      <c r="F479" s="1061"/>
      <c r="G479" s="1061"/>
      <c r="H479" s="625"/>
      <c r="I479" s="1061"/>
      <c r="J479" s="1061"/>
      <c r="K479" s="1061"/>
      <c r="L479" s="1061"/>
      <c r="M479" s="1061"/>
      <c r="N479" s="1064"/>
      <c r="O479" s="626"/>
    </row>
    <row r="480" spans="1:15" x14ac:dyDescent="0.25">
      <c r="A480" s="765"/>
      <c r="B480" s="624"/>
      <c r="C480" s="1061"/>
      <c r="D480" s="1061"/>
      <c r="E480" s="1061"/>
      <c r="F480" s="1061"/>
      <c r="G480" s="1061"/>
      <c r="H480" s="625"/>
      <c r="I480" s="1061"/>
      <c r="J480" s="1061"/>
      <c r="K480" s="1061"/>
      <c r="L480" s="1061"/>
      <c r="M480" s="1061"/>
      <c r="N480" s="1064"/>
      <c r="O480" s="626"/>
    </row>
    <row r="481" spans="1:15" x14ac:dyDescent="0.25">
      <c r="A481" s="765"/>
      <c r="B481" s="624"/>
      <c r="C481" s="1061"/>
      <c r="D481" s="1061"/>
      <c r="E481" s="1061"/>
      <c r="F481" s="1061"/>
      <c r="G481" s="1061"/>
      <c r="H481" s="625"/>
      <c r="I481" s="1061"/>
      <c r="J481" s="1061"/>
      <c r="K481" s="1061"/>
      <c r="L481" s="1061"/>
      <c r="M481" s="1061"/>
      <c r="N481" s="1064"/>
      <c r="O481" s="626"/>
    </row>
    <row r="482" spans="1:15" x14ac:dyDescent="0.25">
      <c r="A482" s="765"/>
      <c r="B482" s="624"/>
      <c r="C482" s="1061"/>
      <c r="D482" s="1061"/>
      <c r="E482" s="1061"/>
      <c r="F482" s="1061"/>
      <c r="G482" s="1061"/>
      <c r="H482" s="625"/>
      <c r="I482" s="1061"/>
      <c r="J482" s="1061"/>
      <c r="K482" s="1061"/>
      <c r="L482" s="1061"/>
      <c r="M482" s="1061"/>
      <c r="N482" s="1064"/>
      <c r="O482" s="626"/>
    </row>
    <row r="483" spans="1:15" x14ac:dyDescent="0.25">
      <c r="A483" s="765"/>
      <c r="B483" s="624"/>
      <c r="C483" s="1061"/>
      <c r="D483" s="1061"/>
      <c r="E483" s="1061"/>
      <c r="F483" s="1061"/>
      <c r="G483" s="1061"/>
      <c r="H483" s="625"/>
      <c r="I483" s="1061"/>
      <c r="J483" s="1061"/>
      <c r="K483" s="1061"/>
      <c r="L483" s="1061"/>
      <c r="M483" s="1061"/>
      <c r="N483" s="1064"/>
      <c r="O483" s="626"/>
    </row>
    <row r="484" spans="1:15" x14ac:dyDescent="0.25">
      <c r="A484" s="765"/>
      <c r="B484" s="624"/>
      <c r="C484" s="1061"/>
      <c r="D484" s="1061"/>
      <c r="E484" s="1061"/>
      <c r="F484" s="1061"/>
      <c r="G484" s="1061"/>
      <c r="H484" s="625"/>
      <c r="I484" s="1061"/>
      <c r="J484" s="1061"/>
      <c r="K484" s="1061"/>
      <c r="L484" s="1061"/>
      <c r="M484" s="1061"/>
      <c r="N484" s="1064"/>
      <c r="O484" s="626"/>
    </row>
    <row r="485" spans="1:15" x14ac:dyDescent="0.25">
      <c r="A485" s="765"/>
      <c r="B485" s="624"/>
      <c r="C485" s="1061"/>
      <c r="D485" s="1061"/>
      <c r="E485" s="1061"/>
      <c r="F485" s="1061"/>
      <c r="G485" s="1061"/>
      <c r="H485" s="625"/>
      <c r="I485" s="1061"/>
      <c r="J485" s="1061"/>
      <c r="K485" s="1061"/>
      <c r="L485" s="1061"/>
      <c r="M485" s="1061"/>
      <c r="N485" s="1064"/>
      <c r="O485" s="626"/>
    </row>
    <row r="486" spans="1:15" x14ac:dyDescent="0.25">
      <c r="A486" s="765"/>
      <c r="B486" s="624"/>
      <c r="C486" s="1061"/>
      <c r="D486" s="1061"/>
      <c r="E486" s="1061"/>
      <c r="F486" s="1061"/>
      <c r="G486" s="1061"/>
      <c r="H486" s="625"/>
      <c r="I486" s="1061"/>
      <c r="J486" s="1061"/>
      <c r="K486" s="1061"/>
      <c r="L486" s="1061"/>
      <c r="M486" s="1061"/>
      <c r="N486" s="1064"/>
      <c r="O486" s="626"/>
    </row>
    <row r="487" spans="1:15" x14ac:dyDescent="0.25">
      <c r="A487" s="765"/>
      <c r="B487" s="624"/>
      <c r="C487" s="1061"/>
      <c r="D487" s="1061"/>
      <c r="E487" s="1061"/>
      <c r="F487" s="1061"/>
      <c r="G487" s="1061"/>
      <c r="H487" s="625"/>
      <c r="I487" s="1061"/>
      <c r="J487" s="1061"/>
      <c r="K487" s="1061"/>
      <c r="L487" s="1061"/>
      <c r="M487" s="1061"/>
      <c r="N487" s="1064"/>
      <c r="O487" s="626"/>
    </row>
    <row r="488" spans="1:15" x14ac:dyDescent="0.25">
      <c r="A488" s="765"/>
      <c r="B488" s="624"/>
      <c r="C488" s="1061"/>
      <c r="D488" s="1061"/>
      <c r="E488" s="1061"/>
      <c r="F488" s="1061"/>
      <c r="G488" s="1061"/>
      <c r="H488" s="625"/>
      <c r="I488" s="1061"/>
      <c r="J488" s="1061"/>
      <c r="K488" s="1061"/>
      <c r="L488" s="1061"/>
      <c r="M488" s="1061"/>
      <c r="N488" s="1064"/>
      <c r="O488" s="626"/>
    </row>
    <row r="489" spans="1:15" x14ac:dyDescent="0.25">
      <c r="A489" s="765"/>
      <c r="B489" s="624"/>
      <c r="C489" s="1061"/>
      <c r="D489" s="1061"/>
      <c r="E489" s="1061"/>
      <c r="F489" s="1061"/>
      <c r="G489" s="1061"/>
      <c r="H489" s="625"/>
      <c r="I489" s="1061"/>
      <c r="J489" s="1061"/>
      <c r="K489" s="1061"/>
      <c r="L489" s="1061"/>
      <c r="M489" s="1061"/>
      <c r="N489" s="1064"/>
      <c r="O489" s="626"/>
    </row>
    <row r="490" spans="1:15" x14ac:dyDescent="0.25">
      <c r="A490" s="765"/>
      <c r="B490" s="624"/>
      <c r="C490" s="1061"/>
      <c r="D490" s="1061"/>
      <c r="E490" s="1061"/>
      <c r="F490" s="1061"/>
      <c r="G490" s="1061"/>
      <c r="H490" s="625"/>
      <c r="I490" s="1061"/>
      <c r="J490" s="1061"/>
      <c r="K490" s="1061"/>
      <c r="L490" s="1061"/>
      <c r="M490" s="1061"/>
      <c r="N490" s="1064"/>
      <c r="O490" s="626"/>
    </row>
    <row r="491" spans="1:15" x14ac:dyDescent="0.25">
      <c r="A491" s="765"/>
      <c r="B491" s="624"/>
      <c r="C491" s="1061"/>
      <c r="D491" s="1061"/>
      <c r="E491" s="1061"/>
      <c r="F491" s="1061"/>
      <c r="G491" s="1061"/>
      <c r="H491" s="625"/>
      <c r="I491" s="1061"/>
      <c r="J491" s="1061"/>
      <c r="K491" s="1061"/>
      <c r="L491" s="1061"/>
      <c r="M491" s="1061"/>
      <c r="N491" s="1064"/>
      <c r="O491" s="626"/>
    </row>
    <row r="492" spans="1:15" x14ac:dyDescent="0.25">
      <c r="A492" s="765"/>
      <c r="B492" s="624"/>
      <c r="C492" s="1061"/>
      <c r="D492" s="1061"/>
      <c r="E492" s="1061"/>
      <c r="F492" s="1061"/>
      <c r="G492" s="1061"/>
      <c r="H492" s="625"/>
      <c r="I492" s="1061"/>
      <c r="J492" s="1061"/>
      <c r="K492" s="1061"/>
      <c r="L492" s="1061"/>
      <c r="M492" s="1061"/>
      <c r="N492" s="1064"/>
      <c r="O492" s="626"/>
    </row>
    <row r="493" spans="1:15" x14ac:dyDescent="0.25">
      <c r="A493" s="765"/>
      <c r="B493" s="624"/>
      <c r="C493" s="1061"/>
      <c r="D493" s="1061"/>
      <c r="E493" s="1061"/>
      <c r="F493" s="1061"/>
      <c r="G493" s="1061"/>
      <c r="H493" s="625"/>
      <c r="I493" s="1061"/>
      <c r="J493" s="1061"/>
      <c r="K493" s="1061"/>
      <c r="L493" s="1061"/>
      <c r="M493" s="1061"/>
      <c r="N493" s="1064"/>
      <c r="O493" s="626"/>
    </row>
    <row r="494" spans="1:15" x14ac:dyDescent="0.25">
      <c r="A494" s="765"/>
      <c r="B494" s="624"/>
      <c r="C494" s="1061"/>
      <c r="D494" s="1061"/>
      <c r="E494" s="1061"/>
      <c r="F494" s="1061"/>
      <c r="G494" s="1061"/>
      <c r="H494" s="625"/>
      <c r="I494" s="1061"/>
      <c r="J494" s="1061"/>
      <c r="K494" s="1061"/>
      <c r="L494" s="1061"/>
      <c r="M494" s="1061"/>
      <c r="N494" s="1064"/>
      <c r="O494" s="626"/>
    </row>
    <row r="495" spans="1:15" x14ac:dyDescent="0.25">
      <c r="A495" s="765"/>
      <c r="B495" s="624"/>
      <c r="C495" s="1061"/>
      <c r="D495" s="1061"/>
      <c r="E495" s="1061"/>
      <c r="F495" s="1061"/>
      <c r="G495" s="1061"/>
      <c r="H495" s="625"/>
      <c r="I495" s="1061"/>
      <c r="J495" s="1061"/>
      <c r="K495" s="1061"/>
      <c r="L495" s="1061"/>
      <c r="M495" s="1061"/>
      <c r="N495" s="1064"/>
      <c r="O495" s="626"/>
    </row>
    <row r="496" spans="1:15" x14ac:dyDescent="0.25">
      <c r="A496" s="765"/>
      <c r="B496" s="624"/>
      <c r="C496" s="1061"/>
      <c r="D496" s="1061"/>
      <c r="E496" s="1061"/>
      <c r="F496" s="1061"/>
      <c r="G496" s="1061"/>
      <c r="H496" s="625"/>
      <c r="I496" s="1061"/>
      <c r="J496" s="1061"/>
      <c r="K496" s="1061"/>
      <c r="L496" s="1061"/>
      <c r="M496" s="1061"/>
      <c r="N496" s="1064"/>
      <c r="O496" s="626"/>
    </row>
    <row r="497" spans="1:15" x14ac:dyDescent="0.25">
      <c r="A497" s="765"/>
      <c r="B497" s="624"/>
      <c r="C497" s="1061"/>
      <c r="D497" s="1061"/>
      <c r="E497" s="1061"/>
      <c r="F497" s="1061"/>
      <c r="G497" s="1061"/>
      <c r="H497" s="625"/>
      <c r="I497" s="1061"/>
      <c r="J497" s="1061"/>
      <c r="K497" s="1061"/>
      <c r="L497" s="1061"/>
      <c r="M497" s="1061"/>
      <c r="N497" s="1064"/>
      <c r="O497" s="626"/>
    </row>
    <row r="498" spans="1:15" x14ac:dyDescent="0.25">
      <c r="A498" s="765"/>
      <c r="B498" s="624"/>
      <c r="C498" s="1061"/>
      <c r="D498" s="1061"/>
      <c r="E498" s="1061"/>
      <c r="F498" s="1061"/>
      <c r="G498" s="1061"/>
      <c r="H498" s="625"/>
      <c r="I498" s="1061"/>
      <c r="J498" s="1061"/>
      <c r="K498" s="1061"/>
      <c r="L498" s="1061"/>
      <c r="M498" s="1061"/>
      <c r="N498" s="1064"/>
      <c r="O498" s="626"/>
    </row>
    <row r="499" spans="1:15" x14ac:dyDescent="0.25">
      <c r="A499" s="765"/>
      <c r="B499" s="624"/>
      <c r="C499" s="1061"/>
      <c r="D499" s="1061"/>
      <c r="E499" s="1061"/>
      <c r="F499" s="1061"/>
      <c r="G499" s="1061"/>
      <c r="H499" s="625"/>
      <c r="I499" s="1061"/>
      <c r="J499" s="1061"/>
      <c r="K499" s="1061"/>
      <c r="L499" s="1061"/>
      <c r="M499" s="1061"/>
      <c r="N499" s="1064"/>
      <c r="O499" s="626"/>
    </row>
    <row r="500" spans="1:15" x14ac:dyDescent="0.25">
      <c r="A500" s="765"/>
      <c r="B500" s="624"/>
      <c r="C500" s="1061"/>
      <c r="D500" s="1061"/>
      <c r="E500" s="1061"/>
      <c r="F500" s="1061"/>
      <c r="G500" s="1061"/>
      <c r="H500" s="625"/>
      <c r="I500" s="1061"/>
      <c r="J500" s="1061"/>
      <c r="K500" s="1061"/>
      <c r="L500" s="1061"/>
      <c r="M500" s="1061"/>
      <c r="N500" s="1064"/>
      <c r="O500" s="626"/>
    </row>
    <row r="501" spans="1:15" x14ac:dyDescent="0.25">
      <c r="A501" s="765"/>
      <c r="B501" s="624"/>
      <c r="C501" s="1061"/>
      <c r="D501" s="1061"/>
      <c r="E501" s="1061"/>
      <c r="F501" s="1061"/>
      <c r="G501" s="1061"/>
      <c r="H501" s="625"/>
      <c r="I501" s="1061"/>
      <c r="J501" s="1061"/>
      <c r="K501" s="1061"/>
      <c r="L501" s="1061"/>
      <c r="M501" s="1061"/>
      <c r="N501" s="1064"/>
      <c r="O501" s="626"/>
    </row>
    <row r="502" spans="1:15" x14ac:dyDescent="0.25">
      <c r="A502" s="765"/>
      <c r="B502" s="624"/>
      <c r="C502" s="1061"/>
      <c r="D502" s="1061"/>
      <c r="E502" s="1061"/>
      <c r="F502" s="1061"/>
      <c r="G502" s="1061"/>
      <c r="H502" s="625"/>
      <c r="I502" s="1061"/>
      <c r="J502" s="1061"/>
      <c r="K502" s="1061"/>
      <c r="L502" s="1061"/>
      <c r="M502" s="1061"/>
      <c r="N502" s="1064"/>
      <c r="O502" s="626"/>
    </row>
    <row r="503" spans="1:15" x14ac:dyDescent="0.25">
      <c r="A503" s="765"/>
      <c r="B503" s="624"/>
      <c r="C503" s="1061"/>
      <c r="D503" s="1061"/>
      <c r="E503" s="1061"/>
      <c r="F503" s="1061"/>
      <c r="G503" s="1061"/>
      <c r="H503" s="625"/>
      <c r="I503" s="1061"/>
      <c r="J503" s="1061"/>
      <c r="K503" s="1061"/>
      <c r="L503" s="1061"/>
      <c r="M503" s="1061"/>
      <c r="N503" s="1064"/>
      <c r="O503" s="626"/>
    </row>
    <row r="504" spans="1:15" x14ac:dyDescent="0.25">
      <c r="A504" s="765"/>
      <c r="B504" s="624"/>
      <c r="C504" s="1061"/>
      <c r="D504" s="1061"/>
      <c r="E504" s="1061"/>
      <c r="F504" s="1061"/>
      <c r="G504" s="1061"/>
      <c r="H504" s="625"/>
      <c r="I504" s="1061"/>
      <c r="J504" s="1061"/>
      <c r="K504" s="1061"/>
      <c r="L504" s="1061"/>
      <c r="M504" s="1061"/>
      <c r="N504" s="1064"/>
      <c r="O504" s="626"/>
    </row>
    <row r="505" spans="1:15" x14ac:dyDescent="0.25">
      <c r="A505" s="765"/>
      <c r="B505" s="624"/>
      <c r="C505" s="1061"/>
      <c r="D505" s="1061"/>
      <c r="E505" s="1061"/>
      <c r="F505" s="1061"/>
      <c r="G505" s="1061"/>
      <c r="H505" s="625"/>
      <c r="I505" s="1061"/>
      <c r="J505" s="1061"/>
      <c r="K505" s="1061"/>
      <c r="L505" s="1061"/>
      <c r="M505" s="1061"/>
      <c r="N505" s="1064"/>
      <c r="O505" s="626"/>
    </row>
    <row r="506" spans="1:15" x14ac:dyDescent="0.25">
      <c r="A506" s="765"/>
      <c r="B506" s="624"/>
      <c r="C506" s="1061"/>
      <c r="D506" s="1061"/>
      <c r="E506" s="1061"/>
      <c r="F506" s="1061"/>
      <c r="G506" s="1061"/>
      <c r="H506" s="625"/>
      <c r="I506" s="1061"/>
      <c r="J506" s="1061"/>
      <c r="K506" s="1061"/>
      <c r="L506" s="1061"/>
      <c r="M506" s="1061"/>
      <c r="N506" s="1064"/>
      <c r="O506" s="626"/>
    </row>
    <row r="507" spans="1:15" x14ac:dyDescent="0.25">
      <c r="A507" s="765"/>
      <c r="B507" s="624"/>
      <c r="C507" s="1061"/>
      <c r="D507" s="1061"/>
      <c r="E507" s="1061"/>
      <c r="F507" s="1061"/>
      <c r="G507" s="1061"/>
      <c r="H507" s="625"/>
      <c r="I507" s="1061"/>
      <c r="J507" s="1061"/>
      <c r="K507" s="1061"/>
      <c r="L507" s="1061"/>
      <c r="M507" s="1061"/>
      <c r="N507" s="1064"/>
      <c r="O507" s="626"/>
    </row>
    <row r="508" spans="1:15" x14ac:dyDescent="0.25">
      <c r="A508" s="765"/>
      <c r="B508" s="624"/>
      <c r="C508" s="1061"/>
      <c r="D508" s="1061"/>
      <c r="E508" s="1061"/>
      <c r="F508" s="1061"/>
      <c r="G508" s="1061"/>
      <c r="H508" s="625"/>
      <c r="I508" s="1061"/>
      <c r="J508" s="1061"/>
      <c r="K508" s="1061"/>
      <c r="L508" s="1061"/>
      <c r="M508" s="1061"/>
      <c r="N508" s="1064"/>
      <c r="O508" s="626"/>
    </row>
    <row r="509" spans="1:15" x14ac:dyDescent="0.25">
      <c r="A509" s="765"/>
      <c r="B509" s="624"/>
      <c r="C509" s="1061"/>
      <c r="D509" s="1061"/>
      <c r="E509" s="1061"/>
      <c r="F509" s="1061"/>
      <c r="G509" s="1061"/>
      <c r="H509" s="625"/>
      <c r="I509" s="1061"/>
      <c r="J509" s="1061"/>
      <c r="K509" s="1061"/>
      <c r="L509" s="1061"/>
      <c r="M509" s="1061"/>
      <c r="N509" s="1064"/>
      <c r="O509" s="626"/>
    </row>
    <row r="510" spans="1:15" x14ac:dyDescent="0.25">
      <c r="A510" s="765"/>
      <c r="B510" s="624"/>
      <c r="C510" s="1061"/>
      <c r="D510" s="1061"/>
      <c r="E510" s="1061"/>
      <c r="F510" s="1061"/>
      <c r="G510" s="1061"/>
      <c r="H510" s="625"/>
      <c r="I510" s="1061"/>
      <c r="J510" s="1061"/>
      <c r="K510" s="1061"/>
      <c r="L510" s="1061"/>
      <c r="M510" s="1061"/>
      <c r="N510" s="1064"/>
      <c r="O510" s="626"/>
    </row>
    <row r="511" spans="1:15" x14ac:dyDescent="0.25">
      <c r="A511" s="765"/>
      <c r="B511" s="624"/>
      <c r="C511" s="1061"/>
      <c r="D511" s="1061"/>
      <c r="E511" s="1061"/>
      <c r="F511" s="1061"/>
      <c r="G511" s="1061"/>
      <c r="H511" s="625"/>
      <c r="I511" s="1061"/>
      <c r="J511" s="1061"/>
      <c r="K511" s="1061"/>
      <c r="L511" s="1061"/>
      <c r="M511" s="1061"/>
      <c r="N511" s="1064"/>
      <c r="O511" s="626"/>
    </row>
    <row r="512" spans="1:15" x14ac:dyDescent="0.25">
      <c r="A512" s="765"/>
      <c r="B512" s="624"/>
      <c r="C512" s="1061"/>
      <c r="D512" s="1061"/>
      <c r="E512" s="1061"/>
      <c r="F512" s="1061"/>
      <c r="G512" s="1061"/>
      <c r="H512" s="625"/>
      <c r="I512" s="1061"/>
      <c r="J512" s="1061"/>
      <c r="K512" s="1061"/>
      <c r="L512" s="1061"/>
      <c r="M512" s="1061"/>
      <c r="N512" s="1064"/>
      <c r="O512" s="626"/>
    </row>
    <row r="513" spans="1:15" x14ac:dyDescent="0.25">
      <c r="A513" s="765"/>
      <c r="B513" s="624"/>
      <c r="C513" s="1061"/>
      <c r="D513" s="1061"/>
      <c r="E513" s="1061"/>
      <c r="F513" s="1061"/>
      <c r="G513" s="1061"/>
      <c r="H513" s="625"/>
      <c r="I513" s="1061"/>
      <c r="J513" s="1061"/>
      <c r="K513" s="1061"/>
      <c r="L513" s="1061"/>
      <c r="M513" s="1061"/>
      <c r="N513" s="1064"/>
      <c r="O513" s="626"/>
    </row>
    <row r="514" spans="1:15" x14ac:dyDescent="0.25">
      <c r="A514" s="765"/>
      <c r="B514" s="624"/>
      <c r="C514" s="1061"/>
      <c r="D514" s="1061"/>
      <c r="E514" s="1061"/>
      <c r="F514" s="1061"/>
      <c r="G514" s="1061"/>
      <c r="H514" s="625"/>
      <c r="I514" s="1061"/>
      <c r="J514" s="1061"/>
      <c r="K514" s="1061"/>
      <c r="L514" s="1061"/>
      <c r="M514" s="1061"/>
      <c r="N514" s="1064"/>
      <c r="O514" s="626"/>
    </row>
    <row r="515" spans="1:15" x14ac:dyDescent="0.25">
      <c r="A515" s="765"/>
      <c r="B515" s="624"/>
      <c r="C515" s="1061"/>
      <c r="D515" s="1061"/>
      <c r="E515" s="1061"/>
      <c r="F515" s="1061"/>
      <c r="G515" s="1061"/>
      <c r="H515" s="625"/>
      <c r="I515" s="1061"/>
      <c r="J515" s="1061"/>
      <c r="K515" s="1061"/>
      <c r="L515" s="1061"/>
      <c r="M515" s="1061"/>
      <c r="N515" s="1064"/>
      <c r="O515" s="626"/>
    </row>
    <row r="516" spans="1:15" x14ac:dyDescent="0.25">
      <c r="A516" s="765"/>
      <c r="B516" s="624"/>
      <c r="C516" s="1061"/>
      <c r="D516" s="1061"/>
      <c r="E516" s="1061"/>
      <c r="F516" s="1061"/>
      <c r="G516" s="1061"/>
      <c r="H516" s="625"/>
      <c r="I516" s="1061"/>
      <c r="J516" s="1061"/>
      <c r="K516" s="1061"/>
      <c r="L516" s="1061"/>
      <c r="M516" s="1061"/>
      <c r="N516" s="1064"/>
      <c r="O516" s="626"/>
    </row>
    <row r="517" spans="1:15" x14ac:dyDescent="0.25">
      <c r="A517" s="765"/>
      <c r="B517" s="624"/>
      <c r="C517" s="1061"/>
      <c r="D517" s="1061"/>
      <c r="E517" s="1061"/>
      <c r="F517" s="1061"/>
      <c r="G517" s="1061"/>
      <c r="H517" s="625"/>
      <c r="I517" s="1061"/>
      <c r="J517" s="1061"/>
      <c r="K517" s="1061"/>
      <c r="L517" s="1061"/>
      <c r="M517" s="1061"/>
      <c r="N517" s="1064"/>
      <c r="O517" s="626"/>
    </row>
    <row r="518" spans="1:15" x14ac:dyDescent="0.25">
      <c r="A518" s="765"/>
      <c r="B518" s="624"/>
      <c r="C518" s="1061"/>
      <c r="D518" s="1061"/>
      <c r="E518" s="1061"/>
      <c r="F518" s="1061"/>
      <c r="G518" s="1061"/>
      <c r="H518" s="625"/>
      <c r="I518" s="1061"/>
      <c r="J518" s="1061"/>
      <c r="K518" s="1061"/>
      <c r="L518" s="1061"/>
      <c r="M518" s="1061"/>
      <c r="N518" s="1064"/>
      <c r="O518" s="626"/>
    </row>
    <row r="519" spans="1:15" x14ac:dyDescent="0.25">
      <c r="A519" s="765"/>
      <c r="B519" s="624"/>
      <c r="C519" s="1061"/>
      <c r="D519" s="1061"/>
      <c r="E519" s="1061"/>
      <c r="F519" s="1061"/>
      <c r="G519" s="1061"/>
      <c r="H519" s="625"/>
      <c r="I519" s="1061"/>
      <c r="J519" s="1061"/>
      <c r="K519" s="1061"/>
      <c r="L519" s="1061"/>
      <c r="M519" s="1061"/>
      <c r="N519" s="1064"/>
      <c r="O519" s="626"/>
    </row>
    <row r="520" spans="1:15" x14ac:dyDescent="0.25">
      <c r="A520" s="765"/>
      <c r="B520" s="624"/>
      <c r="C520" s="1061"/>
      <c r="D520" s="1061"/>
      <c r="E520" s="1061"/>
      <c r="F520" s="1061"/>
      <c r="G520" s="1061"/>
      <c r="H520" s="625"/>
      <c r="I520" s="1061"/>
      <c r="J520" s="1061"/>
      <c r="K520" s="1061"/>
      <c r="L520" s="1061"/>
      <c r="M520" s="1061"/>
      <c r="N520" s="1064"/>
      <c r="O520" s="626"/>
    </row>
    <row r="521" spans="1:15" x14ac:dyDescent="0.25">
      <c r="A521" s="765"/>
      <c r="B521" s="624"/>
      <c r="C521" s="1061"/>
      <c r="D521" s="1061"/>
      <c r="E521" s="1061"/>
      <c r="F521" s="1061"/>
      <c r="G521" s="1061"/>
      <c r="H521" s="625"/>
      <c r="I521" s="1061"/>
      <c r="J521" s="1061"/>
      <c r="K521" s="1061"/>
      <c r="L521" s="1061"/>
      <c r="M521" s="1061"/>
      <c r="N521" s="1064"/>
      <c r="O521" s="626"/>
    </row>
    <row r="522" spans="1:15" x14ac:dyDescent="0.25">
      <c r="A522" s="765"/>
      <c r="B522" s="624"/>
      <c r="C522" s="1061"/>
      <c r="D522" s="1061"/>
      <c r="E522" s="1061"/>
      <c r="F522" s="1061"/>
      <c r="G522" s="1061"/>
      <c r="H522" s="625"/>
      <c r="I522" s="1061"/>
      <c r="J522" s="1061"/>
      <c r="K522" s="1061"/>
      <c r="L522" s="1061"/>
      <c r="M522" s="1061"/>
      <c r="N522" s="1064"/>
      <c r="O522" s="626"/>
    </row>
    <row r="523" spans="1:15" x14ac:dyDescent="0.25">
      <c r="A523" s="765"/>
      <c r="B523" s="624"/>
      <c r="C523" s="1061"/>
      <c r="D523" s="1061"/>
      <c r="E523" s="1061"/>
      <c r="F523" s="1061"/>
      <c r="G523" s="1061"/>
      <c r="H523" s="625"/>
      <c r="I523" s="1061"/>
      <c r="J523" s="1061"/>
      <c r="K523" s="1061"/>
      <c r="L523" s="1061"/>
      <c r="M523" s="1061"/>
      <c r="N523" s="1064"/>
      <c r="O523" s="626"/>
    </row>
    <row r="524" spans="1:15" x14ac:dyDescent="0.25">
      <c r="A524" s="765"/>
      <c r="B524" s="624"/>
      <c r="C524" s="1061"/>
      <c r="D524" s="1061"/>
      <c r="E524" s="1061"/>
      <c r="F524" s="1061"/>
      <c r="G524" s="1061"/>
      <c r="H524" s="625"/>
      <c r="I524" s="1061"/>
      <c r="J524" s="1061"/>
      <c r="K524" s="1061"/>
      <c r="L524" s="1061"/>
      <c r="M524" s="1061"/>
      <c r="N524" s="1064"/>
      <c r="O524" s="626"/>
    </row>
    <row r="525" spans="1:15" x14ac:dyDescent="0.25">
      <c r="A525" s="765"/>
      <c r="B525" s="624"/>
      <c r="C525" s="1061"/>
      <c r="D525" s="1061"/>
      <c r="E525" s="1061"/>
      <c r="F525" s="1061"/>
      <c r="G525" s="1061"/>
      <c r="H525" s="625"/>
      <c r="I525" s="1061"/>
      <c r="J525" s="1061"/>
      <c r="K525" s="1061"/>
      <c r="L525" s="1061"/>
      <c r="M525" s="1061"/>
      <c r="N525" s="1064"/>
      <c r="O525" s="626"/>
    </row>
    <row r="526" spans="1:15" x14ac:dyDescent="0.25">
      <c r="A526" s="765"/>
      <c r="B526" s="624"/>
      <c r="C526" s="1061"/>
      <c r="D526" s="1061"/>
      <c r="E526" s="1061"/>
      <c r="F526" s="1061"/>
      <c r="G526" s="1061"/>
      <c r="H526" s="625"/>
      <c r="I526" s="1061"/>
      <c r="J526" s="1061"/>
      <c r="K526" s="1061"/>
      <c r="L526" s="1061"/>
      <c r="M526" s="1061"/>
      <c r="N526" s="1064"/>
      <c r="O526" s="626"/>
    </row>
    <row r="527" spans="1:15" x14ac:dyDescent="0.25">
      <c r="A527" s="765"/>
      <c r="B527" s="624"/>
      <c r="C527" s="1061"/>
      <c r="D527" s="1061"/>
      <c r="E527" s="1061"/>
      <c r="F527" s="1061"/>
      <c r="G527" s="1061"/>
      <c r="H527" s="625"/>
      <c r="I527" s="1061"/>
      <c r="J527" s="1061"/>
      <c r="K527" s="1061"/>
      <c r="L527" s="1061"/>
      <c r="M527" s="1061"/>
      <c r="N527" s="1064"/>
      <c r="O527" s="626"/>
    </row>
    <row r="528" spans="1:15" x14ac:dyDescent="0.25">
      <c r="A528" s="765"/>
      <c r="B528" s="624"/>
      <c r="C528" s="1061"/>
      <c r="D528" s="1061"/>
      <c r="E528" s="1061"/>
      <c r="F528" s="1061"/>
      <c r="G528" s="1061"/>
      <c r="H528" s="625"/>
      <c r="I528" s="1061"/>
      <c r="J528" s="1061"/>
      <c r="K528" s="1061"/>
      <c r="L528" s="1061"/>
      <c r="M528" s="1061"/>
      <c r="N528" s="1064"/>
      <c r="O528" s="626"/>
    </row>
    <row r="529" spans="1:15" x14ac:dyDescent="0.25">
      <c r="A529" s="765"/>
      <c r="B529" s="624"/>
      <c r="C529" s="1061"/>
      <c r="D529" s="1061"/>
      <c r="E529" s="1061"/>
      <c r="F529" s="1061"/>
      <c r="G529" s="1061"/>
      <c r="H529" s="625"/>
      <c r="I529" s="1061"/>
      <c r="J529" s="1061"/>
      <c r="K529" s="1061"/>
      <c r="L529" s="1061"/>
      <c r="M529" s="1061"/>
      <c r="N529" s="1064"/>
      <c r="O529" s="626"/>
    </row>
    <row r="530" spans="1:15" x14ac:dyDescent="0.25">
      <c r="A530" s="765"/>
      <c r="B530" s="624"/>
      <c r="C530" s="1061"/>
      <c r="D530" s="1061"/>
      <c r="E530" s="1061"/>
      <c r="F530" s="1061"/>
      <c r="G530" s="1061"/>
      <c r="H530" s="625"/>
      <c r="I530" s="1061"/>
      <c r="J530" s="1061"/>
      <c r="K530" s="1061"/>
      <c r="L530" s="1061"/>
      <c r="M530" s="1061"/>
      <c r="N530" s="1064"/>
      <c r="O530" s="626"/>
    </row>
    <row r="531" spans="1:15" x14ac:dyDescent="0.25">
      <c r="A531" s="765"/>
      <c r="B531" s="624"/>
      <c r="C531" s="1061"/>
      <c r="D531" s="1061"/>
      <c r="E531" s="1061"/>
      <c r="F531" s="1061"/>
      <c r="G531" s="1061"/>
      <c r="H531" s="625"/>
      <c r="I531" s="1061"/>
      <c r="J531" s="1061"/>
      <c r="K531" s="1061"/>
      <c r="L531" s="1061"/>
      <c r="M531" s="1061"/>
      <c r="N531" s="1064"/>
      <c r="O531" s="626"/>
    </row>
    <row r="532" spans="1:15" x14ac:dyDescent="0.25">
      <c r="A532" s="765"/>
      <c r="B532" s="624"/>
      <c r="C532" s="1061"/>
      <c r="D532" s="1061"/>
      <c r="E532" s="1061"/>
      <c r="F532" s="1061"/>
      <c r="G532" s="1061"/>
      <c r="H532" s="625"/>
      <c r="I532" s="1061"/>
      <c r="J532" s="1061"/>
      <c r="K532" s="1061"/>
      <c r="L532" s="1061"/>
      <c r="M532" s="1061"/>
      <c r="N532" s="1064"/>
      <c r="O532" s="626"/>
    </row>
    <row r="533" spans="1:15" x14ac:dyDescent="0.25">
      <c r="A533" s="765"/>
      <c r="B533" s="624"/>
      <c r="C533" s="1061"/>
      <c r="D533" s="1061"/>
      <c r="E533" s="1061"/>
      <c r="F533" s="1061"/>
      <c r="G533" s="1061"/>
      <c r="H533" s="625"/>
      <c r="I533" s="1061"/>
      <c r="J533" s="1061"/>
      <c r="K533" s="1061"/>
      <c r="L533" s="1061"/>
      <c r="M533" s="1061"/>
      <c r="N533" s="1064"/>
      <c r="O533" s="626"/>
    </row>
    <row r="534" spans="1:15" x14ac:dyDescent="0.25">
      <c r="A534" s="765"/>
      <c r="B534" s="624"/>
      <c r="C534" s="1061"/>
      <c r="D534" s="1061"/>
      <c r="E534" s="1061"/>
      <c r="F534" s="1061"/>
      <c r="G534" s="1061"/>
      <c r="H534" s="625"/>
      <c r="I534" s="1061"/>
      <c r="J534" s="1061"/>
      <c r="K534" s="1061"/>
      <c r="L534" s="1061"/>
      <c r="M534" s="1061"/>
      <c r="N534" s="1064"/>
      <c r="O534" s="626"/>
    </row>
    <row r="535" spans="1:15" x14ac:dyDescent="0.25">
      <c r="A535" s="765"/>
      <c r="B535" s="624"/>
      <c r="C535" s="1061"/>
      <c r="D535" s="1061"/>
      <c r="E535" s="1061"/>
      <c r="F535" s="1061"/>
      <c r="G535" s="1061"/>
      <c r="H535" s="625"/>
      <c r="I535" s="1061"/>
      <c r="J535" s="1061"/>
      <c r="K535" s="1061"/>
      <c r="L535" s="1061"/>
      <c r="M535" s="1061"/>
      <c r="N535" s="1064"/>
      <c r="O535" s="626"/>
    </row>
    <row r="536" spans="1:15" x14ac:dyDescent="0.25">
      <c r="A536" s="765"/>
      <c r="B536" s="624"/>
      <c r="C536" s="1061"/>
      <c r="D536" s="1061"/>
      <c r="E536" s="1061"/>
      <c r="F536" s="1061"/>
      <c r="G536" s="1061"/>
      <c r="H536" s="625"/>
      <c r="I536" s="1061"/>
      <c r="J536" s="1061"/>
      <c r="K536" s="1061"/>
      <c r="L536" s="1061"/>
      <c r="M536" s="1061"/>
      <c r="N536" s="1064"/>
      <c r="O536" s="626"/>
    </row>
    <row r="537" spans="1:15" x14ac:dyDescent="0.25">
      <c r="A537" s="765"/>
      <c r="B537" s="624"/>
      <c r="C537" s="1061"/>
      <c r="D537" s="1061"/>
      <c r="E537" s="1061"/>
      <c r="F537" s="1061"/>
      <c r="G537" s="1061"/>
      <c r="H537" s="625"/>
      <c r="I537" s="1061"/>
      <c r="J537" s="1061"/>
      <c r="K537" s="1061"/>
      <c r="L537" s="1061"/>
      <c r="M537" s="1061"/>
      <c r="N537" s="1064"/>
      <c r="O537" s="626"/>
    </row>
    <row r="538" spans="1:15" x14ac:dyDescent="0.25">
      <c r="A538" s="765"/>
      <c r="B538" s="624"/>
      <c r="C538" s="1061"/>
      <c r="D538" s="1061"/>
      <c r="E538" s="1061"/>
      <c r="F538" s="1061"/>
      <c r="G538" s="1061"/>
      <c r="H538" s="625"/>
      <c r="I538" s="1061"/>
      <c r="J538" s="1061"/>
      <c r="K538" s="1061"/>
      <c r="L538" s="1061"/>
      <c r="M538" s="1061"/>
      <c r="N538" s="1064"/>
      <c r="O538" s="626"/>
    </row>
    <row r="539" spans="1:15" x14ac:dyDescent="0.25">
      <c r="A539" s="765"/>
      <c r="B539" s="624"/>
      <c r="C539" s="1061"/>
      <c r="D539" s="1061"/>
      <c r="E539" s="1061"/>
      <c r="F539" s="1061"/>
      <c r="G539" s="1061"/>
      <c r="H539" s="625"/>
      <c r="I539" s="1061"/>
      <c r="J539" s="1061"/>
      <c r="K539" s="1061"/>
      <c r="L539" s="1061"/>
      <c r="M539" s="1061"/>
      <c r="N539" s="1064"/>
      <c r="O539" s="626"/>
    </row>
    <row r="540" spans="1:15" x14ac:dyDescent="0.25">
      <c r="A540" s="765"/>
      <c r="B540" s="624"/>
      <c r="C540" s="1061"/>
      <c r="D540" s="1061"/>
      <c r="E540" s="1061"/>
      <c r="F540" s="1061"/>
      <c r="G540" s="1061"/>
      <c r="H540" s="625"/>
      <c r="I540" s="1061"/>
      <c r="J540" s="1061"/>
      <c r="K540" s="1061"/>
      <c r="L540" s="1061"/>
      <c r="M540" s="1061"/>
      <c r="N540" s="1064"/>
      <c r="O540" s="626"/>
    </row>
    <row r="541" spans="1:15" x14ac:dyDescent="0.25">
      <c r="A541" s="765"/>
      <c r="B541" s="624"/>
      <c r="C541" s="1061"/>
      <c r="D541" s="1061"/>
      <c r="E541" s="1061"/>
      <c r="F541" s="1061"/>
      <c r="G541" s="1061"/>
      <c r="H541" s="625"/>
      <c r="I541" s="1061"/>
      <c r="J541" s="1061"/>
      <c r="K541" s="1061"/>
      <c r="L541" s="1061"/>
      <c r="M541" s="1061"/>
      <c r="N541" s="1064"/>
      <c r="O541" s="626"/>
    </row>
    <row r="542" spans="1:15" x14ac:dyDescent="0.25">
      <c r="A542" s="765"/>
      <c r="B542" s="624"/>
      <c r="C542" s="1061"/>
      <c r="D542" s="1061"/>
      <c r="E542" s="1061"/>
      <c r="F542" s="1061"/>
      <c r="G542" s="1061"/>
      <c r="H542" s="625"/>
      <c r="I542" s="1061"/>
      <c r="J542" s="1061"/>
      <c r="K542" s="1061"/>
      <c r="L542" s="1061"/>
      <c r="M542" s="1061"/>
      <c r="N542" s="1064"/>
      <c r="O542" s="626"/>
    </row>
    <row r="543" spans="1:15" x14ac:dyDescent="0.25">
      <c r="A543" s="765"/>
      <c r="B543" s="624"/>
      <c r="C543" s="1061"/>
      <c r="D543" s="1061"/>
      <c r="E543" s="1061"/>
      <c r="F543" s="1061"/>
      <c r="G543" s="1061"/>
      <c r="H543" s="625"/>
      <c r="I543" s="1061"/>
      <c r="J543" s="1061"/>
      <c r="K543" s="1061"/>
      <c r="L543" s="1061"/>
      <c r="M543" s="1061"/>
      <c r="N543" s="1064"/>
      <c r="O543" s="626"/>
    </row>
    <row r="544" spans="1:15" x14ac:dyDescent="0.25">
      <c r="A544" s="765"/>
      <c r="B544" s="624"/>
      <c r="C544" s="1061"/>
      <c r="D544" s="1061"/>
      <c r="E544" s="1061"/>
      <c r="F544" s="1061"/>
      <c r="G544" s="1061"/>
      <c r="H544" s="625"/>
      <c r="I544" s="1061"/>
      <c r="J544" s="1061"/>
      <c r="K544" s="1061"/>
      <c r="L544" s="1061"/>
      <c r="M544" s="1061"/>
      <c r="N544" s="1064"/>
      <c r="O544" s="626"/>
    </row>
    <row r="545" spans="1:15" x14ac:dyDescent="0.25">
      <c r="A545" s="765"/>
      <c r="B545" s="624"/>
      <c r="C545" s="1061"/>
      <c r="D545" s="1061"/>
      <c r="E545" s="1061"/>
      <c r="F545" s="1061"/>
      <c r="G545" s="1061"/>
      <c r="H545" s="625"/>
      <c r="I545" s="1061"/>
      <c r="J545" s="1061"/>
      <c r="K545" s="1061"/>
      <c r="L545" s="1061"/>
      <c r="M545" s="1061"/>
      <c r="N545" s="1064"/>
      <c r="O545" s="626"/>
    </row>
    <row r="546" spans="1:15" x14ac:dyDescent="0.25">
      <c r="A546" s="765"/>
      <c r="B546" s="624"/>
      <c r="C546" s="1061"/>
      <c r="D546" s="1061"/>
      <c r="E546" s="1061"/>
      <c r="F546" s="1061"/>
      <c r="G546" s="1061"/>
      <c r="H546" s="625"/>
      <c r="I546" s="1061"/>
      <c r="J546" s="1061"/>
      <c r="K546" s="1061"/>
      <c r="L546" s="1061"/>
      <c r="M546" s="1061"/>
      <c r="N546" s="1064"/>
      <c r="O546" s="626"/>
    </row>
    <row r="547" spans="1:15" x14ac:dyDescent="0.25">
      <c r="A547" s="765"/>
      <c r="B547" s="624"/>
      <c r="C547" s="1061"/>
      <c r="D547" s="1061"/>
      <c r="E547" s="1061"/>
      <c r="F547" s="1061"/>
      <c r="G547" s="1061"/>
      <c r="H547" s="625"/>
      <c r="I547" s="1061"/>
      <c r="J547" s="1061"/>
      <c r="K547" s="1061"/>
      <c r="L547" s="1061"/>
      <c r="M547" s="1061"/>
      <c r="N547" s="1064"/>
      <c r="O547" s="626"/>
    </row>
    <row r="548" spans="1:15" x14ac:dyDescent="0.25">
      <c r="A548" s="765"/>
      <c r="B548" s="624"/>
      <c r="C548" s="1061"/>
      <c r="D548" s="1061"/>
      <c r="E548" s="1061"/>
      <c r="F548" s="1061"/>
      <c r="G548" s="1061"/>
      <c r="H548" s="625"/>
      <c r="I548" s="1061"/>
      <c r="J548" s="1061"/>
      <c r="K548" s="1061"/>
      <c r="L548" s="1061"/>
      <c r="M548" s="1061"/>
      <c r="N548" s="1064"/>
      <c r="O548" s="626"/>
    </row>
    <row r="549" spans="1:15" x14ac:dyDescent="0.25">
      <c r="A549" s="765"/>
      <c r="B549" s="624"/>
      <c r="C549" s="1061"/>
      <c r="D549" s="1061"/>
      <c r="E549" s="1061"/>
      <c r="F549" s="1061"/>
      <c r="G549" s="1061"/>
      <c r="H549" s="625"/>
      <c r="I549" s="1061"/>
      <c r="J549" s="1061"/>
      <c r="K549" s="1061"/>
      <c r="L549" s="1061"/>
      <c r="M549" s="1061"/>
      <c r="N549" s="1064"/>
      <c r="O549" s="626"/>
    </row>
    <row r="550" spans="1:15" x14ac:dyDescent="0.25">
      <c r="A550" s="765"/>
      <c r="B550" s="624"/>
      <c r="C550" s="1061"/>
      <c r="D550" s="1061"/>
      <c r="E550" s="1061"/>
      <c r="F550" s="1061"/>
      <c r="G550" s="1061"/>
      <c r="H550" s="625"/>
      <c r="I550" s="1061"/>
      <c r="J550" s="1061"/>
      <c r="K550" s="1061"/>
      <c r="L550" s="1061"/>
      <c r="M550" s="1061"/>
      <c r="N550" s="1064"/>
      <c r="O550" s="626"/>
    </row>
    <row r="551" spans="1:15" x14ac:dyDescent="0.25">
      <c r="A551" s="765"/>
      <c r="B551" s="624"/>
      <c r="C551" s="1061"/>
      <c r="D551" s="1061"/>
      <c r="E551" s="1061"/>
      <c r="F551" s="1061"/>
      <c r="G551" s="1061"/>
      <c r="H551" s="625"/>
      <c r="I551" s="1061"/>
      <c r="J551" s="1061"/>
      <c r="K551" s="1061"/>
      <c r="L551" s="1061"/>
      <c r="M551" s="1061"/>
      <c r="N551" s="1064"/>
      <c r="O551" s="626"/>
    </row>
    <row r="552" spans="1:15" x14ac:dyDescent="0.25">
      <c r="A552" s="765"/>
      <c r="B552" s="624"/>
      <c r="C552" s="1061"/>
      <c r="D552" s="1061"/>
      <c r="E552" s="1061"/>
      <c r="F552" s="1061"/>
      <c r="G552" s="1061"/>
      <c r="H552" s="625"/>
      <c r="I552" s="1061"/>
      <c r="J552" s="1061"/>
      <c r="K552" s="1061"/>
      <c r="L552" s="1061"/>
      <c r="M552" s="1061"/>
      <c r="N552" s="1064"/>
      <c r="O552" s="626"/>
    </row>
    <row r="553" spans="1:15" x14ac:dyDescent="0.25">
      <c r="A553" s="765"/>
      <c r="B553" s="624"/>
      <c r="C553" s="1061"/>
      <c r="D553" s="1061"/>
      <c r="E553" s="1061"/>
      <c r="F553" s="1061"/>
      <c r="G553" s="1061"/>
      <c r="H553" s="625"/>
      <c r="I553" s="1061"/>
      <c r="J553" s="1061"/>
      <c r="K553" s="1061"/>
      <c r="L553" s="1061"/>
      <c r="M553" s="1061"/>
      <c r="N553" s="1064"/>
      <c r="O553" s="626"/>
    </row>
    <row r="554" spans="1:15" x14ac:dyDescent="0.25">
      <c r="A554" s="765"/>
      <c r="B554" s="624"/>
      <c r="C554" s="1061"/>
      <c r="D554" s="1061"/>
      <c r="E554" s="1061"/>
      <c r="F554" s="1061"/>
      <c r="G554" s="1061"/>
      <c r="H554" s="625"/>
      <c r="I554" s="1061"/>
      <c r="J554" s="1061"/>
      <c r="K554" s="1061"/>
      <c r="L554" s="1061"/>
      <c r="M554" s="1061"/>
      <c r="N554" s="1064"/>
      <c r="O554" s="626"/>
    </row>
    <row r="555" spans="1:15" x14ac:dyDescent="0.25">
      <c r="A555" s="765"/>
      <c r="B555" s="624"/>
      <c r="C555" s="1061"/>
      <c r="D555" s="1061"/>
      <c r="E555" s="1061"/>
      <c r="F555" s="1061"/>
      <c r="G555" s="1061"/>
      <c r="H555" s="625"/>
      <c r="I555" s="1061"/>
      <c r="J555" s="1061"/>
      <c r="K555" s="1061"/>
      <c r="L555" s="1061"/>
      <c r="M555" s="1061"/>
      <c r="N555" s="1064"/>
      <c r="O555" s="626"/>
    </row>
    <row r="556" spans="1:15" x14ac:dyDescent="0.25">
      <c r="A556" s="765"/>
      <c r="B556" s="624"/>
      <c r="C556" s="1061"/>
      <c r="D556" s="1061"/>
      <c r="E556" s="1061"/>
      <c r="F556" s="1061"/>
      <c r="G556" s="1061"/>
      <c r="H556" s="625"/>
      <c r="I556" s="1061"/>
      <c r="J556" s="1061"/>
      <c r="K556" s="1061"/>
      <c r="L556" s="1061"/>
      <c r="M556" s="1061"/>
      <c r="N556" s="1064"/>
      <c r="O556" s="626"/>
    </row>
    <row r="557" spans="1:15" x14ac:dyDescent="0.25">
      <c r="A557" s="765"/>
      <c r="B557" s="624"/>
      <c r="C557" s="1061"/>
      <c r="D557" s="1061"/>
      <c r="E557" s="1061"/>
      <c r="F557" s="1061"/>
      <c r="G557" s="1061"/>
      <c r="H557" s="625"/>
      <c r="I557" s="1061"/>
      <c r="J557" s="1061"/>
      <c r="K557" s="1061"/>
      <c r="L557" s="1061"/>
      <c r="M557" s="1061"/>
      <c r="N557" s="1064"/>
      <c r="O557" s="626"/>
    </row>
    <row r="558" spans="1:15" x14ac:dyDescent="0.25">
      <c r="A558" s="765"/>
      <c r="B558" s="624"/>
      <c r="C558" s="1061"/>
      <c r="D558" s="1061"/>
      <c r="E558" s="1061"/>
      <c r="F558" s="1061"/>
      <c r="G558" s="1061"/>
      <c r="H558" s="625"/>
      <c r="I558" s="1061"/>
      <c r="J558" s="1061"/>
      <c r="K558" s="1061"/>
      <c r="L558" s="1061"/>
      <c r="M558" s="1061"/>
      <c r="N558" s="1064"/>
      <c r="O558" s="626"/>
    </row>
    <row r="559" spans="1:15" x14ac:dyDescent="0.25">
      <c r="A559" s="765"/>
      <c r="B559" s="624"/>
      <c r="C559" s="1061"/>
      <c r="D559" s="1061"/>
      <c r="E559" s="1061"/>
      <c r="F559" s="1061"/>
      <c r="G559" s="1061"/>
      <c r="H559" s="625"/>
      <c r="I559" s="1061"/>
      <c r="J559" s="1061"/>
      <c r="K559" s="1061"/>
      <c r="L559" s="1061"/>
      <c r="M559" s="1061"/>
      <c r="N559" s="1064"/>
      <c r="O559" s="626"/>
    </row>
    <row r="560" spans="1:15" x14ac:dyDescent="0.25">
      <c r="A560" s="765"/>
      <c r="B560" s="624"/>
      <c r="C560" s="1061"/>
      <c r="D560" s="1061"/>
      <c r="E560" s="1061"/>
      <c r="F560" s="1061"/>
      <c r="G560" s="1061"/>
      <c r="H560" s="625"/>
      <c r="I560" s="1061"/>
      <c r="J560" s="1061"/>
      <c r="K560" s="1061"/>
      <c r="L560" s="1061"/>
      <c r="M560" s="1061"/>
      <c r="N560" s="1064"/>
      <c r="O560" s="626"/>
    </row>
    <row r="561" spans="1:15" x14ac:dyDescent="0.25">
      <c r="A561" s="765"/>
      <c r="B561" s="624"/>
      <c r="C561" s="1061"/>
      <c r="D561" s="1061"/>
      <c r="E561" s="1061"/>
      <c r="F561" s="1061"/>
      <c r="G561" s="1061"/>
      <c r="H561" s="625"/>
      <c r="I561" s="1061"/>
      <c r="J561" s="1061"/>
      <c r="K561" s="1061"/>
      <c r="L561" s="1061"/>
      <c r="M561" s="1061"/>
      <c r="N561" s="1064"/>
      <c r="O561" s="626"/>
    </row>
    <row r="562" spans="1:15" x14ac:dyDescent="0.25">
      <c r="A562" s="765"/>
      <c r="B562" s="624"/>
      <c r="C562" s="1061"/>
      <c r="D562" s="1061"/>
      <c r="E562" s="1061"/>
      <c r="F562" s="1061"/>
      <c r="G562" s="1061"/>
      <c r="H562" s="625"/>
      <c r="I562" s="1061"/>
      <c r="J562" s="1061"/>
      <c r="K562" s="1061"/>
      <c r="L562" s="1061"/>
      <c r="M562" s="1061"/>
      <c r="N562" s="1064"/>
      <c r="O562" s="626"/>
    </row>
    <row r="563" spans="1:15" x14ac:dyDescent="0.25">
      <c r="A563" s="765"/>
      <c r="B563" s="624"/>
      <c r="C563" s="1061"/>
      <c r="D563" s="1061"/>
      <c r="E563" s="1061"/>
      <c r="F563" s="1061"/>
      <c r="G563" s="1061"/>
      <c r="H563" s="625"/>
      <c r="I563" s="1061"/>
      <c r="J563" s="1061"/>
      <c r="K563" s="1061"/>
      <c r="L563" s="1061"/>
      <c r="M563" s="1061"/>
      <c r="N563" s="1064"/>
      <c r="O563" s="626"/>
    </row>
    <row r="564" spans="1:15" x14ac:dyDescent="0.25">
      <c r="A564" s="765"/>
      <c r="B564" s="624"/>
      <c r="C564" s="1061"/>
      <c r="D564" s="1061"/>
      <c r="E564" s="1061"/>
      <c r="F564" s="1061"/>
      <c r="G564" s="1061"/>
      <c r="H564" s="625"/>
      <c r="I564" s="1061"/>
      <c r="J564" s="1061"/>
      <c r="K564" s="1061"/>
      <c r="L564" s="1061"/>
      <c r="M564" s="1061"/>
      <c r="N564" s="1064"/>
      <c r="O564" s="626"/>
    </row>
    <row r="565" spans="1:15" x14ac:dyDescent="0.25">
      <c r="A565" s="765"/>
      <c r="B565" s="624"/>
      <c r="C565" s="1061"/>
      <c r="D565" s="1061"/>
      <c r="E565" s="1061"/>
      <c r="F565" s="1061"/>
      <c r="G565" s="1061"/>
      <c r="H565" s="625"/>
      <c r="I565" s="1061"/>
      <c r="J565" s="1061"/>
      <c r="K565" s="1061"/>
      <c r="L565" s="1061"/>
      <c r="M565" s="1061"/>
      <c r="N565" s="1064"/>
      <c r="O565" s="626"/>
    </row>
    <row r="566" spans="1:15" x14ac:dyDescent="0.25">
      <c r="A566" s="765"/>
      <c r="B566" s="624"/>
      <c r="C566" s="1061"/>
      <c r="D566" s="1061"/>
      <c r="E566" s="1061"/>
      <c r="F566" s="1061"/>
      <c r="G566" s="1061"/>
      <c r="H566" s="625"/>
      <c r="I566" s="1061"/>
      <c r="J566" s="1061"/>
      <c r="K566" s="1061"/>
      <c r="L566" s="1061"/>
      <c r="M566" s="1061"/>
      <c r="N566" s="1064"/>
      <c r="O566" s="626"/>
    </row>
    <row r="567" spans="1:15" x14ac:dyDescent="0.25">
      <c r="A567" s="765"/>
      <c r="B567" s="624"/>
      <c r="C567" s="1061"/>
      <c r="D567" s="1061"/>
      <c r="E567" s="1061"/>
      <c r="F567" s="1061"/>
      <c r="G567" s="1061"/>
      <c r="H567" s="625"/>
      <c r="I567" s="1061"/>
      <c r="J567" s="1061"/>
      <c r="K567" s="1061"/>
      <c r="L567" s="1061"/>
      <c r="M567" s="1061"/>
      <c r="N567" s="1064"/>
      <c r="O567" s="626"/>
    </row>
    <row r="568" spans="1:15" x14ac:dyDescent="0.25">
      <c r="A568" s="765"/>
      <c r="B568" s="624"/>
      <c r="C568" s="1061"/>
      <c r="D568" s="1061"/>
      <c r="E568" s="1061"/>
      <c r="F568" s="1061"/>
      <c r="G568" s="1061"/>
      <c r="H568" s="625"/>
      <c r="I568" s="1061"/>
      <c r="J568" s="1061"/>
      <c r="K568" s="1061"/>
      <c r="L568" s="1061"/>
      <c r="M568" s="1061"/>
      <c r="N568" s="1064"/>
      <c r="O568" s="626"/>
    </row>
    <row r="569" spans="1:15" x14ac:dyDescent="0.25">
      <c r="A569" s="765"/>
      <c r="B569" s="624"/>
      <c r="C569" s="1061"/>
      <c r="D569" s="1061"/>
      <c r="E569" s="1061"/>
      <c r="F569" s="1061"/>
      <c r="G569" s="1061"/>
      <c r="H569" s="625"/>
      <c r="I569" s="1061"/>
      <c r="J569" s="1061"/>
      <c r="K569" s="1061"/>
      <c r="L569" s="1061"/>
      <c r="M569" s="1061"/>
      <c r="N569" s="1064"/>
      <c r="O569" s="626"/>
    </row>
    <row r="570" spans="1:15" x14ac:dyDescent="0.25">
      <c r="A570" s="765"/>
      <c r="B570" s="624"/>
      <c r="C570" s="1061"/>
      <c r="D570" s="1061"/>
      <c r="E570" s="1061"/>
      <c r="F570" s="1061"/>
      <c r="G570" s="1061"/>
      <c r="H570" s="625"/>
      <c r="I570" s="1061"/>
      <c r="J570" s="1061"/>
      <c r="K570" s="1061"/>
      <c r="L570" s="1061"/>
      <c r="M570" s="1061"/>
      <c r="N570" s="1064"/>
      <c r="O570" s="626"/>
    </row>
    <row r="571" spans="1:15" x14ac:dyDescent="0.25">
      <c r="A571" s="765"/>
      <c r="B571" s="624"/>
      <c r="C571" s="1061"/>
      <c r="D571" s="1061"/>
      <c r="E571" s="1061"/>
      <c r="F571" s="1061"/>
      <c r="G571" s="1061"/>
      <c r="H571" s="625"/>
      <c r="I571" s="1061"/>
      <c r="J571" s="1061"/>
      <c r="K571" s="1061"/>
      <c r="L571" s="1061"/>
      <c r="M571" s="1061"/>
      <c r="N571" s="1064"/>
      <c r="O571" s="626"/>
    </row>
    <row r="572" spans="1:15" x14ac:dyDescent="0.25">
      <c r="A572" s="765"/>
      <c r="B572" s="624"/>
      <c r="C572" s="1061"/>
      <c r="D572" s="1061"/>
      <c r="E572" s="1061"/>
      <c r="F572" s="1061"/>
      <c r="G572" s="1061"/>
      <c r="H572" s="625"/>
      <c r="I572" s="1061"/>
      <c r="J572" s="1061"/>
      <c r="K572" s="1061"/>
      <c r="L572" s="1061"/>
      <c r="M572" s="1061"/>
      <c r="N572" s="1064"/>
      <c r="O572" s="626"/>
    </row>
    <row r="573" spans="1:15" x14ac:dyDescent="0.25">
      <c r="A573" s="765"/>
      <c r="B573" s="624"/>
      <c r="C573" s="1061"/>
      <c r="D573" s="1061"/>
      <c r="E573" s="1061"/>
      <c r="F573" s="1061"/>
      <c r="G573" s="1061"/>
      <c r="H573" s="625"/>
      <c r="I573" s="1061"/>
      <c r="J573" s="1061"/>
      <c r="K573" s="1061"/>
      <c r="L573" s="1061"/>
      <c r="M573" s="1061"/>
      <c r="N573" s="1064"/>
      <c r="O573" s="626"/>
    </row>
    <row r="574" spans="1:15" x14ac:dyDescent="0.25">
      <c r="A574" s="765"/>
      <c r="B574" s="624"/>
      <c r="C574" s="1061"/>
      <c r="D574" s="1061"/>
      <c r="E574" s="1061"/>
      <c r="F574" s="1061"/>
      <c r="G574" s="1061"/>
      <c r="H574" s="625"/>
      <c r="I574" s="1061"/>
      <c r="J574" s="1061"/>
      <c r="K574" s="1061"/>
      <c r="L574" s="1061"/>
      <c r="M574" s="1061"/>
      <c r="N574" s="1064"/>
      <c r="O574" s="626"/>
    </row>
    <row r="575" spans="1:15" x14ac:dyDescent="0.25">
      <c r="A575" s="765"/>
      <c r="B575" s="624"/>
      <c r="C575" s="1061"/>
      <c r="D575" s="1061"/>
      <c r="E575" s="1061"/>
      <c r="F575" s="1061"/>
      <c r="G575" s="1061"/>
      <c r="H575" s="625"/>
      <c r="I575" s="1061"/>
      <c r="J575" s="1061"/>
      <c r="K575" s="1061"/>
      <c r="L575" s="1061"/>
      <c r="M575" s="1061"/>
      <c r="N575" s="1064"/>
      <c r="O575" s="626"/>
    </row>
    <row r="576" spans="1:15" x14ac:dyDescent="0.25">
      <c r="A576" s="765"/>
      <c r="B576" s="624"/>
      <c r="C576" s="1061"/>
      <c r="D576" s="1061"/>
      <c r="E576" s="1061"/>
      <c r="F576" s="1061"/>
      <c r="G576" s="1061"/>
      <c r="H576" s="625"/>
      <c r="I576" s="1061"/>
      <c r="J576" s="1061"/>
      <c r="K576" s="1061"/>
      <c r="L576" s="1061"/>
      <c r="M576" s="1061"/>
      <c r="N576" s="1064"/>
      <c r="O576" s="626"/>
    </row>
    <row r="577" spans="1:15" x14ac:dyDescent="0.25">
      <c r="A577" s="765"/>
      <c r="B577" s="624"/>
      <c r="C577" s="1061"/>
      <c r="D577" s="1061"/>
      <c r="E577" s="1061"/>
      <c r="F577" s="1061"/>
      <c r="G577" s="1061"/>
      <c r="H577" s="625"/>
      <c r="I577" s="1061"/>
      <c r="J577" s="1061"/>
      <c r="K577" s="1061"/>
      <c r="L577" s="1061"/>
      <c r="M577" s="1061"/>
      <c r="N577" s="1064"/>
      <c r="O577" s="626"/>
    </row>
    <row r="578" spans="1:15" x14ac:dyDescent="0.25">
      <c r="A578" s="765"/>
      <c r="B578" s="624"/>
      <c r="C578" s="1061"/>
      <c r="D578" s="1061"/>
      <c r="E578" s="1061"/>
      <c r="F578" s="1061"/>
      <c r="G578" s="1061"/>
      <c r="H578" s="625"/>
      <c r="I578" s="1061"/>
      <c r="J578" s="1061"/>
      <c r="K578" s="1061"/>
      <c r="L578" s="1061"/>
      <c r="M578" s="1061"/>
      <c r="N578" s="1064"/>
      <c r="O578" s="626"/>
    </row>
    <row r="579" spans="1:15" x14ac:dyDescent="0.25">
      <c r="A579" s="765"/>
      <c r="B579" s="624"/>
      <c r="C579" s="1061"/>
      <c r="D579" s="1061"/>
      <c r="E579" s="1061"/>
      <c r="F579" s="1061"/>
      <c r="G579" s="1061"/>
      <c r="H579" s="625"/>
      <c r="I579" s="1061"/>
      <c r="J579" s="1061"/>
      <c r="K579" s="1061"/>
      <c r="L579" s="1061"/>
      <c r="M579" s="1061"/>
      <c r="N579" s="1064"/>
      <c r="O579" s="626"/>
    </row>
    <row r="580" spans="1:15" x14ac:dyDescent="0.25">
      <c r="A580" s="765"/>
      <c r="B580" s="624"/>
      <c r="C580" s="1061"/>
      <c r="D580" s="1061"/>
      <c r="E580" s="1061"/>
      <c r="F580" s="1061"/>
      <c r="G580" s="1061"/>
      <c r="H580" s="625"/>
      <c r="I580" s="1061"/>
      <c r="J580" s="1061"/>
      <c r="K580" s="1061"/>
      <c r="L580" s="1061"/>
      <c r="M580" s="1061"/>
      <c r="N580" s="1064"/>
      <c r="O580" s="626"/>
    </row>
    <row r="581" spans="1:15" x14ac:dyDescent="0.25">
      <c r="A581" s="765"/>
      <c r="B581" s="624"/>
      <c r="C581" s="1061"/>
      <c r="D581" s="1061"/>
      <c r="E581" s="1061"/>
      <c r="F581" s="1061"/>
      <c r="G581" s="1061"/>
      <c r="H581" s="625"/>
      <c r="I581" s="1061"/>
      <c r="J581" s="1061"/>
      <c r="K581" s="1061"/>
      <c r="L581" s="1061"/>
      <c r="M581" s="1061"/>
      <c r="N581" s="1064"/>
      <c r="O581" s="626"/>
    </row>
    <row r="582" spans="1:15" x14ac:dyDescent="0.25">
      <c r="A582" s="765"/>
      <c r="B582" s="624"/>
      <c r="C582" s="1061"/>
      <c r="D582" s="1061"/>
      <c r="E582" s="1061"/>
      <c r="F582" s="1061"/>
      <c r="G582" s="1061"/>
      <c r="H582" s="625"/>
      <c r="I582" s="1061"/>
      <c r="J582" s="1061"/>
      <c r="K582" s="1061"/>
      <c r="L582" s="1061"/>
      <c r="M582" s="1061"/>
      <c r="N582" s="1064"/>
      <c r="O582" s="626"/>
    </row>
    <row r="583" spans="1:15" x14ac:dyDescent="0.25">
      <c r="A583" s="765"/>
      <c r="B583" s="624"/>
      <c r="C583" s="1061"/>
      <c r="D583" s="1061"/>
      <c r="E583" s="1061"/>
      <c r="F583" s="1061"/>
      <c r="G583" s="1061"/>
      <c r="H583" s="625"/>
      <c r="I583" s="1061"/>
      <c r="J583" s="1061"/>
      <c r="K583" s="1061"/>
      <c r="L583" s="1061"/>
      <c r="M583" s="1061"/>
      <c r="N583" s="1064"/>
      <c r="O583" s="626"/>
    </row>
    <row r="584" spans="1:15" x14ac:dyDescent="0.25">
      <c r="A584" s="765"/>
      <c r="B584" s="624"/>
      <c r="C584" s="1061"/>
      <c r="D584" s="1061"/>
      <c r="E584" s="1061"/>
      <c r="F584" s="1061"/>
      <c r="G584" s="1061"/>
      <c r="H584" s="625"/>
      <c r="I584" s="1061"/>
      <c r="J584" s="1061"/>
      <c r="K584" s="1061"/>
      <c r="L584" s="1061"/>
      <c r="M584" s="1061"/>
      <c r="N584" s="1064"/>
      <c r="O584" s="626"/>
    </row>
    <row r="585" spans="1:15" x14ac:dyDescent="0.25">
      <c r="A585" s="765"/>
      <c r="B585" s="624"/>
      <c r="C585" s="1061"/>
      <c r="D585" s="1061"/>
      <c r="E585" s="1061"/>
      <c r="F585" s="1061"/>
      <c r="G585" s="1061"/>
      <c r="H585" s="625"/>
      <c r="I585" s="1061"/>
      <c r="J585" s="1061"/>
      <c r="K585" s="1061"/>
      <c r="L585" s="1061"/>
      <c r="M585" s="1061"/>
      <c r="N585" s="1064"/>
      <c r="O585" s="626"/>
    </row>
    <row r="586" spans="1:15" x14ac:dyDescent="0.25">
      <c r="A586" s="765"/>
      <c r="B586" s="624"/>
      <c r="C586" s="1061"/>
      <c r="D586" s="1061"/>
      <c r="E586" s="1061"/>
      <c r="F586" s="1061"/>
      <c r="G586" s="1061"/>
      <c r="H586" s="625"/>
      <c r="I586" s="1061"/>
      <c r="J586" s="1061"/>
      <c r="K586" s="1061"/>
      <c r="L586" s="1061"/>
      <c r="M586" s="1061"/>
      <c r="N586" s="1064"/>
      <c r="O586" s="626"/>
    </row>
    <row r="587" spans="1:15" x14ac:dyDescent="0.25">
      <c r="A587" s="765"/>
      <c r="B587" s="624"/>
      <c r="C587" s="1061"/>
      <c r="D587" s="1061"/>
      <c r="E587" s="1061"/>
      <c r="F587" s="1061"/>
      <c r="G587" s="1061"/>
      <c r="H587" s="625"/>
      <c r="I587" s="1061"/>
      <c r="J587" s="1061"/>
      <c r="K587" s="1061"/>
      <c r="L587" s="1061"/>
      <c r="M587" s="1061"/>
      <c r="N587" s="1064"/>
      <c r="O587" s="626"/>
    </row>
    <row r="588" spans="1:15" x14ac:dyDescent="0.25">
      <c r="A588" s="765"/>
      <c r="B588" s="624"/>
      <c r="C588" s="1061"/>
      <c r="D588" s="1061"/>
      <c r="E588" s="1061"/>
      <c r="F588" s="1061"/>
      <c r="G588" s="1061"/>
      <c r="H588" s="625"/>
      <c r="I588" s="1061"/>
      <c r="J588" s="1061"/>
      <c r="K588" s="1061"/>
      <c r="L588" s="1061"/>
      <c r="M588" s="1061"/>
      <c r="N588" s="1064"/>
      <c r="O588" s="626"/>
    </row>
    <row r="589" spans="1:15" x14ac:dyDescent="0.25">
      <c r="A589" s="765"/>
      <c r="B589" s="624"/>
      <c r="C589" s="1061"/>
      <c r="D589" s="1061"/>
      <c r="E589" s="1061"/>
      <c r="F589" s="1061"/>
      <c r="G589" s="1061"/>
      <c r="H589" s="625"/>
      <c r="I589" s="1061"/>
      <c r="J589" s="1061"/>
      <c r="K589" s="1061"/>
      <c r="L589" s="1061"/>
      <c r="M589" s="1061"/>
      <c r="N589" s="1064"/>
      <c r="O589" s="626"/>
    </row>
    <row r="590" spans="1:15" x14ac:dyDescent="0.25">
      <c r="A590" s="765"/>
      <c r="B590" s="624"/>
      <c r="C590" s="1061"/>
      <c r="D590" s="1061"/>
      <c r="E590" s="1061"/>
      <c r="F590" s="1061"/>
      <c r="G590" s="1061"/>
      <c r="H590" s="625"/>
      <c r="I590" s="1061"/>
      <c r="J590" s="1061"/>
      <c r="K590" s="1061"/>
      <c r="L590" s="1061"/>
      <c r="M590" s="1061"/>
      <c r="N590" s="1064"/>
      <c r="O590" s="626"/>
    </row>
    <row r="591" spans="1:15" x14ac:dyDescent="0.25">
      <c r="A591" s="765"/>
      <c r="B591" s="624"/>
      <c r="C591" s="1061"/>
      <c r="D591" s="1061"/>
      <c r="E591" s="1061"/>
      <c r="F591" s="1061"/>
      <c r="G591" s="1061"/>
      <c r="H591" s="625"/>
      <c r="I591" s="1061"/>
      <c r="J591" s="1061"/>
      <c r="K591" s="1061"/>
      <c r="L591" s="1061"/>
      <c r="M591" s="1061"/>
      <c r="N591" s="1064"/>
      <c r="O591" s="626"/>
    </row>
    <row r="592" spans="1:15" x14ac:dyDescent="0.25">
      <c r="A592" s="765"/>
      <c r="B592" s="624"/>
      <c r="C592" s="1061"/>
      <c r="D592" s="1061"/>
      <c r="E592" s="1061"/>
      <c r="F592" s="1061"/>
      <c r="G592" s="1061"/>
      <c r="H592" s="625"/>
      <c r="I592" s="1061"/>
      <c r="J592" s="1061"/>
      <c r="K592" s="1061"/>
      <c r="L592" s="1061"/>
      <c r="M592" s="1061"/>
      <c r="N592" s="1064"/>
      <c r="O592" s="626"/>
    </row>
    <row r="593" spans="1:15" x14ac:dyDescent="0.25">
      <c r="A593" s="765"/>
      <c r="B593" s="624"/>
      <c r="C593" s="1061"/>
      <c r="D593" s="1061"/>
      <c r="E593" s="1061"/>
      <c r="F593" s="1061"/>
      <c r="G593" s="1061"/>
      <c r="H593" s="625"/>
      <c r="I593" s="1061"/>
      <c r="J593" s="1061"/>
      <c r="K593" s="1061"/>
      <c r="L593" s="1061"/>
      <c r="M593" s="1061"/>
      <c r="N593" s="1064"/>
      <c r="O593" s="626"/>
    </row>
    <row r="594" spans="1:15" x14ac:dyDescent="0.25">
      <c r="A594" s="765"/>
      <c r="B594" s="624"/>
      <c r="C594" s="1061"/>
      <c r="D594" s="1061"/>
      <c r="E594" s="1061"/>
      <c r="F594" s="1061"/>
      <c r="G594" s="1061"/>
      <c r="H594" s="625"/>
      <c r="I594" s="1061"/>
      <c r="J594" s="1061"/>
      <c r="K594" s="1061"/>
      <c r="L594" s="1061"/>
      <c r="M594" s="1061"/>
      <c r="N594" s="1064"/>
      <c r="O594" s="626"/>
    </row>
    <row r="595" spans="1:15" x14ac:dyDescent="0.25">
      <c r="A595" s="765"/>
      <c r="B595" s="624"/>
      <c r="C595" s="1061"/>
      <c r="D595" s="1061"/>
      <c r="E595" s="1061"/>
      <c r="F595" s="1061"/>
      <c r="G595" s="1061"/>
      <c r="H595" s="625"/>
      <c r="I595" s="1061"/>
      <c r="J595" s="1061"/>
      <c r="K595" s="1061"/>
      <c r="L595" s="1061"/>
      <c r="M595" s="1061"/>
      <c r="N595" s="1064"/>
      <c r="O595" s="626"/>
    </row>
    <row r="596" spans="1:15" x14ac:dyDescent="0.25">
      <c r="A596" s="765"/>
      <c r="B596" s="624"/>
      <c r="C596" s="1061"/>
      <c r="D596" s="1061"/>
      <c r="E596" s="1061"/>
      <c r="F596" s="1061"/>
      <c r="G596" s="1061"/>
      <c r="H596" s="625"/>
      <c r="I596" s="1061"/>
      <c r="J596" s="1061"/>
      <c r="K596" s="1061"/>
      <c r="L596" s="1061"/>
      <c r="M596" s="1061"/>
      <c r="N596" s="1064"/>
      <c r="O596" s="626"/>
    </row>
    <row r="597" spans="1:15" x14ac:dyDescent="0.25">
      <c r="A597" s="765"/>
      <c r="B597" s="624"/>
      <c r="C597" s="1061"/>
      <c r="D597" s="1061"/>
      <c r="E597" s="1061"/>
      <c r="F597" s="1061"/>
      <c r="G597" s="1061"/>
      <c r="H597" s="625"/>
      <c r="I597" s="1061"/>
      <c r="J597" s="1061"/>
      <c r="K597" s="1061"/>
      <c r="L597" s="1061"/>
      <c r="M597" s="1061"/>
      <c r="N597" s="1064"/>
      <c r="O597" s="626"/>
    </row>
    <row r="598" spans="1:15" x14ac:dyDescent="0.25">
      <c r="A598" s="765"/>
      <c r="B598" s="624"/>
      <c r="C598" s="1061"/>
      <c r="D598" s="1061"/>
      <c r="E598" s="1061"/>
      <c r="F598" s="1061"/>
      <c r="G598" s="1061"/>
      <c r="H598" s="625"/>
      <c r="I598" s="1061"/>
      <c r="J598" s="1061"/>
      <c r="K598" s="1061"/>
      <c r="L598" s="1061"/>
      <c r="M598" s="1061"/>
      <c r="N598" s="1064"/>
      <c r="O598" s="626"/>
    </row>
    <row r="599" spans="1:15" x14ac:dyDescent="0.25">
      <c r="A599" s="765"/>
      <c r="B599" s="624"/>
      <c r="C599" s="1061"/>
      <c r="D599" s="1061"/>
      <c r="E599" s="1061"/>
      <c r="F599" s="1061"/>
      <c r="G599" s="1061"/>
      <c r="H599" s="625"/>
      <c r="I599" s="1061"/>
      <c r="J599" s="1061"/>
      <c r="K599" s="1061"/>
      <c r="L599" s="1061"/>
      <c r="M599" s="1061"/>
      <c r="N599" s="1064"/>
      <c r="O599" s="626"/>
    </row>
    <row r="600" spans="1:15" x14ac:dyDescent="0.25">
      <c r="A600" s="765"/>
      <c r="B600" s="624"/>
      <c r="C600" s="1061"/>
      <c r="D600" s="1061"/>
      <c r="E600" s="1061"/>
      <c r="F600" s="1061"/>
      <c r="G600" s="1061"/>
      <c r="H600" s="625"/>
      <c r="I600" s="1061"/>
      <c r="J600" s="1061"/>
      <c r="K600" s="1061"/>
      <c r="L600" s="1061"/>
      <c r="M600" s="1061"/>
      <c r="N600" s="1064"/>
      <c r="O600" s="626"/>
    </row>
    <row r="601" spans="1:15" x14ac:dyDescent="0.25">
      <c r="A601" s="765"/>
      <c r="B601" s="624"/>
      <c r="C601" s="1061"/>
      <c r="D601" s="1061"/>
      <c r="E601" s="1061"/>
      <c r="F601" s="1061"/>
      <c r="G601" s="1061"/>
      <c r="H601" s="625"/>
      <c r="I601" s="1061"/>
      <c r="J601" s="1061"/>
      <c r="K601" s="1061"/>
      <c r="L601" s="1061"/>
      <c r="M601" s="1061"/>
      <c r="N601" s="1064"/>
      <c r="O601" s="626"/>
    </row>
    <row r="602" spans="1:15" x14ac:dyDescent="0.25">
      <c r="A602" s="765"/>
      <c r="B602" s="624"/>
      <c r="C602" s="1061"/>
      <c r="D602" s="1061"/>
      <c r="E602" s="1061"/>
      <c r="F602" s="1061"/>
      <c r="G602" s="1061"/>
      <c r="H602" s="625"/>
      <c r="I602" s="1061"/>
      <c r="J602" s="1061"/>
      <c r="K602" s="1061"/>
      <c r="L602" s="1061"/>
      <c r="M602" s="1061"/>
      <c r="N602" s="1064"/>
      <c r="O602" s="626"/>
    </row>
    <row r="603" spans="1:15" x14ac:dyDescent="0.25">
      <c r="A603" s="765"/>
      <c r="B603" s="624"/>
      <c r="C603" s="1061"/>
      <c r="D603" s="1061"/>
      <c r="E603" s="1061"/>
      <c r="F603" s="1061"/>
      <c r="G603" s="1061"/>
      <c r="H603" s="625"/>
      <c r="I603" s="1061"/>
      <c r="J603" s="1061"/>
      <c r="K603" s="1061"/>
      <c r="L603" s="1061"/>
      <c r="M603" s="1061"/>
      <c r="N603" s="1064"/>
      <c r="O603" s="626"/>
    </row>
    <row r="604" spans="1:15" x14ac:dyDescent="0.25">
      <c r="A604" s="765"/>
      <c r="B604" s="624"/>
      <c r="C604" s="1061"/>
      <c r="D604" s="1061"/>
      <c r="E604" s="1061"/>
      <c r="F604" s="1061"/>
      <c r="G604" s="1061"/>
      <c r="H604" s="625"/>
      <c r="I604" s="1061"/>
      <c r="J604" s="1061"/>
      <c r="K604" s="1061"/>
      <c r="L604" s="1061"/>
      <c r="M604" s="1061"/>
      <c r="N604" s="1064"/>
      <c r="O604" s="626"/>
    </row>
    <row r="605" spans="1:15" x14ac:dyDescent="0.25">
      <c r="A605" s="765"/>
      <c r="B605" s="624"/>
      <c r="C605" s="1061"/>
      <c r="D605" s="1061"/>
      <c r="E605" s="1061"/>
      <c r="F605" s="1061"/>
      <c r="G605" s="1061"/>
      <c r="H605" s="625"/>
      <c r="I605" s="1061"/>
      <c r="J605" s="1061"/>
      <c r="K605" s="1061"/>
      <c r="L605" s="1061"/>
      <c r="M605" s="1061"/>
      <c r="N605" s="1064"/>
      <c r="O605" s="626"/>
    </row>
    <row r="606" spans="1:15" x14ac:dyDescent="0.25">
      <c r="A606" s="765"/>
      <c r="B606" s="624"/>
      <c r="C606" s="1061"/>
      <c r="D606" s="1061"/>
      <c r="E606" s="1061"/>
      <c r="F606" s="1061"/>
      <c r="G606" s="1061"/>
      <c r="H606" s="625"/>
      <c r="I606" s="1061"/>
      <c r="J606" s="1061"/>
      <c r="K606" s="1061"/>
      <c r="L606" s="1061"/>
      <c r="M606" s="1061"/>
      <c r="N606" s="1064"/>
      <c r="O606" s="626"/>
    </row>
    <row r="607" spans="1:15" x14ac:dyDescent="0.25">
      <c r="A607" s="765"/>
      <c r="B607" s="624"/>
      <c r="C607" s="1061"/>
      <c r="D607" s="1061"/>
      <c r="E607" s="1061"/>
      <c r="F607" s="1061"/>
      <c r="G607" s="1061"/>
      <c r="H607" s="625"/>
      <c r="I607" s="1061"/>
      <c r="J607" s="1061"/>
      <c r="K607" s="1061"/>
      <c r="L607" s="1061"/>
      <c r="M607" s="1061"/>
      <c r="N607" s="1064"/>
      <c r="O607" s="626"/>
    </row>
    <row r="608" spans="1:15" x14ac:dyDescent="0.25">
      <c r="A608" s="765"/>
      <c r="B608" s="624"/>
      <c r="C608" s="1061"/>
      <c r="D608" s="1061"/>
      <c r="E608" s="1061"/>
      <c r="F608" s="1061"/>
      <c r="G608" s="1061"/>
      <c r="H608" s="625"/>
      <c r="I608" s="1061"/>
      <c r="J608" s="1061"/>
      <c r="K608" s="1061"/>
      <c r="L608" s="1061"/>
      <c r="M608" s="1061"/>
      <c r="N608" s="1064"/>
      <c r="O608" s="626"/>
    </row>
    <row r="609" spans="1:15" x14ac:dyDescent="0.25">
      <c r="A609" s="765"/>
      <c r="B609" s="624"/>
      <c r="C609" s="1061"/>
      <c r="D609" s="1061"/>
      <c r="E609" s="1061"/>
      <c r="F609" s="1061"/>
      <c r="G609" s="1061"/>
      <c r="H609" s="625"/>
      <c r="I609" s="1061"/>
      <c r="J609" s="1061"/>
      <c r="K609" s="1061"/>
      <c r="L609" s="1061"/>
      <c r="M609" s="1061"/>
      <c r="N609" s="1064"/>
      <c r="O609" s="626"/>
    </row>
    <row r="610" spans="1:15" x14ac:dyDescent="0.25">
      <c r="A610" s="765"/>
      <c r="B610" s="624"/>
      <c r="C610" s="1061"/>
      <c r="D610" s="1061"/>
      <c r="E610" s="1061"/>
      <c r="F610" s="1061"/>
      <c r="G610" s="1061"/>
      <c r="H610" s="625"/>
      <c r="I610" s="1061"/>
      <c r="J610" s="1061"/>
      <c r="K610" s="1061"/>
      <c r="L610" s="1061"/>
      <c r="M610" s="1061"/>
      <c r="N610" s="1064"/>
      <c r="O610" s="626"/>
    </row>
    <row r="611" spans="1:15" x14ac:dyDescent="0.25">
      <c r="A611" s="765"/>
      <c r="B611" s="624"/>
      <c r="C611" s="1061"/>
      <c r="D611" s="1061"/>
      <c r="E611" s="1061"/>
      <c r="F611" s="1061"/>
      <c r="G611" s="1061"/>
      <c r="H611" s="625"/>
      <c r="I611" s="1061"/>
      <c r="J611" s="1061"/>
      <c r="K611" s="1061"/>
      <c r="L611" s="1061"/>
      <c r="M611" s="1061"/>
      <c r="N611" s="1064"/>
      <c r="O611" s="626"/>
    </row>
    <row r="612" spans="1:15" x14ac:dyDescent="0.25">
      <c r="A612" s="765"/>
      <c r="B612" s="624"/>
      <c r="C612" s="1061"/>
      <c r="D612" s="1061"/>
      <c r="E612" s="1061"/>
      <c r="F612" s="1061"/>
      <c r="G612" s="1061"/>
      <c r="H612" s="625"/>
      <c r="I612" s="1061"/>
      <c r="J612" s="1061"/>
      <c r="K612" s="1061"/>
      <c r="L612" s="1061"/>
      <c r="M612" s="1061"/>
      <c r="N612" s="1061"/>
      <c r="O612" s="626"/>
    </row>
    <row r="613" spans="1:15" x14ac:dyDescent="0.25">
      <c r="A613" s="765"/>
      <c r="B613" s="624"/>
      <c r="C613" s="1061"/>
      <c r="D613" s="1061"/>
      <c r="E613" s="1061"/>
      <c r="F613" s="1061"/>
      <c r="G613" s="1061"/>
      <c r="H613" s="625"/>
      <c r="I613" s="1061"/>
      <c r="J613" s="1061"/>
      <c r="K613" s="1061"/>
      <c r="L613" s="1061"/>
      <c r="M613" s="1061"/>
      <c r="N613" s="1061"/>
      <c r="O613" s="626"/>
    </row>
    <row r="614" spans="1:15" x14ac:dyDescent="0.25">
      <c r="A614" s="765"/>
      <c r="B614" s="624"/>
      <c r="C614" s="1061"/>
      <c r="D614" s="1061"/>
      <c r="E614" s="1061"/>
      <c r="F614" s="1061"/>
      <c r="G614" s="1061"/>
      <c r="H614" s="625"/>
      <c r="I614" s="1061"/>
      <c r="J614" s="1061"/>
      <c r="K614" s="1061"/>
      <c r="L614" s="1061"/>
      <c r="M614" s="1061"/>
      <c r="N614" s="1061"/>
      <c r="O614" s="626"/>
    </row>
    <row r="615" spans="1:15" x14ac:dyDescent="0.25">
      <c r="A615" s="765"/>
      <c r="B615" s="624"/>
      <c r="C615" s="1061"/>
      <c r="D615" s="1061"/>
      <c r="E615" s="1061"/>
      <c r="F615" s="1061"/>
      <c r="G615" s="1061"/>
      <c r="H615" s="625"/>
      <c r="I615" s="1061"/>
      <c r="J615" s="1061"/>
      <c r="K615" s="1061"/>
      <c r="L615" s="1061"/>
      <c r="M615" s="1061"/>
      <c r="N615" s="1061"/>
      <c r="O615" s="626"/>
    </row>
    <row r="616" spans="1:15" x14ac:dyDescent="0.25">
      <c r="A616" s="765"/>
      <c r="B616" s="624"/>
      <c r="C616" s="1061"/>
      <c r="D616" s="1061"/>
      <c r="E616" s="1061"/>
      <c r="F616" s="1061"/>
      <c r="G616" s="1061"/>
      <c r="H616" s="625"/>
      <c r="I616" s="1061"/>
      <c r="J616" s="1061"/>
      <c r="K616" s="1061"/>
      <c r="L616" s="1061"/>
      <c r="M616" s="1061"/>
      <c r="N616" s="1061"/>
      <c r="O616" s="626"/>
    </row>
    <row r="617" spans="1:15" x14ac:dyDescent="0.25">
      <c r="A617" s="765"/>
      <c r="B617" s="624"/>
      <c r="C617" s="1061"/>
      <c r="D617" s="1061"/>
      <c r="E617" s="1061"/>
      <c r="F617" s="1061"/>
      <c r="G617" s="1061"/>
      <c r="H617" s="625"/>
      <c r="I617" s="1061"/>
      <c r="J617" s="1061"/>
      <c r="K617" s="1061"/>
      <c r="L617" s="1061"/>
      <c r="M617" s="1061"/>
      <c r="N617" s="1061"/>
      <c r="O617" s="626"/>
    </row>
    <row r="618" spans="1:15" x14ac:dyDescent="0.25">
      <c r="A618" s="765"/>
      <c r="B618" s="624"/>
      <c r="C618" s="1061"/>
      <c r="D618" s="1061"/>
      <c r="E618" s="1061"/>
      <c r="F618" s="1061"/>
      <c r="G618" s="1061"/>
      <c r="H618" s="625"/>
      <c r="I618" s="1061"/>
      <c r="J618" s="1061"/>
      <c r="K618" s="1061"/>
      <c r="L618" s="1061"/>
      <c r="M618" s="1061"/>
      <c r="N618" s="1061"/>
      <c r="O618" s="626"/>
    </row>
    <row r="619" spans="1:15" x14ac:dyDescent="0.25">
      <c r="A619" s="765"/>
      <c r="B619" s="624"/>
      <c r="C619" s="1061"/>
      <c r="D619" s="1061"/>
      <c r="E619" s="1061"/>
      <c r="F619" s="1061"/>
      <c r="G619" s="1061"/>
      <c r="H619" s="625"/>
      <c r="I619" s="1061"/>
      <c r="J619" s="1061"/>
      <c r="K619" s="1061"/>
      <c r="L619" s="1061"/>
      <c r="M619" s="1061"/>
      <c r="N619" s="1061"/>
      <c r="O619" s="626"/>
    </row>
    <row r="620" spans="1:15" x14ac:dyDescent="0.25">
      <c r="A620" s="765"/>
      <c r="B620" s="624"/>
      <c r="C620" s="1061"/>
      <c r="D620" s="1061"/>
      <c r="E620" s="1061"/>
      <c r="F620" s="1061"/>
      <c r="G620" s="1061"/>
      <c r="H620" s="625"/>
      <c r="I620" s="1061"/>
      <c r="J620" s="1061"/>
      <c r="K620" s="1061"/>
      <c r="L620" s="1061"/>
      <c r="M620" s="1061"/>
      <c r="N620" s="1061"/>
      <c r="O620" s="626"/>
    </row>
    <row r="621" spans="1:15" x14ac:dyDescent="0.25">
      <c r="A621" s="765"/>
      <c r="B621" s="624"/>
      <c r="C621" s="1061"/>
      <c r="D621" s="1061"/>
      <c r="E621" s="1061"/>
      <c r="F621" s="1061"/>
      <c r="G621" s="1061"/>
      <c r="H621" s="625"/>
      <c r="I621" s="1061"/>
      <c r="J621" s="1061"/>
      <c r="K621" s="1061"/>
      <c r="L621" s="1061"/>
      <c r="M621" s="1061"/>
      <c r="N621" s="1061"/>
      <c r="O621" s="626"/>
    </row>
    <row r="622" spans="1:15" x14ac:dyDescent="0.25">
      <c r="A622" s="765"/>
      <c r="B622" s="624"/>
      <c r="C622" s="1061"/>
      <c r="D622" s="1061"/>
      <c r="E622" s="1061"/>
      <c r="F622" s="1061"/>
      <c r="G622" s="1061"/>
      <c r="H622" s="625"/>
      <c r="I622" s="1061"/>
      <c r="J622" s="1061"/>
      <c r="K622" s="1061"/>
      <c r="L622" s="1061"/>
      <c r="M622" s="1061"/>
      <c r="N622" s="1061"/>
      <c r="O622" s="626"/>
    </row>
    <row r="623" spans="1:15" x14ac:dyDescent="0.25">
      <c r="A623" s="765"/>
      <c r="B623" s="624"/>
      <c r="C623" s="1061"/>
      <c r="D623" s="1061"/>
      <c r="E623" s="1061"/>
      <c r="F623" s="1061"/>
      <c r="G623" s="1061"/>
      <c r="H623" s="625"/>
      <c r="I623" s="1061"/>
      <c r="J623" s="1061"/>
      <c r="K623" s="1061"/>
      <c r="L623" s="1061"/>
      <c r="M623" s="1061"/>
      <c r="N623" s="1061"/>
      <c r="O623" s="626"/>
    </row>
    <row r="624" spans="1:15" x14ac:dyDescent="0.25">
      <c r="A624" s="765"/>
      <c r="B624" s="624"/>
      <c r="C624" s="1061"/>
      <c r="D624" s="1061"/>
      <c r="E624" s="1061"/>
      <c r="F624" s="1061"/>
      <c r="G624" s="1061"/>
      <c r="H624" s="625"/>
      <c r="I624" s="1061"/>
      <c r="J624" s="1061"/>
      <c r="K624" s="1061"/>
      <c r="L624" s="1061"/>
      <c r="M624" s="1061"/>
      <c r="N624" s="1061"/>
      <c r="O624" s="626"/>
    </row>
    <row r="625" spans="1:15" x14ac:dyDescent="0.25">
      <c r="A625" s="765"/>
      <c r="B625" s="624"/>
      <c r="C625" s="1061"/>
      <c r="D625" s="1061"/>
      <c r="E625" s="1061"/>
      <c r="F625" s="1061"/>
      <c r="G625" s="1061"/>
      <c r="H625" s="625"/>
      <c r="I625" s="1061"/>
      <c r="J625" s="1061"/>
      <c r="K625" s="1061"/>
      <c r="L625" s="1061"/>
      <c r="M625" s="1061"/>
      <c r="N625" s="1061"/>
      <c r="O625" s="626"/>
    </row>
    <row r="626" spans="1:15" x14ac:dyDescent="0.25">
      <c r="A626" s="765"/>
      <c r="B626" s="624"/>
      <c r="C626" s="1061"/>
      <c r="D626" s="1061"/>
      <c r="E626" s="1061"/>
      <c r="F626" s="1061"/>
      <c r="G626" s="1061"/>
      <c r="H626" s="625"/>
      <c r="I626" s="1061"/>
      <c r="J626" s="1061"/>
      <c r="K626" s="1061"/>
      <c r="L626" s="1061"/>
      <c r="M626" s="1061"/>
      <c r="N626" s="1061"/>
      <c r="O626" s="626"/>
    </row>
    <row r="627" spans="1:15" x14ac:dyDescent="0.25">
      <c r="A627" s="765"/>
      <c r="B627" s="624"/>
      <c r="C627" s="1061"/>
      <c r="D627" s="1061"/>
      <c r="E627" s="1061"/>
      <c r="F627" s="1061"/>
      <c r="G627" s="1061"/>
      <c r="H627" s="625"/>
      <c r="I627" s="1061"/>
      <c r="J627" s="1061"/>
      <c r="K627" s="1061"/>
      <c r="L627" s="1061"/>
      <c r="M627" s="1061"/>
      <c r="N627" s="1061"/>
      <c r="O627" s="626"/>
    </row>
    <row r="628" spans="1:15" x14ac:dyDescent="0.25">
      <c r="A628" s="765"/>
      <c r="B628" s="624"/>
      <c r="C628" s="1061"/>
      <c r="D628" s="1061"/>
      <c r="E628" s="1061"/>
      <c r="F628" s="1061"/>
      <c r="G628" s="1061"/>
      <c r="H628" s="625"/>
      <c r="I628" s="1061"/>
      <c r="J628" s="1061"/>
      <c r="K628" s="1061"/>
      <c r="L628" s="1061"/>
      <c r="M628" s="1061"/>
      <c r="N628" s="1061"/>
      <c r="O628" s="626"/>
    </row>
    <row r="629" spans="1:15" x14ac:dyDescent="0.25">
      <c r="A629" s="765"/>
      <c r="B629" s="624"/>
      <c r="C629" s="1061"/>
      <c r="D629" s="1061"/>
      <c r="E629" s="1061"/>
      <c r="F629" s="1061"/>
      <c r="G629" s="1061"/>
      <c r="H629" s="625"/>
      <c r="I629" s="1061"/>
      <c r="J629" s="1061"/>
      <c r="K629" s="1061"/>
      <c r="L629" s="1061"/>
      <c r="M629" s="1061"/>
      <c r="N629" s="1061"/>
      <c r="O629" s="626"/>
    </row>
    <row r="630" spans="1:15" x14ac:dyDescent="0.25">
      <c r="A630" s="765"/>
      <c r="B630" s="624"/>
      <c r="C630" s="1061"/>
      <c r="D630" s="1061"/>
      <c r="E630" s="1061"/>
      <c r="F630" s="1061"/>
      <c r="G630" s="1061"/>
      <c r="H630" s="625"/>
      <c r="I630" s="1061"/>
      <c r="J630" s="1061"/>
      <c r="K630" s="1061"/>
      <c r="L630" s="1061"/>
      <c r="M630" s="1061"/>
      <c r="N630" s="1061"/>
      <c r="O630" s="626"/>
    </row>
    <row r="631" spans="1:15" x14ac:dyDescent="0.25">
      <c r="A631" s="765"/>
      <c r="B631" s="624"/>
      <c r="C631" s="1061"/>
      <c r="D631" s="1061"/>
      <c r="E631" s="1061"/>
      <c r="F631" s="1061"/>
      <c r="G631" s="1061"/>
      <c r="H631" s="625"/>
      <c r="I631" s="1061"/>
      <c r="J631" s="1061"/>
      <c r="K631" s="1061"/>
      <c r="L631" s="1061"/>
      <c r="M631" s="1061"/>
      <c r="N631" s="1061"/>
      <c r="O631" s="626"/>
    </row>
    <row r="632" spans="1:15" x14ac:dyDescent="0.25">
      <c r="A632" s="765"/>
      <c r="B632" s="624"/>
      <c r="C632" s="1061"/>
      <c r="D632" s="1061"/>
      <c r="E632" s="1061"/>
      <c r="F632" s="1061"/>
      <c r="G632" s="1061"/>
      <c r="H632" s="625"/>
      <c r="I632" s="1061"/>
      <c r="J632" s="1061"/>
      <c r="K632" s="1061"/>
      <c r="L632" s="1061"/>
      <c r="M632" s="1061"/>
      <c r="N632" s="1061"/>
      <c r="O632" s="626"/>
    </row>
    <row r="633" spans="1:15" x14ac:dyDescent="0.25">
      <c r="A633" s="765"/>
      <c r="B633" s="624"/>
      <c r="C633" s="1061"/>
      <c r="D633" s="1061"/>
      <c r="E633" s="1061"/>
      <c r="F633" s="1061"/>
      <c r="G633" s="1061"/>
      <c r="H633" s="625"/>
      <c r="I633" s="1061"/>
      <c r="J633" s="1061"/>
      <c r="K633" s="1061"/>
      <c r="L633" s="1061"/>
      <c r="M633" s="1061"/>
      <c r="N633" s="1061"/>
      <c r="O633" s="626"/>
    </row>
    <row r="634" spans="1:15" x14ac:dyDescent="0.25">
      <c r="A634" s="765"/>
      <c r="B634" s="624"/>
      <c r="C634" s="1061"/>
      <c r="D634" s="1061"/>
      <c r="E634" s="1061"/>
      <c r="F634" s="1061"/>
      <c r="G634" s="1061"/>
      <c r="H634" s="625"/>
      <c r="I634" s="1061"/>
      <c r="J634" s="1061"/>
      <c r="K634" s="1061"/>
      <c r="L634" s="1061"/>
      <c r="M634" s="1061"/>
      <c r="N634" s="1061"/>
      <c r="O634" s="626"/>
    </row>
    <row r="635" spans="1:15" x14ac:dyDescent="0.25">
      <c r="A635" s="765"/>
      <c r="B635" s="624"/>
      <c r="C635" s="1061"/>
      <c r="D635" s="1061"/>
      <c r="E635" s="1061"/>
      <c r="F635" s="1061"/>
      <c r="G635" s="1061"/>
      <c r="H635" s="625"/>
      <c r="I635" s="1061"/>
      <c r="J635" s="1061"/>
      <c r="K635" s="1061"/>
      <c r="L635" s="1061"/>
      <c r="M635" s="1061"/>
      <c r="N635" s="1061"/>
      <c r="O635" s="626"/>
    </row>
    <row r="636" spans="1:15" x14ac:dyDescent="0.25">
      <c r="A636" s="765"/>
      <c r="B636" s="624"/>
      <c r="C636" s="1061"/>
      <c r="D636" s="1061"/>
      <c r="E636" s="1061"/>
      <c r="F636" s="1061"/>
      <c r="G636" s="1061"/>
      <c r="H636" s="625"/>
      <c r="I636" s="1061"/>
      <c r="J636" s="1061"/>
      <c r="K636" s="1061"/>
      <c r="L636" s="1061"/>
      <c r="M636" s="1061"/>
      <c r="N636" s="1061"/>
      <c r="O636" s="626"/>
    </row>
    <row r="637" spans="1:15" x14ac:dyDescent="0.25">
      <c r="A637" s="765"/>
      <c r="B637" s="624"/>
      <c r="C637" s="1061"/>
      <c r="D637" s="1061"/>
      <c r="E637" s="1061"/>
      <c r="F637" s="1061"/>
      <c r="G637" s="1061"/>
      <c r="H637" s="625"/>
      <c r="I637" s="1061"/>
      <c r="J637" s="1061"/>
      <c r="K637" s="1061"/>
      <c r="L637" s="1061"/>
      <c r="M637" s="1061"/>
      <c r="N637" s="1061"/>
      <c r="O637" s="626"/>
    </row>
    <row r="638" spans="1:15" x14ac:dyDescent="0.25">
      <c r="A638" s="765"/>
      <c r="B638" s="624"/>
      <c r="C638" s="1061"/>
      <c r="D638" s="1061"/>
      <c r="E638" s="1061"/>
      <c r="F638" s="1061"/>
      <c r="G638" s="1061"/>
      <c r="H638" s="625"/>
      <c r="I638" s="1061"/>
      <c r="J638" s="1061"/>
      <c r="K638" s="1061"/>
      <c r="L638" s="1061"/>
      <c r="M638" s="1061"/>
      <c r="N638" s="1061"/>
      <c r="O638" s="626"/>
    </row>
    <row r="639" spans="1:15" x14ac:dyDescent="0.25">
      <c r="A639" s="765"/>
      <c r="B639" s="624"/>
      <c r="C639" s="1061"/>
      <c r="D639" s="1061"/>
      <c r="E639" s="1061"/>
      <c r="F639" s="1061"/>
      <c r="G639" s="1061"/>
      <c r="H639" s="625"/>
      <c r="I639" s="1061"/>
      <c r="J639" s="1061"/>
      <c r="K639" s="1061"/>
      <c r="L639" s="1061"/>
      <c r="M639" s="1061"/>
      <c r="N639" s="1061"/>
      <c r="O639" s="626"/>
    </row>
    <row r="640" spans="1:15" x14ac:dyDescent="0.25">
      <c r="A640" s="765"/>
      <c r="B640" s="624"/>
      <c r="C640" s="1061"/>
      <c r="D640" s="1061"/>
      <c r="E640" s="1061"/>
      <c r="F640" s="1061"/>
      <c r="G640" s="1061"/>
      <c r="H640" s="625"/>
      <c r="I640" s="1061"/>
      <c r="J640" s="1061"/>
      <c r="K640" s="1061"/>
      <c r="L640" s="1061"/>
      <c r="M640" s="1061"/>
      <c r="N640" s="1061"/>
      <c r="O640" s="626"/>
    </row>
    <row r="641" spans="1:15" x14ac:dyDescent="0.25">
      <c r="A641" s="765"/>
      <c r="B641" s="624"/>
      <c r="C641" s="1061"/>
      <c r="D641" s="1061"/>
      <c r="E641" s="1061"/>
      <c r="F641" s="1061"/>
      <c r="G641" s="1061"/>
      <c r="H641" s="625"/>
      <c r="I641" s="1061"/>
      <c r="J641" s="1061"/>
      <c r="K641" s="1061"/>
      <c r="L641" s="1061"/>
      <c r="M641" s="1061"/>
      <c r="N641" s="1061"/>
      <c r="O641" s="626"/>
    </row>
    <row r="642" spans="1:15" x14ac:dyDescent="0.25">
      <c r="A642" s="765"/>
      <c r="B642" s="624"/>
      <c r="C642" s="1061"/>
      <c r="D642" s="1061"/>
      <c r="E642" s="1061"/>
      <c r="F642" s="1061"/>
      <c r="G642" s="1061"/>
      <c r="H642" s="625"/>
      <c r="I642" s="1061"/>
      <c r="J642" s="1061"/>
      <c r="K642" s="1061"/>
      <c r="L642" s="1061"/>
      <c r="M642" s="1061"/>
      <c r="N642" s="1061"/>
      <c r="O642" s="626"/>
    </row>
    <row r="643" spans="1:15" x14ac:dyDescent="0.25">
      <c r="A643" s="765"/>
      <c r="B643" s="624"/>
      <c r="C643" s="1061"/>
      <c r="D643" s="1061"/>
      <c r="E643" s="1061"/>
      <c r="F643" s="1061"/>
      <c r="G643" s="1061"/>
      <c r="H643" s="625"/>
      <c r="I643" s="1061"/>
      <c r="J643" s="1061"/>
      <c r="K643" s="1061"/>
      <c r="L643" s="1061"/>
      <c r="M643" s="1061"/>
      <c r="N643" s="1061"/>
      <c r="O643" s="626"/>
    </row>
    <row r="644" spans="1:15" x14ac:dyDescent="0.25">
      <c r="A644" s="765"/>
      <c r="B644" s="624"/>
      <c r="C644" s="1061"/>
      <c r="D644" s="1061"/>
      <c r="E644" s="1061"/>
      <c r="F644" s="1061"/>
      <c r="G644" s="1061"/>
      <c r="H644" s="625"/>
      <c r="I644" s="1061"/>
      <c r="J644" s="1061"/>
      <c r="K644" s="1061"/>
      <c r="L644" s="1061"/>
      <c r="M644" s="1061"/>
      <c r="N644" s="1061"/>
      <c r="O644" s="626"/>
    </row>
    <row r="645" spans="1:15" x14ac:dyDescent="0.25">
      <c r="A645" s="765"/>
      <c r="B645" s="624"/>
      <c r="C645" s="1061"/>
      <c r="D645" s="1061"/>
      <c r="E645" s="1061"/>
      <c r="F645" s="1061"/>
      <c r="G645" s="1061"/>
      <c r="H645" s="625"/>
      <c r="I645" s="1061"/>
      <c r="J645" s="1061"/>
      <c r="K645" s="1061"/>
      <c r="L645" s="1061"/>
      <c r="M645" s="1061"/>
      <c r="N645" s="1061"/>
      <c r="O645" s="626"/>
    </row>
    <row r="646" spans="1:15" x14ac:dyDescent="0.25">
      <c r="A646" s="765"/>
      <c r="B646" s="624"/>
      <c r="C646" s="1061"/>
      <c r="D646" s="1061"/>
      <c r="E646" s="1061"/>
      <c r="F646" s="1061"/>
      <c r="G646" s="1061"/>
      <c r="H646" s="625"/>
      <c r="I646" s="1061"/>
      <c r="J646" s="1061"/>
      <c r="K646" s="1061"/>
      <c r="L646" s="1061"/>
      <c r="M646" s="1061"/>
      <c r="N646" s="1061"/>
      <c r="O646" s="626"/>
    </row>
    <row r="647" spans="1:15" x14ac:dyDescent="0.25">
      <c r="A647" s="765"/>
      <c r="B647" s="624"/>
      <c r="C647" s="1061"/>
      <c r="D647" s="1061"/>
      <c r="E647" s="1061"/>
      <c r="F647" s="1061"/>
      <c r="G647" s="1061"/>
      <c r="H647" s="625"/>
      <c r="I647" s="1061"/>
      <c r="J647" s="1061"/>
      <c r="K647" s="1061"/>
      <c r="L647" s="1061"/>
      <c r="M647" s="1061"/>
      <c r="N647" s="1061"/>
      <c r="O647" s="626"/>
    </row>
    <row r="648" spans="1:15" x14ac:dyDescent="0.25">
      <c r="A648" s="765"/>
      <c r="B648" s="624"/>
      <c r="C648" s="1061"/>
      <c r="D648" s="1061"/>
      <c r="E648" s="1061"/>
      <c r="F648" s="1061"/>
      <c r="G648" s="1061"/>
      <c r="H648" s="625"/>
      <c r="I648" s="1061"/>
      <c r="J648" s="1061"/>
      <c r="K648" s="1061"/>
      <c r="L648" s="1061"/>
      <c r="M648" s="1061"/>
      <c r="N648" s="1061"/>
      <c r="O648" s="626"/>
    </row>
    <row r="649" spans="1:15" x14ac:dyDescent="0.25">
      <c r="A649" s="765"/>
      <c r="B649" s="624"/>
      <c r="C649" s="1061"/>
      <c r="D649" s="1061"/>
      <c r="E649" s="1061"/>
      <c r="F649" s="1061"/>
      <c r="G649" s="1061"/>
      <c r="H649" s="625"/>
      <c r="I649" s="1061"/>
      <c r="J649" s="1061"/>
      <c r="K649" s="1061"/>
      <c r="L649" s="1061"/>
      <c r="M649" s="1061"/>
      <c r="N649" s="1061"/>
      <c r="O649" s="626"/>
    </row>
    <row r="650" spans="1:15" x14ac:dyDescent="0.25">
      <c r="A650" s="765"/>
      <c r="B650" s="624"/>
      <c r="C650" s="1061"/>
      <c r="D650" s="1061"/>
      <c r="E650" s="1061"/>
      <c r="F650" s="1061"/>
      <c r="G650" s="1061"/>
      <c r="H650" s="625"/>
      <c r="I650" s="1061"/>
      <c r="J650" s="1061"/>
      <c r="K650" s="1061"/>
      <c r="L650" s="1061"/>
      <c r="M650" s="1061"/>
      <c r="N650" s="1061"/>
      <c r="O650" s="626"/>
    </row>
    <row r="651" spans="1:15" x14ac:dyDescent="0.25">
      <c r="A651" s="765"/>
      <c r="B651" s="624"/>
      <c r="C651" s="1061"/>
      <c r="D651" s="1061"/>
      <c r="E651" s="1061"/>
      <c r="F651" s="1061"/>
      <c r="G651" s="1061"/>
      <c r="H651" s="625"/>
      <c r="I651" s="1061"/>
      <c r="J651" s="1061"/>
      <c r="K651" s="1061"/>
      <c r="L651" s="1061"/>
      <c r="M651" s="1061"/>
      <c r="N651" s="1061"/>
      <c r="O651" s="626"/>
    </row>
    <row r="652" spans="1:15" x14ac:dyDescent="0.25">
      <c r="A652" s="765"/>
      <c r="B652" s="624"/>
      <c r="C652" s="1061"/>
      <c r="D652" s="1061"/>
      <c r="E652" s="1061"/>
      <c r="F652" s="1061"/>
      <c r="G652" s="1061"/>
      <c r="H652" s="625"/>
      <c r="I652" s="1061"/>
      <c r="J652" s="1061"/>
      <c r="K652" s="1061"/>
      <c r="L652" s="1061"/>
      <c r="M652" s="1061"/>
      <c r="N652" s="1061"/>
      <c r="O652" s="626"/>
    </row>
    <row r="653" spans="1:15" x14ac:dyDescent="0.25">
      <c r="A653" s="765"/>
      <c r="B653" s="624"/>
      <c r="C653" s="1061"/>
      <c r="D653" s="1061"/>
      <c r="E653" s="1061"/>
      <c r="F653" s="1061"/>
      <c r="G653" s="1061"/>
      <c r="H653" s="625"/>
      <c r="I653" s="1061"/>
      <c r="J653" s="1061"/>
      <c r="K653" s="1061"/>
      <c r="L653" s="1061"/>
      <c r="M653" s="1061"/>
      <c r="N653" s="1061"/>
      <c r="O653" s="626"/>
    </row>
    <row r="654" spans="1:15" x14ac:dyDescent="0.25">
      <c r="A654" s="765"/>
      <c r="B654" s="624"/>
      <c r="C654" s="1061"/>
      <c r="D654" s="1061"/>
      <c r="E654" s="1061"/>
      <c r="F654" s="1061"/>
      <c r="G654" s="1061"/>
      <c r="H654" s="625"/>
      <c r="I654" s="1061"/>
      <c r="J654" s="1061"/>
      <c r="K654" s="1061"/>
      <c r="L654" s="1061"/>
      <c r="M654" s="1061"/>
      <c r="N654" s="1061"/>
      <c r="O654" s="626"/>
    </row>
    <row r="655" spans="1:15" x14ac:dyDescent="0.25">
      <c r="A655" s="765"/>
      <c r="B655" s="624"/>
      <c r="C655" s="1061"/>
      <c r="D655" s="1061"/>
      <c r="E655" s="1061"/>
      <c r="F655" s="1061"/>
      <c r="G655" s="1061"/>
      <c r="H655" s="625"/>
      <c r="I655" s="1061"/>
      <c r="J655" s="1061"/>
      <c r="K655" s="1061"/>
      <c r="L655" s="1061"/>
      <c r="M655" s="1061"/>
      <c r="N655" s="1061"/>
      <c r="O655" s="626"/>
    </row>
    <row r="656" spans="1:15" x14ac:dyDescent="0.25">
      <c r="A656" s="765"/>
      <c r="B656" s="624"/>
      <c r="C656" s="1061"/>
      <c r="D656" s="1061"/>
      <c r="E656" s="1061"/>
      <c r="F656" s="1061"/>
      <c r="G656" s="1061"/>
      <c r="H656" s="625"/>
      <c r="I656" s="1061"/>
      <c r="J656" s="1061"/>
      <c r="K656" s="1061"/>
      <c r="L656" s="1061"/>
      <c r="M656" s="1061"/>
      <c r="N656" s="1061"/>
      <c r="O656" s="626"/>
    </row>
    <row r="657" spans="1:15" x14ac:dyDescent="0.25">
      <c r="A657" s="765"/>
      <c r="B657" s="624"/>
      <c r="C657" s="1061"/>
      <c r="D657" s="1061"/>
      <c r="E657" s="1061"/>
      <c r="F657" s="1061"/>
      <c r="G657" s="1061"/>
      <c r="H657" s="625"/>
      <c r="I657" s="1061"/>
      <c r="J657" s="1061"/>
      <c r="K657" s="1061"/>
      <c r="L657" s="1061"/>
      <c r="M657" s="1061"/>
      <c r="N657" s="1061"/>
      <c r="O657" s="626"/>
    </row>
    <row r="658" spans="1:15" x14ac:dyDescent="0.25">
      <c r="A658" s="765"/>
      <c r="B658" s="624"/>
      <c r="C658" s="1061"/>
      <c r="D658" s="1061"/>
      <c r="E658" s="1061"/>
      <c r="F658" s="1061"/>
      <c r="G658" s="1061"/>
      <c r="H658" s="625"/>
      <c r="I658" s="1061"/>
      <c r="J658" s="1061"/>
      <c r="K658" s="1061"/>
      <c r="L658" s="1061"/>
      <c r="M658" s="1061"/>
      <c r="N658" s="1061"/>
      <c r="O658" s="626"/>
    </row>
    <row r="659" spans="1:15" x14ac:dyDescent="0.25">
      <c r="A659" s="765"/>
      <c r="B659" s="624"/>
      <c r="C659" s="1061"/>
      <c r="D659" s="1061"/>
      <c r="E659" s="1061"/>
      <c r="F659" s="1061"/>
      <c r="G659" s="1061"/>
      <c r="H659" s="625"/>
      <c r="I659" s="1061"/>
      <c r="J659" s="1061"/>
      <c r="K659" s="1061"/>
      <c r="L659" s="1061"/>
      <c r="M659" s="1061"/>
      <c r="N659" s="1061"/>
      <c r="O659" s="626"/>
    </row>
    <row r="660" spans="1:15" x14ac:dyDescent="0.25">
      <c r="A660" s="765"/>
      <c r="B660" s="624"/>
      <c r="C660" s="1061"/>
      <c r="D660" s="1061"/>
      <c r="E660" s="1061"/>
      <c r="F660" s="1061"/>
      <c r="G660" s="1061"/>
      <c r="H660" s="625"/>
      <c r="I660" s="1061"/>
      <c r="J660" s="1061"/>
      <c r="K660" s="1061"/>
      <c r="L660" s="1061"/>
      <c r="M660" s="1061"/>
      <c r="N660" s="1061"/>
      <c r="O660" s="626"/>
    </row>
    <row r="661" spans="1:15" x14ac:dyDescent="0.25">
      <c r="A661" s="765"/>
      <c r="B661" s="624"/>
      <c r="C661" s="1061"/>
      <c r="D661" s="1061"/>
      <c r="E661" s="1061"/>
      <c r="F661" s="1061"/>
      <c r="G661" s="1061"/>
      <c r="H661" s="625"/>
      <c r="I661" s="1061"/>
      <c r="J661" s="1061"/>
      <c r="K661" s="1061"/>
      <c r="L661" s="1061"/>
      <c r="M661" s="1061"/>
      <c r="N661" s="1061"/>
      <c r="O661" s="626"/>
    </row>
    <row r="662" spans="1:15" x14ac:dyDescent="0.25">
      <c r="A662" s="765"/>
      <c r="B662" s="624"/>
      <c r="C662" s="1061"/>
      <c r="D662" s="1061"/>
      <c r="E662" s="1061"/>
      <c r="F662" s="1061"/>
      <c r="G662" s="1061"/>
      <c r="H662" s="625"/>
      <c r="I662" s="1061"/>
      <c r="J662" s="1061"/>
      <c r="K662" s="1061"/>
      <c r="L662" s="1061"/>
      <c r="M662" s="1061"/>
      <c r="N662" s="1061"/>
      <c r="O662" s="626"/>
    </row>
    <row r="663" spans="1:15" x14ac:dyDescent="0.25">
      <c r="A663" s="765"/>
      <c r="B663" s="624"/>
      <c r="C663" s="1061"/>
      <c r="D663" s="1061"/>
      <c r="E663" s="1061"/>
      <c r="F663" s="1061"/>
      <c r="G663" s="1061"/>
      <c r="H663" s="625"/>
      <c r="I663" s="1061"/>
      <c r="J663" s="1061"/>
      <c r="K663" s="1061"/>
      <c r="L663" s="1061"/>
      <c r="M663" s="1061"/>
      <c r="N663" s="1061"/>
      <c r="O663" s="626"/>
    </row>
    <row r="664" spans="1:15" x14ac:dyDescent="0.25">
      <c r="A664" s="765"/>
      <c r="B664" s="624"/>
      <c r="C664" s="1061"/>
      <c r="D664" s="1061"/>
      <c r="E664" s="1061"/>
      <c r="F664" s="1061"/>
      <c r="G664" s="1061"/>
      <c r="H664" s="625"/>
      <c r="I664" s="1061"/>
      <c r="J664" s="1061"/>
      <c r="K664" s="1061"/>
      <c r="L664" s="1061"/>
      <c r="M664" s="1061"/>
      <c r="N664" s="1061"/>
      <c r="O664" s="626"/>
    </row>
    <row r="665" spans="1:15" x14ac:dyDescent="0.25">
      <c r="A665" s="765"/>
      <c r="B665" s="624"/>
      <c r="C665" s="1061"/>
      <c r="D665" s="1061"/>
      <c r="E665" s="1061"/>
      <c r="F665" s="1061"/>
      <c r="G665" s="1061"/>
      <c r="H665" s="625"/>
      <c r="I665" s="1061"/>
      <c r="J665" s="1061"/>
      <c r="K665" s="1061"/>
      <c r="L665" s="1061"/>
      <c r="M665" s="1061"/>
      <c r="N665" s="1061"/>
      <c r="O665" s="626"/>
    </row>
    <row r="666" spans="1:15" x14ac:dyDescent="0.25">
      <c r="A666" s="765"/>
      <c r="B666" s="624"/>
      <c r="C666" s="1061"/>
      <c r="D666" s="1061"/>
      <c r="E666" s="1061"/>
      <c r="F666" s="1061"/>
      <c r="G666" s="1061"/>
      <c r="H666" s="625"/>
      <c r="I666" s="1061"/>
      <c r="J666" s="1061"/>
      <c r="K666" s="1061"/>
      <c r="L666" s="1061"/>
      <c r="M666" s="1061"/>
      <c r="N666" s="1061"/>
      <c r="O666" s="626"/>
    </row>
    <row r="667" spans="1:15" x14ac:dyDescent="0.25">
      <c r="A667" s="765"/>
      <c r="B667" s="624"/>
      <c r="C667" s="1061"/>
      <c r="D667" s="1061"/>
      <c r="E667" s="1061"/>
      <c r="F667" s="1061"/>
      <c r="G667" s="1061"/>
      <c r="H667" s="625"/>
      <c r="I667" s="1061"/>
      <c r="J667" s="1061"/>
      <c r="K667" s="1061"/>
      <c r="L667" s="1061"/>
      <c r="M667" s="1061"/>
      <c r="N667" s="1061"/>
      <c r="O667" s="626"/>
    </row>
    <row r="668" spans="1:15" x14ac:dyDescent="0.25">
      <c r="A668" s="765"/>
      <c r="B668" s="624"/>
      <c r="C668" s="1061"/>
      <c r="D668" s="1061"/>
      <c r="E668" s="1061"/>
      <c r="F668" s="1061"/>
      <c r="G668" s="1061"/>
      <c r="H668" s="625"/>
      <c r="I668" s="1061"/>
      <c r="J668" s="1061"/>
      <c r="K668" s="1061"/>
      <c r="L668" s="1061"/>
      <c r="M668" s="1061"/>
      <c r="N668" s="1061"/>
      <c r="O668" s="626"/>
    </row>
    <row r="669" spans="1:15" x14ac:dyDescent="0.25">
      <c r="A669" s="765"/>
      <c r="B669" s="624"/>
      <c r="C669" s="1061"/>
      <c r="D669" s="1061"/>
      <c r="E669" s="1061"/>
      <c r="F669" s="1061"/>
      <c r="G669" s="1061"/>
      <c r="H669" s="625"/>
      <c r="I669" s="1061"/>
      <c r="J669" s="1061"/>
      <c r="K669" s="1061"/>
      <c r="L669" s="1061"/>
      <c r="M669" s="1061"/>
      <c r="N669" s="1061"/>
      <c r="O669" s="626"/>
    </row>
    <row r="670" spans="1:15" x14ac:dyDescent="0.25">
      <c r="A670" s="765"/>
      <c r="B670" s="624"/>
      <c r="C670" s="1061"/>
      <c r="D670" s="1061"/>
      <c r="E670" s="1061"/>
      <c r="F670" s="1061"/>
      <c r="G670" s="1061"/>
      <c r="H670" s="625"/>
      <c r="I670" s="1061"/>
      <c r="J670" s="1061"/>
      <c r="K670" s="1061"/>
      <c r="L670" s="1061"/>
      <c r="M670" s="1061"/>
      <c r="N670" s="1061"/>
      <c r="O670" s="626"/>
    </row>
    <row r="671" spans="1:15" x14ac:dyDescent="0.25">
      <c r="A671" s="765"/>
      <c r="B671" s="624"/>
      <c r="C671" s="1061"/>
      <c r="D671" s="1061"/>
      <c r="E671" s="1061"/>
      <c r="F671" s="1061"/>
      <c r="G671" s="1061"/>
      <c r="H671" s="625"/>
      <c r="I671" s="1061"/>
      <c r="J671" s="1061"/>
      <c r="K671" s="1061"/>
      <c r="L671" s="1061"/>
      <c r="M671" s="1061"/>
      <c r="N671" s="1061"/>
      <c r="O671" s="626"/>
    </row>
    <row r="672" spans="1:15" x14ac:dyDescent="0.25">
      <c r="A672" s="765"/>
      <c r="B672" s="624"/>
      <c r="C672" s="1061"/>
      <c r="D672" s="1061"/>
      <c r="E672" s="1061"/>
      <c r="F672" s="1061"/>
      <c r="G672" s="1061"/>
      <c r="H672" s="625"/>
      <c r="I672" s="1061"/>
      <c r="J672" s="1061"/>
      <c r="K672" s="1061"/>
      <c r="L672" s="1061"/>
      <c r="M672" s="1061"/>
      <c r="N672" s="1061"/>
      <c r="O672" s="626"/>
    </row>
    <row r="673" spans="1:15" x14ac:dyDescent="0.25">
      <c r="A673" s="765"/>
      <c r="B673" s="624"/>
      <c r="C673" s="1061"/>
      <c r="D673" s="1061"/>
      <c r="E673" s="1061"/>
      <c r="F673" s="1061"/>
      <c r="G673" s="1061"/>
      <c r="H673" s="625"/>
      <c r="I673" s="1061"/>
      <c r="J673" s="1061"/>
      <c r="K673" s="1061"/>
      <c r="L673" s="1061"/>
      <c r="M673" s="1061"/>
      <c r="N673" s="1061"/>
      <c r="O673" s="626"/>
    </row>
    <row r="674" spans="1:15" x14ac:dyDescent="0.25">
      <c r="A674" s="765"/>
      <c r="B674" s="624"/>
      <c r="C674" s="1061"/>
      <c r="D674" s="1061"/>
      <c r="E674" s="1061"/>
      <c r="F674" s="1061"/>
      <c r="G674" s="1061"/>
      <c r="H674" s="625"/>
      <c r="I674" s="1061"/>
      <c r="J674" s="1061"/>
      <c r="K674" s="1061"/>
      <c r="L674" s="1061"/>
      <c r="M674" s="1061"/>
      <c r="N674" s="1061"/>
      <c r="O674" s="626"/>
    </row>
    <row r="675" spans="1:15" x14ac:dyDescent="0.25">
      <c r="A675" s="765"/>
      <c r="B675" s="624"/>
      <c r="C675" s="1061"/>
      <c r="D675" s="1061"/>
      <c r="E675" s="1061"/>
      <c r="F675" s="1061"/>
      <c r="G675" s="1061"/>
      <c r="H675" s="625"/>
      <c r="I675" s="1061"/>
      <c r="J675" s="1061"/>
      <c r="K675" s="1061"/>
      <c r="L675" s="1061"/>
      <c r="M675" s="1061"/>
      <c r="N675" s="1061"/>
      <c r="O675" s="626"/>
    </row>
    <row r="676" spans="1:15" x14ac:dyDescent="0.25">
      <c r="A676" s="765"/>
      <c r="B676" s="624"/>
      <c r="C676" s="1061"/>
      <c r="D676" s="1061"/>
      <c r="E676" s="1061"/>
      <c r="F676" s="1061"/>
      <c r="G676" s="1061"/>
      <c r="H676" s="625"/>
      <c r="I676" s="1061"/>
      <c r="J676" s="1061"/>
      <c r="K676" s="1061"/>
      <c r="L676" s="1061"/>
      <c r="M676" s="1061"/>
      <c r="N676" s="1061"/>
      <c r="O676" s="626"/>
    </row>
    <row r="677" spans="1:15" x14ac:dyDescent="0.25">
      <c r="A677" s="765"/>
      <c r="B677" s="624"/>
      <c r="C677" s="1061"/>
      <c r="D677" s="1061"/>
      <c r="E677" s="1061"/>
      <c r="F677" s="1061"/>
      <c r="G677" s="1061"/>
      <c r="H677" s="625"/>
      <c r="I677" s="1061"/>
      <c r="J677" s="1061"/>
      <c r="K677" s="1061"/>
      <c r="L677" s="1061"/>
      <c r="M677" s="1061"/>
      <c r="N677" s="1061"/>
      <c r="O677" s="626"/>
    </row>
    <row r="678" spans="1:15" x14ac:dyDescent="0.25">
      <c r="A678" s="765"/>
      <c r="B678" s="624"/>
      <c r="C678" s="1061"/>
      <c r="D678" s="1061"/>
      <c r="E678" s="1061"/>
      <c r="F678" s="1061"/>
      <c r="G678" s="1061"/>
      <c r="H678" s="625"/>
      <c r="I678" s="1061"/>
      <c r="J678" s="1061"/>
      <c r="K678" s="1061"/>
      <c r="L678" s="1061"/>
      <c r="M678" s="1061"/>
      <c r="N678" s="1061"/>
      <c r="O678" s="626"/>
    </row>
    <row r="679" spans="1:15" x14ac:dyDescent="0.25">
      <c r="A679" s="765"/>
      <c r="B679" s="624"/>
      <c r="C679" s="1061"/>
      <c r="D679" s="1061"/>
      <c r="E679" s="1061"/>
      <c r="F679" s="1061"/>
      <c r="G679" s="1061"/>
      <c r="H679" s="625"/>
      <c r="I679" s="1061"/>
      <c r="J679" s="1061"/>
      <c r="K679" s="1061"/>
      <c r="L679" s="1061"/>
      <c r="M679" s="1061"/>
      <c r="N679" s="1061"/>
      <c r="O679" s="626"/>
    </row>
    <row r="680" spans="1:15" x14ac:dyDescent="0.25">
      <c r="A680" s="765"/>
      <c r="B680" s="624"/>
      <c r="C680" s="1061"/>
      <c r="D680" s="1061"/>
      <c r="E680" s="1061"/>
      <c r="F680" s="1061"/>
      <c r="G680" s="1061"/>
      <c r="H680" s="625"/>
      <c r="I680" s="1061"/>
      <c r="J680" s="1061"/>
      <c r="K680" s="1061"/>
      <c r="L680" s="1061"/>
      <c r="M680" s="1061"/>
      <c r="N680" s="1061"/>
      <c r="O680" s="626"/>
    </row>
    <row r="681" spans="1:15" x14ac:dyDescent="0.25">
      <c r="A681" s="765"/>
      <c r="B681" s="624"/>
      <c r="C681" s="1061"/>
      <c r="D681" s="1061"/>
      <c r="E681" s="1061"/>
      <c r="F681" s="1061"/>
      <c r="G681" s="1061"/>
      <c r="H681" s="625"/>
      <c r="I681" s="1061"/>
      <c r="J681" s="1061"/>
      <c r="K681" s="1061"/>
      <c r="L681" s="1061"/>
      <c r="M681" s="1061"/>
      <c r="N681" s="1061"/>
      <c r="O681" s="626"/>
    </row>
    <row r="682" spans="1:15" x14ac:dyDescent="0.25">
      <c r="A682" s="765"/>
      <c r="B682" s="624"/>
      <c r="C682" s="1061"/>
      <c r="D682" s="1061"/>
      <c r="E682" s="1061"/>
      <c r="F682" s="1061"/>
      <c r="G682" s="1061"/>
      <c r="H682" s="625"/>
      <c r="I682" s="1061"/>
      <c r="J682" s="1061"/>
      <c r="K682" s="1061"/>
      <c r="L682" s="1061"/>
      <c r="M682" s="1061"/>
      <c r="N682" s="1061"/>
      <c r="O682" s="626"/>
    </row>
    <row r="683" spans="1:15" x14ac:dyDescent="0.25">
      <c r="A683" s="765"/>
      <c r="B683" s="624"/>
      <c r="C683" s="1061"/>
      <c r="D683" s="1061"/>
      <c r="E683" s="1061"/>
      <c r="F683" s="1061"/>
      <c r="G683" s="1061"/>
      <c r="H683" s="625"/>
      <c r="I683" s="1061"/>
      <c r="J683" s="1061"/>
      <c r="K683" s="1061"/>
      <c r="L683" s="1061"/>
      <c r="M683" s="1061"/>
      <c r="N683" s="1061"/>
      <c r="O683" s="626"/>
    </row>
    <row r="684" spans="1:15" x14ac:dyDescent="0.25">
      <c r="A684" s="765"/>
      <c r="B684" s="624"/>
      <c r="C684" s="1061"/>
      <c r="D684" s="1061"/>
      <c r="E684" s="1061"/>
      <c r="F684" s="1061"/>
      <c r="G684" s="1061"/>
      <c r="H684" s="625"/>
      <c r="I684" s="1061"/>
      <c r="J684" s="1061"/>
      <c r="K684" s="1061"/>
      <c r="L684" s="1061"/>
      <c r="M684" s="1061"/>
      <c r="N684" s="1061"/>
      <c r="O684" s="626"/>
    </row>
    <row r="685" spans="1:15" x14ac:dyDescent="0.25">
      <c r="A685" s="765"/>
      <c r="B685" s="624"/>
      <c r="C685" s="1061"/>
      <c r="D685" s="1061"/>
      <c r="E685" s="1061"/>
      <c r="F685" s="1061"/>
      <c r="G685" s="1061"/>
      <c r="H685" s="625"/>
      <c r="I685" s="1061"/>
      <c r="J685" s="1061"/>
      <c r="K685" s="1061"/>
      <c r="L685" s="1061"/>
      <c r="M685" s="1061"/>
      <c r="N685" s="1061"/>
      <c r="O685" s="626"/>
    </row>
    <row r="686" spans="1:15" x14ac:dyDescent="0.25">
      <c r="A686" s="765"/>
      <c r="B686" s="624"/>
      <c r="C686" s="1061"/>
      <c r="D686" s="1061"/>
      <c r="E686" s="1061"/>
      <c r="F686" s="1061"/>
      <c r="G686" s="1061"/>
      <c r="H686" s="625"/>
      <c r="I686" s="1061"/>
      <c r="J686" s="1061"/>
      <c r="K686" s="1061"/>
      <c r="L686" s="1061"/>
      <c r="M686" s="1061"/>
      <c r="N686" s="1061"/>
      <c r="O686" s="626"/>
    </row>
    <row r="687" spans="1:15" x14ac:dyDescent="0.25">
      <c r="A687" s="765"/>
      <c r="B687" s="624"/>
      <c r="C687" s="1061"/>
      <c r="D687" s="1061"/>
      <c r="E687" s="1061"/>
      <c r="F687" s="1061"/>
      <c r="G687" s="1061"/>
      <c r="H687" s="625"/>
      <c r="I687" s="1061"/>
      <c r="J687" s="1061"/>
      <c r="K687" s="1061"/>
      <c r="L687" s="1061"/>
      <c r="M687" s="1061"/>
      <c r="N687" s="1061"/>
      <c r="O687" s="626"/>
    </row>
    <row r="688" spans="1:15" x14ac:dyDescent="0.25">
      <c r="A688" s="765"/>
      <c r="B688" s="624"/>
      <c r="C688" s="1061"/>
      <c r="D688" s="1061"/>
      <c r="E688" s="1061"/>
      <c r="F688" s="1061"/>
      <c r="G688" s="1061"/>
      <c r="H688" s="625"/>
      <c r="I688" s="1061"/>
      <c r="J688" s="1061"/>
      <c r="K688" s="1061"/>
      <c r="L688" s="1061"/>
      <c r="M688" s="1061"/>
      <c r="N688" s="1061"/>
      <c r="O688" s="626"/>
    </row>
    <row r="689" spans="1:15" x14ac:dyDescent="0.25">
      <c r="A689" s="765"/>
      <c r="B689" s="624"/>
      <c r="C689" s="1061"/>
      <c r="D689" s="1061"/>
      <c r="E689" s="1061"/>
      <c r="F689" s="1061"/>
      <c r="G689" s="1061"/>
      <c r="H689" s="625"/>
      <c r="I689" s="1061"/>
      <c r="J689" s="1061"/>
      <c r="K689" s="1061"/>
      <c r="L689" s="1061"/>
      <c r="M689" s="1061"/>
      <c r="N689" s="1061"/>
      <c r="O689" s="626"/>
    </row>
    <row r="690" spans="1:15" x14ac:dyDescent="0.25">
      <c r="A690" s="765"/>
      <c r="B690" s="624"/>
      <c r="C690" s="1061"/>
      <c r="D690" s="1061"/>
      <c r="E690" s="1061"/>
      <c r="F690" s="1061"/>
      <c r="G690" s="1061"/>
      <c r="H690" s="625"/>
      <c r="I690" s="1061"/>
      <c r="J690" s="1061"/>
      <c r="K690" s="1061"/>
      <c r="L690" s="1061"/>
      <c r="M690" s="1061"/>
      <c r="N690" s="1061"/>
      <c r="O690" s="626"/>
    </row>
    <row r="691" spans="1:15" x14ac:dyDescent="0.25">
      <c r="A691" s="765"/>
      <c r="B691" s="624"/>
      <c r="C691" s="1061"/>
      <c r="D691" s="1061"/>
      <c r="E691" s="1061"/>
      <c r="F691" s="1061"/>
      <c r="G691" s="1061"/>
      <c r="H691" s="625"/>
      <c r="I691" s="1061"/>
      <c r="J691" s="1061"/>
      <c r="K691" s="1061"/>
      <c r="L691" s="1061"/>
      <c r="M691" s="1061"/>
      <c r="N691" s="1061"/>
      <c r="O691" s="626"/>
    </row>
    <row r="692" spans="1:15" x14ac:dyDescent="0.25">
      <c r="A692" s="765"/>
      <c r="B692" s="624"/>
      <c r="C692" s="1061"/>
      <c r="D692" s="1061"/>
      <c r="E692" s="1061"/>
      <c r="F692" s="1061"/>
      <c r="G692" s="1061"/>
      <c r="H692" s="625"/>
      <c r="I692" s="1061"/>
      <c r="J692" s="1061"/>
      <c r="K692" s="1061"/>
      <c r="L692" s="1061"/>
      <c r="M692" s="1061"/>
      <c r="N692" s="1061"/>
      <c r="O692" s="626"/>
    </row>
    <row r="693" spans="1:15" x14ac:dyDescent="0.25">
      <c r="A693" s="765"/>
      <c r="B693" s="624"/>
      <c r="C693" s="1061"/>
      <c r="D693" s="1061"/>
      <c r="E693" s="1061"/>
      <c r="F693" s="1061"/>
      <c r="G693" s="1061"/>
      <c r="H693" s="625"/>
      <c r="I693" s="1061"/>
      <c r="J693" s="1061"/>
      <c r="K693" s="1061"/>
      <c r="L693" s="1061"/>
      <c r="M693" s="1061"/>
      <c r="N693" s="1061"/>
      <c r="O693" s="626"/>
    </row>
    <row r="694" spans="1:15" x14ac:dyDescent="0.25">
      <c r="A694" s="765"/>
      <c r="B694" s="624"/>
      <c r="C694" s="1061"/>
      <c r="D694" s="1061"/>
      <c r="E694" s="1061"/>
      <c r="F694" s="1061"/>
      <c r="G694" s="1061"/>
      <c r="H694" s="625"/>
      <c r="I694" s="1061"/>
      <c r="J694" s="1061"/>
      <c r="K694" s="1061"/>
      <c r="L694" s="1061"/>
      <c r="M694" s="1061"/>
      <c r="N694" s="1061"/>
      <c r="O694" s="626"/>
    </row>
    <row r="695" spans="1:15" x14ac:dyDescent="0.25">
      <c r="A695" s="765"/>
      <c r="B695" s="624"/>
      <c r="C695" s="1061"/>
      <c r="D695" s="1061"/>
      <c r="E695" s="1061"/>
      <c r="F695" s="1061"/>
      <c r="G695" s="1061"/>
      <c r="H695" s="625"/>
      <c r="I695" s="1061"/>
      <c r="J695" s="1061"/>
      <c r="K695" s="1061"/>
      <c r="L695" s="1061"/>
      <c r="M695" s="1061"/>
      <c r="N695" s="1061"/>
      <c r="O695" s="626"/>
    </row>
    <row r="696" spans="1:15" x14ac:dyDescent="0.25">
      <c r="A696" s="765"/>
      <c r="B696" s="624"/>
      <c r="C696" s="1061"/>
      <c r="D696" s="1061"/>
      <c r="E696" s="1061"/>
      <c r="F696" s="1061"/>
      <c r="G696" s="1061"/>
      <c r="H696" s="625"/>
      <c r="I696" s="1061"/>
      <c r="J696" s="1061"/>
      <c r="K696" s="1061"/>
      <c r="L696" s="1061"/>
      <c r="M696" s="1061"/>
      <c r="N696" s="1061"/>
      <c r="O696" s="626"/>
    </row>
    <row r="697" spans="1:15" x14ac:dyDescent="0.25">
      <c r="A697" s="765"/>
      <c r="B697" s="624"/>
      <c r="C697" s="1061"/>
      <c r="D697" s="1061"/>
      <c r="E697" s="1061"/>
      <c r="F697" s="1061"/>
      <c r="G697" s="1061"/>
      <c r="H697" s="625"/>
      <c r="I697" s="1061"/>
      <c r="J697" s="1061"/>
      <c r="K697" s="1061"/>
      <c r="L697" s="1061"/>
      <c r="M697" s="1061"/>
      <c r="N697" s="1061"/>
      <c r="O697" s="626"/>
    </row>
    <row r="698" spans="1:15" x14ac:dyDescent="0.25">
      <c r="A698" s="765"/>
      <c r="B698" s="624"/>
      <c r="C698" s="1061"/>
      <c r="D698" s="1061"/>
      <c r="E698" s="1061"/>
      <c r="F698" s="1061"/>
      <c r="G698" s="1061"/>
      <c r="H698" s="625"/>
      <c r="I698" s="1061"/>
      <c r="J698" s="1061"/>
      <c r="K698" s="1061"/>
      <c r="L698" s="1061"/>
      <c r="M698" s="1061"/>
      <c r="N698" s="1061"/>
      <c r="O698" s="626"/>
    </row>
    <row r="699" spans="1:15" x14ac:dyDescent="0.25">
      <c r="A699" s="765"/>
      <c r="B699" s="624"/>
      <c r="C699" s="1061"/>
      <c r="D699" s="1061"/>
      <c r="E699" s="1061"/>
      <c r="F699" s="1061"/>
      <c r="G699" s="1061"/>
      <c r="H699" s="625"/>
      <c r="I699" s="1061"/>
      <c r="J699" s="1061"/>
      <c r="K699" s="1061"/>
      <c r="L699" s="1061"/>
      <c r="M699" s="1061"/>
      <c r="N699" s="1061"/>
      <c r="O699" s="626"/>
    </row>
    <row r="700" spans="1:15" x14ac:dyDescent="0.25">
      <c r="A700" s="765"/>
      <c r="B700" s="624"/>
      <c r="C700" s="1061"/>
      <c r="D700" s="1061"/>
      <c r="E700" s="1061"/>
      <c r="F700" s="1061"/>
      <c r="G700" s="1061"/>
      <c r="H700" s="625"/>
      <c r="I700" s="1061"/>
      <c r="J700" s="1061"/>
      <c r="K700" s="1061"/>
      <c r="L700" s="1061"/>
      <c r="M700" s="1061"/>
      <c r="N700" s="1061"/>
      <c r="O700" s="626"/>
    </row>
    <row r="701" spans="1:15" x14ac:dyDescent="0.25">
      <c r="A701" s="765"/>
      <c r="B701" s="624"/>
      <c r="C701" s="1061"/>
      <c r="D701" s="1061"/>
      <c r="E701" s="1061"/>
      <c r="F701" s="1061"/>
      <c r="G701" s="1061"/>
      <c r="H701" s="625"/>
      <c r="I701" s="1061"/>
      <c r="J701" s="1061"/>
      <c r="K701" s="1061"/>
      <c r="L701" s="1061"/>
      <c r="M701" s="1061"/>
      <c r="N701" s="1061"/>
      <c r="O701" s="626"/>
    </row>
    <row r="702" spans="1:15" x14ac:dyDescent="0.25">
      <c r="A702" s="765"/>
      <c r="B702" s="624"/>
      <c r="C702" s="1061"/>
      <c r="D702" s="1061"/>
      <c r="E702" s="1061"/>
      <c r="F702" s="1061"/>
      <c r="G702" s="1061"/>
      <c r="H702" s="625"/>
      <c r="I702" s="1061"/>
      <c r="J702" s="1061"/>
      <c r="K702" s="1061"/>
      <c r="L702" s="1061"/>
      <c r="M702" s="1061"/>
      <c r="N702" s="1061"/>
      <c r="O702" s="626"/>
    </row>
    <row r="703" spans="1:15" x14ac:dyDescent="0.25">
      <c r="A703" s="765"/>
      <c r="B703" s="624"/>
      <c r="C703" s="1061"/>
      <c r="D703" s="1061"/>
      <c r="E703" s="1061"/>
      <c r="F703" s="1061"/>
      <c r="G703" s="1061"/>
      <c r="H703" s="625"/>
      <c r="I703" s="1061"/>
      <c r="J703" s="1061"/>
      <c r="K703" s="1061"/>
      <c r="L703" s="1061"/>
      <c r="M703" s="1061"/>
      <c r="N703" s="1061"/>
      <c r="O703" s="626"/>
    </row>
    <row r="704" spans="1:15" x14ac:dyDescent="0.25">
      <c r="A704" s="765"/>
      <c r="B704" s="624"/>
      <c r="C704" s="1061"/>
      <c r="D704" s="1061"/>
      <c r="E704" s="1061"/>
      <c r="F704" s="1061"/>
      <c r="G704" s="1061"/>
      <c r="H704" s="625"/>
      <c r="I704" s="1061"/>
      <c r="J704" s="1061"/>
      <c r="K704" s="1061"/>
      <c r="L704" s="1061"/>
      <c r="M704" s="1061"/>
      <c r="N704" s="1061"/>
      <c r="O704" s="626"/>
    </row>
    <row r="705" spans="1:15" x14ac:dyDescent="0.25">
      <c r="A705" s="765"/>
      <c r="B705" s="624"/>
      <c r="C705" s="1061"/>
      <c r="D705" s="1061"/>
      <c r="E705" s="1061"/>
      <c r="F705" s="1061"/>
      <c r="G705" s="1061"/>
      <c r="H705" s="625"/>
      <c r="I705" s="1061"/>
      <c r="J705" s="1061"/>
      <c r="K705" s="1061"/>
      <c r="L705" s="1061"/>
      <c r="M705" s="1061"/>
      <c r="N705" s="1061"/>
      <c r="O705" s="626"/>
    </row>
    <row r="706" spans="1:15" x14ac:dyDescent="0.25">
      <c r="A706" s="765"/>
      <c r="B706" s="624"/>
      <c r="C706" s="1061"/>
      <c r="D706" s="1061"/>
      <c r="E706" s="1061"/>
      <c r="F706" s="1061"/>
      <c r="G706" s="1061"/>
      <c r="H706" s="625"/>
      <c r="I706" s="1061"/>
      <c r="J706" s="1061"/>
      <c r="K706" s="1061"/>
      <c r="L706" s="1061"/>
      <c r="M706" s="1061"/>
      <c r="N706" s="1061"/>
      <c r="O706" s="626"/>
    </row>
    <row r="707" spans="1:15" x14ac:dyDescent="0.25">
      <c r="A707" s="765"/>
      <c r="B707" s="624"/>
      <c r="C707" s="1061"/>
      <c r="D707" s="1061"/>
      <c r="E707" s="1061"/>
      <c r="F707" s="1061"/>
      <c r="G707" s="1061"/>
      <c r="H707" s="625"/>
      <c r="I707" s="1061"/>
      <c r="J707" s="1061"/>
      <c r="K707" s="1061"/>
      <c r="L707" s="1061"/>
      <c r="M707" s="1061"/>
      <c r="N707" s="1061"/>
      <c r="O707" s="626"/>
    </row>
    <row r="708" spans="1:15" x14ac:dyDescent="0.25">
      <c r="A708" s="765"/>
      <c r="B708" s="624"/>
      <c r="C708" s="1061"/>
      <c r="D708" s="1061"/>
      <c r="E708" s="1061"/>
      <c r="F708" s="1061"/>
      <c r="G708" s="1061"/>
      <c r="H708" s="625"/>
      <c r="I708" s="1061"/>
      <c r="J708" s="1061"/>
      <c r="K708" s="1061"/>
      <c r="L708" s="1061"/>
      <c r="M708" s="1061"/>
      <c r="N708" s="1061"/>
      <c r="O708" s="626"/>
    </row>
    <row r="709" spans="1:15" x14ac:dyDescent="0.25">
      <c r="A709" s="765"/>
      <c r="B709" s="624"/>
      <c r="C709" s="1061"/>
      <c r="D709" s="1061"/>
      <c r="E709" s="1061"/>
      <c r="F709" s="1061"/>
      <c r="G709" s="1061"/>
      <c r="H709" s="625"/>
      <c r="I709" s="1061"/>
      <c r="J709" s="1061"/>
      <c r="K709" s="1061"/>
      <c r="L709" s="1061"/>
      <c r="M709" s="1061"/>
      <c r="N709" s="1061"/>
      <c r="O709" s="626"/>
    </row>
    <row r="710" spans="1:15" x14ac:dyDescent="0.25">
      <c r="A710" s="765"/>
      <c r="B710" s="624"/>
      <c r="C710" s="1061"/>
      <c r="D710" s="1061"/>
      <c r="E710" s="1061"/>
      <c r="F710" s="1061"/>
      <c r="G710" s="1061"/>
      <c r="H710" s="625"/>
      <c r="I710" s="1061"/>
      <c r="J710" s="1061"/>
      <c r="K710" s="1061"/>
      <c r="L710" s="1061"/>
      <c r="M710" s="1061"/>
      <c r="N710" s="1061"/>
      <c r="O710" s="626"/>
    </row>
    <row r="711" spans="1:15" x14ac:dyDescent="0.25">
      <c r="A711" s="765"/>
      <c r="B711" s="624"/>
      <c r="C711" s="1061"/>
      <c r="D711" s="1061"/>
      <c r="E711" s="1061"/>
      <c r="F711" s="1061"/>
      <c r="G711" s="1061"/>
      <c r="H711" s="625"/>
      <c r="I711" s="1061"/>
      <c r="J711" s="1061"/>
      <c r="K711" s="1061"/>
      <c r="L711" s="1061"/>
      <c r="M711" s="1061"/>
      <c r="N711" s="1061"/>
      <c r="O711" s="626"/>
    </row>
    <row r="712" spans="1:15" x14ac:dyDescent="0.25">
      <c r="A712" s="765"/>
      <c r="B712" s="624"/>
      <c r="C712" s="1061"/>
      <c r="D712" s="1061"/>
      <c r="E712" s="1061"/>
      <c r="F712" s="1061"/>
      <c r="G712" s="1061"/>
      <c r="H712" s="625"/>
      <c r="I712" s="1061"/>
      <c r="J712" s="1061"/>
      <c r="K712" s="1061"/>
      <c r="L712" s="1061"/>
      <c r="M712" s="1061"/>
      <c r="N712" s="1061"/>
      <c r="O712" s="626"/>
    </row>
    <row r="713" spans="1:15" x14ac:dyDescent="0.25">
      <c r="A713" s="765"/>
      <c r="B713" s="624"/>
      <c r="C713" s="1061"/>
      <c r="D713" s="1061"/>
      <c r="E713" s="1061"/>
      <c r="F713" s="1061"/>
      <c r="G713" s="1061"/>
      <c r="H713" s="625"/>
      <c r="I713" s="1061"/>
      <c r="J713" s="1061"/>
      <c r="K713" s="1061"/>
      <c r="L713" s="1061"/>
      <c r="M713" s="1061"/>
      <c r="N713" s="1061"/>
      <c r="O713" s="626"/>
    </row>
    <row r="714" spans="1:15" x14ac:dyDescent="0.25">
      <c r="A714" s="765"/>
      <c r="B714" s="624"/>
      <c r="C714" s="1061"/>
      <c r="D714" s="1061"/>
      <c r="E714" s="1061"/>
      <c r="F714" s="1061"/>
      <c r="G714" s="1061"/>
      <c r="H714" s="625"/>
      <c r="I714" s="1061"/>
      <c r="J714" s="1061"/>
      <c r="K714" s="1061"/>
      <c r="L714" s="1061"/>
      <c r="M714" s="1061"/>
      <c r="N714" s="1061"/>
      <c r="O714" s="626"/>
    </row>
    <row r="715" spans="1:15" x14ac:dyDescent="0.25">
      <c r="A715" s="765"/>
      <c r="B715" s="624"/>
      <c r="C715" s="1061"/>
      <c r="D715" s="1061"/>
      <c r="E715" s="1061"/>
      <c r="F715" s="1061"/>
      <c r="G715" s="1061"/>
      <c r="H715" s="625"/>
      <c r="I715" s="1061"/>
      <c r="J715" s="1061"/>
      <c r="K715" s="1061"/>
      <c r="L715" s="1061"/>
      <c r="M715" s="1061"/>
      <c r="N715" s="1061"/>
      <c r="O715" s="626"/>
    </row>
    <row r="716" spans="1:15" x14ac:dyDescent="0.25">
      <c r="A716" s="765"/>
      <c r="B716" s="624"/>
      <c r="C716" s="1061"/>
      <c r="D716" s="1061"/>
      <c r="E716" s="1061"/>
      <c r="F716" s="1061"/>
      <c r="G716" s="1061"/>
      <c r="H716" s="625"/>
      <c r="I716" s="1061"/>
      <c r="J716" s="1061"/>
      <c r="K716" s="1061"/>
      <c r="L716" s="1061"/>
      <c r="M716" s="1061"/>
      <c r="N716" s="1061"/>
      <c r="O716" s="626"/>
    </row>
    <row r="717" spans="1:15" x14ac:dyDescent="0.25">
      <c r="A717" s="765"/>
      <c r="B717" s="624"/>
      <c r="C717" s="1061"/>
      <c r="D717" s="1061"/>
      <c r="E717" s="1061"/>
      <c r="F717" s="1061"/>
      <c r="G717" s="1061"/>
      <c r="H717" s="625"/>
      <c r="I717" s="1061"/>
      <c r="J717" s="1061"/>
      <c r="K717" s="1061"/>
      <c r="L717" s="1061"/>
      <c r="M717" s="1061"/>
      <c r="N717" s="1061"/>
      <c r="O717" s="626"/>
    </row>
    <row r="718" spans="1:15" x14ac:dyDescent="0.25">
      <c r="A718" s="765"/>
      <c r="B718" s="624"/>
      <c r="C718" s="1061"/>
      <c r="D718" s="1061"/>
      <c r="E718" s="1061"/>
      <c r="F718" s="1061"/>
      <c r="G718" s="1061"/>
      <c r="H718" s="625"/>
      <c r="I718" s="1061"/>
      <c r="J718" s="1061"/>
      <c r="K718" s="1061"/>
      <c r="L718" s="1061"/>
      <c r="M718" s="1061"/>
      <c r="N718" s="1061"/>
      <c r="O718" s="626"/>
    </row>
    <row r="719" spans="1:15" x14ac:dyDescent="0.25">
      <c r="A719" s="765"/>
      <c r="B719" s="624"/>
      <c r="C719" s="1061"/>
      <c r="D719" s="1061"/>
      <c r="E719" s="1061"/>
      <c r="F719" s="1061"/>
      <c r="G719" s="1061"/>
      <c r="H719" s="625"/>
      <c r="I719" s="1061"/>
      <c r="J719" s="1061"/>
      <c r="K719" s="1061"/>
      <c r="L719" s="1061"/>
      <c r="M719" s="1061"/>
      <c r="N719" s="1061"/>
      <c r="O719" s="626"/>
    </row>
    <row r="720" spans="1:15" x14ac:dyDescent="0.25">
      <c r="A720" s="765"/>
      <c r="B720" s="624"/>
      <c r="C720" s="1061"/>
      <c r="D720" s="1061"/>
      <c r="E720" s="1061"/>
      <c r="F720" s="1061"/>
      <c r="G720" s="1061"/>
      <c r="H720" s="625"/>
      <c r="I720" s="1061"/>
      <c r="J720" s="1061"/>
      <c r="K720" s="1061"/>
      <c r="L720" s="1061"/>
      <c r="M720" s="1061"/>
      <c r="N720" s="1061"/>
      <c r="O720" s="626"/>
    </row>
    <row r="721" spans="1:15" x14ac:dyDescent="0.25">
      <c r="A721" s="765"/>
      <c r="B721" s="624"/>
      <c r="C721" s="1061"/>
      <c r="D721" s="1061"/>
      <c r="E721" s="1061"/>
      <c r="F721" s="1061"/>
      <c r="G721" s="1061"/>
      <c r="H721" s="625"/>
      <c r="I721" s="1061"/>
      <c r="J721" s="1061"/>
      <c r="K721" s="1061"/>
      <c r="L721" s="1061"/>
      <c r="M721" s="1061"/>
      <c r="N721" s="1061"/>
      <c r="O721" s="626"/>
    </row>
    <row r="722" spans="1:15" x14ac:dyDescent="0.25">
      <c r="A722" s="765"/>
      <c r="B722" s="624"/>
      <c r="C722" s="1061"/>
      <c r="D722" s="1061"/>
      <c r="E722" s="1061"/>
      <c r="F722" s="1061"/>
      <c r="G722" s="1061"/>
      <c r="H722" s="625"/>
      <c r="I722" s="1061"/>
      <c r="J722" s="1061"/>
      <c r="K722" s="1061"/>
      <c r="L722" s="1061"/>
      <c r="M722" s="1061"/>
      <c r="N722" s="1061"/>
      <c r="O722" s="626"/>
    </row>
    <row r="723" spans="1:15" x14ac:dyDescent="0.25">
      <c r="A723" s="765"/>
      <c r="B723" s="624"/>
      <c r="C723" s="1061"/>
      <c r="D723" s="1061"/>
      <c r="E723" s="1061"/>
      <c r="F723" s="1061"/>
      <c r="G723" s="1061"/>
      <c r="H723" s="625"/>
      <c r="I723" s="1061"/>
      <c r="J723" s="1061"/>
      <c r="K723" s="1061"/>
      <c r="L723" s="1061"/>
      <c r="M723" s="1061"/>
      <c r="N723" s="1061"/>
      <c r="O723" s="626"/>
    </row>
    <row r="724" spans="1:15" x14ac:dyDescent="0.25">
      <c r="A724" s="765"/>
      <c r="B724" s="624"/>
      <c r="C724" s="1061"/>
      <c r="D724" s="1061"/>
      <c r="E724" s="1061"/>
      <c r="F724" s="1061"/>
      <c r="G724" s="1061"/>
      <c r="H724" s="625"/>
      <c r="I724" s="1061"/>
      <c r="J724" s="1061"/>
      <c r="K724" s="1061"/>
      <c r="L724" s="1061"/>
      <c r="M724" s="1061"/>
      <c r="N724" s="1061"/>
      <c r="O724" s="626"/>
    </row>
    <row r="725" spans="1:15" x14ac:dyDescent="0.25">
      <c r="A725" s="765"/>
      <c r="B725" s="624"/>
      <c r="C725" s="1061"/>
      <c r="D725" s="1061"/>
      <c r="E725" s="1061"/>
      <c r="F725" s="1061"/>
      <c r="G725" s="1061"/>
      <c r="H725" s="625"/>
      <c r="I725" s="1061"/>
      <c r="J725" s="1061"/>
      <c r="K725" s="1061"/>
      <c r="L725" s="1061"/>
      <c r="M725" s="1061"/>
      <c r="N725" s="1061"/>
      <c r="O725" s="626"/>
    </row>
    <row r="726" spans="1:15" x14ac:dyDescent="0.25">
      <c r="A726" s="765"/>
      <c r="B726" s="624"/>
      <c r="C726" s="1061"/>
      <c r="D726" s="1061"/>
      <c r="E726" s="1061"/>
      <c r="F726" s="1061"/>
      <c r="G726" s="1061"/>
      <c r="H726" s="625"/>
      <c r="I726" s="1061"/>
      <c r="J726" s="1061"/>
      <c r="K726" s="1061"/>
      <c r="L726" s="1061"/>
      <c r="M726" s="1061"/>
      <c r="N726" s="1061"/>
      <c r="O726" s="626"/>
    </row>
    <row r="727" spans="1:15" x14ac:dyDescent="0.25">
      <c r="A727" s="765"/>
      <c r="B727" s="624"/>
      <c r="C727" s="1061"/>
      <c r="D727" s="1061"/>
      <c r="E727" s="1061"/>
      <c r="F727" s="1061"/>
      <c r="G727" s="1061"/>
      <c r="H727" s="625"/>
      <c r="I727" s="1061"/>
      <c r="J727" s="1061"/>
      <c r="K727" s="1061"/>
      <c r="L727" s="1061"/>
      <c r="M727" s="1061"/>
      <c r="N727" s="1061"/>
      <c r="O727" s="626"/>
    </row>
    <row r="728" spans="1:15" x14ac:dyDescent="0.25">
      <c r="A728" s="765"/>
      <c r="B728" s="624"/>
      <c r="C728" s="1061"/>
      <c r="D728" s="1061"/>
      <c r="E728" s="1061"/>
      <c r="F728" s="1061"/>
      <c r="G728" s="1061"/>
      <c r="H728" s="625"/>
      <c r="I728" s="1061"/>
      <c r="J728" s="1061"/>
      <c r="K728" s="1061"/>
      <c r="L728" s="1061"/>
      <c r="M728" s="1061"/>
      <c r="N728" s="1061"/>
      <c r="O728" s="626"/>
    </row>
    <row r="729" spans="1:15" x14ac:dyDescent="0.25">
      <c r="A729" s="765"/>
      <c r="B729" s="624"/>
      <c r="C729" s="1061"/>
      <c r="D729" s="1061"/>
      <c r="E729" s="1061"/>
      <c r="F729" s="1061"/>
      <c r="G729" s="1061"/>
      <c r="H729" s="625"/>
      <c r="I729" s="1061"/>
      <c r="J729" s="1061"/>
      <c r="K729" s="1061"/>
      <c r="L729" s="1061"/>
      <c r="M729" s="1061"/>
      <c r="N729" s="1061"/>
      <c r="O729" s="626"/>
    </row>
    <row r="730" spans="1:15" x14ac:dyDescent="0.25">
      <c r="A730" s="765"/>
      <c r="B730" s="624"/>
      <c r="C730" s="1061"/>
      <c r="D730" s="1061"/>
      <c r="E730" s="1061"/>
      <c r="F730" s="1061"/>
      <c r="G730" s="1061"/>
      <c r="H730" s="625"/>
      <c r="I730" s="1061"/>
      <c r="J730" s="1061"/>
      <c r="K730" s="1061"/>
      <c r="L730" s="1061"/>
      <c r="M730" s="1061"/>
      <c r="N730" s="1061"/>
      <c r="O730" s="626"/>
    </row>
    <row r="731" spans="1:15" x14ac:dyDescent="0.25">
      <c r="A731" s="765"/>
      <c r="B731" s="624"/>
      <c r="C731" s="1061"/>
      <c r="D731" s="1061"/>
      <c r="E731" s="1061"/>
      <c r="F731" s="1061"/>
      <c r="G731" s="1061"/>
      <c r="H731" s="625"/>
      <c r="I731" s="1061"/>
      <c r="J731" s="1061"/>
      <c r="K731" s="1061"/>
      <c r="L731" s="1061"/>
      <c r="M731" s="1061"/>
      <c r="N731" s="1061"/>
      <c r="O731" s="626"/>
    </row>
    <row r="732" spans="1:15" x14ac:dyDescent="0.25">
      <c r="A732" s="765"/>
      <c r="B732" s="624"/>
      <c r="C732" s="1061"/>
      <c r="D732" s="1061"/>
      <c r="E732" s="1061"/>
      <c r="F732" s="1061"/>
      <c r="G732" s="1061"/>
      <c r="H732" s="625"/>
      <c r="I732" s="1061"/>
      <c r="J732" s="1061"/>
      <c r="K732" s="1061"/>
      <c r="L732" s="1061"/>
      <c r="M732" s="1061"/>
      <c r="N732" s="1061"/>
      <c r="O732" s="626"/>
    </row>
    <row r="733" spans="1:15" x14ac:dyDescent="0.25">
      <c r="A733" s="765"/>
      <c r="B733" s="624"/>
      <c r="C733" s="1061"/>
      <c r="D733" s="1061"/>
      <c r="E733" s="1061"/>
      <c r="F733" s="1061"/>
      <c r="G733" s="1061"/>
      <c r="H733" s="625"/>
      <c r="I733" s="1061"/>
      <c r="J733" s="1061"/>
      <c r="K733" s="1061"/>
      <c r="L733" s="1061"/>
      <c r="M733" s="1061"/>
      <c r="N733" s="1061"/>
      <c r="O733" s="626"/>
    </row>
    <row r="734" spans="1:15" x14ac:dyDescent="0.25">
      <c r="A734" s="765"/>
      <c r="B734" s="624"/>
      <c r="C734" s="1061"/>
      <c r="D734" s="1061"/>
      <c r="E734" s="1061"/>
      <c r="F734" s="1061"/>
      <c r="G734" s="1061"/>
      <c r="H734" s="625"/>
      <c r="I734" s="1061"/>
      <c r="J734" s="1061"/>
      <c r="K734" s="1061"/>
      <c r="L734" s="1061"/>
      <c r="M734" s="1061"/>
      <c r="N734" s="1061"/>
      <c r="O734" s="626"/>
    </row>
    <row r="735" spans="1:15" x14ac:dyDescent="0.25">
      <c r="A735" s="765"/>
      <c r="B735" s="624"/>
      <c r="C735" s="1061"/>
      <c r="D735" s="1061"/>
      <c r="E735" s="1061"/>
      <c r="F735" s="1061"/>
      <c r="G735" s="1061"/>
      <c r="H735" s="625"/>
      <c r="I735" s="1061"/>
      <c r="J735" s="1061"/>
      <c r="K735" s="1061"/>
      <c r="L735" s="1061"/>
      <c r="M735" s="1061"/>
      <c r="N735" s="1061"/>
      <c r="O735" s="626"/>
    </row>
    <row r="736" spans="1:15" x14ac:dyDescent="0.25">
      <c r="A736" s="765"/>
      <c r="B736" s="624"/>
      <c r="C736" s="1061"/>
      <c r="D736" s="1061"/>
      <c r="E736" s="1061"/>
      <c r="F736" s="1061"/>
      <c r="G736" s="1061"/>
      <c r="H736" s="625"/>
      <c r="I736" s="1061"/>
      <c r="J736" s="1061"/>
      <c r="K736" s="1061"/>
      <c r="L736" s="1061"/>
      <c r="M736" s="1061"/>
      <c r="N736" s="1061"/>
      <c r="O736" s="626"/>
    </row>
    <row r="737" spans="1:15" x14ac:dyDescent="0.25">
      <c r="A737" s="765"/>
      <c r="B737" s="624"/>
      <c r="C737" s="1061"/>
      <c r="D737" s="1061"/>
      <c r="E737" s="1061"/>
      <c r="F737" s="1061"/>
      <c r="G737" s="1061"/>
      <c r="H737" s="625"/>
      <c r="I737" s="1061"/>
      <c r="J737" s="1061"/>
      <c r="K737" s="1061"/>
      <c r="L737" s="1061"/>
      <c r="M737" s="1061"/>
      <c r="N737" s="1061"/>
      <c r="O737" s="626"/>
    </row>
    <row r="738" spans="1:15" x14ac:dyDescent="0.25">
      <c r="A738" s="765"/>
      <c r="B738" s="624"/>
      <c r="C738" s="1061"/>
      <c r="D738" s="1061"/>
      <c r="E738" s="1061"/>
      <c r="F738" s="1061"/>
      <c r="G738" s="1061"/>
      <c r="H738" s="625"/>
      <c r="I738" s="1061"/>
      <c r="J738" s="1061"/>
      <c r="K738" s="1061"/>
      <c r="L738" s="1061"/>
      <c r="M738" s="1061"/>
      <c r="N738" s="1061"/>
      <c r="O738" s="626"/>
    </row>
    <row r="739" spans="1:15" x14ac:dyDescent="0.25">
      <c r="A739" s="765"/>
      <c r="B739" s="624"/>
      <c r="C739" s="1061"/>
      <c r="D739" s="1061"/>
      <c r="E739" s="1061"/>
      <c r="F739" s="1061"/>
      <c r="G739" s="1061"/>
      <c r="H739" s="625"/>
      <c r="I739" s="1061"/>
      <c r="J739" s="1061"/>
      <c r="K739" s="1061"/>
      <c r="L739" s="1061"/>
      <c r="M739" s="1061"/>
      <c r="N739" s="1061"/>
      <c r="O739" s="626"/>
    </row>
    <row r="740" spans="1:15" x14ac:dyDescent="0.25">
      <c r="A740" s="765"/>
      <c r="B740" s="624"/>
      <c r="C740" s="1061"/>
      <c r="D740" s="1061"/>
      <c r="E740" s="1061"/>
      <c r="F740" s="1061"/>
      <c r="G740" s="1061"/>
      <c r="H740" s="625"/>
      <c r="I740" s="1061"/>
      <c r="J740" s="1061"/>
      <c r="K740" s="1061"/>
      <c r="L740" s="1061"/>
      <c r="M740" s="1061"/>
      <c r="N740" s="1061"/>
      <c r="O740" s="626"/>
    </row>
    <row r="741" spans="1:15" x14ac:dyDescent="0.25">
      <c r="A741" s="765"/>
      <c r="B741" s="624"/>
      <c r="C741" s="1061"/>
      <c r="D741" s="1061"/>
      <c r="E741" s="1061"/>
      <c r="F741" s="1061"/>
      <c r="G741" s="1061"/>
      <c r="H741" s="625"/>
      <c r="I741" s="1061"/>
      <c r="J741" s="1061"/>
      <c r="K741" s="1061"/>
      <c r="L741" s="1061"/>
      <c r="M741" s="1061"/>
      <c r="N741" s="1061"/>
      <c r="O741" s="626"/>
    </row>
    <row r="742" spans="1:15" x14ac:dyDescent="0.25">
      <c r="A742" s="765"/>
      <c r="B742" s="624"/>
      <c r="C742" s="1061"/>
      <c r="D742" s="1061"/>
      <c r="E742" s="1061"/>
      <c r="F742" s="1061"/>
      <c r="G742" s="1061"/>
      <c r="H742" s="625"/>
      <c r="I742" s="1061"/>
      <c r="J742" s="1061"/>
      <c r="K742" s="1061"/>
      <c r="L742" s="1061"/>
      <c r="M742" s="1061"/>
      <c r="N742" s="1061"/>
      <c r="O742" s="626"/>
    </row>
    <row r="743" spans="1:15" x14ac:dyDescent="0.25">
      <c r="A743" s="765"/>
      <c r="B743" s="624"/>
      <c r="C743" s="1061"/>
      <c r="D743" s="1061"/>
      <c r="E743" s="1061"/>
      <c r="F743" s="1061"/>
      <c r="G743" s="1061"/>
      <c r="H743" s="625"/>
      <c r="I743" s="1061"/>
      <c r="J743" s="1061"/>
      <c r="K743" s="1061"/>
      <c r="L743" s="1061"/>
      <c r="M743" s="1061"/>
      <c r="N743" s="1061"/>
      <c r="O743" s="626"/>
    </row>
    <row r="744" spans="1:15" x14ac:dyDescent="0.25">
      <c r="A744" s="765"/>
      <c r="B744" s="624"/>
      <c r="C744" s="1061"/>
      <c r="D744" s="1061"/>
      <c r="E744" s="1061"/>
      <c r="F744" s="1061"/>
      <c r="G744" s="1061"/>
      <c r="H744" s="625"/>
      <c r="I744" s="1061"/>
      <c r="J744" s="1061"/>
      <c r="K744" s="1061"/>
      <c r="L744" s="1061"/>
      <c r="M744" s="1061"/>
      <c r="N744" s="1061"/>
      <c r="O744" s="626"/>
    </row>
    <row r="745" spans="1:15" x14ac:dyDescent="0.25">
      <c r="A745" s="765"/>
      <c r="B745" s="624"/>
      <c r="C745" s="1061"/>
      <c r="D745" s="1061"/>
      <c r="E745" s="1061"/>
      <c r="F745" s="1061"/>
      <c r="G745" s="1061"/>
      <c r="H745" s="625"/>
      <c r="I745" s="1061"/>
      <c r="J745" s="1061"/>
      <c r="K745" s="1061"/>
      <c r="L745" s="1061"/>
      <c r="M745" s="1061"/>
      <c r="N745" s="1061"/>
      <c r="O745" s="626"/>
    </row>
    <row r="746" spans="1:15" x14ac:dyDescent="0.25">
      <c r="A746" s="765"/>
      <c r="B746" s="624"/>
      <c r="C746" s="1061"/>
      <c r="D746" s="1061"/>
      <c r="E746" s="1061"/>
      <c r="F746" s="1061"/>
      <c r="G746" s="1061"/>
      <c r="H746" s="625"/>
      <c r="I746" s="1061"/>
      <c r="J746" s="1061"/>
      <c r="K746" s="1061"/>
      <c r="L746" s="1061"/>
      <c r="M746" s="1061"/>
      <c r="N746" s="1061"/>
      <c r="O746" s="626"/>
    </row>
    <row r="747" spans="1:15" x14ac:dyDescent="0.25">
      <c r="A747" s="765"/>
      <c r="B747" s="624"/>
      <c r="C747" s="1061"/>
      <c r="D747" s="1061"/>
      <c r="E747" s="1061"/>
      <c r="F747" s="1061"/>
      <c r="G747" s="1061"/>
      <c r="H747" s="625"/>
      <c r="I747" s="1061"/>
      <c r="J747" s="1061"/>
      <c r="K747" s="1061"/>
      <c r="L747" s="1061"/>
      <c r="M747" s="1061"/>
      <c r="N747" s="1061"/>
      <c r="O747" s="626"/>
    </row>
    <row r="748" spans="1:15" x14ac:dyDescent="0.25">
      <c r="A748" s="765"/>
      <c r="B748" s="624"/>
      <c r="C748" s="1061"/>
      <c r="D748" s="1061"/>
      <c r="E748" s="1061"/>
      <c r="F748" s="1061"/>
      <c r="G748" s="1061"/>
      <c r="H748" s="625"/>
      <c r="I748" s="1061"/>
      <c r="J748" s="1061"/>
      <c r="K748" s="1061"/>
      <c r="L748" s="1061"/>
      <c r="M748" s="1061"/>
      <c r="N748" s="1061"/>
      <c r="O748" s="626"/>
    </row>
    <row r="749" spans="1:15" x14ac:dyDescent="0.25">
      <c r="A749" s="765"/>
      <c r="B749" s="624"/>
      <c r="C749" s="1061"/>
      <c r="D749" s="1061"/>
      <c r="E749" s="1061"/>
      <c r="F749" s="1061"/>
      <c r="G749" s="1061"/>
      <c r="H749" s="625"/>
      <c r="I749" s="1061"/>
      <c r="J749" s="1061"/>
      <c r="K749" s="1061"/>
      <c r="L749" s="1061"/>
      <c r="M749" s="1061"/>
      <c r="N749" s="1061"/>
      <c r="O749" s="626"/>
    </row>
    <row r="750" spans="1:15" x14ac:dyDescent="0.25">
      <c r="A750" s="765"/>
      <c r="B750" s="624"/>
      <c r="C750" s="1061"/>
      <c r="D750" s="1061"/>
      <c r="E750" s="1061"/>
      <c r="F750" s="1061"/>
      <c r="G750" s="1061"/>
      <c r="H750" s="625"/>
      <c r="I750" s="1061"/>
      <c r="J750" s="1061"/>
      <c r="K750" s="1061"/>
      <c r="L750" s="1061"/>
      <c r="M750" s="1061"/>
      <c r="N750" s="1061"/>
      <c r="O750" s="626"/>
    </row>
    <row r="751" spans="1:15" x14ac:dyDescent="0.25">
      <c r="A751" s="765"/>
      <c r="B751" s="624"/>
      <c r="C751" s="1061"/>
      <c r="D751" s="1061"/>
      <c r="E751" s="1061"/>
      <c r="F751" s="1061"/>
      <c r="G751" s="1061"/>
      <c r="H751" s="625"/>
      <c r="I751" s="1061"/>
      <c r="J751" s="1061"/>
      <c r="K751" s="1061"/>
      <c r="L751" s="1061"/>
      <c r="M751" s="1061"/>
      <c r="N751" s="1061"/>
      <c r="O751" s="626"/>
    </row>
    <row r="752" spans="1:15" x14ac:dyDescent="0.25">
      <c r="A752" s="765"/>
      <c r="B752" s="624"/>
      <c r="C752" s="1061"/>
      <c r="D752" s="1061"/>
      <c r="E752" s="1061"/>
      <c r="F752" s="1061"/>
      <c r="G752" s="1061"/>
      <c r="H752" s="625"/>
      <c r="I752" s="1061"/>
      <c r="J752" s="1061"/>
      <c r="K752" s="1061"/>
      <c r="L752" s="1061"/>
      <c r="M752" s="1061"/>
      <c r="N752" s="1061"/>
      <c r="O752" s="626"/>
    </row>
    <row r="753" spans="1:15" x14ac:dyDescent="0.25">
      <c r="A753" s="765"/>
      <c r="B753" s="624"/>
      <c r="C753" s="1061"/>
      <c r="D753" s="1061"/>
      <c r="E753" s="1061"/>
      <c r="F753" s="1061"/>
      <c r="G753" s="1061"/>
      <c r="H753" s="625"/>
      <c r="I753" s="1061"/>
      <c r="J753" s="1061"/>
      <c r="K753" s="1061"/>
      <c r="L753" s="1061"/>
      <c r="M753" s="1061"/>
      <c r="N753" s="1061"/>
      <c r="O753" s="626"/>
    </row>
    <row r="754" spans="1:15" x14ac:dyDescent="0.25">
      <c r="A754" s="765"/>
      <c r="B754" s="624"/>
      <c r="C754" s="1061"/>
      <c r="D754" s="1061"/>
      <c r="E754" s="1061"/>
      <c r="F754" s="1061"/>
      <c r="G754" s="1061"/>
      <c r="H754" s="625"/>
      <c r="I754" s="1061"/>
      <c r="J754" s="1061"/>
      <c r="K754" s="1061"/>
      <c r="L754" s="1061"/>
      <c r="M754" s="1061"/>
      <c r="N754" s="1061"/>
      <c r="O754" s="626"/>
    </row>
    <row r="755" spans="1:15" x14ac:dyDescent="0.25">
      <c r="A755" s="765"/>
      <c r="B755" s="624"/>
      <c r="C755" s="1061"/>
      <c r="D755" s="1061"/>
      <c r="E755" s="1061"/>
      <c r="F755" s="1061"/>
      <c r="G755" s="1061"/>
      <c r="H755" s="625"/>
      <c r="I755" s="1061"/>
      <c r="J755" s="1061"/>
      <c r="K755" s="1061"/>
      <c r="L755" s="1061"/>
      <c r="M755" s="1061"/>
      <c r="N755" s="1061"/>
      <c r="O755" s="626"/>
    </row>
    <row r="756" spans="1:15" x14ac:dyDescent="0.25">
      <c r="A756" s="765"/>
      <c r="B756" s="624"/>
      <c r="C756" s="1061"/>
      <c r="D756" s="1061"/>
      <c r="E756" s="1061"/>
      <c r="F756" s="1061"/>
      <c r="G756" s="1061"/>
      <c r="H756" s="625"/>
      <c r="I756" s="1061"/>
      <c r="J756" s="1061"/>
      <c r="K756" s="1061"/>
      <c r="L756" s="1061"/>
      <c r="M756" s="1061"/>
      <c r="N756" s="1061"/>
      <c r="O756" s="626"/>
    </row>
    <row r="757" spans="1:15" x14ac:dyDescent="0.25">
      <c r="A757" s="765"/>
      <c r="B757" s="624"/>
      <c r="C757" s="1061"/>
      <c r="D757" s="1061"/>
      <c r="E757" s="1061"/>
      <c r="F757" s="1061"/>
      <c r="G757" s="1061"/>
      <c r="H757" s="625"/>
      <c r="I757" s="1061"/>
      <c r="J757" s="1061"/>
      <c r="K757" s="1061"/>
      <c r="L757" s="1061"/>
      <c r="M757" s="1061"/>
      <c r="N757" s="1061"/>
      <c r="O757" s="626"/>
    </row>
    <row r="758" spans="1:15" x14ac:dyDescent="0.25">
      <c r="A758" s="765"/>
      <c r="B758" s="624"/>
      <c r="C758" s="1061"/>
      <c r="D758" s="1061"/>
      <c r="E758" s="1061"/>
      <c r="F758" s="1061"/>
      <c r="G758" s="1061"/>
      <c r="H758" s="625"/>
      <c r="I758" s="1061"/>
      <c r="J758" s="1061"/>
      <c r="K758" s="1061"/>
      <c r="L758" s="1061"/>
      <c r="M758" s="1061"/>
      <c r="N758" s="1061"/>
      <c r="O758" s="626"/>
    </row>
    <row r="759" spans="1:15" x14ac:dyDescent="0.25">
      <c r="A759" s="765"/>
      <c r="B759" s="624"/>
      <c r="C759" s="1061"/>
      <c r="D759" s="1061"/>
      <c r="E759" s="1061"/>
      <c r="F759" s="1061"/>
      <c r="G759" s="1061"/>
      <c r="H759" s="625"/>
      <c r="I759" s="1061"/>
      <c r="J759" s="1061"/>
      <c r="K759" s="1061"/>
      <c r="L759" s="1061"/>
      <c r="M759" s="1061"/>
      <c r="N759" s="1061"/>
      <c r="O759" s="626"/>
    </row>
    <row r="760" spans="1:15" x14ac:dyDescent="0.25">
      <c r="A760" s="765"/>
      <c r="B760" s="624"/>
      <c r="C760" s="1061"/>
      <c r="D760" s="1061"/>
      <c r="E760" s="1061"/>
      <c r="F760" s="1061"/>
      <c r="G760" s="1061"/>
      <c r="H760" s="625"/>
      <c r="I760" s="1061"/>
      <c r="J760" s="1061"/>
      <c r="K760" s="1061"/>
      <c r="L760" s="1061"/>
      <c r="M760" s="1061"/>
      <c r="N760" s="1061"/>
      <c r="O760" s="626"/>
    </row>
    <row r="761" spans="1:15" x14ac:dyDescent="0.25">
      <c r="A761" s="765"/>
      <c r="B761" s="624"/>
      <c r="C761" s="1061"/>
      <c r="D761" s="1061"/>
      <c r="E761" s="1061"/>
      <c r="F761" s="1061"/>
      <c r="G761" s="1061"/>
      <c r="H761" s="625"/>
      <c r="I761" s="1061"/>
      <c r="J761" s="1061"/>
      <c r="K761" s="1061"/>
      <c r="L761" s="1061"/>
      <c r="M761" s="1061"/>
      <c r="N761" s="1061"/>
      <c r="O761" s="626"/>
    </row>
    <row r="762" spans="1:15" x14ac:dyDescent="0.25">
      <c r="A762" s="765"/>
      <c r="B762" s="624"/>
      <c r="C762" s="1061"/>
      <c r="D762" s="1061"/>
      <c r="E762" s="1061"/>
      <c r="F762" s="1061"/>
      <c r="G762" s="1061"/>
      <c r="H762" s="625"/>
      <c r="I762" s="1061"/>
      <c r="J762" s="1061"/>
      <c r="K762" s="1061"/>
      <c r="L762" s="1061"/>
      <c r="M762" s="1061"/>
      <c r="N762" s="1061"/>
      <c r="O762" s="626"/>
    </row>
    <row r="763" spans="1:15" x14ac:dyDescent="0.25">
      <c r="A763" s="765"/>
      <c r="B763" s="624"/>
      <c r="C763" s="1061"/>
      <c r="D763" s="1061"/>
      <c r="E763" s="1061"/>
      <c r="F763" s="1061"/>
      <c r="G763" s="1061"/>
      <c r="H763" s="625"/>
      <c r="I763" s="1061"/>
      <c r="J763" s="1061"/>
      <c r="K763" s="1061"/>
      <c r="L763" s="1061"/>
      <c r="M763" s="1061"/>
      <c r="N763" s="1061"/>
      <c r="O763" s="626"/>
    </row>
    <row r="764" spans="1:15" x14ac:dyDescent="0.25">
      <c r="A764" s="765"/>
      <c r="B764" s="624"/>
      <c r="C764" s="1061"/>
      <c r="D764" s="1061"/>
      <c r="E764" s="1061"/>
      <c r="F764" s="1061"/>
      <c r="G764" s="1061"/>
      <c r="H764" s="625"/>
      <c r="I764" s="1061"/>
      <c r="J764" s="1061"/>
      <c r="K764" s="1061"/>
      <c r="L764" s="1061"/>
      <c r="M764" s="1061"/>
      <c r="N764" s="1061"/>
      <c r="O764" s="626"/>
    </row>
    <row r="765" spans="1:15" x14ac:dyDescent="0.25">
      <c r="A765" s="765"/>
      <c r="B765" s="624"/>
      <c r="C765" s="1061"/>
      <c r="D765" s="1061"/>
      <c r="E765" s="1061"/>
      <c r="F765" s="1061"/>
      <c r="G765" s="1061"/>
      <c r="H765" s="625"/>
      <c r="I765" s="1061"/>
      <c r="J765" s="1061"/>
      <c r="K765" s="1061"/>
      <c r="L765" s="1061"/>
      <c r="M765" s="1061"/>
      <c r="N765" s="1061"/>
      <c r="O765" s="626"/>
    </row>
    <row r="766" spans="1:15" x14ac:dyDescent="0.25">
      <c r="A766" s="765"/>
      <c r="B766" s="624"/>
      <c r="C766" s="1061"/>
      <c r="D766" s="1061"/>
      <c r="E766" s="1061"/>
      <c r="F766" s="1061"/>
      <c r="G766" s="1061"/>
      <c r="H766" s="625"/>
      <c r="I766" s="1061"/>
      <c r="J766" s="1061"/>
      <c r="K766" s="1061"/>
      <c r="L766" s="1061"/>
      <c r="M766" s="1061"/>
      <c r="N766" s="1061"/>
      <c r="O766" s="626"/>
    </row>
    <row r="767" spans="1:15" x14ac:dyDescent="0.25">
      <c r="A767" s="765"/>
      <c r="B767" s="624"/>
      <c r="C767" s="1061"/>
      <c r="D767" s="1061"/>
      <c r="E767" s="1061"/>
      <c r="F767" s="1061"/>
      <c r="G767" s="1061"/>
      <c r="H767" s="625"/>
      <c r="I767" s="1061"/>
      <c r="J767" s="1061"/>
      <c r="K767" s="1061"/>
      <c r="L767" s="1061"/>
      <c r="M767" s="1061"/>
      <c r="N767" s="1061"/>
      <c r="O767" s="626"/>
    </row>
    <row r="768" spans="1:15" x14ac:dyDescent="0.25">
      <c r="A768" s="765"/>
      <c r="B768" s="624"/>
      <c r="C768" s="1061"/>
      <c r="D768" s="1061"/>
      <c r="E768" s="1061"/>
      <c r="F768" s="1061"/>
      <c r="G768" s="1061"/>
      <c r="H768" s="625"/>
      <c r="I768" s="1061"/>
      <c r="J768" s="1061"/>
      <c r="K768" s="1061"/>
      <c r="L768" s="1061"/>
      <c r="M768" s="1061"/>
      <c r="N768" s="1061"/>
      <c r="O768" s="626"/>
    </row>
    <row r="769" spans="1:15" x14ac:dyDescent="0.25">
      <c r="A769" s="765"/>
      <c r="B769" s="624"/>
      <c r="C769" s="1061"/>
      <c r="D769" s="1061"/>
      <c r="E769" s="1061"/>
      <c r="F769" s="1061"/>
      <c r="G769" s="1061"/>
      <c r="H769" s="625"/>
      <c r="I769" s="1061"/>
      <c r="J769" s="1061"/>
      <c r="K769" s="1061"/>
      <c r="L769" s="1061"/>
      <c r="M769" s="1061"/>
      <c r="N769" s="1061"/>
      <c r="O769" s="626"/>
    </row>
    <row r="770" spans="1:15" x14ac:dyDescent="0.25">
      <c r="A770" s="765"/>
      <c r="B770" s="624"/>
      <c r="C770" s="1061"/>
      <c r="D770" s="1061"/>
      <c r="E770" s="1061"/>
      <c r="F770" s="1061"/>
      <c r="G770" s="1061"/>
      <c r="H770" s="625"/>
      <c r="I770" s="1061"/>
      <c r="J770" s="1061"/>
      <c r="K770" s="1061"/>
      <c r="L770" s="1061"/>
      <c r="M770" s="1061"/>
      <c r="N770" s="1061"/>
      <c r="O770" s="626"/>
    </row>
    <row r="771" spans="1:15" x14ac:dyDescent="0.25">
      <c r="A771" s="765"/>
      <c r="B771" s="624"/>
      <c r="C771" s="1061"/>
      <c r="D771" s="1061"/>
      <c r="E771" s="1061"/>
      <c r="F771" s="1061"/>
      <c r="G771" s="1061"/>
      <c r="H771" s="625"/>
      <c r="I771" s="1061"/>
      <c r="J771" s="1061"/>
      <c r="K771" s="1061"/>
      <c r="L771" s="1061"/>
      <c r="M771" s="1061"/>
      <c r="N771" s="1061"/>
      <c r="O771" s="626"/>
    </row>
    <row r="772" spans="1:15" x14ac:dyDescent="0.25">
      <c r="A772" s="765"/>
      <c r="B772" s="624"/>
      <c r="C772" s="1061"/>
      <c r="D772" s="1061"/>
      <c r="E772" s="1061"/>
      <c r="F772" s="1061"/>
      <c r="G772" s="1061"/>
      <c r="H772" s="625"/>
      <c r="I772" s="1061"/>
      <c r="J772" s="1061"/>
      <c r="K772" s="1061"/>
      <c r="L772" s="1061"/>
      <c r="M772" s="1061"/>
      <c r="N772" s="1061"/>
      <c r="O772" s="626"/>
    </row>
    <row r="773" spans="1:15" x14ac:dyDescent="0.25">
      <c r="A773" s="765"/>
      <c r="B773" s="624"/>
      <c r="C773" s="1061"/>
      <c r="D773" s="1061"/>
      <c r="E773" s="1061"/>
      <c r="F773" s="1061"/>
      <c r="G773" s="1061"/>
      <c r="H773" s="625"/>
      <c r="I773" s="1061"/>
      <c r="J773" s="1061"/>
      <c r="K773" s="1061"/>
      <c r="L773" s="1061"/>
      <c r="M773" s="1061"/>
      <c r="N773" s="1061"/>
      <c r="O773" s="626"/>
    </row>
    <row r="774" spans="1:15" x14ac:dyDescent="0.25">
      <c r="A774" s="765"/>
      <c r="B774" s="624"/>
      <c r="C774" s="1061"/>
      <c r="D774" s="1061"/>
      <c r="E774" s="1061"/>
      <c r="F774" s="1061"/>
      <c r="G774" s="1061"/>
      <c r="H774" s="625"/>
      <c r="I774" s="1061"/>
      <c r="J774" s="1061"/>
      <c r="K774" s="1061"/>
      <c r="L774" s="1061"/>
      <c r="M774" s="1061"/>
      <c r="N774" s="1061"/>
      <c r="O774" s="626"/>
    </row>
    <row r="775" spans="1:15" x14ac:dyDescent="0.25">
      <c r="A775" s="765"/>
      <c r="B775" s="624"/>
      <c r="C775" s="1061"/>
      <c r="D775" s="1061"/>
      <c r="E775" s="1061"/>
      <c r="F775" s="1061"/>
      <c r="G775" s="1061"/>
      <c r="H775" s="625"/>
      <c r="I775" s="1061"/>
      <c r="J775" s="1061"/>
      <c r="K775" s="1061"/>
      <c r="L775" s="1061"/>
      <c r="M775" s="1061"/>
      <c r="N775" s="1061"/>
      <c r="O775" s="626"/>
    </row>
    <row r="776" spans="1:15" x14ac:dyDescent="0.25">
      <c r="A776" s="765"/>
      <c r="B776" s="624"/>
      <c r="C776" s="1061"/>
      <c r="D776" s="1061"/>
      <c r="E776" s="1061"/>
      <c r="F776" s="1061"/>
      <c r="G776" s="1061"/>
      <c r="H776" s="625"/>
      <c r="I776" s="1061"/>
      <c r="J776" s="1061"/>
      <c r="K776" s="1061"/>
      <c r="L776" s="1061"/>
      <c r="M776" s="1061"/>
      <c r="N776" s="1061"/>
      <c r="O776" s="626"/>
    </row>
    <row r="777" spans="1:15" x14ac:dyDescent="0.25">
      <c r="A777" s="765"/>
      <c r="B777" s="624"/>
      <c r="C777" s="1061"/>
      <c r="D777" s="1061"/>
      <c r="E777" s="1061"/>
      <c r="F777" s="1061"/>
      <c r="G777" s="1061"/>
      <c r="H777" s="625"/>
      <c r="I777" s="1061"/>
      <c r="J777" s="1061"/>
      <c r="K777" s="1061"/>
      <c r="L777" s="1061"/>
      <c r="M777" s="1061"/>
      <c r="N777" s="1061"/>
      <c r="O777" s="626"/>
    </row>
    <row r="778" spans="1:15" x14ac:dyDescent="0.25">
      <c r="A778" s="765"/>
      <c r="B778" s="624"/>
      <c r="C778" s="1061"/>
      <c r="D778" s="1061"/>
      <c r="E778" s="1061"/>
      <c r="F778" s="1061"/>
      <c r="G778" s="1061"/>
      <c r="H778" s="625"/>
      <c r="I778" s="1061"/>
      <c r="J778" s="1061"/>
      <c r="K778" s="1061"/>
      <c r="L778" s="1061"/>
      <c r="M778" s="1061"/>
      <c r="N778" s="1061"/>
      <c r="O778" s="626"/>
    </row>
    <row r="779" spans="1:15" x14ac:dyDescent="0.25">
      <c r="A779" s="765"/>
      <c r="B779" s="624"/>
      <c r="C779" s="1061"/>
      <c r="D779" s="1061"/>
      <c r="E779" s="1061"/>
      <c r="F779" s="1061"/>
      <c r="G779" s="1061"/>
      <c r="H779" s="625"/>
      <c r="I779" s="1061"/>
      <c r="J779" s="1061"/>
      <c r="K779" s="1061"/>
      <c r="L779" s="1061"/>
      <c r="M779" s="1061"/>
      <c r="N779" s="1061"/>
      <c r="O779" s="626"/>
    </row>
    <row r="780" spans="1:15" x14ac:dyDescent="0.25">
      <c r="A780" s="765"/>
      <c r="B780" s="624"/>
      <c r="C780" s="1061"/>
      <c r="D780" s="1061"/>
      <c r="E780" s="1061"/>
      <c r="F780" s="1061"/>
      <c r="G780" s="1061"/>
      <c r="H780" s="625"/>
      <c r="I780" s="1061"/>
      <c r="J780" s="1061"/>
      <c r="K780" s="1061"/>
      <c r="L780" s="1061"/>
      <c r="M780" s="1061"/>
      <c r="N780" s="1061"/>
      <c r="O780" s="626"/>
    </row>
    <row r="781" spans="1:15" x14ac:dyDescent="0.25">
      <c r="A781" s="765"/>
      <c r="B781" s="624"/>
      <c r="C781" s="1061"/>
      <c r="D781" s="1061"/>
      <c r="E781" s="1061"/>
      <c r="F781" s="1061"/>
      <c r="G781" s="1061"/>
      <c r="H781" s="625"/>
      <c r="I781" s="1061"/>
      <c r="J781" s="1061"/>
      <c r="K781" s="1061"/>
      <c r="L781" s="1061"/>
      <c r="M781" s="1061"/>
      <c r="N781" s="1061"/>
      <c r="O781" s="626"/>
    </row>
    <row r="782" spans="1:15" x14ac:dyDescent="0.25">
      <c r="A782" s="765"/>
      <c r="B782" s="624"/>
      <c r="C782" s="1061"/>
      <c r="D782" s="1061"/>
      <c r="E782" s="1061"/>
      <c r="F782" s="1061"/>
      <c r="G782" s="1061"/>
      <c r="H782" s="625"/>
      <c r="I782" s="1061"/>
      <c r="J782" s="1061"/>
      <c r="K782" s="1061"/>
      <c r="L782" s="1061"/>
      <c r="M782" s="1061"/>
      <c r="N782" s="1061"/>
      <c r="O782" s="626"/>
    </row>
    <row r="783" spans="1:15" x14ac:dyDescent="0.25">
      <c r="A783" s="765"/>
      <c r="B783" s="624"/>
      <c r="C783" s="1061"/>
      <c r="D783" s="1061"/>
      <c r="E783" s="1061"/>
      <c r="F783" s="1061"/>
      <c r="G783" s="1061"/>
      <c r="H783" s="625"/>
      <c r="I783" s="1061"/>
      <c r="J783" s="1061"/>
      <c r="K783" s="1061"/>
      <c r="L783" s="1061"/>
      <c r="M783" s="1061"/>
      <c r="N783" s="1061"/>
      <c r="O783" s="626"/>
    </row>
    <row r="784" spans="1:15" x14ac:dyDescent="0.25">
      <c r="A784" s="765"/>
      <c r="B784" s="624"/>
      <c r="C784" s="1061"/>
      <c r="D784" s="1061"/>
      <c r="E784" s="1061"/>
      <c r="F784" s="1061"/>
      <c r="G784" s="1061"/>
      <c r="H784" s="625"/>
      <c r="I784" s="1061"/>
      <c r="J784" s="1061"/>
      <c r="K784" s="1061"/>
      <c r="L784" s="1061"/>
      <c r="M784" s="1061"/>
      <c r="N784" s="1061"/>
      <c r="O784" s="626"/>
    </row>
    <row r="785" spans="1:15" x14ac:dyDescent="0.25">
      <c r="A785" s="765"/>
      <c r="B785" s="624"/>
      <c r="C785" s="1061"/>
      <c r="D785" s="1061"/>
      <c r="E785" s="1061"/>
      <c r="F785" s="1061"/>
      <c r="G785" s="1061"/>
      <c r="H785" s="625"/>
      <c r="I785" s="1061"/>
      <c r="J785" s="1061"/>
      <c r="K785" s="1061"/>
      <c r="L785" s="1061"/>
      <c r="M785" s="1061"/>
      <c r="N785" s="1061"/>
      <c r="O785" s="626"/>
    </row>
    <row r="786" spans="1:15" x14ac:dyDescent="0.25">
      <c r="A786" s="765"/>
      <c r="B786" s="624"/>
      <c r="C786" s="1061"/>
      <c r="D786" s="1061"/>
      <c r="E786" s="1061"/>
      <c r="F786" s="1061"/>
      <c r="G786" s="1061"/>
      <c r="H786" s="625"/>
      <c r="I786" s="1061"/>
      <c r="J786" s="1061"/>
      <c r="K786" s="1061"/>
      <c r="L786" s="1061"/>
      <c r="M786" s="1061"/>
      <c r="N786" s="1061"/>
      <c r="O786" s="626"/>
    </row>
    <row r="787" spans="1:15" x14ac:dyDescent="0.25">
      <c r="A787" s="765"/>
      <c r="B787" s="624"/>
      <c r="C787" s="1061"/>
      <c r="D787" s="1061"/>
      <c r="E787" s="1061"/>
      <c r="F787" s="1061"/>
      <c r="G787" s="1061"/>
      <c r="H787" s="625"/>
      <c r="I787" s="1061"/>
      <c r="J787" s="1061"/>
      <c r="K787" s="1061"/>
      <c r="L787" s="1061"/>
      <c r="M787" s="1061"/>
      <c r="N787" s="1061"/>
      <c r="O787" s="626"/>
    </row>
    <row r="788" spans="1:15" x14ac:dyDescent="0.25">
      <c r="A788" s="765"/>
      <c r="B788" s="624"/>
      <c r="C788" s="1061"/>
      <c r="D788" s="1061"/>
      <c r="E788" s="1061"/>
      <c r="F788" s="1061"/>
      <c r="G788" s="1061"/>
      <c r="H788" s="625"/>
      <c r="I788" s="1061"/>
      <c r="J788" s="1061"/>
      <c r="K788" s="1061"/>
      <c r="L788" s="1061"/>
      <c r="M788" s="1061"/>
      <c r="N788" s="1061"/>
      <c r="O788" s="626"/>
    </row>
    <row r="789" spans="1:15" x14ac:dyDescent="0.25">
      <c r="A789" s="765"/>
      <c r="B789" s="624"/>
      <c r="C789" s="1061"/>
      <c r="D789" s="1061"/>
      <c r="E789" s="1061"/>
      <c r="F789" s="1061"/>
      <c r="G789" s="1061"/>
      <c r="H789" s="625"/>
      <c r="I789" s="1061"/>
      <c r="J789" s="1061"/>
      <c r="K789" s="1061"/>
      <c r="L789" s="1061"/>
      <c r="M789" s="1061"/>
      <c r="N789" s="1061"/>
      <c r="O789" s="626"/>
    </row>
    <row r="790" spans="1:15" x14ac:dyDescent="0.25">
      <c r="A790" s="765"/>
      <c r="B790" s="624"/>
      <c r="C790" s="1061"/>
      <c r="D790" s="1061"/>
      <c r="E790" s="1061"/>
      <c r="F790" s="1061"/>
      <c r="G790" s="1061"/>
      <c r="H790" s="625"/>
      <c r="I790" s="1061"/>
      <c r="J790" s="1061"/>
      <c r="K790" s="1061"/>
      <c r="L790" s="1061"/>
      <c r="M790" s="1061"/>
      <c r="N790" s="1061"/>
      <c r="O790" s="626"/>
    </row>
    <row r="791" spans="1:15" x14ac:dyDescent="0.25">
      <c r="A791" s="765"/>
      <c r="B791" s="624"/>
      <c r="C791" s="1061"/>
      <c r="D791" s="1061"/>
      <c r="E791" s="1061"/>
      <c r="F791" s="1061"/>
      <c r="G791" s="1061"/>
      <c r="H791" s="625"/>
      <c r="I791" s="1061"/>
      <c r="J791" s="1061"/>
      <c r="K791" s="1061"/>
      <c r="L791" s="1061"/>
      <c r="M791" s="1061"/>
      <c r="N791" s="1061"/>
      <c r="O791" s="626"/>
    </row>
    <row r="792" spans="1:15" x14ac:dyDescent="0.25">
      <c r="A792" s="765"/>
      <c r="B792" s="624"/>
      <c r="C792" s="1061"/>
      <c r="D792" s="1061"/>
      <c r="E792" s="1061"/>
      <c r="F792" s="1061"/>
      <c r="G792" s="1061"/>
      <c r="H792" s="625"/>
      <c r="I792" s="1061"/>
      <c r="J792" s="1061"/>
      <c r="K792" s="1061"/>
      <c r="L792" s="1061"/>
      <c r="M792" s="1061"/>
      <c r="N792" s="1061"/>
      <c r="O792" s="626"/>
    </row>
    <row r="793" spans="1:15" x14ac:dyDescent="0.25">
      <c r="A793" s="765"/>
      <c r="B793" s="624"/>
      <c r="C793" s="1061"/>
      <c r="D793" s="1061"/>
      <c r="E793" s="1061"/>
      <c r="F793" s="1061"/>
      <c r="G793" s="1061"/>
      <c r="H793" s="625"/>
      <c r="I793" s="1061"/>
      <c r="J793" s="1061"/>
      <c r="K793" s="1061"/>
      <c r="L793" s="1061"/>
      <c r="M793" s="1061"/>
      <c r="N793" s="1061"/>
      <c r="O793" s="626"/>
    </row>
    <row r="794" spans="1:15" x14ac:dyDescent="0.25">
      <c r="A794" s="765"/>
      <c r="B794" s="624"/>
      <c r="C794" s="1061"/>
      <c r="D794" s="1061"/>
      <c r="E794" s="1061"/>
      <c r="F794" s="1061"/>
      <c r="G794" s="1061"/>
      <c r="H794" s="625"/>
      <c r="I794" s="1061"/>
      <c r="J794" s="1061"/>
      <c r="K794" s="1061"/>
      <c r="L794" s="1061"/>
      <c r="M794" s="1061"/>
      <c r="N794" s="1061"/>
      <c r="O794" s="626"/>
    </row>
    <row r="795" spans="1:15" x14ac:dyDescent="0.25">
      <c r="A795" s="765"/>
      <c r="B795" s="624"/>
      <c r="C795" s="1061"/>
      <c r="D795" s="1061"/>
      <c r="E795" s="1061"/>
      <c r="F795" s="1061"/>
      <c r="G795" s="1061"/>
      <c r="H795" s="625"/>
      <c r="I795" s="1061"/>
      <c r="J795" s="1061"/>
      <c r="K795" s="1061"/>
      <c r="L795" s="1061"/>
      <c r="M795" s="1061"/>
      <c r="N795" s="1061"/>
      <c r="O795" s="626"/>
    </row>
    <row r="796" spans="1:15" x14ac:dyDescent="0.25">
      <c r="A796" s="765"/>
      <c r="B796" s="624"/>
      <c r="C796" s="1061"/>
      <c r="D796" s="1061"/>
      <c r="E796" s="1061"/>
      <c r="F796" s="1061"/>
      <c r="G796" s="1061"/>
      <c r="H796" s="625"/>
      <c r="I796" s="1061"/>
      <c r="J796" s="1061"/>
      <c r="K796" s="1061"/>
      <c r="L796" s="1061"/>
      <c r="M796" s="1061"/>
      <c r="N796" s="1061"/>
      <c r="O796" s="626"/>
    </row>
    <row r="797" spans="1:15" x14ac:dyDescent="0.25">
      <c r="A797" s="765"/>
      <c r="B797" s="624"/>
      <c r="C797" s="1061"/>
      <c r="D797" s="1061"/>
      <c r="E797" s="1061"/>
      <c r="F797" s="1061"/>
      <c r="G797" s="1061"/>
      <c r="H797" s="625"/>
      <c r="I797" s="1061"/>
      <c r="J797" s="1061"/>
      <c r="K797" s="1061"/>
      <c r="L797" s="1061"/>
      <c r="M797" s="1061"/>
      <c r="N797" s="1061"/>
      <c r="O797" s="626"/>
    </row>
    <row r="798" spans="1:15" x14ac:dyDescent="0.25">
      <c r="A798" s="765"/>
      <c r="B798" s="624"/>
      <c r="C798" s="1061"/>
      <c r="D798" s="1061"/>
      <c r="E798" s="1061"/>
      <c r="F798" s="1061"/>
      <c r="G798" s="1061"/>
      <c r="H798" s="625"/>
      <c r="I798" s="1061"/>
      <c r="J798" s="1061"/>
      <c r="K798" s="1061"/>
      <c r="L798" s="1061"/>
      <c r="M798" s="1061"/>
      <c r="N798" s="1061"/>
      <c r="O798" s="626"/>
    </row>
    <row r="799" spans="1:15" x14ac:dyDescent="0.25">
      <c r="A799" s="765"/>
      <c r="B799" s="624"/>
      <c r="C799" s="1061"/>
      <c r="D799" s="1061"/>
      <c r="E799" s="1061"/>
      <c r="F799" s="1061"/>
      <c r="G799" s="1061"/>
      <c r="H799" s="625"/>
      <c r="I799" s="1061"/>
      <c r="J799" s="1061"/>
      <c r="K799" s="1061"/>
      <c r="L799" s="1061"/>
      <c r="M799" s="1061"/>
      <c r="N799" s="1061"/>
      <c r="O799" s="626"/>
    </row>
    <row r="800" spans="1:15" x14ac:dyDescent="0.25">
      <c r="A800" s="765"/>
      <c r="B800" s="624"/>
      <c r="C800" s="1061"/>
      <c r="D800" s="1061"/>
      <c r="E800" s="1061"/>
      <c r="F800" s="1061"/>
      <c r="G800" s="1061"/>
      <c r="H800" s="625"/>
      <c r="I800" s="1061"/>
      <c r="J800" s="1061"/>
      <c r="K800" s="1061"/>
      <c r="L800" s="1061"/>
      <c r="M800" s="1061"/>
      <c r="N800" s="1061"/>
      <c r="O800" s="626"/>
    </row>
    <row r="801" spans="1:15" x14ac:dyDescent="0.25">
      <c r="A801" s="765"/>
      <c r="B801" s="624"/>
      <c r="C801" s="1061"/>
      <c r="D801" s="1061"/>
      <c r="E801" s="1061"/>
      <c r="F801" s="1061"/>
      <c r="G801" s="1061"/>
      <c r="H801" s="625"/>
      <c r="I801" s="1061"/>
      <c r="J801" s="1061"/>
      <c r="K801" s="1061"/>
      <c r="L801" s="1061"/>
      <c r="M801" s="1061"/>
      <c r="N801" s="1061"/>
      <c r="O801" s="626"/>
    </row>
    <row r="802" spans="1:15" x14ac:dyDescent="0.25">
      <c r="A802" s="765"/>
      <c r="B802" s="624"/>
      <c r="C802" s="1061"/>
      <c r="D802" s="1061"/>
      <c r="E802" s="1061"/>
      <c r="F802" s="1061"/>
      <c r="G802" s="1061"/>
      <c r="H802" s="1061"/>
      <c r="I802" s="1061"/>
      <c r="J802" s="1061"/>
      <c r="K802" s="1061"/>
      <c r="L802" s="1061"/>
      <c r="M802" s="1061"/>
      <c r="N802" s="1061"/>
      <c r="O802" s="626"/>
    </row>
    <row r="803" spans="1:15" x14ac:dyDescent="0.25">
      <c r="A803" s="765"/>
      <c r="B803" s="624"/>
      <c r="C803" s="1061"/>
      <c r="D803" s="1061"/>
      <c r="E803" s="1061"/>
      <c r="F803" s="1061"/>
      <c r="G803" s="1061"/>
      <c r="H803" s="1061"/>
      <c r="I803" s="1061"/>
      <c r="J803" s="1061"/>
      <c r="K803" s="1061"/>
      <c r="L803" s="1061"/>
      <c r="M803" s="1061"/>
      <c r="N803" s="1061"/>
      <c r="O803" s="626"/>
    </row>
    <row r="804" spans="1:15" x14ac:dyDescent="0.25">
      <c r="A804" s="765"/>
      <c r="B804" s="624"/>
      <c r="C804" s="1061"/>
      <c r="D804" s="1061"/>
      <c r="E804" s="1061"/>
      <c r="F804" s="1061"/>
      <c r="G804" s="1061"/>
      <c r="H804" s="1061"/>
      <c r="I804" s="1061"/>
      <c r="J804" s="1061"/>
      <c r="K804" s="1061"/>
      <c r="L804" s="1061"/>
      <c r="M804" s="1061"/>
      <c r="N804" s="1061"/>
      <c r="O804" s="626"/>
    </row>
    <row r="805" spans="1:15" x14ac:dyDescent="0.25">
      <c r="A805" s="765"/>
      <c r="B805" s="624"/>
      <c r="C805" s="1061"/>
      <c r="D805" s="1061"/>
      <c r="E805" s="1061"/>
      <c r="F805" s="1061"/>
      <c r="G805" s="1061"/>
      <c r="H805" s="1061"/>
      <c r="I805" s="1061"/>
      <c r="J805" s="1061"/>
      <c r="K805" s="1061"/>
      <c r="L805" s="1061"/>
      <c r="M805" s="1061"/>
      <c r="N805" s="1061"/>
      <c r="O805" s="626"/>
    </row>
    <row r="806" spans="1:15" x14ac:dyDescent="0.25">
      <c r="A806" s="765"/>
      <c r="B806" s="624"/>
      <c r="C806" s="1061"/>
      <c r="D806" s="1061"/>
      <c r="E806" s="1061"/>
      <c r="F806" s="1061"/>
      <c r="G806" s="1061"/>
      <c r="H806" s="1061"/>
      <c r="I806" s="1061"/>
      <c r="J806" s="1061"/>
      <c r="K806" s="1061"/>
      <c r="L806" s="1061"/>
      <c r="M806" s="1061"/>
      <c r="N806" s="1061"/>
      <c r="O806" s="626"/>
    </row>
    <row r="807" spans="1:15" x14ac:dyDescent="0.25">
      <c r="A807" s="765"/>
      <c r="B807" s="624"/>
      <c r="C807" s="1061"/>
      <c r="D807" s="1061"/>
      <c r="E807" s="1061"/>
      <c r="F807" s="1061"/>
      <c r="G807" s="1061"/>
      <c r="H807" s="1061"/>
      <c r="I807" s="1061"/>
      <c r="J807" s="1061"/>
      <c r="K807" s="1061"/>
      <c r="L807" s="1061"/>
      <c r="M807" s="1061"/>
      <c r="N807" s="1061"/>
      <c r="O807" s="626"/>
    </row>
    <row r="808" spans="1:15" x14ac:dyDescent="0.25">
      <c r="A808" s="765"/>
      <c r="B808" s="624"/>
      <c r="C808" s="1061"/>
      <c r="D808" s="1061"/>
      <c r="E808" s="1061"/>
      <c r="F808" s="1061"/>
      <c r="G808" s="1061"/>
      <c r="H808" s="1061"/>
      <c r="I808" s="1061"/>
      <c r="J808" s="1061"/>
      <c r="K808" s="1061"/>
      <c r="L808" s="1061"/>
      <c r="M808" s="1061"/>
      <c r="N808" s="1061"/>
      <c r="O808" s="626"/>
    </row>
    <row r="809" spans="1:15" x14ac:dyDescent="0.25">
      <c r="A809" s="765"/>
      <c r="B809" s="624"/>
      <c r="C809" s="1061"/>
      <c r="D809" s="1061"/>
      <c r="E809" s="1061"/>
      <c r="F809" s="1061"/>
      <c r="G809" s="1061"/>
      <c r="H809" s="1061"/>
      <c r="I809" s="1061"/>
      <c r="J809" s="1061"/>
      <c r="K809" s="1061"/>
      <c r="L809" s="1061"/>
      <c r="M809" s="1061"/>
      <c r="N809" s="1061"/>
      <c r="O809" s="626"/>
    </row>
    <row r="810" spans="1:15" x14ac:dyDescent="0.25">
      <c r="A810" s="765"/>
      <c r="B810" s="624"/>
      <c r="C810" s="1061"/>
      <c r="D810" s="1061"/>
      <c r="E810" s="1061"/>
      <c r="F810" s="1061"/>
      <c r="G810" s="1061"/>
      <c r="H810" s="1061"/>
      <c r="I810" s="1061"/>
      <c r="J810" s="1061"/>
      <c r="K810" s="1061"/>
      <c r="L810" s="1061"/>
      <c r="M810" s="1061"/>
      <c r="N810" s="1061"/>
      <c r="O810" s="626"/>
    </row>
    <row r="811" spans="1:15" x14ac:dyDescent="0.25">
      <c r="A811" s="765"/>
      <c r="B811" s="624"/>
      <c r="C811" s="1061"/>
      <c r="D811" s="1061"/>
      <c r="E811" s="1061"/>
      <c r="F811" s="1061"/>
      <c r="G811" s="1061"/>
      <c r="H811" s="1061"/>
      <c r="I811" s="1061"/>
      <c r="J811" s="1061"/>
      <c r="K811" s="1061"/>
      <c r="L811" s="1061"/>
      <c r="M811" s="1061"/>
      <c r="N811" s="1061"/>
      <c r="O811" s="626"/>
    </row>
    <row r="812" spans="1:15" x14ac:dyDescent="0.25">
      <c r="A812" s="765"/>
      <c r="B812" s="624"/>
      <c r="C812" s="1061"/>
      <c r="D812" s="1061"/>
      <c r="E812" s="1061"/>
      <c r="F812" s="1061"/>
      <c r="G812" s="1061"/>
      <c r="H812" s="1061"/>
      <c r="I812" s="1061"/>
      <c r="J812" s="1061"/>
      <c r="K812" s="1061"/>
      <c r="L812" s="1061"/>
      <c r="M812" s="1061"/>
      <c r="N812" s="1061"/>
      <c r="O812" s="626"/>
    </row>
    <row r="813" spans="1:15" x14ac:dyDescent="0.25">
      <c r="A813" s="765"/>
      <c r="B813" s="624"/>
      <c r="C813" s="1061"/>
      <c r="D813" s="1061"/>
      <c r="E813" s="1061"/>
      <c r="F813" s="1061"/>
      <c r="G813" s="1061"/>
      <c r="H813" s="1061"/>
      <c r="I813" s="1061"/>
      <c r="J813" s="1061"/>
      <c r="K813" s="1061"/>
      <c r="L813" s="1061"/>
      <c r="M813" s="1061"/>
      <c r="N813" s="1061"/>
      <c r="O813" s="626"/>
    </row>
    <row r="814" spans="1:15" x14ac:dyDescent="0.25">
      <c r="A814" s="765"/>
      <c r="B814" s="624"/>
      <c r="C814" s="1061"/>
      <c r="D814" s="1061"/>
      <c r="E814" s="1061"/>
      <c r="F814" s="1061"/>
      <c r="G814" s="1061"/>
      <c r="H814" s="1061"/>
      <c r="I814" s="1061"/>
      <c r="J814" s="1061"/>
      <c r="K814" s="1061"/>
      <c r="L814" s="1061"/>
      <c r="M814" s="1061"/>
      <c r="N814" s="1061"/>
      <c r="O814" s="626"/>
    </row>
    <row r="815" spans="1:15" x14ac:dyDescent="0.25">
      <c r="A815" s="765"/>
      <c r="B815" s="624"/>
      <c r="C815" s="1061"/>
      <c r="D815" s="1061"/>
      <c r="E815" s="1061"/>
      <c r="F815" s="1061"/>
      <c r="G815" s="1061"/>
      <c r="H815" s="1061"/>
      <c r="I815" s="1061"/>
      <c r="J815" s="1061"/>
      <c r="K815" s="1061"/>
      <c r="L815" s="1061"/>
      <c r="M815" s="1061"/>
      <c r="N815" s="1061"/>
      <c r="O815" s="626"/>
    </row>
    <row r="816" spans="1:15" x14ac:dyDescent="0.25">
      <c r="A816" s="765"/>
      <c r="B816" s="624"/>
      <c r="C816" s="1061"/>
      <c r="D816" s="1061"/>
      <c r="E816" s="1061"/>
      <c r="F816" s="1061"/>
      <c r="G816" s="1061"/>
      <c r="H816" s="1061"/>
      <c r="I816" s="1061"/>
      <c r="J816" s="1061"/>
      <c r="K816" s="1061"/>
      <c r="L816" s="1061"/>
      <c r="M816" s="1061"/>
      <c r="N816" s="1061"/>
      <c r="O816" s="626"/>
    </row>
    <row r="817" spans="1:15" x14ac:dyDescent="0.25">
      <c r="A817" s="765"/>
      <c r="B817" s="624"/>
      <c r="C817" s="1061"/>
      <c r="D817" s="1061"/>
      <c r="E817" s="1061"/>
      <c r="F817" s="1061"/>
      <c r="G817" s="1061"/>
      <c r="H817" s="1061"/>
      <c r="I817" s="1061"/>
      <c r="J817" s="1061"/>
      <c r="K817" s="1061"/>
      <c r="L817" s="1061"/>
      <c r="M817" s="1061"/>
      <c r="N817" s="1061"/>
      <c r="O817" s="626"/>
    </row>
    <row r="818" spans="1:15" x14ac:dyDescent="0.25">
      <c r="A818" s="765"/>
      <c r="B818" s="624"/>
      <c r="C818" s="1061"/>
      <c r="D818" s="1061"/>
      <c r="E818" s="1061"/>
      <c r="F818" s="1061"/>
      <c r="G818" s="1061"/>
      <c r="H818" s="1061"/>
      <c r="I818" s="1061"/>
      <c r="J818" s="1061"/>
      <c r="K818" s="1061"/>
      <c r="L818" s="1061"/>
      <c r="M818" s="1061"/>
      <c r="N818" s="1061"/>
      <c r="O818" s="626"/>
    </row>
    <row r="819" spans="1:15" x14ac:dyDescent="0.25">
      <c r="A819" s="765"/>
      <c r="B819" s="624"/>
      <c r="C819" s="1061"/>
      <c r="D819" s="1061"/>
      <c r="E819" s="1061"/>
      <c r="F819" s="1061"/>
      <c r="G819" s="1061"/>
      <c r="H819" s="1061"/>
      <c r="I819" s="1061"/>
      <c r="J819" s="1061"/>
      <c r="K819" s="1061"/>
      <c r="L819" s="1061"/>
      <c r="M819" s="1061"/>
      <c r="N819" s="1061"/>
      <c r="O819" s="626"/>
    </row>
    <row r="820" spans="1:15" x14ac:dyDescent="0.25">
      <c r="A820" s="765"/>
      <c r="B820" s="624"/>
      <c r="C820" s="1061"/>
      <c r="D820" s="1061"/>
      <c r="E820" s="1061"/>
      <c r="F820" s="1061"/>
      <c r="G820" s="1061"/>
      <c r="H820" s="1061"/>
      <c r="I820" s="1061"/>
      <c r="J820" s="1061"/>
      <c r="K820" s="1061"/>
      <c r="L820" s="1061"/>
      <c r="M820" s="1061"/>
      <c r="N820" s="1061"/>
      <c r="O820" s="626"/>
    </row>
    <row r="821" spans="1:15" x14ac:dyDescent="0.25">
      <c r="A821" s="765"/>
      <c r="B821" s="624"/>
      <c r="C821" s="1061"/>
      <c r="D821" s="1061"/>
      <c r="E821" s="1061"/>
      <c r="F821" s="1061"/>
      <c r="G821" s="1061"/>
      <c r="H821" s="1061"/>
      <c r="I821" s="1061"/>
      <c r="J821" s="1061"/>
      <c r="K821" s="1061"/>
      <c r="L821" s="1061"/>
      <c r="M821" s="1061"/>
      <c r="N821" s="1061"/>
      <c r="O821" s="626"/>
    </row>
    <row r="822" spans="1:15" x14ac:dyDescent="0.25">
      <c r="A822" s="765"/>
      <c r="B822" s="624"/>
      <c r="C822" s="1061"/>
      <c r="D822" s="1061"/>
      <c r="E822" s="1061"/>
      <c r="F822" s="1061"/>
      <c r="G822" s="1061"/>
      <c r="H822" s="1061"/>
      <c r="I822" s="1061"/>
      <c r="J822" s="1061"/>
      <c r="K822" s="1061"/>
      <c r="L822" s="1061"/>
      <c r="M822" s="1061"/>
      <c r="N822" s="1061"/>
      <c r="O822" s="626"/>
    </row>
    <row r="823" spans="1:15" x14ac:dyDescent="0.25">
      <c r="A823" s="765"/>
      <c r="B823" s="624"/>
      <c r="C823" s="1061"/>
      <c r="D823" s="1061"/>
      <c r="E823" s="1061"/>
      <c r="F823" s="1061"/>
      <c r="G823" s="1061"/>
      <c r="H823" s="1061"/>
      <c r="I823" s="1061"/>
      <c r="J823" s="1061"/>
      <c r="K823" s="1061"/>
      <c r="L823" s="1061"/>
      <c r="M823" s="1061"/>
      <c r="N823" s="1061"/>
      <c r="O823" s="626"/>
    </row>
    <row r="824" spans="1:15" x14ac:dyDescent="0.25">
      <c r="A824" s="765"/>
      <c r="B824" s="624"/>
      <c r="C824" s="1061"/>
      <c r="D824" s="1061"/>
      <c r="E824" s="1061"/>
      <c r="F824" s="1061"/>
      <c r="G824" s="1061"/>
      <c r="H824" s="1061"/>
      <c r="I824" s="1061"/>
      <c r="J824" s="1061"/>
      <c r="K824" s="1061"/>
      <c r="L824" s="1061"/>
      <c r="M824" s="1061"/>
      <c r="N824" s="1061"/>
      <c r="O824" s="626"/>
    </row>
    <row r="825" spans="1:15" x14ac:dyDescent="0.25">
      <c r="A825" s="765"/>
      <c r="B825" s="624"/>
      <c r="C825" s="1061"/>
      <c r="D825" s="1061"/>
      <c r="E825" s="1061"/>
      <c r="F825" s="1061"/>
      <c r="G825" s="1061"/>
      <c r="H825" s="1061"/>
      <c r="I825" s="1061"/>
      <c r="J825" s="1061"/>
      <c r="K825" s="1061"/>
      <c r="L825" s="1061"/>
      <c r="M825" s="1061"/>
      <c r="N825" s="1061"/>
      <c r="O825" s="626"/>
    </row>
    <row r="826" spans="1:15" x14ac:dyDescent="0.25">
      <c r="A826" s="765"/>
      <c r="B826" s="624"/>
      <c r="C826" s="1061"/>
      <c r="D826" s="1061"/>
      <c r="E826" s="1061"/>
      <c r="F826" s="1061"/>
      <c r="G826" s="1061"/>
      <c r="H826" s="1061"/>
      <c r="I826" s="1061"/>
      <c r="J826" s="1061"/>
      <c r="K826" s="1061"/>
      <c r="L826" s="1061"/>
      <c r="M826" s="1061"/>
      <c r="N826" s="1061"/>
      <c r="O826" s="626"/>
    </row>
    <row r="827" spans="1:15" x14ac:dyDescent="0.25">
      <c r="A827" s="765"/>
      <c r="B827" s="624"/>
      <c r="C827" s="1061"/>
      <c r="D827" s="1061"/>
      <c r="E827" s="1061"/>
      <c r="F827" s="1061"/>
      <c r="G827" s="1061"/>
      <c r="H827" s="1061"/>
      <c r="I827" s="1061"/>
      <c r="J827" s="1061"/>
      <c r="K827" s="1061"/>
      <c r="L827" s="1061"/>
      <c r="M827" s="1061"/>
      <c r="N827" s="1061"/>
      <c r="O827" s="626"/>
    </row>
    <row r="828" spans="1:15" x14ac:dyDescent="0.25">
      <c r="A828" s="765"/>
      <c r="B828" s="624"/>
      <c r="C828" s="1061"/>
      <c r="D828" s="1061"/>
      <c r="E828" s="1061"/>
      <c r="F828" s="1061"/>
      <c r="G828" s="1061"/>
      <c r="H828" s="1061"/>
      <c r="I828" s="1061"/>
      <c r="J828" s="1061"/>
      <c r="K828" s="1061"/>
      <c r="L828" s="1061"/>
      <c r="M828" s="1061"/>
      <c r="N828" s="1061"/>
      <c r="O828" s="626"/>
    </row>
    <row r="829" spans="1:15" x14ac:dyDescent="0.25">
      <c r="A829" s="765"/>
      <c r="B829" s="624"/>
      <c r="C829" s="1061"/>
      <c r="D829" s="1061"/>
      <c r="E829" s="1061"/>
      <c r="F829" s="1061"/>
      <c r="G829" s="1061"/>
      <c r="H829" s="1061"/>
      <c r="I829" s="1061"/>
      <c r="J829" s="1061"/>
      <c r="K829" s="1061"/>
      <c r="L829" s="1061"/>
      <c r="M829" s="1061"/>
      <c r="N829" s="1061"/>
      <c r="O829" s="626"/>
    </row>
    <row r="830" spans="1:15" x14ac:dyDescent="0.25">
      <c r="A830" s="765"/>
      <c r="B830" s="624"/>
      <c r="C830" s="1061"/>
      <c r="D830" s="1061"/>
      <c r="E830" s="1061"/>
      <c r="F830" s="1061"/>
      <c r="G830" s="1061"/>
      <c r="H830" s="1061"/>
      <c r="I830" s="1061"/>
      <c r="J830" s="1061"/>
      <c r="K830" s="1061"/>
      <c r="L830" s="1061"/>
      <c r="M830" s="1061"/>
      <c r="N830" s="1061"/>
      <c r="O830" s="626"/>
    </row>
    <row r="831" spans="1:15" x14ac:dyDescent="0.25">
      <c r="A831" s="765"/>
      <c r="B831" s="624"/>
      <c r="C831" s="1061"/>
      <c r="D831" s="1061"/>
      <c r="E831" s="1061"/>
      <c r="F831" s="1061"/>
      <c r="G831" s="1061"/>
      <c r="H831" s="1061"/>
      <c r="I831" s="1061"/>
      <c r="J831" s="1061"/>
      <c r="K831" s="1061"/>
      <c r="L831" s="1061"/>
      <c r="M831" s="1061"/>
      <c r="N831" s="1061"/>
      <c r="O831" s="626"/>
    </row>
    <row r="832" spans="1:15" x14ac:dyDescent="0.25">
      <c r="A832" s="765"/>
      <c r="B832" s="624"/>
      <c r="C832" s="1061"/>
      <c r="D832" s="1061"/>
      <c r="E832" s="1061"/>
      <c r="F832" s="1061"/>
      <c r="G832" s="1061"/>
      <c r="H832" s="1061"/>
      <c r="I832" s="1061"/>
      <c r="J832" s="1061"/>
      <c r="K832" s="1061"/>
      <c r="L832" s="1061"/>
      <c r="M832" s="1061"/>
      <c r="N832" s="1061"/>
      <c r="O832" s="626"/>
    </row>
    <row r="833" spans="1:15" x14ac:dyDescent="0.25">
      <c r="A833" s="765"/>
      <c r="B833" s="624"/>
      <c r="C833" s="1061"/>
      <c r="D833" s="1061"/>
      <c r="E833" s="1061"/>
      <c r="F833" s="1061"/>
      <c r="G833" s="1061"/>
      <c r="H833" s="1061"/>
      <c r="I833" s="1061"/>
      <c r="J833" s="1061"/>
      <c r="K833" s="1061"/>
      <c r="L833" s="1061"/>
      <c r="M833" s="1061"/>
      <c r="N833" s="1061"/>
      <c r="O833" s="626"/>
    </row>
    <row r="834" spans="1:15" x14ac:dyDescent="0.25">
      <c r="A834" s="765"/>
      <c r="B834" s="624"/>
      <c r="C834" s="1061"/>
      <c r="D834" s="1061"/>
      <c r="E834" s="1061"/>
      <c r="F834" s="1061"/>
      <c r="G834" s="1061"/>
      <c r="H834" s="1061"/>
      <c r="I834" s="1061"/>
      <c r="J834" s="1061"/>
      <c r="K834" s="1061"/>
      <c r="L834" s="1061"/>
      <c r="M834" s="1061"/>
      <c r="N834" s="1061"/>
      <c r="O834" s="626"/>
    </row>
    <row r="835" spans="1:15" x14ac:dyDescent="0.25">
      <c r="A835" s="765"/>
      <c r="B835" s="624"/>
      <c r="C835" s="1061"/>
      <c r="D835" s="1061"/>
      <c r="E835" s="1061"/>
      <c r="F835" s="1061"/>
      <c r="G835" s="1061"/>
      <c r="H835" s="1061"/>
      <c r="I835" s="1061"/>
      <c r="J835" s="1061"/>
      <c r="K835" s="1061"/>
      <c r="L835" s="1061"/>
      <c r="M835" s="1061"/>
      <c r="N835" s="1061"/>
      <c r="O835" s="626"/>
    </row>
    <row r="836" spans="1:15" x14ac:dyDescent="0.25">
      <c r="A836" s="765"/>
      <c r="B836" s="624"/>
      <c r="C836" s="1061"/>
      <c r="D836" s="1061"/>
      <c r="E836" s="1061"/>
      <c r="F836" s="1061"/>
      <c r="G836" s="1061"/>
      <c r="H836" s="1061"/>
      <c r="I836" s="1061"/>
      <c r="J836" s="1061"/>
      <c r="K836" s="1061"/>
      <c r="L836" s="1061"/>
      <c r="M836" s="1061"/>
      <c r="N836" s="1061"/>
      <c r="O836" s="626"/>
    </row>
    <row r="837" spans="1:15" x14ac:dyDescent="0.25">
      <c r="A837" s="765"/>
      <c r="B837" s="624"/>
      <c r="C837" s="1061"/>
      <c r="D837" s="1061"/>
      <c r="E837" s="1061"/>
      <c r="F837" s="1061"/>
      <c r="G837" s="1061"/>
      <c r="H837" s="1061"/>
      <c r="I837" s="1061"/>
      <c r="J837" s="1061"/>
      <c r="K837" s="1061"/>
      <c r="L837" s="1061"/>
      <c r="M837" s="1061"/>
      <c r="N837" s="1061"/>
      <c r="O837" s="626"/>
    </row>
    <row r="838" spans="1:15" x14ac:dyDescent="0.25">
      <c r="A838" s="765"/>
      <c r="B838" s="624"/>
      <c r="C838" s="1061"/>
      <c r="D838" s="1061"/>
      <c r="E838" s="1061"/>
      <c r="F838" s="1061"/>
      <c r="G838" s="1061"/>
      <c r="H838" s="1061"/>
      <c r="I838" s="1061"/>
      <c r="J838" s="1061"/>
      <c r="K838" s="1061"/>
      <c r="L838" s="1061"/>
      <c r="M838" s="1061"/>
      <c r="N838" s="1061"/>
      <c r="O838" s="626"/>
    </row>
    <row r="839" spans="1:15" x14ac:dyDescent="0.25">
      <c r="A839" s="765"/>
      <c r="B839" s="624"/>
      <c r="C839" s="1061"/>
      <c r="D839" s="1061"/>
      <c r="E839" s="1061"/>
      <c r="F839" s="1061"/>
      <c r="G839" s="1061"/>
      <c r="H839" s="1061"/>
      <c r="I839" s="1061"/>
      <c r="J839" s="1061"/>
      <c r="K839" s="1061"/>
      <c r="L839" s="1061"/>
      <c r="M839" s="1061"/>
      <c r="N839" s="1061"/>
      <c r="O839" s="626"/>
    </row>
    <row r="840" spans="1:15" x14ac:dyDescent="0.25">
      <c r="A840" s="765"/>
      <c r="B840" s="624"/>
      <c r="C840" s="1061"/>
      <c r="D840" s="1061"/>
      <c r="E840" s="1061"/>
      <c r="F840" s="1061"/>
      <c r="G840" s="1061"/>
      <c r="H840" s="1061"/>
      <c r="I840" s="1061"/>
      <c r="J840" s="1061"/>
      <c r="K840" s="1061"/>
      <c r="L840" s="1061"/>
      <c r="M840" s="1061"/>
      <c r="N840" s="1061"/>
      <c r="O840" s="626"/>
    </row>
    <row r="841" spans="1:15" x14ac:dyDescent="0.25">
      <c r="A841" s="765"/>
      <c r="B841" s="624"/>
      <c r="C841" s="1061"/>
      <c r="D841" s="1061"/>
      <c r="E841" s="1061"/>
      <c r="F841" s="1061"/>
      <c r="G841" s="1061"/>
      <c r="H841" s="1061"/>
      <c r="I841" s="1061"/>
      <c r="J841" s="1061"/>
      <c r="K841" s="1061"/>
      <c r="L841" s="1061"/>
      <c r="M841" s="1061"/>
      <c r="N841" s="1061"/>
      <c r="O841" s="626"/>
    </row>
    <row r="842" spans="1:15" x14ac:dyDescent="0.25">
      <c r="A842" s="765"/>
      <c r="B842" s="624"/>
      <c r="C842" s="1061"/>
      <c r="D842" s="1061"/>
      <c r="E842" s="1061"/>
      <c r="F842" s="1061"/>
      <c r="G842" s="1061"/>
      <c r="H842" s="1061"/>
      <c r="I842" s="1061"/>
      <c r="J842" s="1061"/>
      <c r="K842" s="1061"/>
      <c r="L842" s="1061"/>
      <c r="M842" s="1061"/>
      <c r="N842" s="1061"/>
      <c r="O842" s="626"/>
    </row>
    <row r="843" spans="1:15" x14ac:dyDescent="0.25">
      <c r="A843" s="765"/>
      <c r="B843" s="624"/>
      <c r="C843" s="1061"/>
      <c r="D843" s="1061"/>
      <c r="E843" s="1061"/>
      <c r="F843" s="1061"/>
      <c r="G843" s="1061"/>
      <c r="H843" s="1061"/>
      <c r="I843" s="1061"/>
      <c r="J843" s="1061"/>
      <c r="K843" s="1061"/>
      <c r="L843" s="1061"/>
      <c r="M843" s="1061"/>
      <c r="N843" s="1061"/>
      <c r="O843" s="626"/>
    </row>
    <row r="844" spans="1:15" x14ac:dyDescent="0.25">
      <c r="A844" s="765"/>
      <c r="B844" s="624"/>
      <c r="C844" s="1061"/>
      <c r="D844" s="1061"/>
      <c r="E844" s="1061"/>
      <c r="F844" s="1061"/>
      <c r="G844" s="1061"/>
      <c r="H844" s="1061"/>
      <c r="I844" s="1061"/>
      <c r="J844" s="1061"/>
      <c r="K844" s="1061"/>
      <c r="L844" s="1061"/>
      <c r="M844" s="1061"/>
      <c r="N844" s="1061"/>
      <c r="O844" s="626"/>
    </row>
    <row r="845" spans="1:15" x14ac:dyDescent="0.25">
      <c r="A845" s="765"/>
      <c r="B845" s="624"/>
      <c r="C845" s="1061"/>
      <c r="D845" s="1061"/>
      <c r="E845" s="1061"/>
      <c r="F845" s="1061"/>
      <c r="G845" s="1061"/>
      <c r="H845" s="1061"/>
      <c r="I845" s="1061"/>
      <c r="J845" s="1061"/>
      <c r="K845" s="1061"/>
      <c r="L845" s="1061"/>
      <c r="M845" s="1061"/>
      <c r="N845" s="1061"/>
      <c r="O845" s="626"/>
    </row>
    <row r="846" spans="1:15" x14ac:dyDescent="0.25">
      <c r="A846" s="765"/>
      <c r="B846" s="624"/>
      <c r="C846" s="1061"/>
      <c r="D846" s="1061"/>
      <c r="E846" s="1061"/>
      <c r="F846" s="1061"/>
      <c r="G846" s="1061"/>
      <c r="H846" s="1061"/>
      <c r="I846" s="1061"/>
      <c r="J846" s="1061"/>
      <c r="K846" s="1061"/>
      <c r="L846" s="1061"/>
      <c r="M846" s="1061"/>
      <c r="N846" s="1061"/>
      <c r="O846" s="626"/>
    </row>
    <row r="847" spans="1:15" x14ac:dyDescent="0.25">
      <c r="A847" s="765"/>
      <c r="B847" s="624"/>
      <c r="C847" s="1061"/>
      <c r="D847" s="1061"/>
      <c r="E847" s="1061"/>
      <c r="F847" s="1061"/>
      <c r="G847" s="1061"/>
      <c r="H847" s="1061"/>
      <c r="I847" s="1061"/>
      <c r="J847" s="1061"/>
      <c r="K847" s="1061"/>
      <c r="L847" s="1061"/>
      <c r="M847" s="1061"/>
      <c r="N847" s="1061"/>
      <c r="O847" s="626"/>
    </row>
    <row r="848" spans="1:15" x14ac:dyDescent="0.25">
      <c r="A848" s="765"/>
      <c r="B848" s="624"/>
      <c r="C848" s="1061"/>
      <c r="D848" s="1061"/>
      <c r="E848" s="1061"/>
      <c r="F848" s="1061"/>
      <c r="G848" s="1061"/>
      <c r="H848" s="1061"/>
      <c r="I848" s="1061"/>
      <c r="J848" s="1061"/>
      <c r="K848" s="1061"/>
      <c r="L848" s="1061"/>
      <c r="M848" s="1061"/>
      <c r="N848" s="1061"/>
      <c r="O848" s="626"/>
    </row>
    <row r="849" spans="1:15" x14ac:dyDescent="0.25">
      <c r="A849" s="765"/>
      <c r="B849" s="624"/>
      <c r="C849" s="1061"/>
      <c r="D849" s="1061"/>
      <c r="E849" s="1061"/>
      <c r="F849" s="1061"/>
      <c r="G849" s="1061"/>
      <c r="H849" s="1061"/>
      <c r="I849" s="1061"/>
      <c r="J849" s="1061"/>
      <c r="K849" s="1061"/>
      <c r="L849" s="1061"/>
      <c r="M849" s="1061"/>
      <c r="N849" s="1061"/>
      <c r="O849" s="626"/>
    </row>
    <row r="850" spans="1:15" x14ac:dyDescent="0.25">
      <c r="A850" s="765"/>
      <c r="B850" s="624"/>
      <c r="C850" s="1061"/>
      <c r="D850" s="1061"/>
      <c r="E850" s="1061"/>
      <c r="F850" s="1061"/>
      <c r="G850" s="1061"/>
      <c r="H850" s="1061"/>
      <c r="I850" s="1061"/>
      <c r="J850" s="1061"/>
      <c r="K850" s="1061"/>
      <c r="L850" s="1061"/>
      <c r="M850" s="1061"/>
      <c r="N850" s="1061"/>
      <c r="O850" s="626"/>
    </row>
    <row r="851" spans="1:15" x14ac:dyDescent="0.25">
      <c r="A851" s="765"/>
      <c r="B851" s="624"/>
      <c r="C851" s="1061"/>
      <c r="D851" s="1061"/>
      <c r="E851" s="1061"/>
      <c r="F851" s="1061"/>
      <c r="G851" s="1061"/>
      <c r="H851" s="1061"/>
      <c r="I851" s="1061"/>
      <c r="J851" s="1061"/>
      <c r="K851" s="1061"/>
      <c r="L851" s="1061"/>
      <c r="M851" s="1061"/>
      <c r="N851" s="1061"/>
      <c r="O851" s="626"/>
    </row>
    <row r="852" spans="1:15" x14ac:dyDescent="0.25">
      <c r="A852" s="765"/>
      <c r="B852" s="624"/>
      <c r="C852" s="1061"/>
      <c r="D852" s="1061"/>
      <c r="E852" s="1061"/>
      <c r="F852" s="1061"/>
      <c r="G852" s="1061"/>
      <c r="H852" s="1061"/>
      <c r="I852" s="1061"/>
      <c r="J852" s="1061"/>
      <c r="K852" s="1061"/>
      <c r="L852" s="1061"/>
      <c r="M852" s="1061"/>
      <c r="N852" s="1061"/>
      <c r="O852" s="626"/>
    </row>
    <row r="853" spans="1:15" x14ac:dyDescent="0.25">
      <c r="A853" s="765"/>
      <c r="B853" s="624"/>
      <c r="C853" s="1061"/>
      <c r="D853" s="1061"/>
      <c r="E853" s="1061"/>
      <c r="F853" s="1061"/>
      <c r="G853" s="1061"/>
      <c r="H853" s="1061"/>
      <c r="I853" s="1061"/>
      <c r="J853" s="1061"/>
      <c r="K853" s="1061"/>
      <c r="L853" s="1061"/>
      <c r="M853" s="1061"/>
      <c r="N853" s="1061"/>
      <c r="O853" s="626"/>
    </row>
    <row r="854" spans="1:15" x14ac:dyDescent="0.25">
      <c r="A854" s="765"/>
      <c r="B854" s="624"/>
      <c r="C854" s="1061"/>
      <c r="D854" s="1061"/>
      <c r="E854" s="1061"/>
      <c r="F854" s="1061"/>
      <c r="G854" s="1061"/>
      <c r="H854" s="1061"/>
      <c r="I854" s="1061"/>
      <c r="J854" s="1061"/>
      <c r="K854" s="1061"/>
      <c r="L854" s="1061"/>
      <c r="M854" s="1061"/>
      <c r="N854" s="1061"/>
      <c r="O854" s="626"/>
    </row>
    <row r="855" spans="1:15" x14ac:dyDescent="0.25">
      <c r="A855" s="765"/>
      <c r="B855" s="624"/>
      <c r="C855" s="1061"/>
      <c r="D855" s="1061"/>
      <c r="E855" s="1061"/>
      <c r="F855" s="1061"/>
      <c r="G855" s="1061"/>
      <c r="H855" s="1061"/>
      <c r="I855" s="1061"/>
      <c r="J855" s="1061"/>
      <c r="K855" s="1061"/>
      <c r="L855" s="1061"/>
      <c r="M855" s="1061"/>
      <c r="N855" s="1061"/>
      <c r="O855" s="626"/>
    </row>
    <row r="856" spans="1:15" x14ac:dyDescent="0.25">
      <c r="A856" s="765"/>
      <c r="B856" s="624"/>
      <c r="C856" s="1061"/>
      <c r="D856" s="1061"/>
      <c r="E856" s="1061"/>
      <c r="F856" s="1061"/>
      <c r="G856" s="1061"/>
      <c r="H856" s="1061"/>
      <c r="I856" s="1061"/>
      <c r="J856" s="1061"/>
      <c r="K856" s="1061"/>
      <c r="L856" s="1061"/>
      <c r="M856" s="1061"/>
      <c r="N856" s="1061"/>
      <c r="O856" s="626"/>
    </row>
    <row r="857" spans="1:15" x14ac:dyDescent="0.25">
      <c r="A857" s="765"/>
      <c r="B857" s="624"/>
      <c r="C857" s="1061"/>
      <c r="D857" s="1061"/>
      <c r="E857" s="1061"/>
      <c r="F857" s="1061"/>
      <c r="G857" s="1061"/>
      <c r="H857" s="1061"/>
      <c r="I857" s="1061"/>
      <c r="J857" s="1061"/>
      <c r="K857" s="1061"/>
      <c r="L857" s="1061"/>
      <c r="M857" s="1061"/>
      <c r="N857" s="1061"/>
      <c r="O857" s="626"/>
    </row>
    <row r="858" spans="1:15" x14ac:dyDescent="0.25">
      <c r="A858" s="765"/>
      <c r="B858" s="624"/>
      <c r="C858" s="1061"/>
      <c r="D858" s="1061"/>
      <c r="E858" s="1061"/>
      <c r="F858" s="1061"/>
      <c r="G858" s="1061"/>
      <c r="H858" s="1061"/>
      <c r="I858" s="1061"/>
      <c r="J858" s="1061"/>
      <c r="K858" s="1061"/>
      <c r="L858" s="1061"/>
      <c r="M858" s="1061"/>
      <c r="N858" s="1061"/>
      <c r="O858" s="626"/>
    </row>
    <row r="859" spans="1:15" x14ac:dyDescent="0.25">
      <c r="A859" s="765"/>
      <c r="B859" s="624"/>
      <c r="C859" s="1061"/>
      <c r="D859" s="1061"/>
      <c r="E859" s="1061"/>
      <c r="F859" s="1061"/>
      <c r="G859" s="1061"/>
      <c r="H859" s="1061"/>
      <c r="I859" s="1061"/>
      <c r="J859" s="1061"/>
      <c r="K859" s="1061"/>
      <c r="L859" s="1061"/>
      <c r="M859" s="1061"/>
      <c r="N859" s="1061"/>
      <c r="O859" s="626"/>
    </row>
    <row r="860" spans="1:15" x14ac:dyDescent="0.25">
      <c r="A860" s="765"/>
      <c r="B860" s="624"/>
      <c r="C860" s="1061"/>
      <c r="D860" s="1061"/>
      <c r="E860" s="1061"/>
      <c r="F860" s="1061"/>
      <c r="G860" s="1061"/>
      <c r="H860" s="1061"/>
      <c r="I860" s="1061"/>
      <c r="J860" s="1061"/>
      <c r="K860" s="1061"/>
      <c r="L860" s="1061"/>
      <c r="M860" s="1061"/>
      <c r="N860" s="1061"/>
      <c r="O860" s="626"/>
    </row>
    <row r="861" spans="1:15" x14ac:dyDescent="0.25">
      <c r="A861" s="765"/>
      <c r="B861" s="624"/>
      <c r="C861" s="1061"/>
      <c r="D861" s="1061"/>
      <c r="E861" s="1061"/>
      <c r="F861" s="1061"/>
      <c r="G861" s="1061"/>
      <c r="H861" s="1061"/>
      <c r="I861" s="1061"/>
      <c r="J861" s="1061"/>
      <c r="K861" s="1061"/>
      <c r="L861" s="1061"/>
      <c r="M861" s="1061"/>
      <c r="N861" s="1061"/>
      <c r="O861" s="626"/>
    </row>
    <row r="862" spans="1:15" x14ac:dyDescent="0.25">
      <c r="A862" s="765"/>
      <c r="B862" s="624"/>
      <c r="C862" s="1061"/>
      <c r="D862" s="1061"/>
      <c r="E862" s="1061"/>
      <c r="F862" s="1061"/>
      <c r="G862" s="1061"/>
      <c r="H862" s="1061"/>
      <c r="I862" s="1061"/>
      <c r="J862" s="1061"/>
      <c r="K862" s="1061"/>
      <c r="L862" s="1061"/>
      <c r="M862" s="1061"/>
      <c r="N862" s="1061"/>
      <c r="O862" s="626"/>
    </row>
    <row r="863" spans="1:15" x14ac:dyDescent="0.25">
      <c r="A863" s="765"/>
      <c r="B863" s="624"/>
      <c r="C863" s="1061"/>
      <c r="D863" s="1061"/>
      <c r="E863" s="1061"/>
      <c r="F863" s="1061"/>
      <c r="G863" s="1061"/>
      <c r="H863" s="1061"/>
      <c r="I863" s="1061"/>
      <c r="J863" s="1061"/>
      <c r="K863" s="1061"/>
      <c r="L863" s="1061"/>
      <c r="M863" s="1061"/>
      <c r="N863" s="1061"/>
      <c r="O863" s="626"/>
    </row>
    <row r="864" spans="1:15" x14ac:dyDescent="0.25">
      <c r="A864" s="765"/>
      <c r="B864" s="624"/>
      <c r="C864" s="1061"/>
      <c r="D864" s="1061"/>
      <c r="E864" s="1061"/>
      <c r="F864" s="1061"/>
      <c r="G864" s="1061"/>
      <c r="H864" s="1061"/>
      <c r="I864" s="1061"/>
      <c r="J864" s="1061"/>
      <c r="K864" s="1061"/>
      <c r="L864" s="1061"/>
      <c r="M864" s="1061"/>
      <c r="N864" s="1061"/>
      <c r="O864" s="626"/>
    </row>
    <row r="865" spans="1:15" x14ac:dyDescent="0.25">
      <c r="A865" s="765"/>
      <c r="B865" s="624"/>
      <c r="C865" s="1061"/>
      <c r="D865" s="1061"/>
      <c r="E865" s="1061"/>
      <c r="F865" s="1061"/>
      <c r="G865" s="1061"/>
      <c r="H865" s="1061"/>
      <c r="I865" s="1061"/>
      <c r="J865" s="1061"/>
      <c r="K865" s="1061"/>
      <c r="L865" s="1061"/>
      <c r="M865" s="1061"/>
      <c r="N865" s="1061"/>
      <c r="O865" s="626"/>
    </row>
    <row r="866" spans="1:15" x14ac:dyDescent="0.25">
      <c r="A866" s="765"/>
      <c r="B866" s="624"/>
      <c r="C866" s="1061"/>
      <c r="D866" s="1061"/>
      <c r="E866" s="1061"/>
      <c r="F866" s="1061"/>
      <c r="G866" s="1061"/>
      <c r="H866" s="1061"/>
      <c r="I866" s="1061"/>
      <c r="J866" s="1061"/>
      <c r="K866" s="1061"/>
      <c r="L866" s="1061"/>
      <c r="M866" s="1061"/>
      <c r="N866" s="1061"/>
      <c r="O866" s="626"/>
    </row>
    <row r="867" spans="1:15" x14ac:dyDescent="0.25">
      <c r="A867" s="765"/>
      <c r="B867" s="624"/>
      <c r="C867" s="1061"/>
      <c r="D867" s="1061"/>
      <c r="E867" s="1061"/>
      <c r="F867" s="1061"/>
      <c r="G867" s="1061"/>
      <c r="H867" s="1061"/>
      <c r="I867" s="1061"/>
      <c r="J867" s="1061"/>
      <c r="K867" s="1061"/>
      <c r="L867" s="1061"/>
      <c r="M867" s="1061"/>
      <c r="N867" s="1061"/>
      <c r="O867" s="626"/>
    </row>
    <row r="868" spans="1:15" x14ac:dyDescent="0.25">
      <c r="A868" s="765"/>
      <c r="B868" s="624"/>
      <c r="C868" s="1061"/>
      <c r="D868" s="1061"/>
      <c r="E868" s="1061"/>
      <c r="F868" s="1061"/>
      <c r="G868" s="1061"/>
      <c r="H868" s="1061"/>
      <c r="I868" s="1061"/>
      <c r="J868" s="1061"/>
      <c r="K868" s="1061"/>
      <c r="L868" s="1061"/>
      <c r="M868" s="1061"/>
      <c r="N868" s="1061"/>
      <c r="O868" s="626"/>
    </row>
    <row r="869" spans="1:15" x14ac:dyDescent="0.25">
      <c r="A869" s="765"/>
      <c r="B869" s="624"/>
      <c r="C869" s="1061"/>
      <c r="D869" s="1061"/>
      <c r="E869" s="1061"/>
      <c r="F869" s="1061"/>
      <c r="G869" s="1061"/>
      <c r="H869" s="1061"/>
      <c r="I869" s="1061"/>
      <c r="J869" s="1061"/>
      <c r="K869" s="1061"/>
      <c r="L869" s="1061"/>
      <c r="M869" s="1061"/>
      <c r="N869" s="1061"/>
      <c r="O869" s="626"/>
    </row>
    <row r="870" spans="1:15" x14ac:dyDescent="0.25">
      <c r="A870" s="765"/>
      <c r="B870" s="624"/>
      <c r="C870" s="1061"/>
      <c r="D870" s="1061"/>
      <c r="E870" s="1061"/>
      <c r="F870" s="1061"/>
      <c r="G870" s="1061"/>
      <c r="H870" s="1061"/>
      <c r="I870" s="1061"/>
      <c r="J870" s="1061"/>
      <c r="K870" s="1061"/>
      <c r="L870" s="1061"/>
      <c r="M870" s="1061"/>
      <c r="N870" s="1061"/>
      <c r="O870" s="626"/>
    </row>
    <row r="871" spans="1:15" x14ac:dyDescent="0.25">
      <c r="A871" s="765"/>
      <c r="B871" s="624"/>
      <c r="C871" s="1061"/>
      <c r="D871" s="1061"/>
      <c r="E871" s="1061"/>
      <c r="F871" s="1061"/>
      <c r="G871" s="1061"/>
      <c r="H871" s="1061"/>
      <c r="I871" s="1061"/>
      <c r="J871" s="1061"/>
      <c r="K871" s="1061"/>
      <c r="L871" s="1061"/>
      <c r="M871" s="1061"/>
      <c r="N871" s="1061"/>
      <c r="O871" s="626"/>
    </row>
    <row r="872" spans="1:15" x14ac:dyDescent="0.25">
      <c r="A872" s="765"/>
      <c r="B872" s="624"/>
      <c r="C872" s="1061"/>
      <c r="D872" s="1061"/>
      <c r="E872" s="1061"/>
      <c r="F872" s="1061"/>
      <c r="G872" s="1061"/>
      <c r="H872" s="1061"/>
      <c r="I872" s="1061"/>
      <c r="J872" s="1061"/>
      <c r="K872" s="1061"/>
      <c r="L872" s="1061"/>
      <c r="M872" s="1061"/>
      <c r="N872" s="1061"/>
      <c r="O872" s="626"/>
    </row>
    <row r="873" spans="1:15" x14ac:dyDescent="0.25">
      <c r="A873" s="765"/>
      <c r="B873" s="624"/>
      <c r="C873" s="1061"/>
      <c r="D873" s="1061"/>
      <c r="E873" s="1061"/>
      <c r="F873" s="1061"/>
      <c r="G873" s="1061"/>
      <c r="H873" s="1061"/>
      <c r="I873" s="1061"/>
      <c r="J873" s="1061"/>
      <c r="K873" s="1061"/>
      <c r="L873" s="1061"/>
      <c r="M873" s="1061"/>
      <c r="N873" s="1061"/>
      <c r="O873" s="626"/>
    </row>
    <row r="874" spans="1:15" x14ac:dyDescent="0.25">
      <c r="A874" s="765"/>
      <c r="B874" s="624"/>
      <c r="C874" s="1061"/>
      <c r="D874" s="1061"/>
      <c r="E874" s="1061"/>
      <c r="F874" s="1061"/>
      <c r="G874" s="1061"/>
      <c r="H874" s="1061"/>
      <c r="I874" s="1061"/>
      <c r="J874" s="1061"/>
      <c r="K874" s="1061"/>
      <c r="L874" s="1061"/>
      <c r="M874" s="1061"/>
      <c r="N874" s="1061"/>
      <c r="O874" s="626"/>
    </row>
    <row r="875" spans="1:15" x14ac:dyDescent="0.25">
      <c r="A875" s="765"/>
      <c r="B875" s="624"/>
      <c r="C875" s="1061"/>
      <c r="D875" s="1061"/>
      <c r="E875" s="1061"/>
      <c r="F875" s="1061"/>
      <c r="G875" s="1061"/>
      <c r="H875" s="1061"/>
      <c r="I875" s="1061"/>
      <c r="J875" s="1061"/>
      <c r="K875" s="1061"/>
      <c r="L875" s="1061"/>
      <c r="M875" s="1061"/>
      <c r="N875" s="1061"/>
      <c r="O875" s="626"/>
    </row>
    <row r="876" spans="1:15" x14ac:dyDescent="0.25">
      <c r="A876" s="765"/>
      <c r="B876" s="624"/>
      <c r="C876" s="1061"/>
      <c r="D876" s="1061"/>
      <c r="E876" s="1061"/>
      <c r="F876" s="1061"/>
      <c r="G876" s="1061"/>
      <c r="H876" s="1061"/>
      <c r="I876" s="1061"/>
      <c r="J876" s="1061"/>
      <c r="K876" s="1061"/>
      <c r="L876" s="1061"/>
      <c r="M876" s="1061"/>
      <c r="N876" s="1061"/>
      <c r="O876" s="626"/>
    </row>
    <row r="877" spans="1:15" x14ac:dyDescent="0.25">
      <c r="A877" s="765"/>
      <c r="B877" s="624"/>
      <c r="C877" s="1061"/>
      <c r="D877" s="1061"/>
      <c r="E877" s="1061"/>
      <c r="F877" s="1061"/>
      <c r="G877" s="1061"/>
      <c r="H877" s="1061"/>
      <c r="I877" s="1061"/>
      <c r="J877" s="1061"/>
      <c r="K877" s="1061"/>
      <c r="L877" s="1061"/>
      <c r="M877" s="1061"/>
      <c r="N877" s="1061"/>
      <c r="O877" s="626"/>
    </row>
    <row r="878" spans="1:15" x14ac:dyDescent="0.25">
      <c r="A878" s="765"/>
      <c r="B878" s="624"/>
      <c r="C878" s="1061"/>
      <c r="D878" s="1061"/>
      <c r="E878" s="1061"/>
      <c r="F878" s="1061"/>
      <c r="G878" s="1061"/>
      <c r="H878" s="1061"/>
      <c r="I878" s="1061"/>
      <c r="J878" s="1061"/>
      <c r="K878" s="1061"/>
      <c r="L878" s="1061"/>
      <c r="M878" s="1061"/>
      <c r="N878" s="1061"/>
      <c r="O878" s="626"/>
    </row>
    <row r="879" spans="1:15" x14ac:dyDescent="0.25">
      <c r="A879" s="765"/>
      <c r="B879" s="624"/>
      <c r="C879" s="1061"/>
      <c r="D879" s="1061"/>
      <c r="E879" s="1061"/>
      <c r="F879" s="1061"/>
      <c r="G879" s="1061"/>
      <c r="H879" s="1061"/>
      <c r="I879" s="1061"/>
      <c r="J879" s="1061"/>
      <c r="K879" s="1061"/>
      <c r="L879" s="1061"/>
      <c r="M879" s="1061"/>
      <c r="N879" s="1061"/>
      <c r="O879" s="626"/>
    </row>
    <row r="880" spans="1:15" x14ac:dyDescent="0.25">
      <c r="A880" s="765"/>
      <c r="B880" s="624"/>
      <c r="C880" s="1061"/>
      <c r="D880" s="1061"/>
      <c r="E880" s="1061"/>
      <c r="F880" s="1061"/>
      <c r="G880" s="1061"/>
      <c r="H880" s="1061"/>
      <c r="I880" s="1061"/>
      <c r="J880" s="1061"/>
      <c r="K880" s="1061"/>
      <c r="L880" s="1061"/>
      <c r="M880" s="1061"/>
      <c r="N880" s="1061"/>
      <c r="O880" s="626"/>
    </row>
    <row r="881" spans="1:15" x14ac:dyDescent="0.25">
      <c r="A881" s="765"/>
      <c r="B881" s="624"/>
      <c r="C881" s="1061"/>
      <c r="D881" s="1061"/>
      <c r="E881" s="1061"/>
      <c r="F881" s="1061"/>
      <c r="G881" s="1061"/>
      <c r="H881" s="1061"/>
      <c r="I881" s="1061"/>
      <c r="J881" s="1061"/>
      <c r="K881" s="1061"/>
      <c r="L881" s="1061"/>
      <c r="M881" s="1061"/>
      <c r="N881" s="1061"/>
      <c r="O881" s="626"/>
    </row>
    <row r="882" spans="1:15" x14ac:dyDescent="0.25">
      <c r="A882" s="765"/>
      <c r="B882" s="624"/>
      <c r="C882" s="1061"/>
      <c r="D882" s="1061"/>
      <c r="E882" s="1061"/>
      <c r="F882" s="1061"/>
      <c r="G882" s="1061"/>
      <c r="H882" s="1061"/>
      <c r="I882" s="1061"/>
      <c r="J882" s="1061"/>
      <c r="K882" s="1061"/>
      <c r="L882" s="1061"/>
      <c r="M882" s="1061"/>
      <c r="N882" s="1061"/>
      <c r="O882" s="626"/>
    </row>
    <row r="883" spans="1:15" x14ac:dyDescent="0.25">
      <c r="A883" s="765"/>
      <c r="B883" s="624"/>
      <c r="C883" s="1061"/>
      <c r="D883" s="1061"/>
      <c r="E883" s="1061"/>
      <c r="F883" s="1061"/>
      <c r="G883" s="1061"/>
      <c r="H883" s="1061"/>
      <c r="I883" s="1061"/>
      <c r="J883" s="1061"/>
      <c r="K883" s="1061"/>
      <c r="L883" s="1061"/>
      <c r="M883" s="1061"/>
      <c r="N883" s="1061"/>
      <c r="O883" s="626"/>
    </row>
    <row r="884" spans="1:15" x14ac:dyDescent="0.25">
      <c r="A884" s="765"/>
      <c r="B884" s="624"/>
      <c r="C884" s="1061"/>
      <c r="D884" s="1061"/>
      <c r="E884" s="1061"/>
      <c r="F884" s="1061"/>
      <c r="G884" s="1061"/>
      <c r="H884" s="1061"/>
      <c r="I884" s="1061"/>
      <c r="J884" s="1061"/>
      <c r="K884" s="1061"/>
      <c r="L884" s="1061"/>
      <c r="M884" s="1061"/>
      <c r="N884" s="1061"/>
      <c r="O884" s="626"/>
    </row>
    <row r="885" spans="1:15" x14ac:dyDescent="0.25">
      <c r="A885" s="765"/>
      <c r="B885" s="624"/>
      <c r="C885" s="1061"/>
      <c r="D885" s="1061"/>
      <c r="E885" s="1061"/>
      <c r="F885" s="1061"/>
      <c r="G885" s="1061"/>
      <c r="H885" s="1061"/>
      <c r="I885" s="1061"/>
      <c r="J885" s="1061"/>
      <c r="K885" s="1061"/>
      <c r="L885" s="1061"/>
      <c r="M885" s="1061"/>
      <c r="N885" s="1061"/>
      <c r="O885" s="626"/>
    </row>
    <row r="886" spans="1:15" x14ac:dyDescent="0.25">
      <c r="A886" s="765"/>
      <c r="B886" s="624"/>
      <c r="C886" s="1061"/>
      <c r="D886" s="1061"/>
      <c r="E886" s="1061"/>
      <c r="F886" s="1061"/>
      <c r="G886" s="1061"/>
      <c r="H886" s="1061"/>
      <c r="I886" s="1061"/>
      <c r="J886" s="1061"/>
      <c r="K886" s="1061"/>
      <c r="L886" s="1061"/>
      <c r="M886" s="1061"/>
      <c r="N886" s="1061"/>
      <c r="O886" s="626"/>
    </row>
    <row r="887" spans="1:15" x14ac:dyDescent="0.25">
      <c r="A887" s="765"/>
      <c r="B887" s="624"/>
      <c r="C887" s="1061"/>
      <c r="D887" s="1061"/>
      <c r="E887" s="1061"/>
      <c r="F887" s="1061"/>
      <c r="G887" s="1061"/>
      <c r="H887" s="1061"/>
      <c r="I887" s="1061"/>
      <c r="J887" s="1061"/>
      <c r="K887" s="1061"/>
      <c r="L887" s="1061"/>
      <c r="M887" s="1061"/>
      <c r="N887" s="1061"/>
      <c r="O887" s="626"/>
    </row>
    <row r="888" spans="1:15" x14ac:dyDescent="0.25">
      <c r="A888" s="765"/>
      <c r="B888" s="624"/>
      <c r="C888" s="1061"/>
      <c r="D888" s="1061"/>
      <c r="E888" s="1061"/>
      <c r="F888" s="1061"/>
      <c r="G888" s="1061"/>
      <c r="H888" s="1061"/>
      <c r="I888" s="1061"/>
      <c r="J888" s="1061"/>
      <c r="K888" s="1061"/>
      <c r="L888" s="1061"/>
      <c r="M888" s="1061"/>
      <c r="N888" s="1061"/>
      <c r="O888" s="626"/>
    </row>
    <row r="889" spans="1:15" x14ac:dyDescent="0.25">
      <c r="A889" s="765"/>
      <c r="B889" s="624"/>
      <c r="C889" s="1061"/>
      <c r="D889" s="1061"/>
      <c r="E889" s="1061"/>
      <c r="F889" s="1061"/>
      <c r="G889" s="1061"/>
      <c r="H889" s="1061"/>
      <c r="I889" s="1061"/>
      <c r="J889" s="1061"/>
      <c r="K889" s="1061"/>
      <c r="L889" s="1061"/>
      <c r="M889" s="1061"/>
      <c r="N889" s="1061"/>
      <c r="O889" s="626"/>
    </row>
    <row r="890" spans="1:15" x14ac:dyDescent="0.25">
      <c r="A890" s="765"/>
      <c r="B890" s="624"/>
      <c r="C890" s="1061"/>
      <c r="D890" s="1061"/>
      <c r="E890" s="1061"/>
      <c r="F890" s="1061"/>
      <c r="G890" s="1061"/>
      <c r="H890" s="1061"/>
      <c r="I890" s="1061"/>
      <c r="J890" s="1061"/>
      <c r="K890" s="1061"/>
      <c r="L890" s="1061"/>
      <c r="M890" s="1061"/>
      <c r="N890" s="1061"/>
      <c r="O890" s="626"/>
    </row>
    <row r="891" spans="1:15" x14ac:dyDescent="0.25">
      <c r="A891" s="765"/>
      <c r="B891" s="624"/>
      <c r="C891" s="1061"/>
      <c r="D891" s="1061"/>
      <c r="E891" s="1061"/>
      <c r="F891" s="1061"/>
      <c r="G891" s="1061"/>
      <c r="H891" s="1061"/>
      <c r="I891" s="1061"/>
      <c r="J891" s="1061"/>
      <c r="K891" s="1061"/>
      <c r="L891" s="1061"/>
      <c r="M891" s="1061"/>
      <c r="N891" s="1061"/>
      <c r="O891" s="626"/>
    </row>
    <row r="892" spans="1:15" x14ac:dyDescent="0.25">
      <c r="A892" s="765"/>
      <c r="B892" s="624"/>
      <c r="C892" s="1061"/>
      <c r="D892" s="1061"/>
      <c r="E892" s="1061"/>
      <c r="F892" s="1061"/>
      <c r="G892" s="1061"/>
      <c r="H892" s="1061"/>
      <c r="I892" s="1061"/>
      <c r="J892" s="1061"/>
      <c r="K892" s="1061"/>
      <c r="L892" s="1061"/>
      <c r="M892" s="1061"/>
      <c r="N892" s="1061"/>
      <c r="O892" s="626"/>
    </row>
    <row r="893" spans="1:15" x14ac:dyDescent="0.25">
      <c r="A893" s="765"/>
      <c r="B893" s="624"/>
      <c r="C893" s="1061"/>
      <c r="D893" s="1061"/>
      <c r="E893" s="1061"/>
      <c r="F893" s="1061"/>
      <c r="G893" s="1061"/>
      <c r="H893" s="1061"/>
      <c r="I893" s="1061"/>
      <c r="J893" s="1061"/>
      <c r="K893" s="1061"/>
      <c r="L893" s="1061"/>
      <c r="M893" s="1061"/>
      <c r="N893" s="1061"/>
      <c r="O893" s="626"/>
    </row>
    <row r="894" spans="1:15" x14ac:dyDescent="0.25">
      <c r="A894" s="765"/>
      <c r="B894" s="624"/>
      <c r="C894" s="1061"/>
      <c r="D894" s="1061"/>
      <c r="E894" s="1061"/>
      <c r="F894" s="1061"/>
      <c r="G894" s="1061"/>
      <c r="H894" s="1061"/>
      <c r="I894" s="1061"/>
      <c r="J894" s="1061"/>
      <c r="K894" s="1061"/>
      <c r="L894" s="1061"/>
      <c r="M894" s="1061"/>
      <c r="N894" s="1061"/>
      <c r="O894" s="626"/>
    </row>
    <row r="895" spans="1:15" x14ac:dyDescent="0.25">
      <c r="A895" s="765"/>
      <c r="B895" s="624"/>
      <c r="C895" s="1061"/>
      <c r="D895" s="1061"/>
      <c r="E895" s="1061"/>
      <c r="F895" s="1061"/>
      <c r="G895" s="1061"/>
      <c r="H895" s="1061"/>
      <c r="I895" s="1061"/>
      <c r="J895" s="1061"/>
      <c r="K895" s="1061"/>
      <c r="L895" s="1061"/>
      <c r="M895" s="1061"/>
      <c r="N895" s="1061"/>
      <c r="O895" s="626"/>
    </row>
    <row r="896" spans="1:15" x14ac:dyDescent="0.25">
      <c r="A896" s="765"/>
      <c r="B896" s="624"/>
      <c r="C896" s="1061"/>
      <c r="D896" s="1061"/>
      <c r="E896" s="1061"/>
      <c r="F896" s="1061"/>
      <c r="G896" s="1061"/>
      <c r="H896" s="1061"/>
      <c r="I896" s="1061"/>
      <c r="J896" s="1061"/>
      <c r="K896" s="1061"/>
      <c r="L896" s="1061"/>
      <c r="M896" s="1061"/>
      <c r="N896" s="1061"/>
      <c r="O896" s="626"/>
    </row>
    <row r="897" spans="1:15" x14ac:dyDescent="0.25">
      <c r="A897" s="765"/>
      <c r="B897" s="624"/>
      <c r="C897" s="1061"/>
      <c r="D897" s="1061"/>
      <c r="E897" s="1061"/>
      <c r="F897" s="1061"/>
      <c r="G897" s="1061"/>
      <c r="H897" s="1061"/>
      <c r="I897" s="1061"/>
      <c r="J897" s="1061"/>
      <c r="K897" s="1061"/>
      <c r="L897" s="1061"/>
      <c r="M897" s="1061"/>
      <c r="N897" s="1061"/>
      <c r="O897" s="626"/>
    </row>
    <row r="898" spans="1:15" x14ac:dyDescent="0.25">
      <c r="A898" s="765"/>
      <c r="B898" s="624"/>
      <c r="C898" s="1061"/>
      <c r="D898" s="1061"/>
      <c r="E898" s="1061"/>
      <c r="F898" s="1061"/>
      <c r="G898" s="1061"/>
      <c r="H898" s="1061"/>
      <c r="I898" s="1061"/>
      <c r="J898" s="1061"/>
      <c r="K898" s="1061"/>
      <c r="L898" s="1061"/>
      <c r="M898" s="1061"/>
      <c r="N898" s="1061"/>
      <c r="O898" s="626"/>
    </row>
    <row r="899" spans="1:15" x14ac:dyDescent="0.25">
      <c r="A899" s="765"/>
      <c r="B899" s="624"/>
      <c r="C899" s="1061"/>
      <c r="D899" s="1061"/>
      <c r="E899" s="1061"/>
      <c r="F899" s="1061"/>
      <c r="G899" s="1061"/>
      <c r="H899" s="1061"/>
      <c r="I899" s="1061"/>
      <c r="J899" s="1061"/>
      <c r="K899" s="1061"/>
      <c r="L899" s="1061"/>
      <c r="M899" s="1061"/>
      <c r="N899" s="1061"/>
      <c r="O899" s="626"/>
    </row>
    <row r="900" spans="1:15" x14ac:dyDescent="0.25">
      <c r="A900" s="765"/>
      <c r="B900" s="624"/>
      <c r="C900" s="1061"/>
      <c r="D900" s="1061"/>
      <c r="E900" s="1061"/>
      <c r="F900" s="1061"/>
      <c r="G900" s="1061"/>
      <c r="H900" s="1061"/>
      <c r="I900" s="1061"/>
      <c r="J900" s="1061"/>
      <c r="K900" s="1061"/>
      <c r="L900" s="1061"/>
      <c r="M900" s="1061"/>
      <c r="N900" s="1061"/>
      <c r="O900" s="626"/>
    </row>
    <row r="901" spans="1:15" x14ac:dyDescent="0.25">
      <c r="A901" s="765"/>
      <c r="B901" s="624"/>
      <c r="C901" s="1061"/>
      <c r="D901" s="1061"/>
      <c r="E901" s="1061"/>
      <c r="F901" s="1061"/>
      <c r="G901" s="1061"/>
      <c r="H901" s="1061"/>
      <c r="I901" s="1061"/>
      <c r="J901" s="1061"/>
      <c r="K901" s="1061"/>
      <c r="L901" s="1061"/>
      <c r="M901" s="1061"/>
      <c r="N901" s="1061"/>
      <c r="O901" s="626"/>
    </row>
    <row r="902" spans="1:15" x14ac:dyDescent="0.25">
      <c r="A902" s="765"/>
      <c r="B902" s="624"/>
      <c r="C902" s="1061"/>
      <c r="D902" s="1061"/>
      <c r="E902" s="1061"/>
      <c r="F902" s="1061"/>
      <c r="G902" s="1061"/>
      <c r="H902" s="1061"/>
      <c r="I902" s="1061"/>
      <c r="J902" s="1061"/>
      <c r="K902" s="1061"/>
      <c r="L902" s="1061"/>
      <c r="M902" s="1061"/>
      <c r="N902" s="1061"/>
      <c r="O902" s="626"/>
    </row>
    <row r="903" spans="1:15" x14ac:dyDescent="0.25">
      <c r="A903" s="765"/>
      <c r="B903" s="624"/>
      <c r="C903" s="1061"/>
      <c r="D903" s="1061"/>
      <c r="E903" s="1061"/>
      <c r="F903" s="1061"/>
      <c r="G903" s="1061"/>
      <c r="H903" s="1061"/>
      <c r="I903" s="1061"/>
      <c r="J903" s="1061"/>
      <c r="K903" s="1061"/>
      <c r="L903" s="1061"/>
      <c r="M903" s="1061"/>
      <c r="N903" s="1061"/>
      <c r="O903" s="626"/>
    </row>
    <row r="904" spans="1:15" x14ac:dyDescent="0.25">
      <c r="A904" s="765"/>
      <c r="B904" s="624"/>
      <c r="C904" s="1061"/>
      <c r="D904" s="1061"/>
      <c r="E904" s="1061"/>
      <c r="F904" s="1061"/>
      <c r="G904" s="1061"/>
      <c r="H904" s="1061"/>
      <c r="I904" s="1061"/>
      <c r="J904" s="1061"/>
      <c r="K904" s="1061"/>
      <c r="L904" s="1061"/>
      <c r="M904" s="1061"/>
      <c r="N904" s="1061"/>
      <c r="O904" s="626"/>
    </row>
    <row r="905" spans="1:15" x14ac:dyDescent="0.25">
      <c r="A905" s="765"/>
      <c r="B905" s="624"/>
      <c r="C905" s="1061"/>
      <c r="D905" s="1061"/>
      <c r="E905" s="1061"/>
      <c r="F905" s="1061"/>
      <c r="G905" s="1061"/>
      <c r="H905" s="1061"/>
      <c r="I905" s="1061"/>
      <c r="J905" s="1061"/>
      <c r="K905" s="1061"/>
      <c r="L905" s="1061"/>
      <c r="M905" s="1061"/>
      <c r="N905" s="1061"/>
      <c r="O905" s="626"/>
    </row>
    <row r="906" spans="1:15" x14ac:dyDescent="0.25">
      <c r="A906" s="765"/>
      <c r="B906" s="624"/>
      <c r="C906" s="1061"/>
      <c r="D906" s="1061"/>
      <c r="E906" s="1061"/>
      <c r="F906" s="1061"/>
      <c r="G906" s="1061"/>
      <c r="H906" s="1061"/>
      <c r="I906" s="1061"/>
      <c r="J906" s="1061"/>
      <c r="K906" s="1061"/>
      <c r="L906" s="1061"/>
      <c r="M906" s="1061"/>
      <c r="N906" s="1061"/>
      <c r="O906" s="626"/>
    </row>
    <row r="907" spans="1:15" x14ac:dyDescent="0.25">
      <c r="A907" s="765"/>
      <c r="B907" s="624"/>
      <c r="C907" s="1061"/>
      <c r="D907" s="1061"/>
      <c r="E907" s="1061"/>
      <c r="F907" s="1061"/>
      <c r="G907" s="1061"/>
      <c r="H907" s="1061"/>
      <c r="I907" s="1061"/>
      <c r="J907" s="1061"/>
      <c r="K907" s="1061"/>
      <c r="L907" s="1061"/>
      <c r="M907" s="1061"/>
      <c r="N907" s="1061"/>
      <c r="O907" s="626"/>
    </row>
    <row r="908" spans="1:15" x14ac:dyDescent="0.25">
      <c r="A908" s="765"/>
      <c r="B908" s="624"/>
      <c r="C908" s="1061"/>
      <c r="D908" s="1061"/>
      <c r="E908" s="1061"/>
      <c r="F908" s="1061"/>
      <c r="G908" s="1061"/>
      <c r="H908" s="1061"/>
      <c r="I908" s="1061"/>
      <c r="J908" s="1061"/>
      <c r="K908" s="1061"/>
      <c r="L908" s="1061"/>
      <c r="M908" s="1061"/>
      <c r="N908" s="1061"/>
      <c r="O908" s="626"/>
    </row>
    <row r="909" spans="1:15" x14ac:dyDescent="0.25">
      <c r="A909" s="765"/>
      <c r="B909" s="624"/>
      <c r="C909" s="1061"/>
      <c r="D909" s="1061"/>
      <c r="E909" s="1061"/>
      <c r="F909" s="1061"/>
      <c r="G909" s="1061"/>
      <c r="H909" s="1061"/>
      <c r="I909" s="1061"/>
      <c r="J909" s="1061"/>
      <c r="K909" s="1061"/>
      <c r="L909" s="1061"/>
      <c r="M909" s="1061"/>
      <c r="N909" s="1061"/>
      <c r="O909" s="626"/>
    </row>
    <row r="910" spans="1:15" x14ac:dyDescent="0.25">
      <c r="A910" s="765"/>
      <c r="B910" s="624"/>
      <c r="C910" s="1061"/>
      <c r="D910" s="1061"/>
      <c r="E910" s="1061"/>
      <c r="F910" s="1061"/>
      <c r="G910" s="1061"/>
      <c r="H910" s="1061"/>
      <c r="I910" s="1061"/>
      <c r="J910" s="1061"/>
      <c r="K910" s="1061"/>
      <c r="L910" s="1061"/>
      <c r="M910" s="1061"/>
      <c r="N910" s="1061"/>
      <c r="O910" s="626"/>
    </row>
    <row r="911" spans="1:15" x14ac:dyDescent="0.25">
      <c r="A911" s="765"/>
      <c r="B911" s="624"/>
      <c r="C911" s="1061"/>
      <c r="D911" s="1061"/>
      <c r="E911" s="1061"/>
      <c r="F911" s="1061"/>
      <c r="G911" s="1061"/>
      <c r="H911" s="1061"/>
      <c r="I911" s="1061"/>
      <c r="J911" s="1061"/>
      <c r="K911" s="1061"/>
      <c r="L911" s="1061"/>
      <c r="M911" s="1061"/>
      <c r="N911" s="1061"/>
      <c r="O911" s="626"/>
    </row>
    <row r="912" spans="1:15" x14ac:dyDescent="0.25">
      <c r="A912" s="765"/>
      <c r="B912" s="624"/>
      <c r="C912" s="1061"/>
      <c r="D912" s="1061"/>
      <c r="E912" s="1061"/>
      <c r="F912" s="1061"/>
      <c r="G912" s="1061"/>
      <c r="H912" s="1061"/>
      <c r="I912" s="1061"/>
      <c r="J912" s="1061"/>
      <c r="K912" s="1061"/>
      <c r="L912" s="1061"/>
      <c r="M912" s="1061"/>
      <c r="N912" s="1061"/>
      <c r="O912" s="626"/>
    </row>
    <row r="913" spans="1:15" x14ac:dyDescent="0.25">
      <c r="A913" s="765"/>
      <c r="B913" s="624"/>
      <c r="C913" s="1061"/>
      <c r="D913" s="1061"/>
      <c r="E913" s="1061"/>
      <c r="F913" s="1061"/>
      <c r="G913" s="1061"/>
      <c r="H913" s="1061"/>
      <c r="I913" s="1061"/>
      <c r="J913" s="1061"/>
      <c r="K913" s="1061"/>
      <c r="L913" s="1061"/>
      <c r="M913" s="1061"/>
      <c r="N913" s="1061"/>
      <c r="O913" s="626"/>
    </row>
    <row r="914" spans="1:15" x14ac:dyDescent="0.25">
      <c r="A914" s="765"/>
      <c r="B914" s="624"/>
      <c r="C914" s="1061"/>
      <c r="D914" s="1061"/>
      <c r="E914" s="1061"/>
      <c r="F914" s="1061"/>
      <c r="G914" s="1061"/>
      <c r="H914" s="1061"/>
      <c r="I914" s="1061"/>
      <c r="J914" s="1061"/>
      <c r="K914" s="1061"/>
      <c r="L914" s="1061"/>
      <c r="M914" s="1061"/>
      <c r="N914" s="1061"/>
      <c r="O914" s="626"/>
    </row>
    <row r="915" spans="1:15" x14ac:dyDescent="0.25">
      <c r="A915" s="765"/>
      <c r="B915" s="624"/>
      <c r="C915" s="1061"/>
      <c r="D915" s="1061"/>
      <c r="E915" s="1061"/>
      <c r="F915" s="1061"/>
      <c r="G915" s="1061"/>
      <c r="H915" s="1061"/>
      <c r="I915" s="1061"/>
      <c r="J915" s="1061"/>
      <c r="K915" s="1061"/>
      <c r="L915" s="1061"/>
      <c r="M915" s="1061"/>
      <c r="N915" s="1061"/>
      <c r="O915" s="626"/>
    </row>
    <row r="916" spans="1:15" x14ac:dyDescent="0.25">
      <c r="A916" s="765"/>
      <c r="B916" s="624"/>
      <c r="C916" s="1061"/>
      <c r="D916" s="1061"/>
      <c r="E916" s="1061"/>
      <c r="F916" s="1061"/>
      <c r="G916" s="1061"/>
      <c r="H916" s="1061"/>
      <c r="I916" s="1061"/>
      <c r="J916" s="1061"/>
      <c r="K916" s="1061"/>
      <c r="L916" s="1061"/>
      <c r="M916" s="1061"/>
      <c r="N916" s="1061"/>
      <c r="O916" s="626"/>
    </row>
    <row r="917" spans="1:15" x14ac:dyDescent="0.25">
      <c r="A917" s="765"/>
      <c r="B917" s="624"/>
      <c r="C917" s="1061"/>
      <c r="D917" s="1061"/>
      <c r="E917" s="1061"/>
      <c r="F917" s="1061"/>
      <c r="G917" s="1061"/>
      <c r="H917" s="1061"/>
      <c r="I917" s="1061"/>
      <c r="J917" s="1061"/>
      <c r="K917" s="1061"/>
      <c r="L917" s="1061"/>
      <c r="M917" s="1061"/>
      <c r="N917" s="1061"/>
      <c r="O917" s="626"/>
    </row>
    <row r="918" spans="1:15" x14ac:dyDescent="0.25">
      <c r="A918" s="765"/>
      <c r="B918" s="624"/>
      <c r="C918" s="1061"/>
      <c r="D918" s="1061"/>
      <c r="E918" s="1061"/>
      <c r="F918" s="1061"/>
      <c r="G918" s="1061"/>
      <c r="H918" s="1061"/>
      <c r="I918" s="1061"/>
      <c r="J918" s="1061"/>
      <c r="K918" s="1061"/>
      <c r="L918" s="1061"/>
      <c r="M918" s="1061"/>
      <c r="N918" s="1061"/>
      <c r="O918" s="626"/>
    </row>
    <row r="919" spans="1:15" x14ac:dyDescent="0.25">
      <c r="A919" s="765"/>
      <c r="B919" s="624"/>
      <c r="C919" s="1061"/>
      <c r="D919" s="1061"/>
      <c r="E919" s="1061"/>
      <c r="F919" s="1061"/>
      <c r="G919" s="1061"/>
      <c r="H919" s="1061"/>
      <c r="I919" s="1061"/>
      <c r="J919" s="1061"/>
      <c r="K919" s="1061"/>
      <c r="L919" s="1061"/>
      <c r="M919" s="1061"/>
      <c r="N919" s="1061"/>
      <c r="O919" s="626"/>
    </row>
    <row r="920" spans="1:15" x14ac:dyDescent="0.25">
      <c r="A920" s="765"/>
      <c r="B920" s="624"/>
      <c r="C920" s="1061"/>
      <c r="D920" s="1061"/>
      <c r="E920" s="1061"/>
      <c r="F920" s="1061"/>
      <c r="G920" s="1061"/>
      <c r="H920" s="1061"/>
      <c r="I920" s="1061"/>
      <c r="J920" s="1061"/>
      <c r="K920" s="1061"/>
      <c r="L920" s="1061"/>
      <c r="M920" s="1061"/>
      <c r="N920" s="1061"/>
      <c r="O920" s="626"/>
    </row>
    <row r="921" spans="1:15" x14ac:dyDescent="0.25">
      <c r="A921" s="765"/>
      <c r="B921" s="624"/>
      <c r="C921" s="1061"/>
      <c r="D921" s="1061"/>
      <c r="E921" s="1061"/>
      <c r="F921" s="1061"/>
      <c r="G921" s="1061"/>
      <c r="H921" s="1061"/>
      <c r="I921" s="1061"/>
      <c r="J921" s="1061"/>
      <c r="K921" s="1061"/>
      <c r="L921" s="1061"/>
      <c r="M921" s="1061"/>
      <c r="N921" s="1061"/>
      <c r="O921" s="626"/>
    </row>
    <row r="922" spans="1:15" x14ac:dyDescent="0.25">
      <c r="A922" s="765"/>
      <c r="B922" s="624"/>
      <c r="C922" s="1061"/>
      <c r="D922" s="1061"/>
      <c r="E922" s="1061"/>
      <c r="F922" s="1061"/>
      <c r="G922" s="1061"/>
      <c r="H922" s="1061"/>
      <c r="I922" s="1061"/>
      <c r="J922" s="1061"/>
      <c r="K922" s="1061"/>
      <c r="L922" s="1061"/>
      <c r="M922" s="1061"/>
      <c r="N922" s="1061"/>
      <c r="O922" s="626"/>
    </row>
    <row r="923" spans="1:15" x14ac:dyDescent="0.25">
      <c r="A923" s="765"/>
      <c r="B923" s="624"/>
      <c r="C923" s="1061"/>
      <c r="D923" s="1061"/>
      <c r="E923" s="1061"/>
      <c r="F923" s="1061"/>
      <c r="G923" s="1061"/>
      <c r="H923" s="1061"/>
      <c r="I923" s="1061"/>
      <c r="J923" s="1061"/>
      <c r="K923" s="1061"/>
      <c r="L923" s="1061"/>
      <c r="M923" s="1061"/>
      <c r="N923" s="1061"/>
      <c r="O923" s="626"/>
    </row>
    <row r="924" spans="1:15" x14ac:dyDescent="0.25">
      <c r="A924" s="765"/>
      <c r="B924" s="624"/>
      <c r="C924" s="1061"/>
      <c r="D924" s="1061"/>
      <c r="E924" s="1061"/>
      <c r="F924" s="1061"/>
      <c r="G924" s="1061"/>
      <c r="H924" s="1061"/>
      <c r="I924" s="1061"/>
      <c r="J924" s="1061"/>
      <c r="K924" s="1061"/>
      <c r="L924" s="1061"/>
      <c r="M924" s="1061"/>
      <c r="N924" s="1061"/>
      <c r="O924" s="626"/>
    </row>
    <row r="925" spans="1:15" x14ac:dyDescent="0.25">
      <c r="A925" s="765"/>
      <c r="B925" s="624"/>
      <c r="C925" s="1061"/>
      <c r="D925" s="1061"/>
      <c r="E925" s="1061"/>
      <c r="F925" s="1061"/>
      <c r="G925" s="1061"/>
      <c r="H925" s="1061"/>
      <c r="I925" s="1061"/>
      <c r="J925" s="1061"/>
      <c r="K925" s="1061"/>
      <c r="L925" s="1061"/>
      <c r="M925" s="1061"/>
      <c r="N925" s="1061"/>
      <c r="O925" s="626"/>
    </row>
    <row r="926" spans="1:15" x14ac:dyDescent="0.25">
      <c r="A926" s="765"/>
      <c r="B926" s="624"/>
      <c r="C926" s="1061"/>
      <c r="D926" s="1061"/>
      <c r="E926" s="1061"/>
      <c r="F926" s="1061"/>
      <c r="G926" s="1061"/>
      <c r="H926" s="1061"/>
      <c r="I926" s="1061"/>
      <c r="J926" s="1061"/>
      <c r="K926" s="1061"/>
      <c r="L926" s="1061"/>
      <c r="M926" s="1061"/>
      <c r="N926" s="1061"/>
      <c r="O926" s="626"/>
    </row>
    <row r="927" spans="1:15" x14ac:dyDescent="0.25">
      <c r="A927" s="765"/>
      <c r="B927" s="624"/>
      <c r="C927" s="1061"/>
      <c r="D927" s="1061"/>
      <c r="E927" s="1061"/>
      <c r="F927" s="1061"/>
      <c r="G927" s="1061"/>
      <c r="H927" s="1061"/>
      <c r="I927" s="1061"/>
      <c r="J927" s="1061"/>
      <c r="K927" s="1061"/>
      <c r="L927" s="1061"/>
      <c r="M927" s="1061"/>
      <c r="N927" s="1061"/>
      <c r="O927" s="626"/>
    </row>
    <row r="928" spans="1:15" x14ac:dyDescent="0.25">
      <c r="A928" s="765"/>
      <c r="B928" s="624"/>
      <c r="C928" s="1061"/>
      <c r="D928" s="1061"/>
      <c r="E928" s="1061"/>
      <c r="F928" s="1061"/>
      <c r="G928" s="1061"/>
      <c r="H928" s="1061"/>
      <c r="I928" s="1061"/>
      <c r="J928" s="1061"/>
      <c r="K928" s="1061"/>
      <c r="L928" s="1061"/>
      <c r="M928" s="1061"/>
      <c r="N928" s="1061"/>
      <c r="O928" s="626"/>
    </row>
    <row r="929" spans="1:15" x14ac:dyDescent="0.25">
      <c r="A929" s="765"/>
      <c r="B929" s="624"/>
      <c r="C929" s="1061"/>
      <c r="D929" s="1061"/>
      <c r="E929" s="1061"/>
      <c r="F929" s="1061"/>
      <c r="G929" s="1061"/>
      <c r="H929" s="1061"/>
      <c r="I929" s="1061"/>
      <c r="J929" s="1061"/>
      <c r="K929" s="1061"/>
      <c r="L929" s="1061"/>
      <c r="M929" s="1061"/>
      <c r="N929" s="1061"/>
      <c r="O929" s="626"/>
    </row>
    <row r="930" spans="1:15" x14ac:dyDescent="0.25">
      <c r="A930" s="765"/>
      <c r="B930" s="624"/>
      <c r="C930" s="1061"/>
      <c r="D930" s="1061"/>
      <c r="E930" s="1061"/>
      <c r="F930" s="1061"/>
      <c r="G930" s="1061"/>
      <c r="H930" s="1061"/>
      <c r="I930" s="1061"/>
      <c r="J930" s="1061"/>
      <c r="K930" s="1061"/>
      <c r="L930" s="1061"/>
      <c r="M930" s="1061"/>
      <c r="N930" s="1061"/>
      <c r="O930" s="626"/>
    </row>
    <row r="931" spans="1:15" x14ac:dyDescent="0.25">
      <c r="A931" s="765"/>
      <c r="B931" s="624"/>
      <c r="C931" s="1061"/>
      <c r="D931" s="1061"/>
      <c r="E931" s="1061"/>
      <c r="F931" s="1061"/>
      <c r="G931" s="1061"/>
      <c r="H931" s="1061"/>
      <c r="I931" s="1061"/>
      <c r="J931" s="1061"/>
      <c r="K931" s="1061"/>
      <c r="L931" s="1061"/>
      <c r="M931" s="1061"/>
      <c r="N931" s="1061"/>
      <c r="O931" s="626"/>
    </row>
    <row r="932" spans="1:15" x14ac:dyDescent="0.25">
      <c r="A932" s="765"/>
      <c r="B932" s="624"/>
      <c r="C932" s="1061"/>
      <c r="D932" s="1061"/>
      <c r="E932" s="1061"/>
      <c r="F932" s="1061"/>
      <c r="G932" s="1061"/>
      <c r="H932" s="1061"/>
      <c r="I932" s="1061"/>
      <c r="J932" s="1061"/>
      <c r="K932" s="1061"/>
      <c r="L932" s="1061"/>
      <c r="M932" s="1061"/>
      <c r="N932" s="1061"/>
      <c r="O932" s="626"/>
    </row>
    <row r="933" spans="1:15" x14ac:dyDescent="0.25">
      <c r="A933" s="765"/>
      <c r="B933" s="624"/>
      <c r="C933" s="1061"/>
      <c r="D933" s="1061"/>
      <c r="E933" s="1061"/>
      <c r="F933" s="1061"/>
      <c r="G933" s="1061"/>
      <c r="H933" s="1061"/>
      <c r="I933" s="1061"/>
      <c r="J933" s="1061"/>
      <c r="K933" s="1061"/>
      <c r="L933" s="1061"/>
      <c r="M933" s="1061"/>
      <c r="N933" s="1061"/>
      <c r="O933" s="626"/>
    </row>
    <row r="934" spans="1:15" x14ac:dyDescent="0.25">
      <c r="A934" s="765"/>
      <c r="B934" s="624"/>
      <c r="C934" s="1061"/>
      <c r="D934" s="1061"/>
      <c r="E934" s="1061"/>
      <c r="F934" s="1061"/>
      <c r="G934" s="1061"/>
      <c r="H934" s="1061"/>
      <c r="I934" s="1061"/>
      <c r="J934" s="1061"/>
      <c r="K934" s="1061"/>
      <c r="L934" s="1061"/>
      <c r="M934" s="1061"/>
      <c r="N934" s="1061"/>
      <c r="O934" s="626"/>
    </row>
    <row r="935" spans="1:15" x14ac:dyDescent="0.25">
      <c r="A935" s="765"/>
      <c r="B935" s="624"/>
      <c r="C935" s="1061"/>
      <c r="D935" s="1061"/>
      <c r="E935" s="1061"/>
      <c r="F935" s="1061"/>
      <c r="G935" s="1061"/>
      <c r="H935" s="1061"/>
      <c r="I935" s="1061"/>
      <c r="J935" s="1061"/>
      <c r="K935" s="1061"/>
      <c r="L935" s="1061"/>
      <c r="M935" s="1061"/>
      <c r="N935" s="1061"/>
      <c r="O935" s="626"/>
    </row>
    <row r="936" spans="1:15" x14ac:dyDescent="0.25">
      <c r="A936" s="765"/>
      <c r="B936" s="624"/>
      <c r="C936" s="1061"/>
      <c r="D936" s="1061"/>
      <c r="E936" s="1061"/>
      <c r="F936" s="1061"/>
      <c r="G936" s="1061"/>
      <c r="H936" s="1061"/>
      <c r="I936" s="1061"/>
      <c r="J936" s="1061"/>
      <c r="K936" s="1061"/>
      <c r="L936" s="1061"/>
      <c r="M936" s="1061"/>
      <c r="N936" s="1061"/>
      <c r="O936" s="626"/>
    </row>
    <row r="937" spans="1:15" x14ac:dyDescent="0.25">
      <c r="A937" s="765"/>
      <c r="B937" s="624"/>
      <c r="C937" s="1061"/>
      <c r="D937" s="1061"/>
      <c r="E937" s="1061"/>
      <c r="F937" s="1061"/>
      <c r="G937" s="1061"/>
      <c r="H937" s="1061"/>
      <c r="I937" s="1061"/>
      <c r="J937" s="1061"/>
      <c r="K937" s="1061"/>
      <c r="L937" s="1061"/>
      <c r="M937" s="1061"/>
      <c r="N937" s="1061"/>
      <c r="O937" s="626"/>
    </row>
    <row r="938" spans="1:15" x14ac:dyDescent="0.25">
      <c r="A938" s="765"/>
      <c r="B938" s="624"/>
      <c r="C938" s="1061"/>
      <c r="D938" s="1061"/>
      <c r="E938" s="1061"/>
      <c r="F938" s="1061"/>
      <c r="G938" s="1061"/>
      <c r="H938" s="1061"/>
      <c r="I938" s="1061"/>
      <c r="J938" s="1061"/>
      <c r="K938" s="1061"/>
      <c r="L938" s="1061"/>
      <c r="M938" s="1061"/>
      <c r="N938" s="1061"/>
      <c r="O938" s="626"/>
    </row>
    <row r="939" spans="1:15" x14ac:dyDescent="0.25">
      <c r="A939" s="765"/>
      <c r="B939" s="624"/>
      <c r="C939" s="1061"/>
      <c r="D939" s="1061"/>
      <c r="E939" s="1061"/>
      <c r="F939" s="1061"/>
      <c r="G939" s="1061"/>
      <c r="H939" s="1061"/>
      <c r="I939" s="1061"/>
      <c r="J939" s="1061"/>
      <c r="K939" s="1061"/>
      <c r="L939" s="1061"/>
      <c r="M939" s="1061"/>
      <c r="N939" s="1061"/>
      <c r="O939" s="626"/>
    </row>
    <row r="940" spans="1:15" x14ac:dyDescent="0.25">
      <c r="A940" s="765"/>
      <c r="B940" s="624"/>
      <c r="C940" s="1061"/>
      <c r="D940" s="1061"/>
      <c r="E940" s="1061"/>
      <c r="F940" s="1061"/>
      <c r="G940" s="1061"/>
      <c r="H940" s="1061"/>
      <c r="I940" s="1061"/>
      <c r="J940" s="1061"/>
      <c r="K940" s="1061"/>
      <c r="L940" s="1061"/>
      <c r="M940" s="1061"/>
      <c r="N940" s="1061"/>
      <c r="O940" s="626"/>
    </row>
    <row r="941" spans="1:15" x14ac:dyDescent="0.25">
      <c r="A941" s="765"/>
      <c r="B941" s="624"/>
      <c r="C941" s="1061"/>
      <c r="D941" s="1061"/>
      <c r="E941" s="1061"/>
      <c r="F941" s="1061"/>
      <c r="G941" s="1061"/>
      <c r="H941" s="1061"/>
      <c r="I941" s="1061"/>
      <c r="J941" s="1061"/>
      <c r="K941" s="1061"/>
      <c r="L941" s="1061"/>
      <c r="M941" s="1061"/>
      <c r="N941" s="1061"/>
      <c r="O941" s="626"/>
    </row>
    <row r="942" spans="1:15" x14ac:dyDescent="0.25">
      <c r="A942" s="765"/>
      <c r="B942" s="624"/>
      <c r="C942" s="1061"/>
      <c r="D942" s="1061"/>
      <c r="E942" s="1061"/>
      <c r="F942" s="1061"/>
      <c r="G942" s="1061"/>
      <c r="H942" s="1061"/>
      <c r="I942" s="1061"/>
      <c r="J942" s="1061"/>
      <c r="K942" s="1061"/>
      <c r="L942" s="1061"/>
      <c r="M942" s="1061"/>
      <c r="N942" s="1061"/>
      <c r="O942" s="626"/>
    </row>
    <row r="943" spans="1:15" x14ac:dyDescent="0.25">
      <c r="A943" s="765"/>
      <c r="B943" s="624"/>
      <c r="C943" s="1061"/>
      <c r="D943" s="1061"/>
      <c r="E943" s="1061"/>
      <c r="F943" s="1061"/>
      <c r="G943" s="1061"/>
      <c r="H943" s="1061"/>
      <c r="I943" s="1061"/>
      <c r="J943" s="1061"/>
      <c r="K943" s="1061"/>
      <c r="L943" s="1061"/>
      <c r="M943" s="1061"/>
      <c r="N943" s="1061"/>
      <c r="O943" s="626"/>
    </row>
    <row r="944" spans="1:15" x14ac:dyDescent="0.25">
      <c r="A944" s="765"/>
      <c r="B944" s="624"/>
      <c r="C944" s="1061"/>
      <c r="D944" s="1061"/>
      <c r="E944" s="1061"/>
      <c r="F944" s="1061"/>
      <c r="G944" s="1061"/>
      <c r="H944" s="1061"/>
      <c r="I944" s="1061"/>
      <c r="J944" s="1061"/>
      <c r="K944" s="1061"/>
      <c r="L944" s="1061"/>
      <c r="M944" s="1061"/>
      <c r="N944" s="1061"/>
      <c r="O944" s="626"/>
    </row>
    <row r="945" spans="1:15" x14ac:dyDescent="0.25">
      <c r="A945" s="765"/>
      <c r="B945" s="624"/>
      <c r="C945" s="1061"/>
      <c r="D945" s="1061"/>
      <c r="E945" s="1061"/>
      <c r="F945" s="1061"/>
      <c r="G945" s="1061"/>
      <c r="H945" s="1061"/>
      <c r="I945" s="1061"/>
      <c r="J945" s="1061"/>
      <c r="K945" s="1061"/>
      <c r="L945" s="1061"/>
      <c r="M945" s="1061"/>
      <c r="N945" s="1061"/>
      <c r="O945" s="626"/>
    </row>
    <row r="946" spans="1:15" x14ac:dyDescent="0.25">
      <c r="A946" s="765"/>
      <c r="B946" s="624"/>
      <c r="C946" s="1061"/>
      <c r="D946" s="1061"/>
      <c r="E946" s="1061"/>
      <c r="F946" s="1061"/>
      <c r="G946" s="1061"/>
      <c r="H946" s="1061"/>
      <c r="I946" s="1061"/>
      <c r="J946" s="1061"/>
      <c r="K946" s="1061"/>
      <c r="L946" s="1061"/>
      <c r="M946" s="1061"/>
      <c r="N946" s="1061"/>
      <c r="O946" s="626"/>
    </row>
    <row r="947" spans="1:15" x14ac:dyDescent="0.25">
      <c r="A947" s="765"/>
      <c r="B947" s="624"/>
      <c r="C947" s="1061"/>
      <c r="D947" s="1061"/>
      <c r="E947" s="1061"/>
      <c r="F947" s="1061"/>
      <c r="G947" s="1061"/>
      <c r="H947" s="1061"/>
      <c r="I947" s="1061"/>
      <c r="J947" s="1061"/>
      <c r="K947" s="1061"/>
      <c r="L947" s="1061"/>
      <c r="M947" s="1061"/>
      <c r="N947" s="1061"/>
      <c r="O947" s="626"/>
    </row>
    <row r="948" spans="1:15" x14ac:dyDescent="0.25">
      <c r="A948" s="765"/>
      <c r="B948" s="624"/>
      <c r="C948" s="1061"/>
      <c r="D948" s="1061"/>
      <c r="E948" s="1061"/>
      <c r="F948" s="1061"/>
      <c r="G948" s="1061"/>
      <c r="H948" s="1061"/>
      <c r="I948" s="1061"/>
      <c r="J948" s="1061"/>
      <c r="K948" s="1061"/>
      <c r="L948" s="1061"/>
      <c r="M948" s="1061"/>
      <c r="N948" s="1061"/>
      <c r="O948" s="626"/>
    </row>
    <row r="949" spans="1:15" x14ac:dyDescent="0.25">
      <c r="A949" s="765"/>
      <c r="B949" s="624"/>
      <c r="C949" s="1061"/>
      <c r="D949" s="1061"/>
      <c r="E949" s="1061"/>
      <c r="F949" s="1061"/>
      <c r="G949" s="1061"/>
      <c r="H949" s="1061"/>
      <c r="I949" s="1061"/>
      <c r="J949" s="1061"/>
      <c r="K949" s="1061"/>
      <c r="L949" s="1061"/>
      <c r="M949" s="1061"/>
      <c r="N949" s="1061"/>
      <c r="O949" s="626"/>
    </row>
    <row r="950" spans="1:15" x14ac:dyDescent="0.25">
      <c r="A950" s="765"/>
      <c r="B950" s="624"/>
      <c r="C950" s="1061"/>
      <c r="D950" s="1061"/>
      <c r="E950" s="1061"/>
      <c r="F950" s="1061"/>
      <c r="G950" s="1061"/>
      <c r="H950" s="1061"/>
      <c r="I950" s="1061"/>
      <c r="J950" s="1061"/>
      <c r="K950" s="1061"/>
      <c r="L950" s="1061"/>
      <c r="M950" s="1061"/>
      <c r="N950" s="1061"/>
      <c r="O950" s="626"/>
    </row>
    <row r="951" spans="1:15" x14ac:dyDescent="0.25">
      <c r="A951" s="765"/>
      <c r="B951" s="624"/>
      <c r="C951" s="1061"/>
      <c r="D951" s="1061"/>
      <c r="E951" s="1061"/>
      <c r="F951" s="1061"/>
      <c r="G951" s="1061"/>
      <c r="H951" s="1061"/>
      <c r="I951" s="1061"/>
      <c r="J951" s="1061"/>
      <c r="K951" s="1061"/>
      <c r="L951" s="1061"/>
      <c r="M951" s="1061"/>
      <c r="N951" s="1061"/>
      <c r="O951" s="626"/>
    </row>
    <row r="952" spans="1:15" x14ac:dyDescent="0.25">
      <c r="A952" s="765"/>
      <c r="B952" s="624"/>
      <c r="C952" s="1061"/>
      <c r="D952" s="1061"/>
      <c r="E952" s="1061"/>
      <c r="F952" s="1061"/>
      <c r="G952" s="1061"/>
      <c r="H952" s="1061"/>
      <c r="I952" s="1061"/>
      <c r="J952" s="1061"/>
      <c r="K952" s="1061"/>
      <c r="L952" s="1061"/>
      <c r="M952" s="1061"/>
      <c r="N952" s="1061"/>
      <c r="O952" s="626"/>
    </row>
    <row r="953" spans="1:15" x14ac:dyDescent="0.25">
      <c r="A953" s="765"/>
      <c r="B953" s="624"/>
      <c r="C953" s="1061"/>
      <c r="D953" s="1061"/>
      <c r="E953" s="1061"/>
      <c r="F953" s="1061"/>
      <c r="G953" s="1061"/>
      <c r="H953" s="1061"/>
      <c r="I953" s="1061"/>
      <c r="J953" s="1061"/>
      <c r="K953" s="1061"/>
      <c r="L953" s="1061"/>
      <c r="M953" s="1061"/>
      <c r="N953" s="1061"/>
      <c r="O953" s="626"/>
    </row>
    <row r="954" spans="1:15" x14ac:dyDescent="0.25">
      <c r="A954" s="765"/>
      <c r="B954" s="624"/>
      <c r="C954" s="1061"/>
      <c r="D954" s="1061"/>
      <c r="E954" s="1061"/>
      <c r="F954" s="1061"/>
      <c r="G954" s="1061"/>
      <c r="H954" s="1061"/>
      <c r="I954" s="1061"/>
      <c r="J954" s="1061"/>
      <c r="K954" s="1061"/>
      <c r="L954" s="1061"/>
      <c r="M954" s="1061"/>
      <c r="N954" s="1061"/>
      <c r="O954" s="626"/>
    </row>
    <row r="955" spans="1:15" x14ac:dyDescent="0.25">
      <c r="A955" s="765"/>
      <c r="B955" s="624"/>
      <c r="C955" s="1061"/>
      <c r="D955" s="1061"/>
      <c r="E955" s="1061"/>
      <c r="F955" s="1061"/>
      <c r="G955" s="1061"/>
      <c r="H955" s="1061"/>
      <c r="I955" s="1061"/>
      <c r="J955" s="1061"/>
      <c r="K955" s="1061"/>
      <c r="L955" s="1061"/>
      <c r="M955" s="1061"/>
      <c r="N955" s="1061"/>
      <c r="O955" s="626"/>
    </row>
    <row r="956" spans="1:15" x14ac:dyDescent="0.25">
      <c r="A956" s="765"/>
      <c r="B956" s="624"/>
      <c r="C956" s="1061"/>
      <c r="D956" s="1061"/>
      <c r="E956" s="1061"/>
      <c r="F956" s="1061"/>
      <c r="G956" s="1061"/>
      <c r="H956" s="1061"/>
      <c r="I956" s="1061"/>
      <c r="J956" s="1061"/>
      <c r="K956" s="1061"/>
      <c r="L956" s="1061"/>
      <c r="M956" s="1061"/>
      <c r="N956" s="1061"/>
      <c r="O956" s="626"/>
    </row>
    <row r="957" spans="1:15" x14ac:dyDescent="0.25">
      <c r="A957" s="765"/>
      <c r="B957" s="624"/>
      <c r="C957" s="1061"/>
      <c r="D957" s="1061"/>
      <c r="E957" s="1061"/>
      <c r="F957" s="1061"/>
      <c r="G957" s="1061"/>
      <c r="H957" s="1061"/>
      <c r="I957" s="1061"/>
      <c r="J957" s="1061"/>
      <c r="K957" s="1061"/>
      <c r="L957" s="1061"/>
      <c r="M957" s="1061"/>
      <c r="N957" s="1061"/>
      <c r="O957" s="626"/>
    </row>
    <row r="958" spans="1:15" x14ac:dyDescent="0.25">
      <c r="A958" s="765"/>
      <c r="B958" s="624"/>
      <c r="C958" s="1061"/>
      <c r="D958" s="1061"/>
      <c r="E958" s="1061"/>
      <c r="F958" s="1061"/>
      <c r="G958" s="1061"/>
      <c r="H958" s="1061"/>
      <c r="I958" s="1061"/>
      <c r="J958" s="1061"/>
      <c r="K958" s="1061"/>
      <c r="L958" s="1061"/>
      <c r="M958" s="1061"/>
      <c r="N958" s="1061"/>
      <c r="O958" s="626"/>
    </row>
    <row r="959" spans="1:15" x14ac:dyDescent="0.25">
      <c r="A959" s="765"/>
      <c r="B959" s="624"/>
      <c r="C959" s="1061"/>
      <c r="D959" s="1061"/>
      <c r="E959" s="1061"/>
      <c r="F959" s="1061"/>
      <c r="G959" s="1061"/>
      <c r="H959" s="1061"/>
      <c r="I959" s="1061"/>
      <c r="J959" s="1061"/>
      <c r="K959" s="1061"/>
      <c r="L959" s="1061"/>
      <c r="M959" s="1061"/>
      <c r="N959" s="1061"/>
      <c r="O959" s="626"/>
    </row>
    <row r="960" spans="1:15" x14ac:dyDescent="0.25">
      <c r="A960" s="765"/>
      <c r="B960" s="624"/>
      <c r="C960" s="1061"/>
      <c r="D960" s="1061"/>
      <c r="E960" s="1061"/>
      <c r="F960" s="1061"/>
      <c r="G960" s="1061"/>
      <c r="H960" s="1061"/>
      <c r="I960" s="1061"/>
      <c r="J960" s="1061"/>
      <c r="K960" s="1061"/>
      <c r="L960" s="1061"/>
      <c r="M960" s="1061"/>
      <c r="N960" s="1061"/>
      <c r="O960" s="626"/>
    </row>
    <row r="961" spans="1:15" x14ac:dyDescent="0.25">
      <c r="A961" s="765"/>
      <c r="B961" s="624"/>
      <c r="C961" s="1061"/>
      <c r="D961" s="1061"/>
      <c r="E961" s="1061"/>
      <c r="F961" s="1061"/>
      <c r="G961" s="1061"/>
      <c r="H961" s="1061"/>
      <c r="I961" s="1061"/>
      <c r="J961" s="1061"/>
      <c r="K961" s="1061"/>
      <c r="L961" s="1061"/>
      <c r="M961" s="1061"/>
      <c r="N961" s="1061"/>
      <c r="O961" s="626"/>
    </row>
    <row r="962" spans="1:15" x14ac:dyDescent="0.25">
      <c r="A962" s="765"/>
      <c r="B962" s="624"/>
      <c r="C962" s="1061"/>
      <c r="D962" s="1061"/>
      <c r="E962" s="1061"/>
      <c r="F962" s="1061"/>
      <c r="G962" s="1061"/>
      <c r="H962" s="1061"/>
      <c r="I962" s="1061"/>
      <c r="J962" s="1061"/>
      <c r="K962" s="1061"/>
      <c r="L962" s="1061"/>
      <c r="M962" s="1061"/>
      <c r="N962" s="1061"/>
      <c r="O962" s="626"/>
    </row>
    <row r="963" spans="1:15" x14ac:dyDescent="0.25">
      <c r="A963" s="765"/>
      <c r="B963" s="624"/>
      <c r="C963" s="1061"/>
      <c r="D963" s="1061"/>
      <c r="E963" s="1061"/>
      <c r="F963" s="1061"/>
      <c r="G963" s="1061"/>
      <c r="H963" s="1061"/>
      <c r="I963" s="1061"/>
      <c r="J963" s="1061"/>
      <c r="K963" s="1061"/>
      <c r="L963" s="1061"/>
      <c r="M963" s="1061"/>
      <c r="N963" s="1061"/>
      <c r="O963" s="626"/>
    </row>
    <row r="964" spans="1:15" x14ac:dyDescent="0.25">
      <c r="A964" s="765"/>
      <c r="B964" s="624"/>
      <c r="C964" s="1061"/>
      <c r="D964" s="1061"/>
      <c r="E964" s="1061"/>
      <c r="F964" s="1061"/>
      <c r="G964" s="1061"/>
      <c r="H964" s="1061"/>
      <c r="I964" s="1061"/>
      <c r="J964" s="1061"/>
      <c r="K964" s="1061"/>
      <c r="L964" s="1061"/>
      <c r="M964" s="1061"/>
      <c r="N964" s="1061"/>
      <c r="O964" s="626"/>
    </row>
    <row r="965" spans="1:15" x14ac:dyDescent="0.25">
      <c r="A965" s="765"/>
      <c r="B965" s="624"/>
      <c r="C965" s="1061"/>
      <c r="D965" s="1061"/>
      <c r="E965" s="1061"/>
      <c r="F965" s="1061"/>
      <c r="G965" s="1061"/>
      <c r="H965" s="1061"/>
      <c r="I965" s="1061"/>
      <c r="J965" s="1061"/>
      <c r="K965" s="1061"/>
      <c r="L965" s="1061"/>
      <c r="M965" s="1061"/>
      <c r="N965" s="1061"/>
      <c r="O965" s="626"/>
    </row>
    <row r="966" spans="1:15" x14ac:dyDescent="0.25">
      <c r="A966" s="765"/>
      <c r="B966" s="624"/>
      <c r="C966" s="1061"/>
      <c r="D966" s="1061"/>
      <c r="E966" s="1061"/>
      <c r="F966" s="1061"/>
      <c r="G966" s="1061"/>
      <c r="H966" s="1061"/>
      <c r="I966" s="1061"/>
      <c r="J966" s="1061"/>
      <c r="K966" s="1061"/>
      <c r="L966" s="1061"/>
      <c r="M966" s="1061"/>
      <c r="N966" s="1061"/>
      <c r="O966" s="626"/>
    </row>
    <row r="967" spans="1:15" x14ac:dyDescent="0.25">
      <c r="A967" s="765"/>
      <c r="B967" s="624"/>
      <c r="C967" s="1061"/>
      <c r="D967" s="1061"/>
      <c r="E967" s="1061"/>
      <c r="F967" s="1061"/>
      <c r="G967" s="1061"/>
      <c r="H967" s="1061"/>
      <c r="I967" s="1061"/>
      <c r="J967" s="1061"/>
      <c r="K967" s="1061"/>
      <c r="L967" s="1061"/>
      <c r="M967" s="1061"/>
      <c r="N967" s="1061"/>
      <c r="O967" s="626"/>
    </row>
    <row r="968" spans="1:15" x14ac:dyDescent="0.25">
      <c r="A968" s="765"/>
      <c r="B968" s="624"/>
      <c r="C968" s="1061"/>
      <c r="D968" s="1061"/>
      <c r="E968" s="1061"/>
      <c r="F968" s="1061"/>
      <c r="G968" s="1061"/>
      <c r="H968" s="1061"/>
      <c r="I968" s="1061"/>
      <c r="J968" s="1061"/>
      <c r="K968" s="1061"/>
      <c r="L968" s="1061"/>
      <c r="M968" s="1061"/>
      <c r="N968" s="1061"/>
      <c r="O968" s="626"/>
    </row>
    <row r="969" spans="1:15" x14ac:dyDescent="0.25">
      <c r="A969" s="765"/>
      <c r="B969" s="624"/>
      <c r="C969" s="1061"/>
      <c r="D969" s="1061"/>
      <c r="E969" s="1061"/>
      <c r="F969" s="1061"/>
      <c r="G969" s="1061"/>
      <c r="H969" s="1061"/>
      <c r="I969" s="1061"/>
      <c r="J969" s="1061"/>
      <c r="K969" s="1061"/>
      <c r="L969" s="1061"/>
      <c r="M969" s="1061"/>
      <c r="N969" s="1061"/>
      <c r="O969" s="626"/>
    </row>
    <row r="970" spans="1:15" x14ac:dyDescent="0.25">
      <c r="A970" s="765"/>
      <c r="B970" s="624"/>
      <c r="C970" s="1061"/>
      <c r="D970" s="1061"/>
      <c r="E970" s="1061"/>
      <c r="F970" s="1061"/>
      <c r="G970" s="1061"/>
      <c r="H970" s="1061"/>
      <c r="I970" s="1061"/>
      <c r="J970" s="1061"/>
      <c r="K970" s="1061"/>
      <c r="L970" s="1061"/>
      <c r="M970" s="1061"/>
      <c r="N970" s="1061"/>
      <c r="O970" s="626"/>
    </row>
    <row r="971" spans="1:15" x14ac:dyDescent="0.25">
      <c r="A971" s="765"/>
      <c r="B971" s="624"/>
      <c r="C971" s="1061"/>
      <c r="D971" s="1061"/>
      <c r="E971" s="1061"/>
      <c r="F971" s="1061"/>
      <c r="G971" s="1061"/>
      <c r="H971" s="1061"/>
      <c r="I971" s="1061"/>
      <c r="J971" s="1061"/>
      <c r="K971" s="1061"/>
      <c r="L971" s="1061"/>
      <c r="M971" s="1061"/>
      <c r="N971" s="1061"/>
      <c r="O971" s="626"/>
    </row>
    <row r="972" spans="1:15" x14ac:dyDescent="0.25">
      <c r="A972" s="765"/>
      <c r="B972" s="624"/>
      <c r="C972" s="1061"/>
      <c r="D972" s="1061"/>
      <c r="E972" s="1061"/>
      <c r="F972" s="1061"/>
      <c r="G972" s="1061"/>
      <c r="H972" s="1061"/>
      <c r="I972" s="1061"/>
      <c r="J972" s="1061"/>
      <c r="K972" s="1061"/>
      <c r="L972" s="1061"/>
      <c r="M972" s="1061"/>
      <c r="N972" s="1061"/>
      <c r="O972" s="626"/>
    </row>
    <row r="973" spans="1:15" x14ac:dyDescent="0.25">
      <c r="A973" s="765"/>
      <c r="B973" s="624"/>
      <c r="C973" s="1061"/>
      <c r="D973" s="1061"/>
      <c r="E973" s="1061"/>
      <c r="F973" s="1061"/>
      <c r="G973" s="1061"/>
      <c r="H973" s="1061"/>
      <c r="I973" s="1061"/>
      <c r="J973" s="1061"/>
      <c r="K973" s="1061"/>
      <c r="L973" s="1061"/>
      <c r="M973" s="1061"/>
      <c r="N973" s="1061"/>
      <c r="O973" s="626"/>
    </row>
    <row r="974" spans="1:15" x14ac:dyDescent="0.25">
      <c r="A974" s="765"/>
      <c r="B974" s="624"/>
      <c r="C974" s="1061"/>
      <c r="D974" s="1061"/>
      <c r="E974" s="1061"/>
      <c r="F974" s="1061"/>
      <c r="G974" s="1061"/>
      <c r="H974" s="1061"/>
      <c r="I974" s="1061"/>
      <c r="J974" s="1061"/>
      <c r="K974" s="1061"/>
      <c r="L974" s="1061"/>
      <c r="M974" s="1061"/>
      <c r="N974" s="1061"/>
      <c r="O974" s="626"/>
    </row>
    <row r="975" spans="1:15" x14ac:dyDescent="0.25">
      <c r="A975" s="765"/>
      <c r="B975" s="624"/>
      <c r="C975" s="1061"/>
      <c r="D975" s="1061"/>
      <c r="E975" s="1061"/>
      <c r="F975" s="1061"/>
      <c r="G975" s="1061"/>
      <c r="H975" s="1061"/>
      <c r="I975" s="1061"/>
      <c r="J975" s="1061"/>
      <c r="K975" s="1061"/>
      <c r="L975" s="1061"/>
      <c r="M975" s="1061"/>
      <c r="N975" s="1061"/>
      <c r="O975" s="626"/>
    </row>
    <row r="976" spans="1:15" x14ac:dyDescent="0.25">
      <c r="A976" s="765"/>
      <c r="B976" s="624"/>
      <c r="C976" s="1061"/>
      <c r="D976" s="1061"/>
      <c r="E976" s="1061"/>
      <c r="F976" s="1061"/>
      <c r="G976" s="1061"/>
      <c r="H976" s="1061"/>
      <c r="I976" s="1061"/>
      <c r="J976" s="1061"/>
      <c r="K976" s="1061"/>
      <c r="L976" s="1061"/>
      <c r="M976" s="1061"/>
      <c r="N976" s="1061"/>
      <c r="O976" s="626"/>
    </row>
    <row r="977" spans="1:15" x14ac:dyDescent="0.25">
      <c r="A977" s="765"/>
      <c r="B977" s="624"/>
      <c r="C977" s="1061"/>
      <c r="D977" s="1061"/>
      <c r="E977" s="1061"/>
      <c r="F977" s="1061"/>
      <c r="G977" s="1061"/>
      <c r="H977" s="1061"/>
      <c r="I977" s="1061"/>
      <c r="J977" s="1061"/>
      <c r="K977" s="1061"/>
      <c r="L977" s="1061"/>
      <c r="M977" s="1061"/>
      <c r="N977" s="1061"/>
      <c r="O977" s="626"/>
    </row>
    <row r="978" spans="1:15" x14ac:dyDescent="0.25">
      <c r="A978" s="765"/>
      <c r="B978" s="624"/>
      <c r="C978" s="1061"/>
      <c r="D978" s="1061"/>
      <c r="E978" s="1061"/>
      <c r="F978" s="1061"/>
      <c r="G978" s="1061"/>
      <c r="H978" s="1061"/>
      <c r="I978" s="1061"/>
      <c r="J978" s="1061"/>
      <c r="K978" s="1061"/>
      <c r="L978" s="1061"/>
      <c r="M978" s="1061"/>
      <c r="N978" s="1061"/>
      <c r="O978" s="626"/>
    </row>
    <row r="979" spans="1:15" x14ac:dyDescent="0.25">
      <c r="A979" s="765"/>
      <c r="B979" s="624"/>
      <c r="C979" s="1061"/>
      <c r="D979" s="1061"/>
      <c r="E979" s="1061"/>
      <c r="F979" s="1061"/>
      <c r="G979" s="1061"/>
      <c r="H979" s="1061"/>
      <c r="I979" s="1061"/>
      <c r="J979" s="1061"/>
      <c r="K979" s="1061"/>
      <c r="L979" s="1061"/>
      <c r="M979" s="1061"/>
      <c r="N979" s="1061"/>
      <c r="O979" s="626"/>
    </row>
    <row r="980" spans="1:15" x14ac:dyDescent="0.25">
      <c r="A980" s="765"/>
      <c r="B980" s="624"/>
      <c r="C980" s="1061"/>
      <c r="D980" s="1061"/>
      <c r="E980" s="1061"/>
      <c r="F980" s="1061"/>
      <c r="G980" s="1061"/>
      <c r="H980" s="1061"/>
      <c r="I980" s="1061"/>
      <c r="J980" s="1061"/>
      <c r="K980" s="1061"/>
      <c r="L980" s="1061"/>
      <c r="M980" s="1061"/>
      <c r="N980" s="1061"/>
      <c r="O980" s="626"/>
    </row>
    <row r="981" spans="1:15" x14ac:dyDescent="0.25">
      <c r="A981" s="765"/>
      <c r="B981" s="624"/>
      <c r="C981" s="1061"/>
      <c r="D981" s="1061"/>
      <c r="E981" s="1061"/>
      <c r="F981" s="1061"/>
      <c r="G981" s="1061"/>
      <c r="H981" s="1061"/>
      <c r="I981" s="1061"/>
      <c r="J981" s="1061"/>
      <c r="K981" s="1061"/>
      <c r="L981" s="1061"/>
      <c r="M981" s="1061"/>
      <c r="N981" s="1061"/>
      <c r="O981" s="626"/>
    </row>
    <row r="982" spans="1:15" x14ac:dyDescent="0.25">
      <c r="A982" s="765"/>
      <c r="B982" s="624"/>
      <c r="C982" s="1061"/>
      <c r="D982" s="1061"/>
      <c r="E982" s="1061"/>
      <c r="F982" s="1061"/>
      <c r="G982" s="1061"/>
      <c r="H982" s="1061"/>
      <c r="I982" s="1061"/>
      <c r="J982" s="1061"/>
      <c r="K982" s="1061"/>
      <c r="L982" s="1061"/>
      <c r="M982" s="1061"/>
      <c r="N982" s="1061"/>
      <c r="O982" s="626"/>
    </row>
    <row r="983" spans="1:15" x14ac:dyDescent="0.25">
      <c r="A983" s="765"/>
      <c r="B983" s="624"/>
      <c r="C983" s="1061"/>
      <c r="D983" s="1061"/>
      <c r="E983" s="1061"/>
      <c r="F983" s="1061"/>
      <c r="G983" s="1061"/>
      <c r="H983" s="1061"/>
      <c r="I983" s="1061"/>
      <c r="J983" s="1061"/>
      <c r="K983" s="1061"/>
      <c r="L983" s="1061"/>
      <c r="M983" s="1061"/>
      <c r="N983" s="1061"/>
      <c r="O983" s="626"/>
    </row>
    <row r="984" spans="1:15" x14ac:dyDescent="0.25">
      <c r="A984" s="765"/>
      <c r="B984" s="624"/>
      <c r="C984" s="1061"/>
      <c r="D984" s="1061"/>
      <c r="E984" s="1061"/>
      <c r="F984" s="1061"/>
      <c r="G984" s="1061"/>
      <c r="H984" s="1061"/>
      <c r="I984" s="1061"/>
      <c r="J984" s="1061"/>
      <c r="K984" s="1061"/>
      <c r="L984" s="1061"/>
      <c r="M984" s="1061"/>
      <c r="N984" s="1061"/>
      <c r="O984" s="626"/>
    </row>
    <row r="985" spans="1:15" x14ac:dyDescent="0.25">
      <c r="A985" s="765"/>
      <c r="B985" s="624"/>
      <c r="C985" s="1061"/>
      <c r="D985" s="1061"/>
      <c r="E985" s="1061"/>
      <c r="F985" s="1061"/>
      <c r="G985" s="1061"/>
      <c r="H985" s="1061"/>
      <c r="I985" s="1061"/>
      <c r="J985" s="1061"/>
      <c r="K985" s="1061"/>
      <c r="L985" s="1061"/>
      <c r="M985" s="1061"/>
      <c r="N985" s="1061"/>
      <c r="O985" s="626"/>
    </row>
    <row r="986" spans="1:15" x14ac:dyDescent="0.25">
      <c r="A986" s="765"/>
      <c r="B986" s="624"/>
      <c r="C986" s="1061"/>
      <c r="D986" s="1061"/>
      <c r="E986" s="1061"/>
      <c r="F986" s="1061"/>
      <c r="G986" s="1061"/>
      <c r="H986" s="1061"/>
      <c r="I986" s="1061"/>
      <c r="J986" s="1061"/>
      <c r="K986" s="1061"/>
      <c r="L986" s="1061"/>
      <c r="M986" s="1061"/>
      <c r="N986" s="1061"/>
      <c r="O986" s="626"/>
    </row>
    <row r="987" spans="1:15" x14ac:dyDescent="0.25">
      <c r="A987" s="765"/>
      <c r="B987" s="624"/>
      <c r="C987" s="1061"/>
      <c r="D987" s="1061"/>
      <c r="E987" s="1061"/>
      <c r="F987" s="1061"/>
      <c r="G987" s="1061"/>
      <c r="H987" s="1061"/>
      <c r="I987" s="1061"/>
      <c r="J987" s="1061"/>
      <c r="K987" s="1061"/>
      <c r="L987" s="1061"/>
      <c r="M987" s="1061"/>
      <c r="N987" s="1061"/>
      <c r="O987" s="626"/>
    </row>
    <row r="988" spans="1:15" x14ac:dyDescent="0.25">
      <c r="A988" s="765"/>
      <c r="B988" s="624"/>
      <c r="C988" s="1061"/>
      <c r="D988" s="1061"/>
      <c r="E988" s="1061"/>
      <c r="F988" s="1061"/>
      <c r="G988" s="1061"/>
      <c r="H988" s="1061"/>
      <c r="I988" s="1061"/>
      <c r="J988" s="1061"/>
      <c r="K988" s="1061"/>
      <c r="L988" s="1061"/>
      <c r="M988" s="1061"/>
      <c r="N988" s="1061"/>
      <c r="O988" s="626"/>
    </row>
    <row r="989" spans="1:15" x14ac:dyDescent="0.25">
      <c r="A989" s="765"/>
      <c r="B989" s="624"/>
      <c r="C989" s="1061"/>
      <c r="D989" s="1061"/>
      <c r="E989" s="1061"/>
      <c r="F989" s="1061"/>
      <c r="G989" s="1061"/>
      <c r="H989" s="1061"/>
      <c r="I989" s="1061"/>
      <c r="J989" s="1061"/>
      <c r="K989" s="1061"/>
      <c r="L989" s="1061"/>
      <c r="M989" s="1061"/>
      <c r="N989" s="1061"/>
      <c r="O989" s="626"/>
    </row>
    <row r="990" spans="1:15" x14ac:dyDescent="0.25">
      <c r="A990" s="765"/>
      <c r="B990" s="624"/>
      <c r="C990" s="1061"/>
      <c r="D990" s="1061"/>
      <c r="E990" s="1061"/>
      <c r="F990" s="1061"/>
      <c r="G990" s="1061"/>
      <c r="H990" s="1061"/>
      <c r="I990" s="1061"/>
      <c r="J990" s="1061"/>
      <c r="K990" s="1061"/>
      <c r="L990" s="1061"/>
      <c r="M990" s="1061"/>
      <c r="N990" s="1061"/>
      <c r="O990" s="626"/>
    </row>
    <row r="991" spans="1:15" x14ac:dyDescent="0.25">
      <c r="A991" s="765"/>
      <c r="B991" s="624"/>
      <c r="C991" s="1061"/>
      <c r="D991" s="1061"/>
      <c r="E991" s="1061"/>
      <c r="F991" s="1061"/>
      <c r="G991" s="1061"/>
      <c r="H991" s="1061"/>
      <c r="I991" s="1061"/>
      <c r="J991" s="1061"/>
      <c r="K991" s="1061"/>
      <c r="L991" s="1061"/>
      <c r="M991" s="1061"/>
      <c r="N991" s="1061"/>
      <c r="O991" s="626"/>
    </row>
    <row r="992" spans="1:15" x14ac:dyDescent="0.25">
      <c r="A992" s="765"/>
      <c r="B992" s="624"/>
      <c r="C992" s="1061"/>
      <c r="D992" s="1061"/>
      <c r="E992" s="1061"/>
      <c r="F992" s="1061"/>
      <c r="G992" s="1061"/>
      <c r="H992" s="1061"/>
      <c r="I992" s="1061"/>
      <c r="J992" s="1061"/>
      <c r="K992" s="1061"/>
      <c r="L992" s="1061"/>
      <c r="M992" s="1061"/>
      <c r="N992" s="1061"/>
      <c r="O992" s="626"/>
    </row>
    <row r="993" spans="1:15" x14ac:dyDescent="0.25">
      <c r="A993" s="765"/>
      <c r="B993" s="624"/>
      <c r="C993" s="1061"/>
      <c r="D993" s="1061"/>
      <c r="E993" s="1061"/>
      <c r="F993" s="1061"/>
      <c r="G993" s="1061"/>
      <c r="H993" s="1061"/>
      <c r="I993" s="1061"/>
      <c r="J993" s="1061"/>
      <c r="K993" s="1061"/>
      <c r="L993" s="1061"/>
      <c r="M993" s="1061"/>
      <c r="N993" s="1061"/>
      <c r="O993" s="626"/>
    </row>
    <row r="994" spans="1:15" x14ac:dyDescent="0.25">
      <c r="A994" s="765"/>
      <c r="B994" s="624"/>
      <c r="C994" s="1061"/>
      <c r="D994" s="1061"/>
      <c r="E994" s="1061"/>
      <c r="F994" s="1061"/>
      <c r="G994" s="1061"/>
      <c r="H994" s="1061"/>
      <c r="I994" s="1061"/>
      <c r="J994" s="1061"/>
      <c r="K994" s="1061"/>
      <c r="L994" s="1061"/>
      <c r="M994" s="1061"/>
      <c r="N994" s="1061"/>
      <c r="O994" s="626"/>
    </row>
    <row r="995" spans="1:15" x14ac:dyDescent="0.25">
      <c r="A995" s="765"/>
      <c r="B995" s="624"/>
      <c r="C995" s="1061"/>
      <c r="D995" s="1061"/>
      <c r="E995" s="1061"/>
      <c r="F995" s="1061"/>
      <c r="G995" s="1061"/>
      <c r="H995" s="1061"/>
      <c r="I995" s="1061"/>
      <c r="J995" s="1061"/>
      <c r="K995" s="1061"/>
      <c r="L995" s="1061"/>
      <c r="M995" s="1061"/>
      <c r="N995" s="1061"/>
      <c r="O995" s="626"/>
    </row>
    <row r="996" spans="1:15" x14ac:dyDescent="0.25">
      <c r="A996" s="765"/>
      <c r="B996" s="624"/>
      <c r="C996" s="1061"/>
      <c r="D996" s="1061"/>
      <c r="E996" s="1061"/>
      <c r="F996" s="1061"/>
      <c r="G996" s="1061"/>
      <c r="H996" s="1061"/>
      <c r="I996" s="1061"/>
      <c r="J996" s="1061"/>
      <c r="K996" s="1061"/>
      <c r="L996" s="1061"/>
      <c r="M996" s="1061"/>
      <c r="N996" s="1061"/>
      <c r="O996" s="626"/>
    </row>
    <row r="997" spans="1:15" x14ac:dyDescent="0.25">
      <c r="A997" s="765"/>
      <c r="B997" s="624"/>
      <c r="C997" s="1061"/>
      <c r="D997" s="1061"/>
      <c r="E997" s="1061"/>
      <c r="F997" s="1061"/>
      <c r="G997" s="1061"/>
      <c r="H997" s="1061"/>
      <c r="I997" s="1061"/>
      <c r="J997" s="1061"/>
      <c r="K997" s="1061"/>
      <c r="L997" s="1061"/>
      <c r="M997" s="1061"/>
      <c r="N997" s="1061"/>
      <c r="O997" s="626"/>
    </row>
    <row r="998" spans="1:15" x14ac:dyDescent="0.25">
      <c r="A998" s="765"/>
      <c r="B998" s="624"/>
      <c r="C998" s="1061"/>
      <c r="D998" s="1061"/>
      <c r="E998" s="1061"/>
      <c r="F998" s="1061"/>
      <c r="G998" s="1061"/>
      <c r="H998" s="1061"/>
      <c r="I998" s="1061"/>
      <c r="J998" s="1061"/>
      <c r="K998" s="1061"/>
      <c r="L998" s="1061"/>
      <c r="M998" s="1061"/>
      <c r="N998" s="1061"/>
      <c r="O998" s="626"/>
    </row>
    <row r="999" spans="1:15" x14ac:dyDescent="0.25">
      <c r="A999" s="765"/>
      <c r="B999" s="624"/>
      <c r="C999" s="1061"/>
      <c r="D999" s="1061"/>
      <c r="E999" s="1061"/>
      <c r="F999" s="1061"/>
      <c r="G999" s="1061"/>
      <c r="H999" s="1061"/>
      <c r="I999" s="1061"/>
      <c r="J999" s="1061"/>
      <c r="K999" s="1061"/>
      <c r="L999" s="1061"/>
      <c r="M999" s="1061"/>
      <c r="N999" s="1061"/>
      <c r="O999" s="626"/>
    </row>
    <row r="1000" spans="1:15" x14ac:dyDescent="0.25">
      <c r="A1000" s="765"/>
      <c r="B1000" s="624"/>
      <c r="C1000" s="1061"/>
      <c r="D1000" s="1061"/>
      <c r="E1000" s="1061"/>
      <c r="F1000" s="1061"/>
      <c r="G1000" s="1061"/>
      <c r="H1000" s="1061"/>
      <c r="I1000" s="1061"/>
      <c r="J1000" s="1061"/>
      <c r="K1000" s="1061"/>
      <c r="L1000" s="1061"/>
      <c r="M1000" s="1061"/>
      <c r="N1000" s="1061"/>
      <c r="O1000" s="626"/>
    </row>
    <row r="1001" spans="1:15" x14ac:dyDescent="0.25">
      <c r="A1001" s="765"/>
      <c r="B1001" s="624"/>
      <c r="C1001" s="1061"/>
      <c r="D1001" s="1061"/>
      <c r="E1001" s="1061"/>
      <c r="F1001" s="1061"/>
      <c r="G1001" s="1061"/>
      <c r="H1001" s="1061"/>
      <c r="I1001" s="1061"/>
      <c r="J1001" s="1061"/>
      <c r="K1001" s="1061"/>
      <c r="L1001" s="1061"/>
      <c r="M1001" s="1061"/>
      <c r="N1001" s="1061"/>
      <c r="O1001" s="626"/>
    </row>
    <row r="1002" spans="1:15" x14ac:dyDescent="0.25">
      <c r="A1002" s="765"/>
      <c r="B1002" s="624"/>
      <c r="C1002" s="1061"/>
      <c r="D1002" s="1061"/>
      <c r="E1002" s="1061"/>
      <c r="F1002" s="1061"/>
      <c r="G1002" s="1061"/>
      <c r="H1002" s="1061"/>
      <c r="I1002" s="1061"/>
      <c r="J1002" s="1061"/>
      <c r="K1002" s="1061"/>
      <c r="L1002" s="1061"/>
      <c r="M1002" s="1061"/>
      <c r="N1002" s="1061"/>
      <c r="O1002" s="626"/>
    </row>
    <row r="1003" spans="1:15" x14ac:dyDescent="0.25">
      <c r="A1003" s="765"/>
      <c r="B1003" s="624"/>
      <c r="C1003" s="1061"/>
      <c r="D1003" s="1061"/>
      <c r="E1003" s="1061"/>
      <c r="F1003" s="1061"/>
      <c r="G1003" s="1061"/>
      <c r="H1003" s="1061"/>
      <c r="I1003" s="1061"/>
      <c r="J1003" s="1061"/>
      <c r="K1003" s="1061"/>
      <c r="L1003" s="1061"/>
      <c r="M1003" s="1061"/>
      <c r="N1003" s="1061"/>
      <c r="O1003" s="626"/>
    </row>
    <row r="1004" spans="1:15" x14ac:dyDescent="0.25">
      <c r="A1004" s="765"/>
      <c r="B1004" s="624"/>
      <c r="C1004" s="1061"/>
      <c r="D1004" s="1061"/>
      <c r="E1004" s="1061"/>
      <c r="F1004" s="1061"/>
      <c r="G1004" s="1061"/>
      <c r="H1004" s="1061"/>
      <c r="I1004" s="1061"/>
      <c r="J1004" s="1061"/>
      <c r="K1004" s="1061"/>
      <c r="L1004" s="1061"/>
      <c r="M1004" s="1061"/>
      <c r="N1004" s="1061"/>
      <c r="O1004" s="626"/>
    </row>
    <row r="1005" spans="1:15" x14ac:dyDescent="0.25">
      <c r="A1005" s="765"/>
      <c r="B1005" s="624"/>
      <c r="C1005" s="1061"/>
      <c r="D1005" s="1061"/>
      <c r="E1005" s="1061"/>
      <c r="F1005" s="1061"/>
      <c r="G1005" s="1061"/>
      <c r="H1005" s="1061"/>
      <c r="I1005" s="1061"/>
      <c r="J1005" s="1061"/>
      <c r="K1005" s="1061"/>
      <c r="L1005" s="1061"/>
      <c r="M1005" s="1061"/>
      <c r="N1005" s="1061"/>
      <c r="O1005" s="626"/>
    </row>
    <row r="1006" spans="1:15" x14ac:dyDescent="0.25">
      <c r="A1006" s="765"/>
      <c r="B1006" s="624"/>
      <c r="C1006" s="1061"/>
      <c r="D1006" s="1061"/>
      <c r="E1006" s="1061"/>
      <c r="F1006" s="1061"/>
      <c r="G1006" s="1061"/>
      <c r="H1006" s="1061"/>
      <c r="I1006" s="1061"/>
      <c r="J1006" s="1061"/>
      <c r="K1006" s="1061"/>
      <c r="L1006" s="1061"/>
      <c r="M1006" s="1061"/>
      <c r="N1006" s="1061"/>
      <c r="O1006" s="626"/>
    </row>
    <row r="1007" spans="1:15" x14ac:dyDescent="0.25">
      <c r="A1007" s="765"/>
      <c r="B1007" s="624"/>
      <c r="C1007" s="1061"/>
      <c r="D1007" s="1061"/>
      <c r="E1007" s="1061"/>
      <c r="F1007" s="1061"/>
      <c r="G1007" s="1061"/>
      <c r="H1007" s="1061"/>
      <c r="I1007" s="1061"/>
      <c r="J1007" s="1061"/>
      <c r="K1007" s="1061"/>
      <c r="L1007" s="1061"/>
      <c r="M1007" s="1061"/>
      <c r="N1007" s="1061"/>
      <c r="O1007" s="626"/>
    </row>
    <row r="1008" spans="1:15" x14ac:dyDescent="0.25">
      <c r="A1008" s="765"/>
      <c r="B1008" s="624"/>
      <c r="C1008" s="1061"/>
      <c r="D1008" s="1061"/>
      <c r="E1008" s="1061"/>
      <c r="F1008" s="1061"/>
      <c r="G1008" s="1061"/>
      <c r="H1008" s="1061"/>
      <c r="I1008" s="1061"/>
      <c r="J1008" s="1061"/>
      <c r="K1008" s="1061"/>
      <c r="L1008" s="1061"/>
      <c r="M1008" s="1061"/>
      <c r="N1008" s="1061"/>
      <c r="O1008" s="626"/>
    </row>
    <row r="1009" spans="1:15" x14ac:dyDescent="0.25">
      <c r="A1009" s="765"/>
      <c r="B1009" s="624"/>
      <c r="C1009" s="1061"/>
      <c r="D1009" s="1061"/>
      <c r="E1009" s="1061"/>
      <c r="F1009" s="1061"/>
      <c r="G1009" s="1061"/>
      <c r="H1009" s="1061"/>
      <c r="I1009" s="1061"/>
      <c r="J1009" s="1061"/>
      <c r="K1009" s="1061"/>
      <c r="L1009" s="1061"/>
      <c r="M1009" s="1061"/>
      <c r="N1009" s="1061"/>
      <c r="O1009" s="626"/>
    </row>
    <row r="1010" spans="1:15" x14ac:dyDescent="0.25">
      <c r="A1010" s="765"/>
      <c r="B1010" s="624"/>
      <c r="C1010" s="1061"/>
      <c r="D1010" s="1061"/>
      <c r="E1010" s="1061"/>
      <c r="F1010" s="1061"/>
      <c r="G1010" s="1061"/>
      <c r="H1010" s="1061"/>
      <c r="I1010" s="1061"/>
      <c r="J1010" s="1061"/>
      <c r="K1010" s="1061"/>
      <c r="L1010" s="1061"/>
      <c r="M1010" s="1061"/>
      <c r="N1010" s="1061"/>
      <c r="O1010" s="626"/>
    </row>
    <row r="1011" spans="1:15" x14ac:dyDescent="0.25">
      <c r="A1011" s="765"/>
      <c r="B1011" s="624"/>
      <c r="C1011" s="1061"/>
      <c r="D1011" s="1061"/>
      <c r="E1011" s="1061"/>
      <c r="F1011" s="1061"/>
      <c r="G1011" s="1061"/>
      <c r="H1011" s="1061"/>
      <c r="I1011" s="1061"/>
      <c r="J1011" s="1061"/>
      <c r="K1011" s="1061"/>
      <c r="L1011" s="1061"/>
      <c r="M1011" s="1061"/>
      <c r="N1011" s="1061"/>
      <c r="O1011" s="626"/>
    </row>
    <row r="1012" spans="1:15" x14ac:dyDescent="0.25">
      <c r="A1012" s="765"/>
      <c r="B1012" s="624"/>
      <c r="C1012" s="1061"/>
      <c r="D1012" s="1061"/>
      <c r="E1012" s="1061"/>
      <c r="F1012" s="1061"/>
      <c r="G1012" s="1061"/>
      <c r="H1012" s="1061"/>
      <c r="I1012" s="1061"/>
      <c r="J1012" s="1061"/>
      <c r="K1012" s="1061"/>
      <c r="L1012" s="1061"/>
      <c r="M1012" s="1061"/>
      <c r="N1012" s="1061"/>
      <c r="O1012" s="626"/>
    </row>
    <row r="1013" spans="1:15" x14ac:dyDescent="0.25">
      <c r="A1013" s="765"/>
      <c r="B1013" s="624"/>
      <c r="C1013" s="1061"/>
      <c r="D1013" s="1061"/>
      <c r="E1013" s="1061"/>
      <c r="F1013" s="1061"/>
      <c r="G1013" s="1061"/>
      <c r="H1013" s="1061"/>
      <c r="I1013" s="1061"/>
      <c r="J1013" s="1061"/>
      <c r="K1013" s="1061"/>
      <c r="L1013" s="1061"/>
      <c r="M1013" s="1061"/>
      <c r="N1013" s="1061"/>
      <c r="O1013" s="626"/>
    </row>
    <row r="1014" spans="1:15" x14ac:dyDescent="0.25">
      <c r="A1014" s="765"/>
      <c r="B1014" s="624"/>
      <c r="C1014" s="1061"/>
      <c r="D1014" s="1061"/>
      <c r="E1014" s="1061"/>
      <c r="F1014" s="1061"/>
      <c r="G1014" s="1061"/>
      <c r="H1014" s="1061"/>
      <c r="I1014" s="1061"/>
      <c r="J1014" s="1061"/>
      <c r="K1014" s="1061"/>
      <c r="L1014" s="1061"/>
      <c r="M1014" s="1061"/>
      <c r="N1014" s="1061"/>
      <c r="O1014" s="626"/>
    </row>
    <row r="1015" spans="1:15" x14ac:dyDescent="0.25">
      <c r="A1015" s="765"/>
      <c r="B1015" s="624"/>
      <c r="C1015" s="1061"/>
      <c r="D1015" s="1061"/>
      <c r="E1015" s="1061"/>
      <c r="F1015" s="1061"/>
      <c r="G1015" s="1061"/>
      <c r="H1015" s="1061"/>
      <c r="I1015" s="1061"/>
      <c r="J1015" s="1061"/>
      <c r="K1015" s="1061"/>
      <c r="L1015" s="1061"/>
      <c r="M1015" s="1061"/>
      <c r="N1015" s="1061"/>
      <c r="O1015" s="626"/>
    </row>
    <row r="1016" spans="1:15" x14ac:dyDescent="0.25">
      <c r="A1016" s="765"/>
      <c r="B1016" s="624"/>
      <c r="C1016" s="1061"/>
      <c r="D1016" s="1061"/>
      <c r="E1016" s="1061"/>
      <c r="F1016" s="1061"/>
      <c r="G1016" s="1061"/>
      <c r="H1016" s="1061"/>
      <c r="I1016" s="1061"/>
      <c r="J1016" s="1061"/>
      <c r="K1016" s="1061"/>
      <c r="L1016" s="1061"/>
      <c r="M1016" s="1061"/>
      <c r="N1016" s="1061"/>
      <c r="O1016" s="626"/>
    </row>
    <row r="1017" spans="1:15" x14ac:dyDescent="0.25">
      <c r="A1017" s="765"/>
      <c r="B1017" s="624"/>
      <c r="C1017" s="1061"/>
      <c r="D1017" s="1061"/>
      <c r="E1017" s="1061"/>
      <c r="F1017" s="1061"/>
      <c r="G1017" s="1061"/>
      <c r="H1017" s="1061"/>
      <c r="I1017" s="1061"/>
      <c r="J1017" s="1061"/>
      <c r="K1017" s="1061"/>
      <c r="L1017" s="1061"/>
      <c r="M1017" s="1061"/>
      <c r="N1017" s="1061"/>
      <c r="O1017" s="626"/>
    </row>
    <row r="1018" spans="1:15" x14ac:dyDescent="0.25">
      <c r="A1018" s="765"/>
      <c r="B1018" s="624"/>
      <c r="C1018" s="1061"/>
      <c r="D1018" s="1061"/>
      <c r="E1018" s="1061"/>
      <c r="F1018" s="1061"/>
      <c r="G1018" s="1061"/>
      <c r="H1018" s="1061"/>
      <c r="I1018" s="1061"/>
      <c r="J1018" s="1061"/>
      <c r="K1018" s="1061"/>
      <c r="L1018" s="1061"/>
      <c r="M1018" s="1061"/>
      <c r="N1018" s="1061"/>
      <c r="O1018" s="626"/>
    </row>
    <row r="1019" spans="1:15" x14ac:dyDescent="0.25">
      <c r="A1019" s="765"/>
      <c r="B1019" s="624"/>
      <c r="C1019" s="1061"/>
      <c r="D1019" s="1061"/>
      <c r="E1019" s="1061"/>
      <c r="F1019" s="1061"/>
      <c r="G1019" s="1061"/>
      <c r="H1019" s="1061"/>
      <c r="I1019" s="1061"/>
      <c r="J1019" s="1061"/>
      <c r="K1019" s="1061"/>
      <c r="L1019" s="1061"/>
      <c r="M1019" s="1061"/>
      <c r="N1019" s="1061"/>
      <c r="O1019" s="626"/>
    </row>
    <row r="1020" spans="1:15" x14ac:dyDescent="0.25">
      <c r="A1020" s="765"/>
      <c r="B1020" s="624"/>
      <c r="C1020" s="1061"/>
      <c r="D1020" s="1061"/>
      <c r="E1020" s="1061"/>
      <c r="F1020" s="1061"/>
      <c r="G1020" s="1061"/>
      <c r="H1020" s="1061"/>
      <c r="I1020" s="1061"/>
      <c r="J1020" s="1061"/>
      <c r="K1020" s="1061"/>
      <c r="L1020" s="1061"/>
      <c r="M1020" s="1061"/>
      <c r="N1020" s="1061"/>
      <c r="O1020" s="626"/>
    </row>
    <row r="1021" spans="1:15" x14ac:dyDescent="0.25">
      <c r="A1021" s="765"/>
      <c r="B1021" s="624"/>
      <c r="C1021" s="1061"/>
      <c r="D1021" s="1061"/>
      <c r="E1021" s="1061"/>
      <c r="F1021" s="1061"/>
      <c r="G1021" s="1061"/>
      <c r="H1021" s="1061"/>
      <c r="I1021" s="1061"/>
      <c r="J1021" s="1061"/>
      <c r="K1021" s="1061"/>
      <c r="L1021" s="1061"/>
      <c r="M1021" s="1061"/>
      <c r="N1021" s="1061"/>
      <c r="O1021" s="626"/>
    </row>
    <row r="1022" spans="1:15" x14ac:dyDescent="0.25">
      <c r="A1022" s="765"/>
      <c r="B1022" s="624"/>
      <c r="C1022" s="1061"/>
      <c r="D1022" s="1061"/>
      <c r="E1022" s="1061"/>
      <c r="F1022" s="1061"/>
      <c r="G1022" s="1061"/>
      <c r="H1022" s="1061"/>
      <c r="I1022" s="1061"/>
      <c r="J1022" s="1061"/>
      <c r="K1022" s="1061"/>
      <c r="L1022" s="1061"/>
      <c r="M1022" s="1061"/>
      <c r="N1022" s="1061"/>
      <c r="O1022" s="626"/>
    </row>
    <row r="1023" spans="1:15" x14ac:dyDescent="0.25">
      <c r="A1023" s="765"/>
      <c r="B1023" s="624"/>
      <c r="C1023" s="1061"/>
      <c r="D1023" s="1061"/>
      <c r="E1023" s="1061"/>
      <c r="F1023" s="1061"/>
      <c r="G1023" s="1061"/>
      <c r="H1023" s="1061"/>
      <c r="I1023" s="1061"/>
      <c r="J1023" s="1061"/>
      <c r="K1023" s="1061"/>
      <c r="L1023" s="1061"/>
      <c r="M1023" s="1061"/>
      <c r="N1023" s="1061"/>
      <c r="O1023" s="626"/>
    </row>
    <row r="1024" spans="1:15" x14ac:dyDescent="0.25">
      <c r="A1024" s="765"/>
      <c r="B1024" s="624"/>
      <c r="C1024" s="1061"/>
      <c r="D1024" s="1061"/>
      <c r="E1024" s="1061"/>
      <c r="F1024" s="1061"/>
      <c r="G1024" s="1061"/>
      <c r="H1024" s="1061"/>
      <c r="I1024" s="1061"/>
      <c r="J1024" s="1061"/>
      <c r="K1024" s="1061"/>
      <c r="L1024" s="1061"/>
      <c r="M1024" s="1061"/>
      <c r="N1024" s="1061"/>
      <c r="O1024" s="626"/>
    </row>
    <row r="1025" spans="1:15" x14ac:dyDescent="0.25">
      <c r="A1025" s="765"/>
      <c r="B1025" s="624"/>
      <c r="C1025" s="1061"/>
      <c r="D1025" s="1061"/>
      <c r="E1025" s="1061"/>
      <c r="F1025" s="1061"/>
      <c r="G1025" s="1061"/>
      <c r="H1025" s="1061"/>
      <c r="I1025" s="1061"/>
      <c r="J1025" s="1061"/>
      <c r="K1025" s="1061"/>
      <c r="L1025" s="1061"/>
      <c r="M1025" s="1061"/>
      <c r="N1025" s="1061"/>
      <c r="O1025" s="626"/>
    </row>
    <row r="1026" spans="1:15" x14ac:dyDescent="0.25">
      <c r="A1026" s="765"/>
      <c r="B1026" s="624"/>
      <c r="C1026" s="1061"/>
      <c r="D1026" s="1061"/>
      <c r="E1026" s="1061"/>
      <c r="F1026" s="1061"/>
      <c r="G1026" s="1061"/>
      <c r="H1026" s="1061"/>
      <c r="I1026" s="1061"/>
      <c r="J1026" s="1061"/>
      <c r="K1026" s="1061"/>
      <c r="L1026" s="1061"/>
      <c r="M1026" s="1061"/>
      <c r="N1026" s="1061"/>
      <c r="O1026" s="626"/>
    </row>
    <row r="1027" spans="1:15" x14ac:dyDescent="0.25">
      <c r="A1027" s="765"/>
      <c r="B1027" s="624"/>
      <c r="C1027" s="1061"/>
      <c r="D1027" s="1061"/>
      <c r="E1027" s="1061"/>
      <c r="F1027" s="1061"/>
      <c r="G1027" s="1061"/>
      <c r="H1027" s="1061"/>
      <c r="I1027" s="1061"/>
      <c r="J1027" s="1061"/>
      <c r="K1027" s="1061"/>
      <c r="L1027" s="1061"/>
      <c r="M1027" s="1061"/>
      <c r="N1027" s="1061"/>
      <c r="O1027" s="626"/>
    </row>
    <row r="1028" spans="1:15" x14ac:dyDescent="0.25">
      <c r="A1028" s="765"/>
      <c r="B1028" s="624"/>
      <c r="C1028" s="1061"/>
      <c r="D1028" s="1061"/>
      <c r="E1028" s="1061"/>
      <c r="F1028" s="1061"/>
      <c r="G1028" s="1061"/>
      <c r="H1028" s="1061"/>
      <c r="I1028" s="1061"/>
      <c r="J1028" s="1061"/>
      <c r="K1028" s="1061"/>
      <c r="L1028" s="1061"/>
      <c r="M1028" s="1061"/>
      <c r="N1028" s="1061"/>
      <c r="O1028" s="626"/>
    </row>
    <row r="1029" spans="1:15" x14ac:dyDescent="0.25">
      <c r="A1029" s="765"/>
      <c r="B1029" s="624"/>
      <c r="C1029" s="1061"/>
      <c r="D1029" s="1061"/>
      <c r="E1029" s="1061"/>
      <c r="F1029" s="1061"/>
      <c r="G1029" s="1061"/>
      <c r="H1029" s="1061"/>
      <c r="I1029" s="1061"/>
      <c r="J1029" s="1061"/>
      <c r="K1029" s="1061"/>
      <c r="L1029" s="1061"/>
      <c r="M1029" s="1061"/>
      <c r="N1029" s="1061"/>
      <c r="O1029" s="626"/>
    </row>
    <row r="1030" spans="1:15" x14ac:dyDescent="0.25">
      <c r="A1030" s="765"/>
      <c r="B1030" s="624"/>
      <c r="C1030" s="1061"/>
      <c r="D1030" s="1061"/>
      <c r="E1030" s="1061"/>
      <c r="F1030" s="1061"/>
      <c r="G1030" s="1061"/>
      <c r="H1030" s="1061"/>
      <c r="I1030" s="1061"/>
      <c r="J1030" s="1061"/>
      <c r="K1030" s="1061"/>
      <c r="L1030" s="1061"/>
      <c r="M1030" s="1061"/>
      <c r="N1030" s="1061"/>
      <c r="O1030" s="626"/>
    </row>
    <row r="1031" spans="1:15" x14ac:dyDescent="0.25">
      <c r="A1031" s="765"/>
      <c r="B1031" s="624"/>
      <c r="C1031" s="1061"/>
      <c r="D1031" s="1061"/>
      <c r="E1031" s="1061"/>
      <c r="F1031" s="1061"/>
      <c r="G1031" s="1061"/>
      <c r="H1031" s="1061"/>
      <c r="I1031" s="1061"/>
      <c r="J1031" s="1061"/>
      <c r="K1031" s="1061"/>
      <c r="L1031" s="1061"/>
      <c r="M1031" s="1061"/>
      <c r="N1031" s="1061"/>
      <c r="O1031" s="626"/>
    </row>
    <row r="1032" spans="1:15" x14ac:dyDescent="0.25">
      <c r="A1032" s="765"/>
      <c r="B1032" s="624"/>
      <c r="C1032" s="1061"/>
      <c r="D1032" s="1061"/>
      <c r="E1032" s="1061"/>
      <c r="F1032" s="1061"/>
      <c r="G1032" s="1061"/>
      <c r="H1032" s="1061"/>
      <c r="I1032" s="1061"/>
      <c r="J1032" s="1061"/>
      <c r="K1032" s="1061"/>
      <c r="L1032" s="1061"/>
      <c r="M1032" s="1061"/>
      <c r="N1032" s="1061"/>
      <c r="O1032" s="626"/>
    </row>
    <row r="1033" spans="1:15" x14ac:dyDescent="0.25">
      <c r="A1033" s="765"/>
      <c r="B1033" s="624"/>
      <c r="C1033" s="1061"/>
      <c r="D1033" s="1061"/>
      <c r="E1033" s="1061"/>
      <c r="F1033" s="1061"/>
      <c r="G1033" s="1061"/>
      <c r="H1033" s="1061"/>
      <c r="I1033" s="1061"/>
      <c r="J1033" s="1061"/>
      <c r="K1033" s="1061"/>
      <c r="L1033" s="1061"/>
      <c r="M1033" s="1061"/>
      <c r="N1033" s="1061"/>
      <c r="O1033" s="626"/>
    </row>
    <row r="1034" spans="1:15" x14ac:dyDescent="0.25">
      <c r="A1034" s="765"/>
      <c r="B1034" s="624"/>
      <c r="C1034" s="1061"/>
      <c r="D1034" s="1061"/>
      <c r="E1034" s="1061"/>
      <c r="F1034" s="1061"/>
      <c r="G1034" s="1061"/>
      <c r="H1034" s="1061"/>
      <c r="I1034" s="1061"/>
      <c r="J1034" s="1061"/>
      <c r="K1034" s="1061"/>
      <c r="L1034" s="1061"/>
      <c r="M1034" s="1061"/>
      <c r="N1034" s="1061"/>
      <c r="O1034" s="626"/>
    </row>
    <row r="1035" spans="1:15" x14ac:dyDescent="0.25">
      <c r="A1035" s="765"/>
      <c r="B1035" s="624"/>
      <c r="C1035" s="1061"/>
      <c r="D1035" s="1061"/>
      <c r="E1035" s="1061"/>
      <c r="F1035" s="1061"/>
      <c r="G1035" s="1061"/>
      <c r="H1035" s="1061"/>
      <c r="I1035" s="1061"/>
      <c r="J1035" s="1061"/>
      <c r="K1035" s="1061"/>
      <c r="L1035" s="1061"/>
      <c r="M1035" s="1061"/>
      <c r="N1035" s="1061"/>
      <c r="O1035" s="626"/>
    </row>
    <row r="1036" spans="1:15" x14ac:dyDescent="0.25">
      <c r="A1036" s="765"/>
      <c r="B1036" s="624"/>
      <c r="C1036" s="1061"/>
      <c r="D1036" s="1061"/>
      <c r="E1036" s="1061"/>
      <c r="F1036" s="1061"/>
      <c r="G1036" s="1061"/>
      <c r="H1036" s="1061"/>
      <c r="I1036" s="1061"/>
      <c r="J1036" s="1061"/>
      <c r="K1036" s="1061"/>
      <c r="L1036" s="1061"/>
      <c r="M1036" s="1061"/>
      <c r="N1036" s="1061"/>
      <c r="O1036" s="626"/>
    </row>
    <row r="1037" spans="1:15" x14ac:dyDescent="0.25">
      <c r="A1037" s="765"/>
      <c r="B1037" s="624"/>
      <c r="C1037" s="1061"/>
      <c r="D1037" s="1061"/>
      <c r="E1037" s="1061"/>
      <c r="F1037" s="1061"/>
      <c r="G1037" s="1061"/>
      <c r="H1037" s="1061"/>
      <c r="I1037" s="1061"/>
      <c r="J1037" s="1061"/>
      <c r="K1037" s="1061"/>
      <c r="L1037" s="1061"/>
      <c r="M1037" s="1061"/>
      <c r="N1037" s="1061"/>
      <c r="O1037" s="626"/>
    </row>
    <row r="1038" spans="1:15" x14ac:dyDescent="0.25">
      <c r="A1038" s="765"/>
      <c r="B1038" s="624"/>
      <c r="C1038" s="1061"/>
      <c r="D1038" s="1061"/>
      <c r="E1038" s="1061"/>
      <c r="F1038" s="1061"/>
      <c r="G1038" s="1061"/>
      <c r="H1038" s="1061"/>
      <c r="I1038" s="1061"/>
      <c r="J1038" s="1061"/>
      <c r="K1038" s="1061"/>
      <c r="L1038" s="1061"/>
      <c r="M1038" s="1061"/>
      <c r="N1038" s="1061"/>
      <c r="O1038" s="626"/>
    </row>
    <row r="1039" spans="1:15" x14ac:dyDescent="0.25">
      <c r="A1039" s="765"/>
      <c r="B1039" s="624"/>
      <c r="C1039" s="1061"/>
      <c r="D1039" s="1061"/>
      <c r="E1039" s="1061"/>
      <c r="F1039" s="1061"/>
      <c r="G1039" s="1061"/>
      <c r="H1039" s="1061"/>
      <c r="I1039" s="1061"/>
      <c r="J1039" s="1061"/>
      <c r="K1039" s="1061"/>
      <c r="L1039" s="1061"/>
      <c r="M1039" s="1061"/>
      <c r="N1039" s="1061"/>
      <c r="O1039" s="626"/>
    </row>
    <row r="1040" spans="1:15" x14ac:dyDescent="0.25">
      <c r="A1040" s="765"/>
      <c r="B1040" s="624"/>
      <c r="C1040" s="1061"/>
      <c r="D1040" s="1061"/>
      <c r="E1040" s="1061"/>
      <c r="F1040" s="1061"/>
      <c r="G1040" s="1061"/>
      <c r="H1040" s="1061"/>
      <c r="I1040" s="1061"/>
      <c r="J1040" s="1061"/>
      <c r="K1040" s="1061"/>
      <c r="L1040" s="1061"/>
      <c r="M1040" s="1061"/>
      <c r="N1040" s="1061"/>
      <c r="O1040" s="626"/>
    </row>
    <row r="1041" spans="1:15" x14ac:dyDescent="0.25">
      <c r="A1041" s="765"/>
      <c r="B1041" s="624"/>
      <c r="C1041" s="1061"/>
      <c r="D1041" s="1061"/>
      <c r="E1041" s="1061"/>
      <c r="F1041" s="1061"/>
      <c r="G1041" s="1061"/>
      <c r="H1041" s="1061"/>
      <c r="I1041" s="1061"/>
      <c r="J1041" s="1061"/>
      <c r="K1041" s="1061"/>
      <c r="L1041" s="1061"/>
      <c r="M1041" s="1061"/>
      <c r="N1041" s="1061"/>
      <c r="O1041" s="626"/>
    </row>
    <row r="1042" spans="1:15" x14ac:dyDescent="0.25">
      <c r="A1042" s="765"/>
      <c r="B1042" s="624"/>
      <c r="C1042" s="1061"/>
      <c r="D1042" s="1061"/>
      <c r="E1042" s="1061"/>
      <c r="F1042" s="1061"/>
      <c r="G1042" s="1061"/>
      <c r="H1042" s="1061"/>
      <c r="I1042" s="1061"/>
      <c r="J1042" s="1061"/>
      <c r="K1042" s="1061"/>
      <c r="L1042" s="1061"/>
      <c r="M1042" s="1061"/>
      <c r="N1042" s="1061"/>
      <c r="O1042" s="626"/>
    </row>
    <row r="1043" spans="1:15" x14ac:dyDescent="0.25">
      <c r="A1043" s="765"/>
      <c r="B1043" s="624"/>
      <c r="C1043" s="1061"/>
      <c r="D1043" s="1061"/>
      <c r="E1043" s="1061"/>
      <c r="F1043" s="1061"/>
      <c r="G1043" s="1061"/>
      <c r="H1043" s="1061"/>
      <c r="I1043" s="1061"/>
      <c r="J1043" s="1061"/>
      <c r="K1043" s="1061"/>
      <c r="L1043" s="1061"/>
      <c r="M1043" s="1061"/>
      <c r="N1043" s="1061"/>
      <c r="O1043" s="626"/>
    </row>
    <row r="1044" spans="1:15" x14ac:dyDescent="0.25">
      <c r="A1044" s="765"/>
      <c r="B1044" s="624"/>
      <c r="C1044" s="1061"/>
      <c r="D1044" s="1061"/>
      <c r="E1044" s="1061"/>
      <c r="F1044" s="1061"/>
      <c r="G1044" s="1061"/>
      <c r="H1044" s="1061"/>
      <c r="I1044" s="1061"/>
      <c r="J1044" s="1061"/>
      <c r="K1044" s="1061"/>
      <c r="L1044" s="1061"/>
      <c r="M1044" s="1061"/>
      <c r="N1044" s="1061"/>
      <c r="O1044" s="626"/>
    </row>
    <row r="1045" spans="1:15" x14ac:dyDescent="0.25">
      <c r="A1045" s="765"/>
      <c r="B1045" s="624"/>
      <c r="C1045" s="1061"/>
      <c r="D1045" s="1061"/>
      <c r="E1045" s="1061"/>
      <c r="F1045" s="1061"/>
      <c r="G1045" s="1061"/>
      <c r="H1045" s="1061"/>
      <c r="I1045" s="1061"/>
      <c r="J1045" s="1061"/>
      <c r="K1045" s="1061"/>
      <c r="L1045" s="1061"/>
      <c r="M1045" s="1061"/>
      <c r="N1045" s="1061"/>
      <c r="O1045" s="626"/>
    </row>
    <row r="1046" spans="1:15" x14ac:dyDescent="0.25">
      <c r="A1046" s="765"/>
      <c r="B1046" s="624"/>
      <c r="C1046" s="1061"/>
      <c r="D1046" s="1061"/>
      <c r="E1046" s="1061"/>
      <c r="F1046" s="1061"/>
      <c r="G1046" s="1061"/>
      <c r="H1046" s="1061"/>
      <c r="I1046" s="1061"/>
      <c r="J1046" s="1061"/>
      <c r="K1046" s="1061"/>
      <c r="L1046" s="1061"/>
      <c r="M1046" s="1061"/>
      <c r="N1046" s="1061"/>
      <c r="O1046" s="626"/>
    </row>
    <row r="1047" spans="1:15" x14ac:dyDescent="0.25">
      <c r="A1047" s="765"/>
      <c r="B1047" s="624"/>
      <c r="C1047" s="1061"/>
      <c r="D1047" s="1061"/>
      <c r="E1047" s="1061"/>
      <c r="F1047" s="1061"/>
      <c r="G1047" s="1061"/>
      <c r="H1047" s="1061"/>
      <c r="I1047" s="1061"/>
      <c r="J1047" s="1061"/>
      <c r="K1047" s="1061"/>
      <c r="L1047" s="1061"/>
      <c r="M1047" s="1061"/>
      <c r="N1047" s="1061"/>
      <c r="O1047" s="626"/>
    </row>
    <row r="1048" spans="1:15" x14ac:dyDescent="0.25">
      <c r="A1048" s="765"/>
      <c r="B1048" s="624"/>
      <c r="C1048" s="1061"/>
      <c r="D1048" s="1061"/>
      <c r="E1048" s="1061"/>
      <c r="F1048" s="1061"/>
      <c r="G1048" s="1061"/>
      <c r="H1048" s="1061"/>
      <c r="I1048" s="1061"/>
      <c r="J1048" s="1061"/>
      <c r="K1048" s="1061"/>
      <c r="L1048" s="1061"/>
      <c r="M1048" s="1061"/>
      <c r="N1048" s="1061"/>
      <c r="O1048" s="626"/>
    </row>
    <row r="1049" spans="1:15" x14ac:dyDescent="0.25">
      <c r="A1049" s="765"/>
      <c r="B1049" s="624"/>
      <c r="C1049" s="1061"/>
      <c r="D1049" s="1061"/>
      <c r="E1049" s="1061"/>
      <c r="F1049" s="1061"/>
      <c r="G1049" s="1061"/>
      <c r="H1049" s="1061"/>
      <c r="I1049" s="1061"/>
      <c r="J1049" s="1061"/>
      <c r="K1049" s="1061"/>
      <c r="L1049" s="1061"/>
      <c r="M1049" s="1061"/>
      <c r="N1049" s="1061"/>
      <c r="O1049" s="626"/>
    </row>
    <row r="1050" spans="1:15" x14ac:dyDescent="0.25">
      <c r="A1050" s="765"/>
      <c r="B1050" s="624"/>
      <c r="C1050" s="1061"/>
      <c r="D1050" s="1061"/>
      <c r="E1050" s="1061"/>
      <c r="F1050" s="1061"/>
      <c r="G1050" s="1061"/>
      <c r="H1050" s="1061"/>
      <c r="I1050" s="1061"/>
      <c r="J1050" s="1061"/>
      <c r="K1050" s="1061"/>
      <c r="L1050" s="1061"/>
      <c r="M1050" s="1061"/>
      <c r="N1050" s="1061"/>
      <c r="O1050" s="626"/>
    </row>
    <row r="1051" spans="1:15" x14ac:dyDescent="0.25">
      <c r="A1051" s="765"/>
      <c r="B1051" s="624"/>
      <c r="C1051" s="1061"/>
      <c r="D1051" s="1061"/>
      <c r="E1051" s="1061"/>
      <c r="F1051" s="1061"/>
      <c r="G1051" s="1061"/>
      <c r="H1051" s="1061"/>
      <c r="I1051" s="1061"/>
      <c r="J1051" s="1061"/>
      <c r="K1051" s="1061"/>
      <c r="L1051" s="1061"/>
      <c r="M1051" s="1061"/>
      <c r="N1051" s="1061"/>
      <c r="O1051" s="626"/>
    </row>
    <row r="1052" spans="1:15" x14ac:dyDescent="0.25">
      <c r="A1052" s="765"/>
      <c r="B1052" s="624"/>
      <c r="C1052" s="1061"/>
      <c r="D1052" s="1061"/>
      <c r="E1052" s="1061"/>
      <c r="F1052" s="1061"/>
      <c r="G1052" s="1061"/>
      <c r="H1052" s="1061"/>
      <c r="I1052" s="1061"/>
      <c r="J1052" s="1061"/>
      <c r="K1052" s="1061"/>
      <c r="L1052" s="1061"/>
      <c r="M1052" s="1061"/>
      <c r="N1052" s="1061"/>
      <c r="O1052" s="626"/>
    </row>
    <row r="1053" spans="1:15" x14ac:dyDescent="0.25">
      <c r="A1053" s="765"/>
      <c r="B1053" s="624"/>
      <c r="C1053" s="1061"/>
      <c r="D1053" s="1061"/>
      <c r="E1053" s="1061"/>
      <c r="F1053" s="1061"/>
      <c r="G1053" s="1061"/>
      <c r="H1053" s="1061"/>
      <c r="I1053" s="1061"/>
      <c r="J1053" s="1061"/>
      <c r="K1053" s="1061"/>
      <c r="L1053" s="1061"/>
      <c r="M1053" s="1061"/>
      <c r="N1053" s="1061"/>
      <c r="O1053" s="626"/>
    </row>
    <row r="1054" spans="1:15" x14ac:dyDescent="0.25">
      <c r="A1054" s="765"/>
      <c r="B1054" s="624"/>
      <c r="C1054" s="1061"/>
      <c r="D1054" s="1061"/>
      <c r="E1054" s="1061"/>
      <c r="F1054" s="1061"/>
      <c r="G1054" s="1061"/>
      <c r="H1054" s="1061"/>
      <c r="I1054" s="1061"/>
      <c r="J1054" s="1061"/>
      <c r="K1054" s="1061"/>
      <c r="L1054" s="1061"/>
      <c r="M1054" s="1061"/>
      <c r="N1054" s="1061"/>
      <c r="O1054" s="626"/>
    </row>
    <row r="1055" spans="1:15" x14ac:dyDescent="0.25">
      <c r="A1055" s="765"/>
      <c r="B1055" s="624"/>
      <c r="C1055" s="1061"/>
      <c r="D1055" s="1061"/>
      <c r="E1055" s="1061"/>
      <c r="F1055" s="1061"/>
      <c r="G1055" s="1061"/>
      <c r="H1055" s="1061"/>
      <c r="I1055" s="1061"/>
      <c r="J1055" s="1061"/>
      <c r="K1055" s="1061"/>
      <c r="L1055" s="1061"/>
      <c r="M1055" s="1061"/>
      <c r="N1055" s="1061"/>
      <c r="O1055" s="626"/>
    </row>
    <row r="1056" spans="1:15" x14ac:dyDescent="0.25">
      <c r="A1056" s="765"/>
      <c r="B1056" s="624"/>
      <c r="C1056" s="1061"/>
      <c r="D1056" s="1061"/>
      <c r="E1056" s="1061"/>
      <c r="F1056" s="1061"/>
      <c r="G1056" s="1061"/>
      <c r="H1056" s="1061"/>
      <c r="I1056" s="1061"/>
      <c r="J1056" s="1061"/>
      <c r="K1056" s="1061"/>
      <c r="L1056" s="1061"/>
      <c r="M1056" s="1061"/>
      <c r="N1056" s="1061"/>
      <c r="O1056" s="626"/>
    </row>
    <row r="1057" spans="1:15" x14ac:dyDescent="0.25">
      <c r="A1057" s="765"/>
      <c r="B1057" s="624"/>
      <c r="C1057" s="1061"/>
      <c r="D1057" s="1061"/>
      <c r="E1057" s="1061"/>
      <c r="F1057" s="1061"/>
      <c r="G1057" s="1061"/>
      <c r="H1057" s="1061"/>
      <c r="I1057" s="1061"/>
      <c r="J1057" s="1061"/>
      <c r="K1057" s="1061"/>
      <c r="L1057" s="1061"/>
      <c r="M1057" s="1061"/>
      <c r="N1057" s="1061"/>
      <c r="O1057" s="626"/>
    </row>
    <row r="1058" spans="1:15" x14ac:dyDescent="0.25">
      <c r="A1058" s="765"/>
      <c r="B1058" s="624"/>
      <c r="C1058" s="1061"/>
      <c r="D1058" s="1061"/>
      <c r="E1058" s="1061"/>
      <c r="F1058" s="1061"/>
      <c r="G1058" s="1061"/>
      <c r="H1058" s="1061"/>
      <c r="I1058" s="1061"/>
      <c r="J1058" s="1061"/>
      <c r="K1058" s="1061"/>
      <c r="L1058" s="1061"/>
      <c r="M1058" s="1061"/>
      <c r="N1058" s="1061"/>
      <c r="O1058" s="626"/>
    </row>
    <row r="1059" spans="1:15" x14ac:dyDescent="0.25">
      <c r="A1059" s="765"/>
      <c r="B1059" s="624"/>
      <c r="C1059" s="1061"/>
      <c r="D1059" s="1061"/>
      <c r="E1059" s="1061"/>
      <c r="F1059" s="1061"/>
      <c r="G1059" s="1061"/>
      <c r="H1059" s="1061"/>
      <c r="I1059" s="1061"/>
      <c r="J1059" s="1061"/>
      <c r="K1059" s="1061"/>
      <c r="L1059" s="1061"/>
      <c r="M1059" s="1061"/>
      <c r="N1059" s="1061"/>
      <c r="O1059" s="626"/>
    </row>
    <row r="1060" spans="1:15" x14ac:dyDescent="0.25">
      <c r="A1060" s="765"/>
      <c r="B1060" s="624"/>
      <c r="C1060" s="1061"/>
      <c r="D1060" s="1061"/>
      <c r="E1060" s="1061"/>
      <c r="F1060" s="1061"/>
      <c r="G1060" s="1061"/>
      <c r="H1060" s="1061"/>
      <c r="I1060" s="1061"/>
      <c r="J1060" s="1061"/>
      <c r="K1060" s="1061"/>
      <c r="L1060" s="1061"/>
      <c r="M1060" s="1061"/>
      <c r="N1060" s="1061"/>
      <c r="O1060" s="626"/>
    </row>
    <row r="1061" spans="1:15" x14ac:dyDescent="0.25">
      <c r="A1061" s="765"/>
      <c r="B1061" s="624"/>
      <c r="C1061" s="1061"/>
      <c r="D1061" s="1061"/>
      <c r="E1061" s="1061"/>
      <c r="F1061" s="1061"/>
      <c r="G1061" s="1061"/>
      <c r="H1061" s="1061"/>
      <c r="I1061" s="1061"/>
      <c r="J1061" s="1061"/>
      <c r="K1061" s="1061"/>
      <c r="L1061" s="1061"/>
      <c r="M1061" s="1061"/>
      <c r="N1061" s="1061"/>
      <c r="O1061" s="626"/>
    </row>
    <row r="1062" spans="1:15" x14ac:dyDescent="0.25">
      <c r="A1062" s="765"/>
      <c r="B1062" s="624"/>
      <c r="C1062" s="1061"/>
      <c r="D1062" s="1061"/>
      <c r="E1062" s="1061"/>
      <c r="F1062" s="1061"/>
      <c r="G1062" s="1061"/>
      <c r="H1062" s="1061"/>
      <c r="I1062" s="1061"/>
      <c r="J1062" s="1061"/>
      <c r="K1062" s="1061"/>
      <c r="L1062" s="1061"/>
      <c r="M1062" s="1061"/>
      <c r="N1062" s="1061"/>
      <c r="O1062" s="626"/>
    </row>
    <row r="1063" spans="1:15" x14ac:dyDescent="0.25">
      <c r="A1063" s="765"/>
      <c r="B1063" s="624"/>
      <c r="C1063" s="1061"/>
      <c r="D1063" s="1061"/>
      <c r="E1063" s="1061"/>
      <c r="F1063" s="1061"/>
      <c r="G1063" s="1061"/>
      <c r="H1063" s="1061"/>
      <c r="I1063" s="1061"/>
      <c r="J1063" s="1061"/>
      <c r="K1063" s="1061"/>
      <c r="L1063" s="1061"/>
      <c r="M1063" s="1061"/>
      <c r="N1063" s="1061"/>
      <c r="O1063" s="626"/>
    </row>
    <row r="1064" spans="1:15" x14ac:dyDescent="0.25">
      <c r="A1064" s="765"/>
      <c r="B1064" s="624"/>
      <c r="C1064" s="1061"/>
      <c r="D1064" s="1061"/>
      <c r="E1064" s="1061"/>
      <c r="F1064" s="1061"/>
      <c r="G1064" s="1061"/>
      <c r="H1064" s="1061"/>
      <c r="I1064" s="1061"/>
      <c r="J1064" s="1061"/>
      <c r="K1064" s="1061"/>
      <c r="L1064" s="1061"/>
      <c r="M1064" s="1061"/>
      <c r="N1064" s="1061"/>
      <c r="O1064" s="626"/>
    </row>
    <row r="1065" spans="1:15" x14ac:dyDescent="0.25">
      <c r="A1065" s="765"/>
      <c r="B1065" s="624"/>
      <c r="C1065" s="1061"/>
      <c r="D1065" s="1061"/>
      <c r="E1065" s="1061"/>
      <c r="F1065" s="1061"/>
      <c r="G1065" s="1061"/>
      <c r="H1065" s="1061"/>
      <c r="I1065" s="1061"/>
      <c r="J1065" s="1061"/>
      <c r="K1065" s="1061"/>
      <c r="L1065" s="1061"/>
      <c r="M1065" s="1061"/>
      <c r="N1065" s="1061"/>
      <c r="O1065" s="626"/>
    </row>
    <row r="1066" spans="1:15" x14ac:dyDescent="0.25">
      <c r="A1066" s="765"/>
      <c r="B1066" s="624"/>
      <c r="C1066" s="1061"/>
      <c r="D1066" s="1061"/>
      <c r="E1066" s="1061"/>
      <c r="F1066" s="1061"/>
      <c r="G1066" s="1061"/>
      <c r="H1066" s="1061"/>
      <c r="I1066" s="1061"/>
      <c r="J1066" s="1061"/>
      <c r="K1066" s="1061"/>
      <c r="L1066" s="1061"/>
      <c r="M1066" s="1061"/>
      <c r="N1066" s="1061"/>
      <c r="O1066" s="626"/>
    </row>
    <row r="1067" spans="1:15" x14ac:dyDescent="0.25">
      <c r="A1067" s="765"/>
      <c r="B1067" s="624"/>
      <c r="C1067" s="1061"/>
      <c r="D1067" s="1061"/>
      <c r="E1067" s="1061"/>
      <c r="F1067" s="1061"/>
      <c r="G1067" s="1061"/>
      <c r="H1067" s="1061"/>
      <c r="I1067" s="1061"/>
      <c r="J1067" s="1061"/>
      <c r="K1067" s="1061"/>
      <c r="L1067" s="1061"/>
      <c r="M1067" s="1061"/>
      <c r="N1067" s="1061"/>
      <c r="O1067" s="626"/>
    </row>
    <row r="1068" spans="1:15" x14ac:dyDescent="0.25">
      <c r="A1068" s="765"/>
      <c r="B1068" s="624"/>
      <c r="C1068" s="1061"/>
      <c r="D1068" s="1061"/>
      <c r="E1068" s="1061"/>
      <c r="F1068" s="1061"/>
      <c r="G1068" s="1061"/>
      <c r="H1068" s="1061"/>
      <c r="I1068" s="1061"/>
      <c r="J1068" s="1061"/>
      <c r="K1068" s="1061"/>
      <c r="L1068" s="1061"/>
      <c r="M1068" s="1061"/>
      <c r="N1068" s="1061"/>
      <c r="O1068" s="626"/>
    </row>
    <row r="1069" spans="1:15" x14ac:dyDescent="0.25">
      <c r="A1069" s="765"/>
      <c r="B1069" s="624"/>
      <c r="C1069" s="1061"/>
      <c r="D1069" s="1061"/>
      <c r="E1069" s="1061"/>
      <c r="F1069" s="1061"/>
      <c r="G1069" s="1061"/>
      <c r="H1069" s="1061"/>
      <c r="I1069" s="1061"/>
      <c r="J1069" s="1061"/>
      <c r="K1069" s="1061"/>
      <c r="L1069" s="1061"/>
      <c r="M1069" s="1061"/>
      <c r="N1069" s="1061"/>
      <c r="O1069" s="626"/>
    </row>
    <row r="1070" spans="1:15" x14ac:dyDescent="0.25">
      <c r="A1070" s="765"/>
      <c r="B1070" s="624"/>
      <c r="C1070" s="1061"/>
      <c r="D1070" s="1061"/>
      <c r="E1070" s="1061"/>
      <c r="F1070" s="1061"/>
      <c r="G1070" s="1061"/>
      <c r="H1070" s="1061"/>
      <c r="I1070" s="1061"/>
      <c r="J1070" s="1061"/>
      <c r="K1070" s="1061"/>
      <c r="L1070" s="1061"/>
      <c r="M1070" s="1061"/>
      <c r="N1070" s="1061"/>
      <c r="O1070" s="626"/>
    </row>
    <row r="1071" spans="1:15" x14ac:dyDescent="0.25">
      <c r="A1071" s="765"/>
      <c r="B1071" s="624"/>
      <c r="C1071" s="1061"/>
      <c r="D1071" s="1061"/>
      <c r="E1071" s="1061"/>
      <c r="F1071" s="1061"/>
      <c r="G1071" s="1061"/>
      <c r="H1071" s="1061"/>
      <c r="I1071" s="1061"/>
      <c r="J1071" s="1061"/>
      <c r="K1071" s="1061"/>
      <c r="L1071" s="1061"/>
      <c r="M1071" s="1061"/>
      <c r="N1071" s="1061"/>
      <c r="O1071" s="626"/>
    </row>
    <row r="1072" spans="1:15" x14ac:dyDescent="0.25">
      <c r="A1072" s="765"/>
      <c r="B1072" s="624"/>
      <c r="C1072" s="1061"/>
      <c r="D1072" s="1061"/>
      <c r="E1072" s="1061"/>
      <c r="F1072" s="1061"/>
      <c r="G1072" s="1061"/>
      <c r="H1072" s="1061"/>
      <c r="I1072" s="1061"/>
      <c r="J1072" s="1061"/>
      <c r="K1072" s="1061"/>
      <c r="L1072" s="1061"/>
      <c r="M1072" s="1061"/>
      <c r="N1072" s="1061"/>
      <c r="O1072" s="626"/>
    </row>
    <row r="1073" spans="1:15" x14ac:dyDescent="0.25">
      <c r="A1073" s="765"/>
      <c r="B1073" s="624"/>
      <c r="C1073" s="1061"/>
      <c r="D1073" s="1061"/>
      <c r="E1073" s="1061"/>
      <c r="F1073" s="1061"/>
      <c r="G1073" s="1061"/>
      <c r="H1073" s="1061"/>
      <c r="I1073" s="1061"/>
      <c r="J1073" s="1061"/>
      <c r="K1073" s="1061"/>
      <c r="L1073" s="1061"/>
      <c r="M1073" s="1061"/>
      <c r="N1073" s="1061"/>
      <c r="O1073" s="626"/>
    </row>
    <row r="1074" spans="1:15" x14ac:dyDescent="0.25">
      <c r="A1074" s="765"/>
      <c r="B1074" s="624"/>
      <c r="C1074" s="1061"/>
      <c r="D1074" s="1061"/>
      <c r="E1074" s="1061"/>
      <c r="F1074" s="1061"/>
      <c r="G1074" s="1061"/>
      <c r="H1074" s="1061"/>
      <c r="I1074" s="1061"/>
      <c r="J1074" s="1061"/>
      <c r="K1074" s="1061"/>
      <c r="L1074" s="1061"/>
      <c r="M1074" s="1061"/>
      <c r="N1074" s="1061"/>
      <c r="O1074" s="626"/>
    </row>
    <row r="1075" spans="1:15" x14ac:dyDescent="0.25">
      <c r="A1075" s="765"/>
      <c r="B1075" s="624"/>
      <c r="C1075" s="1061"/>
      <c r="D1075" s="1061"/>
      <c r="E1075" s="1061"/>
      <c r="F1075" s="1061"/>
      <c r="G1075" s="1061"/>
      <c r="H1075" s="1061"/>
      <c r="I1075" s="1061"/>
      <c r="J1075" s="1061"/>
      <c r="K1075" s="1061"/>
      <c r="L1075" s="1061"/>
      <c r="M1075" s="1061"/>
      <c r="N1075" s="1061"/>
      <c r="O1075" s="626"/>
    </row>
    <row r="1076" spans="1:15" x14ac:dyDescent="0.25">
      <c r="A1076" s="765"/>
      <c r="B1076" s="624"/>
      <c r="C1076" s="1061"/>
      <c r="D1076" s="1061"/>
      <c r="E1076" s="1061"/>
      <c r="F1076" s="1061"/>
      <c r="G1076" s="1061"/>
      <c r="H1076" s="1061"/>
      <c r="I1076" s="1061"/>
      <c r="J1076" s="1061"/>
      <c r="K1076" s="1061"/>
      <c r="L1076" s="1061"/>
      <c r="M1076" s="1061"/>
      <c r="N1076" s="1061"/>
      <c r="O1076" s="626"/>
    </row>
    <row r="1077" spans="1:15" x14ac:dyDescent="0.25">
      <c r="A1077" s="765"/>
      <c r="B1077" s="624"/>
      <c r="C1077" s="1061"/>
      <c r="D1077" s="1061"/>
      <c r="E1077" s="1061"/>
      <c r="F1077" s="1061"/>
      <c r="G1077" s="1061"/>
      <c r="H1077" s="1061"/>
      <c r="I1077" s="1061"/>
      <c r="J1077" s="1061"/>
      <c r="K1077" s="1061"/>
      <c r="L1077" s="1061"/>
      <c r="M1077" s="1061"/>
      <c r="N1077" s="1061"/>
      <c r="O1077" s="626"/>
    </row>
    <row r="1078" spans="1:15" x14ac:dyDescent="0.25">
      <c r="A1078" s="765"/>
      <c r="B1078" s="624"/>
      <c r="C1078" s="1061"/>
      <c r="D1078" s="1061"/>
      <c r="E1078" s="1061"/>
      <c r="F1078" s="1061"/>
      <c r="G1078" s="1061"/>
      <c r="H1078" s="1061"/>
      <c r="I1078" s="1061"/>
      <c r="J1078" s="1061"/>
      <c r="K1078" s="1061"/>
      <c r="L1078" s="1061"/>
      <c r="M1078" s="1061"/>
      <c r="N1078" s="1061"/>
      <c r="O1078" s="626"/>
    </row>
    <row r="1079" spans="1:15" x14ac:dyDescent="0.25">
      <c r="A1079" s="765"/>
      <c r="B1079" s="624"/>
      <c r="C1079" s="1061"/>
      <c r="D1079" s="1061"/>
      <c r="E1079" s="1061"/>
      <c r="F1079" s="1061"/>
      <c r="G1079" s="1061"/>
      <c r="H1079" s="1061"/>
      <c r="I1079" s="1061"/>
      <c r="J1079" s="1061"/>
      <c r="K1079" s="1061"/>
      <c r="L1079" s="1061"/>
      <c r="M1079" s="1061"/>
      <c r="N1079" s="1061"/>
      <c r="O1079" s="626"/>
    </row>
    <row r="1080" spans="1:15" x14ac:dyDescent="0.25">
      <c r="A1080" s="765"/>
      <c r="B1080" s="624"/>
      <c r="C1080" s="1061"/>
      <c r="D1080" s="1061"/>
      <c r="E1080" s="1061"/>
      <c r="F1080" s="1061"/>
      <c r="G1080" s="1061"/>
      <c r="H1080" s="1061"/>
      <c r="I1080" s="1061"/>
      <c r="J1080" s="1061"/>
      <c r="K1080" s="1061"/>
      <c r="L1080" s="1061"/>
      <c r="M1080" s="1061"/>
      <c r="N1080" s="1061"/>
      <c r="O1080" s="626"/>
    </row>
    <row r="1081" spans="1:15" x14ac:dyDescent="0.25">
      <c r="A1081" s="765"/>
      <c r="B1081" s="624"/>
      <c r="C1081" s="1061"/>
      <c r="D1081" s="1061"/>
      <c r="E1081" s="1061"/>
      <c r="F1081" s="1061"/>
      <c r="G1081" s="1061"/>
      <c r="H1081" s="1061"/>
      <c r="I1081" s="1061"/>
      <c r="J1081" s="1061"/>
      <c r="K1081" s="1061"/>
      <c r="L1081" s="1061"/>
      <c r="M1081" s="1061"/>
      <c r="N1081" s="1061"/>
      <c r="O1081" s="626"/>
    </row>
    <row r="1082" spans="1:15" x14ac:dyDescent="0.25">
      <c r="A1082" s="765"/>
      <c r="B1082" s="624"/>
      <c r="C1082" s="1061"/>
      <c r="D1082" s="1061"/>
      <c r="E1082" s="1061"/>
      <c r="F1082" s="1061"/>
      <c r="G1082" s="1061"/>
      <c r="H1082" s="1061"/>
      <c r="I1082" s="1061"/>
      <c r="J1082" s="1061"/>
      <c r="K1082" s="1061"/>
      <c r="L1082" s="1061"/>
      <c r="M1082" s="1061"/>
      <c r="N1082" s="1061"/>
      <c r="O1082" s="626"/>
    </row>
    <row r="1083" spans="1:15" x14ac:dyDescent="0.25">
      <c r="A1083" s="765"/>
      <c r="B1083" s="624"/>
      <c r="C1083" s="1061"/>
      <c r="D1083" s="1061"/>
      <c r="E1083" s="1061"/>
      <c r="F1083" s="1061"/>
      <c r="G1083" s="1061"/>
      <c r="H1083" s="1061"/>
      <c r="I1083" s="1061"/>
      <c r="J1083" s="1061"/>
      <c r="K1083" s="1061"/>
      <c r="L1083" s="1061"/>
      <c r="M1083" s="1061"/>
      <c r="N1083" s="1061"/>
      <c r="O1083" s="626"/>
    </row>
    <row r="1084" spans="1:15" x14ac:dyDescent="0.25">
      <c r="A1084" s="765"/>
      <c r="B1084" s="624"/>
      <c r="C1084" s="1061"/>
      <c r="D1084" s="1061"/>
      <c r="E1084" s="1061"/>
      <c r="F1084" s="1061"/>
      <c r="G1084" s="1061"/>
      <c r="H1084" s="1061"/>
      <c r="I1084" s="1061"/>
      <c r="J1084" s="1061"/>
      <c r="K1084" s="1061"/>
      <c r="L1084" s="1061"/>
      <c r="M1084" s="1061"/>
      <c r="N1084" s="1061"/>
      <c r="O1084" s="626"/>
    </row>
    <row r="1085" spans="1:15" x14ac:dyDescent="0.25">
      <c r="A1085" s="765"/>
      <c r="B1085" s="624"/>
      <c r="C1085" s="1061"/>
      <c r="D1085" s="1061"/>
      <c r="E1085" s="1061"/>
      <c r="F1085" s="1061"/>
      <c r="G1085" s="1061"/>
      <c r="H1085" s="1061"/>
      <c r="I1085" s="1061"/>
      <c r="J1085" s="1061"/>
      <c r="K1085" s="1061"/>
      <c r="L1085" s="1061"/>
      <c r="M1085" s="1061"/>
      <c r="N1085" s="1061"/>
      <c r="O1085" s="626"/>
    </row>
    <row r="1086" spans="1:15" x14ac:dyDescent="0.25">
      <c r="A1086" s="765"/>
      <c r="B1086" s="624"/>
      <c r="C1086" s="1061"/>
      <c r="D1086" s="1061"/>
      <c r="E1086" s="1061"/>
      <c r="F1086" s="1061"/>
      <c r="G1086" s="1061"/>
      <c r="H1086" s="1061"/>
      <c r="I1086" s="1061"/>
      <c r="J1086" s="1061"/>
      <c r="K1086" s="1061"/>
      <c r="L1086" s="1061"/>
      <c r="M1086" s="1061"/>
      <c r="N1086" s="1061"/>
      <c r="O1086" s="626"/>
    </row>
    <row r="1087" spans="1:15" x14ac:dyDescent="0.25">
      <c r="A1087" s="765"/>
      <c r="B1087" s="624"/>
      <c r="C1087" s="1061"/>
      <c r="D1087" s="1061"/>
      <c r="E1087" s="1061"/>
      <c r="F1087" s="1061"/>
      <c r="G1087" s="1061"/>
      <c r="H1087" s="1061"/>
      <c r="I1087" s="1061"/>
      <c r="J1087" s="1061"/>
      <c r="K1087" s="1061"/>
      <c r="L1087" s="1061"/>
      <c r="M1087" s="1061"/>
      <c r="N1087" s="1061"/>
      <c r="O1087" s="626"/>
    </row>
    <row r="1088" spans="1:15" x14ac:dyDescent="0.25">
      <c r="A1088" s="765"/>
      <c r="B1088" s="624"/>
      <c r="C1088" s="1061"/>
      <c r="D1088" s="1061"/>
      <c r="E1088" s="1061"/>
      <c r="F1088" s="1061"/>
      <c r="G1088" s="1061"/>
      <c r="H1088" s="1061"/>
      <c r="I1088" s="1061"/>
      <c r="J1088" s="1061"/>
      <c r="K1088" s="1061"/>
      <c r="L1088" s="1061"/>
      <c r="M1088" s="1061"/>
      <c r="N1088" s="1061"/>
      <c r="O1088" s="626"/>
    </row>
    <row r="1089" spans="1:15" x14ac:dyDescent="0.25">
      <c r="A1089" s="765"/>
      <c r="B1089" s="624"/>
      <c r="C1089" s="1061"/>
      <c r="D1089" s="1061"/>
      <c r="E1089" s="1061"/>
      <c r="F1089" s="1061"/>
      <c r="G1089" s="1061"/>
      <c r="H1089" s="1061"/>
      <c r="I1089" s="1061"/>
      <c r="J1089" s="1061"/>
      <c r="K1089" s="1061"/>
      <c r="L1089" s="1061"/>
      <c r="M1089" s="1061"/>
      <c r="N1089" s="1061"/>
      <c r="O1089" s="626"/>
    </row>
    <row r="1090" spans="1:15" x14ac:dyDescent="0.25">
      <c r="A1090" s="765"/>
      <c r="B1090" s="624"/>
      <c r="C1090" s="1061"/>
      <c r="D1090" s="1061"/>
      <c r="E1090" s="1061"/>
      <c r="F1090" s="1061"/>
      <c r="G1090" s="1061"/>
      <c r="H1090" s="1061"/>
      <c r="I1090" s="1061"/>
      <c r="J1090" s="1061"/>
      <c r="K1090" s="1061"/>
      <c r="L1090" s="1061"/>
      <c r="M1090" s="1061"/>
      <c r="N1090" s="1061"/>
      <c r="O1090" s="626"/>
    </row>
    <row r="1091" spans="1:15" x14ac:dyDescent="0.25">
      <c r="A1091" s="765"/>
      <c r="B1091" s="624"/>
      <c r="C1091" s="1061"/>
      <c r="D1091" s="1061"/>
      <c r="E1091" s="1061"/>
      <c r="F1091" s="1061"/>
      <c r="G1091" s="1061"/>
      <c r="H1091" s="1061"/>
      <c r="I1091" s="1061"/>
      <c r="J1091" s="1061"/>
      <c r="K1091" s="1061"/>
      <c r="L1091" s="1061"/>
      <c r="M1091" s="1061"/>
      <c r="N1091" s="1061"/>
      <c r="O1091" s="626"/>
    </row>
    <row r="1092" spans="1:15" x14ac:dyDescent="0.25">
      <c r="A1092" s="765"/>
      <c r="B1092" s="624"/>
      <c r="C1092" s="1061"/>
      <c r="D1092" s="1061"/>
      <c r="E1092" s="1061"/>
      <c r="F1092" s="1061"/>
      <c r="G1092" s="1061"/>
      <c r="H1092" s="1061"/>
      <c r="I1092" s="1061"/>
      <c r="J1092" s="1061"/>
      <c r="K1092" s="1061"/>
      <c r="L1092" s="1061"/>
      <c r="M1092" s="1061"/>
      <c r="N1092" s="1061"/>
      <c r="O1092" s="626"/>
    </row>
    <row r="1093" spans="1:15" x14ac:dyDescent="0.25">
      <c r="A1093" s="765"/>
      <c r="B1093" s="624"/>
      <c r="C1093" s="1061"/>
      <c r="D1093" s="1061"/>
      <c r="E1093" s="1061"/>
      <c r="F1093" s="1061"/>
      <c r="G1093" s="1061"/>
      <c r="H1093" s="1061"/>
      <c r="I1093" s="1061"/>
      <c r="J1093" s="1061"/>
      <c r="K1093" s="1061"/>
      <c r="L1093" s="1061"/>
      <c r="M1093" s="1061"/>
      <c r="N1093" s="1061"/>
      <c r="O1093" s="626"/>
    </row>
    <row r="1094" spans="1:15" x14ac:dyDescent="0.25">
      <c r="A1094" s="765"/>
      <c r="B1094" s="624"/>
      <c r="C1094" s="1061"/>
      <c r="D1094" s="1061"/>
      <c r="E1094" s="1061"/>
      <c r="F1094" s="1061"/>
      <c r="G1094" s="1061"/>
      <c r="H1094" s="1061"/>
      <c r="I1094" s="1061"/>
      <c r="J1094" s="1061"/>
      <c r="K1094" s="1061"/>
      <c r="L1094" s="1061"/>
      <c r="M1094" s="1061"/>
      <c r="N1094" s="1061"/>
      <c r="O1094" s="626"/>
    </row>
    <row r="1095" spans="1:15" x14ac:dyDescent="0.25">
      <c r="A1095" s="765"/>
      <c r="B1095" s="624"/>
      <c r="C1095" s="1061"/>
      <c r="D1095" s="1061"/>
      <c r="E1095" s="1061"/>
      <c r="F1095" s="1061"/>
      <c r="G1095" s="1061"/>
      <c r="H1095" s="1061"/>
      <c r="I1095" s="1061"/>
      <c r="J1095" s="1061"/>
      <c r="K1095" s="1061"/>
      <c r="L1095" s="1061"/>
      <c r="M1095" s="1061"/>
      <c r="N1095" s="1061"/>
      <c r="O1095" s="626"/>
    </row>
    <row r="1096" spans="1:15" x14ac:dyDescent="0.25">
      <c r="A1096" s="765"/>
      <c r="B1096" s="624"/>
      <c r="C1096" s="1061"/>
      <c r="D1096" s="1061"/>
      <c r="E1096" s="1061"/>
      <c r="F1096" s="1061"/>
      <c r="G1096" s="1061"/>
      <c r="H1096" s="1061"/>
      <c r="I1096" s="1061"/>
      <c r="J1096" s="1061"/>
      <c r="K1096" s="1061"/>
      <c r="L1096" s="1061"/>
      <c r="M1096" s="1061"/>
      <c r="N1096" s="1061"/>
      <c r="O1096" s="626"/>
    </row>
    <row r="1097" spans="1:15" x14ac:dyDescent="0.25">
      <c r="A1097" s="765"/>
      <c r="B1097" s="624"/>
      <c r="C1097" s="1061"/>
      <c r="D1097" s="1061"/>
      <c r="E1097" s="1061"/>
      <c r="F1097" s="1061"/>
      <c r="G1097" s="1061"/>
      <c r="H1097" s="1061"/>
      <c r="I1097" s="1061"/>
      <c r="J1097" s="1061"/>
      <c r="K1097" s="1061"/>
      <c r="L1097" s="1061"/>
      <c r="M1097" s="1061"/>
      <c r="N1097" s="1061"/>
      <c r="O1097" s="626"/>
    </row>
    <row r="1098" spans="1:15" x14ac:dyDescent="0.25">
      <c r="A1098" s="765"/>
      <c r="B1098" s="624"/>
      <c r="C1098" s="1061"/>
      <c r="D1098" s="1061"/>
      <c r="E1098" s="1061"/>
      <c r="F1098" s="1061"/>
      <c r="G1098" s="1061"/>
      <c r="H1098" s="1061"/>
      <c r="I1098" s="1061"/>
      <c r="J1098" s="1061"/>
      <c r="K1098" s="1061"/>
      <c r="L1098" s="1061"/>
      <c r="M1098" s="1061"/>
      <c r="N1098" s="1061"/>
      <c r="O1098" s="626"/>
    </row>
    <row r="1099" spans="1:15" x14ac:dyDescent="0.25">
      <c r="A1099" s="765"/>
      <c r="B1099" s="624"/>
      <c r="C1099" s="1061"/>
      <c r="D1099" s="1061"/>
      <c r="E1099" s="1061"/>
      <c r="F1099" s="1061"/>
      <c r="G1099" s="1061"/>
      <c r="H1099" s="1061"/>
      <c r="I1099" s="1061"/>
      <c r="J1099" s="1061"/>
      <c r="K1099" s="1061"/>
      <c r="L1099" s="1061"/>
      <c r="M1099" s="1061"/>
      <c r="N1099" s="1061"/>
      <c r="O1099" s="626"/>
    </row>
    <row r="1100" spans="1:15" x14ac:dyDescent="0.25">
      <c r="A1100" s="765"/>
      <c r="B1100" s="624"/>
      <c r="C1100" s="1061"/>
      <c r="D1100" s="1061"/>
      <c r="E1100" s="1061"/>
      <c r="F1100" s="1061"/>
      <c r="G1100" s="1061"/>
      <c r="H1100" s="1061"/>
      <c r="I1100" s="1061"/>
      <c r="J1100" s="1061"/>
      <c r="K1100" s="1061"/>
      <c r="L1100" s="1061"/>
      <c r="M1100" s="1061"/>
      <c r="N1100" s="1061"/>
      <c r="O1100" s="626"/>
    </row>
    <row r="1101" spans="1:15" x14ac:dyDescent="0.25">
      <c r="A1101" s="765"/>
      <c r="B1101" s="624"/>
      <c r="C1101" s="1061"/>
      <c r="D1101" s="1061"/>
      <c r="E1101" s="1061"/>
      <c r="F1101" s="1061"/>
      <c r="G1101" s="1061"/>
      <c r="H1101" s="1061"/>
      <c r="I1101" s="1061"/>
      <c r="J1101" s="1061"/>
      <c r="K1101" s="1061"/>
      <c r="L1101" s="1061"/>
      <c r="M1101" s="1061"/>
      <c r="N1101" s="1061"/>
      <c r="O1101" s="626"/>
    </row>
    <row r="1102" spans="1:15" x14ac:dyDescent="0.25">
      <c r="A1102" s="765"/>
      <c r="B1102" s="624"/>
      <c r="C1102" s="1061"/>
      <c r="D1102" s="1061"/>
      <c r="E1102" s="1061"/>
      <c r="F1102" s="1061"/>
      <c r="G1102" s="1061"/>
      <c r="H1102" s="1061"/>
      <c r="I1102" s="1061"/>
      <c r="J1102" s="1061"/>
      <c r="K1102" s="1061"/>
      <c r="L1102" s="1061"/>
      <c r="M1102" s="1061"/>
      <c r="N1102" s="1061"/>
      <c r="O1102" s="626"/>
    </row>
    <row r="1103" spans="1:15" x14ac:dyDescent="0.25">
      <c r="A1103" s="765"/>
      <c r="B1103" s="624"/>
      <c r="C1103" s="1061"/>
      <c r="D1103" s="1061"/>
      <c r="E1103" s="1061"/>
      <c r="F1103" s="1061"/>
      <c r="G1103" s="1061"/>
      <c r="H1103" s="1061"/>
      <c r="I1103" s="1061"/>
      <c r="J1103" s="1061"/>
      <c r="K1103" s="1061"/>
      <c r="L1103" s="1061"/>
      <c r="M1103" s="1061"/>
      <c r="N1103" s="1061"/>
      <c r="O1103" s="626"/>
    </row>
    <row r="1104" spans="1:15" x14ac:dyDescent="0.25">
      <c r="A1104" s="765"/>
      <c r="B1104" s="624"/>
      <c r="C1104" s="1061"/>
      <c r="D1104" s="1061"/>
      <c r="E1104" s="1061"/>
      <c r="F1104" s="1061"/>
      <c r="G1104" s="1061"/>
      <c r="H1104" s="1061"/>
      <c r="I1104" s="1061"/>
      <c r="J1104" s="1061"/>
      <c r="K1104" s="1061"/>
      <c r="L1104" s="1061"/>
      <c r="M1104" s="1061"/>
      <c r="N1104" s="1061"/>
      <c r="O1104" s="626"/>
    </row>
    <row r="1105" spans="1:15" x14ac:dyDescent="0.25">
      <c r="A1105" s="765"/>
      <c r="B1105" s="624"/>
      <c r="C1105" s="1061"/>
      <c r="D1105" s="1061"/>
      <c r="E1105" s="1061"/>
      <c r="F1105" s="1061"/>
      <c r="G1105" s="1061"/>
      <c r="H1105" s="1061"/>
      <c r="I1105" s="1061"/>
      <c r="J1105" s="1061"/>
      <c r="K1105" s="1061"/>
      <c r="L1105" s="1061"/>
      <c r="M1105" s="1061"/>
      <c r="N1105" s="1061"/>
      <c r="O1105" s="626"/>
    </row>
    <row r="1106" spans="1:15" x14ac:dyDescent="0.25">
      <c r="A1106" s="765"/>
      <c r="B1106" s="624"/>
      <c r="C1106" s="1061"/>
      <c r="D1106" s="1061"/>
      <c r="E1106" s="1061"/>
      <c r="F1106" s="1061"/>
      <c r="G1106" s="1061"/>
      <c r="H1106" s="1061"/>
      <c r="I1106" s="1061"/>
      <c r="J1106" s="1061"/>
      <c r="K1106" s="1061"/>
      <c r="L1106" s="1061"/>
      <c r="M1106" s="1061"/>
      <c r="N1106" s="1061"/>
      <c r="O1106" s="626"/>
    </row>
    <row r="1107" spans="1:15" x14ac:dyDescent="0.25">
      <c r="A1107" s="765"/>
      <c r="B1107" s="624"/>
      <c r="C1107" s="1061"/>
      <c r="D1107" s="1061"/>
      <c r="E1107" s="1061"/>
      <c r="F1107" s="1061"/>
      <c r="G1107" s="1061"/>
      <c r="H1107" s="1061"/>
      <c r="I1107" s="1061"/>
      <c r="J1107" s="1061"/>
      <c r="K1107" s="1061"/>
      <c r="L1107" s="1061"/>
      <c r="M1107" s="1061"/>
      <c r="N1107" s="1061"/>
      <c r="O1107" s="626"/>
    </row>
    <row r="1108" spans="1:15" x14ac:dyDescent="0.25">
      <c r="A1108" s="765"/>
      <c r="B1108" s="624"/>
      <c r="C1108" s="1061"/>
      <c r="D1108" s="1061"/>
      <c r="E1108" s="1061"/>
      <c r="F1108" s="1061"/>
      <c r="G1108" s="1061"/>
      <c r="H1108" s="1061"/>
      <c r="I1108" s="1061"/>
      <c r="J1108" s="1061"/>
      <c r="K1108" s="1061"/>
      <c r="L1108" s="1061"/>
      <c r="M1108" s="1061"/>
      <c r="N1108" s="1061"/>
      <c r="O1108" s="626"/>
    </row>
    <row r="1109" spans="1:15" x14ac:dyDescent="0.25">
      <c r="A1109" s="765"/>
      <c r="B1109" s="624"/>
      <c r="C1109" s="1061"/>
      <c r="D1109" s="1061"/>
      <c r="E1109" s="1061"/>
      <c r="F1109" s="1061"/>
      <c r="G1109" s="1061"/>
      <c r="H1109" s="1061"/>
      <c r="I1109" s="1061"/>
      <c r="J1109" s="1061"/>
      <c r="K1109" s="1061"/>
      <c r="L1109" s="1061"/>
      <c r="M1109" s="1061"/>
      <c r="N1109" s="1061"/>
      <c r="O1109" s="626"/>
    </row>
    <row r="1110" spans="1:15" x14ac:dyDescent="0.25">
      <c r="A1110" s="765"/>
      <c r="B1110" s="624"/>
      <c r="C1110" s="1061"/>
      <c r="D1110" s="1061"/>
      <c r="E1110" s="1061"/>
      <c r="F1110" s="1061"/>
      <c r="G1110" s="1061"/>
      <c r="H1110" s="1061"/>
      <c r="I1110" s="1061"/>
      <c r="J1110" s="1061"/>
      <c r="K1110" s="1061"/>
      <c r="L1110" s="1061"/>
      <c r="M1110" s="1061"/>
      <c r="N1110" s="1061"/>
      <c r="O1110" s="626"/>
    </row>
    <row r="1111" spans="1:15" x14ac:dyDescent="0.25">
      <c r="A1111" s="765"/>
      <c r="B1111" s="624"/>
      <c r="C1111" s="1061"/>
      <c r="D1111" s="1061"/>
      <c r="E1111" s="1061"/>
      <c r="F1111" s="1061"/>
      <c r="G1111" s="1061"/>
      <c r="H1111" s="1061"/>
      <c r="I1111" s="1061"/>
      <c r="J1111" s="1061"/>
      <c r="K1111" s="1061"/>
      <c r="L1111" s="1061"/>
      <c r="M1111" s="1061"/>
      <c r="N1111" s="1061"/>
      <c r="O1111" s="626"/>
    </row>
    <row r="1112" spans="1:15" x14ac:dyDescent="0.25">
      <c r="A1112" s="765"/>
      <c r="B1112" s="624"/>
      <c r="C1112" s="1061"/>
      <c r="D1112" s="1061"/>
      <c r="E1112" s="1061"/>
      <c r="F1112" s="1061"/>
      <c r="G1112" s="1061"/>
      <c r="H1112" s="1061"/>
      <c r="I1112" s="1061"/>
      <c r="J1112" s="1061"/>
      <c r="K1112" s="1061"/>
      <c r="L1112" s="1061"/>
      <c r="M1112" s="1061"/>
      <c r="N1112" s="1061"/>
      <c r="O1112" s="626"/>
    </row>
    <row r="1113" spans="1:15" x14ac:dyDescent="0.25">
      <c r="A1113" s="765"/>
      <c r="B1113" s="624"/>
      <c r="C1113" s="1061"/>
      <c r="D1113" s="1061"/>
      <c r="E1113" s="1061"/>
      <c r="F1113" s="1061"/>
      <c r="G1113" s="1061"/>
      <c r="H1113" s="1061"/>
      <c r="I1113" s="1061"/>
      <c r="J1113" s="1061"/>
      <c r="K1113" s="1061"/>
      <c r="L1113" s="1061"/>
      <c r="M1113" s="1061"/>
      <c r="N1113" s="1061"/>
      <c r="O1113" s="626"/>
    </row>
    <row r="1114" spans="1:15" x14ac:dyDescent="0.25">
      <c r="A1114" s="765"/>
      <c r="B1114" s="624"/>
      <c r="C1114" s="1061"/>
      <c r="D1114" s="1061"/>
      <c r="E1114" s="1061"/>
      <c r="F1114" s="1061"/>
      <c r="G1114" s="1061"/>
      <c r="H1114" s="1061"/>
      <c r="I1114" s="1061"/>
      <c r="J1114" s="1061"/>
      <c r="K1114" s="1061"/>
      <c r="L1114" s="1061"/>
      <c r="M1114" s="1061"/>
      <c r="N1114" s="1061"/>
      <c r="O1114" s="626"/>
    </row>
    <row r="1115" spans="1:15" x14ac:dyDescent="0.25">
      <c r="A1115" s="765"/>
      <c r="B1115" s="624"/>
      <c r="C1115" s="1061"/>
      <c r="D1115" s="1061"/>
      <c r="E1115" s="1061"/>
      <c r="F1115" s="1061"/>
      <c r="G1115" s="1061"/>
      <c r="H1115" s="1061"/>
      <c r="I1115" s="1061"/>
      <c r="J1115" s="1061"/>
      <c r="K1115" s="1061"/>
      <c r="L1115" s="1061"/>
      <c r="M1115" s="1061"/>
      <c r="N1115" s="1061"/>
      <c r="O1115" s="626"/>
    </row>
    <row r="1116" spans="1:15" x14ac:dyDescent="0.25">
      <c r="A1116" s="765"/>
      <c r="B1116" s="624"/>
      <c r="C1116" s="1061"/>
      <c r="D1116" s="1061"/>
      <c r="E1116" s="1061"/>
      <c r="F1116" s="1061"/>
      <c r="G1116" s="1061"/>
      <c r="H1116" s="1061"/>
      <c r="I1116" s="1061"/>
      <c r="J1116" s="1061"/>
      <c r="K1116" s="1061"/>
      <c r="L1116" s="1061"/>
      <c r="M1116" s="1061"/>
      <c r="N1116" s="1061"/>
      <c r="O1116" s="626"/>
    </row>
    <row r="1117" spans="1:15" x14ac:dyDescent="0.25">
      <c r="A1117" s="765"/>
      <c r="B1117" s="624"/>
      <c r="C1117" s="1061"/>
      <c r="D1117" s="1061"/>
      <c r="E1117" s="1061"/>
      <c r="F1117" s="1061"/>
      <c r="G1117" s="1061"/>
      <c r="H1117" s="1061"/>
      <c r="I1117" s="1061"/>
      <c r="J1117" s="1061"/>
      <c r="K1117" s="1061"/>
      <c r="L1117" s="1061"/>
      <c r="M1117" s="1061"/>
      <c r="N1117" s="1061"/>
      <c r="O1117" s="626"/>
    </row>
    <row r="1118" spans="1:15" x14ac:dyDescent="0.25">
      <c r="A1118" s="765"/>
      <c r="B1118" s="624"/>
      <c r="C1118" s="1061"/>
      <c r="D1118" s="1061"/>
      <c r="E1118" s="1061"/>
      <c r="F1118" s="1061"/>
      <c r="G1118" s="1061"/>
      <c r="H1118" s="1061"/>
      <c r="I1118" s="1061"/>
      <c r="J1118" s="1061"/>
      <c r="K1118" s="1061"/>
      <c r="L1118" s="1061"/>
      <c r="M1118" s="1061"/>
      <c r="N1118" s="1061"/>
      <c r="O1118" s="626"/>
    </row>
    <row r="1119" spans="1:15" x14ac:dyDescent="0.25">
      <c r="A1119" s="765"/>
      <c r="B1119" s="624"/>
      <c r="C1119" s="1061"/>
      <c r="D1119" s="1061"/>
      <c r="E1119" s="1061"/>
      <c r="F1119" s="1061"/>
      <c r="G1119" s="1061"/>
      <c r="H1119" s="1061"/>
      <c r="I1119" s="1061"/>
      <c r="J1119" s="1061"/>
      <c r="K1119" s="1061"/>
      <c r="L1119" s="1061"/>
      <c r="M1119" s="1061"/>
      <c r="N1119" s="1061"/>
      <c r="O1119" s="626"/>
    </row>
    <row r="1120" spans="1:15" x14ac:dyDescent="0.25">
      <c r="A1120" s="765"/>
      <c r="B1120" s="624"/>
      <c r="C1120" s="1061"/>
      <c r="D1120" s="1061"/>
      <c r="E1120" s="1061"/>
      <c r="F1120" s="1061"/>
      <c r="G1120" s="1061"/>
      <c r="H1120" s="1061"/>
      <c r="I1120" s="1061"/>
      <c r="J1120" s="1061"/>
      <c r="K1120" s="1061"/>
      <c r="L1120" s="1061"/>
      <c r="M1120" s="1061"/>
      <c r="N1120" s="1061"/>
      <c r="O1120" s="626"/>
    </row>
    <row r="1121" spans="1:15" x14ac:dyDescent="0.25">
      <c r="A1121" s="765"/>
      <c r="B1121" s="624"/>
      <c r="C1121" s="1061"/>
      <c r="D1121" s="1061"/>
      <c r="E1121" s="1061"/>
      <c r="F1121" s="1061"/>
      <c r="G1121" s="1061"/>
      <c r="H1121" s="1061"/>
      <c r="I1121" s="1061"/>
      <c r="J1121" s="1061"/>
      <c r="K1121" s="1061"/>
      <c r="L1121" s="1061"/>
      <c r="M1121" s="1061"/>
      <c r="N1121" s="1061"/>
      <c r="O1121" s="626"/>
    </row>
    <row r="1122" spans="1:15" x14ac:dyDescent="0.25">
      <c r="A1122" s="765"/>
      <c r="B1122" s="624"/>
      <c r="C1122" s="1061"/>
      <c r="D1122" s="1061"/>
      <c r="E1122" s="1061"/>
      <c r="F1122" s="1061"/>
      <c r="G1122" s="1061"/>
      <c r="H1122" s="1061"/>
      <c r="I1122" s="1061"/>
      <c r="J1122" s="1061"/>
      <c r="K1122" s="1061"/>
      <c r="L1122" s="1061"/>
      <c r="M1122" s="1061"/>
      <c r="N1122" s="1061"/>
      <c r="O1122" s="626"/>
    </row>
    <row r="1123" spans="1:15" x14ac:dyDescent="0.25">
      <c r="A1123" s="765"/>
      <c r="B1123" s="624"/>
      <c r="C1123" s="1061"/>
      <c r="D1123" s="1061"/>
      <c r="E1123" s="1061"/>
      <c r="F1123" s="1061"/>
      <c r="G1123" s="1061"/>
      <c r="H1123" s="1061"/>
      <c r="I1123" s="1061"/>
      <c r="J1123" s="1061"/>
      <c r="K1123" s="1061"/>
      <c r="L1123" s="1061"/>
      <c r="M1123" s="1061"/>
      <c r="N1123" s="1061"/>
      <c r="O1123" s="626"/>
    </row>
    <row r="1124" spans="1:15" x14ac:dyDescent="0.25">
      <c r="A1124" s="765"/>
      <c r="B1124" s="624"/>
      <c r="C1124" s="1061"/>
      <c r="D1124" s="1061"/>
      <c r="E1124" s="1061"/>
      <c r="F1124" s="1061"/>
      <c r="G1124" s="1061"/>
      <c r="H1124" s="1061"/>
      <c r="I1124" s="1061"/>
      <c r="J1124" s="1061"/>
      <c r="K1124" s="1061"/>
      <c r="L1124" s="1061"/>
      <c r="M1124" s="1061"/>
      <c r="N1124" s="1061"/>
      <c r="O1124" s="626"/>
    </row>
    <row r="1125" spans="1:15" x14ac:dyDescent="0.25">
      <c r="A1125" s="765"/>
      <c r="B1125" s="624"/>
      <c r="C1125" s="1061"/>
      <c r="D1125" s="1061"/>
      <c r="E1125" s="1061"/>
      <c r="F1125" s="1061"/>
      <c r="G1125" s="1061"/>
      <c r="H1125" s="1061"/>
      <c r="I1125" s="1061"/>
      <c r="J1125" s="1061"/>
      <c r="K1125" s="1061"/>
      <c r="L1125" s="1061"/>
      <c r="M1125" s="1061"/>
      <c r="N1125" s="1061"/>
      <c r="O1125" s="626"/>
    </row>
    <row r="1126" spans="1:15" x14ac:dyDescent="0.25">
      <c r="A1126" s="765"/>
      <c r="B1126" s="624"/>
      <c r="C1126" s="1061"/>
      <c r="D1126" s="1061"/>
      <c r="E1126" s="1061"/>
      <c r="F1126" s="1061"/>
      <c r="G1126" s="1061"/>
      <c r="H1126" s="1061"/>
      <c r="I1126" s="1061"/>
      <c r="J1126" s="1061"/>
      <c r="K1126" s="1061"/>
      <c r="L1126" s="1061"/>
      <c r="M1126" s="1061"/>
      <c r="N1126" s="1061"/>
      <c r="O1126" s="626"/>
    </row>
    <row r="1127" spans="1:15" x14ac:dyDescent="0.25">
      <c r="A1127" s="765"/>
      <c r="B1127" s="624"/>
      <c r="C1127" s="1061"/>
      <c r="D1127" s="1061"/>
      <c r="E1127" s="1061"/>
      <c r="F1127" s="1061"/>
      <c r="G1127" s="1061"/>
      <c r="H1127" s="1061"/>
      <c r="I1127" s="1061"/>
      <c r="J1127" s="1061"/>
      <c r="K1127" s="1061"/>
      <c r="L1127" s="1061"/>
      <c r="M1127" s="1061"/>
      <c r="N1127" s="1061"/>
      <c r="O1127" s="626"/>
    </row>
    <row r="1128" spans="1:15" x14ac:dyDescent="0.25">
      <c r="A1128" s="765"/>
      <c r="B1128" s="624"/>
      <c r="C1128" s="1061"/>
      <c r="D1128" s="1061"/>
      <c r="E1128" s="1061"/>
      <c r="F1128" s="1061"/>
      <c r="G1128" s="1061"/>
      <c r="H1128" s="1061"/>
      <c r="I1128" s="1061"/>
      <c r="J1128" s="1061"/>
      <c r="K1128" s="1061"/>
      <c r="L1128" s="1061"/>
      <c r="M1128" s="1061"/>
      <c r="N1128" s="1061"/>
      <c r="O1128" s="626"/>
    </row>
    <row r="1129" spans="1:15" x14ac:dyDescent="0.25">
      <c r="A1129" s="765"/>
      <c r="B1129" s="624"/>
      <c r="C1129" s="1061"/>
      <c r="D1129" s="1061"/>
      <c r="E1129" s="1061"/>
      <c r="F1129" s="1061"/>
      <c r="G1129" s="1061"/>
      <c r="H1129" s="1061"/>
      <c r="I1129" s="1061"/>
      <c r="J1129" s="1061"/>
      <c r="K1129" s="1061"/>
      <c r="L1129" s="1061"/>
      <c r="M1129" s="1061"/>
      <c r="N1129" s="1061"/>
      <c r="O1129" s="626"/>
    </row>
    <row r="1130" spans="1:15" x14ac:dyDescent="0.25">
      <c r="A1130" s="765"/>
      <c r="B1130" s="624"/>
      <c r="C1130" s="1061"/>
      <c r="D1130" s="1061"/>
      <c r="E1130" s="1061"/>
      <c r="F1130" s="1061"/>
      <c r="G1130" s="1061"/>
      <c r="H1130" s="1061"/>
      <c r="I1130" s="1061"/>
      <c r="J1130" s="1061"/>
      <c r="K1130" s="1061"/>
      <c r="L1130" s="1061"/>
      <c r="M1130" s="1061"/>
      <c r="N1130" s="1061"/>
      <c r="O1130" s="626"/>
    </row>
    <row r="1131" spans="1:15" x14ac:dyDescent="0.25">
      <c r="A1131" s="765"/>
      <c r="B1131" s="624"/>
      <c r="C1131" s="1061"/>
      <c r="D1131" s="1061"/>
      <c r="E1131" s="1061"/>
      <c r="F1131" s="1061"/>
      <c r="G1131" s="1061"/>
      <c r="H1131" s="1061"/>
      <c r="I1131" s="1061"/>
      <c r="J1131" s="1061"/>
      <c r="K1131" s="1061"/>
      <c r="L1131" s="1061"/>
      <c r="M1131" s="1061"/>
      <c r="N1131" s="1061"/>
      <c r="O1131" s="626"/>
    </row>
    <row r="1132" spans="1:15" x14ac:dyDescent="0.25">
      <c r="A1132" s="765"/>
      <c r="B1132" s="624"/>
      <c r="C1132" s="1061"/>
      <c r="D1132" s="1061"/>
      <c r="E1132" s="1061"/>
      <c r="F1132" s="1061"/>
      <c r="G1132" s="1061"/>
      <c r="H1132" s="1061"/>
      <c r="I1132" s="1061"/>
      <c r="J1132" s="1061"/>
      <c r="K1132" s="1061"/>
      <c r="L1132" s="1061"/>
      <c r="M1132" s="1061"/>
      <c r="N1132" s="1061"/>
      <c r="O1132" s="626"/>
    </row>
    <row r="1133" spans="1:15" x14ac:dyDescent="0.25">
      <c r="A1133" s="765"/>
      <c r="B1133" s="624"/>
      <c r="C1133" s="1061"/>
      <c r="D1133" s="1061"/>
      <c r="E1133" s="1061"/>
      <c r="F1133" s="1061"/>
      <c r="G1133" s="1061"/>
      <c r="H1133" s="1061"/>
      <c r="I1133" s="1061"/>
      <c r="J1133" s="1061"/>
      <c r="K1133" s="1061"/>
      <c r="L1133" s="1061"/>
      <c r="M1133" s="1061"/>
      <c r="N1133" s="1061"/>
      <c r="O1133" s="626"/>
    </row>
    <row r="1134" spans="1:15" x14ac:dyDescent="0.25">
      <c r="A1134" s="765"/>
      <c r="B1134" s="624"/>
      <c r="C1134" s="1061"/>
      <c r="D1134" s="1061"/>
      <c r="E1134" s="1061"/>
      <c r="F1134" s="1061"/>
      <c r="G1134" s="1061"/>
      <c r="H1134" s="1061"/>
      <c r="I1134" s="1061"/>
      <c r="J1134" s="1061"/>
      <c r="K1134" s="1061"/>
      <c r="L1134" s="1061"/>
      <c r="M1134" s="1061"/>
      <c r="N1134" s="1061"/>
      <c r="O1134" s="626"/>
    </row>
    <row r="1135" spans="1:15" x14ac:dyDescent="0.25">
      <c r="A1135" s="765"/>
      <c r="B1135" s="624"/>
      <c r="C1135" s="1061"/>
      <c r="D1135" s="1061"/>
      <c r="E1135" s="1061"/>
      <c r="F1135" s="1061"/>
      <c r="G1135" s="1061"/>
      <c r="H1135" s="1061"/>
      <c r="I1135" s="1061"/>
      <c r="J1135" s="1061"/>
      <c r="K1135" s="1061"/>
      <c r="L1135" s="1061"/>
      <c r="M1135" s="1061"/>
      <c r="N1135" s="1061"/>
      <c r="O1135" s="626"/>
    </row>
    <row r="1136" spans="1:15" x14ac:dyDescent="0.25">
      <c r="A1136" s="765"/>
      <c r="B1136" s="624"/>
      <c r="C1136" s="1061"/>
      <c r="D1136" s="1061"/>
      <c r="E1136" s="1061"/>
      <c r="F1136" s="1061"/>
      <c r="G1136" s="1061"/>
      <c r="H1136" s="1061"/>
      <c r="I1136" s="1061"/>
      <c r="J1136" s="1061"/>
      <c r="K1136" s="1061"/>
      <c r="L1136" s="1061"/>
      <c r="M1136" s="1061"/>
      <c r="N1136" s="1061"/>
      <c r="O1136" s="626"/>
    </row>
    <row r="1137" spans="1:15" x14ac:dyDescent="0.25">
      <c r="A1137" s="765"/>
      <c r="B1137" s="624"/>
      <c r="C1137" s="1061"/>
      <c r="D1137" s="1061"/>
      <c r="E1137" s="1061"/>
      <c r="F1137" s="1061"/>
      <c r="G1137" s="1061"/>
      <c r="H1137" s="1061"/>
      <c r="I1137" s="1061"/>
      <c r="J1137" s="1061"/>
      <c r="K1137" s="1061"/>
      <c r="L1137" s="1061"/>
      <c r="M1137" s="1061"/>
      <c r="N1137" s="1061"/>
      <c r="O1137" s="626"/>
    </row>
    <row r="1138" spans="1:15" x14ac:dyDescent="0.25">
      <c r="A1138" s="765"/>
      <c r="B1138" s="624"/>
      <c r="C1138" s="1061"/>
      <c r="D1138" s="1061"/>
      <c r="E1138" s="1061"/>
      <c r="F1138" s="1061"/>
      <c r="G1138" s="1061"/>
      <c r="H1138" s="1061"/>
      <c r="I1138" s="1061"/>
      <c r="J1138" s="1061"/>
      <c r="K1138" s="1061"/>
      <c r="L1138" s="1061"/>
      <c r="M1138" s="1061"/>
      <c r="N1138" s="1061"/>
      <c r="O1138" s="626"/>
    </row>
    <row r="1139" spans="1:15" x14ac:dyDescent="0.25">
      <c r="A1139" s="765"/>
      <c r="B1139" s="624"/>
      <c r="C1139" s="1061"/>
      <c r="D1139" s="1061"/>
      <c r="E1139" s="1061"/>
      <c r="F1139" s="1061"/>
      <c r="G1139" s="1061"/>
      <c r="H1139" s="1061"/>
      <c r="I1139" s="1061"/>
      <c r="J1139" s="1061"/>
      <c r="K1139" s="1061"/>
      <c r="L1139" s="1061"/>
      <c r="M1139" s="1061"/>
      <c r="N1139" s="1061"/>
      <c r="O1139" s="626"/>
    </row>
    <row r="1140" spans="1:15" x14ac:dyDescent="0.25">
      <c r="A1140" s="765"/>
      <c r="B1140" s="624"/>
      <c r="C1140" s="1061"/>
      <c r="D1140" s="1061"/>
      <c r="E1140" s="1061"/>
      <c r="F1140" s="1061"/>
      <c r="G1140" s="1061"/>
      <c r="H1140" s="1061"/>
      <c r="I1140" s="1061"/>
      <c r="J1140" s="1061"/>
      <c r="K1140" s="1061"/>
      <c r="L1140" s="1061"/>
      <c r="M1140" s="1061"/>
      <c r="N1140" s="1061"/>
      <c r="O1140" s="626"/>
    </row>
    <row r="1141" spans="1:15" x14ac:dyDescent="0.25">
      <c r="A1141" s="765"/>
      <c r="B1141" s="624"/>
      <c r="C1141" s="1061"/>
      <c r="D1141" s="1061"/>
      <c r="E1141" s="1061"/>
      <c r="F1141" s="1061"/>
      <c r="G1141" s="1061"/>
      <c r="H1141" s="1061"/>
      <c r="I1141" s="1061"/>
      <c r="J1141" s="1061"/>
      <c r="K1141" s="1061"/>
      <c r="L1141" s="1061"/>
      <c r="M1141" s="1061"/>
      <c r="N1141" s="1061"/>
      <c r="O1141" s="626"/>
    </row>
    <row r="1142" spans="1:15" x14ac:dyDescent="0.25">
      <c r="A1142" s="765"/>
      <c r="B1142" s="624"/>
      <c r="C1142" s="1061"/>
      <c r="D1142" s="1061"/>
      <c r="E1142" s="1061"/>
      <c r="F1142" s="1061"/>
      <c r="G1142" s="1061"/>
      <c r="H1142" s="1061"/>
      <c r="I1142" s="1061"/>
      <c r="J1142" s="1061"/>
      <c r="K1142" s="1061"/>
      <c r="L1142" s="1061"/>
      <c r="M1142" s="1061"/>
      <c r="N1142" s="1061"/>
      <c r="O1142" s="626"/>
    </row>
    <row r="1143" spans="1:15" x14ac:dyDescent="0.25">
      <c r="A1143" s="765"/>
      <c r="B1143" s="624"/>
      <c r="C1143" s="1061"/>
      <c r="D1143" s="1061"/>
      <c r="E1143" s="1061"/>
      <c r="F1143" s="1061"/>
      <c r="G1143" s="1061"/>
      <c r="H1143" s="1061"/>
      <c r="I1143" s="1061"/>
      <c r="J1143" s="1061"/>
      <c r="K1143" s="1061"/>
      <c r="L1143" s="1061"/>
      <c r="M1143" s="1061"/>
      <c r="N1143" s="1061"/>
      <c r="O1143" s="626"/>
    </row>
    <row r="1144" spans="1:15" x14ac:dyDescent="0.25">
      <c r="A1144" s="765"/>
      <c r="B1144" s="624"/>
      <c r="C1144" s="1061"/>
      <c r="D1144" s="1061"/>
      <c r="E1144" s="1061"/>
      <c r="F1144" s="1061"/>
      <c r="G1144" s="1061"/>
      <c r="H1144" s="1061"/>
      <c r="I1144" s="1061"/>
      <c r="J1144" s="1061"/>
      <c r="K1144" s="1061"/>
      <c r="L1144" s="1061"/>
      <c r="M1144" s="1061"/>
      <c r="N1144" s="1061"/>
      <c r="O1144" s="626"/>
    </row>
    <row r="1145" spans="1:15" x14ac:dyDescent="0.25">
      <c r="A1145" s="765"/>
      <c r="B1145" s="624"/>
      <c r="C1145" s="1061"/>
      <c r="D1145" s="1061"/>
      <c r="E1145" s="1061"/>
      <c r="F1145" s="1061"/>
      <c r="G1145" s="1061"/>
      <c r="H1145" s="1061"/>
      <c r="I1145" s="1061"/>
      <c r="J1145" s="1061"/>
      <c r="K1145" s="1061"/>
      <c r="L1145" s="1061"/>
      <c r="M1145" s="1061"/>
      <c r="N1145" s="1061"/>
      <c r="O1145" s="626"/>
    </row>
    <row r="1146" spans="1:15" x14ac:dyDescent="0.25">
      <c r="A1146" s="765"/>
      <c r="B1146" s="624"/>
      <c r="C1146" s="1061"/>
      <c r="D1146" s="1061"/>
      <c r="E1146" s="1061"/>
      <c r="F1146" s="1061"/>
      <c r="G1146" s="1061"/>
      <c r="H1146" s="1061"/>
      <c r="I1146" s="1061"/>
      <c r="J1146" s="1061"/>
      <c r="K1146" s="1061"/>
      <c r="L1146" s="1061"/>
      <c r="M1146" s="1061"/>
      <c r="N1146" s="1061"/>
      <c r="O1146" s="626"/>
    </row>
    <row r="1147" spans="1:15" x14ac:dyDescent="0.25">
      <c r="A1147" s="765"/>
      <c r="B1147" s="624"/>
      <c r="C1147" s="1061"/>
      <c r="D1147" s="1061"/>
      <c r="E1147" s="1061"/>
      <c r="F1147" s="1061"/>
      <c r="G1147" s="1061"/>
      <c r="H1147" s="1061"/>
      <c r="I1147" s="1061"/>
      <c r="J1147" s="1061"/>
      <c r="K1147" s="1061"/>
      <c r="L1147" s="1061"/>
      <c r="M1147" s="1061"/>
      <c r="N1147" s="1061"/>
      <c r="O1147" s="626"/>
    </row>
    <row r="1148" spans="1:15" x14ac:dyDescent="0.25">
      <c r="A1148" s="765"/>
      <c r="B1148" s="624"/>
      <c r="C1148" s="1061"/>
      <c r="D1148" s="1061"/>
      <c r="E1148" s="1061"/>
      <c r="F1148" s="1061"/>
      <c r="G1148" s="1061"/>
      <c r="H1148" s="1061"/>
      <c r="I1148" s="1061"/>
      <c r="J1148" s="1061"/>
      <c r="K1148" s="1061"/>
      <c r="L1148" s="1061"/>
      <c r="M1148" s="1061"/>
      <c r="N1148" s="1061"/>
      <c r="O1148" s="626"/>
    </row>
    <row r="1149" spans="1:15" x14ac:dyDescent="0.25">
      <c r="A1149" s="765"/>
      <c r="B1149" s="624"/>
      <c r="C1149" s="1061"/>
      <c r="D1149" s="1061"/>
      <c r="E1149" s="1061"/>
      <c r="F1149" s="1061"/>
      <c r="G1149" s="1061"/>
      <c r="H1149" s="1061"/>
      <c r="I1149" s="1061"/>
      <c r="J1149" s="1061"/>
      <c r="K1149" s="1061"/>
      <c r="L1149" s="1061"/>
      <c r="M1149" s="1061"/>
      <c r="N1149" s="1061"/>
      <c r="O1149" s="626"/>
    </row>
    <row r="1150" spans="1:15" x14ac:dyDescent="0.25">
      <c r="A1150" s="765"/>
      <c r="B1150" s="624"/>
      <c r="C1150" s="1061"/>
      <c r="D1150" s="1061"/>
      <c r="E1150" s="1061"/>
      <c r="F1150" s="1061"/>
      <c r="G1150" s="1061"/>
      <c r="H1150" s="1061"/>
      <c r="I1150" s="1061"/>
      <c r="J1150" s="1061"/>
      <c r="K1150" s="1061"/>
      <c r="L1150" s="1061"/>
      <c r="M1150" s="1061"/>
      <c r="N1150" s="1061"/>
      <c r="O1150" s="626"/>
    </row>
    <row r="1151" spans="1:15" x14ac:dyDescent="0.25">
      <c r="A1151" s="765"/>
      <c r="B1151" s="624"/>
      <c r="C1151" s="1061"/>
      <c r="D1151" s="1061"/>
      <c r="E1151" s="1061"/>
      <c r="F1151" s="1061"/>
      <c r="G1151" s="1061"/>
      <c r="H1151" s="1061"/>
      <c r="I1151" s="1061"/>
      <c r="J1151" s="1061"/>
      <c r="K1151" s="1061"/>
      <c r="L1151" s="1061"/>
      <c r="M1151" s="1061"/>
      <c r="N1151" s="1061"/>
      <c r="O1151" s="626"/>
    </row>
    <row r="1152" spans="1:15" x14ac:dyDescent="0.25">
      <c r="A1152" s="765"/>
      <c r="B1152" s="624"/>
      <c r="C1152" s="1061"/>
      <c r="D1152" s="1061"/>
      <c r="E1152" s="1061"/>
      <c r="F1152" s="1061"/>
      <c r="G1152" s="1061"/>
      <c r="H1152" s="1061"/>
      <c r="I1152" s="1061"/>
      <c r="J1152" s="1061"/>
      <c r="K1152" s="1061"/>
      <c r="L1152" s="1061"/>
      <c r="M1152" s="1061"/>
      <c r="N1152" s="1061"/>
      <c r="O1152" s="626"/>
    </row>
    <row r="1153" spans="1:15" x14ac:dyDescent="0.25">
      <c r="A1153" s="765"/>
      <c r="B1153" s="624"/>
      <c r="C1153" s="1061"/>
      <c r="D1153" s="1061"/>
      <c r="E1153" s="1061"/>
      <c r="F1153" s="1061"/>
      <c r="G1153" s="1061"/>
      <c r="H1153" s="1061"/>
      <c r="I1153" s="1061"/>
      <c r="J1153" s="1061"/>
      <c r="K1153" s="1061"/>
      <c r="L1153" s="1061"/>
      <c r="M1153" s="1061"/>
      <c r="N1153" s="1061"/>
      <c r="O1153" s="626"/>
    </row>
    <row r="1154" spans="1:15" x14ac:dyDescent="0.25">
      <c r="A1154" s="765"/>
      <c r="B1154" s="624"/>
      <c r="C1154" s="1061"/>
      <c r="D1154" s="1061"/>
      <c r="E1154" s="1061"/>
      <c r="F1154" s="1061"/>
      <c r="G1154" s="1061"/>
      <c r="H1154" s="1061"/>
      <c r="I1154" s="1061"/>
      <c r="J1154" s="1061"/>
      <c r="K1154" s="1061"/>
      <c r="L1154" s="1061"/>
      <c r="M1154" s="1061"/>
      <c r="N1154" s="1061"/>
      <c r="O1154" s="626"/>
    </row>
    <row r="1155" spans="1:15" x14ac:dyDescent="0.25">
      <c r="A1155" s="765"/>
      <c r="B1155" s="624"/>
      <c r="C1155" s="1061"/>
      <c r="D1155" s="1061"/>
      <c r="E1155" s="1061"/>
      <c r="F1155" s="1061"/>
      <c r="G1155" s="1061"/>
      <c r="H1155" s="1061"/>
      <c r="I1155" s="1061"/>
      <c r="J1155" s="1061"/>
      <c r="K1155" s="1061"/>
      <c r="L1155" s="1061"/>
      <c r="M1155" s="1061"/>
      <c r="N1155" s="1061"/>
      <c r="O1155" s="626"/>
    </row>
    <row r="1156" spans="1:15" x14ac:dyDescent="0.25">
      <c r="A1156" s="765"/>
      <c r="B1156" s="624"/>
      <c r="C1156" s="1061"/>
      <c r="D1156" s="1061"/>
      <c r="E1156" s="1061"/>
      <c r="F1156" s="1061"/>
      <c r="G1156" s="1061"/>
      <c r="H1156" s="1061"/>
      <c r="I1156" s="1061"/>
      <c r="J1156" s="1061"/>
      <c r="K1156" s="1061"/>
      <c r="L1156" s="1061"/>
      <c r="M1156" s="1061"/>
      <c r="N1156" s="1061"/>
      <c r="O1156" s="626"/>
    </row>
    <row r="1157" spans="1:15" x14ac:dyDescent="0.25">
      <c r="A1157" s="765"/>
      <c r="B1157" s="624"/>
      <c r="C1157" s="1061"/>
      <c r="D1157" s="1061"/>
      <c r="E1157" s="1061"/>
      <c r="F1157" s="1061"/>
      <c r="G1157" s="1061"/>
      <c r="H1157" s="1061"/>
      <c r="I1157" s="1061"/>
      <c r="J1157" s="1061"/>
      <c r="K1157" s="1061"/>
      <c r="L1157" s="1061"/>
      <c r="M1157" s="1061"/>
      <c r="N1157" s="1061"/>
      <c r="O1157" s="626"/>
    </row>
    <row r="1158" spans="1:15" x14ac:dyDescent="0.25">
      <c r="A1158" s="765"/>
      <c r="B1158" s="624"/>
      <c r="C1158" s="1061"/>
      <c r="D1158" s="1061"/>
      <c r="E1158" s="1061"/>
      <c r="F1158" s="1061"/>
      <c r="G1158" s="1061"/>
      <c r="H1158" s="1061"/>
      <c r="I1158" s="1061"/>
      <c r="J1158" s="1061"/>
      <c r="K1158" s="1061"/>
      <c r="L1158" s="1061"/>
      <c r="M1158" s="1061"/>
      <c r="N1158" s="1061"/>
      <c r="O1158" s="626"/>
    </row>
    <row r="1159" spans="1:15" x14ac:dyDescent="0.25">
      <c r="A1159" s="765"/>
      <c r="B1159" s="624"/>
      <c r="C1159" s="1061"/>
      <c r="D1159" s="1061"/>
      <c r="E1159" s="1061"/>
      <c r="F1159" s="1061"/>
      <c r="G1159" s="1061"/>
      <c r="H1159" s="1061"/>
      <c r="I1159" s="1061"/>
      <c r="J1159" s="1061"/>
      <c r="K1159" s="1061"/>
      <c r="L1159" s="1061"/>
      <c r="M1159" s="1061"/>
      <c r="N1159" s="1061"/>
      <c r="O1159" s="626"/>
    </row>
    <row r="1160" spans="1:15" x14ac:dyDescent="0.25">
      <c r="A1160" s="765"/>
      <c r="B1160" s="624"/>
      <c r="C1160" s="1061"/>
      <c r="D1160" s="1061"/>
      <c r="E1160" s="1061"/>
      <c r="F1160" s="1061"/>
      <c r="G1160" s="1061"/>
      <c r="H1160" s="1061"/>
      <c r="I1160" s="1061"/>
      <c r="J1160" s="1061"/>
      <c r="K1160" s="1061"/>
      <c r="L1160" s="1061"/>
      <c r="M1160" s="1061"/>
      <c r="N1160" s="1061"/>
      <c r="O1160" s="626"/>
    </row>
    <row r="1161" spans="1:15" x14ac:dyDescent="0.25">
      <c r="A1161" s="765"/>
      <c r="B1161" s="624"/>
      <c r="C1161" s="1061"/>
      <c r="D1161" s="1061"/>
      <c r="E1161" s="1061"/>
      <c r="F1161" s="1061"/>
      <c r="G1161" s="1061"/>
      <c r="H1161" s="1061"/>
      <c r="I1161" s="1061"/>
      <c r="J1161" s="1061"/>
      <c r="K1161" s="1061"/>
      <c r="L1161" s="1061"/>
      <c r="M1161" s="1061"/>
      <c r="N1161" s="1061"/>
      <c r="O1161" s="626"/>
    </row>
    <row r="1162" spans="1:15" x14ac:dyDescent="0.25">
      <c r="A1162" s="765"/>
      <c r="B1162" s="624"/>
      <c r="C1162" s="1061"/>
      <c r="D1162" s="1061"/>
      <c r="E1162" s="1061"/>
      <c r="F1162" s="1061"/>
      <c r="G1162" s="1061"/>
      <c r="H1162" s="1061"/>
      <c r="I1162" s="1061"/>
      <c r="J1162" s="1061"/>
      <c r="K1162" s="1061"/>
      <c r="L1162" s="1061"/>
      <c r="M1162" s="1061"/>
      <c r="N1162" s="1061"/>
      <c r="O1162" s="626"/>
    </row>
    <row r="1163" spans="1:15" x14ac:dyDescent="0.25">
      <c r="A1163" s="765"/>
      <c r="B1163" s="624"/>
      <c r="C1163" s="1061"/>
      <c r="D1163" s="1061"/>
      <c r="E1163" s="1061"/>
      <c r="F1163" s="1061"/>
      <c r="G1163" s="1061"/>
      <c r="H1163" s="1061"/>
      <c r="I1163" s="1061"/>
      <c r="J1163" s="1061"/>
      <c r="K1163" s="1061"/>
      <c r="L1163" s="1061"/>
      <c r="M1163" s="1061"/>
      <c r="N1163" s="1061"/>
      <c r="O1163" s="626"/>
    </row>
    <row r="1164" spans="1:15" x14ac:dyDescent="0.25">
      <c r="A1164" s="765"/>
      <c r="B1164" s="624"/>
      <c r="C1164" s="1061"/>
      <c r="D1164" s="1061"/>
      <c r="E1164" s="1061"/>
      <c r="F1164" s="1061"/>
      <c r="G1164" s="1061"/>
      <c r="H1164" s="1061"/>
      <c r="I1164" s="1061"/>
      <c r="J1164" s="1061"/>
      <c r="K1164" s="1061"/>
      <c r="L1164" s="1061"/>
      <c r="M1164" s="1061"/>
      <c r="N1164" s="1061"/>
      <c r="O1164" s="626"/>
    </row>
    <row r="1165" spans="1:15" x14ac:dyDescent="0.25">
      <c r="A1165" s="765"/>
      <c r="B1165" s="624"/>
      <c r="C1165" s="1061"/>
      <c r="D1165" s="1061"/>
      <c r="E1165" s="1061"/>
      <c r="F1165" s="1061"/>
      <c r="G1165" s="1061"/>
      <c r="H1165" s="1061"/>
      <c r="I1165" s="1061"/>
      <c r="J1165" s="1061"/>
      <c r="K1165" s="1061"/>
      <c r="L1165" s="1061"/>
      <c r="M1165" s="1061"/>
      <c r="N1165" s="1061"/>
      <c r="O1165" s="626"/>
    </row>
    <row r="1166" spans="1:15" x14ac:dyDescent="0.25">
      <c r="A1166" s="765"/>
      <c r="B1166" s="624"/>
      <c r="C1166" s="1061"/>
      <c r="D1166" s="1061"/>
      <c r="E1166" s="1061"/>
      <c r="F1166" s="1061"/>
      <c r="G1166" s="1061"/>
      <c r="H1166" s="1061"/>
      <c r="I1166" s="1061"/>
      <c r="J1166" s="1061"/>
      <c r="K1166" s="1061"/>
      <c r="L1166" s="1061"/>
      <c r="M1166" s="1061"/>
      <c r="N1166" s="1061"/>
      <c r="O1166" s="626"/>
    </row>
    <row r="1167" spans="1:15" x14ac:dyDescent="0.25">
      <c r="A1167" s="765"/>
      <c r="B1167" s="624"/>
      <c r="C1167" s="1061"/>
      <c r="D1167" s="1061"/>
      <c r="E1167" s="1061"/>
      <c r="F1167" s="1061"/>
      <c r="G1167" s="1061"/>
      <c r="H1167" s="1061"/>
      <c r="I1167" s="1061"/>
      <c r="J1167" s="1061"/>
      <c r="K1167" s="1061"/>
      <c r="L1167" s="1061"/>
      <c r="M1167" s="1061"/>
      <c r="N1167" s="1061"/>
      <c r="O1167" s="626"/>
    </row>
    <row r="1168" spans="1:15" x14ac:dyDescent="0.25">
      <c r="A1168" s="765"/>
      <c r="B1168" s="624"/>
      <c r="C1168" s="1061"/>
      <c r="D1168" s="1061"/>
      <c r="E1168" s="1061"/>
      <c r="F1168" s="1061"/>
      <c r="G1168" s="1061"/>
      <c r="H1168" s="1061"/>
      <c r="I1168" s="1061"/>
      <c r="J1168" s="1061"/>
      <c r="K1168" s="1061"/>
      <c r="L1168" s="1061"/>
      <c r="M1168" s="1061"/>
      <c r="N1168" s="1061"/>
      <c r="O1168" s="626"/>
    </row>
    <row r="1169" spans="1:15" x14ac:dyDescent="0.25">
      <c r="A1169" s="765"/>
      <c r="B1169" s="624"/>
      <c r="C1169" s="1061"/>
      <c r="D1169" s="1061"/>
      <c r="E1169" s="1061"/>
      <c r="F1169" s="1061"/>
      <c r="G1169" s="1061"/>
      <c r="H1169" s="1061"/>
      <c r="I1169" s="1061"/>
      <c r="J1169" s="1061"/>
      <c r="K1169" s="1061"/>
      <c r="L1169" s="1061"/>
      <c r="M1169" s="1061"/>
      <c r="N1169" s="1061"/>
      <c r="O1169" s="626"/>
    </row>
    <row r="1170" spans="1:15" x14ac:dyDescent="0.25">
      <c r="A1170" s="765"/>
      <c r="B1170" s="624"/>
      <c r="C1170" s="1061"/>
      <c r="D1170" s="1061"/>
      <c r="E1170" s="1061"/>
      <c r="F1170" s="1061"/>
      <c r="G1170" s="1061"/>
      <c r="H1170" s="1061"/>
      <c r="I1170" s="1061"/>
      <c r="J1170" s="1061"/>
      <c r="K1170" s="1061"/>
      <c r="L1170" s="1061"/>
      <c r="M1170" s="1061"/>
      <c r="N1170" s="1061"/>
      <c r="O1170" s="626"/>
    </row>
    <row r="1171" spans="1:15" x14ac:dyDescent="0.25">
      <c r="A1171" s="765"/>
      <c r="B1171" s="624"/>
      <c r="C1171" s="1061"/>
      <c r="D1171" s="1061"/>
      <c r="E1171" s="1061"/>
      <c r="F1171" s="1061"/>
      <c r="G1171" s="1061"/>
      <c r="H1171" s="1061"/>
      <c r="I1171" s="1061"/>
      <c r="J1171" s="1061"/>
      <c r="K1171" s="1061"/>
      <c r="L1171" s="1061"/>
      <c r="M1171" s="1061"/>
      <c r="N1171" s="1061"/>
      <c r="O1171" s="626"/>
    </row>
    <row r="1172" spans="1:15" x14ac:dyDescent="0.25">
      <c r="A1172" s="765"/>
      <c r="B1172" s="624"/>
      <c r="C1172" s="1061"/>
      <c r="D1172" s="1061"/>
      <c r="E1172" s="1061"/>
      <c r="F1172" s="1061"/>
      <c r="G1172" s="1061"/>
      <c r="H1172" s="1061"/>
      <c r="I1172" s="1061"/>
      <c r="J1172" s="1061"/>
      <c r="K1172" s="1061"/>
      <c r="L1172" s="1061"/>
      <c r="M1172" s="1061"/>
      <c r="N1172" s="1061"/>
      <c r="O1172" s="626"/>
    </row>
    <row r="1173" spans="1:15" x14ac:dyDescent="0.25">
      <c r="A1173" s="765"/>
      <c r="B1173" s="624"/>
      <c r="C1173" s="1061"/>
      <c r="D1173" s="1061"/>
      <c r="E1173" s="1061"/>
      <c r="F1173" s="1061"/>
      <c r="G1173" s="1061"/>
      <c r="H1173" s="1061"/>
      <c r="I1173" s="1061"/>
      <c r="J1173" s="1061"/>
      <c r="K1173" s="1061"/>
      <c r="L1173" s="1061"/>
      <c r="M1173" s="1061"/>
      <c r="N1173" s="1061"/>
      <c r="O1173" s="626"/>
    </row>
    <row r="1174" spans="1:15" x14ac:dyDescent="0.25">
      <c r="A1174" s="765"/>
      <c r="B1174" s="624"/>
      <c r="C1174" s="1061"/>
      <c r="D1174" s="1061"/>
      <c r="E1174" s="1061"/>
      <c r="F1174" s="1061"/>
      <c r="G1174" s="1061"/>
      <c r="H1174" s="1061"/>
      <c r="I1174" s="1061"/>
      <c r="J1174" s="1061"/>
      <c r="K1174" s="1061"/>
      <c r="L1174" s="1061"/>
      <c r="M1174" s="1061"/>
      <c r="N1174" s="1061"/>
      <c r="O1174" s="626"/>
    </row>
    <row r="1175" spans="1:15" x14ac:dyDescent="0.25">
      <c r="A1175" s="765"/>
      <c r="B1175" s="624"/>
      <c r="C1175" s="1061"/>
      <c r="D1175" s="1061"/>
      <c r="E1175" s="1061"/>
      <c r="F1175" s="1061"/>
      <c r="G1175" s="1061"/>
      <c r="H1175" s="1061"/>
      <c r="I1175" s="1061"/>
      <c r="J1175" s="1061"/>
      <c r="K1175" s="1061"/>
      <c r="L1175" s="1061"/>
      <c r="M1175" s="1061"/>
      <c r="N1175" s="1061"/>
      <c r="O1175" s="626"/>
    </row>
    <row r="1176" spans="1:15" x14ac:dyDescent="0.25">
      <c r="A1176" s="765"/>
      <c r="B1176" s="624"/>
      <c r="C1176" s="1061"/>
      <c r="D1176" s="1061"/>
      <c r="E1176" s="1061"/>
      <c r="F1176" s="1061"/>
      <c r="G1176" s="1061"/>
      <c r="H1176" s="1061"/>
      <c r="I1176" s="1061"/>
      <c r="J1176" s="1061"/>
      <c r="K1176" s="1061"/>
      <c r="L1176" s="1061"/>
      <c r="M1176" s="1061"/>
      <c r="N1176" s="1061"/>
      <c r="O1176" s="626"/>
    </row>
    <row r="1177" spans="1:15" x14ac:dyDescent="0.25">
      <c r="A1177" s="765"/>
      <c r="B1177" s="624"/>
      <c r="C1177" s="1061"/>
      <c r="D1177" s="1061"/>
      <c r="E1177" s="1061"/>
      <c r="F1177" s="1061"/>
      <c r="G1177" s="1061"/>
      <c r="H1177" s="1061"/>
      <c r="I1177" s="1061"/>
      <c r="J1177" s="1061"/>
      <c r="K1177" s="1061"/>
      <c r="L1177" s="1061"/>
      <c r="M1177" s="1061"/>
      <c r="N1177" s="1061"/>
      <c r="O1177" s="626"/>
    </row>
    <row r="1178" spans="1:15" x14ac:dyDescent="0.25">
      <c r="A1178" s="765"/>
      <c r="B1178" s="624"/>
      <c r="C1178" s="1061"/>
      <c r="D1178" s="1061"/>
      <c r="E1178" s="1061"/>
      <c r="F1178" s="1061"/>
      <c r="G1178" s="1061"/>
      <c r="H1178" s="1061"/>
      <c r="I1178" s="1061"/>
      <c r="J1178" s="1061"/>
      <c r="K1178" s="1061"/>
      <c r="L1178" s="1061"/>
      <c r="M1178" s="1061"/>
      <c r="N1178" s="1061"/>
      <c r="O1178" s="626"/>
    </row>
    <row r="1179" spans="1:15" x14ac:dyDescent="0.25">
      <c r="A1179" s="765"/>
      <c r="B1179" s="624"/>
      <c r="C1179" s="1061"/>
      <c r="D1179" s="1061"/>
      <c r="E1179" s="1061"/>
      <c r="F1179" s="1061"/>
      <c r="G1179" s="1061"/>
      <c r="H1179" s="1061"/>
      <c r="I1179" s="1061"/>
      <c r="J1179" s="1061"/>
      <c r="K1179" s="1061"/>
      <c r="L1179" s="1061"/>
      <c r="M1179" s="1061"/>
      <c r="N1179" s="1061"/>
      <c r="O1179" s="626"/>
    </row>
    <row r="1180" spans="1:15" x14ac:dyDescent="0.25">
      <c r="A1180" s="765"/>
      <c r="B1180" s="624"/>
      <c r="C1180" s="1061"/>
      <c r="D1180" s="1061"/>
      <c r="E1180" s="1061"/>
      <c r="F1180" s="1061"/>
      <c r="G1180" s="1061"/>
      <c r="H1180" s="1061"/>
      <c r="I1180" s="1061"/>
      <c r="J1180" s="1061"/>
      <c r="K1180" s="1061"/>
      <c r="L1180" s="1061"/>
      <c r="M1180" s="1061"/>
      <c r="N1180" s="1061"/>
      <c r="O1180" s="626"/>
    </row>
    <row r="1181" spans="1:15" x14ac:dyDescent="0.25">
      <c r="A1181" s="765"/>
      <c r="B1181" s="624"/>
      <c r="C1181" s="1061"/>
      <c r="D1181" s="1061"/>
      <c r="E1181" s="1061"/>
      <c r="F1181" s="1061"/>
      <c r="G1181" s="1061"/>
      <c r="H1181" s="1061"/>
      <c r="I1181" s="1061"/>
      <c r="J1181" s="1061"/>
      <c r="K1181" s="1061"/>
      <c r="L1181" s="1061"/>
      <c r="M1181" s="1061"/>
      <c r="N1181" s="1061"/>
      <c r="O1181" s="626"/>
    </row>
    <row r="1182" spans="1:15" x14ac:dyDescent="0.25">
      <c r="A1182" s="765"/>
      <c r="B1182" s="624"/>
      <c r="C1182" s="1061"/>
      <c r="D1182" s="1061"/>
      <c r="E1182" s="1061"/>
      <c r="F1182" s="1061"/>
      <c r="G1182" s="1061"/>
      <c r="H1182" s="1061"/>
      <c r="I1182" s="1061"/>
      <c r="J1182" s="1061"/>
      <c r="K1182" s="1061"/>
      <c r="L1182" s="1061"/>
      <c r="M1182" s="1061"/>
      <c r="N1182" s="1061"/>
      <c r="O1182" s="626"/>
    </row>
    <row r="1183" spans="1:15" x14ac:dyDescent="0.25">
      <c r="A1183" s="765"/>
      <c r="B1183" s="624"/>
      <c r="C1183" s="1061"/>
      <c r="D1183" s="1061"/>
      <c r="E1183" s="1061"/>
      <c r="F1183" s="1061"/>
      <c r="G1183" s="1061"/>
      <c r="H1183" s="1061"/>
      <c r="I1183" s="1061"/>
      <c r="J1183" s="1061"/>
      <c r="K1183" s="1061"/>
      <c r="L1183" s="1061"/>
      <c r="M1183" s="1061"/>
      <c r="N1183" s="1061"/>
      <c r="O1183" s="626"/>
    </row>
    <row r="1184" spans="1:15" x14ac:dyDescent="0.25">
      <c r="A1184" s="765"/>
      <c r="B1184" s="624"/>
      <c r="C1184" s="1061"/>
      <c r="D1184" s="1061"/>
      <c r="E1184" s="1061"/>
      <c r="F1184" s="1061"/>
      <c r="G1184" s="1061"/>
      <c r="H1184" s="1061"/>
      <c r="I1184" s="1061"/>
      <c r="J1184" s="1061"/>
      <c r="K1184" s="1061"/>
      <c r="L1184" s="1061"/>
      <c r="M1184" s="1061"/>
      <c r="N1184" s="1061"/>
      <c r="O1184" s="626"/>
    </row>
    <row r="1185" spans="1:15" x14ac:dyDescent="0.25">
      <c r="A1185" s="765"/>
      <c r="B1185" s="624"/>
      <c r="C1185" s="1061"/>
      <c r="D1185" s="1061"/>
      <c r="E1185" s="1061"/>
      <c r="F1185" s="1061"/>
      <c r="G1185" s="1061"/>
      <c r="H1185" s="1061"/>
      <c r="I1185" s="1061"/>
      <c r="J1185" s="1061"/>
      <c r="K1185" s="1061"/>
      <c r="L1185" s="1061"/>
      <c r="M1185" s="1061"/>
      <c r="N1185" s="1061"/>
      <c r="O1185" s="626"/>
    </row>
    <row r="1186" spans="1:15" x14ac:dyDescent="0.25">
      <c r="A1186" s="765"/>
      <c r="B1186" s="624"/>
      <c r="C1186" s="1061"/>
      <c r="D1186" s="1061"/>
      <c r="E1186" s="1061"/>
      <c r="F1186" s="1061"/>
      <c r="G1186" s="1061"/>
      <c r="H1186" s="1061"/>
      <c r="I1186" s="1061"/>
      <c r="J1186" s="1061"/>
      <c r="K1186" s="1061"/>
      <c r="L1186" s="1061"/>
      <c r="M1186" s="1061"/>
      <c r="N1186" s="1061"/>
      <c r="O1186" s="626"/>
    </row>
    <row r="1187" spans="1:15" x14ac:dyDescent="0.25">
      <c r="A1187" s="765"/>
      <c r="B1187" s="624"/>
      <c r="C1187" s="1061"/>
      <c r="D1187" s="1061"/>
      <c r="E1187" s="1061"/>
      <c r="F1187" s="1061"/>
      <c r="G1187" s="1061"/>
      <c r="H1187" s="1061"/>
      <c r="I1187" s="1061"/>
      <c r="J1187" s="1061"/>
      <c r="K1187" s="1061"/>
      <c r="L1187" s="1061"/>
      <c r="M1187" s="1061"/>
      <c r="N1187" s="1061"/>
      <c r="O1187" s="626"/>
    </row>
    <row r="1188" spans="1:15" x14ac:dyDescent="0.25">
      <c r="A1188" s="765"/>
      <c r="B1188" s="624"/>
      <c r="C1188" s="1061"/>
      <c r="D1188" s="1061"/>
      <c r="E1188" s="1061"/>
      <c r="F1188" s="1061"/>
      <c r="G1188" s="1061"/>
      <c r="H1188" s="1061"/>
      <c r="I1188" s="1061"/>
      <c r="J1188" s="1061"/>
      <c r="K1188" s="1061"/>
      <c r="L1188" s="1061"/>
      <c r="M1188" s="1061"/>
      <c r="N1188" s="1061"/>
      <c r="O1188" s="626"/>
    </row>
    <row r="1189" spans="1:15" x14ac:dyDescent="0.25">
      <c r="A1189" s="765"/>
      <c r="B1189" s="624"/>
      <c r="C1189" s="1061"/>
      <c r="D1189" s="1061"/>
      <c r="E1189" s="1061"/>
      <c r="F1189" s="1061"/>
      <c r="G1189" s="1061"/>
      <c r="H1189" s="1061"/>
      <c r="I1189" s="1061"/>
      <c r="J1189" s="1061"/>
      <c r="K1189" s="1061"/>
      <c r="L1189" s="1061"/>
      <c r="M1189" s="1061"/>
      <c r="N1189" s="1061"/>
      <c r="O1189" s="626"/>
    </row>
    <row r="1190" spans="1:15" x14ac:dyDescent="0.25">
      <c r="A1190" s="765"/>
      <c r="B1190" s="624"/>
      <c r="C1190" s="1061"/>
      <c r="D1190" s="1061"/>
      <c r="E1190" s="1061"/>
      <c r="F1190" s="1061"/>
      <c r="G1190" s="1061"/>
      <c r="H1190" s="1061"/>
      <c r="I1190" s="1061"/>
      <c r="J1190" s="1061"/>
      <c r="K1190" s="1061"/>
      <c r="L1190" s="1061"/>
      <c r="M1190" s="1061"/>
      <c r="N1190" s="1061"/>
      <c r="O1190" s="626"/>
    </row>
    <row r="1191" spans="1:15" x14ac:dyDescent="0.25">
      <c r="A1191" s="765"/>
      <c r="B1191" s="624"/>
      <c r="C1191" s="1061"/>
      <c r="D1191" s="1061"/>
      <c r="E1191" s="1061"/>
      <c r="F1191" s="1061"/>
      <c r="G1191" s="1061"/>
      <c r="H1191" s="1061"/>
      <c r="I1191" s="1061"/>
      <c r="J1191" s="1061"/>
      <c r="K1191" s="1061"/>
      <c r="L1191" s="1061"/>
      <c r="M1191" s="1061"/>
      <c r="N1191" s="1061"/>
      <c r="O1191" s="626"/>
    </row>
    <row r="1192" spans="1:15" x14ac:dyDescent="0.25">
      <c r="A1192" s="765"/>
      <c r="B1192" s="624"/>
      <c r="C1192" s="1061"/>
      <c r="D1192" s="1061"/>
      <c r="E1192" s="1061"/>
      <c r="F1192" s="1061"/>
      <c r="G1192" s="1061"/>
      <c r="H1192" s="1061"/>
      <c r="I1192" s="1061"/>
      <c r="J1192" s="1061"/>
      <c r="K1192" s="1061"/>
      <c r="L1192" s="1061"/>
      <c r="M1192" s="1061"/>
      <c r="N1192" s="1061"/>
      <c r="O1192" s="626"/>
    </row>
    <row r="1193" spans="1:15" x14ac:dyDescent="0.25">
      <c r="A1193" s="765"/>
      <c r="B1193" s="624"/>
      <c r="C1193" s="1061"/>
      <c r="D1193" s="1061"/>
      <c r="E1193" s="1061"/>
      <c r="F1193" s="1061"/>
      <c r="G1193" s="1061"/>
      <c r="H1193" s="1061"/>
      <c r="I1193" s="1061"/>
      <c r="J1193" s="1061"/>
      <c r="K1193" s="1061"/>
      <c r="L1193" s="1061"/>
      <c r="M1193" s="1061"/>
      <c r="N1193" s="1061"/>
      <c r="O1193" s="626"/>
    </row>
    <row r="1194" spans="1:15" x14ac:dyDescent="0.25">
      <c r="A1194" s="765"/>
      <c r="B1194" s="624"/>
      <c r="C1194" s="1061"/>
      <c r="D1194" s="1061"/>
      <c r="E1194" s="1061"/>
      <c r="F1194" s="1061"/>
      <c r="G1194" s="1061"/>
      <c r="H1194" s="1061"/>
      <c r="I1194" s="1061"/>
      <c r="J1194" s="1061"/>
      <c r="K1194" s="1061"/>
      <c r="L1194" s="1061"/>
      <c r="M1194" s="1061"/>
      <c r="N1194" s="1061"/>
      <c r="O1194" s="626"/>
    </row>
    <row r="1195" spans="1:15" x14ac:dyDescent="0.25">
      <c r="A1195" s="765"/>
      <c r="B1195" s="624"/>
      <c r="C1195" s="1061"/>
      <c r="D1195" s="1061"/>
      <c r="E1195" s="1061"/>
      <c r="F1195" s="1061"/>
      <c r="G1195" s="1061"/>
      <c r="H1195" s="1061"/>
      <c r="I1195" s="1061"/>
      <c r="J1195" s="1061"/>
      <c r="K1195" s="1061"/>
      <c r="L1195" s="1061"/>
      <c r="M1195" s="1061"/>
      <c r="N1195" s="1061"/>
      <c r="O1195" s="626"/>
    </row>
    <row r="1196" spans="1:15" x14ac:dyDescent="0.25">
      <c r="A1196" s="765"/>
      <c r="B1196" s="624"/>
      <c r="C1196" s="1061"/>
      <c r="D1196" s="1061"/>
      <c r="E1196" s="1061"/>
      <c r="F1196" s="1061"/>
      <c r="G1196" s="1061"/>
      <c r="H1196" s="1061"/>
      <c r="I1196" s="1061"/>
      <c r="J1196" s="1061"/>
      <c r="K1196" s="1061"/>
      <c r="L1196" s="1061"/>
      <c r="M1196" s="1061"/>
      <c r="N1196" s="1061"/>
      <c r="O1196" s="626"/>
    </row>
    <row r="1197" spans="1:15" x14ac:dyDescent="0.25">
      <c r="A1197" s="765"/>
      <c r="B1197" s="624"/>
      <c r="C1197" s="1061"/>
      <c r="D1197" s="1061"/>
      <c r="E1197" s="1061"/>
      <c r="F1197" s="1061"/>
      <c r="G1197" s="1061"/>
      <c r="H1197" s="1061"/>
      <c r="I1197" s="1061"/>
      <c r="J1197" s="1061"/>
      <c r="K1197" s="1061"/>
      <c r="L1197" s="1061"/>
      <c r="M1197" s="1061"/>
      <c r="N1197" s="1061"/>
      <c r="O1197" s="626"/>
    </row>
    <row r="1198" spans="1:15" x14ac:dyDescent="0.25">
      <c r="A1198" s="765"/>
      <c r="B1198" s="624"/>
      <c r="C1198" s="1061"/>
      <c r="D1198" s="1061"/>
      <c r="E1198" s="1061"/>
      <c r="F1198" s="1061"/>
      <c r="G1198" s="1061"/>
      <c r="H1198" s="1061"/>
      <c r="I1198" s="1061"/>
      <c r="J1198" s="1061"/>
      <c r="K1198" s="1061"/>
      <c r="L1198" s="1061"/>
      <c r="M1198" s="1061"/>
      <c r="N1198" s="1061"/>
      <c r="O1198" s="626"/>
    </row>
    <row r="1199" spans="1:15" x14ac:dyDescent="0.25">
      <c r="A1199" s="765"/>
      <c r="B1199" s="624"/>
      <c r="C1199" s="1061"/>
      <c r="D1199" s="1061"/>
      <c r="E1199" s="1061"/>
      <c r="F1199" s="1061"/>
      <c r="G1199" s="1061"/>
      <c r="H1199" s="1061"/>
      <c r="I1199" s="1061"/>
      <c r="J1199" s="1061"/>
      <c r="K1199" s="1061"/>
      <c r="L1199" s="1061"/>
      <c r="M1199" s="1061"/>
      <c r="N1199" s="1061"/>
      <c r="O1199" s="626"/>
    </row>
    <row r="1200" spans="1:15" x14ac:dyDescent="0.25">
      <c r="A1200" s="765"/>
      <c r="B1200" s="624"/>
      <c r="C1200" s="1061"/>
      <c r="D1200" s="1061"/>
      <c r="E1200" s="1061"/>
      <c r="F1200" s="1061"/>
      <c r="G1200" s="1061"/>
      <c r="H1200" s="1061"/>
      <c r="I1200" s="1061"/>
      <c r="J1200" s="1061"/>
      <c r="K1200" s="1061"/>
      <c r="L1200" s="1061"/>
      <c r="M1200" s="1061"/>
      <c r="N1200" s="1061"/>
      <c r="O1200" s="626"/>
    </row>
    <row r="1201" spans="1:15" x14ac:dyDescent="0.25">
      <c r="A1201" s="765"/>
      <c r="B1201" s="624"/>
      <c r="C1201" s="1061"/>
      <c r="D1201" s="1061"/>
      <c r="E1201" s="1061"/>
      <c r="F1201" s="1061"/>
      <c r="G1201" s="1061"/>
      <c r="H1201" s="1061"/>
      <c r="I1201" s="1061"/>
      <c r="J1201" s="1061"/>
      <c r="K1201" s="1061"/>
      <c r="L1201" s="1061"/>
      <c r="M1201" s="1061"/>
      <c r="N1201" s="1061"/>
      <c r="O1201" s="626"/>
    </row>
    <row r="1202" spans="1:15" x14ac:dyDescent="0.25">
      <c r="A1202" s="765"/>
      <c r="B1202" s="624"/>
      <c r="C1202" s="1061"/>
      <c r="D1202" s="1061"/>
      <c r="E1202" s="1061"/>
      <c r="F1202" s="1061"/>
      <c r="G1202" s="1061"/>
      <c r="H1202" s="1061"/>
      <c r="I1202" s="1061"/>
      <c r="J1202" s="1061"/>
      <c r="K1202" s="1061"/>
      <c r="L1202" s="1061"/>
      <c r="M1202" s="1061"/>
      <c r="N1202" s="1061"/>
      <c r="O1202" s="626"/>
    </row>
    <row r="1203" spans="1:15" x14ac:dyDescent="0.25">
      <c r="A1203" s="765"/>
      <c r="B1203" s="624"/>
      <c r="C1203" s="1061"/>
      <c r="D1203" s="1061"/>
      <c r="E1203" s="1061"/>
      <c r="F1203" s="1061"/>
      <c r="G1203" s="1061"/>
      <c r="H1203" s="1061"/>
      <c r="I1203" s="1061"/>
      <c r="J1203" s="1061"/>
      <c r="K1203" s="1061"/>
      <c r="L1203" s="1061"/>
      <c r="M1203" s="1061"/>
      <c r="N1203" s="1061"/>
      <c r="O1203" s="626"/>
    </row>
    <row r="1204" spans="1:15" x14ac:dyDescent="0.25">
      <c r="A1204" s="765"/>
      <c r="B1204" s="624"/>
      <c r="C1204" s="1061"/>
      <c r="D1204" s="1061"/>
      <c r="E1204" s="1061"/>
      <c r="F1204" s="1061"/>
      <c r="G1204" s="1061"/>
      <c r="H1204" s="1061"/>
      <c r="I1204" s="1061"/>
      <c r="J1204" s="1061"/>
      <c r="K1204" s="1061"/>
      <c r="L1204" s="1061"/>
      <c r="M1204" s="1061"/>
      <c r="N1204" s="1061"/>
      <c r="O1204" s="626"/>
    </row>
    <row r="1205" spans="1:15" x14ac:dyDescent="0.25">
      <c r="A1205" s="765"/>
      <c r="B1205" s="624"/>
      <c r="C1205" s="1061"/>
      <c r="D1205" s="1061"/>
      <c r="E1205" s="1061"/>
      <c r="F1205" s="1061"/>
      <c r="G1205" s="1061"/>
      <c r="H1205" s="1061"/>
      <c r="I1205" s="1061"/>
      <c r="J1205" s="1061"/>
      <c r="K1205" s="1061"/>
      <c r="L1205" s="1061"/>
      <c r="M1205" s="1061"/>
      <c r="N1205" s="1061"/>
      <c r="O1205" s="626"/>
    </row>
    <row r="1206" spans="1:15" x14ac:dyDescent="0.25">
      <c r="A1206" s="765"/>
      <c r="B1206" s="624"/>
      <c r="C1206" s="1061"/>
      <c r="D1206" s="1061"/>
      <c r="E1206" s="1061"/>
      <c r="F1206" s="1061"/>
      <c r="G1206" s="1061"/>
      <c r="H1206" s="1061"/>
      <c r="I1206" s="1061"/>
      <c r="J1206" s="1061"/>
      <c r="K1206" s="1061"/>
      <c r="L1206" s="1061"/>
      <c r="M1206" s="1061"/>
      <c r="N1206" s="1061"/>
      <c r="O1206" s="626"/>
    </row>
    <row r="1207" spans="1:15" x14ac:dyDescent="0.25">
      <c r="A1207" s="765"/>
      <c r="B1207" s="624"/>
      <c r="C1207" s="1061"/>
      <c r="D1207" s="1061"/>
      <c r="E1207" s="1061"/>
      <c r="F1207" s="1061"/>
      <c r="G1207" s="1061"/>
      <c r="H1207" s="1061"/>
      <c r="I1207" s="1061"/>
      <c r="J1207" s="1061"/>
      <c r="K1207" s="1061"/>
      <c r="L1207" s="1061"/>
      <c r="M1207" s="1061"/>
      <c r="N1207" s="1061"/>
      <c r="O1207" s="626"/>
    </row>
    <row r="1208" spans="1:15" x14ac:dyDescent="0.25">
      <c r="A1208" s="765"/>
      <c r="B1208" s="624"/>
      <c r="C1208" s="1061"/>
      <c r="D1208" s="1061"/>
      <c r="E1208" s="1061"/>
      <c r="F1208" s="1061"/>
      <c r="G1208" s="1061"/>
      <c r="H1208" s="1061"/>
      <c r="I1208" s="1061"/>
      <c r="J1208" s="1061"/>
      <c r="K1208" s="1061"/>
      <c r="L1208" s="1061"/>
      <c r="M1208" s="1061"/>
      <c r="N1208" s="1061"/>
      <c r="O1208" s="626"/>
    </row>
    <row r="1209" spans="1:15" x14ac:dyDescent="0.25">
      <c r="A1209" s="765"/>
      <c r="B1209" s="624"/>
      <c r="C1209" s="1061"/>
      <c r="D1209" s="1061"/>
      <c r="E1209" s="1061"/>
      <c r="F1209" s="1061"/>
      <c r="G1209" s="1061"/>
      <c r="H1209" s="1061"/>
      <c r="I1209" s="1061"/>
      <c r="J1209" s="1061"/>
      <c r="K1209" s="1061"/>
      <c r="L1209" s="1061"/>
      <c r="M1209" s="1061"/>
      <c r="N1209" s="1061"/>
      <c r="O1209" s="626"/>
    </row>
    <row r="1210" spans="1:15" x14ac:dyDescent="0.25">
      <c r="A1210" s="765"/>
      <c r="B1210" s="624"/>
      <c r="C1210" s="1061"/>
      <c r="D1210" s="1061"/>
      <c r="E1210" s="1061"/>
      <c r="F1210" s="1061"/>
      <c r="G1210" s="1061"/>
      <c r="H1210" s="1061"/>
      <c r="I1210" s="1061"/>
      <c r="J1210" s="1061"/>
      <c r="K1210" s="1061"/>
      <c r="L1210" s="1061"/>
      <c r="M1210" s="1061"/>
      <c r="N1210" s="1061"/>
      <c r="O1210" s="626"/>
    </row>
    <row r="1211" spans="1:15" x14ac:dyDescent="0.25">
      <c r="A1211" s="765"/>
      <c r="B1211" s="624"/>
      <c r="C1211" s="1061"/>
      <c r="D1211" s="1061"/>
      <c r="E1211" s="1061"/>
      <c r="F1211" s="1061"/>
      <c r="G1211" s="1061"/>
      <c r="H1211" s="1061"/>
      <c r="I1211" s="1061"/>
      <c r="J1211" s="1061"/>
      <c r="K1211" s="1061"/>
      <c r="L1211" s="1061"/>
      <c r="M1211" s="1061"/>
      <c r="N1211" s="1061"/>
      <c r="O1211" s="626"/>
    </row>
    <row r="1212" spans="1:15" x14ac:dyDescent="0.25">
      <c r="A1212" s="765"/>
      <c r="B1212" s="624"/>
      <c r="C1212" s="1061"/>
      <c r="D1212" s="1061"/>
      <c r="E1212" s="1061"/>
      <c r="F1212" s="1061"/>
      <c r="G1212" s="1061"/>
      <c r="H1212" s="1061"/>
      <c r="I1212" s="1061"/>
      <c r="J1212" s="1061"/>
      <c r="K1212" s="1061"/>
      <c r="L1212" s="1061"/>
      <c r="M1212" s="1061"/>
      <c r="N1212" s="1061"/>
      <c r="O1212" s="626"/>
    </row>
    <row r="1213" spans="1:15" x14ac:dyDescent="0.25">
      <c r="A1213" s="765"/>
      <c r="B1213" s="624"/>
      <c r="C1213" s="1061"/>
      <c r="D1213" s="1061"/>
      <c r="E1213" s="1061"/>
      <c r="F1213" s="1061"/>
      <c r="G1213" s="1061"/>
      <c r="H1213" s="1061"/>
      <c r="I1213" s="1061"/>
      <c r="J1213" s="1061"/>
      <c r="K1213" s="1061"/>
      <c r="L1213" s="1061"/>
      <c r="M1213" s="1061"/>
      <c r="N1213" s="1061"/>
      <c r="O1213" s="626"/>
    </row>
    <row r="1214" spans="1:15" x14ac:dyDescent="0.25">
      <c r="A1214" s="765"/>
      <c r="B1214" s="624"/>
      <c r="C1214" s="1061"/>
      <c r="D1214" s="1061"/>
      <c r="E1214" s="1061"/>
      <c r="F1214" s="1061"/>
      <c r="G1214" s="1061"/>
      <c r="H1214" s="1061"/>
      <c r="I1214" s="1061"/>
      <c r="J1214" s="1061"/>
      <c r="K1214" s="1061"/>
      <c r="L1214" s="1061"/>
      <c r="M1214" s="1061"/>
      <c r="N1214" s="1061"/>
      <c r="O1214" s="626"/>
    </row>
    <row r="1215" spans="1:15" x14ac:dyDescent="0.25">
      <c r="A1215" s="765"/>
      <c r="B1215" s="624"/>
      <c r="C1215" s="1061"/>
      <c r="D1215" s="1061"/>
      <c r="E1215" s="1061"/>
      <c r="F1215" s="1061"/>
      <c r="G1215" s="1061"/>
      <c r="H1215" s="1061"/>
      <c r="I1215" s="1061"/>
      <c r="J1215" s="1061"/>
      <c r="K1215" s="1061"/>
      <c r="L1215" s="1061"/>
      <c r="M1215" s="1061"/>
      <c r="N1215" s="1061"/>
      <c r="O1215" s="626"/>
    </row>
    <row r="1216" spans="1:15" x14ac:dyDescent="0.25">
      <c r="A1216" s="765"/>
      <c r="B1216" s="624"/>
      <c r="C1216" s="1061"/>
      <c r="D1216" s="1061"/>
      <c r="E1216" s="1061"/>
      <c r="F1216" s="1061"/>
      <c r="G1216" s="1061"/>
      <c r="H1216" s="1061"/>
      <c r="I1216" s="1061"/>
      <c r="J1216" s="1061"/>
      <c r="K1216" s="1061"/>
      <c r="L1216" s="1061"/>
      <c r="M1216" s="1061"/>
      <c r="N1216" s="1061"/>
      <c r="O1216" s="626"/>
    </row>
    <row r="1217" spans="1:15" x14ac:dyDescent="0.25">
      <c r="A1217" s="765"/>
      <c r="B1217" s="624"/>
      <c r="C1217" s="1061"/>
      <c r="D1217" s="1061"/>
      <c r="E1217" s="1061"/>
      <c r="F1217" s="1061"/>
      <c r="G1217" s="1061"/>
      <c r="H1217" s="1061"/>
      <c r="I1217" s="1061"/>
      <c r="J1217" s="1061"/>
      <c r="K1217" s="1061"/>
      <c r="L1217" s="1061"/>
      <c r="M1217" s="1061"/>
      <c r="N1217" s="1061"/>
      <c r="O1217" s="626"/>
    </row>
    <row r="1218" spans="1:15" x14ac:dyDescent="0.25">
      <c r="A1218" s="765"/>
      <c r="B1218" s="624"/>
      <c r="C1218" s="1061"/>
      <c r="D1218" s="1061"/>
      <c r="E1218" s="1061"/>
      <c r="F1218" s="1061"/>
      <c r="G1218" s="1061"/>
      <c r="H1218" s="1061"/>
      <c r="I1218" s="1061"/>
      <c r="J1218" s="1061"/>
      <c r="K1218" s="1061"/>
      <c r="L1218" s="1061"/>
      <c r="M1218" s="1061"/>
      <c r="N1218" s="1061"/>
      <c r="O1218" s="626"/>
    </row>
    <row r="1219" spans="1:15" x14ac:dyDescent="0.25">
      <c r="A1219" s="765"/>
      <c r="B1219" s="624"/>
      <c r="C1219" s="1061"/>
      <c r="D1219" s="1061"/>
      <c r="E1219" s="1061"/>
      <c r="F1219" s="1061"/>
      <c r="G1219" s="1061"/>
      <c r="H1219" s="1061"/>
      <c r="I1219" s="1061"/>
      <c r="J1219" s="1061"/>
      <c r="K1219" s="1061"/>
      <c r="L1219" s="1061"/>
      <c r="M1219" s="1061"/>
      <c r="N1219" s="1061"/>
      <c r="O1219" s="626"/>
    </row>
    <row r="1220" spans="1:15" x14ac:dyDescent="0.25">
      <c r="A1220" s="765"/>
      <c r="B1220" s="624"/>
      <c r="C1220" s="1061"/>
      <c r="D1220" s="1061"/>
      <c r="E1220" s="1061"/>
      <c r="F1220" s="1061"/>
      <c r="G1220" s="1061"/>
      <c r="H1220" s="1061"/>
      <c r="I1220" s="1061"/>
      <c r="J1220" s="1061"/>
      <c r="K1220" s="1061"/>
      <c r="L1220" s="1061"/>
      <c r="M1220" s="1061"/>
      <c r="N1220" s="1061"/>
      <c r="O1220" s="626"/>
    </row>
    <row r="1221" spans="1:15" x14ac:dyDescent="0.25">
      <c r="A1221" s="765"/>
      <c r="B1221" s="624"/>
      <c r="C1221" s="1061"/>
      <c r="D1221" s="1061"/>
      <c r="E1221" s="1061"/>
      <c r="F1221" s="1061"/>
      <c r="G1221" s="1061"/>
      <c r="H1221" s="1061"/>
      <c r="I1221" s="1061"/>
      <c r="J1221" s="1061"/>
      <c r="K1221" s="1061"/>
      <c r="L1221" s="1061"/>
      <c r="M1221" s="1061"/>
      <c r="N1221" s="1061"/>
      <c r="O1221" s="626"/>
    </row>
    <row r="1222" spans="1:15" x14ac:dyDescent="0.25">
      <c r="A1222" s="765"/>
      <c r="B1222" s="624"/>
      <c r="C1222" s="1061"/>
      <c r="D1222" s="1061"/>
      <c r="E1222" s="1061"/>
      <c r="F1222" s="1061"/>
      <c r="G1222" s="1061"/>
      <c r="H1222" s="1061"/>
      <c r="I1222" s="1061"/>
      <c r="J1222" s="1061"/>
      <c r="K1222" s="1061"/>
      <c r="L1222" s="1061"/>
      <c r="M1222" s="1061"/>
      <c r="N1222" s="1061"/>
      <c r="O1222" s="626"/>
    </row>
    <row r="1223" spans="1:15" x14ac:dyDescent="0.25">
      <c r="A1223" s="765"/>
      <c r="B1223" s="624"/>
      <c r="C1223" s="1061"/>
      <c r="D1223" s="1061"/>
      <c r="E1223" s="1061"/>
      <c r="F1223" s="1061"/>
      <c r="G1223" s="1061"/>
      <c r="H1223" s="1061"/>
      <c r="I1223" s="1061"/>
      <c r="J1223" s="1061"/>
      <c r="K1223" s="1061"/>
      <c r="L1223" s="1061"/>
      <c r="M1223" s="1061"/>
      <c r="N1223" s="1061"/>
      <c r="O1223" s="626"/>
    </row>
    <row r="1224" spans="1:15" x14ac:dyDescent="0.25">
      <c r="A1224" s="765"/>
      <c r="B1224" s="624"/>
      <c r="C1224" s="1061"/>
      <c r="D1224" s="1061"/>
      <c r="E1224" s="1061"/>
      <c r="F1224" s="1061"/>
      <c r="G1224" s="1061"/>
      <c r="H1224" s="1061"/>
      <c r="I1224" s="1061"/>
      <c r="J1224" s="1061"/>
      <c r="K1224" s="1061"/>
      <c r="L1224" s="1061"/>
      <c r="M1224" s="1061"/>
      <c r="N1224" s="1061"/>
      <c r="O1224" s="626"/>
    </row>
    <row r="1225" spans="1:15" x14ac:dyDescent="0.25">
      <c r="A1225" s="765"/>
      <c r="B1225" s="624"/>
      <c r="C1225" s="1061"/>
      <c r="D1225" s="1061"/>
      <c r="E1225" s="1061"/>
      <c r="F1225" s="1061"/>
      <c r="G1225" s="1061"/>
      <c r="H1225" s="1061"/>
      <c r="I1225" s="1061"/>
      <c r="J1225" s="1061"/>
      <c r="K1225" s="1061"/>
      <c r="L1225" s="1061"/>
      <c r="M1225" s="1061"/>
      <c r="N1225" s="1061"/>
      <c r="O1225" s="626"/>
    </row>
    <row r="1226" spans="1:15" x14ac:dyDescent="0.25">
      <c r="A1226" s="765"/>
      <c r="B1226" s="624"/>
      <c r="C1226" s="1061"/>
      <c r="D1226" s="1061"/>
      <c r="E1226" s="1061"/>
      <c r="F1226" s="1061"/>
      <c r="G1226" s="1061"/>
      <c r="H1226" s="1061"/>
      <c r="I1226" s="1061"/>
      <c r="J1226" s="1061"/>
      <c r="K1226" s="1061"/>
      <c r="L1226" s="1061"/>
      <c r="M1226" s="1061"/>
      <c r="N1226" s="1061"/>
      <c r="O1226" s="626"/>
    </row>
    <row r="1227" spans="1:15" x14ac:dyDescent="0.25">
      <c r="A1227" s="765"/>
      <c r="B1227" s="624"/>
      <c r="C1227" s="1061"/>
      <c r="D1227" s="1061"/>
      <c r="E1227" s="1061"/>
      <c r="F1227" s="1061"/>
      <c r="G1227" s="1061"/>
      <c r="H1227" s="1061"/>
      <c r="I1227" s="1061"/>
      <c r="J1227" s="1061"/>
      <c r="K1227" s="1061"/>
      <c r="L1227" s="1061"/>
      <c r="M1227" s="1061"/>
      <c r="N1227" s="1061"/>
      <c r="O1227" s="626"/>
    </row>
    <row r="1228" spans="1:15" x14ac:dyDescent="0.25">
      <c r="A1228" s="765"/>
      <c r="B1228" s="624"/>
      <c r="C1228" s="1061"/>
      <c r="D1228" s="1061"/>
      <c r="E1228" s="1061"/>
      <c r="F1228" s="1061"/>
      <c r="G1228" s="1061"/>
      <c r="H1228" s="1061"/>
      <c r="I1228" s="1061"/>
      <c r="J1228" s="1061"/>
      <c r="K1228" s="1061"/>
      <c r="L1228" s="1061"/>
      <c r="M1228" s="1061"/>
      <c r="N1228" s="1061"/>
      <c r="O1228" s="626"/>
    </row>
    <row r="1229" spans="1:15" x14ac:dyDescent="0.25">
      <c r="A1229" s="765"/>
      <c r="B1229" s="624"/>
      <c r="C1229" s="1061"/>
      <c r="D1229" s="1061"/>
      <c r="E1229" s="1061"/>
      <c r="F1229" s="1061"/>
      <c r="G1229" s="1061"/>
      <c r="H1229" s="1061"/>
      <c r="I1229" s="1061"/>
      <c r="J1229" s="1061"/>
      <c r="K1229" s="1061"/>
      <c r="L1229" s="1061"/>
      <c r="M1229" s="1061"/>
      <c r="N1229" s="1061"/>
      <c r="O1229" s="626"/>
    </row>
    <row r="1230" spans="1:15" x14ac:dyDescent="0.25">
      <c r="A1230" s="765"/>
      <c r="B1230" s="624"/>
      <c r="C1230" s="1061"/>
      <c r="D1230" s="1061"/>
      <c r="E1230" s="1061"/>
      <c r="F1230" s="1061"/>
      <c r="G1230" s="1061"/>
      <c r="H1230" s="1061"/>
      <c r="I1230" s="1061"/>
      <c r="J1230" s="1061"/>
      <c r="K1230" s="1061"/>
      <c r="L1230" s="1061"/>
      <c r="M1230" s="1061"/>
      <c r="N1230" s="1061"/>
      <c r="O1230" s="626"/>
    </row>
    <row r="1231" spans="1:15" x14ac:dyDescent="0.25">
      <c r="A1231" s="765"/>
      <c r="B1231" s="624"/>
      <c r="C1231" s="1061"/>
      <c r="D1231" s="1061"/>
      <c r="E1231" s="1061"/>
      <c r="F1231" s="1061"/>
      <c r="G1231" s="1061"/>
      <c r="H1231" s="1061"/>
      <c r="I1231" s="1061"/>
      <c r="J1231" s="1061"/>
      <c r="K1231" s="1061"/>
      <c r="L1231" s="1061"/>
      <c r="M1231" s="1061"/>
      <c r="N1231" s="1061"/>
      <c r="O1231" s="626"/>
    </row>
    <row r="1232" spans="1:15" x14ac:dyDescent="0.25">
      <c r="A1232" s="765"/>
      <c r="B1232" s="624"/>
      <c r="C1232" s="1061"/>
      <c r="D1232" s="1061"/>
      <c r="E1232" s="1061"/>
      <c r="F1232" s="1061"/>
      <c r="G1232" s="1061"/>
      <c r="H1232" s="1061"/>
      <c r="I1232" s="1061"/>
      <c r="J1232" s="1061"/>
      <c r="K1232" s="1061"/>
      <c r="L1232" s="1061"/>
      <c r="M1232" s="1061"/>
      <c r="N1232" s="1061"/>
      <c r="O1232" s="626"/>
    </row>
    <row r="1233" spans="1:15" x14ac:dyDescent="0.25">
      <c r="A1233" s="765"/>
      <c r="B1233" s="624"/>
      <c r="C1233" s="1061"/>
      <c r="D1233" s="1061"/>
      <c r="E1233" s="1061"/>
      <c r="F1233" s="1061"/>
      <c r="G1233" s="1061"/>
      <c r="H1233" s="1061"/>
      <c r="I1233" s="1061"/>
      <c r="J1233" s="1061"/>
      <c r="K1233" s="1061"/>
      <c r="L1233" s="1061"/>
      <c r="M1233" s="1061"/>
      <c r="N1233" s="1061"/>
      <c r="O1233" s="626"/>
    </row>
    <row r="1234" spans="1:15" x14ac:dyDescent="0.25">
      <c r="A1234" s="765"/>
      <c r="B1234" s="624"/>
      <c r="C1234" s="1061"/>
      <c r="D1234" s="1061"/>
      <c r="E1234" s="1061"/>
      <c r="F1234" s="1061"/>
      <c r="G1234" s="1061"/>
      <c r="H1234" s="1061"/>
      <c r="I1234" s="1061"/>
      <c r="J1234" s="1061"/>
      <c r="K1234" s="1061"/>
      <c r="L1234" s="1061"/>
      <c r="M1234" s="1061"/>
      <c r="N1234" s="1061"/>
      <c r="O1234" s="626"/>
    </row>
    <row r="1235" spans="1:15" x14ac:dyDescent="0.25">
      <c r="A1235" s="765"/>
      <c r="B1235" s="624"/>
      <c r="C1235" s="1061"/>
      <c r="D1235" s="1061"/>
      <c r="E1235" s="1061"/>
      <c r="F1235" s="1061"/>
      <c r="G1235" s="1061"/>
      <c r="H1235" s="1061"/>
      <c r="I1235" s="1061"/>
      <c r="J1235" s="1061"/>
      <c r="K1235" s="1061"/>
      <c r="L1235" s="1061"/>
      <c r="M1235" s="1061"/>
      <c r="N1235" s="1061"/>
      <c r="O1235" s="626"/>
    </row>
    <row r="1236" spans="1:15" x14ac:dyDescent="0.25">
      <c r="A1236" s="765"/>
      <c r="B1236" s="624"/>
      <c r="C1236" s="1061"/>
      <c r="D1236" s="1061"/>
      <c r="E1236" s="1061"/>
      <c r="F1236" s="1061"/>
      <c r="G1236" s="1061"/>
      <c r="H1236" s="1061"/>
      <c r="I1236" s="1061"/>
      <c r="J1236" s="1061"/>
      <c r="K1236" s="1061"/>
      <c r="L1236" s="1061"/>
      <c r="M1236" s="1061"/>
      <c r="N1236" s="1061"/>
      <c r="O1236" s="626"/>
    </row>
    <row r="1237" spans="1:15" x14ac:dyDescent="0.25">
      <c r="A1237" s="765"/>
      <c r="B1237" s="624"/>
      <c r="C1237" s="1061"/>
      <c r="D1237" s="1061"/>
      <c r="E1237" s="1061"/>
      <c r="F1237" s="1061"/>
      <c r="G1237" s="1061"/>
      <c r="H1237" s="1061"/>
      <c r="I1237" s="1061"/>
      <c r="J1237" s="1061"/>
      <c r="K1237" s="1061"/>
      <c r="L1237" s="1061"/>
      <c r="M1237" s="1061"/>
      <c r="N1237" s="1061"/>
      <c r="O1237" s="626"/>
    </row>
    <row r="1238" spans="1:15" x14ac:dyDescent="0.25">
      <c r="A1238" s="765"/>
      <c r="B1238" s="624"/>
      <c r="C1238" s="1061"/>
      <c r="D1238" s="1061"/>
      <c r="E1238" s="1061"/>
      <c r="F1238" s="1061"/>
      <c r="G1238" s="1061"/>
      <c r="H1238" s="1061"/>
      <c r="I1238" s="1061"/>
      <c r="J1238" s="1061"/>
      <c r="K1238" s="1061"/>
      <c r="L1238" s="1061"/>
      <c r="M1238" s="1061"/>
      <c r="N1238" s="1061"/>
      <c r="O1238" s="626"/>
    </row>
    <row r="1239" spans="1:15" x14ac:dyDescent="0.25">
      <c r="A1239" s="765"/>
      <c r="B1239" s="624"/>
      <c r="C1239" s="1061"/>
      <c r="D1239" s="1061"/>
      <c r="E1239" s="1061"/>
      <c r="F1239" s="1061"/>
      <c r="G1239" s="1061"/>
      <c r="H1239" s="1061"/>
      <c r="I1239" s="1061"/>
      <c r="J1239" s="1061"/>
      <c r="K1239" s="1061"/>
      <c r="L1239" s="1061"/>
      <c r="M1239" s="1061"/>
      <c r="N1239" s="1061"/>
      <c r="O1239" s="626"/>
    </row>
    <row r="1240" spans="1:15" x14ac:dyDescent="0.25">
      <c r="A1240" s="765"/>
      <c r="B1240" s="624"/>
      <c r="C1240" s="1061"/>
      <c r="D1240" s="1061"/>
      <c r="E1240" s="1061"/>
      <c r="F1240" s="1061"/>
      <c r="G1240" s="1061"/>
      <c r="H1240" s="1061"/>
      <c r="I1240" s="1061"/>
      <c r="J1240" s="1061"/>
      <c r="K1240" s="1061"/>
      <c r="L1240" s="1061"/>
      <c r="M1240" s="1061"/>
      <c r="N1240" s="1061"/>
      <c r="O1240" s="626"/>
    </row>
    <row r="1241" spans="1:15" x14ac:dyDescent="0.25">
      <c r="A1241" s="765"/>
      <c r="B1241" s="624"/>
      <c r="C1241" s="1061"/>
      <c r="D1241" s="1061"/>
      <c r="E1241" s="1061"/>
      <c r="F1241" s="1061"/>
      <c r="G1241" s="1061"/>
      <c r="H1241" s="1061"/>
      <c r="I1241" s="1061"/>
      <c r="J1241" s="1061"/>
      <c r="K1241" s="1061"/>
      <c r="L1241" s="1061"/>
      <c r="M1241" s="1061"/>
      <c r="N1241" s="1061"/>
      <c r="O1241" s="626"/>
    </row>
    <row r="1242" spans="1:15" x14ac:dyDescent="0.25">
      <c r="A1242" s="765"/>
      <c r="B1242" s="624"/>
      <c r="C1242" s="1061"/>
      <c r="D1242" s="1061"/>
      <c r="E1242" s="1061"/>
      <c r="F1242" s="1061"/>
      <c r="G1242" s="1061"/>
      <c r="H1242" s="1061"/>
      <c r="I1242" s="1061"/>
      <c r="J1242" s="1061"/>
      <c r="K1242" s="1061"/>
      <c r="L1242" s="1061"/>
      <c r="M1242" s="1061"/>
      <c r="N1242" s="1061"/>
      <c r="O1242" s="626"/>
    </row>
    <row r="1243" spans="1:15" x14ac:dyDescent="0.25">
      <c r="A1243" s="765"/>
      <c r="B1243" s="624"/>
      <c r="C1243" s="1061"/>
      <c r="D1243" s="1061"/>
      <c r="E1243" s="1061"/>
      <c r="F1243" s="1061"/>
      <c r="G1243" s="1061"/>
      <c r="H1243" s="1061"/>
      <c r="I1243" s="1061"/>
      <c r="J1243" s="1061"/>
      <c r="K1243" s="1061"/>
      <c r="L1243" s="1061"/>
      <c r="M1243" s="1061"/>
      <c r="N1243" s="1061"/>
      <c r="O1243" s="626"/>
    </row>
    <row r="1244" spans="1:15" x14ac:dyDescent="0.25">
      <c r="A1244" s="765"/>
      <c r="B1244" s="624"/>
      <c r="C1244" s="1061"/>
      <c r="D1244" s="1061"/>
      <c r="E1244" s="1061"/>
      <c r="F1244" s="1061"/>
      <c r="G1244" s="1061"/>
      <c r="H1244" s="1061"/>
      <c r="I1244" s="1061"/>
      <c r="J1244" s="1061"/>
      <c r="K1244" s="1061"/>
      <c r="L1244" s="1061"/>
      <c r="M1244" s="1061"/>
      <c r="N1244" s="1061"/>
      <c r="O1244" s="626"/>
    </row>
    <row r="1245" spans="1:15" x14ac:dyDescent="0.25">
      <c r="A1245" s="765"/>
      <c r="B1245" s="624"/>
      <c r="C1245" s="1061"/>
      <c r="D1245" s="1061"/>
      <c r="E1245" s="1061"/>
      <c r="F1245" s="1061"/>
      <c r="G1245" s="1061"/>
      <c r="H1245" s="1061"/>
      <c r="I1245" s="1061"/>
      <c r="J1245" s="1061"/>
      <c r="K1245" s="1061"/>
      <c r="L1245" s="1061"/>
      <c r="M1245" s="1061"/>
      <c r="N1245" s="1061"/>
      <c r="O1245" s="626"/>
    </row>
    <row r="1246" spans="1:15" x14ac:dyDescent="0.25">
      <c r="A1246" s="765"/>
      <c r="B1246" s="624"/>
      <c r="C1246" s="1061"/>
      <c r="D1246" s="1061"/>
      <c r="E1246" s="1061"/>
      <c r="F1246" s="1061"/>
      <c r="G1246" s="1061"/>
      <c r="H1246" s="1061"/>
      <c r="I1246" s="1061"/>
      <c r="J1246" s="1061"/>
      <c r="K1246" s="1061"/>
      <c r="L1246" s="1061"/>
      <c r="M1246" s="1061"/>
      <c r="N1246" s="1061"/>
      <c r="O1246" s="626"/>
    </row>
    <row r="1247" spans="1:15" x14ac:dyDescent="0.25">
      <c r="A1247" s="765"/>
      <c r="B1247" s="624"/>
      <c r="C1247" s="1061"/>
      <c r="D1247" s="1061"/>
      <c r="E1247" s="1061"/>
      <c r="F1247" s="1061"/>
      <c r="G1247" s="1061"/>
      <c r="H1247" s="1061"/>
      <c r="I1247" s="1061"/>
      <c r="J1247" s="1061"/>
      <c r="K1247" s="1061"/>
      <c r="L1247" s="1061"/>
      <c r="M1247" s="1061"/>
      <c r="N1247" s="1061"/>
      <c r="O1247" s="626"/>
    </row>
    <row r="1248" spans="1:15" x14ac:dyDescent="0.25">
      <c r="A1248" s="765"/>
      <c r="B1248" s="624"/>
      <c r="C1248" s="1061"/>
      <c r="D1248" s="1061"/>
      <c r="E1248" s="1061"/>
      <c r="F1248" s="1061"/>
      <c r="G1248" s="1061"/>
      <c r="H1248" s="1061"/>
      <c r="I1248" s="1061"/>
      <c r="J1248" s="1061"/>
      <c r="K1248" s="1061"/>
      <c r="L1248" s="1061"/>
      <c r="M1248" s="1061"/>
      <c r="N1248" s="1061"/>
      <c r="O1248" s="626"/>
    </row>
    <row r="1249" spans="1:15" x14ac:dyDescent="0.25">
      <c r="A1249" s="765"/>
      <c r="B1249" s="624"/>
      <c r="C1249" s="1061"/>
      <c r="D1249" s="1061"/>
      <c r="E1249" s="1061"/>
      <c r="F1249" s="1061"/>
      <c r="G1249" s="1061"/>
      <c r="H1249" s="1061"/>
      <c r="I1249" s="1061"/>
      <c r="J1249" s="1061"/>
      <c r="K1249" s="1061"/>
      <c r="L1249" s="1061"/>
      <c r="M1249" s="1061"/>
      <c r="N1249" s="1061"/>
      <c r="O1249" s="626"/>
    </row>
    <row r="1250" spans="1:15" x14ac:dyDescent="0.25">
      <c r="A1250" s="765"/>
      <c r="B1250" s="624"/>
      <c r="C1250" s="1061"/>
      <c r="D1250" s="1061"/>
      <c r="E1250" s="1061"/>
      <c r="F1250" s="1061"/>
      <c r="G1250" s="1061"/>
      <c r="H1250" s="1061"/>
      <c r="I1250" s="1061"/>
      <c r="J1250" s="1061"/>
      <c r="K1250" s="1061"/>
      <c r="L1250" s="1061"/>
      <c r="M1250" s="1061"/>
      <c r="N1250" s="1061"/>
      <c r="O1250" s="626"/>
    </row>
    <row r="1251" spans="1:15" x14ac:dyDescent="0.25">
      <c r="A1251" s="765"/>
      <c r="B1251" s="624"/>
      <c r="C1251" s="1061"/>
      <c r="D1251" s="1061"/>
      <c r="E1251" s="1061"/>
      <c r="F1251" s="1061"/>
      <c r="G1251" s="1061"/>
      <c r="H1251" s="1061"/>
      <c r="I1251" s="1061"/>
      <c r="J1251" s="1061"/>
      <c r="K1251" s="1061"/>
      <c r="L1251" s="1061"/>
      <c r="M1251" s="1061"/>
      <c r="N1251" s="1061"/>
      <c r="O1251" s="626"/>
    </row>
    <row r="1252" spans="1:15" x14ac:dyDescent="0.25">
      <c r="A1252" s="765"/>
      <c r="B1252" s="624"/>
      <c r="C1252" s="1061"/>
      <c r="D1252" s="1061"/>
      <c r="E1252" s="1061"/>
      <c r="F1252" s="1061"/>
      <c r="G1252" s="1061"/>
      <c r="H1252" s="1061"/>
      <c r="I1252" s="1061"/>
      <c r="J1252" s="1061"/>
      <c r="K1252" s="1061"/>
      <c r="L1252" s="1061"/>
      <c r="M1252" s="1061"/>
      <c r="N1252" s="1061"/>
      <c r="O1252" s="626"/>
    </row>
    <row r="1253" spans="1:15" x14ac:dyDescent="0.25">
      <c r="A1253" s="765"/>
      <c r="B1253" s="624"/>
      <c r="C1253" s="1061"/>
      <c r="D1253" s="1061"/>
      <c r="E1253" s="1061"/>
      <c r="F1253" s="1061"/>
      <c r="G1253" s="1061"/>
      <c r="H1253" s="1061"/>
      <c r="I1253" s="1061"/>
      <c r="J1253" s="1061"/>
      <c r="K1253" s="1061"/>
      <c r="L1253" s="1061"/>
      <c r="M1253" s="1061"/>
      <c r="N1253" s="1061"/>
      <c r="O1253" s="626"/>
    </row>
    <row r="1254" spans="1:15" x14ac:dyDescent="0.25">
      <c r="A1254" s="765"/>
      <c r="B1254" s="624"/>
      <c r="C1254" s="1061"/>
      <c r="D1254" s="1061"/>
      <c r="E1254" s="1061"/>
      <c r="F1254" s="1061"/>
      <c r="G1254" s="1061"/>
      <c r="H1254" s="1061"/>
      <c r="I1254" s="1061"/>
      <c r="J1254" s="1061"/>
      <c r="K1254" s="1061"/>
      <c r="L1254" s="1061"/>
      <c r="M1254" s="1061"/>
      <c r="N1254" s="1061"/>
      <c r="O1254" s="626"/>
    </row>
    <row r="1255" spans="1:15" x14ac:dyDescent="0.25">
      <c r="A1255" s="765"/>
      <c r="B1255" s="624"/>
      <c r="C1255" s="1061"/>
      <c r="D1255" s="1061"/>
      <c r="E1255" s="1061"/>
      <c r="F1255" s="1061"/>
      <c r="G1255" s="1061"/>
      <c r="H1255" s="1061"/>
      <c r="I1255" s="1061"/>
      <c r="J1255" s="1061"/>
      <c r="K1255" s="1061"/>
      <c r="L1255" s="1061"/>
      <c r="M1255" s="1061"/>
      <c r="N1255" s="1061"/>
      <c r="O1255" s="626"/>
    </row>
    <row r="1256" spans="1:15" x14ac:dyDescent="0.25">
      <c r="A1256" s="765"/>
      <c r="B1256" s="624"/>
      <c r="C1256" s="1061"/>
      <c r="D1256" s="1061"/>
      <c r="E1256" s="1061"/>
      <c r="F1256" s="1061"/>
      <c r="G1256" s="1061"/>
      <c r="H1256" s="1061"/>
      <c r="I1256" s="1061"/>
      <c r="J1256" s="1061"/>
      <c r="K1256" s="1061"/>
      <c r="L1256" s="1061"/>
      <c r="M1256" s="1061"/>
      <c r="N1256" s="1061"/>
      <c r="O1256" s="626"/>
    </row>
    <row r="1257" spans="1:15" x14ac:dyDescent="0.25">
      <c r="A1257" s="765"/>
      <c r="B1257" s="624"/>
      <c r="C1257" s="1061"/>
      <c r="D1257" s="1061"/>
      <c r="E1257" s="1061"/>
      <c r="F1257" s="1061"/>
      <c r="G1257" s="1061"/>
      <c r="H1257" s="1061"/>
      <c r="I1257" s="1061"/>
      <c r="J1257" s="1061"/>
      <c r="K1257" s="1061"/>
      <c r="L1257" s="1061"/>
      <c r="M1257" s="1061"/>
      <c r="N1257" s="1061"/>
      <c r="O1257" s="626"/>
    </row>
    <row r="1258" spans="1:15" x14ac:dyDescent="0.25">
      <c r="A1258" s="765"/>
      <c r="B1258" s="624"/>
      <c r="C1258" s="1061"/>
      <c r="D1258" s="1061"/>
      <c r="E1258" s="1061"/>
      <c r="F1258" s="1061"/>
      <c r="G1258" s="1061"/>
      <c r="H1258" s="1061"/>
      <c r="I1258" s="1061"/>
      <c r="J1258" s="1061"/>
      <c r="K1258" s="1061"/>
      <c r="L1258" s="1061"/>
      <c r="M1258" s="1061"/>
      <c r="N1258" s="1061"/>
      <c r="O1258" s="626"/>
    </row>
    <row r="1259" spans="1:15" x14ac:dyDescent="0.25">
      <c r="A1259" s="765"/>
      <c r="B1259" s="624"/>
      <c r="C1259" s="1061"/>
      <c r="D1259" s="1061"/>
      <c r="E1259" s="1061"/>
      <c r="F1259" s="1061"/>
      <c r="G1259" s="1061"/>
      <c r="H1259" s="1061"/>
      <c r="I1259" s="1061"/>
      <c r="J1259" s="1061"/>
      <c r="K1259" s="1061"/>
      <c r="L1259" s="1061"/>
      <c r="M1259" s="1061"/>
      <c r="N1259" s="1061"/>
      <c r="O1259" s="626"/>
    </row>
    <row r="1260" spans="1:15" x14ac:dyDescent="0.25">
      <c r="A1260" s="765"/>
      <c r="B1260" s="624"/>
      <c r="C1260" s="1061"/>
      <c r="D1260" s="1061"/>
      <c r="E1260" s="1061"/>
      <c r="F1260" s="1061"/>
      <c r="G1260" s="1061"/>
      <c r="H1260" s="1061"/>
      <c r="I1260" s="1061"/>
      <c r="J1260" s="1061"/>
      <c r="K1260" s="1061"/>
      <c r="L1260" s="1061"/>
      <c r="M1260" s="1061"/>
      <c r="N1260" s="1061"/>
      <c r="O1260" s="626"/>
    </row>
    <row r="1261" spans="1:15" x14ac:dyDescent="0.25">
      <c r="A1261" s="765"/>
      <c r="B1261" s="624"/>
      <c r="C1261" s="1061"/>
      <c r="D1261" s="1061"/>
      <c r="E1261" s="1061"/>
      <c r="F1261" s="1061"/>
      <c r="G1261" s="1061"/>
      <c r="H1261" s="1061"/>
      <c r="I1261" s="1061"/>
      <c r="J1261" s="1061"/>
      <c r="K1261" s="1061"/>
      <c r="L1261" s="1061"/>
      <c r="M1261" s="1061"/>
      <c r="N1261" s="1061"/>
      <c r="O1261" s="626"/>
    </row>
    <row r="1262" spans="1:15" x14ac:dyDescent="0.25">
      <c r="A1262" s="765"/>
      <c r="B1262" s="624"/>
      <c r="C1262" s="1061"/>
      <c r="D1262" s="1061"/>
      <c r="E1262" s="1061"/>
      <c r="F1262" s="1061"/>
      <c r="G1262" s="1061"/>
      <c r="H1262" s="1061"/>
      <c r="I1262" s="1061"/>
      <c r="J1262" s="1061"/>
      <c r="K1262" s="1061"/>
      <c r="L1262" s="1061"/>
      <c r="M1262" s="1061"/>
      <c r="N1262" s="1061"/>
      <c r="O1262" s="626"/>
    </row>
    <row r="1263" spans="1:15" x14ac:dyDescent="0.25">
      <c r="A1263" s="765"/>
      <c r="B1263" s="624"/>
      <c r="C1263" s="1061"/>
      <c r="D1263" s="1061"/>
      <c r="E1263" s="1061"/>
      <c r="F1263" s="1061"/>
      <c r="G1263" s="1061"/>
      <c r="H1263" s="1061"/>
      <c r="I1263" s="1061"/>
      <c r="J1263" s="1061"/>
      <c r="K1263" s="1061"/>
      <c r="L1263" s="1061"/>
      <c r="M1263" s="1061"/>
      <c r="N1263" s="1061"/>
      <c r="O1263" s="626"/>
    </row>
    <row r="1264" spans="1:15" x14ac:dyDescent="0.25">
      <c r="A1264" s="765"/>
      <c r="B1264" s="624"/>
      <c r="C1264" s="1061"/>
      <c r="D1264" s="1061"/>
      <c r="E1264" s="1061"/>
      <c r="F1264" s="1061"/>
      <c r="G1264" s="1061"/>
      <c r="H1264" s="1061"/>
      <c r="I1264" s="1061"/>
      <c r="J1264" s="1061"/>
      <c r="K1264" s="1061"/>
      <c r="L1264" s="1061"/>
      <c r="M1264" s="1061"/>
      <c r="N1264" s="1061"/>
      <c r="O1264" s="626"/>
    </row>
    <row r="1265" spans="1:15" x14ac:dyDescent="0.25">
      <c r="A1265" s="765"/>
      <c r="B1265" s="624"/>
      <c r="C1265" s="1061"/>
      <c r="D1265" s="1061"/>
      <c r="E1265" s="1061"/>
      <c r="F1265" s="1061"/>
      <c r="G1265" s="1061"/>
      <c r="H1265" s="1061"/>
      <c r="I1265" s="1061"/>
      <c r="J1265" s="1061"/>
      <c r="K1265" s="1061"/>
      <c r="L1265" s="1061"/>
      <c r="M1265" s="1061"/>
      <c r="N1265" s="1061"/>
      <c r="O1265" s="626"/>
    </row>
    <row r="1266" spans="1:15" x14ac:dyDescent="0.25">
      <c r="A1266" s="765"/>
      <c r="B1266" s="624"/>
      <c r="C1266" s="1061"/>
      <c r="D1266" s="1061"/>
      <c r="E1266" s="1061"/>
      <c r="F1266" s="1061"/>
      <c r="G1266" s="1061"/>
      <c r="H1266" s="1061"/>
      <c r="I1266" s="1061"/>
      <c r="J1266" s="1061"/>
      <c r="K1266" s="1061"/>
      <c r="L1266" s="1061"/>
      <c r="M1266" s="1061"/>
      <c r="N1266" s="1061"/>
      <c r="O1266" s="626"/>
    </row>
    <row r="1267" spans="1:15" x14ac:dyDescent="0.25">
      <c r="A1267" s="765"/>
      <c r="B1267" s="624"/>
      <c r="C1267" s="1061"/>
      <c r="D1267" s="1061"/>
      <c r="E1267" s="1061"/>
      <c r="F1267" s="1061"/>
      <c r="G1267" s="1061"/>
      <c r="H1267" s="1061"/>
      <c r="I1267" s="1061"/>
      <c r="J1267" s="1061"/>
      <c r="K1267" s="1061"/>
      <c r="L1267" s="1061"/>
      <c r="M1267" s="1061"/>
      <c r="N1267" s="1061"/>
      <c r="O1267" s="626"/>
    </row>
    <row r="1268" spans="1:15" x14ac:dyDescent="0.25">
      <c r="A1268" s="765"/>
      <c r="B1268" s="624"/>
      <c r="C1268" s="1061"/>
      <c r="D1268" s="1061"/>
      <c r="E1268" s="1061"/>
      <c r="F1268" s="1061"/>
      <c r="G1268" s="1061"/>
      <c r="H1268" s="1061"/>
      <c r="I1268" s="1061"/>
      <c r="J1268" s="1061"/>
      <c r="K1268" s="1061"/>
      <c r="L1268" s="1061"/>
      <c r="M1268" s="1061"/>
      <c r="N1268" s="1061"/>
      <c r="O1268" s="626"/>
    </row>
    <row r="1269" spans="1:15" x14ac:dyDescent="0.25">
      <c r="A1269" s="765"/>
      <c r="B1269" s="624"/>
      <c r="C1269" s="1061"/>
      <c r="D1269" s="1061"/>
      <c r="E1269" s="1061"/>
      <c r="F1269" s="1061"/>
      <c r="G1269" s="1061"/>
      <c r="H1269" s="1061"/>
      <c r="I1269" s="1061"/>
      <c r="J1269" s="1061"/>
      <c r="K1269" s="1061"/>
      <c r="L1269" s="1061"/>
      <c r="M1269" s="1061"/>
      <c r="N1269" s="1061"/>
      <c r="O1269" s="626"/>
    </row>
    <row r="1270" spans="1:15" x14ac:dyDescent="0.25">
      <c r="A1270" s="765"/>
      <c r="B1270" s="624"/>
      <c r="C1270" s="1061"/>
      <c r="D1270" s="1061"/>
      <c r="E1270" s="1061"/>
      <c r="F1270" s="1061"/>
      <c r="G1270" s="1061"/>
      <c r="H1270" s="1061"/>
      <c r="I1270" s="1061"/>
      <c r="J1270" s="1061"/>
      <c r="K1270" s="1061"/>
      <c r="L1270" s="1061"/>
      <c r="M1270" s="1061"/>
      <c r="N1270" s="1061"/>
      <c r="O1270" s="626"/>
    </row>
    <row r="1271" spans="1:15" x14ac:dyDescent="0.25">
      <c r="A1271" s="765"/>
      <c r="B1271" s="624"/>
      <c r="C1271" s="1061"/>
      <c r="D1271" s="1061"/>
      <c r="E1271" s="1061"/>
      <c r="F1271" s="1061"/>
      <c r="G1271" s="1061"/>
      <c r="H1271" s="1061"/>
      <c r="I1271" s="1061"/>
      <c r="J1271" s="1061"/>
      <c r="K1271" s="1061"/>
      <c r="L1271" s="1061"/>
      <c r="M1271" s="1061"/>
      <c r="N1271" s="1061"/>
      <c r="O1271" s="626"/>
    </row>
    <row r="1272" spans="1:15" x14ac:dyDescent="0.25">
      <c r="A1272" s="765"/>
      <c r="B1272" s="624"/>
      <c r="C1272" s="1061"/>
      <c r="D1272" s="1061"/>
      <c r="E1272" s="1061"/>
      <c r="F1272" s="1061"/>
      <c r="G1272" s="1061"/>
      <c r="H1272" s="1061"/>
      <c r="I1272" s="1061"/>
      <c r="J1272" s="1061"/>
      <c r="K1272" s="1061"/>
      <c r="L1272" s="1061"/>
      <c r="M1272" s="1061"/>
      <c r="N1272" s="1061"/>
      <c r="O1272" s="626"/>
    </row>
    <row r="1273" spans="1:15" x14ac:dyDescent="0.25">
      <c r="A1273" s="765"/>
      <c r="B1273" s="624"/>
      <c r="C1273" s="1061"/>
      <c r="D1273" s="1061"/>
      <c r="E1273" s="1061"/>
      <c r="F1273" s="1061"/>
      <c r="G1273" s="1061"/>
      <c r="H1273" s="1061"/>
      <c r="I1273" s="1061"/>
      <c r="J1273" s="1061"/>
      <c r="K1273" s="1061"/>
      <c r="L1273" s="1061"/>
      <c r="M1273" s="1061"/>
      <c r="N1273" s="1061"/>
      <c r="O1273" s="626"/>
    </row>
    <row r="1274" spans="1:15" x14ac:dyDescent="0.25">
      <c r="A1274" s="765"/>
      <c r="B1274" s="624"/>
      <c r="C1274" s="1061"/>
      <c r="D1274" s="1061"/>
      <c r="E1274" s="1061"/>
      <c r="F1274" s="1061"/>
      <c r="G1274" s="1061"/>
      <c r="H1274" s="1061"/>
      <c r="I1274" s="1061"/>
      <c r="J1274" s="1061"/>
      <c r="K1274" s="1061"/>
      <c r="L1274" s="1061"/>
      <c r="M1274" s="1061"/>
      <c r="N1274" s="1061"/>
      <c r="O1274" s="626"/>
    </row>
    <row r="1275" spans="1:15" x14ac:dyDescent="0.25">
      <c r="A1275" s="765"/>
      <c r="B1275" s="624"/>
      <c r="C1275" s="1061"/>
      <c r="D1275" s="1061"/>
      <c r="E1275" s="1061"/>
      <c r="F1275" s="1061"/>
      <c r="G1275" s="1061"/>
      <c r="H1275" s="1061"/>
      <c r="I1275" s="1061"/>
      <c r="J1275" s="1061"/>
      <c r="K1275" s="1061"/>
      <c r="L1275" s="1061"/>
      <c r="M1275" s="1061"/>
      <c r="N1275" s="1061"/>
      <c r="O1275" s="626"/>
    </row>
    <row r="1276" spans="1:15" x14ac:dyDescent="0.25">
      <c r="A1276" s="765"/>
      <c r="B1276" s="624"/>
      <c r="C1276" s="1061"/>
      <c r="D1276" s="1061"/>
      <c r="E1276" s="1061"/>
      <c r="F1276" s="1061"/>
      <c r="G1276" s="1061"/>
      <c r="H1276" s="1061"/>
      <c r="I1276" s="1061"/>
      <c r="J1276" s="1061"/>
      <c r="K1276" s="1061"/>
      <c r="L1276" s="1061"/>
      <c r="M1276" s="1061"/>
      <c r="N1276" s="1061"/>
      <c r="O1276" s="626"/>
    </row>
    <row r="1277" spans="1:15" x14ac:dyDescent="0.25">
      <c r="A1277" s="765"/>
      <c r="B1277" s="624"/>
      <c r="C1277" s="1061"/>
      <c r="D1277" s="1061"/>
      <c r="E1277" s="1061"/>
      <c r="F1277" s="1061"/>
      <c r="G1277" s="1061"/>
      <c r="H1277" s="1061"/>
      <c r="I1277" s="1061"/>
      <c r="J1277" s="1061"/>
      <c r="K1277" s="1061"/>
      <c r="L1277" s="1061"/>
      <c r="M1277" s="1061"/>
      <c r="N1277" s="1061"/>
      <c r="O1277" s="626"/>
    </row>
    <row r="1278" spans="1:15" x14ac:dyDescent="0.25">
      <c r="A1278" s="765"/>
      <c r="B1278" s="624"/>
      <c r="C1278" s="1061"/>
      <c r="D1278" s="1061"/>
      <c r="E1278" s="1061"/>
      <c r="F1278" s="1061"/>
      <c r="G1278" s="1061"/>
      <c r="H1278" s="1061"/>
      <c r="I1278" s="1061"/>
      <c r="J1278" s="1061"/>
      <c r="K1278" s="1061"/>
      <c r="L1278" s="1061"/>
      <c r="M1278" s="1061"/>
      <c r="N1278" s="1061"/>
      <c r="O1278" s="626"/>
    </row>
    <row r="1279" spans="1:15" x14ac:dyDescent="0.25">
      <c r="A1279" s="765"/>
      <c r="B1279" s="624"/>
      <c r="C1279" s="1061"/>
      <c r="D1279" s="1061"/>
      <c r="E1279" s="1061"/>
      <c r="F1279" s="1061"/>
      <c r="G1279" s="1061"/>
      <c r="H1279" s="1061"/>
      <c r="I1279" s="1061"/>
      <c r="J1279" s="1061"/>
      <c r="K1279" s="1061"/>
      <c r="L1279" s="1061"/>
      <c r="M1279" s="1061"/>
      <c r="N1279" s="1061"/>
      <c r="O1279" s="626"/>
    </row>
    <row r="1280" spans="1:15" x14ac:dyDescent="0.25">
      <c r="A1280" s="765"/>
      <c r="B1280" s="624"/>
      <c r="C1280" s="1061"/>
      <c r="D1280" s="1061"/>
      <c r="E1280" s="1061"/>
      <c r="F1280" s="1061"/>
      <c r="G1280" s="1061"/>
      <c r="H1280" s="1061"/>
      <c r="I1280" s="1061"/>
      <c r="J1280" s="1061"/>
      <c r="K1280" s="1061"/>
      <c r="L1280" s="1061"/>
      <c r="M1280" s="1061"/>
      <c r="N1280" s="1061"/>
      <c r="O1280" s="626"/>
    </row>
    <row r="1281" spans="1:15" x14ac:dyDescent="0.25">
      <c r="A1281" s="765"/>
      <c r="B1281" s="624"/>
      <c r="C1281" s="1061"/>
      <c r="D1281" s="1061"/>
      <c r="E1281" s="1061"/>
      <c r="F1281" s="1061"/>
      <c r="G1281" s="1061"/>
      <c r="H1281" s="1061"/>
      <c r="I1281" s="1061"/>
      <c r="J1281" s="1061"/>
      <c r="K1281" s="1061"/>
      <c r="L1281" s="1061"/>
      <c r="M1281" s="1061"/>
      <c r="N1281" s="1061"/>
      <c r="O1281" s="626"/>
    </row>
    <row r="1282" spans="1:15" x14ac:dyDescent="0.25">
      <c r="A1282" s="765"/>
      <c r="B1282" s="624"/>
      <c r="C1282" s="1061"/>
      <c r="D1282" s="1061"/>
      <c r="E1282" s="1061"/>
      <c r="F1282" s="1061"/>
      <c r="G1282" s="1061"/>
      <c r="H1282" s="1061"/>
      <c r="I1282" s="1061"/>
      <c r="J1282" s="1061"/>
      <c r="K1282" s="1061"/>
      <c r="L1282" s="1061"/>
      <c r="M1282" s="1061"/>
      <c r="N1282" s="1061"/>
      <c r="O1282" s="626"/>
    </row>
    <row r="1283" spans="1:15" x14ac:dyDescent="0.25">
      <c r="A1283" s="765"/>
      <c r="B1283" s="624"/>
      <c r="C1283" s="1061"/>
      <c r="D1283" s="1061"/>
      <c r="E1283" s="1061"/>
      <c r="F1283" s="1061"/>
      <c r="G1283" s="1061"/>
      <c r="H1283" s="1061"/>
      <c r="I1283" s="1061"/>
      <c r="J1283" s="1061"/>
      <c r="K1283" s="1061"/>
      <c r="L1283" s="1061"/>
      <c r="M1283" s="1061"/>
      <c r="N1283" s="1061"/>
      <c r="O1283" s="626"/>
    </row>
    <row r="1284" spans="1:15" x14ac:dyDescent="0.25">
      <c r="A1284" s="765"/>
      <c r="B1284" s="624"/>
      <c r="C1284" s="1061"/>
      <c r="D1284" s="1061"/>
      <c r="E1284" s="1061"/>
      <c r="F1284" s="1061"/>
      <c r="G1284" s="1061"/>
      <c r="H1284" s="1061"/>
      <c r="I1284" s="1061"/>
      <c r="J1284" s="1061"/>
      <c r="K1284" s="1061"/>
      <c r="L1284" s="1061"/>
      <c r="M1284" s="1061"/>
      <c r="N1284" s="1061"/>
      <c r="O1284" s="626"/>
    </row>
    <row r="1285" spans="1:15" x14ac:dyDescent="0.25">
      <c r="A1285" s="765"/>
      <c r="B1285" s="624"/>
      <c r="C1285" s="1061"/>
      <c r="D1285" s="1061"/>
      <c r="E1285" s="1061"/>
      <c r="F1285" s="1061"/>
      <c r="G1285" s="1061"/>
      <c r="H1285" s="1061"/>
      <c r="I1285" s="1061"/>
      <c r="J1285" s="1061"/>
      <c r="K1285" s="1061"/>
      <c r="L1285" s="1061"/>
      <c r="M1285" s="1061"/>
      <c r="N1285" s="1061"/>
      <c r="O1285" s="626"/>
    </row>
    <row r="1286" spans="1:15" x14ac:dyDescent="0.25">
      <c r="A1286" s="765"/>
      <c r="B1286" s="624"/>
      <c r="C1286" s="1061"/>
      <c r="D1286" s="1061"/>
      <c r="E1286" s="1061"/>
      <c r="F1286" s="1061"/>
      <c r="G1286" s="1061"/>
      <c r="H1286" s="1061"/>
      <c r="I1286" s="1061"/>
      <c r="J1286" s="1061"/>
      <c r="K1286" s="1061"/>
      <c r="L1286" s="1061"/>
      <c r="M1286" s="1061"/>
      <c r="N1286" s="1061"/>
      <c r="O1286" s="626"/>
    </row>
    <row r="1287" spans="1:15" x14ac:dyDescent="0.25">
      <c r="A1287" s="765"/>
      <c r="B1287" s="624"/>
      <c r="C1287" s="1061"/>
      <c r="D1287" s="1061"/>
      <c r="E1287" s="1061"/>
      <c r="F1287" s="1061"/>
      <c r="G1287" s="1061"/>
      <c r="H1287" s="1061"/>
      <c r="I1287" s="1061"/>
      <c r="J1287" s="1061"/>
      <c r="K1287" s="1061"/>
      <c r="L1287" s="1061"/>
      <c r="M1287" s="1061"/>
      <c r="N1287" s="1061"/>
      <c r="O1287" s="626"/>
    </row>
    <row r="1288" spans="1:15" x14ac:dyDescent="0.25">
      <c r="A1288" s="765"/>
      <c r="B1288" s="624"/>
      <c r="C1288" s="1061"/>
      <c r="D1288" s="1061"/>
      <c r="E1288" s="1061"/>
      <c r="F1288" s="1061"/>
      <c r="G1288" s="1061"/>
      <c r="H1288" s="1061"/>
      <c r="I1288" s="1061"/>
      <c r="J1288" s="1061"/>
      <c r="K1288" s="1061"/>
      <c r="L1288" s="1061"/>
      <c r="M1288" s="1061"/>
      <c r="N1288" s="1061"/>
      <c r="O1288" s="626"/>
    </row>
    <row r="1289" spans="1:15" x14ac:dyDescent="0.25">
      <c r="A1289" s="765"/>
      <c r="B1289" s="624"/>
      <c r="C1289" s="1061"/>
      <c r="D1289" s="1061"/>
      <c r="E1289" s="1061"/>
      <c r="F1289" s="1061"/>
      <c r="G1289" s="1061"/>
      <c r="H1289" s="1061"/>
      <c r="I1289" s="1061"/>
      <c r="J1289" s="1061"/>
      <c r="K1289" s="1061"/>
      <c r="L1289" s="1061"/>
      <c r="M1289" s="1061"/>
      <c r="N1289" s="1061"/>
      <c r="O1289" s="626"/>
    </row>
    <row r="1290" spans="1:15" x14ac:dyDescent="0.25">
      <c r="A1290" s="765"/>
      <c r="B1290" s="624"/>
      <c r="C1290" s="1061"/>
      <c r="D1290" s="1061"/>
      <c r="E1290" s="1061"/>
      <c r="F1290" s="1061"/>
      <c r="G1290" s="1061"/>
      <c r="H1290" s="1061"/>
      <c r="I1290" s="1061"/>
      <c r="J1290" s="1061"/>
      <c r="K1290" s="1061"/>
      <c r="L1290" s="1061"/>
      <c r="M1290" s="1061"/>
      <c r="N1290" s="1061"/>
      <c r="O1290" s="626"/>
    </row>
    <row r="1291" spans="1:15" x14ac:dyDescent="0.25">
      <c r="A1291" s="765"/>
      <c r="B1291" s="624"/>
      <c r="C1291" s="1061"/>
      <c r="D1291" s="1061"/>
      <c r="E1291" s="1061"/>
      <c r="F1291" s="1061"/>
      <c r="G1291" s="1061"/>
      <c r="H1291" s="1061"/>
      <c r="I1291" s="1061"/>
      <c r="J1291" s="1061"/>
      <c r="K1291" s="1061"/>
      <c r="L1291" s="1061"/>
      <c r="M1291" s="1061"/>
      <c r="N1291" s="1061"/>
      <c r="O1291" s="626"/>
    </row>
    <row r="1292" spans="1:15" x14ac:dyDescent="0.25">
      <c r="A1292" s="765"/>
      <c r="B1292" s="624"/>
      <c r="C1292" s="1061"/>
      <c r="D1292" s="1061"/>
      <c r="E1292" s="1061"/>
      <c r="F1292" s="1061"/>
      <c r="G1292" s="1061"/>
      <c r="H1292" s="1061"/>
      <c r="I1292" s="1061"/>
      <c r="J1292" s="1061"/>
      <c r="K1292" s="1061"/>
      <c r="L1292" s="1061"/>
      <c r="M1292" s="1061"/>
      <c r="N1292" s="1061"/>
      <c r="O1292" s="626"/>
    </row>
    <row r="1293" spans="1:15" x14ac:dyDescent="0.25">
      <c r="A1293" s="765"/>
      <c r="B1293" s="624"/>
      <c r="C1293" s="1061"/>
      <c r="D1293" s="1061"/>
      <c r="E1293" s="1061"/>
      <c r="F1293" s="1061"/>
      <c r="G1293" s="1061"/>
      <c r="H1293" s="1061"/>
      <c r="I1293" s="1061"/>
      <c r="J1293" s="1061"/>
      <c r="K1293" s="1061"/>
      <c r="L1293" s="1061"/>
      <c r="M1293" s="1061"/>
      <c r="N1293" s="1061"/>
      <c r="O1293" s="626"/>
    </row>
    <row r="1294" spans="1:15" x14ac:dyDescent="0.25">
      <c r="A1294" s="765"/>
      <c r="B1294" s="624"/>
      <c r="C1294" s="1061"/>
      <c r="D1294" s="1061"/>
      <c r="E1294" s="1061"/>
      <c r="F1294" s="1061"/>
      <c r="G1294" s="1061"/>
      <c r="H1294" s="1061"/>
      <c r="I1294" s="1061"/>
      <c r="J1294" s="1061"/>
      <c r="K1294" s="1061"/>
      <c r="L1294" s="1061"/>
      <c r="M1294" s="1061"/>
      <c r="N1294" s="1061"/>
      <c r="O1294" s="626"/>
    </row>
    <row r="1295" spans="1:15" x14ac:dyDescent="0.25">
      <c r="A1295" s="765"/>
      <c r="B1295" s="624"/>
      <c r="C1295" s="1061"/>
      <c r="D1295" s="1061"/>
      <c r="E1295" s="1061"/>
      <c r="F1295" s="1061"/>
      <c r="G1295" s="1061"/>
      <c r="H1295" s="1061"/>
      <c r="I1295" s="1061"/>
      <c r="J1295" s="1061"/>
      <c r="K1295" s="1061"/>
      <c r="L1295" s="1061"/>
      <c r="M1295" s="1061"/>
      <c r="N1295" s="1061"/>
      <c r="O1295" s="626"/>
    </row>
    <row r="1296" spans="1:15" x14ac:dyDescent="0.25">
      <c r="A1296" s="765"/>
      <c r="B1296" s="624"/>
      <c r="C1296" s="1061"/>
      <c r="D1296" s="1061"/>
      <c r="E1296" s="1061"/>
      <c r="F1296" s="1061"/>
      <c r="G1296" s="1061"/>
      <c r="H1296" s="1061"/>
      <c r="I1296" s="1061"/>
      <c r="J1296" s="1061"/>
      <c r="K1296" s="1061"/>
      <c r="L1296" s="1061"/>
      <c r="M1296" s="1061"/>
      <c r="N1296" s="1061"/>
      <c r="O1296" s="626"/>
    </row>
    <row r="1297" spans="1:15" x14ac:dyDescent="0.25">
      <c r="A1297" s="765"/>
      <c r="B1297" s="624"/>
      <c r="C1297" s="1061"/>
      <c r="D1297" s="1061"/>
      <c r="E1297" s="1061"/>
      <c r="F1297" s="1061"/>
      <c r="G1297" s="1061"/>
      <c r="H1297" s="1061"/>
      <c r="I1297" s="1061"/>
      <c r="J1297" s="1061"/>
      <c r="K1297" s="1061"/>
      <c r="L1297" s="1061"/>
      <c r="M1297" s="1061"/>
      <c r="N1297" s="1061"/>
      <c r="O1297" s="626"/>
    </row>
    <row r="1298" spans="1:15" x14ac:dyDescent="0.25">
      <c r="A1298" s="765"/>
      <c r="B1298" s="624"/>
      <c r="C1298" s="1061"/>
      <c r="D1298" s="1061"/>
      <c r="E1298" s="1061"/>
      <c r="F1298" s="1061"/>
      <c r="G1298" s="1061"/>
      <c r="H1298" s="1061"/>
      <c r="I1298" s="1061"/>
      <c r="J1298" s="1061"/>
      <c r="K1298" s="1061"/>
      <c r="L1298" s="1061"/>
      <c r="M1298" s="1061"/>
      <c r="N1298" s="1061"/>
      <c r="O1298" s="626"/>
    </row>
    <row r="1299" spans="1:15" x14ac:dyDescent="0.25">
      <c r="A1299" s="765"/>
      <c r="B1299" s="624"/>
      <c r="C1299" s="1061"/>
      <c r="D1299" s="1061"/>
      <c r="E1299" s="1061"/>
      <c r="F1299" s="1061"/>
      <c r="G1299" s="1061"/>
      <c r="H1299" s="1061"/>
      <c r="I1299" s="1061"/>
      <c r="J1299" s="1061"/>
      <c r="K1299" s="1061"/>
      <c r="L1299" s="1061"/>
      <c r="M1299" s="1061"/>
      <c r="N1299" s="1061"/>
      <c r="O1299" s="626"/>
    </row>
    <row r="1300" spans="1:15" x14ac:dyDescent="0.25">
      <c r="A1300" s="765"/>
      <c r="B1300" s="624"/>
      <c r="C1300" s="1061"/>
      <c r="D1300" s="1061"/>
      <c r="E1300" s="1061"/>
      <c r="F1300" s="1061"/>
      <c r="G1300" s="1061"/>
      <c r="H1300" s="1061"/>
      <c r="I1300" s="1061"/>
      <c r="J1300" s="1061"/>
      <c r="K1300" s="1061"/>
      <c r="L1300" s="1061"/>
      <c r="M1300" s="1061"/>
      <c r="N1300" s="1061"/>
      <c r="O1300" s="626"/>
    </row>
    <row r="1301" spans="1:15" x14ac:dyDescent="0.25">
      <c r="A1301" s="765"/>
      <c r="B1301" s="624"/>
      <c r="C1301" s="1061"/>
      <c r="D1301" s="1061"/>
      <c r="E1301" s="1061"/>
      <c r="F1301" s="1061"/>
      <c r="G1301" s="1061"/>
      <c r="H1301" s="1061"/>
      <c r="I1301" s="1061"/>
      <c r="J1301" s="1061"/>
      <c r="K1301" s="1061"/>
      <c r="L1301" s="1061"/>
      <c r="M1301" s="1061"/>
      <c r="N1301" s="1061"/>
      <c r="O1301" s="626"/>
    </row>
    <row r="1302" spans="1:15" x14ac:dyDescent="0.25">
      <c r="A1302" s="765"/>
      <c r="B1302" s="624"/>
      <c r="C1302" s="1061"/>
      <c r="D1302" s="1061"/>
      <c r="E1302" s="1061"/>
      <c r="F1302" s="1061"/>
      <c r="G1302" s="1061"/>
      <c r="H1302" s="1061"/>
      <c r="I1302" s="1061"/>
      <c r="J1302" s="1061"/>
      <c r="K1302" s="1061"/>
      <c r="L1302" s="1061"/>
      <c r="M1302" s="1061"/>
      <c r="N1302" s="1061"/>
      <c r="O1302" s="626"/>
    </row>
    <row r="1303" spans="1:15" x14ac:dyDescent="0.25">
      <c r="A1303" s="765"/>
      <c r="B1303" s="624"/>
      <c r="C1303" s="1061"/>
      <c r="D1303" s="1061"/>
      <c r="E1303" s="1061"/>
      <c r="F1303" s="1061"/>
      <c r="G1303" s="1061"/>
      <c r="H1303" s="1061"/>
      <c r="I1303" s="1061"/>
      <c r="J1303" s="1061"/>
      <c r="K1303" s="1061"/>
      <c r="L1303" s="1061"/>
      <c r="M1303" s="1061"/>
      <c r="N1303" s="1061"/>
      <c r="O1303" s="626"/>
    </row>
    <row r="1304" spans="1:15" x14ac:dyDescent="0.25">
      <c r="A1304" s="765"/>
      <c r="B1304" s="624"/>
      <c r="C1304" s="1061"/>
      <c r="D1304" s="1061"/>
      <c r="E1304" s="1061"/>
      <c r="F1304" s="1061"/>
      <c r="G1304" s="1061"/>
      <c r="H1304" s="1061"/>
      <c r="I1304" s="1061"/>
      <c r="J1304" s="1061"/>
      <c r="K1304" s="1061"/>
      <c r="L1304" s="1061"/>
      <c r="M1304" s="1061"/>
      <c r="N1304" s="1061"/>
      <c r="O1304" s="626"/>
    </row>
    <row r="1305" spans="1:15" x14ac:dyDescent="0.25">
      <c r="A1305" s="765"/>
      <c r="B1305" s="624"/>
      <c r="C1305" s="1061"/>
      <c r="D1305" s="1061"/>
      <c r="E1305" s="1061"/>
      <c r="F1305" s="1061"/>
      <c r="G1305" s="1061"/>
      <c r="H1305" s="1061"/>
      <c r="I1305" s="1061"/>
      <c r="J1305" s="1061"/>
      <c r="K1305" s="1061"/>
      <c r="L1305" s="1061"/>
      <c r="M1305" s="1061"/>
      <c r="N1305" s="1061"/>
      <c r="O1305" s="626"/>
    </row>
    <row r="1306" spans="1:15" x14ac:dyDescent="0.25">
      <c r="A1306" s="765"/>
      <c r="B1306" s="624"/>
      <c r="C1306" s="1061"/>
      <c r="D1306" s="1061"/>
      <c r="E1306" s="1061"/>
      <c r="F1306" s="1061"/>
      <c r="G1306" s="1061"/>
      <c r="H1306" s="1061"/>
      <c r="I1306" s="1061"/>
      <c r="J1306" s="1061"/>
      <c r="K1306" s="1061"/>
      <c r="L1306" s="1061"/>
      <c r="M1306" s="1061"/>
      <c r="N1306" s="1061"/>
      <c r="O1306" s="626"/>
    </row>
    <row r="1307" spans="1:15" x14ac:dyDescent="0.25">
      <c r="A1307" s="765"/>
      <c r="B1307" s="624"/>
      <c r="C1307" s="1061"/>
      <c r="D1307" s="1061"/>
      <c r="E1307" s="1061"/>
      <c r="F1307" s="1061"/>
      <c r="G1307" s="1061"/>
      <c r="H1307" s="1061"/>
      <c r="I1307" s="1061"/>
      <c r="J1307" s="1061"/>
      <c r="K1307" s="1061"/>
      <c r="L1307" s="1061"/>
      <c r="M1307" s="1061"/>
      <c r="N1307" s="1061"/>
      <c r="O1307" s="626"/>
    </row>
    <row r="1308" spans="1:15" x14ac:dyDescent="0.25">
      <c r="A1308" s="765"/>
      <c r="B1308" s="624"/>
      <c r="C1308" s="1061"/>
      <c r="D1308" s="1061"/>
      <c r="E1308" s="1061"/>
      <c r="F1308" s="1061"/>
      <c r="G1308" s="1061"/>
      <c r="H1308" s="1061"/>
      <c r="I1308" s="1061"/>
      <c r="J1308" s="1061"/>
      <c r="K1308" s="1061"/>
      <c r="L1308" s="1061"/>
      <c r="M1308" s="1061"/>
      <c r="N1308" s="1061"/>
      <c r="O1308" s="626"/>
    </row>
    <row r="1309" spans="1:15" x14ac:dyDescent="0.25">
      <c r="A1309" s="765"/>
      <c r="B1309" s="624"/>
      <c r="C1309" s="1061"/>
      <c r="D1309" s="1061"/>
      <c r="E1309" s="1061"/>
      <c r="F1309" s="1061"/>
      <c r="G1309" s="1061"/>
      <c r="H1309" s="1061"/>
      <c r="I1309" s="1061"/>
      <c r="J1309" s="1061"/>
      <c r="K1309" s="1061"/>
      <c r="L1309" s="1061"/>
      <c r="M1309" s="1061"/>
      <c r="N1309" s="1061"/>
      <c r="O1309" s="626"/>
    </row>
    <row r="1310" spans="1:15" x14ac:dyDescent="0.25">
      <c r="A1310" s="765"/>
      <c r="B1310" s="624"/>
      <c r="C1310" s="1061"/>
      <c r="D1310" s="1061"/>
      <c r="E1310" s="1061"/>
      <c r="F1310" s="1061"/>
      <c r="G1310" s="1061"/>
      <c r="H1310" s="1061"/>
      <c r="I1310" s="1061"/>
      <c r="J1310" s="1061"/>
      <c r="K1310" s="1061"/>
      <c r="L1310" s="1061"/>
      <c r="M1310" s="1061"/>
      <c r="N1310" s="1061"/>
      <c r="O1310" s="626"/>
    </row>
    <row r="1311" spans="1:15" x14ac:dyDescent="0.25">
      <c r="A1311" s="765"/>
      <c r="B1311" s="624"/>
      <c r="C1311" s="1061"/>
      <c r="D1311" s="1061"/>
      <c r="E1311" s="1061"/>
      <c r="F1311" s="1061"/>
      <c r="G1311" s="1061"/>
      <c r="H1311" s="1061"/>
      <c r="I1311" s="1061"/>
      <c r="J1311" s="1061"/>
      <c r="K1311" s="1061"/>
      <c r="L1311" s="1061"/>
      <c r="M1311" s="1061"/>
      <c r="N1311" s="1061"/>
      <c r="O1311" s="626"/>
    </row>
    <row r="1312" spans="1:15" x14ac:dyDescent="0.25">
      <c r="A1312" s="765"/>
      <c r="B1312" s="624"/>
      <c r="C1312" s="1061"/>
      <c r="D1312" s="1061"/>
      <c r="E1312" s="1061"/>
      <c r="F1312" s="1061"/>
      <c r="G1312" s="1061"/>
      <c r="H1312" s="1061"/>
      <c r="I1312" s="1061"/>
      <c r="J1312" s="1061"/>
      <c r="K1312" s="1061"/>
      <c r="L1312" s="1061"/>
      <c r="M1312" s="1061"/>
      <c r="N1312" s="1061"/>
      <c r="O1312" s="626"/>
    </row>
    <row r="1313" spans="1:15" x14ac:dyDescent="0.25">
      <c r="A1313" s="765"/>
      <c r="B1313" s="624"/>
      <c r="C1313" s="1061"/>
      <c r="D1313" s="1061"/>
      <c r="E1313" s="1061"/>
      <c r="F1313" s="1061"/>
      <c r="G1313" s="1061"/>
      <c r="H1313" s="1061"/>
      <c r="I1313" s="1061"/>
      <c r="J1313" s="1061"/>
      <c r="K1313" s="1061"/>
      <c r="L1313" s="1061"/>
      <c r="M1313" s="1061"/>
      <c r="N1313" s="1061"/>
      <c r="O1313" s="626"/>
    </row>
    <row r="1314" spans="1:15" x14ac:dyDescent="0.25">
      <c r="A1314" s="765"/>
      <c r="B1314" s="624"/>
      <c r="C1314" s="1061"/>
      <c r="D1314" s="1061"/>
      <c r="E1314" s="1061"/>
      <c r="F1314" s="1061"/>
      <c r="G1314" s="1061"/>
      <c r="H1314" s="1061"/>
      <c r="I1314" s="1061"/>
      <c r="J1314" s="1061"/>
      <c r="K1314" s="1061"/>
      <c r="L1314" s="1061"/>
      <c r="M1314" s="1061"/>
      <c r="N1314" s="1061"/>
      <c r="O1314" s="626"/>
    </row>
    <row r="1315" spans="1:15" x14ac:dyDescent="0.25">
      <c r="A1315" s="765"/>
      <c r="B1315" s="624"/>
      <c r="C1315" s="1061"/>
      <c r="D1315" s="1061"/>
      <c r="E1315" s="1061"/>
      <c r="F1315" s="1061"/>
      <c r="G1315" s="1061"/>
      <c r="H1315" s="1061"/>
      <c r="I1315" s="1061"/>
      <c r="J1315" s="1061"/>
      <c r="K1315" s="1061"/>
      <c r="L1315" s="1061"/>
      <c r="M1315" s="1061"/>
      <c r="N1315" s="1061"/>
      <c r="O1315" s="626"/>
    </row>
    <row r="1316" spans="1:15" x14ac:dyDescent="0.25">
      <c r="A1316" s="765"/>
      <c r="B1316" s="624"/>
      <c r="C1316" s="1061"/>
      <c r="D1316" s="1061"/>
      <c r="E1316" s="1061"/>
      <c r="F1316" s="1061"/>
      <c r="G1316" s="1061"/>
      <c r="H1316" s="1061"/>
      <c r="I1316" s="1061"/>
      <c r="J1316" s="1061"/>
      <c r="K1316" s="1061"/>
      <c r="L1316" s="1061"/>
      <c r="M1316" s="1061"/>
      <c r="N1316" s="1061"/>
      <c r="O1316" s="626"/>
    </row>
    <row r="1317" spans="1:15" x14ac:dyDescent="0.25">
      <c r="A1317" s="765"/>
      <c r="B1317" s="624"/>
      <c r="C1317" s="1061"/>
      <c r="D1317" s="1061"/>
      <c r="E1317" s="1061"/>
      <c r="F1317" s="1061"/>
      <c r="G1317" s="1061"/>
      <c r="H1317" s="1061"/>
      <c r="I1317" s="1061"/>
      <c r="J1317" s="1061"/>
      <c r="K1317" s="1061"/>
      <c r="L1317" s="1061"/>
      <c r="M1317" s="1061"/>
      <c r="N1317" s="1061"/>
      <c r="O1317" s="626"/>
    </row>
    <row r="1318" spans="1:15" x14ac:dyDescent="0.25">
      <c r="A1318" s="765"/>
      <c r="B1318" s="624"/>
      <c r="C1318" s="1061"/>
      <c r="D1318" s="1061"/>
      <c r="E1318" s="1061"/>
      <c r="F1318" s="1061"/>
      <c r="G1318" s="1061"/>
      <c r="H1318" s="1061"/>
      <c r="I1318" s="1061"/>
      <c r="J1318" s="1061"/>
      <c r="K1318" s="1061"/>
      <c r="L1318" s="1061"/>
      <c r="M1318" s="1061"/>
      <c r="N1318" s="1061"/>
      <c r="O1318" s="626"/>
    </row>
    <row r="1319" spans="1:15" x14ac:dyDescent="0.25">
      <c r="A1319" s="765"/>
      <c r="B1319" s="624"/>
      <c r="C1319" s="1061"/>
      <c r="D1319" s="1061"/>
      <c r="E1319" s="1061"/>
      <c r="F1319" s="1061"/>
      <c r="G1319" s="1061"/>
      <c r="H1319" s="1061"/>
      <c r="I1319" s="1061"/>
      <c r="J1319" s="1061"/>
      <c r="K1319" s="1061"/>
      <c r="L1319" s="1061"/>
      <c r="M1319" s="1061"/>
      <c r="N1319" s="1061"/>
      <c r="O1319" s="626"/>
    </row>
    <row r="1320" spans="1:15" x14ac:dyDescent="0.25">
      <c r="A1320" s="765"/>
      <c r="B1320" s="624"/>
      <c r="C1320" s="1061"/>
      <c r="D1320" s="1061"/>
      <c r="E1320" s="1061"/>
      <c r="F1320" s="1061"/>
      <c r="G1320" s="1061"/>
      <c r="H1320" s="1061"/>
      <c r="I1320" s="1061"/>
      <c r="J1320" s="1061"/>
      <c r="K1320" s="1061"/>
      <c r="L1320" s="1061"/>
      <c r="M1320" s="1061"/>
      <c r="N1320" s="1061"/>
      <c r="O1320" s="626"/>
    </row>
    <row r="1321" spans="1:15" x14ac:dyDescent="0.25">
      <c r="A1321" s="765"/>
      <c r="B1321" s="624"/>
      <c r="C1321" s="1061"/>
      <c r="D1321" s="1061"/>
      <c r="E1321" s="1061"/>
      <c r="F1321" s="1061"/>
      <c r="G1321" s="1061"/>
      <c r="H1321" s="1061"/>
      <c r="I1321" s="1061"/>
      <c r="J1321" s="1061"/>
      <c r="K1321" s="1061"/>
      <c r="L1321" s="1061"/>
      <c r="M1321" s="1061"/>
      <c r="N1321" s="1061"/>
      <c r="O1321" s="626"/>
    </row>
    <row r="1322" spans="1:15" x14ac:dyDescent="0.25">
      <c r="A1322" s="765"/>
      <c r="B1322" s="624"/>
      <c r="C1322" s="1061"/>
      <c r="D1322" s="1061"/>
      <c r="E1322" s="1061"/>
      <c r="F1322" s="1061"/>
      <c r="G1322" s="1061"/>
      <c r="H1322" s="1061"/>
      <c r="I1322" s="1061"/>
      <c r="J1322" s="1061"/>
      <c r="K1322" s="1061"/>
      <c r="L1322" s="1061"/>
      <c r="M1322" s="1061"/>
      <c r="N1322" s="1061"/>
      <c r="O1322" s="626"/>
    </row>
    <row r="1323" spans="1:15" x14ac:dyDescent="0.25">
      <c r="A1323" s="765"/>
      <c r="B1323" s="624"/>
      <c r="C1323" s="1061"/>
      <c r="D1323" s="1061"/>
      <c r="E1323" s="1061"/>
      <c r="F1323" s="1061"/>
      <c r="G1323" s="1061"/>
      <c r="H1323" s="1061"/>
      <c r="I1323" s="1061"/>
      <c r="J1323" s="1061"/>
      <c r="K1323" s="1061"/>
      <c r="L1323" s="1061"/>
      <c r="M1323" s="1061"/>
      <c r="N1323" s="1061"/>
      <c r="O1323" s="626"/>
    </row>
    <row r="1324" spans="1:15" x14ac:dyDescent="0.25">
      <c r="A1324" s="765"/>
      <c r="B1324" s="624"/>
      <c r="C1324" s="1061"/>
      <c r="D1324" s="1061"/>
      <c r="E1324" s="1061"/>
      <c r="F1324" s="1061"/>
      <c r="G1324" s="1061"/>
      <c r="H1324" s="1061"/>
      <c r="I1324" s="1061"/>
      <c r="J1324" s="1061"/>
      <c r="K1324" s="1061"/>
      <c r="L1324" s="1061"/>
      <c r="M1324" s="1061"/>
      <c r="N1324" s="1061"/>
      <c r="O1324" s="626"/>
    </row>
    <row r="1325" spans="1:15" x14ac:dyDescent="0.25">
      <c r="A1325" s="765"/>
      <c r="B1325" s="624"/>
      <c r="C1325" s="1061"/>
      <c r="D1325" s="1061"/>
      <c r="E1325" s="1061"/>
      <c r="F1325" s="1061"/>
      <c r="G1325" s="1061"/>
      <c r="H1325" s="1061"/>
      <c r="I1325" s="1061"/>
      <c r="J1325" s="1061"/>
      <c r="K1325" s="1061"/>
      <c r="L1325" s="1061"/>
      <c r="M1325" s="1061"/>
      <c r="N1325" s="1061"/>
      <c r="O1325" s="626"/>
    </row>
    <row r="1326" spans="1:15" x14ac:dyDescent="0.25">
      <c r="A1326" s="765"/>
      <c r="B1326" s="624"/>
      <c r="C1326" s="1061"/>
      <c r="D1326" s="1061"/>
      <c r="E1326" s="1061"/>
      <c r="F1326" s="1061"/>
      <c r="G1326" s="1061"/>
      <c r="H1326" s="1061"/>
      <c r="I1326" s="1061"/>
      <c r="J1326" s="1061"/>
      <c r="K1326" s="1061"/>
      <c r="L1326" s="1061"/>
      <c r="M1326" s="1061"/>
      <c r="N1326" s="1061"/>
      <c r="O1326" s="626"/>
    </row>
    <row r="1327" spans="1:15" x14ac:dyDescent="0.25">
      <c r="A1327" s="765"/>
      <c r="B1327" s="624"/>
      <c r="C1327" s="1061"/>
      <c r="D1327" s="1061"/>
      <c r="E1327" s="1061"/>
      <c r="F1327" s="1061"/>
      <c r="G1327" s="1061"/>
      <c r="H1327" s="1061"/>
      <c r="I1327" s="1061"/>
      <c r="J1327" s="1061"/>
      <c r="K1327" s="1061"/>
      <c r="L1327" s="1061"/>
      <c r="M1327" s="1061"/>
      <c r="N1327" s="1061"/>
      <c r="O1327" s="626"/>
    </row>
    <row r="1328" spans="1:15" x14ac:dyDescent="0.25">
      <c r="A1328" s="765"/>
      <c r="B1328" s="624"/>
      <c r="C1328" s="1061"/>
      <c r="D1328" s="1061"/>
      <c r="E1328" s="1061"/>
      <c r="F1328" s="1061"/>
      <c r="G1328" s="1061"/>
      <c r="H1328" s="1061"/>
      <c r="I1328" s="1061"/>
      <c r="J1328" s="1061"/>
      <c r="K1328" s="1061"/>
      <c r="L1328" s="1061"/>
      <c r="M1328" s="1061"/>
      <c r="N1328" s="1061"/>
      <c r="O1328" s="626"/>
    </row>
    <row r="1329" spans="1:15" x14ac:dyDescent="0.25">
      <c r="A1329" s="765"/>
      <c r="B1329" s="624"/>
      <c r="C1329" s="1061"/>
      <c r="D1329" s="1061"/>
      <c r="E1329" s="1061"/>
      <c r="F1329" s="1061"/>
      <c r="G1329" s="1061"/>
      <c r="H1329" s="1061"/>
      <c r="I1329" s="1061"/>
      <c r="J1329" s="1061"/>
      <c r="K1329" s="1061"/>
      <c r="L1329" s="1061"/>
      <c r="M1329" s="1061"/>
      <c r="N1329" s="1061"/>
      <c r="O1329" s="626"/>
    </row>
    <row r="1330" spans="1:15" x14ac:dyDescent="0.25">
      <c r="A1330" s="765"/>
      <c r="B1330" s="624"/>
      <c r="C1330" s="1061"/>
      <c r="D1330" s="1061"/>
      <c r="E1330" s="1061"/>
      <c r="F1330" s="1061"/>
      <c r="G1330" s="1061"/>
      <c r="H1330" s="1061"/>
      <c r="I1330" s="1061"/>
      <c r="J1330" s="1061"/>
      <c r="K1330" s="1061"/>
      <c r="L1330" s="1061"/>
      <c r="M1330" s="1061"/>
      <c r="N1330" s="1061"/>
      <c r="O1330" s="626"/>
    </row>
    <row r="1331" spans="1:15" x14ac:dyDescent="0.25">
      <c r="A1331" s="765"/>
      <c r="B1331" s="624"/>
      <c r="C1331" s="1061"/>
      <c r="D1331" s="1061"/>
      <c r="E1331" s="1061"/>
      <c r="F1331" s="1061"/>
      <c r="G1331" s="1061"/>
      <c r="H1331" s="1061"/>
      <c r="I1331" s="1061"/>
      <c r="J1331" s="1061"/>
      <c r="K1331" s="1061"/>
      <c r="L1331" s="1061"/>
      <c r="M1331" s="1061"/>
      <c r="N1331" s="1061"/>
      <c r="O1331" s="626"/>
    </row>
    <row r="1332" spans="1:15" x14ac:dyDescent="0.25">
      <c r="A1332" s="765"/>
      <c r="B1332" s="624"/>
      <c r="C1332" s="1061"/>
      <c r="D1332" s="1061"/>
      <c r="E1332" s="1061"/>
      <c r="F1332" s="1061"/>
      <c r="G1332" s="1061"/>
      <c r="H1332" s="1061"/>
      <c r="I1332" s="1061"/>
      <c r="J1332" s="1061"/>
      <c r="K1332" s="1061"/>
      <c r="L1332" s="1061"/>
      <c r="M1332" s="1061"/>
      <c r="N1332" s="1061"/>
      <c r="O1332" s="626"/>
    </row>
    <row r="1333" spans="1:15" x14ac:dyDescent="0.25">
      <c r="A1333" s="765"/>
      <c r="B1333" s="624"/>
      <c r="C1333" s="1061"/>
      <c r="D1333" s="1061"/>
      <c r="E1333" s="1061"/>
      <c r="F1333" s="1061"/>
      <c r="G1333" s="1061"/>
      <c r="H1333" s="1061"/>
      <c r="I1333" s="1061"/>
      <c r="J1333" s="1061"/>
      <c r="K1333" s="1061"/>
      <c r="L1333" s="1061"/>
      <c r="M1333" s="1061"/>
      <c r="N1333" s="1061"/>
      <c r="O1333" s="626"/>
    </row>
    <row r="1334" spans="1:15" x14ac:dyDescent="0.25">
      <c r="A1334" s="765"/>
      <c r="B1334" s="624"/>
      <c r="C1334" s="1061"/>
      <c r="D1334" s="1061"/>
      <c r="E1334" s="1061"/>
      <c r="F1334" s="1061"/>
      <c r="G1334" s="1061"/>
      <c r="H1334" s="1061"/>
      <c r="I1334" s="1061"/>
      <c r="J1334" s="1061"/>
      <c r="K1334" s="1061"/>
      <c r="L1334" s="1061"/>
      <c r="M1334" s="1061"/>
      <c r="N1334" s="1061"/>
      <c r="O1334" s="626"/>
    </row>
    <row r="1335" spans="1:15" x14ac:dyDescent="0.25">
      <c r="A1335" s="765"/>
      <c r="B1335" s="624"/>
      <c r="C1335" s="1061"/>
      <c r="D1335" s="1061"/>
      <c r="E1335" s="1061"/>
      <c r="F1335" s="1061"/>
      <c r="G1335" s="1061"/>
      <c r="H1335" s="1061"/>
      <c r="I1335" s="1061"/>
      <c r="J1335" s="1061"/>
      <c r="K1335" s="1061"/>
      <c r="L1335" s="1061"/>
      <c r="M1335" s="1061"/>
      <c r="N1335" s="1061"/>
      <c r="O1335" s="626"/>
    </row>
    <row r="1336" spans="1:15" x14ac:dyDescent="0.25">
      <c r="A1336" s="765"/>
      <c r="B1336" s="624"/>
      <c r="C1336" s="1061"/>
      <c r="D1336" s="1061"/>
      <c r="E1336" s="1061"/>
      <c r="F1336" s="1061"/>
      <c r="G1336" s="1061"/>
      <c r="H1336" s="1061"/>
      <c r="I1336" s="1061"/>
      <c r="J1336" s="1061"/>
      <c r="K1336" s="1061"/>
      <c r="L1336" s="1061"/>
      <c r="M1336" s="1061"/>
      <c r="N1336" s="1061"/>
      <c r="O1336" s="626"/>
    </row>
    <row r="1337" spans="1:15" x14ac:dyDescent="0.25">
      <c r="A1337" s="765"/>
      <c r="B1337" s="624"/>
      <c r="C1337" s="1061"/>
      <c r="D1337" s="1061"/>
      <c r="E1337" s="1061"/>
      <c r="F1337" s="1061"/>
      <c r="G1337" s="1061"/>
      <c r="H1337" s="1061"/>
      <c r="I1337" s="1061"/>
      <c r="J1337" s="1061"/>
      <c r="K1337" s="1061"/>
      <c r="L1337" s="1061"/>
      <c r="M1337" s="1061"/>
      <c r="N1337" s="1061"/>
      <c r="O1337" s="626"/>
    </row>
    <row r="1338" spans="1:15" x14ac:dyDescent="0.25">
      <c r="A1338" s="765"/>
      <c r="B1338" s="624"/>
      <c r="C1338" s="1061"/>
      <c r="D1338" s="1061"/>
      <c r="E1338" s="1061"/>
      <c r="F1338" s="1061"/>
      <c r="G1338" s="1061"/>
      <c r="H1338" s="1061"/>
      <c r="I1338" s="1061"/>
      <c r="J1338" s="1061"/>
      <c r="K1338" s="1061"/>
      <c r="L1338" s="1061"/>
      <c r="M1338" s="1061"/>
      <c r="N1338" s="1061"/>
      <c r="O1338" s="626"/>
    </row>
    <row r="1339" spans="1:15" x14ac:dyDescent="0.25">
      <c r="A1339" s="765"/>
      <c r="B1339" s="624"/>
      <c r="C1339" s="1061"/>
      <c r="D1339" s="1061"/>
      <c r="E1339" s="1061"/>
      <c r="F1339" s="1061"/>
      <c r="G1339" s="1061"/>
      <c r="H1339" s="1061"/>
      <c r="I1339" s="1061"/>
      <c r="J1339" s="1061"/>
      <c r="K1339" s="1061"/>
      <c r="L1339" s="1061"/>
      <c r="M1339" s="1061"/>
      <c r="N1339" s="1061"/>
      <c r="O1339" s="626"/>
    </row>
    <row r="1340" spans="1:15" x14ac:dyDescent="0.25">
      <c r="A1340" s="765"/>
      <c r="B1340" s="624"/>
      <c r="C1340" s="1061"/>
      <c r="D1340" s="1061"/>
      <c r="E1340" s="1061"/>
      <c r="F1340" s="1061"/>
      <c r="G1340" s="1061"/>
      <c r="H1340" s="1061"/>
      <c r="I1340" s="1061"/>
      <c r="J1340" s="1061"/>
      <c r="K1340" s="1061"/>
      <c r="L1340" s="1061"/>
      <c r="M1340" s="1061"/>
      <c r="N1340" s="1061"/>
      <c r="O1340" s="626"/>
    </row>
    <row r="1341" spans="1:15" x14ac:dyDescent="0.25">
      <c r="A1341" s="765"/>
      <c r="B1341" s="624"/>
      <c r="C1341" s="1061"/>
      <c r="D1341" s="1061"/>
      <c r="E1341" s="1061"/>
      <c r="F1341" s="1061"/>
      <c r="G1341" s="1061"/>
      <c r="H1341" s="1061"/>
      <c r="I1341" s="1061"/>
      <c r="J1341" s="1061"/>
      <c r="K1341" s="1061"/>
      <c r="L1341" s="1061"/>
      <c r="M1341" s="1061"/>
      <c r="N1341" s="1061"/>
      <c r="O1341" s="626"/>
    </row>
    <row r="1342" spans="1:15" x14ac:dyDescent="0.25">
      <c r="A1342" s="765"/>
      <c r="B1342" s="624"/>
      <c r="C1342" s="1061"/>
      <c r="D1342" s="1061"/>
      <c r="E1342" s="1061"/>
      <c r="F1342" s="1061"/>
      <c r="G1342" s="1061"/>
      <c r="H1342" s="1061"/>
      <c r="I1342" s="1061"/>
      <c r="J1342" s="1061"/>
      <c r="K1342" s="1061"/>
      <c r="L1342" s="1061"/>
      <c r="M1342" s="1061"/>
      <c r="N1342" s="1061"/>
      <c r="O1342" s="626"/>
    </row>
    <row r="1343" spans="1:15" x14ac:dyDescent="0.25">
      <c r="A1343" s="765"/>
      <c r="B1343" s="624"/>
      <c r="C1343" s="1061"/>
      <c r="D1343" s="1061"/>
      <c r="E1343" s="1061"/>
      <c r="F1343" s="1061"/>
      <c r="G1343" s="1061"/>
      <c r="H1343" s="1061"/>
      <c r="I1343" s="1061"/>
      <c r="J1343" s="1061"/>
      <c r="K1343" s="1061"/>
      <c r="L1343" s="1061"/>
      <c r="M1343" s="1061"/>
      <c r="N1343" s="1061"/>
      <c r="O1343" s="626"/>
    </row>
    <row r="1344" spans="1:15" x14ac:dyDescent="0.25">
      <c r="A1344" s="765"/>
      <c r="B1344" s="624"/>
      <c r="C1344" s="1061"/>
      <c r="D1344" s="1061"/>
      <c r="E1344" s="1061"/>
      <c r="F1344" s="1061"/>
      <c r="G1344" s="1061"/>
      <c r="H1344" s="1061"/>
      <c r="I1344" s="1061"/>
      <c r="J1344" s="1061"/>
      <c r="K1344" s="1061"/>
      <c r="L1344" s="1061"/>
      <c r="M1344" s="1061"/>
      <c r="N1344" s="1061"/>
      <c r="O1344" s="626"/>
    </row>
    <row r="1345" spans="1:15" x14ac:dyDescent="0.25">
      <c r="A1345" s="765"/>
      <c r="B1345" s="624"/>
      <c r="C1345" s="1061"/>
      <c r="D1345" s="1061"/>
      <c r="E1345" s="1061"/>
      <c r="F1345" s="1061"/>
      <c r="G1345" s="1061"/>
      <c r="H1345" s="1061"/>
      <c r="I1345" s="1061"/>
      <c r="J1345" s="1061"/>
      <c r="K1345" s="1061"/>
      <c r="L1345" s="1061"/>
      <c r="M1345" s="1061"/>
      <c r="N1345" s="1061"/>
      <c r="O1345" s="626"/>
    </row>
    <row r="1346" spans="1:15" x14ac:dyDescent="0.25">
      <c r="A1346" s="765"/>
      <c r="B1346" s="624"/>
      <c r="C1346" s="1061"/>
      <c r="D1346" s="1061"/>
      <c r="E1346" s="1061"/>
      <c r="F1346" s="1061"/>
      <c r="G1346" s="1061"/>
      <c r="H1346" s="1061"/>
      <c r="I1346" s="1061"/>
      <c r="J1346" s="1061"/>
      <c r="K1346" s="1061"/>
      <c r="L1346" s="1061"/>
      <c r="M1346" s="1061"/>
      <c r="N1346" s="1061"/>
      <c r="O1346" s="626"/>
    </row>
    <row r="1347" spans="1:15" x14ac:dyDescent="0.25">
      <c r="A1347" s="765"/>
      <c r="B1347" s="624"/>
      <c r="C1347" s="1061"/>
      <c r="D1347" s="1061"/>
      <c r="E1347" s="1061"/>
      <c r="F1347" s="1061"/>
      <c r="G1347" s="1061"/>
      <c r="H1347" s="1061"/>
      <c r="I1347" s="1061"/>
      <c r="J1347" s="1061"/>
      <c r="K1347" s="1061"/>
      <c r="L1347" s="1061"/>
      <c r="M1347" s="1061"/>
      <c r="N1347" s="1061"/>
      <c r="O1347" s="626"/>
    </row>
    <row r="1348" spans="1:15" x14ac:dyDescent="0.25">
      <c r="A1348" s="765"/>
      <c r="B1348" s="624"/>
      <c r="C1348" s="1061"/>
      <c r="D1348" s="1061"/>
      <c r="E1348" s="1061"/>
      <c r="F1348" s="1061"/>
      <c r="G1348" s="1061"/>
      <c r="H1348" s="1061"/>
      <c r="I1348" s="1061"/>
      <c r="J1348" s="1061"/>
      <c r="K1348" s="1061"/>
      <c r="L1348" s="1061"/>
      <c r="M1348" s="1061"/>
      <c r="N1348" s="1061"/>
      <c r="O1348" s="626"/>
    </row>
    <row r="1349" spans="1:15" x14ac:dyDescent="0.25">
      <c r="A1349" s="765"/>
      <c r="B1349" s="624"/>
      <c r="C1349" s="1061"/>
      <c r="D1349" s="1061"/>
      <c r="E1349" s="1061"/>
      <c r="F1349" s="1061"/>
      <c r="G1349" s="1061"/>
      <c r="H1349" s="1061"/>
      <c r="I1349" s="1061"/>
      <c r="J1349" s="1061"/>
      <c r="K1349" s="1061"/>
      <c r="L1349" s="1061"/>
      <c r="M1349" s="1061"/>
      <c r="N1349" s="1061"/>
      <c r="O1349" s="626"/>
    </row>
    <row r="1350" spans="1:15" x14ac:dyDescent="0.25">
      <c r="A1350" s="765"/>
      <c r="B1350" s="624"/>
      <c r="C1350" s="1061"/>
      <c r="D1350" s="1061"/>
      <c r="E1350" s="1061"/>
      <c r="F1350" s="1061"/>
      <c r="G1350" s="1061"/>
      <c r="H1350" s="1061"/>
      <c r="I1350" s="1061"/>
      <c r="J1350" s="1061"/>
      <c r="K1350" s="1061"/>
      <c r="L1350" s="1061"/>
      <c r="M1350" s="1061"/>
      <c r="N1350" s="1061"/>
      <c r="O1350" s="626"/>
    </row>
    <row r="1351" spans="1:15" x14ac:dyDescent="0.25">
      <c r="A1351" s="765"/>
      <c r="B1351" s="624"/>
      <c r="C1351" s="1061"/>
      <c r="D1351" s="1061"/>
      <c r="E1351" s="1061"/>
      <c r="F1351" s="1061"/>
      <c r="G1351" s="1061"/>
      <c r="H1351" s="1061"/>
      <c r="I1351" s="1061"/>
      <c r="J1351" s="1061"/>
      <c r="K1351" s="1061"/>
      <c r="L1351" s="1061"/>
      <c r="M1351" s="1061"/>
      <c r="N1351" s="1061"/>
      <c r="O1351" s="626"/>
    </row>
    <row r="1352" spans="1:15" x14ac:dyDescent="0.25">
      <c r="A1352" s="765"/>
      <c r="B1352" s="624"/>
      <c r="C1352" s="1061"/>
      <c r="D1352" s="1061"/>
      <c r="E1352" s="1061"/>
      <c r="F1352" s="1061"/>
      <c r="G1352" s="1061"/>
      <c r="H1352" s="1061"/>
      <c r="I1352" s="1061"/>
      <c r="J1352" s="1061"/>
      <c r="K1352" s="1061"/>
      <c r="L1352" s="1061"/>
      <c r="M1352" s="1061"/>
      <c r="N1352" s="1061"/>
      <c r="O1352" s="626"/>
    </row>
    <row r="1353" spans="1:15" x14ac:dyDescent="0.25">
      <c r="A1353" s="765"/>
      <c r="B1353" s="624"/>
      <c r="C1353" s="1061"/>
      <c r="D1353" s="1061"/>
      <c r="E1353" s="1061"/>
      <c r="F1353" s="1061"/>
      <c r="G1353" s="1061"/>
      <c r="H1353" s="1061"/>
      <c r="I1353" s="1061"/>
      <c r="J1353" s="1061"/>
      <c r="K1353" s="1061"/>
      <c r="L1353" s="1061"/>
      <c r="M1353" s="1061"/>
      <c r="N1353" s="1061"/>
      <c r="O1353" s="626"/>
    </row>
    <row r="1354" spans="1:15" x14ac:dyDescent="0.25">
      <c r="A1354" s="765"/>
      <c r="B1354" s="624"/>
      <c r="C1354" s="1061"/>
      <c r="D1354" s="1061"/>
      <c r="E1354" s="1061"/>
      <c r="F1354" s="1061"/>
      <c r="G1354" s="1061"/>
      <c r="H1354" s="1061"/>
      <c r="I1354" s="1061"/>
      <c r="J1354" s="1061"/>
      <c r="K1354" s="1061"/>
      <c r="L1354" s="1061"/>
      <c r="M1354" s="1061"/>
      <c r="N1354" s="1061"/>
      <c r="O1354" s="626"/>
    </row>
    <row r="1355" spans="1:15" x14ac:dyDescent="0.25">
      <c r="A1355" s="765"/>
      <c r="B1355" s="624"/>
      <c r="C1355" s="1061"/>
      <c r="D1355" s="1061"/>
      <c r="E1355" s="1061"/>
      <c r="F1355" s="1061"/>
      <c r="G1355" s="1061"/>
      <c r="H1355" s="1061"/>
      <c r="I1355" s="1061"/>
      <c r="J1355" s="1061"/>
      <c r="K1355" s="1061"/>
      <c r="L1355" s="1061"/>
      <c r="M1355" s="1061"/>
      <c r="N1355" s="1061"/>
      <c r="O1355" s="626"/>
    </row>
    <row r="1356" spans="1:15" x14ac:dyDescent="0.25">
      <c r="A1356" s="765"/>
      <c r="B1356" s="624"/>
      <c r="C1356" s="1061"/>
      <c r="D1356" s="1061"/>
      <c r="E1356" s="1061"/>
      <c r="F1356" s="1061"/>
      <c r="G1356" s="1061"/>
      <c r="H1356" s="1061"/>
      <c r="I1356" s="1061"/>
      <c r="J1356" s="1061"/>
      <c r="K1356" s="1061"/>
      <c r="L1356" s="1061"/>
      <c r="M1356" s="1061"/>
      <c r="N1356" s="1061"/>
      <c r="O1356" s="626"/>
    </row>
    <row r="1357" spans="1:15" x14ac:dyDescent="0.25">
      <c r="A1357" s="765"/>
      <c r="B1357" s="624"/>
      <c r="C1357" s="1061"/>
      <c r="D1357" s="1061"/>
      <c r="E1357" s="1061"/>
      <c r="F1357" s="1061"/>
      <c r="G1357" s="1061"/>
      <c r="H1357" s="1061"/>
      <c r="I1357" s="1061"/>
      <c r="J1357" s="1061"/>
      <c r="K1357" s="1061"/>
      <c r="L1357" s="1061"/>
      <c r="M1357" s="1061"/>
      <c r="N1357" s="1061"/>
      <c r="O1357" s="626"/>
    </row>
    <row r="1358" spans="1:15" x14ac:dyDescent="0.25">
      <c r="A1358" s="765"/>
      <c r="B1358" s="624"/>
      <c r="C1358" s="1061"/>
      <c r="D1358" s="1061"/>
      <c r="E1358" s="1061"/>
      <c r="F1358" s="1061"/>
      <c r="G1358" s="1061"/>
      <c r="H1358" s="1061"/>
      <c r="I1358" s="1061"/>
      <c r="J1358" s="1061"/>
      <c r="K1358" s="1061"/>
      <c r="L1358" s="1061"/>
      <c r="M1358" s="1061"/>
      <c r="N1358" s="1061"/>
      <c r="O1358" s="626"/>
    </row>
    <row r="1359" spans="1:15" x14ac:dyDescent="0.25">
      <c r="A1359" s="765"/>
      <c r="B1359" s="624"/>
      <c r="C1359" s="1061"/>
      <c r="D1359" s="1061"/>
      <c r="E1359" s="1061"/>
      <c r="F1359" s="1061"/>
      <c r="G1359" s="1061"/>
      <c r="H1359" s="1061"/>
      <c r="I1359" s="1061"/>
      <c r="J1359" s="1061"/>
      <c r="K1359" s="1061"/>
      <c r="L1359" s="1061"/>
      <c r="M1359" s="1061"/>
      <c r="N1359" s="1061"/>
      <c r="O1359" s="626"/>
    </row>
    <row r="1360" spans="1:15" x14ac:dyDescent="0.25">
      <c r="A1360" s="765"/>
      <c r="B1360" s="624"/>
      <c r="C1360" s="1061"/>
      <c r="D1360" s="1061"/>
      <c r="E1360" s="1061"/>
      <c r="F1360" s="1061"/>
      <c r="G1360" s="1061"/>
      <c r="H1360" s="1061"/>
      <c r="I1360" s="1061"/>
      <c r="J1360" s="1061"/>
      <c r="K1360" s="1061"/>
      <c r="L1360" s="1061"/>
      <c r="M1360" s="1061"/>
      <c r="N1360" s="1061"/>
      <c r="O1360" s="626"/>
    </row>
    <row r="1361" spans="1:15" x14ac:dyDescent="0.25">
      <c r="A1361" s="765"/>
      <c r="B1361" s="624"/>
      <c r="C1361" s="1061"/>
      <c r="D1361" s="1061"/>
      <c r="E1361" s="1061"/>
      <c r="F1361" s="1061"/>
      <c r="G1361" s="1061"/>
      <c r="H1361" s="1061"/>
      <c r="I1361" s="1061"/>
      <c r="J1361" s="1061"/>
      <c r="K1361" s="1061"/>
      <c r="L1361" s="1061"/>
      <c r="M1361" s="1061"/>
      <c r="N1361" s="1061"/>
      <c r="O1361" s="626"/>
    </row>
    <row r="1362" spans="1:15" x14ac:dyDescent="0.25">
      <c r="A1362" s="765"/>
      <c r="B1362" s="624"/>
      <c r="C1362" s="1061"/>
      <c r="D1362" s="1061"/>
      <c r="E1362" s="1061"/>
      <c r="F1362" s="1061"/>
      <c r="G1362" s="1061"/>
      <c r="H1362" s="1061"/>
      <c r="I1362" s="1061"/>
      <c r="J1362" s="1061"/>
      <c r="K1362" s="1061"/>
      <c r="L1362" s="1061"/>
      <c r="M1362" s="1061"/>
      <c r="N1362" s="1061"/>
      <c r="O1362" s="626"/>
    </row>
    <row r="1363" spans="1:15" x14ac:dyDescent="0.25">
      <c r="A1363" s="765"/>
      <c r="B1363" s="624"/>
      <c r="C1363" s="1061"/>
      <c r="D1363" s="1061"/>
      <c r="E1363" s="1061"/>
      <c r="F1363" s="1061"/>
      <c r="G1363" s="1061"/>
      <c r="H1363" s="1061"/>
      <c r="I1363" s="1061"/>
      <c r="J1363" s="1061"/>
      <c r="K1363" s="1061"/>
      <c r="L1363" s="1061"/>
      <c r="M1363" s="1061"/>
      <c r="N1363" s="1061"/>
      <c r="O1363" s="626"/>
    </row>
    <row r="1364" spans="1:15" x14ac:dyDescent="0.25">
      <c r="A1364" s="765"/>
      <c r="B1364" s="624"/>
      <c r="C1364" s="1061"/>
      <c r="D1364" s="1061"/>
      <c r="E1364" s="1061"/>
      <c r="F1364" s="1061"/>
      <c r="G1364" s="1061"/>
      <c r="H1364" s="1061"/>
      <c r="I1364" s="1061"/>
      <c r="J1364" s="1061"/>
      <c r="K1364" s="1061"/>
      <c r="L1364" s="1061"/>
      <c r="M1364" s="1061"/>
      <c r="N1364" s="1061"/>
      <c r="O1364" s="626"/>
    </row>
    <row r="1365" spans="1:15" x14ac:dyDescent="0.25">
      <c r="A1365" s="765"/>
      <c r="B1365" s="624"/>
      <c r="C1365" s="1061"/>
      <c r="D1365" s="1061"/>
      <c r="E1365" s="1061"/>
      <c r="F1365" s="1061"/>
      <c r="G1365" s="1061"/>
      <c r="H1365" s="1061"/>
      <c r="I1365" s="1061"/>
      <c r="J1365" s="1061"/>
      <c r="K1365" s="1061"/>
      <c r="L1365" s="1061"/>
      <c r="M1365" s="1061"/>
      <c r="N1365" s="1061"/>
      <c r="O1365" s="626"/>
    </row>
    <row r="1366" spans="1:15" x14ac:dyDescent="0.25">
      <c r="A1366" s="765"/>
      <c r="B1366" s="624"/>
      <c r="C1366" s="1061"/>
      <c r="D1366" s="1061"/>
      <c r="E1366" s="1061"/>
      <c r="F1366" s="1061"/>
      <c r="G1366" s="1061"/>
      <c r="H1366" s="1061"/>
      <c r="I1366" s="1061"/>
      <c r="J1366" s="1061"/>
      <c r="K1366" s="1061"/>
      <c r="L1366" s="1061"/>
      <c r="M1366" s="1061"/>
      <c r="N1366" s="1061"/>
      <c r="O1366" s="626"/>
    </row>
    <row r="1367" spans="1:15" x14ac:dyDescent="0.25">
      <c r="A1367" s="765"/>
      <c r="B1367" s="624"/>
      <c r="C1367" s="1061"/>
      <c r="D1367" s="1061"/>
      <c r="E1367" s="1061"/>
      <c r="F1367" s="1061"/>
      <c r="G1367" s="1061"/>
      <c r="H1367" s="1061"/>
      <c r="I1367" s="1061"/>
      <c r="J1367" s="1061"/>
      <c r="K1367" s="1061"/>
      <c r="L1367" s="1061"/>
      <c r="M1367" s="1061"/>
      <c r="N1367" s="1061"/>
      <c r="O1367" s="626"/>
    </row>
    <row r="1368" spans="1:15" x14ac:dyDescent="0.25">
      <c r="A1368" s="765"/>
      <c r="B1368" s="624"/>
      <c r="C1368" s="1061"/>
      <c r="D1368" s="1061"/>
      <c r="E1368" s="1061"/>
      <c r="F1368" s="1061"/>
      <c r="G1368" s="1061"/>
      <c r="H1368" s="1061"/>
      <c r="I1368" s="1061"/>
      <c r="J1368" s="1061"/>
      <c r="K1368" s="1061"/>
      <c r="L1368" s="1061"/>
      <c r="M1368" s="1061"/>
      <c r="N1368" s="1061"/>
      <c r="O1368" s="626"/>
    </row>
    <row r="1369" spans="1:15" x14ac:dyDescent="0.25">
      <c r="A1369" s="765"/>
      <c r="B1369" s="624"/>
      <c r="C1369" s="1061"/>
      <c r="D1369" s="1061"/>
      <c r="E1369" s="1061"/>
      <c r="F1369" s="1061"/>
      <c r="G1369" s="1061"/>
      <c r="H1369" s="1061"/>
      <c r="I1369" s="1061"/>
      <c r="J1369" s="1061"/>
      <c r="K1369" s="1061"/>
      <c r="L1369" s="1061"/>
      <c r="M1369" s="1061"/>
      <c r="N1369" s="1061"/>
      <c r="O1369" s="626"/>
    </row>
    <row r="1370" spans="1:15" x14ac:dyDescent="0.25">
      <c r="A1370" s="765"/>
      <c r="B1370" s="624"/>
      <c r="C1370" s="1061"/>
      <c r="D1370" s="1061"/>
      <c r="E1370" s="1061"/>
      <c r="F1370" s="1061"/>
      <c r="G1370" s="1061"/>
      <c r="H1370" s="1061"/>
      <c r="I1370" s="1061"/>
      <c r="J1370" s="1061"/>
      <c r="K1370" s="1061"/>
      <c r="L1370" s="1061"/>
      <c r="M1370" s="1061"/>
      <c r="N1370" s="1061"/>
      <c r="O1370" s="626"/>
    </row>
    <row r="1371" spans="1:15" x14ac:dyDescent="0.25">
      <c r="A1371" s="765"/>
      <c r="B1371" s="624"/>
      <c r="C1371" s="1061"/>
      <c r="D1371" s="1061"/>
      <c r="E1371" s="1061"/>
      <c r="F1371" s="1061"/>
      <c r="G1371" s="1061"/>
      <c r="H1371" s="1061"/>
      <c r="I1371" s="1061"/>
      <c r="J1371" s="1061"/>
      <c r="K1371" s="1061"/>
      <c r="L1371" s="1061"/>
      <c r="M1371" s="1061"/>
      <c r="N1371" s="1061"/>
      <c r="O1371" s="626"/>
    </row>
    <row r="1372" spans="1:15" x14ac:dyDescent="0.25">
      <c r="A1372" s="765"/>
      <c r="B1372" s="624"/>
      <c r="C1372" s="1061"/>
      <c r="D1372" s="1061"/>
      <c r="E1372" s="1061"/>
      <c r="F1372" s="1061"/>
      <c r="G1372" s="1061"/>
      <c r="H1372" s="1061"/>
      <c r="I1372" s="1061"/>
      <c r="J1372" s="1061"/>
      <c r="K1372" s="1061"/>
      <c r="L1372" s="1061"/>
      <c r="M1372" s="1061"/>
      <c r="N1372" s="1061"/>
      <c r="O1372" s="626"/>
    </row>
    <row r="1373" spans="1:15" x14ac:dyDescent="0.25">
      <c r="A1373" s="765"/>
      <c r="B1373" s="624"/>
      <c r="C1373" s="1061"/>
      <c r="D1373" s="1061"/>
      <c r="E1373" s="1061"/>
      <c r="F1373" s="1061"/>
      <c r="G1373" s="1061"/>
      <c r="H1373" s="1061"/>
      <c r="I1373" s="1061"/>
      <c r="J1373" s="1061"/>
      <c r="K1373" s="1061"/>
      <c r="L1373" s="1061"/>
      <c r="M1373" s="1061"/>
      <c r="N1373" s="1061"/>
      <c r="O1373" s="626"/>
    </row>
    <row r="1374" spans="1:15" x14ac:dyDescent="0.25">
      <c r="A1374" s="765"/>
      <c r="B1374" s="624"/>
      <c r="C1374" s="1061"/>
      <c r="D1374" s="1061"/>
      <c r="E1374" s="1061"/>
      <c r="F1374" s="1061"/>
      <c r="G1374" s="1061"/>
      <c r="H1374" s="1061"/>
      <c r="I1374" s="1061"/>
      <c r="J1374" s="1061"/>
      <c r="K1374" s="1061"/>
      <c r="L1374" s="1061"/>
      <c r="M1374" s="1061"/>
      <c r="N1374" s="1061"/>
      <c r="O1374" s="626"/>
    </row>
    <row r="1375" spans="1:15" x14ac:dyDescent="0.25">
      <c r="A1375" s="765"/>
      <c r="B1375" s="624"/>
      <c r="C1375" s="1061"/>
      <c r="D1375" s="1061"/>
      <c r="E1375" s="1061"/>
      <c r="F1375" s="1061"/>
      <c r="G1375" s="1061"/>
      <c r="H1375" s="1061"/>
      <c r="I1375" s="1061"/>
      <c r="J1375" s="1061"/>
      <c r="K1375" s="1061"/>
      <c r="L1375" s="1061"/>
      <c r="M1375" s="1061"/>
      <c r="N1375" s="1061"/>
      <c r="O1375" s="626"/>
    </row>
    <row r="1376" spans="1:15" x14ac:dyDescent="0.25">
      <c r="A1376" s="765"/>
      <c r="B1376" s="624"/>
      <c r="C1376" s="1061"/>
      <c r="D1376" s="1061"/>
      <c r="E1376" s="1061"/>
      <c r="F1376" s="1061"/>
      <c r="G1376" s="1061"/>
      <c r="H1376" s="1061"/>
      <c r="I1376" s="1061"/>
      <c r="J1376" s="1061"/>
      <c r="K1376" s="1061"/>
      <c r="L1376" s="1061"/>
      <c r="M1376" s="1061"/>
      <c r="N1376" s="1061"/>
      <c r="O1376" s="626"/>
    </row>
    <row r="1377" spans="1:15" x14ac:dyDescent="0.25">
      <c r="A1377" s="765"/>
      <c r="B1377" s="624"/>
      <c r="C1377" s="1061"/>
      <c r="D1377" s="1061"/>
      <c r="E1377" s="1061"/>
      <c r="F1377" s="1061"/>
      <c r="G1377" s="1061"/>
      <c r="H1377" s="1061"/>
      <c r="I1377" s="1061"/>
      <c r="J1377" s="1061"/>
      <c r="K1377" s="1061"/>
      <c r="L1377" s="1061"/>
      <c r="M1377" s="1061"/>
      <c r="N1377" s="1061"/>
      <c r="O1377" s="626"/>
    </row>
    <row r="1378" spans="1:15" x14ac:dyDescent="0.25">
      <c r="A1378" s="765"/>
      <c r="B1378" s="624"/>
      <c r="C1378" s="1061"/>
      <c r="D1378" s="1061"/>
      <c r="E1378" s="1061"/>
      <c r="F1378" s="1061"/>
      <c r="G1378" s="1061"/>
      <c r="H1378" s="1061"/>
      <c r="I1378" s="1061"/>
      <c r="J1378" s="1061"/>
      <c r="K1378" s="1061"/>
      <c r="L1378" s="1061"/>
      <c r="M1378" s="1061"/>
      <c r="N1378" s="1061"/>
      <c r="O1378" s="626"/>
    </row>
    <row r="1379" spans="1:15" x14ac:dyDescent="0.25">
      <c r="A1379" s="765"/>
      <c r="B1379" s="624"/>
      <c r="C1379" s="1061"/>
      <c r="D1379" s="1061"/>
      <c r="E1379" s="1061"/>
      <c r="F1379" s="1061"/>
      <c r="G1379" s="1061"/>
      <c r="H1379" s="1061"/>
      <c r="I1379" s="1061"/>
      <c r="J1379" s="1061"/>
      <c r="K1379" s="1061"/>
      <c r="L1379" s="1061"/>
      <c r="M1379" s="1061"/>
      <c r="N1379" s="1061"/>
      <c r="O1379" s="626"/>
    </row>
    <row r="1380" spans="1:15" x14ac:dyDescent="0.25">
      <c r="A1380" s="765"/>
      <c r="B1380" s="624"/>
      <c r="C1380" s="1061"/>
      <c r="D1380" s="1061"/>
      <c r="E1380" s="1061"/>
      <c r="F1380" s="1061"/>
      <c r="G1380" s="1061"/>
      <c r="H1380" s="1061"/>
      <c r="I1380" s="1061"/>
      <c r="J1380" s="1061"/>
      <c r="K1380" s="1061"/>
      <c r="L1380" s="1061"/>
      <c r="M1380" s="1061"/>
      <c r="N1380" s="1061"/>
      <c r="O1380" s="626"/>
    </row>
    <row r="1381" spans="1:15" x14ac:dyDescent="0.25">
      <c r="A1381" s="765"/>
      <c r="B1381" s="624"/>
      <c r="C1381" s="1061"/>
      <c r="D1381" s="1061"/>
      <c r="E1381" s="1061"/>
      <c r="F1381" s="1061"/>
      <c r="G1381" s="1061"/>
      <c r="H1381" s="1061"/>
      <c r="I1381" s="1061"/>
      <c r="J1381" s="1061"/>
      <c r="K1381" s="1061"/>
      <c r="L1381" s="1061"/>
      <c r="M1381" s="1061"/>
      <c r="N1381" s="1061"/>
      <c r="O1381" s="626"/>
    </row>
    <row r="1382" spans="1:15" x14ac:dyDescent="0.25">
      <c r="A1382" s="765"/>
      <c r="B1382" s="624"/>
      <c r="C1382" s="1061"/>
      <c r="D1382" s="1061"/>
      <c r="E1382" s="1061"/>
      <c r="F1382" s="1061"/>
      <c r="G1382" s="1061"/>
      <c r="H1382" s="1061"/>
      <c r="I1382" s="1061"/>
      <c r="J1382" s="1061"/>
      <c r="K1382" s="1061"/>
      <c r="L1382" s="1061"/>
      <c r="M1382" s="1061"/>
      <c r="N1382" s="1061"/>
      <c r="O1382" s="626"/>
    </row>
    <row r="1383" spans="1:15" x14ac:dyDescent="0.25">
      <c r="A1383" s="765"/>
      <c r="B1383" s="624"/>
      <c r="C1383" s="1061"/>
      <c r="D1383" s="1061"/>
      <c r="E1383" s="1061"/>
      <c r="F1383" s="1061"/>
      <c r="G1383" s="1061"/>
      <c r="H1383" s="1061"/>
      <c r="I1383" s="1061"/>
      <c r="J1383" s="1061"/>
      <c r="K1383" s="1061"/>
      <c r="L1383" s="1061"/>
      <c r="M1383" s="1061"/>
      <c r="N1383" s="1061"/>
      <c r="O1383" s="626"/>
    </row>
    <row r="1384" spans="1:15" x14ac:dyDescent="0.25">
      <c r="A1384" s="765"/>
      <c r="B1384" s="624"/>
      <c r="C1384" s="1061"/>
      <c r="D1384" s="1061"/>
      <c r="E1384" s="1061"/>
      <c r="F1384" s="1061"/>
      <c r="G1384" s="1061"/>
      <c r="H1384" s="1061"/>
      <c r="I1384" s="1061"/>
      <c r="J1384" s="1061"/>
      <c r="K1384" s="1061"/>
      <c r="L1384" s="1061"/>
      <c r="M1384" s="1061"/>
      <c r="N1384" s="1061"/>
      <c r="O1384" s="626"/>
    </row>
    <row r="1385" spans="1:15" x14ac:dyDescent="0.25">
      <c r="A1385" s="765"/>
      <c r="B1385" s="624"/>
      <c r="C1385" s="1061"/>
      <c r="D1385" s="1061"/>
      <c r="E1385" s="1061"/>
      <c r="F1385" s="1061"/>
      <c r="G1385" s="1061"/>
      <c r="H1385" s="1061"/>
      <c r="I1385" s="1061"/>
      <c r="J1385" s="1061"/>
      <c r="K1385" s="1061"/>
      <c r="L1385" s="1061"/>
      <c r="M1385" s="1061"/>
      <c r="N1385" s="1061"/>
      <c r="O1385" s="626"/>
    </row>
    <row r="1386" spans="1:15" x14ac:dyDescent="0.25">
      <c r="A1386" s="765"/>
      <c r="B1386" s="624"/>
      <c r="C1386" s="1061"/>
      <c r="D1386" s="1061"/>
      <c r="E1386" s="1061"/>
      <c r="F1386" s="1061"/>
      <c r="G1386" s="1061"/>
      <c r="H1386" s="1061"/>
      <c r="I1386" s="1061"/>
      <c r="J1386" s="1061"/>
      <c r="K1386" s="1061"/>
      <c r="L1386" s="1061"/>
      <c r="M1386" s="1061"/>
      <c r="N1386" s="1061"/>
      <c r="O1386" s="626"/>
    </row>
    <row r="1387" spans="1:15" x14ac:dyDescent="0.25">
      <c r="A1387" s="765"/>
      <c r="B1387" s="624"/>
      <c r="C1387" s="1061"/>
      <c r="D1387" s="1061"/>
      <c r="E1387" s="1061"/>
      <c r="F1387" s="1061"/>
      <c r="G1387" s="1061"/>
      <c r="H1387" s="1061"/>
      <c r="I1387" s="1061"/>
      <c r="J1387" s="1061"/>
      <c r="K1387" s="1061"/>
      <c r="L1387" s="1061"/>
      <c r="M1387" s="1061"/>
      <c r="N1387" s="1061"/>
      <c r="O1387" s="626"/>
    </row>
    <row r="1388" spans="1:15" x14ac:dyDescent="0.25">
      <c r="A1388" s="765"/>
      <c r="B1388" s="624"/>
      <c r="C1388" s="1061"/>
      <c r="D1388" s="1061"/>
      <c r="E1388" s="1061"/>
      <c r="F1388" s="1061"/>
      <c r="G1388" s="1061"/>
      <c r="H1388" s="1061"/>
      <c r="I1388" s="1061"/>
      <c r="J1388" s="1061"/>
      <c r="K1388" s="1061"/>
      <c r="L1388" s="1061"/>
      <c r="M1388" s="1061"/>
      <c r="N1388" s="1061"/>
      <c r="O1388" s="626"/>
    </row>
    <row r="1389" spans="1:15" x14ac:dyDescent="0.25">
      <c r="A1389" s="765"/>
      <c r="B1389" s="624"/>
      <c r="C1389" s="1061"/>
      <c r="D1389" s="1061"/>
      <c r="E1389" s="1061"/>
      <c r="F1389" s="1061"/>
      <c r="G1389" s="1061"/>
      <c r="H1389" s="1061"/>
      <c r="I1389" s="1061"/>
      <c r="J1389" s="1061"/>
      <c r="K1389" s="1061"/>
      <c r="L1389" s="1061"/>
      <c r="M1389" s="1061"/>
      <c r="N1389" s="1061"/>
      <c r="O1389" s="626"/>
    </row>
    <row r="1390" spans="1:15" x14ac:dyDescent="0.25">
      <c r="A1390" s="765"/>
      <c r="B1390" s="624"/>
      <c r="C1390" s="1061"/>
      <c r="D1390" s="1061"/>
      <c r="E1390" s="1061"/>
      <c r="F1390" s="1061"/>
      <c r="G1390" s="1061"/>
      <c r="H1390" s="1061"/>
      <c r="I1390" s="1061"/>
      <c r="J1390" s="1061"/>
      <c r="K1390" s="1061"/>
      <c r="L1390" s="1061"/>
      <c r="M1390" s="1061"/>
      <c r="N1390" s="1061"/>
      <c r="O1390" s="626"/>
    </row>
    <row r="1391" spans="1:15" x14ac:dyDescent="0.25">
      <c r="A1391" s="765"/>
      <c r="B1391" s="624"/>
      <c r="C1391" s="1061"/>
      <c r="D1391" s="1061"/>
      <c r="E1391" s="1061"/>
      <c r="F1391" s="1061"/>
      <c r="G1391" s="1061"/>
      <c r="H1391" s="1061"/>
      <c r="I1391" s="1061"/>
      <c r="J1391" s="1061"/>
      <c r="K1391" s="1061"/>
      <c r="L1391" s="1061"/>
      <c r="M1391" s="1061"/>
      <c r="N1391" s="1061"/>
      <c r="O1391" s="626"/>
    </row>
    <row r="1392" spans="1:15" x14ac:dyDescent="0.25">
      <c r="A1392" s="765"/>
      <c r="B1392" s="624"/>
      <c r="C1392" s="1061"/>
      <c r="D1392" s="1061"/>
      <c r="E1392" s="1061"/>
      <c r="F1392" s="1061"/>
      <c r="G1392" s="1061"/>
      <c r="H1392" s="1061"/>
      <c r="I1392" s="1061"/>
      <c r="J1392" s="1061"/>
      <c r="K1392" s="1061"/>
      <c r="L1392" s="1061"/>
      <c r="M1392" s="1061"/>
      <c r="N1392" s="1061"/>
      <c r="O1392" s="626"/>
    </row>
    <row r="1393" spans="1:15" x14ac:dyDescent="0.25">
      <c r="A1393" s="765"/>
      <c r="B1393" s="624"/>
      <c r="C1393" s="1061"/>
      <c r="D1393" s="1061"/>
      <c r="E1393" s="1061"/>
      <c r="F1393" s="1061"/>
      <c r="G1393" s="1061"/>
      <c r="H1393" s="1061"/>
      <c r="I1393" s="1061"/>
      <c r="J1393" s="1061"/>
      <c r="K1393" s="1061"/>
      <c r="L1393" s="1061"/>
      <c r="M1393" s="1061"/>
      <c r="N1393" s="1061"/>
      <c r="O1393" s="626"/>
    </row>
    <row r="1394" spans="1:15" x14ac:dyDescent="0.25">
      <c r="A1394" s="765"/>
      <c r="B1394" s="624"/>
      <c r="C1394" s="1061"/>
      <c r="D1394" s="1061"/>
      <c r="E1394" s="1061"/>
      <c r="F1394" s="1061"/>
      <c r="G1394" s="1061"/>
      <c r="H1394" s="1061"/>
      <c r="I1394" s="1061"/>
      <c r="J1394" s="1061"/>
      <c r="K1394" s="1061"/>
      <c r="L1394" s="1061"/>
      <c r="M1394" s="1061"/>
      <c r="N1394" s="1061"/>
      <c r="O1394" s="626"/>
    </row>
    <row r="1395" spans="1:15" x14ac:dyDescent="0.25">
      <c r="A1395" s="765"/>
      <c r="B1395" s="624"/>
      <c r="C1395" s="1061"/>
      <c r="D1395" s="1061"/>
      <c r="E1395" s="1061"/>
      <c r="F1395" s="1061"/>
      <c r="G1395" s="1061"/>
      <c r="H1395" s="1061"/>
      <c r="I1395" s="1061"/>
      <c r="J1395" s="1061"/>
      <c r="K1395" s="1061"/>
      <c r="L1395" s="1061"/>
      <c r="M1395" s="1061"/>
      <c r="N1395" s="1061"/>
      <c r="O1395" s="626"/>
    </row>
    <row r="1396" spans="1:15" x14ac:dyDescent="0.25">
      <c r="A1396" s="765"/>
      <c r="B1396" s="624"/>
      <c r="C1396" s="1061"/>
      <c r="D1396" s="1061"/>
      <c r="E1396" s="1061"/>
      <c r="F1396" s="1061"/>
      <c r="G1396" s="1061"/>
      <c r="H1396" s="1061"/>
      <c r="I1396" s="1061"/>
      <c r="J1396" s="1061"/>
      <c r="K1396" s="1061"/>
      <c r="L1396" s="1061"/>
      <c r="M1396" s="1061"/>
      <c r="N1396" s="1061"/>
      <c r="O1396" s="626"/>
    </row>
    <row r="1397" spans="1:15" x14ac:dyDescent="0.25">
      <c r="A1397" s="765"/>
      <c r="B1397" s="624"/>
      <c r="C1397" s="1061"/>
      <c r="D1397" s="1061"/>
      <c r="E1397" s="1061"/>
      <c r="F1397" s="1061"/>
      <c r="G1397" s="1061"/>
      <c r="H1397" s="1061"/>
      <c r="I1397" s="1061"/>
      <c r="J1397" s="1061"/>
      <c r="K1397" s="1061"/>
      <c r="L1397" s="1061"/>
      <c r="M1397" s="1061"/>
      <c r="N1397" s="1061"/>
      <c r="O1397" s="626"/>
    </row>
    <row r="1398" spans="1:15" x14ac:dyDescent="0.25">
      <c r="A1398" s="765"/>
      <c r="B1398" s="624"/>
      <c r="C1398" s="1061"/>
      <c r="D1398" s="1061"/>
      <c r="E1398" s="1061"/>
      <c r="F1398" s="1061"/>
      <c r="G1398" s="1061"/>
      <c r="H1398" s="1061"/>
      <c r="I1398" s="1061"/>
      <c r="J1398" s="1061"/>
      <c r="K1398" s="1061"/>
      <c r="L1398" s="1061"/>
      <c r="M1398" s="1061"/>
      <c r="N1398" s="1061"/>
      <c r="O1398" s="626"/>
    </row>
    <row r="1399" spans="1:15" x14ac:dyDescent="0.25">
      <c r="A1399" s="765"/>
      <c r="B1399" s="624"/>
      <c r="C1399" s="1061"/>
      <c r="D1399" s="1061"/>
      <c r="E1399" s="1061"/>
      <c r="F1399" s="1061"/>
      <c r="G1399" s="1061"/>
      <c r="H1399" s="1061"/>
      <c r="I1399" s="1061"/>
      <c r="J1399" s="1061"/>
      <c r="K1399" s="1061"/>
      <c r="L1399" s="1061"/>
      <c r="M1399" s="1061"/>
      <c r="N1399" s="1061"/>
      <c r="O1399" s="626"/>
    </row>
    <row r="1400" spans="1:15" x14ac:dyDescent="0.25">
      <c r="A1400" s="765"/>
      <c r="B1400" s="624"/>
      <c r="C1400" s="1061"/>
      <c r="D1400" s="1061"/>
      <c r="E1400" s="1061"/>
      <c r="F1400" s="1061"/>
      <c r="G1400" s="1061"/>
      <c r="H1400" s="1061"/>
      <c r="I1400" s="1061"/>
      <c r="J1400" s="1061"/>
      <c r="K1400" s="1061"/>
      <c r="L1400" s="1061"/>
      <c r="M1400" s="1061"/>
      <c r="N1400" s="1061"/>
      <c r="O1400" s="626"/>
    </row>
    <row r="1401" spans="1:15" x14ac:dyDescent="0.25">
      <c r="A1401" s="765"/>
      <c r="B1401" s="624"/>
      <c r="C1401" s="1061"/>
      <c r="D1401" s="1061"/>
      <c r="E1401" s="1061"/>
      <c r="F1401" s="1061"/>
      <c r="G1401" s="1061"/>
      <c r="H1401" s="1061"/>
      <c r="I1401" s="1061"/>
      <c r="J1401" s="1061"/>
      <c r="K1401" s="1061"/>
      <c r="L1401" s="1061"/>
      <c r="M1401" s="1061"/>
      <c r="N1401" s="1061"/>
      <c r="O1401" s="626"/>
    </row>
    <row r="1402" spans="1:15" x14ac:dyDescent="0.25">
      <c r="A1402" s="765"/>
      <c r="B1402" s="624"/>
      <c r="C1402" s="1061"/>
      <c r="D1402" s="1061"/>
      <c r="E1402" s="1061"/>
      <c r="F1402" s="1061"/>
      <c r="G1402" s="1061"/>
      <c r="H1402" s="1061"/>
      <c r="I1402" s="1061"/>
      <c r="J1402" s="1061"/>
      <c r="K1402" s="1061"/>
      <c r="L1402" s="1061"/>
      <c r="M1402" s="1061"/>
      <c r="N1402" s="1061"/>
      <c r="O1402" s="626"/>
    </row>
    <row r="1403" spans="1:15" x14ac:dyDescent="0.25">
      <c r="A1403" s="765"/>
      <c r="B1403" s="624"/>
      <c r="C1403" s="1061"/>
      <c r="D1403" s="1061"/>
      <c r="E1403" s="1061"/>
      <c r="F1403" s="1061"/>
      <c r="G1403" s="1061"/>
      <c r="H1403" s="1061"/>
      <c r="I1403" s="1061"/>
      <c r="J1403" s="1061"/>
      <c r="K1403" s="1061"/>
      <c r="L1403" s="1061"/>
      <c r="M1403" s="1061"/>
      <c r="N1403" s="1061"/>
      <c r="O1403" s="626"/>
    </row>
    <row r="1404" spans="1:15" x14ac:dyDescent="0.25">
      <c r="A1404" s="765"/>
      <c r="B1404" s="624"/>
      <c r="C1404" s="1061"/>
      <c r="D1404" s="1061"/>
      <c r="E1404" s="1061"/>
      <c r="F1404" s="1061"/>
      <c r="G1404" s="1061"/>
      <c r="H1404" s="1061"/>
      <c r="I1404" s="1061"/>
      <c r="J1404" s="1061"/>
      <c r="K1404" s="1061"/>
      <c r="L1404" s="1061"/>
      <c r="M1404" s="1061"/>
      <c r="N1404" s="1061"/>
      <c r="O1404" s="626"/>
    </row>
    <row r="1405" spans="1:15" x14ac:dyDescent="0.25">
      <c r="A1405" s="765"/>
      <c r="B1405" s="624"/>
      <c r="C1405" s="1061"/>
      <c r="D1405" s="1061"/>
      <c r="E1405" s="1061"/>
      <c r="F1405" s="1061"/>
      <c r="G1405" s="1061"/>
      <c r="H1405" s="1061"/>
      <c r="I1405" s="1061"/>
      <c r="J1405" s="1061"/>
      <c r="K1405" s="1061"/>
      <c r="L1405" s="1061"/>
      <c r="M1405" s="1061"/>
      <c r="N1405" s="1061"/>
      <c r="O1405" s="626"/>
    </row>
    <row r="1406" spans="1:15" x14ac:dyDescent="0.25">
      <c r="A1406" s="765"/>
      <c r="B1406" s="624"/>
      <c r="C1406" s="1061"/>
      <c r="D1406" s="1061"/>
      <c r="E1406" s="1061"/>
      <c r="F1406" s="1061"/>
      <c r="G1406" s="1061"/>
      <c r="H1406" s="1061"/>
      <c r="I1406" s="1061"/>
      <c r="J1406" s="1061"/>
      <c r="K1406" s="1061"/>
      <c r="L1406" s="1061"/>
      <c r="M1406" s="1061"/>
      <c r="N1406" s="1061"/>
      <c r="O1406" s="626"/>
    </row>
    <row r="1407" spans="1:15" x14ac:dyDescent="0.25">
      <c r="A1407" s="765"/>
      <c r="B1407" s="624"/>
      <c r="C1407" s="1061"/>
      <c r="D1407" s="1061"/>
      <c r="E1407" s="1061"/>
      <c r="F1407" s="1061"/>
      <c r="G1407" s="1061"/>
      <c r="H1407" s="1061"/>
      <c r="I1407" s="1061"/>
      <c r="J1407" s="1061"/>
      <c r="K1407" s="1061"/>
      <c r="L1407" s="1061"/>
      <c r="M1407" s="1061"/>
      <c r="N1407" s="1061"/>
      <c r="O1407" s="626"/>
    </row>
    <row r="1408" spans="1:15" x14ac:dyDescent="0.25">
      <c r="A1408" s="765"/>
      <c r="B1408" s="624"/>
      <c r="C1408" s="1061"/>
      <c r="D1408" s="1061"/>
      <c r="E1408" s="1061"/>
      <c r="F1408" s="1061"/>
      <c r="G1408" s="1061"/>
      <c r="H1408" s="1061"/>
      <c r="I1408" s="1061"/>
      <c r="J1408" s="1061"/>
      <c r="K1408" s="1061"/>
      <c r="L1408" s="1061"/>
      <c r="M1408" s="1061"/>
      <c r="N1408" s="1061"/>
      <c r="O1408" s="626"/>
    </row>
    <row r="1409" spans="1:15" x14ac:dyDescent="0.25">
      <c r="A1409" s="765"/>
      <c r="B1409" s="624"/>
      <c r="C1409" s="1061"/>
      <c r="D1409" s="1061"/>
      <c r="E1409" s="1061"/>
      <c r="F1409" s="1061"/>
      <c r="G1409" s="1061"/>
      <c r="H1409" s="1061"/>
      <c r="I1409" s="1061"/>
      <c r="J1409" s="1061"/>
      <c r="K1409" s="1061"/>
      <c r="L1409" s="1061"/>
      <c r="M1409" s="1061"/>
      <c r="N1409" s="1061"/>
      <c r="O1409" s="626"/>
    </row>
    <row r="1410" spans="1:15" x14ac:dyDescent="0.25">
      <c r="A1410" s="765"/>
      <c r="B1410" s="624"/>
      <c r="C1410" s="1061"/>
      <c r="D1410" s="1061"/>
      <c r="E1410" s="1061"/>
      <c r="F1410" s="1061"/>
      <c r="G1410" s="1061"/>
      <c r="H1410" s="1061"/>
      <c r="I1410" s="1061"/>
      <c r="J1410" s="1061"/>
      <c r="K1410" s="1061"/>
      <c r="L1410" s="1061"/>
      <c r="M1410" s="1061"/>
      <c r="N1410" s="1061"/>
      <c r="O1410" s="626"/>
    </row>
    <row r="1411" spans="1:15" x14ac:dyDescent="0.25">
      <c r="A1411" s="765"/>
      <c r="B1411" s="624"/>
      <c r="C1411" s="1061"/>
      <c r="D1411" s="1061"/>
      <c r="E1411" s="1061"/>
      <c r="F1411" s="1061"/>
      <c r="G1411" s="1061"/>
      <c r="H1411" s="1061"/>
      <c r="I1411" s="1061"/>
      <c r="J1411" s="1061"/>
      <c r="K1411" s="1061"/>
      <c r="L1411" s="1061"/>
      <c r="M1411" s="1061"/>
      <c r="N1411" s="1061"/>
      <c r="O1411" s="626"/>
    </row>
    <row r="1412" spans="1:15" x14ac:dyDescent="0.25">
      <c r="A1412" s="765"/>
      <c r="B1412" s="624"/>
      <c r="C1412" s="1061"/>
      <c r="D1412" s="1061"/>
      <c r="E1412" s="1061"/>
      <c r="F1412" s="1061"/>
      <c r="G1412" s="1061"/>
      <c r="H1412" s="1061"/>
      <c r="I1412" s="1061"/>
      <c r="J1412" s="1061"/>
      <c r="K1412" s="1061"/>
      <c r="L1412" s="1061"/>
      <c r="M1412" s="1061"/>
      <c r="N1412" s="1061"/>
      <c r="O1412" s="626"/>
    </row>
    <row r="1413" spans="1:15" x14ac:dyDescent="0.25">
      <c r="A1413" s="765"/>
      <c r="B1413" s="624"/>
      <c r="C1413" s="1061"/>
      <c r="D1413" s="1061"/>
      <c r="E1413" s="1061"/>
      <c r="F1413" s="1061"/>
      <c r="G1413" s="1061"/>
      <c r="H1413" s="1061"/>
      <c r="I1413" s="1061"/>
      <c r="J1413" s="1061"/>
      <c r="K1413" s="1061"/>
      <c r="L1413" s="1061"/>
      <c r="M1413" s="1061"/>
      <c r="N1413" s="1061"/>
      <c r="O1413" s="626"/>
    </row>
    <row r="1414" spans="1:15" x14ac:dyDescent="0.25">
      <c r="A1414" s="765"/>
      <c r="B1414" s="624"/>
      <c r="C1414" s="1061"/>
      <c r="D1414" s="1061"/>
      <c r="E1414" s="1061"/>
      <c r="F1414" s="1061"/>
      <c r="G1414" s="1061"/>
      <c r="H1414" s="1061"/>
      <c r="I1414" s="1061"/>
      <c r="J1414" s="1061"/>
      <c r="K1414" s="1061"/>
      <c r="L1414" s="1061"/>
      <c r="M1414" s="1061"/>
      <c r="N1414" s="1061"/>
      <c r="O1414" s="626"/>
    </row>
    <row r="1415" spans="1:15" x14ac:dyDescent="0.25">
      <c r="A1415" s="765"/>
      <c r="B1415" s="624"/>
      <c r="C1415" s="1061"/>
      <c r="D1415" s="1061"/>
      <c r="E1415" s="1061"/>
      <c r="F1415" s="1061"/>
      <c r="G1415" s="1061"/>
      <c r="H1415" s="1061"/>
      <c r="I1415" s="1061"/>
      <c r="J1415" s="1061"/>
      <c r="K1415" s="1061"/>
      <c r="L1415" s="1061"/>
      <c r="M1415" s="1061"/>
      <c r="N1415" s="1061"/>
      <c r="O1415" s="626"/>
    </row>
    <row r="1416" spans="1:15" x14ac:dyDescent="0.25">
      <c r="A1416" s="765"/>
      <c r="B1416" s="624"/>
      <c r="C1416" s="1061"/>
      <c r="D1416" s="1061"/>
      <c r="E1416" s="1061"/>
      <c r="F1416" s="1061"/>
      <c r="G1416" s="1061"/>
      <c r="H1416" s="1061"/>
      <c r="I1416" s="1061"/>
      <c r="J1416" s="1061"/>
      <c r="K1416" s="1061"/>
      <c r="L1416" s="1061"/>
      <c r="M1416" s="1061"/>
      <c r="N1416" s="1061"/>
      <c r="O1416" s="626"/>
    </row>
    <row r="1417" spans="1:15" x14ac:dyDescent="0.25">
      <c r="A1417" s="765"/>
      <c r="B1417" s="624"/>
      <c r="C1417" s="1061"/>
      <c r="D1417" s="1061"/>
      <c r="E1417" s="1061"/>
      <c r="F1417" s="1061"/>
      <c r="G1417" s="1061"/>
      <c r="H1417" s="1061"/>
      <c r="I1417" s="1061"/>
      <c r="J1417" s="1061"/>
      <c r="K1417" s="1061"/>
      <c r="L1417" s="1061"/>
      <c r="M1417" s="1061"/>
      <c r="N1417" s="1061"/>
      <c r="O1417" s="626"/>
    </row>
    <row r="1418" spans="1:15" x14ac:dyDescent="0.25">
      <c r="A1418" s="765"/>
      <c r="B1418" s="624"/>
      <c r="C1418" s="1061"/>
      <c r="D1418" s="1061"/>
      <c r="E1418" s="1061"/>
      <c r="F1418" s="1061"/>
      <c r="G1418" s="1061"/>
      <c r="H1418" s="1061"/>
      <c r="I1418" s="1061"/>
      <c r="J1418" s="1061"/>
      <c r="K1418" s="1061"/>
      <c r="L1418" s="1061"/>
      <c r="M1418" s="1061"/>
      <c r="N1418" s="1061"/>
      <c r="O1418" s="626"/>
    </row>
    <row r="1419" spans="1:15" x14ac:dyDescent="0.25">
      <c r="A1419" s="765"/>
      <c r="B1419" s="624"/>
      <c r="C1419" s="1061"/>
      <c r="D1419" s="1061"/>
      <c r="E1419" s="1061"/>
      <c r="F1419" s="1061"/>
      <c r="G1419" s="1061"/>
      <c r="H1419" s="1061"/>
      <c r="I1419" s="1061"/>
      <c r="J1419" s="1061"/>
      <c r="K1419" s="1061"/>
      <c r="L1419" s="1061"/>
      <c r="M1419" s="1061"/>
      <c r="N1419" s="1061"/>
      <c r="O1419" s="626"/>
    </row>
    <row r="1420" spans="1:15" x14ac:dyDescent="0.25">
      <c r="A1420" s="765"/>
      <c r="B1420" s="624"/>
      <c r="C1420" s="1061"/>
      <c r="D1420" s="1061"/>
      <c r="E1420" s="1061"/>
      <c r="F1420" s="1061"/>
      <c r="G1420" s="1061"/>
      <c r="H1420" s="1061"/>
      <c r="I1420" s="1061"/>
      <c r="J1420" s="1061"/>
      <c r="K1420" s="1061"/>
      <c r="L1420" s="1061"/>
      <c r="M1420" s="1061"/>
      <c r="N1420" s="1061"/>
      <c r="O1420" s="626"/>
    </row>
    <row r="1421" spans="1:15" x14ac:dyDescent="0.25">
      <c r="A1421" s="765"/>
      <c r="B1421" s="624"/>
      <c r="C1421" s="1061"/>
      <c r="D1421" s="1061"/>
      <c r="E1421" s="1061"/>
      <c r="F1421" s="1061"/>
      <c r="G1421" s="1061"/>
      <c r="H1421" s="1061"/>
      <c r="I1421" s="1061"/>
      <c r="J1421" s="1061"/>
      <c r="K1421" s="1061"/>
      <c r="L1421" s="1061"/>
      <c r="M1421" s="1061"/>
      <c r="N1421" s="1061"/>
      <c r="O1421" s="626"/>
    </row>
    <row r="1422" spans="1:15" x14ac:dyDescent="0.25">
      <c r="A1422" s="765"/>
      <c r="B1422" s="624"/>
      <c r="C1422" s="1061"/>
      <c r="D1422" s="1061"/>
      <c r="E1422" s="1061"/>
      <c r="F1422" s="1061"/>
      <c r="G1422" s="1061"/>
      <c r="H1422" s="1061"/>
      <c r="I1422" s="1061"/>
      <c r="J1422" s="1061"/>
      <c r="K1422" s="1061"/>
      <c r="L1422" s="1061"/>
      <c r="M1422" s="1061"/>
      <c r="N1422" s="1061"/>
      <c r="O1422" s="626"/>
    </row>
    <row r="1423" spans="1:15" x14ac:dyDescent="0.25">
      <c r="A1423" s="765"/>
      <c r="B1423" s="624"/>
      <c r="C1423" s="1061"/>
      <c r="D1423" s="1061"/>
      <c r="E1423" s="1061"/>
      <c r="F1423" s="1061"/>
      <c r="G1423" s="1061"/>
      <c r="H1423" s="1061"/>
      <c r="I1423" s="1061"/>
      <c r="J1423" s="1061"/>
      <c r="K1423" s="1061"/>
      <c r="L1423" s="1061"/>
      <c r="M1423" s="1061"/>
      <c r="N1423" s="1061"/>
      <c r="O1423" s="626"/>
    </row>
    <row r="1424" spans="1:15" x14ac:dyDescent="0.25">
      <c r="A1424" s="765"/>
      <c r="B1424" s="624"/>
      <c r="C1424" s="1061"/>
      <c r="D1424" s="1061"/>
      <c r="E1424" s="1061"/>
      <c r="F1424" s="1061"/>
      <c r="G1424" s="1061"/>
      <c r="H1424" s="1061"/>
      <c r="I1424" s="1061"/>
      <c r="J1424" s="1061"/>
      <c r="K1424" s="1061"/>
      <c r="L1424" s="1061"/>
      <c r="M1424" s="1061"/>
      <c r="N1424" s="1061"/>
      <c r="O1424" s="626"/>
    </row>
    <row r="1425" spans="1:15" x14ac:dyDescent="0.25">
      <c r="A1425" s="765"/>
      <c r="B1425" s="624"/>
      <c r="C1425" s="1061"/>
      <c r="D1425" s="1061"/>
      <c r="E1425" s="1061"/>
      <c r="F1425" s="1061"/>
      <c r="G1425" s="1061"/>
      <c r="H1425" s="1061"/>
      <c r="I1425" s="1061"/>
      <c r="J1425" s="1061"/>
      <c r="K1425" s="1061"/>
      <c r="L1425" s="1061"/>
      <c r="M1425" s="1061"/>
      <c r="N1425" s="1061"/>
      <c r="O1425" s="626"/>
    </row>
    <row r="1426" spans="1:15" x14ac:dyDescent="0.25">
      <c r="A1426" s="765"/>
      <c r="B1426" s="624"/>
      <c r="C1426" s="1061"/>
      <c r="D1426" s="1061"/>
      <c r="E1426" s="1061"/>
      <c r="F1426" s="1061"/>
      <c r="G1426" s="1061"/>
      <c r="H1426" s="1061"/>
      <c r="I1426" s="1061"/>
      <c r="J1426" s="1061"/>
      <c r="K1426" s="1061"/>
      <c r="L1426" s="1061"/>
      <c r="M1426" s="1061"/>
      <c r="N1426" s="1061"/>
      <c r="O1426" s="626"/>
    </row>
    <row r="1427" spans="1:15" x14ac:dyDescent="0.25">
      <c r="A1427" s="765"/>
      <c r="B1427" s="624"/>
      <c r="C1427" s="1061"/>
      <c r="D1427" s="1061"/>
      <c r="E1427" s="1061"/>
      <c r="F1427" s="1061"/>
      <c r="G1427" s="1061"/>
      <c r="H1427" s="1061"/>
      <c r="I1427" s="1061"/>
      <c r="J1427" s="1061"/>
      <c r="K1427" s="1061"/>
      <c r="L1427" s="1061"/>
      <c r="M1427" s="1061"/>
      <c r="N1427" s="1061"/>
      <c r="O1427" s="626"/>
    </row>
    <row r="1428" spans="1:15" x14ac:dyDescent="0.25">
      <c r="A1428" s="765"/>
      <c r="B1428" s="624"/>
      <c r="C1428" s="1061"/>
      <c r="D1428" s="1061"/>
      <c r="E1428" s="1061"/>
      <c r="F1428" s="1061"/>
      <c r="G1428" s="1061"/>
      <c r="H1428" s="1061"/>
      <c r="I1428" s="1061"/>
      <c r="J1428" s="1061"/>
      <c r="K1428" s="1061"/>
      <c r="L1428" s="1061"/>
      <c r="M1428" s="1061"/>
      <c r="N1428" s="1061"/>
      <c r="O1428" s="626"/>
    </row>
    <row r="1429" spans="1:15" x14ac:dyDescent="0.25">
      <c r="A1429" s="765"/>
      <c r="B1429" s="624"/>
      <c r="C1429" s="1061"/>
      <c r="D1429" s="1061"/>
      <c r="E1429" s="1061"/>
      <c r="F1429" s="1061"/>
      <c r="G1429" s="1061"/>
      <c r="H1429" s="1061"/>
      <c r="I1429" s="1061"/>
      <c r="J1429" s="1061"/>
      <c r="K1429" s="1061"/>
      <c r="L1429" s="1061"/>
      <c r="M1429" s="1061"/>
      <c r="N1429" s="1061"/>
      <c r="O1429" s="626"/>
    </row>
    <row r="1430" spans="1:15" x14ac:dyDescent="0.25">
      <c r="A1430" s="765"/>
      <c r="B1430" s="624"/>
      <c r="C1430" s="1061"/>
      <c r="D1430" s="1061"/>
      <c r="E1430" s="1061"/>
      <c r="F1430" s="1061"/>
      <c r="G1430" s="1061"/>
      <c r="H1430" s="1061"/>
      <c r="I1430" s="1061"/>
      <c r="J1430" s="1061"/>
      <c r="K1430" s="1061"/>
      <c r="L1430" s="1061"/>
      <c r="M1430" s="1061"/>
      <c r="N1430" s="1061"/>
      <c r="O1430" s="626"/>
    </row>
    <row r="1431" spans="1:15" x14ac:dyDescent="0.25">
      <c r="A1431" s="765"/>
      <c r="B1431" s="624"/>
      <c r="C1431" s="1061"/>
      <c r="D1431" s="1061"/>
      <c r="E1431" s="1061"/>
      <c r="F1431" s="1061"/>
      <c r="G1431" s="1061"/>
      <c r="H1431" s="1061"/>
      <c r="I1431" s="1061"/>
      <c r="J1431" s="1061"/>
      <c r="K1431" s="1061"/>
      <c r="L1431" s="1061"/>
      <c r="M1431" s="1061"/>
      <c r="N1431" s="1061"/>
      <c r="O1431" s="626"/>
    </row>
    <row r="1432" spans="1:15" x14ac:dyDescent="0.25">
      <c r="A1432" s="765"/>
      <c r="B1432" s="624"/>
      <c r="C1432" s="1061"/>
      <c r="D1432" s="1061"/>
      <c r="E1432" s="1061"/>
      <c r="F1432" s="1061"/>
      <c r="G1432" s="1061"/>
      <c r="H1432" s="1061"/>
      <c r="I1432" s="1061"/>
      <c r="J1432" s="1061"/>
      <c r="K1432" s="1061"/>
      <c r="L1432" s="1061"/>
      <c r="M1432" s="1061"/>
      <c r="N1432" s="1061"/>
      <c r="O1432" s="626"/>
    </row>
    <row r="1433" spans="1:15" x14ac:dyDescent="0.25">
      <c r="A1433" s="765"/>
      <c r="B1433" s="624"/>
      <c r="C1433" s="1061"/>
      <c r="D1433" s="1061"/>
      <c r="E1433" s="1061"/>
      <c r="F1433" s="1061"/>
      <c r="G1433" s="1061"/>
      <c r="H1433" s="1061"/>
      <c r="I1433" s="1061"/>
      <c r="J1433" s="1061"/>
      <c r="K1433" s="1061"/>
      <c r="L1433" s="1061"/>
      <c r="M1433" s="1061"/>
      <c r="N1433" s="1061"/>
      <c r="O1433" s="626"/>
    </row>
    <row r="1434" spans="1:15" x14ac:dyDescent="0.25">
      <c r="A1434" s="765"/>
      <c r="B1434" s="624"/>
      <c r="C1434" s="1061"/>
      <c r="D1434" s="1061"/>
      <c r="E1434" s="1061"/>
      <c r="F1434" s="1061"/>
      <c r="G1434" s="1061"/>
      <c r="H1434" s="1061"/>
      <c r="I1434" s="1061"/>
      <c r="J1434" s="1061"/>
      <c r="K1434" s="1061"/>
      <c r="L1434" s="1061"/>
      <c r="M1434" s="1061"/>
      <c r="N1434" s="1061"/>
      <c r="O1434" s="626"/>
    </row>
    <row r="1435" spans="1:15" x14ac:dyDescent="0.25">
      <c r="A1435" s="765"/>
      <c r="B1435" s="624"/>
      <c r="C1435" s="1061"/>
      <c r="D1435" s="1061"/>
      <c r="E1435" s="1061"/>
      <c r="F1435" s="1061"/>
      <c r="G1435" s="1061"/>
      <c r="H1435" s="1061"/>
      <c r="I1435" s="1061"/>
      <c r="J1435" s="1061"/>
      <c r="K1435" s="1061"/>
      <c r="L1435" s="1061"/>
      <c r="M1435" s="1061"/>
      <c r="N1435" s="1061"/>
      <c r="O1435" s="626"/>
    </row>
    <row r="1436" spans="1:15" x14ac:dyDescent="0.25">
      <c r="A1436" s="765"/>
      <c r="B1436" s="624"/>
      <c r="C1436" s="1061"/>
      <c r="D1436" s="1061"/>
      <c r="E1436" s="1061"/>
      <c r="F1436" s="1061"/>
      <c r="G1436" s="1061"/>
      <c r="H1436" s="1061"/>
      <c r="I1436" s="1061"/>
      <c r="J1436" s="1061"/>
      <c r="K1436" s="1061"/>
      <c r="L1436" s="1061"/>
      <c r="M1436" s="1061"/>
      <c r="N1436" s="1061"/>
      <c r="O1436" s="626"/>
    </row>
    <row r="1437" spans="1:15" x14ac:dyDescent="0.25">
      <c r="A1437" s="765"/>
      <c r="B1437" s="624"/>
      <c r="C1437" s="1061"/>
      <c r="D1437" s="1061"/>
      <c r="E1437" s="1061"/>
      <c r="F1437" s="1061"/>
      <c r="G1437" s="1061"/>
      <c r="H1437" s="1061"/>
      <c r="I1437" s="1061"/>
      <c r="J1437" s="1061"/>
      <c r="K1437" s="1061"/>
      <c r="L1437" s="1061"/>
      <c r="M1437" s="1061"/>
      <c r="N1437" s="1061"/>
      <c r="O1437" s="626"/>
    </row>
    <row r="1438" spans="1:15" x14ac:dyDescent="0.25">
      <c r="A1438" s="765"/>
      <c r="B1438" s="624"/>
      <c r="C1438" s="1061"/>
      <c r="D1438" s="1061"/>
      <c r="E1438" s="1061"/>
      <c r="F1438" s="1061"/>
      <c r="G1438" s="1061"/>
      <c r="H1438" s="1061"/>
      <c r="I1438" s="1061"/>
      <c r="J1438" s="1061"/>
      <c r="K1438" s="1061"/>
      <c r="L1438" s="1061"/>
      <c r="M1438" s="1061"/>
      <c r="N1438" s="1061"/>
      <c r="O1438" s="626"/>
    </row>
    <row r="1439" spans="1:15" x14ac:dyDescent="0.25">
      <c r="A1439" s="765"/>
      <c r="B1439" s="624"/>
      <c r="C1439" s="1061"/>
      <c r="D1439" s="1061"/>
      <c r="E1439" s="1061"/>
      <c r="F1439" s="1061"/>
      <c r="G1439" s="1061"/>
      <c r="H1439" s="1061"/>
      <c r="I1439" s="1061"/>
      <c r="J1439" s="1061"/>
      <c r="K1439" s="1061"/>
      <c r="L1439" s="1061"/>
      <c r="M1439" s="1061"/>
      <c r="N1439" s="1061"/>
      <c r="O1439" s="626"/>
    </row>
    <row r="1440" spans="1:15" x14ac:dyDescent="0.25">
      <c r="A1440" s="765"/>
      <c r="B1440" s="624"/>
      <c r="C1440" s="1061"/>
      <c r="D1440" s="1061"/>
      <c r="E1440" s="1061"/>
      <c r="F1440" s="1061"/>
      <c r="G1440" s="1061"/>
      <c r="H1440" s="1061"/>
      <c r="I1440" s="1061"/>
      <c r="J1440" s="1061"/>
      <c r="K1440" s="1061"/>
      <c r="L1440" s="1061"/>
      <c r="M1440" s="1061"/>
      <c r="N1440" s="1061"/>
      <c r="O1440" s="626"/>
    </row>
    <row r="1441" spans="1:15" x14ac:dyDescent="0.25">
      <c r="A1441" s="765"/>
      <c r="B1441" s="624"/>
      <c r="C1441" s="1061"/>
      <c r="D1441" s="1061"/>
      <c r="E1441" s="1061"/>
      <c r="F1441" s="1061"/>
      <c r="G1441" s="1061"/>
      <c r="H1441" s="1061"/>
      <c r="I1441" s="1061"/>
      <c r="J1441" s="1061"/>
      <c r="K1441" s="1061"/>
      <c r="L1441" s="1061"/>
      <c r="M1441" s="1061"/>
      <c r="N1441" s="1061"/>
      <c r="O1441" s="626"/>
    </row>
    <row r="1442" spans="1:15" x14ac:dyDescent="0.25">
      <c r="A1442" s="765"/>
      <c r="B1442" s="624"/>
      <c r="C1442" s="1061"/>
      <c r="D1442" s="1061"/>
      <c r="E1442" s="1061"/>
      <c r="F1442" s="1061"/>
      <c r="G1442" s="1061"/>
      <c r="H1442" s="1061"/>
      <c r="I1442" s="1061"/>
      <c r="J1442" s="1061"/>
      <c r="K1442" s="1061"/>
      <c r="L1442" s="1061"/>
      <c r="M1442" s="1061"/>
      <c r="N1442" s="1061"/>
      <c r="O1442" s="626"/>
    </row>
    <row r="1443" spans="1:15" x14ac:dyDescent="0.25">
      <c r="A1443" s="765"/>
      <c r="B1443" s="624"/>
      <c r="C1443" s="1061"/>
      <c r="D1443" s="1061"/>
      <c r="E1443" s="1061"/>
      <c r="F1443" s="1061"/>
      <c r="G1443" s="1061"/>
      <c r="H1443" s="1061"/>
      <c r="I1443" s="1061"/>
      <c r="J1443" s="1061"/>
      <c r="K1443" s="1061"/>
      <c r="L1443" s="1061"/>
      <c r="M1443" s="1061"/>
      <c r="N1443" s="1061"/>
      <c r="O1443" s="626"/>
    </row>
    <row r="1444" spans="1:15" x14ac:dyDescent="0.25">
      <c r="A1444" s="765"/>
      <c r="B1444" s="624"/>
      <c r="C1444" s="1061"/>
      <c r="D1444" s="1061"/>
      <c r="E1444" s="1061"/>
      <c r="F1444" s="1061"/>
      <c r="G1444" s="1061"/>
      <c r="H1444" s="1061"/>
      <c r="I1444" s="1061"/>
      <c r="J1444" s="1061"/>
      <c r="K1444" s="1061"/>
      <c r="L1444" s="1061"/>
      <c r="M1444" s="1061"/>
      <c r="N1444" s="1061"/>
      <c r="O1444" s="626"/>
    </row>
    <row r="1445" spans="1:15" x14ac:dyDescent="0.25">
      <c r="A1445" s="765"/>
      <c r="B1445" s="624"/>
      <c r="C1445" s="1061"/>
      <c r="D1445" s="1061"/>
      <c r="E1445" s="1061"/>
      <c r="F1445" s="1061"/>
      <c r="G1445" s="1061"/>
      <c r="H1445" s="1061"/>
      <c r="I1445" s="1061"/>
      <c r="J1445" s="1061"/>
      <c r="K1445" s="1061"/>
      <c r="L1445" s="1061"/>
      <c r="M1445" s="1061"/>
      <c r="N1445" s="1061"/>
      <c r="O1445" s="626"/>
    </row>
    <row r="1446" spans="1:15" x14ac:dyDescent="0.25">
      <c r="A1446" s="765"/>
      <c r="B1446" s="624"/>
      <c r="C1446" s="1061"/>
      <c r="D1446" s="1061"/>
      <c r="E1446" s="1061"/>
      <c r="F1446" s="1061"/>
      <c r="G1446" s="1061"/>
      <c r="H1446" s="1061"/>
      <c r="I1446" s="1061"/>
      <c r="J1446" s="1061"/>
      <c r="K1446" s="1061"/>
      <c r="L1446" s="1061"/>
      <c r="M1446" s="1061"/>
      <c r="N1446" s="1061"/>
      <c r="O1446" s="626"/>
    </row>
    <row r="1447" spans="1:15" x14ac:dyDescent="0.25">
      <c r="A1447" s="765"/>
      <c r="B1447" s="624"/>
      <c r="C1447" s="1061"/>
      <c r="D1447" s="1061"/>
      <c r="E1447" s="1061"/>
      <c r="F1447" s="1061"/>
      <c r="G1447" s="1061"/>
      <c r="H1447" s="1061"/>
      <c r="I1447" s="1061"/>
      <c r="J1447" s="1061"/>
      <c r="K1447" s="1061"/>
      <c r="L1447" s="1061"/>
      <c r="M1447" s="1061"/>
      <c r="N1447" s="1061"/>
      <c r="O1447" s="626"/>
    </row>
    <row r="1448" spans="1:15" x14ac:dyDescent="0.25">
      <c r="A1448" s="765"/>
      <c r="B1448" s="624"/>
      <c r="C1448" s="1061"/>
      <c r="D1448" s="1061"/>
      <c r="E1448" s="1061"/>
      <c r="F1448" s="1061"/>
      <c r="G1448" s="1061"/>
      <c r="H1448" s="1061"/>
      <c r="I1448" s="1061"/>
      <c r="J1448" s="1061"/>
      <c r="K1448" s="1061"/>
      <c r="L1448" s="1061"/>
      <c r="M1448" s="1061"/>
      <c r="N1448" s="1061"/>
      <c r="O1448" s="626"/>
    </row>
    <row r="1449" spans="1:15" x14ac:dyDescent="0.25">
      <c r="A1449" s="765"/>
      <c r="B1449" s="624"/>
      <c r="C1449" s="1061"/>
      <c r="D1449" s="1061"/>
      <c r="E1449" s="1061"/>
      <c r="F1449" s="1061"/>
      <c r="G1449" s="1061"/>
      <c r="H1449" s="1061"/>
      <c r="I1449" s="1061"/>
      <c r="J1449" s="1061"/>
      <c r="K1449" s="1061"/>
      <c r="L1449" s="1061"/>
      <c r="M1449" s="1061"/>
      <c r="N1449" s="1061"/>
      <c r="O1449" s="626"/>
    </row>
    <row r="1450" spans="1:15" x14ac:dyDescent="0.25">
      <c r="A1450" s="765"/>
      <c r="B1450" s="624"/>
      <c r="C1450" s="1061"/>
      <c r="D1450" s="1061"/>
      <c r="E1450" s="1061"/>
      <c r="F1450" s="1061"/>
      <c r="G1450" s="1061"/>
      <c r="H1450" s="1061"/>
      <c r="I1450" s="1061"/>
      <c r="J1450" s="1061"/>
      <c r="K1450" s="1061"/>
      <c r="L1450" s="1061"/>
      <c r="M1450" s="1061"/>
      <c r="N1450" s="1061"/>
      <c r="O1450" s="626"/>
    </row>
    <row r="1451" spans="1:15" x14ac:dyDescent="0.25">
      <c r="A1451" s="765"/>
      <c r="B1451" s="624"/>
      <c r="C1451" s="1061"/>
      <c r="D1451" s="1061"/>
      <c r="E1451" s="1061"/>
      <c r="F1451" s="1061"/>
      <c r="G1451" s="1061"/>
      <c r="H1451" s="1061"/>
      <c r="I1451" s="1061"/>
      <c r="J1451" s="1061"/>
      <c r="K1451" s="1061"/>
      <c r="L1451" s="1061"/>
      <c r="M1451" s="1061"/>
      <c r="N1451" s="1061"/>
      <c r="O1451" s="626"/>
    </row>
    <row r="1452" spans="1:15" x14ac:dyDescent="0.25">
      <c r="A1452" s="765"/>
      <c r="B1452" s="624"/>
      <c r="C1452" s="1061"/>
      <c r="D1452" s="1061"/>
      <c r="E1452" s="1061"/>
      <c r="F1452" s="1061"/>
      <c r="G1452" s="1061"/>
      <c r="H1452" s="1061"/>
      <c r="I1452" s="1061"/>
      <c r="J1452" s="1061"/>
      <c r="K1452" s="1061"/>
      <c r="L1452" s="1061"/>
      <c r="M1452" s="1061"/>
      <c r="N1452" s="1061"/>
      <c r="O1452" s="626"/>
    </row>
    <row r="1453" spans="1:15" x14ac:dyDescent="0.25">
      <c r="A1453" s="765"/>
      <c r="B1453" s="624"/>
      <c r="C1453" s="1061"/>
      <c r="D1453" s="1061"/>
      <c r="E1453" s="1061"/>
      <c r="F1453" s="1061"/>
      <c r="G1453" s="1061"/>
      <c r="H1453" s="1061"/>
      <c r="I1453" s="1061"/>
      <c r="J1453" s="1061"/>
      <c r="K1453" s="1061"/>
      <c r="L1453" s="1061"/>
      <c r="M1453" s="1061"/>
      <c r="N1453" s="1061"/>
      <c r="O1453" s="626"/>
    </row>
    <row r="1454" spans="1:15" x14ac:dyDescent="0.25">
      <c r="A1454" s="765"/>
      <c r="B1454" s="624"/>
      <c r="C1454" s="1061"/>
      <c r="D1454" s="1061"/>
      <c r="E1454" s="1061"/>
      <c r="F1454" s="1061"/>
      <c r="G1454" s="1061"/>
      <c r="H1454" s="1061"/>
      <c r="I1454" s="1061"/>
      <c r="J1454" s="1061"/>
      <c r="K1454" s="1061"/>
      <c r="L1454" s="1061"/>
      <c r="M1454" s="1061"/>
      <c r="N1454" s="1061"/>
      <c r="O1454" s="626"/>
    </row>
    <row r="1455" spans="1:15" x14ac:dyDescent="0.25">
      <c r="A1455" s="765"/>
      <c r="B1455" s="624"/>
      <c r="C1455" s="1061"/>
      <c r="D1455" s="1061"/>
      <c r="E1455" s="1061"/>
      <c r="F1455" s="1061"/>
      <c r="G1455" s="1061"/>
      <c r="H1455" s="1061"/>
      <c r="I1455" s="1061"/>
      <c r="J1455" s="1061"/>
      <c r="K1455" s="1061"/>
      <c r="L1455" s="1061"/>
      <c r="M1455" s="1061"/>
      <c r="N1455" s="1061"/>
      <c r="O1455" s="626"/>
    </row>
    <row r="1456" spans="1:15" x14ac:dyDescent="0.25">
      <c r="A1456" s="765"/>
      <c r="B1456" s="624"/>
      <c r="C1456" s="1061"/>
      <c r="D1456" s="1061"/>
      <c r="E1456" s="1061"/>
      <c r="F1456" s="1061"/>
      <c r="G1456" s="1061"/>
      <c r="H1456" s="1061"/>
      <c r="I1456" s="1061"/>
      <c r="J1456" s="1061"/>
      <c r="K1456" s="1061"/>
      <c r="L1456" s="1061"/>
      <c r="M1456" s="1061"/>
      <c r="N1456" s="1061"/>
      <c r="O1456" s="626"/>
    </row>
    <row r="1457" spans="1:15" x14ac:dyDescent="0.25">
      <c r="A1457" s="765"/>
      <c r="B1457" s="624"/>
      <c r="C1457" s="1061"/>
      <c r="D1457" s="1061"/>
      <c r="E1457" s="1061"/>
      <c r="F1457" s="1061"/>
      <c r="G1457" s="1061"/>
      <c r="H1457" s="1061"/>
      <c r="I1457" s="1061"/>
      <c r="J1457" s="1061"/>
      <c r="K1457" s="1061"/>
      <c r="L1457" s="1061"/>
      <c r="M1457" s="1061"/>
      <c r="N1457" s="1061"/>
      <c r="O1457" s="626"/>
    </row>
    <row r="1458" spans="1:15" x14ac:dyDescent="0.25">
      <c r="A1458" s="765"/>
      <c r="B1458" s="624"/>
      <c r="C1458" s="1061"/>
      <c r="D1458" s="1061"/>
      <c r="E1458" s="1061"/>
      <c r="F1458" s="1061"/>
      <c r="G1458" s="1061"/>
      <c r="H1458" s="1061"/>
      <c r="I1458" s="1061"/>
      <c r="J1458" s="1061"/>
      <c r="K1458" s="1061"/>
      <c r="L1458" s="1061"/>
      <c r="M1458" s="1061"/>
      <c r="N1458" s="1061"/>
      <c r="O1458" s="626"/>
    </row>
    <row r="1459" spans="1:15" x14ac:dyDescent="0.25">
      <c r="A1459" s="765"/>
      <c r="B1459" s="624"/>
      <c r="C1459" s="1061"/>
      <c r="D1459" s="1061"/>
      <c r="E1459" s="1061"/>
      <c r="F1459" s="1061"/>
      <c r="G1459" s="1061"/>
      <c r="H1459" s="1061"/>
      <c r="I1459" s="1061"/>
      <c r="J1459" s="1061"/>
      <c r="K1459" s="1061"/>
      <c r="L1459" s="1061"/>
      <c r="M1459" s="1061"/>
      <c r="N1459" s="1061"/>
      <c r="O1459" s="626"/>
    </row>
    <row r="1460" spans="1:15" x14ac:dyDescent="0.25">
      <c r="A1460" s="765"/>
      <c r="B1460" s="624"/>
      <c r="C1460" s="1061"/>
      <c r="D1460" s="1061"/>
      <c r="E1460" s="1061"/>
      <c r="F1460" s="1061"/>
      <c r="G1460" s="1061"/>
      <c r="H1460" s="1061"/>
      <c r="I1460" s="1061"/>
      <c r="J1460" s="1061"/>
      <c r="K1460" s="1061"/>
      <c r="L1460" s="1061"/>
      <c r="M1460" s="1061"/>
      <c r="N1460" s="1061"/>
      <c r="O1460" s="626"/>
    </row>
    <row r="1461" spans="1:15" x14ac:dyDescent="0.25">
      <c r="A1461" s="765"/>
      <c r="B1461" s="624"/>
      <c r="C1461" s="1061"/>
      <c r="D1461" s="1061"/>
      <c r="E1461" s="1061"/>
      <c r="F1461" s="1061"/>
      <c r="G1461" s="1061"/>
      <c r="H1461" s="1061"/>
      <c r="I1461" s="1061"/>
      <c r="J1461" s="1061"/>
      <c r="K1461" s="1061"/>
      <c r="L1461" s="1061"/>
      <c r="M1461" s="1061"/>
      <c r="N1461" s="1061"/>
      <c r="O1461" s="626"/>
    </row>
    <row r="1462" spans="1:15" x14ac:dyDescent="0.25">
      <c r="A1462" s="765"/>
      <c r="B1462" s="624"/>
      <c r="C1462" s="1061"/>
      <c r="D1462" s="1061"/>
      <c r="E1462" s="1061"/>
      <c r="F1462" s="1061"/>
      <c r="G1462" s="1061"/>
      <c r="H1462" s="1061"/>
      <c r="I1462" s="1061"/>
      <c r="J1462" s="1061"/>
      <c r="K1462" s="1061"/>
      <c r="L1462" s="1061"/>
      <c r="M1462" s="1061"/>
      <c r="N1462" s="1061"/>
      <c r="O1462" s="626"/>
    </row>
    <row r="1463" spans="1:15" x14ac:dyDescent="0.25">
      <c r="A1463" s="765"/>
      <c r="B1463" s="624"/>
      <c r="C1463" s="1061"/>
      <c r="D1463" s="1061"/>
      <c r="E1463" s="1061"/>
      <c r="F1463" s="1061"/>
      <c r="G1463" s="1061"/>
      <c r="H1463" s="1061"/>
      <c r="I1463" s="1061"/>
      <c r="J1463" s="1061"/>
      <c r="K1463" s="1061"/>
      <c r="L1463" s="1061"/>
      <c r="M1463" s="1061"/>
      <c r="N1463" s="1061"/>
      <c r="O1463" s="626"/>
    </row>
    <row r="1464" spans="1:15" x14ac:dyDescent="0.25">
      <c r="A1464" s="765"/>
      <c r="B1464" s="624"/>
      <c r="C1464" s="1061"/>
      <c r="D1464" s="1061"/>
      <c r="E1464" s="1061"/>
      <c r="F1464" s="1061"/>
      <c r="G1464" s="1061"/>
      <c r="H1464" s="1061"/>
      <c r="I1464" s="1061"/>
      <c r="J1464" s="1061"/>
      <c r="K1464" s="1061"/>
      <c r="L1464" s="1061"/>
      <c r="M1464" s="1061"/>
      <c r="N1464" s="1061"/>
      <c r="O1464" s="626"/>
    </row>
    <row r="1465" spans="1:15" x14ac:dyDescent="0.25">
      <c r="A1465" s="765"/>
      <c r="B1465" s="624"/>
      <c r="C1465" s="1061"/>
      <c r="D1465" s="1061"/>
      <c r="E1465" s="1061"/>
      <c r="F1465" s="1061"/>
      <c r="G1465" s="1061"/>
      <c r="H1465" s="1061"/>
      <c r="I1465" s="1061"/>
      <c r="J1465" s="1061"/>
      <c r="K1465" s="1061"/>
      <c r="L1465" s="1061"/>
      <c r="M1465" s="1061"/>
      <c r="N1465" s="1061"/>
      <c r="O1465" s="626"/>
    </row>
    <row r="1466" spans="1:15" x14ac:dyDescent="0.25">
      <c r="A1466" s="765"/>
      <c r="B1466" s="624"/>
      <c r="C1466" s="1061"/>
      <c r="D1466" s="1061"/>
      <c r="E1466" s="1061"/>
      <c r="F1466" s="1061"/>
      <c r="G1466" s="1061"/>
      <c r="H1466" s="1061"/>
      <c r="I1466" s="1061"/>
      <c r="J1466" s="1061"/>
      <c r="K1466" s="1061"/>
      <c r="L1466" s="1061"/>
      <c r="M1466" s="1061"/>
      <c r="N1466" s="1061"/>
      <c r="O1466" s="626"/>
    </row>
    <row r="1467" spans="1:15" x14ac:dyDescent="0.25">
      <c r="A1467" s="765"/>
      <c r="B1467" s="624"/>
      <c r="C1467" s="1061"/>
      <c r="D1467" s="1061"/>
      <c r="E1467" s="1061"/>
      <c r="F1467" s="1061"/>
      <c r="G1467" s="1061"/>
      <c r="H1467" s="1061"/>
      <c r="I1467" s="1061"/>
      <c r="J1467" s="1061"/>
      <c r="K1467" s="1061"/>
      <c r="L1467" s="1061"/>
      <c r="M1467" s="1061"/>
      <c r="N1467" s="1061"/>
      <c r="O1467" s="626"/>
    </row>
    <row r="1468" spans="1:15" x14ac:dyDescent="0.25">
      <c r="A1468" s="765"/>
      <c r="B1468" s="624"/>
      <c r="C1468" s="1061"/>
      <c r="D1468" s="1061"/>
      <c r="E1468" s="1061"/>
      <c r="F1468" s="1061"/>
      <c r="G1468" s="1061"/>
      <c r="H1468" s="1061"/>
      <c r="I1468" s="1061"/>
      <c r="J1468" s="1061"/>
      <c r="K1468" s="1061"/>
      <c r="L1468" s="1061"/>
      <c r="M1468" s="1061"/>
      <c r="N1468" s="1061"/>
      <c r="O1468" s="626"/>
    </row>
    <row r="1469" spans="1:15" x14ac:dyDescent="0.25">
      <c r="A1469" s="765"/>
      <c r="B1469" s="624"/>
      <c r="C1469" s="1061"/>
      <c r="D1469" s="1061"/>
      <c r="E1469" s="1061"/>
      <c r="F1469" s="1061"/>
      <c r="G1469" s="1061"/>
      <c r="H1469" s="1061"/>
      <c r="I1469" s="1061"/>
      <c r="J1469" s="1061"/>
      <c r="K1469" s="1061"/>
      <c r="L1469" s="1061"/>
      <c r="M1469" s="1061"/>
      <c r="N1469" s="1061"/>
      <c r="O1469" s="626"/>
    </row>
    <row r="1470" spans="1:15" x14ac:dyDescent="0.25">
      <c r="A1470" s="765"/>
      <c r="B1470" s="624"/>
      <c r="C1470" s="1061"/>
      <c r="D1470" s="1061"/>
      <c r="E1470" s="1061"/>
      <c r="F1470" s="1061"/>
      <c r="G1470" s="1061"/>
      <c r="H1470" s="1061"/>
      <c r="I1470" s="1061"/>
      <c r="J1470" s="1061"/>
      <c r="K1470" s="1061"/>
      <c r="L1470" s="1061"/>
      <c r="M1470" s="1061"/>
      <c r="N1470" s="1061"/>
      <c r="O1470" s="626"/>
    </row>
    <row r="1471" spans="1:15" x14ac:dyDescent="0.25">
      <c r="A1471" s="765"/>
      <c r="B1471" s="624"/>
      <c r="C1471" s="1061"/>
      <c r="D1471" s="1061"/>
      <c r="E1471" s="1061"/>
      <c r="F1471" s="1061"/>
      <c r="G1471" s="1061"/>
      <c r="H1471" s="1061"/>
      <c r="I1471" s="1061"/>
      <c r="J1471" s="1061"/>
      <c r="K1471" s="1061"/>
      <c r="L1471" s="1061"/>
      <c r="M1471" s="1061"/>
      <c r="N1471" s="1061"/>
      <c r="O1471" s="626"/>
    </row>
    <row r="1472" spans="1:15" x14ac:dyDescent="0.25">
      <c r="A1472" s="765"/>
      <c r="B1472" s="624"/>
      <c r="C1472" s="1061"/>
      <c r="D1472" s="1061"/>
      <c r="E1472" s="1061"/>
      <c r="F1472" s="1061"/>
      <c r="G1472" s="1061"/>
      <c r="H1472" s="1061"/>
      <c r="I1472" s="1061"/>
      <c r="J1472" s="1061"/>
      <c r="K1472" s="1061"/>
      <c r="L1472" s="1061"/>
      <c r="M1472" s="1061"/>
      <c r="N1472" s="1061"/>
      <c r="O1472" s="626"/>
    </row>
    <row r="1473" spans="1:15" x14ac:dyDescent="0.25">
      <c r="A1473" s="765"/>
      <c r="B1473" s="624"/>
      <c r="C1473" s="1061"/>
      <c r="D1473" s="1061"/>
      <c r="E1473" s="1061"/>
      <c r="F1473" s="1061"/>
      <c r="G1473" s="1061"/>
      <c r="H1473" s="1061"/>
      <c r="I1473" s="1061"/>
      <c r="J1473" s="1061"/>
      <c r="K1473" s="1061"/>
      <c r="L1473" s="1061"/>
      <c r="M1473" s="1061"/>
      <c r="N1473" s="1061"/>
      <c r="O1473" s="626"/>
    </row>
    <row r="1474" spans="1:15" x14ac:dyDescent="0.25">
      <c r="A1474" s="765"/>
      <c r="B1474" s="624"/>
      <c r="C1474" s="1061"/>
      <c r="D1474" s="1061"/>
      <c r="E1474" s="1061"/>
      <c r="F1474" s="1061"/>
      <c r="G1474" s="1061"/>
      <c r="H1474" s="1061"/>
      <c r="I1474" s="1061"/>
      <c r="J1474" s="1061"/>
      <c r="K1474" s="1061"/>
      <c r="L1474" s="1061"/>
      <c r="M1474" s="1061"/>
      <c r="N1474" s="1061"/>
      <c r="O1474" s="626"/>
    </row>
    <row r="1475" spans="1:15" x14ac:dyDescent="0.25">
      <c r="A1475" s="765"/>
      <c r="B1475" s="624"/>
      <c r="C1475" s="1061"/>
      <c r="D1475" s="1061"/>
      <c r="E1475" s="1061"/>
      <c r="F1475" s="1061"/>
      <c r="G1475" s="1061"/>
      <c r="H1475" s="1061"/>
      <c r="I1475" s="1061"/>
      <c r="J1475" s="1061"/>
      <c r="K1475" s="1061"/>
      <c r="L1475" s="1061"/>
      <c r="M1475" s="1061"/>
      <c r="N1475" s="1061"/>
      <c r="O1475" s="626"/>
    </row>
    <row r="1476" spans="1:15" x14ac:dyDescent="0.25">
      <c r="A1476" s="765"/>
      <c r="B1476" s="624"/>
      <c r="C1476" s="1061"/>
      <c r="D1476" s="1061"/>
      <c r="E1476" s="1061"/>
      <c r="F1476" s="1061"/>
      <c r="G1476" s="1061"/>
      <c r="H1476" s="1061"/>
      <c r="I1476" s="1061"/>
      <c r="J1476" s="1061"/>
      <c r="K1476" s="1061"/>
      <c r="L1476" s="1061"/>
      <c r="M1476" s="1061"/>
      <c r="N1476" s="1061"/>
      <c r="O1476" s="626"/>
    </row>
    <row r="1477" spans="1:15" x14ac:dyDescent="0.25">
      <c r="A1477" s="765"/>
      <c r="B1477" s="624"/>
      <c r="C1477" s="1061"/>
      <c r="D1477" s="1061"/>
      <c r="E1477" s="1061"/>
      <c r="F1477" s="1061"/>
      <c r="G1477" s="1061"/>
      <c r="H1477" s="1061"/>
      <c r="I1477" s="1061"/>
      <c r="J1477" s="1061"/>
      <c r="K1477" s="1061"/>
      <c r="L1477" s="1061"/>
      <c r="M1477" s="1061"/>
      <c r="N1477" s="1061"/>
      <c r="O1477" s="626"/>
    </row>
    <row r="1478" spans="1:15" x14ac:dyDescent="0.25">
      <c r="A1478" s="765"/>
      <c r="B1478" s="624"/>
      <c r="C1478" s="1061"/>
      <c r="D1478" s="1061"/>
      <c r="E1478" s="1061"/>
      <c r="F1478" s="1061"/>
      <c r="G1478" s="1061"/>
      <c r="H1478" s="1061"/>
      <c r="I1478" s="1061"/>
      <c r="J1478" s="1061"/>
      <c r="K1478" s="1061"/>
      <c r="L1478" s="1061"/>
      <c r="M1478" s="1061"/>
      <c r="N1478" s="1061"/>
      <c r="O1478" s="626"/>
    </row>
    <row r="1479" spans="1:15" x14ac:dyDescent="0.25">
      <c r="A1479" s="765"/>
      <c r="B1479" s="624"/>
      <c r="C1479" s="1061"/>
      <c r="D1479" s="1061"/>
      <c r="E1479" s="1061"/>
      <c r="F1479" s="1061"/>
      <c r="G1479" s="1061"/>
      <c r="H1479" s="1061"/>
      <c r="I1479" s="1061"/>
      <c r="J1479" s="1061"/>
      <c r="K1479" s="1061"/>
      <c r="L1479" s="1061"/>
      <c r="M1479" s="1061"/>
      <c r="N1479" s="1061"/>
      <c r="O1479" s="626"/>
    </row>
    <row r="1480" spans="1:15" x14ac:dyDescent="0.25">
      <c r="A1480" s="765"/>
      <c r="B1480" s="624"/>
      <c r="C1480" s="1061"/>
      <c r="D1480" s="1061"/>
      <c r="E1480" s="1061"/>
      <c r="F1480" s="1061"/>
      <c r="G1480" s="1061"/>
      <c r="H1480" s="1061"/>
      <c r="I1480" s="1061"/>
      <c r="J1480" s="1061"/>
      <c r="K1480" s="1061"/>
      <c r="L1480" s="1061"/>
      <c r="M1480" s="1061"/>
      <c r="N1480" s="1061"/>
      <c r="O1480" s="626"/>
    </row>
    <row r="1481" spans="1:15" x14ac:dyDescent="0.25">
      <c r="A1481" s="765"/>
      <c r="B1481" s="624"/>
      <c r="C1481" s="1061"/>
      <c r="D1481" s="1061"/>
      <c r="E1481" s="1061"/>
      <c r="F1481" s="1061"/>
      <c r="G1481" s="1061"/>
      <c r="H1481" s="1061"/>
      <c r="I1481" s="1061"/>
      <c r="J1481" s="1061"/>
      <c r="K1481" s="1061"/>
      <c r="L1481" s="1061"/>
      <c r="M1481" s="1061"/>
      <c r="N1481" s="1061"/>
      <c r="O1481" s="626"/>
    </row>
    <row r="1482" spans="1:15" x14ac:dyDescent="0.25">
      <c r="A1482" s="765"/>
      <c r="B1482" s="624"/>
      <c r="C1482" s="1061"/>
      <c r="D1482" s="1061"/>
      <c r="E1482" s="1061"/>
      <c r="F1482" s="1061"/>
      <c r="G1482" s="1061"/>
      <c r="H1482" s="1061"/>
      <c r="I1482" s="1061"/>
      <c r="J1482" s="1061"/>
      <c r="K1482" s="1061"/>
      <c r="L1482" s="1061"/>
      <c r="M1482" s="1061"/>
      <c r="N1482" s="1061"/>
      <c r="O1482" s="626"/>
    </row>
    <row r="1483" spans="1:15" x14ac:dyDescent="0.25">
      <c r="A1483" s="765"/>
      <c r="B1483" s="624"/>
      <c r="C1483" s="1061"/>
      <c r="D1483" s="1061"/>
      <c r="E1483" s="1061"/>
      <c r="F1483" s="1061"/>
      <c r="G1483" s="1061"/>
      <c r="H1483" s="1061"/>
      <c r="I1483" s="1061"/>
      <c r="J1483" s="1061"/>
      <c r="K1483" s="1061"/>
      <c r="L1483" s="1061"/>
      <c r="M1483" s="1061"/>
      <c r="N1483" s="1061"/>
      <c r="O1483" s="626"/>
    </row>
    <row r="1484" spans="1:15" x14ac:dyDescent="0.25">
      <c r="A1484" s="765"/>
      <c r="B1484" s="624"/>
      <c r="C1484" s="1061"/>
      <c r="D1484" s="1061"/>
      <c r="E1484" s="1061"/>
      <c r="F1484" s="1061"/>
      <c r="G1484" s="1061"/>
      <c r="H1484" s="1061"/>
      <c r="I1484" s="1061"/>
      <c r="J1484" s="1061"/>
      <c r="K1484" s="1061"/>
      <c r="L1484" s="1061"/>
      <c r="M1484" s="1061"/>
      <c r="N1484" s="1061"/>
      <c r="O1484" s="626"/>
    </row>
    <row r="1485" spans="1:15" x14ac:dyDescent="0.25">
      <c r="A1485" s="765"/>
      <c r="B1485" s="624"/>
      <c r="C1485" s="1061"/>
      <c r="D1485" s="1061"/>
      <c r="E1485" s="1061"/>
      <c r="F1485" s="1061"/>
      <c r="G1485" s="1061"/>
      <c r="H1485" s="1061"/>
      <c r="I1485" s="1061"/>
      <c r="J1485" s="1061"/>
      <c r="K1485" s="1061"/>
      <c r="L1485" s="1061"/>
      <c r="M1485" s="1061"/>
      <c r="N1485" s="1061"/>
      <c r="O1485" s="626"/>
    </row>
    <row r="1486" spans="1:15" x14ac:dyDescent="0.25">
      <c r="A1486" s="765"/>
      <c r="B1486" s="624"/>
      <c r="C1486" s="1061"/>
      <c r="D1486" s="1061"/>
      <c r="E1486" s="1061"/>
      <c r="F1486" s="1061"/>
      <c r="G1486" s="1061"/>
      <c r="H1486" s="1061"/>
      <c r="I1486" s="1061"/>
      <c r="J1486" s="1061"/>
      <c r="K1486" s="1061"/>
      <c r="L1486" s="1061"/>
      <c r="M1486" s="1061"/>
      <c r="N1486" s="1061"/>
      <c r="O1486" s="626"/>
    </row>
    <row r="1487" spans="1:15" x14ac:dyDescent="0.25">
      <c r="A1487" s="765"/>
      <c r="B1487" s="624"/>
      <c r="C1487" s="1061"/>
      <c r="D1487" s="1061"/>
      <c r="E1487" s="1061"/>
      <c r="F1487" s="1061"/>
      <c r="G1487" s="1061"/>
      <c r="H1487" s="1061"/>
      <c r="I1487" s="1061"/>
      <c r="J1487" s="1061"/>
      <c r="K1487" s="1061"/>
      <c r="L1487" s="1061"/>
      <c r="M1487" s="1061"/>
      <c r="N1487" s="1061"/>
      <c r="O1487" s="626"/>
    </row>
    <row r="1488" spans="1:15" x14ac:dyDescent="0.25">
      <c r="A1488" s="765"/>
      <c r="B1488" s="624"/>
      <c r="C1488" s="1061"/>
      <c r="D1488" s="1061"/>
      <c r="E1488" s="1061"/>
      <c r="F1488" s="1061"/>
      <c r="G1488" s="1061"/>
      <c r="H1488" s="1061"/>
      <c r="I1488" s="1061"/>
      <c r="J1488" s="1061"/>
      <c r="K1488" s="1061"/>
      <c r="L1488" s="1061"/>
      <c r="M1488" s="1061"/>
      <c r="N1488" s="1061"/>
      <c r="O1488" s="626"/>
    </row>
    <row r="1489" spans="1:15" x14ac:dyDescent="0.25">
      <c r="A1489" s="765"/>
      <c r="B1489" s="624"/>
      <c r="C1489" s="1061"/>
      <c r="D1489" s="1061"/>
      <c r="E1489" s="1061"/>
      <c r="F1489" s="1061"/>
      <c r="G1489" s="1061"/>
      <c r="H1489" s="1061"/>
      <c r="I1489" s="1061"/>
      <c r="J1489" s="1061"/>
      <c r="K1489" s="1061"/>
      <c r="L1489" s="1061"/>
      <c r="M1489" s="1061"/>
      <c r="N1489" s="1061"/>
      <c r="O1489" s="626"/>
    </row>
    <row r="1490" spans="1:15" x14ac:dyDescent="0.25">
      <c r="A1490" s="765"/>
      <c r="B1490" s="624"/>
      <c r="C1490" s="1061"/>
      <c r="D1490" s="1061"/>
      <c r="E1490" s="1061"/>
      <c r="F1490" s="1061"/>
      <c r="G1490" s="1061"/>
      <c r="H1490" s="1061"/>
      <c r="I1490" s="1061"/>
      <c r="J1490" s="1061"/>
      <c r="K1490" s="1061"/>
      <c r="L1490" s="1061"/>
      <c r="M1490" s="1061"/>
      <c r="N1490" s="1061"/>
      <c r="O1490" s="626"/>
    </row>
    <row r="1491" spans="1:15" x14ac:dyDescent="0.25">
      <c r="A1491" s="765"/>
      <c r="B1491" s="624"/>
      <c r="C1491" s="1061"/>
      <c r="D1491" s="1061"/>
      <c r="E1491" s="1061"/>
      <c r="F1491" s="1061"/>
      <c r="G1491" s="1061"/>
      <c r="H1491" s="1061"/>
      <c r="I1491" s="1061"/>
      <c r="J1491" s="1061"/>
      <c r="K1491" s="1061"/>
      <c r="L1491" s="1061"/>
      <c r="M1491" s="1061"/>
      <c r="N1491" s="1061"/>
      <c r="O1491" s="626"/>
    </row>
    <row r="1492" spans="1:15" x14ac:dyDescent="0.25">
      <c r="A1492" s="765"/>
      <c r="B1492" s="624"/>
      <c r="C1492" s="1061"/>
      <c r="D1492" s="1061"/>
      <c r="E1492" s="1061"/>
      <c r="F1492" s="1061"/>
      <c r="G1492" s="1061"/>
      <c r="H1492" s="1061"/>
      <c r="I1492" s="1061"/>
      <c r="J1492" s="1061"/>
      <c r="K1492" s="1061"/>
      <c r="L1492" s="1061"/>
      <c r="M1492" s="1061"/>
      <c r="N1492" s="1061"/>
      <c r="O1492" s="626"/>
    </row>
    <row r="1493" spans="1:15" x14ac:dyDescent="0.25">
      <c r="A1493" s="765"/>
      <c r="B1493" s="624"/>
      <c r="C1493" s="1061"/>
      <c r="D1493" s="1061"/>
      <c r="E1493" s="1061"/>
      <c r="F1493" s="1061"/>
      <c r="G1493" s="1061"/>
      <c r="H1493" s="1061"/>
      <c r="I1493" s="1061"/>
      <c r="J1493" s="1061"/>
      <c r="K1493" s="1061"/>
      <c r="L1493" s="1061"/>
      <c r="M1493" s="1061"/>
      <c r="N1493" s="1061"/>
      <c r="O1493" s="626"/>
    </row>
    <row r="1494" spans="1:15" x14ac:dyDescent="0.25">
      <c r="A1494" s="765"/>
      <c r="B1494" s="624"/>
      <c r="C1494" s="1061"/>
      <c r="D1494" s="1061"/>
      <c r="E1494" s="1061"/>
      <c r="F1494" s="1061"/>
      <c r="G1494" s="1061"/>
      <c r="H1494" s="1061"/>
      <c r="I1494" s="1061"/>
      <c r="J1494" s="1061"/>
      <c r="K1494" s="1061"/>
      <c r="L1494" s="1061"/>
      <c r="M1494" s="1061"/>
      <c r="N1494" s="1061"/>
      <c r="O1494" s="626"/>
    </row>
    <row r="1495" spans="1:15" x14ac:dyDescent="0.25">
      <c r="A1495" s="765"/>
      <c r="B1495" s="624"/>
      <c r="C1495" s="1061"/>
      <c r="D1495" s="1061"/>
      <c r="E1495" s="1061"/>
      <c r="F1495" s="1061"/>
      <c r="G1495" s="1061"/>
      <c r="H1495" s="1061"/>
      <c r="I1495" s="1061"/>
      <c r="J1495" s="1061"/>
      <c r="K1495" s="1061"/>
      <c r="L1495" s="1061"/>
      <c r="M1495" s="1061"/>
      <c r="N1495" s="1061"/>
      <c r="O1495" s="626"/>
    </row>
    <row r="1496" spans="1:15" x14ac:dyDescent="0.25">
      <c r="A1496" s="765"/>
      <c r="B1496" s="624"/>
      <c r="C1496" s="1061"/>
      <c r="D1496" s="1061"/>
      <c r="E1496" s="1061"/>
      <c r="F1496" s="1061"/>
      <c r="G1496" s="1061"/>
      <c r="H1496" s="1061"/>
      <c r="I1496" s="1061"/>
      <c r="J1496" s="1061"/>
      <c r="K1496" s="1061"/>
      <c r="L1496" s="1061"/>
      <c r="M1496" s="1061"/>
      <c r="N1496" s="1061"/>
      <c r="O1496" s="626"/>
    </row>
    <row r="1497" spans="1:15" x14ac:dyDescent="0.25">
      <c r="A1497" s="765"/>
      <c r="B1497" s="624"/>
      <c r="C1497" s="1061"/>
      <c r="D1497" s="1061"/>
      <c r="E1497" s="1061"/>
      <c r="F1497" s="1061"/>
      <c r="G1497" s="1061"/>
      <c r="H1497" s="1061"/>
      <c r="I1497" s="1061"/>
      <c r="J1497" s="1061"/>
      <c r="K1497" s="1061"/>
      <c r="L1497" s="1061"/>
      <c r="M1497" s="1061"/>
      <c r="N1497" s="1061"/>
      <c r="O1497" s="626"/>
    </row>
    <row r="1498" spans="1:15" x14ac:dyDescent="0.25">
      <c r="A1498" s="765"/>
      <c r="B1498" s="624"/>
      <c r="C1498" s="1061"/>
      <c r="D1498" s="1061"/>
      <c r="E1498" s="1061"/>
      <c r="F1498" s="1061"/>
      <c r="G1498" s="1061"/>
      <c r="H1498" s="1061"/>
      <c r="I1498" s="1061"/>
      <c r="J1498" s="1061"/>
      <c r="K1498" s="1061"/>
      <c r="L1498" s="1061"/>
      <c r="M1498" s="1061"/>
      <c r="N1498" s="1061"/>
      <c r="O1498" s="626"/>
    </row>
    <row r="1499" spans="1:15" x14ac:dyDescent="0.25">
      <c r="A1499" s="765"/>
      <c r="B1499" s="624"/>
      <c r="C1499" s="1061"/>
      <c r="D1499" s="1061"/>
      <c r="E1499" s="1061"/>
      <c r="F1499" s="1061"/>
      <c r="G1499" s="1061"/>
      <c r="H1499" s="1061"/>
      <c r="I1499" s="1061"/>
      <c r="J1499" s="1061"/>
      <c r="K1499" s="1061"/>
      <c r="L1499" s="1061"/>
      <c r="M1499" s="1061"/>
      <c r="N1499" s="1061"/>
      <c r="O1499" s="626"/>
    </row>
    <row r="1500" spans="1:15" x14ac:dyDescent="0.25">
      <c r="A1500" s="765"/>
      <c r="B1500" s="624"/>
      <c r="C1500" s="1061"/>
      <c r="D1500" s="1061"/>
      <c r="E1500" s="1061"/>
      <c r="F1500" s="1061"/>
      <c r="G1500" s="1061"/>
      <c r="H1500" s="1061"/>
      <c r="I1500" s="1061"/>
      <c r="J1500" s="1061"/>
      <c r="K1500" s="1061"/>
      <c r="L1500" s="1061"/>
      <c r="M1500" s="1061"/>
      <c r="N1500" s="1061"/>
      <c r="O1500" s="626"/>
    </row>
    <row r="1501" spans="1:15" x14ac:dyDescent="0.25">
      <c r="A1501" s="765"/>
      <c r="B1501" s="624"/>
      <c r="C1501" s="1061"/>
      <c r="D1501" s="1061"/>
      <c r="E1501" s="1061"/>
      <c r="F1501" s="1061"/>
      <c r="G1501" s="1061"/>
      <c r="H1501" s="1061"/>
      <c r="I1501" s="1061"/>
      <c r="J1501" s="1061"/>
      <c r="K1501" s="1061"/>
      <c r="L1501" s="1061"/>
      <c r="M1501" s="1061"/>
      <c r="N1501" s="1061"/>
      <c r="O1501" s="626"/>
    </row>
    <row r="1502" spans="1:15" x14ac:dyDescent="0.25">
      <c r="A1502" s="765"/>
      <c r="B1502" s="624"/>
      <c r="C1502" s="1061"/>
      <c r="D1502" s="1061"/>
      <c r="E1502" s="1061"/>
      <c r="F1502" s="1061"/>
      <c r="G1502" s="1061"/>
      <c r="H1502" s="1061"/>
      <c r="I1502" s="1061"/>
      <c r="J1502" s="1061"/>
      <c r="K1502" s="1061"/>
      <c r="L1502" s="1061"/>
      <c r="M1502" s="1061"/>
      <c r="N1502" s="1061"/>
      <c r="O1502" s="626"/>
    </row>
    <row r="1503" spans="1:15" x14ac:dyDescent="0.25">
      <c r="A1503" s="765"/>
      <c r="B1503" s="624"/>
      <c r="C1503" s="1061"/>
      <c r="D1503" s="1061"/>
      <c r="E1503" s="1061"/>
      <c r="F1503" s="1061"/>
      <c r="G1503" s="1061"/>
      <c r="H1503" s="1061"/>
      <c r="I1503" s="1061"/>
      <c r="J1503" s="1061"/>
      <c r="K1503" s="1061"/>
      <c r="L1503" s="1061"/>
      <c r="M1503" s="1061"/>
      <c r="N1503" s="1061"/>
      <c r="O1503" s="626"/>
    </row>
    <row r="1504" spans="1:15" x14ac:dyDescent="0.25">
      <c r="A1504" s="765"/>
      <c r="B1504" s="624"/>
      <c r="C1504" s="1061"/>
      <c r="D1504" s="1061"/>
      <c r="E1504" s="1061"/>
      <c r="F1504" s="1061"/>
      <c r="G1504" s="1061"/>
      <c r="H1504" s="1061"/>
      <c r="I1504" s="1061"/>
      <c r="J1504" s="1061"/>
      <c r="K1504" s="1061"/>
      <c r="L1504" s="1061"/>
      <c r="M1504" s="1061"/>
      <c r="N1504" s="1061"/>
      <c r="O1504" s="626"/>
    </row>
    <row r="1505" spans="1:15" x14ac:dyDescent="0.25">
      <c r="A1505" s="765"/>
      <c r="B1505" s="624"/>
      <c r="C1505" s="1061"/>
      <c r="D1505" s="1061"/>
      <c r="E1505" s="1061"/>
      <c r="F1505" s="1061"/>
      <c r="G1505" s="1061"/>
      <c r="H1505" s="1061"/>
      <c r="I1505" s="1061"/>
      <c r="J1505" s="1061"/>
      <c r="K1505" s="1061"/>
      <c r="L1505" s="1061"/>
      <c r="M1505" s="1061"/>
      <c r="N1505" s="1061"/>
      <c r="O1505" s="626"/>
    </row>
    <row r="1506" spans="1:15" x14ac:dyDescent="0.25">
      <c r="A1506" s="765"/>
      <c r="B1506" s="624"/>
      <c r="C1506" s="1061"/>
      <c r="D1506" s="1061"/>
      <c r="E1506" s="1061"/>
      <c r="F1506" s="1061"/>
      <c r="G1506" s="1061"/>
      <c r="H1506" s="1061"/>
      <c r="I1506" s="1061"/>
      <c r="J1506" s="1061"/>
      <c r="K1506" s="1061"/>
      <c r="L1506" s="1061"/>
      <c r="M1506" s="1061"/>
      <c r="N1506" s="1061"/>
      <c r="O1506" s="626"/>
    </row>
    <row r="1507" spans="1:15" x14ac:dyDescent="0.25">
      <c r="A1507" s="765"/>
      <c r="B1507" s="624"/>
      <c r="C1507" s="1061"/>
      <c r="D1507" s="1061"/>
      <c r="E1507" s="1061"/>
      <c r="F1507" s="1061"/>
      <c r="G1507" s="1061"/>
      <c r="H1507" s="1061"/>
      <c r="I1507" s="1061"/>
      <c r="J1507" s="1061"/>
      <c r="K1507" s="1061"/>
      <c r="L1507" s="1061"/>
      <c r="M1507" s="1061"/>
      <c r="N1507" s="1061"/>
      <c r="O1507" s="626"/>
    </row>
    <row r="1508" spans="1:15" x14ac:dyDescent="0.25">
      <c r="A1508" s="765"/>
      <c r="B1508" s="624"/>
      <c r="C1508" s="1061"/>
      <c r="D1508" s="1061"/>
      <c r="E1508" s="1061"/>
      <c r="F1508" s="1061"/>
      <c r="G1508" s="1061"/>
      <c r="H1508" s="1061"/>
      <c r="I1508" s="1061"/>
      <c r="J1508" s="1061"/>
      <c r="K1508" s="1061"/>
      <c r="L1508" s="1061"/>
      <c r="M1508" s="1061"/>
      <c r="N1508" s="1061"/>
      <c r="O1508" s="626"/>
    </row>
    <row r="1509" spans="1:15" x14ac:dyDescent="0.25">
      <c r="A1509" s="765"/>
      <c r="B1509" s="624"/>
      <c r="C1509" s="1061"/>
      <c r="D1509" s="1061"/>
      <c r="E1509" s="1061"/>
      <c r="F1509" s="1061"/>
      <c r="G1509" s="1061"/>
      <c r="H1509" s="1061"/>
      <c r="I1509" s="1061"/>
      <c r="J1509" s="1061"/>
      <c r="K1509" s="1061"/>
      <c r="L1509" s="1061"/>
      <c r="M1509" s="1061"/>
      <c r="N1509" s="1061"/>
      <c r="O1509" s="626"/>
    </row>
    <row r="1510" spans="1:15" x14ac:dyDescent="0.25">
      <c r="A1510" s="765"/>
      <c r="B1510" s="624"/>
      <c r="C1510" s="1061"/>
      <c r="D1510" s="1061"/>
      <c r="E1510" s="1061"/>
      <c r="F1510" s="1061"/>
      <c r="G1510" s="1061"/>
      <c r="H1510" s="1061"/>
      <c r="I1510" s="1061"/>
      <c r="J1510" s="1061"/>
      <c r="K1510" s="1061"/>
      <c r="L1510" s="1061"/>
      <c r="M1510" s="1061"/>
      <c r="N1510" s="1061"/>
      <c r="O1510" s="626"/>
    </row>
    <row r="1511" spans="1:15" x14ac:dyDescent="0.25">
      <c r="A1511" s="765"/>
      <c r="B1511" s="624"/>
      <c r="C1511" s="1061"/>
      <c r="D1511" s="1061"/>
      <c r="E1511" s="1061"/>
      <c r="F1511" s="1061"/>
      <c r="G1511" s="1061"/>
      <c r="H1511" s="1061"/>
      <c r="I1511" s="1061"/>
      <c r="J1511" s="1061"/>
      <c r="K1511" s="1061"/>
      <c r="L1511" s="1061"/>
      <c r="M1511" s="1061"/>
      <c r="N1511" s="1061"/>
      <c r="O1511" s="626"/>
    </row>
    <row r="1512" spans="1:15" x14ac:dyDescent="0.25">
      <c r="A1512" s="765"/>
      <c r="B1512" s="624"/>
      <c r="C1512" s="1061"/>
      <c r="D1512" s="1061"/>
      <c r="E1512" s="1061"/>
      <c r="F1512" s="1061"/>
      <c r="G1512" s="1061"/>
      <c r="H1512" s="1061"/>
      <c r="I1512" s="1061"/>
      <c r="J1512" s="1061"/>
      <c r="K1512" s="1061"/>
      <c r="L1512" s="1061"/>
      <c r="M1512" s="1061"/>
      <c r="N1512" s="1061"/>
      <c r="O1512" s="626"/>
    </row>
    <row r="1513" spans="1:15" x14ac:dyDescent="0.25">
      <c r="A1513" s="765"/>
      <c r="B1513" s="624"/>
      <c r="C1513" s="1061"/>
      <c r="D1513" s="1061"/>
      <c r="E1513" s="1061"/>
      <c r="F1513" s="1061"/>
      <c r="G1513" s="1061"/>
      <c r="H1513" s="1061"/>
      <c r="I1513" s="1061"/>
      <c r="J1513" s="1061"/>
      <c r="K1513" s="1061"/>
      <c r="L1513" s="1061"/>
      <c r="M1513" s="1061"/>
      <c r="N1513" s="1061"/>
      <c r="O1513" s="626"/>
    </row>
    <row r="1514" spans="1:15" x14ac:dyDescent="0.25">
      <c r="A1514" s="765"/>
      <c r="B1514" s="624"/>
      <c r="C1514" s="1061"/>
      <c r="D1514" s="1061"/>
      <c r="E1514" s="1061"/>
      <c r="F1514" s="1061"/>
      <c r="G1514" s="1061"/>
      <c r="H1514" s="1061"/>
      <c r="I1514" s="1061"/>
      <c r="J1514" s="1061"/>
      <c r="K1514" s="1061"/>
      <c r="L1514" s="1061"/>
      <c r="M1514" s="1061"/>
      <c r="N1514" s="1061"/>
      <c r="O1514" s="626"/>
    </row>
    <row r="1515" spans="1:15" x14ac:dyDescent="0.25">
      <c r="A1515" s="765"/>
      <c r="B1515" s="624"/>
      <c r="C1515" s="1061"/>
      <c r="D1515" s="1061"/>
      <c r="E1515" s="1061"/>
      <c r="F1515" s="1061"/>
      <c r="G1515" s="1061"/>
      <c r="H1515" s="1061"/>
      <c r="I1515" s="1061"/>
      <c r="J1515" s="1061"/>
      <c r="K1515" s="1061"/>
      <c r="L1515" s="1061"/>
      <c r="M1515" s="1061"/>
      <c r="N1515" s="1061"/>
      <c r="O1515" s="626"/>
    </row>
    <row r="1516" spans="1:15" x14ac:dyDescent="0.25">
      <c r="A1516" s="765"/>
      <c r="B1516" s="624"/>
      <c r="C1516" s="1061"/>
      <c r="D1516" s="1061"/>
      <c r="E1516" s="1061"/>
      <c r="F1516" s="1061"/>
      <c r="G1516" s="1061"/>
      <c r="H1516" s="1061"/>
      <c r="I1516" s="1061"/>
      <c r="J1516" s="1061"/>
      <c r="K1516" s="1061"/>
      <c r="L1516" s="1061"/>
      <c r="M1516" s="1061"/>
      <c r="N1516" s="1061"/>
      <c r="O1516" s="626"/>
    </row>
    <row r="1517" spans="1:15" x14ac:dyDescent="0.25">
      <c r="A1517" s="765"/>
      <c r="B1517" s="624"/>
      <c r="C1517" s="1061"/>
      <c r="D1517" s="1061"/>
      <c r="E1517" s="1061"/>
      <c r="F1517" s="1061"/>
      <c r="G1517" s="1061"/>
      <c r="H1517" s="1061"/>
      <c r="I1517" s="1061"/>
      <c r="J1517" s="1061"/>
      <c r="K1517" s="1061"/>
      <c r="L1517" s="1061"/>
      <c r="M1517" s="1061"/>
      <c r="N1517" s="1061"/>
      <c r="O1517" s="626"/>
    </row>
    <row r="1518" spans="1:15" x14ac:dyDescent="0.25">
      <c r="A1518" s="765"/>
      <c r="B1518" s="624"/>
      <c r="C1518" s="1061"/>
      <c r="D1518" s="1061"/>
      <c r="E1518" s="1061"/>
      <c r="F1518" s="1061"/>
      <c r="G1518" s="1061"/>
      <c r="H1518" s="1061"/>
      <c r="I1518" s="1061"/>
      <c r="J1518" s="1061"/>
      <c r="K1518" s="1061"/>
      <c r="L1518" s="1061"/>
      <c r="M1518" s="1061"/>
      <c r="N1518" s="1061"/>
      <c r="O1518" s="626"/>
    </row>
    <row r="1519" spans="1:15" x14ac:dyDescent="0.25">
      <c r="A1519" s="765"/>
      <c r="B1519" s="624"/>
      <c r="C1519" s="1061"/>
      <c r="D1519" s="1061"/>
      <c r="E1519" s="1061"/>
      <c r="F1519" s="1061"/>
      <c r="G1519" s="1061"/>
      <c r="H1519" s="1061"/>
      <c r="I1519" s="1061"/>
      <c r="J1519" s="1061"/>
      <c r="K1519" s="1061"/>
      <c r="L1519" s="1061"/>
      <c r="M1519" s="1061"/>
      <c r="N1519" s="1061"/>
      <c r="O1519" s="626"/>
    </row>
    <row r="1520" spans="1:15" x14ac:dyDescent="0.25">
      <c r="A1520" s="765"/>
      <c r="B1520" s="624"/>
      <c r="C1520" s="1061"/>
      <c r="D1520" s="1061"/>
      <c r="E1520" s="1061"/>
      <c r="F1520" s="1061"/>
      <c r="G1520" s="1061"/>
      <c r="H1520" s="1061"/>
      <c r="I1520" s="1061"/>
      <c r="J1520" s="1061"/>
      <c r="K1520" s="1061"/>
      <c r="L1520" s="1061"/>
      <c r="M1520" s="1061"/>
      <c r="N1520" s="1061"/>
      <c r="O1520" s="626"/>
    </row>
    <row r="1521" spans="1:15" x14ac:dyDescent="0.25">
      <c r="A1521" s="765"/>
      <c r="B1521" s="624"/>
      <c r="C1521" s="1061"/>
      <c r="D1521" s="1061"/>
      <c r="E1521" s="1061"/>
      <c r="F1521" s="1061"/>
      <c r="G1521" s="1061"/>
      <c r="H1521" s="1061"/>
      <c r="I1521" s="1061"/>
      <c r="J1521" s="1061"/>
      <c r="K1521" s="1061"/>
      <c r="L1521" s="1061"/>
      <c r="M1521" s="1061"/>
      <c r="N1521" s="1061"/>
      <c r="O1521" s="626"/>
    </row>
    <row r="1522" spans="1:15" x14ac:dyDescent="0.25">
      <c r="A1522" s="765"/>
      <c r="B1522" s="624"/>
      <c r="C1522" s="1061"/>
      <c r="D1522" s="1061"/>
      <c r="E1522" s="1061"/>
      <c r="F1522" s="1061"/>
      <c r="G1522" s="1061"/>
      <c r="H1522" s="1061"/>
      <c r="I1522" s="1061"/>
      <c r="J1522" s="1061"/>
      <c r="K1522" s="1061"/>
      <c r="L1522" s="1061"/>
      <c r="M1522" s="1061"/>
      <c r="N1522" s="1061"/>
      <c r="O1522" s="626"/>
    </row>
    <row r="1523" spans="1:15" x14ac:dyDescent="0.25">
      <c r="A1523" s="765"/>
      <c r="B1523" s="624"/>
      <c r="C1523" s="1061"/>
      <c r="D1523" s="1061"/>
      <c r="E1523" s="1061"/>
      <c r="F1523" s="1061"/>
      <c r="G1523" s="1061"/>
      <c r="H1523" s="1061"/>
      <c r="I1523" s="1061"/>
      <c r="J1523" s="1061"/>
      <c r="K1523" s="1061"/>
      <c r="L1523" s="1061"/>
      <c r="M1523" s="1061"/>
      <c r="N1523" s="1061"/>
      <c r="O1523" s="626"/>
    </row>
    <row r="1524" spans="1:15" x14ac:dyDescent="0.25">
      <c r="A1524" s="765"/>
      <c r="B1524" s="624"/>
      <c r="C1524" s="1061"/>
      <c r="D1524" s="1061"/>
      <c r="E1524" s="1061"/>
      <c r="F1524" s="1061"/>
      <c r="G1524" s="1061"/>
      <c r="H1524" s="1061"/>
      <c r="I1524" s="1061"/>
      <c r="J1524" s="1061"/>
      <c r="K1524" s="1061"/>
      <c r="L1524" s="1061"/>
      <c r="M1524" s="1061"/>
      <c r="N1524" s="1061"/>
      <c r="O1524" s="626"/>
    </row>
    <row r="1525" spans="1:15" x14ac:dyDescent="0.25">
      <c r="A1525" s="765"/>
      <c r="B1525" s="624"/>
      <c r="C1525" s="1061"/>
      <c r="D1525" s="1061"/>
      <c r="E1525" s="1061"/>
      <c r="F1525" s="1061"/>
      <c r="G1525" s="1061"/>
      <c r="H1525" s="1061"/>
      <c r="I1525" s="1061"/>
      <c r="J1525" s="1061"/>
      <c r="K1525" s="1061"/>
      <c r="L1525" s="1061"/>
      <c r="M1525" s="1061"/>
      <c r="N1525" s="1061"/>
      <c r="O1525" s="626"/>
    </row>
    <row r="1526" spans="1:15" x14ac:dyDescent="0.25">
      <c r="A1526" s="765"/>
      <c r="B1526" s="624"/>
      <c r="C1526" s="1061"/>
      <c r="D1526" s="1061"/>
      <c r="E1526" s="1061"/>
      <c r="F1526" s="1061"/>
      <c r="G1526" s="1061"/>
      <c r="H1526" s="1061"/>
      <c r="I1526" s="1061"/>
      <c r="J1526" s="1061"/>
      <c r="K1526" s="1061"/>
      <c r="L1526" s="1061"/>
      <c r="M1526" s="1061"/>
      <c r="N1526" s="1061"/>
      <c r="O1526" s="626"/>
    </row>
    <row r="1527" spans="1:15" x14ac:dyDescent="0.25">
      <c r="A1527" s="765"/>
      <c r="B1527" s="624"/>
      <c r="C1527" s="1061"/>
      <c r="D1527" s="1061"/>
      <c r="E1527" s="1061"/>
      <c r="F1527" s="1061"/>
      <c r="G1527" s="1061"/>
      <c r="H1527" s="1061"/>
      <c r="I1527" s="1061"/>
      <c r="J1527" s="1061"/>
      <c r="K1527" s="1061"/>
      <c r="L1527" s="1061"/>
      <c r="M1527" s="1061"/>
      <c r="N1527" s="1061"/>
      <c r="O1527" s="626"/>
    </row>
    <row r="1528" spans="1:15" x14ac:dyDescent="0.25">
      <c r="A1528" s="765"/>
      <c r="B1528" s="624"/>
      <c r="C1528" s="1061"/>
      <c r="D1528" s="1061"/>
      <c r="E1528" s="1061"/>
      <c r="F1528" s="1061"/>
      <c r="G1528" s="1061"/>
      <c r="H1528" s="1061"/>
      <c r="I1528" s="1061"/>
      <c r="J1528" s="1061"/>
      <c r="K1528" s="1061"/>
      <c r="L1528" s="1061"/>
      <c r="M1528" s="1061"/>
      <c r="N1528" s="1061"/>
      <c r="O1528" s="626"/>
    </row>
    <row r="1529" spans="1:15" x14ac:dyDescent="0.25">
      <c r="A1529" s="765"/>
      <c r="B1529" s="624"/>
      <c r="C1529" s="1061"/>
      <c r="D1529" s="1061"/>
      <c r="E1529" s="1061"/>
      <c r="F1529" s="1061"/>
      <c r="G1529" s="1061"/>
      <c r="H1529" s="1061"/>
      <c r="I1529" s="1061"/>
      <c r="J1529" s="1061"/>
      <c r="K1529" s="1061"/>
      <c r="L1529" s="1061"/>
      <c r="M1529" s="1061"/>
      <c r="N1529" s="1061"/>
      <c r="O1529" s="626"/>
    </row>
    <row r="1530" spans="1:15" x14ac:dyDescent="0.25">
      <c r="A1530" s="765"/>
      <c r="B1530" s="624"/>
      <c r="C1530" s="1061"/>
      <c r="D1530" s="1061"/>
      <c r="E1530" s="1061"/>
      <c r="F1530" s="1061"/>
      <c r="G1530" s="1061"/>
      <c r="H1530" s="1061"/>
      <c r="I1530" s="1061"/>
      <c r="J1530" s="1061"/>
      <c r="K1530" s="1061"/>
      <c r="L1530" s="1061"/>
      <c r="M1530" s="1061"/>
      <c r="N1530" s="1061"/>
      <c r="O1530" s="626"/>
    </row>
    <row r="1531" spans="1:15" x14ac:dyDescent="0.25">
      <c r="A1531" s="765"/>
      <c r="B1531" s="624"/>
      <c r="C1531" s="1061"/>
      <c r="D1531" s="1061"/>
      <c r="E1531" s="1061"/>
      <c r="F1531" s="1061"/>
      <c r="G1531" s="1061"/>
      <c r="H1531" s="1061"/>
      <c r="I1531" s="1061"/>
      <c r="J1531" s="1061"/>
      <c r="K1531" s="1061"/>
      <c r="L1531" s="1061"/>
      <c r="M1531" s="1061"/>
      <c r="N1531" s="1061"/>
      <c r="O1531" s="626"/>
    </row>
    <row r="1532" spans="1:15" x14ac:dyDescent="0.25">
      <c r="A1532" s="765"/>
      <c r="B1532" s="624"/>
      <c r="C1532" s="1061"/>
      <c r="D1532" s="1061"/>
      <c r="E1532" s="1061"/>
      <c r="F1532" s="1061"/>
      <c r="G1532" s="1061"/>
      <c r="H1532" s="1061"/>
      <c r="I1532" s="1061"/>
      <c r="J1532" s="1061"/>
      <c r="K1532" s="1061"/>
      <c r="L1532" s="1061"/>
      <c r="M1532" s="1061"/>
      <c r="N1532" s="1061"/>
      <c r="O1532" s="626"/>
    </row>
    <row r="1533" spans="1:15" x14ac:dyDescent="0.25">
      <c r="A1533" s="765"/>
      <c r="B1533" s="624"/>
      <c r="C1533" s="1061"/>
      <c r="D1533" s="1061"/>
      <c r="E1533" s="1061"/>
      <c r="F1533" s="1061"/>
      <c r="G1533" s="1061"/>
      <c r="H1533" s="1061"/>
      <c r="I1533" s="1061"/>
      <c r="J1533" s="1061"/>
      <c r="K1533" s="1061"/>
      <c r="L1533" s="1061"/>
      <c r="M1533" s="1061"/>
      <c r="N1533" s="1061"/>
      <c r="O1533" s="626"/>
    </row>
    <row r="1534" spans="1:15" x14ac:dyDescent="0.25">
      <c r="A1534" s="765"/>
      <c r="B1534" s="624"/>
      <c r="C1534" s="1061"/>
      <c r="D1534" s="1061"/>
      <c r="E1534" s="1061"/>
      <c r="F1534" s="1061"/>
      <c r="G1534" s="1061"/>
      <c r="H1534" s="1061"/>
      <c r="I1534" s="1061"/>
      <c r="J1534" s="1061"/>
      <c r="K1534" s="1061"/>
      <c r="L1534" s="1061"/>
      <c r="M1534" s="1061"/>
      <c r="N1534" s="1061"/>
      <c r="O1534" s="626"/>
    </row>
    <row r="1535" spans="1:15" x14ac:dyDescent="0.25">
      <c r="A1535" s="765"/>
      <c r="B1535" s="624"/>
      <c r="C1535" s="1061"/>
      <c r="D1535" s="1061"/>
      <c r="E1535" s="1061"/>
      <c r="F1535" s="1061"/>
      <c r="G1535" s="1061"/>
      <c r="H1535" s="1061"/>
      <c r="I1535" s="1061"/>
      <c r="J1535" s="1061"/>
      <c r="K1535" s="1061"/>
      <c r="L1535" s="1061"/>
      <c r="M1535" s="1061"/>
      <c r="N1535" s="1061"/>
      <c r="O1535" s="626"/>
    </row>
    <row r="1536" spans="1:15" x14ac:dyDescent="0.25">
      <c r="A1536" s="765"/>
      <c r="B1536" s="624"/>
      <c r="C1536" s="1061"/>
      <c r="D1536" s="1061"/>
      <c r="E1536" s="1061"/>
      <c r="F1536" s="1061"/>
      <c r="G1536" s="1061"/>
      <c r="H1536" s="1061"/>
      <c r="I1536" s="1061"/>
      <c r="J1536" s="1061"/>
      <c r="K1536" s="1061"/>
      <c r="L1536" s="1061"/>
      <c r="M1536" s="1061"/>
      <c r="N1536" s="1061"/>
      <c r="O1536" s="626"/>
    </row>
    <row r="1537" spans="1:15" x14ac:dyDescent="0.25">
      <c r="A1537" s="765"/>
      <c r="B1537" s="624"/>
      <c r="C1537" s="1061"/>
      <c r="D1537" s="1061"/>
      <c r="E1537" s="1061"/>
      <c r="F1537" s="1061"/>
      <c r="G1537" s="1061"/>
      <c r="H1537" s="1061"/>
      <c r="I1537" s="1061"/>
      <c r="J1537" s="1061"/>
      <c r="K1537" s="1061"/>
      <c r="L1537" s="1061"/>
      <c r="M1537" s="1061"/>
      <c r="N1537" s="1061"/>
      <c r="O1537" s="626"/>
    </row>
    <row r="1538" spans="1:15" x14ac:dyDescent="0.25">
      <c r="A1538" s="765"/>
      <c r="B1538" s="624"/>
      <c r="C1538" s="1061"/>
      <c r="D1538" s="1061"/>
      <c r="E1538" s="1061"/>
      <c r="F1538" s="1061"/>
      <c r="G1538" s="1061"/>
      <c r="H1538" s="1061"/>
      <c r="I1538" s="1061"/>
      <c r="J1538" s="1061"/>
      <c r="K1538" s="1061"/>
      <c r="L1538" s="1061"/>
      <c r="M1538" s="1061"/>
      <c r="N1538" s="1061"/>
      <c r="O1538" s="626"/>
    </row>
    <row r="1539" spans="1:15" x14ac:dyDescent="0.25">
      <c r="A1539" s="765"/>
      <c r="B1539" s="624"/>
      <c r="C1539" s="1061"/>
      <c r="D1539" s="1061"/>
      <c r="E1539" s="1061"/>
      <c r="F1539" s="1061"/>
      <c r="G1539" s="1061"/>
      <c r="H1539" s="1061"/>
      <c r="I1539" s="1061"/>
      <c r="J1539" s="1061"/>
      <c r="K1539" s="1061"/>
      <c r="L1539" s="1061"/>
      <c r="M1539" s="1061"/>
      <c r="N1539" s="1061"/>
      <c r="O1539" s="626"/>
    </row>
    <row r="1540" spans="1:15" x14ac:dyDescent="0.25">
      <c r="A1540" s="765"/>
      <c r="B1540" s="624"/>
      <c r="C1540" s="1061"/>
      <c r="D1540" s="1061"/>
      <c r="E1540" s="1061"/>
      <c r="F1540" s="1061"/>
      <c r="G1540" s="1061"/>
      <c r="H1540" s="1061"/>
      <c r="I1540" s="1061"/>
      <c r="J1540" s="1061"/>
      <c r="K1540" s="1061"/>
      <c r="L1540" s="1061"/>
      <c r="M1540" s="1061"/>
      <c r="N1540" s="1061"/>
      <c r="O1540" s="626"/>
    </row>
    <row r="1541" spans="1:15" x14ac:dyDescent="0.25">
      <c r="A1541" s="765"/>
      <c r="B1541" s="624"/>
      <c r="C1541" s="1061"/>
      <c r="D1541" s="1061"/>
      <c r="E1541" s="1061"/>
      <c r="F1541" s="1061"/>
      <c r="G1541" s="1061"/>
      <c r="H1541" s="1061"/>
      <c r="I1541" s="1061"/>
      <c r="J1541" s="1061"/>
      <c r="K1541" s="1061"/>
      <c r="L1541" s="1061"/>
      <c r="M1541" s="1061"/>
      <c r="N1541" s="1061"/>
      <c r="O1541" s="626"/>
    </row>
    <row r="1542" spans="1:15" x14ac:dyDescent="0.25">
      <c r="A1542" s="765"/>
      <c r="B1542" s="624"/>
      <c r="C1542" s="1061"/>
      <c r="D1542" s="1061"/>
      <c r="E1542" s="1061"/>
      <c r="F1542" s="1061"/>
      <c r="G1542" s="1061"/>
      <c r="H1542" s="1061"/>
      <c r="I1542" s="1061"/>
      <c r="J1542" s="1061"/>
      <c r="K1542" s="1061"/>
      <c r="L1542" s="1061"/>
      <c r="M1542" s="1061"/>
      <c r="N1542" s="1061"/>
      <c r="O1542" s="626"/>
    </row>
    <row r="1543" spans="1:15" x14ac:dyDescent="0.25">
      <c r="A1543" s="765"/>
      <c r="B1543" s="624"/>
      <c r="C1543" s="1061"/>
      <c r="D1543" s="1061"/>
      <c r="E1543" s="1061"/>
      <c r="F1543" s="1061"/>
      <c r="G1543" s="1061"/>
      <c r="H1543" s="1061"/>
      <c r="I1543" s="1061"/>
      <c r="J1543" s="1061"/>
      <c r="K1543" s="1061"/>
      <c r="L1543" s="1061"/>
      <c r="M1543" s="1061"/>
      <c r="N1543" s="1061"/>
      <c r="O1543" s="626"/>
    </row>
    <row r="1544" spans="1:15" x14ac:dyDescent="0.25">
      <c r="A1544" s="765"/>
      <c r="B1544" s="624"/>
      <c r="C1544" s="1061"/>
      <c r="D1544" s="1061"/>
      <c r="E1544" s="1061"/>
      <c r="F1544" s="1061"/>
      <c r="G1544" s="1061"/>
      <c r="H1544" s="1061"/>
      <c r="I1544" s="1061"/>
      <c r="J1544" s="1061"/>
      <c r="K1544" s="1061"/>
      <c r="L1544" s="1061"/>
      <c r="M1544" s="1061"/>
      <c r="N1544" s="1061"/>
      <c r="O1544" s="626"/>
    </row>
    <row r="1545" spans="1:15" x14ac:dyDescent="0.25">
      <c r="A1545" s="765"/>
      <c r="B1545" s="624"/>
      <c r="C1545" s="1061"/>
      <c r="D1545" s="1061"/>
      <c r="E1545" s="1061"/>
      <c r="F1545" s="1061"/>
      <c r="G1545" s="1061"/>
      <c r="H1545" s="1061"/>
      <c r="I1545" s="1061"/>
      <c r="J1545" s="1061"/>
      <c r="K1545" s="1061"/>
      <c r="L1545" s="1061"/>
      <c r="M1545" s="1061"/>
      <c r="N1545" s="1061"/>
      <c r="O1545" s="626"/>
    </row>
    <row r="1546" spans="1:15" x14ac:dyDescent="0.25">
      <c r="A1546" s="765"/>
      <c r="B1546" s="624"/>
      <c r="C1546" s="1061"/>
      <c r="D1546" s="1061"/>
      <c r="E1546" s="1061"/>
      <c r="F1546" s="1061"/>
      <c r="G1546" s="1061"/>
      <c r="H1546" s="1061"/>
      <c r="I1546" s="1061"/>
      <c r="J1546" s="1061"/>
      <c r="K1546" s="1061"/>
      <c r="L1546" s="1061"/>
      <c r="M1546" s="1061"/>
      <c r="N1546" s="1061"/>
      <c r="O1546" s="626"/>
    </row>
    <row r="1547" spans="1:15" x14ac:dyDescent="0.25">
      <c r="A1547" s="765"/>
      <c r="B1547" s="624"/>
      <c r="C1547" s="1061"/>
      <c r="D1547" s="1061"/>
      <c r="E1547" s="1061"/>
      <c r="F1547" s="1061"/>
      <c r="G1547" s="1061"/>
      <c r="H1547" s="1061"/>
      <c r="I1547" s="1061"/>
      <c r="J1547" s="1061"/>
      <c r="K1547" s="1061"/>
      <c r="L1547" s="1061"/>
      <c r="M1547" s="1061"/>
      <c r="N1547" s="1061"/>
      <c r="O1547" s="626"/>
    </row>
    <row r="1548" spans="1:15" x14ac:dyDescent="0.25">
      <c r="A1548" s="765"/>
      <c r="B1548" s="624"/>
      <c r="C1548" s="1061"/>
      <c r="D1548" s="1061"/>
      <c r="E1548" s="1061"/>
      <c r="F1548" s="1061"/>
      <c r="G1548" s="1061"/>
      <c r="H1548" s="1061"/>
      <c r="I1548" s="1061"/>
      <c r="J1548" s="1061"/>
      <c r="K1548" s="1061"/>
      <c r="L1548" s="1061"/>
      <c r="M1548" s="1061"/>
      <c r="N1548" s="1061"/>
      <c r="O1548" s="626"/>
    </row>
    <row r="1549" spans="1:15" x14ac:dyDescent="0.25">
      <c r="A1549" s="765"/>
      <c r="B1549" s="624"/>
      <c r="C1549" s="1061"/>
      <c r="D1549" s="1061"/>
      <c r="E1549" s="1061"/>
      <c r="F1549" s="1061"/>
      <c r="G1549" s="1061"/>
      <c r="H1549" s="1061"/>
      <c r="I1549" s="1061"/>
      <c r="J1549" s="1061"/>
      <c r="K1549" s="1061"/>
      <c r="L1549" s="1061"/>
      <c r="M1549" s="1061"/>
      <c r="N1549" s="1061"/>
      <c r="O1549" s="626"/>
    </row>
    <row r="1550" spans="1:15" x14ac:dyDescent="0.25">
      <c r="A1550" s="765"/>
      <c r="B1550" s="624"/>
      <c r="C1550" s="1061"/>
      <c r="D1550" s="1061"/>
      <c r="E1550" s="1061"/>
      <c r="F1550" s="1061"/>
      <c r="G1550" s="1061"/>
      <c r="H1550" s="1061"/>
      <c r="I1550" s="1061"/>
      <c r="J1550" s="1061"/>
      <c r="K1550" s="1061"/>
      <c r="L1550" s="1061"/>
      <c r="M1550" s="1061"/>
      <c r="N1550" s="1061"/>
      <c r="O1550" s="626"/>
    </row>
    <row r="1551" spans="1:15" x14ac:dyDescent="0.25">
      <c r="A1551" s="765"/>
      <c r="B1551" s="624"/>
      <c r="C1551" s="1061"/>
      <c r="D1551" s="1061"/>
      <c r="E1551" s="1061"/>
      <c r="F1551" s="1061"/>
      <c r="G1551" s="1061"/>
      <c r="H1551" s="1061"/>
      <c r="I1551" s="1061"/>
      <c r="J1551" s="1061"/>
      <c r="K1551" s="1061"/>
      <c r="L1551" s="1061"/>
      <c r="M1551" s="1061"/>
      <c r="N1551" s="1061"/>
      <c r="O1551" s="626"/>
    </row>
    <row r="1552" spans="1:15" x14ac:dyDescent="0.25">
      <c r="A1552" s="765"/>
      <c r="B1552" s="624"/>
      <c r="C1552" s="1061"/>
      <c r="D1552" s="1061"/>
      <c r="E1552" s="1061"/>
      <c r="F1552" s="1061"/>
      <c r="G1552" s="1061"/>
      <c r="H1552" s="1061"/>
      <c r="I1552" s="1061"/>
      <c r="J1552" s="1061"/>
      <c r="K1552" s="1061"/>
      <c r="L1552" s="1061"/>
      <c r="M1552" s="1061"/>
      <c r="N1552" s="1061"/>
      <c r="O1552" s="626"/>
    </row>
    <row r="1553" spans="1:15" x14ac:dyDescent="0.25">
      <c r="A1553" s="765"/>
      <c r="B1553" s="624"/>
      <c r="C1553" s="1061"/>
      <c r="D1553" s="1061"/>
      <c r="E1553" s="1061"/>
      <c r="F1553" s="1061"/>
      <c r="G1553" s="1061"/>
      <c r="H1553" s="1061"/>
      <c r="I1553" s="1061"/>
      <c r="J1553" s="1061"/>
      <c r="K1553" s="1061"/>
      <c r="L1553" s="1061"/>
      <c r="M1553" s="1061"/>
      <c r="N1553" s="1061"/>
      <c r="O1553" s="626"/>
    </row>
    <row r="1554" spans="1:15" x14ac:dyDescent="0.25">
      <c r="A1554" s="765"/>
      <c r="B1554" s="624"/>
      <c r="C1554" s="1061"/>
      <c r="D1554" s="1061"/>
      <c r="E1554" s="1061"/>
      <c r="F1554" s="1061"/>
      <c r="G1554" s="1061"/>
      <c r="H1554" s="1061"/>
      <c r="I1554" s="1061"/>
      <c r="J1554" s="1061"/>
      <c r="K1554" s="1061"/>
      <c r="L1554" s="1061"/>
      <c r="M1554" s="1061"/>
      <c r="N1554" s="1061"/>
      <c r="O1554" s="626"/>
    </row>
    <row r="1555" spans="1:15" x14ac:dyDescent="0.25">
      <c r="A1555" s="765"/>
      <c r="B1555" s="624"/>
      <c r="C1555" s="1061"/>
      <c r="D1555" s="1061"/>
      <c r="E1555" s="1061"/>
      <c r="F1555" s="1061"/>
      <c r="G1555" s="1061"/>
      <c r="H1555" s="1061"/>
      <c r="I1555" s="1061"/>
      <c r="J1555" s="1061"/>
      <c r="K1555" s="1061"/>
      <c r="L1555" s="1061"/>
      <c r="M1555" s="1061"/>
      <c r="N1555" s="1061"/>
      <c r="O1555" s="626"/>
    </row>
    <row r="1556" spans="1:15" x14ac:dyDescent="0.25">
      <c r="A1556" s="765"/>
      <c r="B1556" s="624"/>
      <c r="C1556" s="1061"/>
      <c r="D1556" s="1061"/>
      <c r="E1556" s="1061"/>
      <c r="F1556" s="1061"/>
      <c r="G1556" s="1061"/>
      <c r="H1556" s="1061"/>
      <c r="I1556" s="1061"/>
      <c r="J1556" s="1061"/>
      <c r="K1556" s="1061"/>
      <c r="L1556" s="1061"/>
      <c r="M1556" s="1061"/>
      <c r="N1556" s="1061"/>
      <c r="O1556" s="626"/>
    </row>
    <row r="1557" spans="1:15" x14ac:dyDescent="0.25">
      <c r="A1557" s="765"/>
      <c r="B1557" s="624"/>
      <c r="C1557" s="1061"/>
      <c r="D1557" s="1061"/>
      <c r="E1557" s="1061"/>
      <c r="F1557" s="1061"/>
      <c r="G1557" s="1061"/>
      <c r="H1557" s="1061"/>
      <c r="I1557" s="1061"/>
      <c r="J1557" s="1061"/>
      <c r="K1557" s="1061"/>
      <c r="L1557" s="1061"/>
      <c r="M1557" s="1061"/>
      <c r="N1557" s="1061"/>
      <c r="O1557" s="626"/>
    </row>
    <row r="1558" spans="1:15" x14ac:dyDescent="0.25">
      <c r="A1558" s="765"/>
      <c r="B1558" s="624"/>
      <c r="C1558" s="1061"/>
      <c r="D1558" s="1061"/>
      <c r="E1558" s="1061"/>
      <c r="F1558" s="1061"/>
      <c r="G1558" s="1061"/>
      <c r="H1558" s="1061"/>
      <c r="I1558" s="1061"/>
      <c r="J1558" s="1061"/>
      <c r="K1558" s="1061"/>
      <c r="L1558" s="1061"/>
      <c r="M1558" s="1061"/>
      <c r="N1558" s="1061"/>
      <c r="O1558" s="626"/>
    </row>
    <row r="1559" spans="1:15" x14ac:dyDescent="0.25">
      <c r="A1559" s="765"/>
      <c r="B1559" s="624"/>
      <c r="C1559" s="1061"/>
      <c r="D1559" s="1061"/>
      <c r="E1559" s="1061"/>
      <c r="F1559" s="1061"/>
      <c r="G1559" s="1061"/>
      <c r="H1559" s="1061"/>
      <c r="I1559" s="1061"/>
      <c r="J1559" s="1061"/>
      <c r="K1559" s="1061"/>
      <c r="L1559" s="1061"/>
      <c r="M1559" s="1061"/>
      <c r="N1559" s="1061"/>
      <c r="O1559" s="626"/>
    </row>
    <row r="1560" spans="1:15" x14ac:dyDescent="0.25">
      <c r="A1560" s="765"/>
      <c r="B1560" s="624"/>
      <c r="C1560" s="1061"/>
      <c r="D1560" s="1061"/>
      <c r="E1560" s="1061"/>
      <c r="F1560" s="1061"/>
      <c r="G1560" s="1061"/>
      <c r="H1560" s="1061"/>
      <c r="I1560" s="1061"/>
      <c r="J1560" s="1061"/>
      <c r="K1560" s="1061"/>
      <c r="L1560" s="1061"/>
      <c r="M1560" s="1061"/>
      <c r="N1560" s="1061"/>
      <c r="O1560" s="626"/>
    </row>
    <row r="1561" spans="1:15" x14ac:dyDescent="0.25">
      <c r="A1561" s="765"/>
      <c r="B1561" s="624"/>
      <c r="C1561" s="1061"/>
      <c r="D1561" s="1061"/>
      <c r="E1561" s="1061"/>
      <c r="F1561" s="1061"/>
      <c r="G1561" s="1061"/>
      <c r="H1561" s="1061"/>
      <c r="I1561" s="1061"/>
      <c r="J1561" s="1061"/>
      <c r="K1561" s="1061"/>
      <c r="L1561" s="1061"/>
      <c r="M1561" s="1061"/>
      <c r="N1561" s="1061"/>
      <c r="O1561" s="626"/>
    </row>
    <row r="1562" spans="1:15" x14ac:dyDescent="0.25">
      <c r="A1562" s="765"/>
      <c r="B1562" s="624"/>
      <c r="C1562" s="1061"/>
      <c r="D1562" s="1061"/>
      <c r="E1562" s="1061"/>
      <c r="F1562" s="1061"/>
      <c r="G1562" s="1061"/>
      <c r="H1562" s="1061"/>
      <c r="I1562" s="1061"/>
      <c r="J1562" s="1061"/>
      <c r="K1562" s="1061"/>
      <c r="L1562" s="1061"/>
      <c r="M1562" s="1061"/>
      <c r="N1562" s="1061"/>
      <c r="O1562" s="626"/>
    </row>
    <row r="1563" spans="1:15" x14ac:dyDescent="0.25">
      <c r="A1563" s="765"/>
      <c r="B1563" s="624"/>
      <c r="C1563" s="1061"/>
      <c r="D1563" s="1061"/>
      <c r="E1563" s="1061"/>
      <c r="F1563" s="1061"/>
      <c r="G1563" s="1061"/>
      <c r="H1563" s="1061"/>
      <c r="I1563" s="1061"/>
      <c r="J1563" s="1061"/>
      <c r="K1563" s="1061"/>
      <c r="L1563" s="1061"/>
      <c r="M1563" s="1061"/>
      <c r="N1563" s="1061"/>
      <c r="O1563" s="626"/>
    </row>
    <row r="1564" spans="1:15" x14ac:dyDescent="0.25">
      <c r="A1564" s="765"/>
      <c r="B1564" s="624"/>
      <c r="C1564" s="1061"/>
      <c r="D1564" s="1061"/>
      <c r="E1564" s="1061"/>
      <c r="F1564" s="1061"/>
      <c r="G1564" s="1061"/>
      <c r="H1564" s="1061"/>
      <c r="I1564" s="1061"/>
      <c r="J1564" s="1061"/>
      <c r="K1564" s="1061"/>
      <c r="L1564" s="1061"/>
      <c r="M1564" s="1061"/>
      <c r="N1564" s="1061"/>
      <c r="O1564" s="626"/>
    </row>
    <row r="1565" spans="1:15" x14ac:dyDescent="0.25">
      <c r="A1565" s="765"/>
      <c r="B1565" s="624"/>
      <c r="C1565" s="1061"/>
      <c r="D1565" s="1061"/>
      <c r="E1565" s="1061"/>
      <c r="F1565" s="1061"/>
      <c r="G1565" s="1061"/>
      <c r="H1565" s="1061"/>
      <c r="I1565" s="1061"/>
      <c r="J1565" s="1061"/>
      <c r="K1565" s="1061"/>
      <c r="L1565" s="1061"/>
      <c r="M1565" s="1061"/>
      <c r="N1565" s="1061"/>
      <c r="O1565" s="626"/>
    </row>
    <row r="1566" spans="1:15" x14ac:dyDescent="0.25">
      <c r="A1566" s="765"/>
      <c r="B1566" s="624"/>
      <c r="C1566" s="1061"/>
      <c r="D1566" s="1061"/>
      <c r="E1566" s="1061"/>
      <c r="F1566" s="1061"/>
      <c r="G1566" s="1061"/>
      <c r="H1566" s="1061"/>
      <c r="I1566" s="1061"/>
      <c r="J1566" s="1061"/>
      <c r="K1566" s="1061"/>
      <c r="L1566" s="1061"/>
      <c r="M1566" s="1061"/>
      <c r="N1566" s="1061"/>
      <c r="O1566" s="626"/>
    </row>
    <row r="1567" spans="1:15" x14ac:dyDescent="0.25">
      <c r="A1567" s="765"/>
      <c r="B1567" s="624"/>
      <c r="C1567" s="1061"/>
      <c r="D1567" s="1061"/>
      <c r="E1567" s="1061"/>
      <c r="F1567" s="1061"/>
      <c r="G1567" s="1061"/>
      <c r="H1567" s="1061"/>
      <c r="I1567" s="1061"/>
      <c r="J1567" s="1061"/>
      <c r="K1567" s="1061"/>
      <c r="L1567" s="1061"/>
      <c r="M1567" s="1061"/>
      <c r="N1567" s="1061"/>
      <c r="O1567" s="626"/>
    </row>
    <row r="1568" spans="1:15" x14ac:dyDescent="0.25">
      <c r="A1568" s="765"/>
      <c r="B1568" s="624"/>
      <c r="C1568" s="1061"/>
      <c r="D1568" s="1061"/>
      <c r="E1568" s="1061"/>
      <c r="F1568" s="1061"/>
      <c r="G1568" s="1061"/>
      <c r="H1568" s="1061"/>
      <c r="I1568" s="1061"/>
      <c r="J1568" s="1061"/>
      <c r="K1568" s="1061"/>
      <c r="L1568" s="1061"/>
      <c r="M1568" s="1061"/>
      <c r="N1568" s="1061"/>
      <c r="O1568" s="626"/>
    </row>
    <row r="1569" spans="1:15" x14ac:dyDescent="0.25">
      <c r="A1569" s="765"/>
      <c r="B1569" s="624"/>
      <c r="C1569" s="1061"/>
      <c r="D1569" s="1061"/>
      <c r="E1569" s="1061"/>
      <c r="F1569" s="1061"/>
      <c r="G1569" s="1061"/>
      <c r="H1569" s="1061"/>
      <c r="I1569" s="1061"/>
      <c r="J1569" s="1061"/>
      <c r="K1569" s="1061"/>
      <c r="L1569" s="1061"/>
      <c r="M1569" s="1061"/>
      <c r="N1569" s="1061"/>
      <c r="O1569" s="626"/>
    </row>
    <row r="1570" spans="1:15" x14ac:dyDescent="0.25">
      <c r="A1570" s="765"/>
      <c r="B1570" s="624"/>
      <c r="C1570" s="1061"/>
      <c r="D1570" s="1061"/>
      <c r="E1570" s="1061"/>
      <c r="F1570" s="1061"/>
      <c r="G1570" s="1061"/>
      <c r="H1570" s="1061"/>
      <c r="I1570" s="1061"/>
      <c r="J1570" s="1061"/>
      <c r="K1570" s="1061"/>
      <c r="L1570" s="1061"/>
      <c r="M1570" s="1061"/>
      <c r="N1570" s="1061"/>
      <c r="O1570" s="626"/>
    </row>
    <row r="1571" spans="1:15" x14ac:dyDescent="0.25">
      <c r="A1571" s="765"/>
      <c r="B1571" s="624"/>
      <c r="C1571" s="1061"/>
      <c r="D1571" s="1061"/>
      <c r="E1571" s="1061"/>
      <c r="F1571" s="1061"/>
      <c r="G1571" s="1061"/>
      <c r="H1571" s="1061"/>
      <c r="I1571" s="1061"/>
      <c r="J1571" s="1061"/>
      <c r="K1571" s="1061"/>
      <c r="L1571" s="1061"/>
      <c r="M1571" s="1061"/>
      <c r="N1571" s="1061"/>
      <c r="O1571" s="626"/>
    </row>
    <row r="1572" spans="1:15" x14ac:dyDescent="0.25">
      <c r="A1572" s="765"/>
      <c r="B1572" s="624"/>
      <c r="C1572" s="1061"/>
      <c r="D1572" s="1061"/>
      <c r="E1572" s="1061"/>
      <c r="F1572" s="1061"/>
      <c r="G1572" s="1061"/>
      <c r="H1572" s="1061"/>
      <c r="I1572" s="1061"/>
      <c r="J1572" s="1061"/>
      <c r="K1572" s="1061"/>
      <c r="L1572" s="1061"/>
      <c r="M1572" s="1061"/>
      <c r="N1572" s="1061"/>
      <c r="O1572" s="626"/>
    </row>
    <row r="1573" spans="1:15" x14ac:dyDescent="0.25">
      <c r="A1573" s="765"/>
      <c r="B1573" s="624"/>
      <c r="C1573" s="1061"/>
      <c r="D1573" s="1061"/>
      <c r="E1573" s="1061"/>
      <c r="F1573" s="1061"/>
      <c r="G1573" s="1061"/>
      <c r="H1573" s="1061"/>
      <c r="I1573" s="1061"/>
      <c r="J1573" s="1061"/>
      <c r="K1573" s="1061"/>
      <c r="L1573" s="1061"/>
      <c r="M1573" s="1061"/>
      <c r="N1573" s="1061"/>
      <c r="O1573" s="626"/>
    </row>
    <row r="1574" spans="1:15" x14ac:dyDescent="0.25">
      <c r="A1574" s="765"/>
      <c r="B1574" s="624"/>
      <c r="C1574" s="1061"/>
      <c r="D1574" s="1061"/>
      <c r="E1574" s="1061"/>
      <c r="F1574" s="1061"/>
      <c r="G1574" s="1061"/>
      <c r="H1574" s="1061"/>
      <c r="I1574" s="1061"/>
      <c r="J1574" s="1061"/>
      <c r="K1574" s="1061"/>
      <c r="L1574" s="1061"/>
      <c r="M1574" s="1061"/>
      <c r="N1574" s="1061"/>
      <c r="O1574" s="626"/>
    </row>
    <row r="1575" spans="1:15" x14ac:dyDescent="0.25">
      <c r="A1575" s="765"/>
      <c r="B1575" s="624"/>
      <c r="C1575" s="1061"/>
      <c r="D1575" s="1061"/>
      <c r="E1575" s="1061"/>
      <c r="F1575" s="1061"/>
      <c r="G1575" s="1061"/>
      <c r="H1575" s="1061"/>
      <c r="I1575" s="1061"/>
      <c r="J1575" s="1061"/>
      <c r="K1575" s="1061"/>
      <c r="L1575" s="1061"/>
      <c r="M1575" s="1061"/>
      <c r="N1575" s="1061"/>
      <c r="O1575" s="626"/>
    </row>
    <row r="1576" spans="1:15" x14ac:dyDescent="0.25">
      <c r="A1576" s="765"/>
      <c r="B1576" s="624"/>
      <c r="C1576" s="1061"/>
      <c r="D1576" s="1061"/>
      <c r="E1576" s="1061"/>
      <c r="F1576" s="1061"/>
      <c r="G1576" s="1061"/>
      <c r="H1576" s="1061"/>
      <c r="I1576" s="1061"/>
      <c r="J1576" s="1061"/>
      <c r="K1576" s="1061"/>
      <c r="L1576" s="1061"/>
      <c r="M1576" s="1061"/>
      <c r="N1576" s="1061"/>
      <c r="O1576" s="626"/>
    </row>
    <row r="1577" spans="1:15" x14ac:dyDescent="0.25">
      <c r="A1577" s="765"/>
      <c r="B1577" s="624"/>
      <c r="C1577" s="1061"/>
      <c r="D1577" s="1061"/>
      <c r="E1577" s="1061"/>
      <c r="F1577" s="1061"/>
      <c r="G1577" s="1061"/>
      <c r="H1577" s="1061"/>
      <c r="I1577" s="1061"/>
      <c r="J1577" s="1061"/>
      <c r="K1577" s="1061"/>
      <c r="L1577" s="1061"/>
      <c r="M1577" s="1061"/>
      <c r="N1577" s="1061"/>
      <c r="O1577" s="626"/>
    </row>
    <row r="1578" spans="1:15" x14ac:dyDescent="0.25">
      <c r="A1578" s="765"/>
      <c r="B1578" s="624"/>
      <c r="C1578" s="1061"/>
      <c r="D1578" s="1061"/>
      <c r="E1578" s="1061"/>
      <c r="F1578" s="1061"/>
      <c r="G1578" s="1061"/>
      <c r="H1578" s="1061"/>
      <c r="I1578" s="1061"/>
      <c r="J1578" s="1061"/>
      <c r="K1578" s="1061"/>
      <c r="L1578" s="1061"/>
      <c r="M1578" s="1061"/>
      <c r="N1578" s="1061"/>
      <c r="O1578" s="626"/>
    </row>
    <row r="1579" spans="1:15" x14ac:dyDescent="0.25">
      <c r="A1579" s="765"/>
      <c r="B1579" s="624"/>
      <c r="C1579" s="1061"/>
      <c r="D1579" s="1061"/>
      <c r="E1579" s="1061"/>
      <c r="F1579" s="1061"/>
      <c r="G1579" s="1061"/>
      <c r="H1579" s="1061"/>
      <c r="I1579" s="1061"/>
      <c r="J1579" s="1061"/>
      <c r="K1579" s="1061"/>
      <c r="L1579" s="1061"/>
      <c r="M1579" s="1061"/>
      <c r="N1579" s="1061"/>
      <c r="O1579" s="626"/>
    </row>
    <row r="1580" spans="1:15" x14ac:dyDescent="0.25">
      <c r="A1580" s="765"/>
      <c r="B1580" s="624"/>
      <c r="C1580" s="1061"/>
      <c r="D1580" s="1061"/>
      <c r="E1580" s="1061"/>
      <c r="F1580" s="1061"/>
      <c r="G1580" s="1061"/>
      <c r="H1580" s="1061"/>
      <c r="I1580" s="1061"/>
      <c r="J1580" s="1061"/>
      <c r="K1580" s="1061"/>
      <c r="L1580" s="1061"/>
      <c r="M1580" s="1061"/>
      <c r="N1580" s="1061"/>
      <c r="O1580" s="626"/>
    </row>
    <row r="1581" spans="1:15" x14ac:dyDescent="0.25">
      <c r="A1581" s="765"/>
      <c r="B1581" s="624"/>
      <c r="C1581" s="1061"/>
      <c r="D1581" s="1061"/>
      <c r="E1581" s="1061"/>
      <c r="F1581" s="1061"/>
      <c r="G1581" s="1061"/>
      <c r="H1581" s="1061"/>
      <c r="I1581" s="1061"/>
      <c r="J1581" s="1061"/>
      <c r="K1581" s="1061"/>
      <c r="L1581" s="1061"/>
      <c r="M1581" s="1061"/>
      <c r="N1581" s="1061"/>
      <c r="O1581" s="626"/>
    </row>
    <row r="1582" spans="1:15" x14ac:dyDescent="0.25">
      <c r="A1582" s="765"/>
      <c r="B1582" s="624"/>
      <c r="C1582" s="1061"/>
      <c r="D1582" s="1061"/>
      <c r="E1582" s="1061"/>
      <c r="F1582" s="1061"/>
      <c r="G1582" s="1061"/>
      <c r="H1582" s="1061"/>
      <c r="I1582" s="1061"/>
      <c r="J1582" s="1061"/>
      <c r="K1582" s="1061"/>
      <c r="L1582" s="1061"/>
      <c r="M1582" s="1061"/>
      <c r="N1582" s="1061"/>
      <c r="O1582" s="626"/>
    </row>
    <row r="1583" spans="1:15" x14ac:dyDescent="0.25">
      <c r="A1583" s="765"/>
      <c r="B1583" s="624"/>
      <c r="C1583" s="1061"/>
      <c r="D1583" s="1061"/>
      <c r="E1583" s="1061"/>
      <c r="F1583" s="1061"/>
      <c r="G1583" s="1061"/>
      <c r="H1583" s="1061"/>
      <c r="I1583" s="1061"/>
      <c r="J1583" s="1061"/>
      <c r="K1583" s="1061"/>
      <c r="L1583" s="1061"/>
      <c r="M1583" s="1061"/>
      <c r="N1583" s="1061"/>
      <c r="O1583" s="626"/>
    </row>
    <row r="1584" spans="1:15" x14ac:dyDescent="0.25">
      <c r="A1584" s="765"/>
      <c r="B1584" s="624"/>
      <c r="C1584" s="1061"/>
      <c r="D1584" s="1061"/>
      <c r="E1584" s="1061"/>
      <c r="F1584" s="1061"/>
      <c r="G1584" s="1061"/>
      <c r="H1584" s="1061"/>
      <c r="I1584" s="1061"/>
      <c r="J1584" s="1061"/>
      <c r="K1584" s="1061"/>
      <c r="L1584" s="1061"/>
      <c r="M1584" s="1061"/>
      <c r="N1584" s="1061"/>
      <c r="O1584" s="626"/>
    </row>
    <row r="1585" spans="1:15" x14ac:dyDescent="0.25">
      <c r="A1585" s="765"/>
      <c r="B1585" s="624"/>
      <c r="C1585" s="1061"/>
      <c r="D1585" s="1061"/>
      <c r="E1585" s="1061"/>
      <c r="F1585" s="1061"/>
      <c r="G1585" s="1061"/>
      <c r="H1585" s="1061"/>
      <c r="I1585" s="1061"/>
      <c r="J1585" s="1061"/>
      <c r="K1585" s="1061"/>
      <c r="L1585" s="1061"/>
      <c r="M1585" s="1061"/>
      <c r="N1585" s="1061"/>
      <c r="O1585" s="626"/>
    </row>
    <row r="1586" spans="1:15" x14ac:dyDescent="0.25">
      <c r="A1586" s="765"/>
      <c r="B1586" s="624"/>
      <c r="C1586" s="1061"/>
      <c r="D1586" s="1061"/>
      <c r="E1586" s="1061"/>
      <c r="F1586" s="1061"/>
      <c r="G1586" s="1061"/>
      <c r="H1586" s="1061"/>
      <c r="I1586" s="1061"/>
      <c r="J1586" s="1061"/>
      <c r="K1586" s="1061"/>
      <c r="L1586" s="1061"/>
      <c r="M1586" s="1061"/>
      <c r="N1586" s="1061"/>
      <c r="O1586" s="626"/>
    </row>
    <row r="1587" spans="1:15" x14ac:dyDescent="0.25">
      <c r="A1587" s="765"/>
      <c r="B1587" s="624"/>
      <c r="C1587" s="1061"/>
      <c r="D1587" s="1061"/>
      <c r="E1587" s="1061"/>
      <c r="F1587" s="1061"/>
      <c r="G1587" s="1061"/>
      <c r="H1587" s="1061"/>
      <c r="I1587" s="1061"/>
      <c r="J1587" s="1061"/>
      <c r="K1587" s="1061"/>
      <c r="L1587" s="1061"/>
      <c r="M1587" s="1061"/>
      <c r="N1587" s="1061"/>
      <c r="O1587" s="626"/>
    </row>
    <row r="1588" spans="1:15" x14ac:dyDescent="0.25">
      <c r="A1588" s="765"/>
      <c r="B1588" s="624"/>
      <c r="C1588" s="1061"/>
      <c r="D1588" s="1061"/>
      <c r="E1588" s="1061"/>
      <c r="F1588" s="1061"/>
      <c r="G1588" s="1061"/>
      <c r="H1588" s="1061"/>
      <c r="I1588" s="1061"/>
      <c r="J1588" s="1061"/>
      <c r="K1588" s="1061"/>
      <c r="L1588" s="1061"/>
      <c r="M1588" s="1061"/>
      <c r="N1588" s="1061"/>
      <c r="O1588" s="626"/>
    </row>
    <row r="1589" spans="1:15" x14ac:dyDescent="0.25">
      <c r="A1589" s="765"/>
      <c r="B1589" s="624"/>
      <c r="C1589" s="1061"/>
      <c r="D1589" s="1061"/>
      <c r="E1589" s="1061"/>
      <c r="F1589" s="1061"/>
      <c r="G1589" s="1061"/>
      <c r="H1589" s="1061"/>
      <c r="I1589" s="1061"/>
      <c r="J1589" s="1061"/>
      <c r="K1589" s="1061"/>
      <c r="L1589" s="1061"/>
      <c r="M1589" s="1061"/>
      <c r="N1589" s="1061"/>
      <c r="O1589" s="626"/>
    </row>
    <row r="1590" spans="1:15" x14ac:dyDescent="0.25">
      <c r="A1590" s="765"/>
      <c r="B1590" s="624"/>
      <c r="C1590" s="1061"/>
      <c r="D1590" s="1061"/>
      <c r="E1590" s="1061"/>
      <c r="F1590" s="1061"/>
      <c r="G1590" s="1061"/>
      <c r="H1590" s="1061"/>
      <c r="I1590" s="1061"/>
      <c r="J1590" s="1061"/>
      <c r="K1590" s="1061"/>
      <c r="L1590" s="1061"/>
      <c r="M1590" s="1061"/>
      <c r="N1590" s="1061"/>
      <c r="O1590" s="626"/>
    </row>
    <row r="1591" spans="1:15" x14ac:dyDescent="0.25">
      <c r="A1591" s="765"/>
      <c r="B1591" s="624"/>
      <c r="C1591" s="1061"/>
      <c r="D1591" s="1061"/>
      <c r="E1591" s="1061"/>
      <c r="F1591" s="1061"/>
      <c r="G1591" s="1061"/>
      <c r="H1591" s="1061"/>
      <c r="I1591" s="1061"/>
      <c r="J1591" s="1061"/>
      <c r="K1591" s="1061"/>
      <c r="L1591" s="1061"/>
      <c r="M1591" s="1061"/>
      <c r="N1591" s="1061"/>
      <c r="O1591" s="626"/>
    </row>
    <row r="1592" spans="1:15" x14ac:dyDescent="0.25">
      <c r="A1592" s="765"/>
      <c r="B1592" s="624"/>
      <c r="C1592" s="1061"/>
      <c r="D1592" s="1061"/>
      <c r="E1592" s="1061"/>
      <c r="F1592" s="1061"/>
      <c r="G1592" s="1061"/>
      <c r="H1592" s="1061"/>
      <c r="I1592" s="1061"/>
      <c r="J1592" s="1061"/>
      <c r="K1592" s="1061"/>
      <c r="L1592" s="1061"/>
      <c r="M1592" s="1061"/>
      <c r="N1592" s="1061"/>
      <c r="O1592" s="626"/>
    </row>
    <row r="1593" spans="1:15" x14ac:dyDescent="0.25">
      <c r="A1593" s="765"/>
      <c r="B1593" s="624"/>
      <c r="C1593" s="1061"/>
      <c r="D1593" s="1061"/>
      <c r="E1593" s="1061"/>
      <c r="F1593" s="1061"/>
      <c r="G1593" s="1061"/>
      <c r="H1593" s="1061"/>
      <c r="I1593" s="1061"/>
      <c r="J1593" s="1061"/>
      <c r="K1593" s="1061"/>
      <c r="L1593" s="1061"/>
      <c r="M1593" s="1061"/>
      <c r="N1593" s="1061"/>
      <c r="O1593" s="626"/>
    </row>
    <row r="1594" spans="1:15" x14ac:dyDescent="0.25">
      <c r="A1594" s="765"/>
      <c r="B1594" s="624"/>
      <c r="C1594" s="1061"/>
      <c r="D1594" s="1061"/>
      <c r="E1594" s="1061"/>
      <c r="F1594" s="1061"/>
      <c r="G1594" s="1061"/>
      <c r="H1594" s="1061"/>
      <c r="I1594" s="1061"/>
      <c r="J1594" s="1061"/>
      <c r="K1594" s="1061"/>
      <c r="L1594" s="1061"/>
      <c r="M1594" s="1061"/>
      <c r="N1594" s="1061"/>
      <c r="O1594" s="626"/>
    </row>
    <row r="1595" spans="1:15" x14ac:dyDescent="0.25">
      <c r="A1595" s="765"/>
      <c r="B1595" s="624"/>
      <c r="C1595" s="1061"/>
      <c r="D1595" s="1061"/>
      <c r="E1595" s="1061"/>
      <c r="F1595" s="1061"/>
      <c r="G1595" s="1061"/>
      <c r="H1595" s="1061"/>
      <c r="I1595" s="1061"/>
      <c r="J1595" s="1061"/>
      <c r="K1595" s="1061"/>
      <c r="L1595" s="1061"/>
      <c r="M1595" s="1061"/>
      <c r="N1595" s="1061"/>
      <c r="O1595" s="626"/>
    </row>
    <row r="1596" spans="1:15" x14ac:dyDescent="0.25">
      <c r="A1596" s="765"/>
      <c r="B1596" s="624"/>
      <c r="C1596" s="1061"/>
      <c r="D1596" s="1061"/>
      <c r="E1596" s="1061"/>
      <c r="F1596" s="1061"/>
      <c r="G1596" s="1061"/>
      <c r="H1596" s="1061"/>
      <c r="I1596" s="1061"/>
      <c r="J1596" s="1061"/>
      <c r="K1596" s="1061"/>
      <c r="L1596" s="1061"/>
      <c r="M1596" s="1061"/>
      <c r="N1596" s="1061"/>
      <c r="O1596" s="626"/>
    </row>
    <row r="1597" spans="1:15" x14ac:dyDescent="0.25">
      <c r="A1597" s="765"/>
      <c r="B1597" s="624"/>
      <c r="C1597" s="1061"/>
      <c r="D1597" s="1061"/>
      <c r="E1597" s="1061"/>
      <c r="F1597" s="1061"/>
      <c r="G1597" s="1061"/>
      <c r="H1597" s="1061"/>
      <c r="I1597" s="1061"/>
      <c r="J1597" s="1061"/>
      <c r="K1597" s="1061"/>
      <c r="L1597" s="1061"/>
      <c r="M1597" s="1061"/>
      <c r="N1597" s="1061"/>
      <c r="O1597" s="626"/>
    </row>
    <row r="1598" spans="1:15" x14ac:dyDescent="0.25">
      <c r="A1598" s="765"/>
      <c r="B1598" s="624"/>
      <c r="C1598" s="1061"/>
      <c r="D1598" s="1061"/>
      <c r="E1598" s="1061"/>
      <c r="F1598" s="1061"/>
      <c r="G1598" s="1061"/>
      <c r="H1598" s="1061"/>
      <c r="I1598" s="1061"/>
      <c r="J1598" s="1061"/>
      <c r="K1598" s="1061"/>
      <c r="L1598" s="1061"/>
      <c r="M1598" s="1061"/>
      <c r="N1598" s="1061"/>
      <c r="O1598" s="626"/>
    </row>
    <row r="1599" spans="1:15" x14ac:dyDescent="0.25">
      <c r="A1599" s="765"/>
      <c r="B1599" s="624"/>
      <c r="C1599" s="1061"/>
      <c r="D1599" s="1061"/>
      <c r="E1599" s="1061"/>
      <c r="F1599" s="1061"/>
      <c r="G1599" s="1061"/>
      <c r="H1599" s="1061"/>
      <c r="I1599" s="1061"/>
      <c r="J1599" s="1061"/>
      <c r="K1599" s="1061"/>
      <c r="L1599" s="1061"/>
      <c r="M1599" s="1061"/>
      <c r="N1599" s="1061"/>
      <c r="O1599" s="626"/>
    </row>
    <row r="1600" spans="1:15" x14ac:dyDescent="0.25">
      <c r="A1600" s="765"/>
      <c r="B1600" s="624"/>
      <c r="C1600" s="1061"/>
      <c r="D1600" s="1061"/>
      <c r="E1600" s="1061"/>
      <c r="F1600" s="1061"/>
      <c r="G1600" s="1061"/>
      <c r="H1600" s="1061"/>
      <c r="I1600" s="1061"/>
      <c r="J1600" s="1061"/>
      <c r="K1600" s="1061"/>
      <c r="L1600" s="1061"/>
      <c r="M1600" s="1061"/>
      <c r="N1600" s="1061"/>
      <c r="O1600" s="626"/>
    </row>
    <row r="1601" spans="1:15" x14ac:dyDescent="0.25">
      <c r="A1601" s="765"/>
      <c r="B1601" s="624"/>
      <c r="C1601" s="1061"/>
      <c r="D1601" s="1061"/>
      <c r="E1601" s="1061"/>
      <c r="F1601" s="1061"/>
      <c r="G1601" s="1061"/>
      <c r="H1601" s="1061"/>
      <c r="I1601" s="1061"/>
      <c r="J1601" s="1061"/>
      <c r="K1601" s="1061"/>
      <c r="L1601" s="1061"/>
      <c r="M1601" s="1061"/>
      <c r="N1601" s="1061"/>
      <c r="O1601" s="626"/>
    </row>
    <row r="1602" spans="1:15" x14ac:dyDescent="0.25">
      <c r="A1602" s="765"/>
      <c r="B1602" s="624"/>
      <c r="C1602" s="1061"/>
      <c r="D1602" s="1061"/>
      <c r="E1602" s="1061"/>
      <c r="F1602" s="1061"/>
      <c r="G1602" s="1061"/>
      <c r="H1602" s="1061"/>
      <c r="I1602" s="1061"/>
      <c r="J1602" s="1061"/>
      <c r="K1602" s="1061"/>
      <c r="L1602" s="1061"/>
      <c r="M1602" s="1061"/>
      <c r="N1602" s="1061"/>
      <c r="O1602" s="626"/>
    </row>
    <row r="1603" spans="1:15" x14ac:dyDescent="0.25">
      <c r="A1603" s="765"/>
      <c r="B1603" s="624"/>
      <c r="C1603" s="1061"/>
      <c r="D1603" s="1061"/>
      <c r="E1603" s="1061"/>
      <c r="F1603" s="1061"/>
      <c r="G1603" s="1061"/>
      <c r="H1603" s="1061"/>
      <c r="I1603" s="1061"/>
      <c r="J1603" s="1061"/>
      <c r="K1603" s="1061"/>
      <c r="L1603" s="1061"/>
      <c r="M1603" s="1061"/>
      <c r="N1603" s="1061"/>
      <c r="O1603" s="626"/>
    </row>
    <row r="1604" spans="1:15" x14ac:dyDescent="0.25">
      <c r="A1604" s="765"/>
      <c r="B1604" s="624"/>
      <c r="C1604" s="1061"/>
      <c r="D1604" s="1061"/>
      <c r="E1604" s="1061"/>
      <c r="F1604" s="1061"/>
      <c r="G1604" s="1061"/>
      <c r="H1604" s="1061"/>
      <c r="I1604" s="1061"/>
      <c r="J1604" s="1061"/>
      <c r="K1604" s="1061"/>
      <c r="L1604" s="1061"/>
      <c r="M1604" s="1061"/>
      <c r="N1604" s="1061"/>
      <c r="O1604" s="626"/>
    </row>
    <row r="1605" spans="1:15" x14ac:dyDescent="0.25">
      <c r="A1605" s="765"/>
      <c r="B1605" s="624"/>
      <c r="C1605" s="1061"/>
      <c r="D1605" s="1061"/>
      <c r="E1605" s="1061"/>
      <c r="F1605" s="1061"/>
      <c r="G1605" s="1061"/>
      <c r="H1605" s="1061"/>
      <c r="I1605" s="1061"/>
      <c r="J1605" s="1061"/>
      <c r="K1605" s="1061"/>
      <c r="L1605" s="1061"/>
      <c r="M1605" s="1061"/>
      <c r="N1605" s="1061"/>
      <c r="O1605" s="626"/>
    </row>
    <row r="1606" spans="1:15" x14ac:dyDescent="0.25">
      <c r="A1606" s="765"/>
      <c r="B1606" s="624"/>
      <c r="C1606" s="1061"/>
      <c r="D1606" s="1061"/>
      <c r="E1606" s="1061"/>
      <c r="F1606" s="1061"/>
      <c r="G1606" s="1061"/>
      <c r="H1606" s="1061"/>
      <c r="I1606" s="1061"/>
      <c r="J1606" s="1061"/>
      <c r="K1606" s="1061"/>
      <c r="L1606" s="1061"/>
      <c r="M1606" s="1061"/>
      <c r="N1606" s="1061"/>
      <c r="O1606" s="626"/>
    </row>
    <row r="1607" spans="1:15" x14ac:dyDescent="0.25">
      <c r="A1607" s="765"/>
      <c r="B1607" s="624"/>
      <c r="C1607" s="1061"/>
      <c r="D1607" s="1061"/>
      <c r="E1607" s="1061"/>
      <c r="F1607" s="1061"/>
      <c r="G1607" s="1061"/>
      <c r="H1607" s="1061"/>
      <c r="I1607" s="1061"/>
      <c r="J1607" s="1061"/>
      <c r="K1607" s="1061"/>
      <c r="L1607" s="1061"/>
      <c r="M1607" s="1061"/>
      <c r="N1607" s="1061"/>
      <c r="O1607" s="626"/>
    </row>
    <row r="1608" spans="1:15" x14ac:dyDescent="0.25">
      <c r="A1608" s="765"/>
      <c r="B1608" s="624"/>
      <c r="C1608" s="1061"/>
      <c r="D1608" s="1061"/>
      <c r="E1608" s="1061"/>
      <c r="F1608" s="1061"/>
      <c r="G1608" s="1061"/>
      <c r="H1608" s="1061"/>
      <c r="I1608" s="1061"/>
      <c r="J1608" s="1061"/>
      <c r="K1608" s="1061"/>
      <c r="L1608" s="1061"/>
      <c r="M1608" s="1061"/>
      <c r="N1608" s="1061"/>
      <c r="O1608" s="626"/>
    </row>
    <row r="1609" spans="1:15" x14ac:dyDescent="0.25">
      <c r="A1609" s="765"/>
      <c r="B1609" s="624"/>
      <c r="C1609" s="1061"/>
      <c r="D1609" s="1061"/>
      <c r="E1609" s="1061"/>
      <c r="F1609" s="1061"/>
      <c r="G1609" s="1061"/>
      <c r="H1609" s="1061"/>
      <c r="I1609" s="1061"/>
      <c r="J1609" s="1061"/>
      <c r="K1609" s="1061"/>
      <c r="L1609" s="1061"/>
      <c r="M1609" s="1061"/>
      <c r="N1609" s="1061"/>
      <c r="O1609" s="626"/>
    </row>
    <row r="1610" spans="1:15" x14ac:dyDescent="0.25">
      <c r="A1610" s="765"/>
      <c r="B1610" s="624"/>
      <c r="C1610" s="1061"/>
      <c r="D1610" s="1061"/>
      <c r="E1610" s="1061"/>
      <c r="F1610" s="1061"/>
      <c r="G1610" s="1061"/>
      <c r="H1610" s="1061"/>
      <c r="I1610" s="1061"/>
      <c r="J1610" s="1061"/>
      <c r="K1610" s="1061"/>
      <c r="L1610" s="1061"/>
      <c r="M1610" s="1061"/>
      <c r="N1610" s="1061"/>
      <c r="O1610" s="626"/>
    </row>
    <row r="1611" spans="1:15" x14ac:dyDescent="0.25">
      <c r="A1611" s="765"/>
      <c r="B1611" s="624"/>
      <c r="C1611" s="1061"/>
      <c r="D1611" s="1061"/>
      <c r="E1611" s="1061"/>
      <c r="F1611" s="1061"/>
      <c r="G1611" s="1061"/>
      <c r="H1611" s="1061"/>
      <c r="I1611" s="1061"/>
      <c r="J1611" s="1061"/>
      <c r="K1611" s="1061"/>
      <c r="L1611" s="1061"/>
      <c r="M1611" s="1061"/>
      <c r="N1611" s="1061"/>
      <c r="O1611" s="626"/>
    </row>
    <row r="1612" spans="1:15" x14ac:dyDescent="0.25">
      <c r="A1612" s="765"/>
      <c r="B1612" s="624"/>
      <c r="C1612" s="1061"/>
      <c r="D1612" s="1061"/>
      <c r="E1612" s="1061"/>
      <c r="F1612" s="1061"/>
      <c r="G1612" s="1061"/>
      <c r="H1612" s="1061"/>
      <c r="I1612" s="1061"/>
      <c r="J1612" s="1061"/>
      <c r="K1612" s="1061"/>
      <c r="L1612" s="1061"/>
      <c r="M1612" s="1061"/>
      <c r="N1612" s="1061"/>
      <c r="O1612" s="626"/>
    </row>
    <row r="1613" spans="1:15" x14ac:dyDescent="0.25">
      <c r="A1613" s="765"/>
      <c r="B1613" s="624"/>
      <c r="C1613" s="1061"/>
      <c r="D1613" s="1061"/>
      <c r="E1613" s="1061"/>
      <c r="F1613" s="1061"/>
      <c r="G1613" s="1061"/>
      <c r="H1613" s="1061"/>
      <c r="I1613" s="1061"/>
      <c r="J1613" s="1061"/>
      <c r="K1613" s="1061"/>
      <c r="L1613" s="1061"/>
      <c r="M1613" s="1061"/>
      <c r="N1613" s="1061"/>
      <c r="O1613" s="626"/>
    </row>
    <row r="1614" spans="1:15" x14ac:dyDescent="0.25">
      <c r="A1614" s="765"/>
      <c r="B1614" s="624"/>
      <c r="C1614" s="1061"/>
      <c r="D1614" s="1061"/>
      <c r="E1614" s="1061"/>
      <c r="F1614" s="1061"/>
      <c r="G1614" s="1061"/>
      <c r="H1614" s="1061"/>
      <c r="I1614" s="1061"/>
      <c r="J1614" s="1061"/>
      <c r="K1614" s="1061"/>
      <c r="L1614" s="1061"/>
      <c r="M1614" s="1061"/>
      <c r="N1614" s="1061"/>
      <c r="O1614" s="626"/>
    </row>
    <row r="1615" spans="1:15" x14ac:dyDescent="0.25">
      <c r="A1615" s="765"/>
      <c r="B1615" s="624"/>
      <c r="C1615" s="1061"/>
      <c r="D1615" s="1061"/>
      <c r="E1615" s="1061"/>
      <c r="F1615" s="1061"/>
      <c r="G1615" s="1061"/>
      <c r="H1615" s="1061"/>
      <c r="I1615" s="1061"/>
      <c r="J1615" s="1061"/>
      <c r="K1615" s="1061"/>
      <c r="L1615" s="1061"/>
      <c r="M1615" s="1061"/>
      <c r="N1615" s="1061"/>
      <c r="O1615" s="626"/>
    </row>
    <row r="1616" spans="1:15" x14ac:dyDescent="0.25">
      <c r="A1616" s="765"/>
      <c r="B1616" s="624"/>
      <c r="C1616" s="1061"/>
      <c r="D1616" s="1061"/>
      <c r="E1616" s="1061"/>
      <c r="F1616" s="1061"/>
      <c r="G1616" s="1061"/>
      <c r="H1616" s="1061"/>
      <c r="I1616" s="1061"/>
      <c r="J1616" s="1061"/>
      <c r="K1616" s="1061"/>
      <c r="L1616" s="1061"/>
      <c r="M1616" s="1061"/>
      <c r="N1616" s="1061"/>
      <c r="O1616" s="626"/>
    </row>
    <row r="1617" spans="1:15" x14ac:dyDescent="0.25">
      <c r="A1617" s="765"/>
      <c r="B1617" s="624"/>
      <c r="C1617" s="1061"/>
      <c r="D1617" s="1061"/>
      <c r="E1617" s="1061"/>
      <c r="F1617" s="1061"/>
      <c r="G1617" s="1061"/>
      <c r="H1617" s="1061"/>
      <c r="I1617" s="1061"/>
      <c r="J1617" s="1061"/>
      <c r="K1617" s="1061"/>
      <c r="L1617" s="1061"/>
      <c r="M1617" s="1061"/>
      <c r="N1617" s="1061"/>
      <c r="O1617" s="626"/>
    </row>
    <row r="1618" spans="1:15" x14ac:dyDescent="0.25">
      <c r="A1618" s="765"/>
      <c r="B1618" s="624"/>
      <c r="C1618" s="1061"/>
      <c r="D1618" s="1061"/>
      <c r="E1618" s="1061"/>
      <c r="F1618" s="1061"/>
      <c r="G1618" s="1061"/>
      <c r="H1618" s="1061"/>
      <c r="I1618" s="1061"/>
      <c r="J1618" s="1061"/>
      <c r="K1618" s="1061"/>
      <c r="L1618" s="1061"/>
      <c r="M1618" s="1061"/>
      <c r="N1618" s="1061"/>
      <c r="O1618" s="626"/>
    </row>
    <row r="1619" spans="1:15" x14ac:dyDescent="0.25">
      <c r="A1619" s="765"/>
      <c r="B1619" s="624"/>
      <c r="C1619" s="1061"/>
      <c r="D1619" s="1061"/>
      <c r="E1619" s="1061"/>
      <c r="F1619" s="1061"/>
      <c r="G1619" s="1061"/>
      <c r="H1619" s="1061"/>
      <c r="I1619" s="1061"/>
      <c r="J1619" s="1061"/>
      <c r="K1619" s="1061"/>
      <c r="L1619" s="1061"/>
      <c r="M1619" s="1061"/>
      <c r="N1619" s="1061"/>
      <c r="O1619" s="626"/>
    </row>
    <row r="1620" spans="1:15" x14ac:dyDescent="0.25">
      <c r="A1620" s="765"/>
      <c r="B1620" s="624"/>
      <c r="C1620" s="1061"/>
      <c r="D1620" s="1061"/>
      <c r="E1620" s="1061"/>
      <c r="F1620" s="1061"/>
      <c r="G1620" s="1061"/>
      <c r="H1620" s="1061"/>
      <c r="I1620" s="1061"/>
      <c r="J1620" s="1061"/>
      <c r="K1620" s="1061"/>
      <c r="L1620" s="1061"/>
      <c r="M1620" s="1061"/>
      <c r="N1620" s="1061"/>
      <c r="O1620" s="626"/>
    </row>
    <row r="1621" spans="1:15" x14ac:dyDescent="0.25">
      <c r="A1621" s="765"/>
      <c r="B1621" s="624"/>
      <c r="C1621" s="1061"/>
      <c r="D1621" s="1061"/>
      <c r="E1621" s="1061"/>
      <c r="F1621" s="1061"/>
      <c r="G1621" s="1061"/>
      <c r="H1621" s="1061"/>
      <c r="I1621" s="1061"/>
      <c r="J1621" s="1061"/>
      <c r="K1621" s="1061"/>
      <c r="L1621" s="1061"/>
      <c r="M1621" s="1061"/>
      <c r="N1621" s="1061"/>
      <c r="O1621" s="626"/>
    </row>
    <row r="1622" spans="1:15" x14ac:dyDescent="0.25">
      <c r="A1622" s="765"/>
      <c r="B1622" s="624"/>
      <c r="C1622" s="1061"/>
      <c r="D1622" s="1061"/>
      <c r="E1622" s="1061"/>
      <c r="F1622" s="1061"/>
      <c r="G1622" s="1061"/>
      <c r="H1622" s="1061"/>
      <c r="I1622" s="1061"/>
      <c r="J1622" s="1061"/>
      <c r="K1622" s="1061"/>
      <c r="L1622" s="1061"/>
      <c r="M1622" s="1061"/>
      <c r="N1622" s="1061"/>
      <c r="O1622" s="626"/>
    </row>
    <row r="1623" spans="1:15" x14ac:dyDescent="0.25">
      <c r="A1623" s="765"/>
      <c r="B1623" s="624"/>
      <c r="C1623" s="1061"/>
      <c r="D1623" s="1061"/>
      <c r="E1623" s="1061"/>
      <c r="F1623" s="1061"/>
      <c r="G1623" s="1061"/>
      <c r="H1623" s="1061"/>
      <c r="I1623" s="1061"/>
      <c r="J1623" s="1061"/>
      <c r="K1623" s="1061"/>
      <c r="L1623" s="1061"/>
      <c r="M1623" s="1061"/>
      <c r="N1623" s="1061"/>
      <c r="O1623" s="626"/>
    </row>
    <row r="1624" spans="1:15" x14ac:dyDescent="0.25">
      <c r="A1624" s="765"/>
      <c r="B1624" s="624"/>
      <c r="C1624" s="1061"/>
      <c r="D1624" s="1061"/>
      <c r="E1624" s="1061"/>
      <c r="F1624" s="1061"/>
      <c r="G1624" s="1061"/>
      <c r="H1624" s="1061"/>
      <c r="I1624" s="1061"/>
      <c r="J1624" s="1061"/>
      <c r="K1624" s="1061"/>
      <c r="L1624" s="1061"/>
      <c r="M1624" s="1061"/>
      <c r="N1624" s="1061"/>
      <c r="O1624" s="626"/>
    </row>
    <row r="1625" spans="1:15" x14ac:dyDescent="0.25">
      <c r="A1625" s="765"/>
      <c r="B1625" s="624"/>
      <c r="C1625" s="1061"/>
      <c r="D1625" s="1061"/>
      <c r="E1625" s="1061"/>
      <c r="F1625" s="1061"/>
      <c r="G1625" s="1061"/>
      <c r="H1625" s="1061"/>
      <c r="I1625" s="1061"/>
      <c r="J1625" s="1061"/>
      <c r="K1625" s="1061"/>
      <c r="L1625" s="1061"/>
      <c r="M1625" s="1061"/>
      <c r="N1625" s="1061"/>
      <c r="O1625" s="626"/>
    </row>
    <row r="1626" spans="1:15" x14ac:dyDescent="0.25">
      <c r="A1626" s="765"/>
      <c r="B1626" s="624"/>
      <c r="C1626" s="1061"/>
      <c r="D1626" s="1061"/>
      <c r="E1626" s="1061"/>
      <c r="F1626" s="1061"/>
      <c r="G1626" s="1061"/>
      <c r="H1626" s="1061"/>
      <c r="I1626" s="1061"/>
      <c r="J1626" s="1061"/>
      <c r="K1626" s="1061"/>
      <c r="L1626" s="1061"/>
      <c r="M1626" s="1061"/>
      <c r="N1626" s="1061"/>
      <c r="O1626" s="626"/>
    </row>
    <row r="1627" spans="1:15" x14ac:dyDescent="0.25">
      <c r="A1627" s="765"/>
      <c r="B1627" s="624"/>
      <c r="C1627" s="1061"/>
      <c r="D1627" s="1061"/>
      <c r="E1627" s="1061"/>
      <c r="F1627" s="1061"/>
      <c r="G1627" s="1061"/>
      <c r="H1627" s="1061"/>
      <c r="I1627" s="1061"/>
      <c r="J1627" s="1061"/>
      <c r="K1627" s="1061"/>
      <c r="L1627" s="1061"/>
      <c r="M1627" s="1061"/>
      <c r="N1627" s="1061"/>
      <c r="O1627" s="626"/>
    </row>
    <row r="1628" spans="1:15" x14ac:dyDescent="0.25">
      <c r="A1628" s="765"/>
      <c r="B1628" s="624"/>
      <c r="C1628" s="1061"/>
      <c r="D1628" s="1061"/>
      <c r="E1628" s="1061"/>
      <c r="F1628" s="1061"/>
      <c r="G1628" s="1061"/>
      <c r="H1628" s="1061"/>
      <c r="I1628" s="1061"/>
      <c r="J1628" s="1061"/>
      <c r="K1628" s="1061"/>
      <c r="L1628" s="1061"/>
      <c r="M1628" s="1061"/>
      <c r="N1628" s="1061"/>
      <c r="O1628" s="626"/>
    </row>
    <row r="1629" spans="1:15" x14ac:dyDescent="0.25">
      <c r="A1629" s="765"/>
      <c r="B1629" s="624"/>
      <c r="C1629" s="1061"/>
      <c r="D1629" s="1061"/>
      <c r="E1629" s="1061"/>
      <c r="F1629" s="1061"/>
      <c r="G1629" s="1061"/>
      <c r="H1629" s="1061"/>
      <c r="I1629" s="1061"/>
      <c r="J1629" s="1061"/>
      <c r="K1629" s="1061"/>
      <c r="L1629" s="1061"/>
      <c r="M1629" s="1061"/>
      <c r="N1629" s="1061"/>
      <c r="O1629" s="626"/>
    </row>
    <row r="1630" spans="1:15" x14ac:dyDescent="0.25">
      <c r="A1630" s="765"/>
      <c r="B1630" s="624"/>
      <c r="C1630" s="1061"/>
      <c r="D1630" s="1061"/>
      <c r="E1630" s="1061"/>
      <c r="F1630" s="1061"/>
      <c r="G1630" s="1061"/>
      <c r="H1630" s="1061"/>
      <c r="I1630" s="1061"/>
      <c r="J1630" s="1061"/>
      <c r="K1630" s="1061"/>
      <c r="L1630" s="1061"/>
      <c r="M1630" s="1061"/>
      <c r="N1630" s="1061"/>
      <c r="O1630" s="626"/>
    </row>
    <row r="1631" spans="1:15" x14ac:dyDescent="0.25">
      <c r="A1631" s="765"/>
      <c r="B1631" s="624"/>
      <c r="C1631" s="1061"/>
      <c r="D1631" s="1061"/>
      <c r="E1631" s="1061"/>
      <c r="F1631" s="1061"/>
      <c r="G1631" s="1061"/>
      <c r="H1631" s="1061"/>
      <c r="I1631" s="1061"/>
      <c r="J1631" s="1061"/>
      <c r="K1631" s="1061"/>
      <c r="L1631" s="1061"/>
      <c r="M1631" s="1061"/>
      <c r="N1631" s="1061"/>
      <c r="O1631" s="626"/>
    </row>
    <row r="1632" spans="1:15" x14ac:dyDescent="0.25">
      <c r="A1632" s="765"/>
      <c r="B1632" s="624"/>
      <c r="C1632" s="1061"/>
      <c r="D1632" s="1061"/>
      <c r="E1632" s="1061"/>
      <c r="F1632" s="1061"/>
      <c r="G1632" s="1061"/>
      <c r="H1632" s="1061"/>
      <c r="I1632" s="1061"/>
      <c r="J1632" s="1061"/>
      <c r="K1632" s="1061"/>
      <c r="L1632" s="1061"/>
      <c r="M1632" s="1061"/>
      <c r="N1632" s="1061"/>
      <c r="O1632" s="626"/>
    </row>
    <row r="1633" spans="1:15" x14ac:dyDescent="0.25">
      <c r="A1633" s="765"/>
      <c r="B1633" s="624"/>
      <c r="C1633" s="1061"/>
      <c r="D1633" s="1061"/>
      <c r="E1633" s="1061"/>
      <c r="F1633" s="1061"/>
      <c r="G1633" s="1061"/>
      <c r="H1633" s="1061"/>
      <c r="I1633" s="1061"/>
      <c r="J1633" s="1061"/>
      <c r="K1633" s="1061"/>
      <c r="L1633" s="1061"/>
      <c r="M1633" s="1061"/>
      <c r="N1633" s="1061"/>
      <c r="O1633" s="626"/>
    </row>
    <row r="1634" spans="1:15" x14ac:dyDescent="0.25">
      <c r="A1634" s="765"/>
      <c r="B1634" s="624"/>
      <c r="C1634" s="1061"/>
      <c r="D1634" s="1061"/>
      <c r="E1634" s="1061"/>
      <c r="F1634" s="1061"/>
      <c r="G1634" s="1061"/>
      <c r="H1634" s="1061"/>
      <c r="I1634" s="1061"/>
      <c r="J1634" s="1061"/>
      <c r="K1634" s="1061"/>
      <c r="L1634" s="1061"/>
      <c r="M1634" s="1061"/>
      <c r="N1634" s="1061"/>
      <c r="O1634" s="626"/>
    </row>
    <row r="1635" spans="1:15" x14ac:dyDescent="0.25">
      <c r="A1635" s="765"/>
      <c r="B1635" s="624"/>
      <c r="C1635" s="1061"/>
      <c r="D1635" s="1061"/>
      <c r="E1635" s="1061"/>
      <c r="F1635" s="1061"/>
      <c r="G1635" s="1061"/>
      <c r="H1635" s="1061"/>
      <c r="I1635" s="1061"/>
      <c r="J1635" s="1061"/>
      <c r="K1635" s="1061"/>
      <c r="L1635" s="1061"/>
      <c r="M1635" s="1061"/>
      <c r="N1635" s="1061"/>
      <c r="O1635" s="626"/>
    </row>
    <row r="1636" spans="1:15" x14ac:dyDescent="0.25">
      <c r="A1636" s="765"/>
      <c r="B1636" s="624"/>
      <c r="C1636" s="1061"/>
      <c r="D1636" s="1061"/>
      <c r="E1636" s="1061"/>
      <c r="F1636" s="1061"/>
      <c r="G1636" s="1061"/>
      <c r="H1636" s="1061"/>
      <c r="I1636" s="1061"/>
      <c r="J1636" s="1061"/>
      <c r="K1636" s="1061"/>
      <c r="L1636" s="1061"/>
      <c r="M1636" s="1061"/>
      <c r="N1636" s="1061"/>
      <c r="O1636" s="626"/>
    </row>
    <row r="1637" spans="1:15" x14ac:dyDescent="0.25">
      <c r="A1637" s="765"/>
      <c r="B1637" s="624"/>
      <c r="C1637" s="1061"/>
      <c r="D1637" s="1061"/>
      <c r="E1637" s="1061"/>
      <c r="F1637" s="1061"/>
      <c r="G1637" s="1061"/>
      <c r="H1637" s="1061"/>
      <c r="I1637" s="1061"/>
      <c r="J1637" s="1061"/>
      <c r="K1637" s="1061"/>
      <c r="L1637" s="1061"/>
      <c r="M1637" s="1061"/>
      <c r="N1637" s="1061"/>
      <c r="O1637" s="626"/>
    </row>
    <row r="1638" spans="1:15" x14ac:dyDescent="0.25">
      <c r="A1638" s="765"/>
      <c r="B1638" s="624"/>
      <c r="C1638" s="1061"/>
      <c r="D1638" s="1061"/>
      <c r="E1638" s="1061"/>
      <c r="F1638" s="1061"/>
      <c r="G1638" s="1061"/>
      <c r="H1638" s="1061"/>
      <c r="I1638" s="1061"/>
      <c r="J1638" s="1061"/>
      <c r="K1638" s="1061"/>
      <c r="L1638" s="1061"/>
      <c r="M1638" s="1061"/>
      <c r="N1638" s="1061"/>
      <c r="O1638" s="626"/>
    </row>
    <row r="1639" spans="1:15" x14ac:dyDescent="0.25">
      <c r="A1639" s="765"/>
      <c r="B1639" s="624"/>
      <c r="C1639" s="1061"/>
      <c r="D1639" s="1061"/>
      <c r="E1639" s="1061"/>
      <c r="F1639" s="1061"/>
      <c r="G1639" s="1061"/>
      <c r="H1639" s="1061"/>
      <c r="I1639" s="1061"/>
      <c r="J1639" s="1061"/>
      <c r="K1639" s="1061"/>
      <c r="L1639" s="1061"/>
      <c r="M1639" s="1061"/>
      <c r="N1639" s="1061"/>
      <c r="O1639" s="626"/>
    </row>
    <row r="1640" spans="1:15" x14ac:dyDescent="0.25">
      <c r="A1640" s="765"/>
      <c r="B1640" s="624"/>
      <c r="C1640" s="1061"/>
      <c r="D1640" s="1061"/>
      <c r="E1640" s="1061"/>
      <c r="F1640" s="1061"/>
      <c r="G1640" s="1061"/>
      <c r="H1640" s="1061"/>
      <c r="I1640" s="1061"/>
      <c r="J1640" s="1061"/>
      <c r="K1640" s="1061"/>
      <c r="L1640" s="1061"/>
      <c r="M1640" s="1061"/>
      <c r="N1640" s="1061"/>
      <c r="O1640" s="626"/>
    </row>
    <row r="1641" spans="1:15" x14ac:dyDescent="0.25">
      <c r="A1641" s="765"/>
      <c r="B1641" s="624"/>
      <c r="C1641" s="1061"/>
      <c r="D1641" s="1061"/>
      <c r="E1641" s="1061"/>
      <c r="F1641" s="1061"/>
      <c r="G1641" s="1061"/>
      <c r="H1641" s="1061"/>
      <c r="I1641" s="1061"/>
      <c r="J1641" s="1061"/>
      <c r="K1641" s="1061"/>
      <c r="L1641" s="1061"/>
      <c r="M1641" s="1061"/>
      <c r="N1641" s="1061"/>
      <c r="O1641" s="626"/>
    </row>
    <row r="1642" spans="1:15" x14ac:dyDescent="0.25">
      <c r="A1642" s="765"/>
      <c r="B1642" s="624"/>
      <c r="C1642" s="1061"/>
      <c r="D1642" s="1061"/>
      <c r="E1642" s="1061"/>
      <c r="F1642" s="1061"/>
      <c r="G1642" s="1061"/>
      <c r="H1642" s="1061"/>
      <c r="I1642" s="1061"/>
      <c r="J1642" s="1061"/>
      <c r="K1642" s="1061"/>
      <c r="L1642" s="1061"/>
      <c r="M1642" s="1061"/>
      <c r="N1642" s="1061"/>
      <c r="O1642" s="626"/>
    </row>
    <row r="1643" spans="1:15" x14ac:dyDescent="0.25">
      <c r="A1643" s="765"/>
      <c r="B1643" s="624"/>
      <c r="C1643" s="1061"/>
      <c r="D1643" s="1061"/>
      <c r="E1643" s="1061"/>
      <c r="F1643" s="1061"/>
      <c r="G1643" s="1061"/>
      <c r="H1643" s="1061"/>
      <c r="I1643" s="1061"/>
      <c r="J1643" s="1061"/>
      <c r="K1643" s="1061"/>
      <c r="L1643" s="1061"/>
      <c r="M1643" s="1061"/>
      <c r="N1643" s="1061"/>
      <c r="O1643" s="626"/>
    </row>
    <row r="1644" spans="1:15" x14ac:dyDescent="0.25">
      <c r="A1644" s="765"/>
      <c r="B1644" s="624"/>
      <c r="C1644" s="1061"/>
      <c r="D1644" s="1061"/>
      <c r="E1644" s="1061"/>
      <c r="F1644" s="1061"/>
      <c r="G1644" s="1061"/>
      <c r="H1644" s="1061"/>
      <c r="I1644" s="1061"/>
      <c r="J1644" s="1061"/>
      <c r="K1644" s="1061"/>
      <c r="L1644" s="1061"/>
      <c r="M1644" s="1061"/>
      <c r="N1644" s="1061"/>
      <c r="O1644" s="626"/>
    </row>
    <row r="1645" spans="1:15" x14ac:dyDescent="0.25">
      <c r="A1645" s="765"/>
      <c r="B1645" s="624"/>
      <c r="C1645" s="1061"/>
      <c r="D1645" s="1061"/>
      <c r="E1645" s="1061"/>
      <c r="F1645" s="1061"/>
      <c r="G1645" s="1061"/>
      <c r="H1645" s="1061"/>
      <c r="I1645" s="1061"/>
      <c r="J1645" s="1061"/>
      <c r="K1645" s="1061"/>
      <c r="L1645" s="1061"/>
      <c r="M1645" s="1061"/>
      <c r="N1645" s="1061"/>
      <c r="O1645" s="626"/>
    </row>
    <row r="1646" spans="1:15" x14ac:dyDescent="0.25">
      <c r="A1646" s="765"/>
      <c r="B1646" s="624"/>
      <c r="C1646" s="1061"/>
      <c r="D1646" s="1061"/>
      <c r="E1646" s="1061"/>
      <c r="F1646" s="1061"/>
      <c r="G1646" s="1061"/>
      <c r="H1646" s="1061"/>
      <c r="I1646" s="1061"/>
      <c r="J1646" s="1061"/>
      <c r="K1646" s="1061"/>
      <c r="L1646" s="1061"/>
      <c r="M1646" s="1061"/>
      <c r="N1646" s="1061"/>
      <c r="O1646" s="626"/>
    </row>
    <row r="1647" spans="1:15" x14ac:dyDescent="0.25">
      <c r="A1647" s="765"/>
      <c r="B1647" s="624"/>
      <c r="C1647" s="1061"/>
      <c r="D1647" s="1061"/>
      <c r="E1647" s="1061"/>
      <c r="F1647" s="1061"/>
      <c r="G1647" s="1061"/>
      <c r="H1647" s="1061"/>
      <c r="I1647" s="1061"/>
      <c r="J1647" s="1061"/>
      <c r="K1647" s="1061"/>
      <c r="L1647" s="1061"/>
      <c r="M1647" s="1061"/>
      <c r="N1647" s="1061"/>
      <c r="O1647" s="626"/>
    </row>
    <row r="1648" spans="1:15" x14ac:dyDescent="0.25">
      <c r="A1648" s="765"/>
      <c r="B1648" s="624"/>
      <c r="C1648" s="1061"/>
      <c r="D1648" s="1061"/>
      <c r="E1648" s="1061"/>
      <c r="F1648" s="1061"/>
      <c r="G1648" s="1061"/>
      <c r="H1648" s="1061"/>
      <c r="I1648" s="1061"/>
      <c r="J1648" s="1061"/>
      <c r="K1648" s="1061"/>
      <c r="L1648" s="1061"/>
      <c r="M1648" s="1061"/>
      <c r="N1648" s="1061"/>
      <c r="O1648" s="626"/>
    </row>
    <row r="1649" spans="1:15" x14ac:dyDescent="0.25">
      <c r="A1649" s="765"/>
      <c r="B1649" s="624"/>
      <c r="C1649" s="1061"/>
      <c r="D1649" s="1061"/>
      <c r="E1649" s="1061"/>
      <c r="F1649" s="1061"/>
      <c r="G1649" s="1061"/>
      <c r="H1649" s="1061"/>
      <c r="I1649" s="1061"/>
      <c r="J1649" s="1061"/>
      <c r="K1649" s="1061"/>
      <c r="L1649" s="1061"/>
      <c r="M1649" s="1061"/>
      <c r="N1649" s="1061"/>
      <c r="O1649" s="626"/>
    </row>
    <row r="1650" spans="1:15" x14ac:dyDescent="0.25">
      <c r="A1650" s="765"/>
      <c r="B1650" s="624"/>
      <c r="C1650" s="1061"/>
      <c r="D1650" s="1061"/>
      <c r="E1650" s="1061"/>
      <c r="F1650" s="1061"/>
      <c r="G1650" s="1061"/>
      <c r="H1650" s="1061"/>
      <c r="I1650" s="1061"/>
      <c r="J1650" s="1061"/>
      <c r="K1650" s="1061"/>
      <c r="L1650" s="1061"/>
      <c r="M1650" s="1061"/>
      <c r="N1650" s="1061"/>
      <c r="O1650" s="626"/>
    </row>
    <row r="1651" spans="1:15" x14ac:dyDescent="0.25">
      <c r="A1651" s="765"/>
      <c r="B1651" s="624"/>
      <c r="C1651" s="1061"/>
      <c r="D1651" s="1061"/>
      <c r="E1651" s="1061"/>
      <c r="F1651" s="1061"/>
      <c r="G1651" s="1061"/>
      <c r="H1651" s="1061"/>
      <c r="I1651" s="1061"/>
      <c r="J1651" s="1061"/>
      <c r="K1651" s="1061"/>
      <c r="L1651" s="1061"/>
      <c r="M1651" s="1061"/>
      <c r="N1651" s="1061"/>
      <c r="O1651" s="626"/>
    </row>
    <row r="1652" spans="1:15" x14ac:dyDescent="0.25">
      <c r="A1652" s="765"/>
      <c r="B1652" s="624"/>
      <c r="C1652" s="1061"/>
      <c r="D1652" s="1061"/>
      <c r="E1652" s="1061"/>
      <c r="F1652" s="1061"/>
      <c r="G1652" s="1061"/>
      <c r="H1652" s="1061"/>
      <c r="I1652" s="1061"/>
      <c r="J1652" s="1061"/>
      <c r="K1652" s="1061"/>
      <c r="L1652" s="1061"/>
      <c r="M1652" s="1061"/>
      <c r="N1652" s="1061"/>
      <c r="O1652" s="626"/>
    </row>
    <row r="1653" spans="1:15" x14ac:dyDescent="0.25">
      <c r="A1653" s="765"/>
      <c r="B1653" s="624"/>
      <c r="C1653" s="1061"/>
      <c r="D1653" s="1061"/>
      <c r="E1653" s="1061"/>
      <c r="F1653" s="1061"/>
      <c r="G1653" s="1061"/>
      <c r="H1653" s="1061"/>
      <c r="I1653" s="1061"/>
      <c r="J1653" s="1061"/>
      <c r="K1653" s="1061"/>
      <c r="L1653" s="1061"/>
      <c r="M1653" s="1061"/>
      <c r="N1653" s="1061"/>
      <c r="O1653" s="626"/>
    </row>
    <row r="1654" spans="1:15" x14ac:dyDescent="0.25">
      <c r="A1654" s="765"/>
      <c r="B1654" s="624"/>
      <c r="C1654" s="1061"/>
      <c r="D1654" s="1061"/>
      <c r="E1654" s="1061"/>
      <c r="F1654" s="1061"/>
      <c r="G1654" s="1061"/>
      <c r="H1654" s="1061"/>
      <c r="I1654" s="1061"/>
      <c r="J1654" s="1061"/>
      <c r="K1654" s="1061"/>
      <c r="L1654" s="1061"/>
      <c r="M1654" s="1061"/>
      <c r="N1654" s="1061"/>
      <c r="O1654" s="626"/>
    </row>
    <row r="1655" spans="1:15" x14ac:dyDescent="0.25">
      <c r="A1655" s="765"/>
      <c r="B1655" s="624"/>
      <c r="C1655" s="1061"/>
      <c r="D1655" s="1061"/>
      <c r="E1655" s="1061"/>
      <c r="F1655" s="1061"/>
      <c r="G1655" s="1061"/>
      <c r="H1655" s="1061"/>
      <c r="I1655" s="1061"/>
      <c r="J1655" s="1061"/>
      <c r="K1655" s="1061"/>
      <c r="L1655" s="1061"/>
      <c r="M1655" s="1061"/>
      <c r="N1655" s="1061"/>
      <c r="O1655" s="626"/>
    </row>
    <row r="1656" spans="1:15" x14ac:dyDescent="0.25">
      <c r="A1656" s="765"/>
      <c r="B1656" s="624"/>
      <c r="C1656" s="1061"/>
      <c r="D1656" s="1061"/>
      <c r="E1656" s="1061"/>
      <c r="F1656" s="1061"/>
      <c r="G1656" s="1061"/>
      <c r="H1656" s="1061"/>
      <c r="I1656" s="1061"/>
      <c r="J1656" s="1061"/>
      <c r="K1656" s="1061"/>
      <c r="L1656" s="1061"/>
      <c r="M1656" s="1061"/>
      <c r="N1656" s="1061"/>
      <c r="O1656" s="626"/>
    </row>
    <row r="1657" spans="1:15" x14ac:dyDescent="0.25">
      <c r="A1657" s="765"/>
      <c r="B1657" s="624"/>
      <c r="C1657" s="1061"/>
      <c r="D1657" s="1061"/>
      <c r="E1657" s="1061"/>
      <c r="F1657" s="1061"/>
      <c r="G1657" s="1061"/>
      <c r="H1657" s="1061"/>
      <c r="I1657" s="1061"/>
      <c r="J1657" s="1061"/>
      <c r="K1657" s="1061"/>
      <c r="L1657" s="1061"/>
      <c r="M1657" s="1061"/>
      <c r="N1657" s="1061"/>
      <c r="O1657" s="626"/>
    </row>
    <row r="1658" spans="1:15" x14ac:dyDescent="0.25">
      <c r="A1658" s="765"/>
      <c r="B1658" s="624"/>
      <c r="C1658" s="1061"/>
      <c r="D1658" s="1061"/>
      <c r="E1658" s="1061"/>
      <c r="F1658" s="1061"/>
      <c r="G1658" s="1061"/>
      <c r="H1658" s="1061"/>
      <c r="I1658" s="1061"/>
      <c r="J1658" s="1061"/>
      <c r="K1658" s="1061"/>
      <c r="L1658" s="1061"/>
      <c r="M1658" s="1061"/>
      <c r="N1658" s="1061"/>
      <c r="O1658" s="626"/>
    </row>
    <row r="1659" spans="1:15" x14ac:dyDescent="0.25">
      <c r="A1659" s="765"/>
      <c r="B1659" s="624"/>
      <c r="C1659" s="1061"/>
      <c r="D1659" s="1061"/>
      <c r="E1659" s="1061"/>
      <c r="F1659" s="1061"/>
      <c r="G1659" s="1061"/>
      <c r="H1659" s="1061"/>
      <c r="I1659" s="1061"/>
      <c r="J1659" s="1061"/>
      <c r="K1659" s="1061"/>
      <c r="L1659" s="1061"/>
      <c r="M1659" s="1061"/>
      <c r="N1659" s="1061"/>
      <c r="O1659" s="626"/>
    </row>
    <row r="1660" spans="1:15" x14ac:dyDescent="0.25">
      <c r="A1660" s="765"/>
      <c r="B1660" s="624"/>
      <c r="C1660" s="1061"/>
      <c r="D1660" s="1061"/>
      <c r="E1660" s="1061"/>
      <c r="F1660" s="1061"/>
      <c r="G1660" s="1061"/>
      <c r="H1660" s="1061"/>
      <c r="I1660" s="1061"/>
      <c r="J1660" s="1061"/>
      <c r="K1660" s="1061"/>
      <c r="L1660" s="1061"/>
      <c r="M1660" s="1061"/>
      <c r="N1660" s="1061"/>
      <c r="O1660" s="626"/>
    </row>
    <row r="1661" spans="1:15" x14ac:dyDescent="0.25">
      <c r="A1661" s="765"/>
      <c r="B1661" s="624"/>
      <c r="C1661" s="1061"/>
      <c r="D1661" s="1061"/>
      <c r="E1661" s="1061"/>
      <c r="F1661" s="1061"/>
      <c r="G1661" s="1061"/>
      <c r="H1661" s="1061"/>
      <c r="I1661" s="1061"/>
      <c r="J1661" s="1061"/>
      <c r="K1661" s="1061"/>
      <c r="L1661" s="1061"/>
      <c r="M1661" s="1061"/>
      <c r="N1661" s="1061"/>
      <c r="O1661" s="626"/>
    </row>
    <row r="1662" spans="1:15" x14ac:dyDescent="0.25">
      <c r="A1662" s="765"/>
      <c r="B1662" s="624"/>
      <c r="C1662" s="1061"/>
      <c r="D1662" s="1061"/>
      <c r="E1662" s="1061"/>
      <c r="F1662" s="1061"/>
      <c r="G1662" s="1061"/>
      <c r="H1662" s="1061"/>
      <c r="I1662" s="1061"/>
      <c r="J1662" s="1061"/>
      <c r="K1662" s="1061"/>
      <c r="L1662" s="1061"/>
      <c r="M1662" s="1061"/>
      <c r="N1662" s="1061"/>
      <c r="O1662" s="626"/>
    </row>
    <row r="1663" spans="1:15" x14ac:dyDescent="0.25">
      <c r="A1663" s="765"/>
      <c r="B1663" s="624"/>
      <c r="C1663" s="1061"/>
      <c r="D1663" s="1061"/>
      <c r="E1663" s="1061"/>
      <c r="F1663" s="1061"/>
      <c r="G1663" s="1061"/>
      <c r="H1663" s="1061"/>
      <c r="I1663" s="1061"/>
      <c r="J1663" s="1061"/>
      <c r="K1663" s="1061"/>
      <c r="L1663" s="1061"/>
      <c r="M1663" s="1061"/>
      <c r="N1663" s="1061"/>
      <c r="O1663" s="626"/>
    </row>
    <row r="1664" spans="1:15" x14ac:dyDescent="0.25">
      <c r="A1664" s="765"/>
      <c r="B1664" s="624"/>
      <c r="C1664" s="1061"/>
      <c r="D1664" s="1061"/>
      <c r="E1664" s="1061"/>
      <c r="F1664" s="1061"/>
      <c r="G1664" s="1061"/>
      <c r="H1664" s="1061"/>
      <c r="I1664" s="1061"/>
      <c r="J1664" s="1061"/>
      <c r="K1664" s="1061"/>
      <c r="L1664" s="1061"/>
      <c r="M1664" s="1061"/>
      <c r="N1664" s="1061"/>
      <c r="O1664" s="626"/>
    </row>
    <row r="1665" spans="1:15" x14ac:dyDescent="0.25">
      <c r="A1665" s="765"/>
      <c r="B1665" s="624"/>
      <c r="C1665" s="1061"/>
      <c r="D1665" s="1061"/>
      <c r="E1665" s="1061"/>
      <c r="F1665" s="1061"/>
      <c r="G1665" s="1061"/>
      <c r="H1665" s="1061"/>
      <c r="I1665" s="1061"/>
      <c r="J1665" s="1061"/>
      <c r="K1665" s="1061"/>
      <c r="L1665" s="1061"/>
      <c r="M1665" s="1061"/>
      <c r="N1665" s="1061"/>
      <c r="O1665" s="626"/>
    </row>
    <row r="1666" spans="1:15" x14ac:dyDescent="0.25">
      <c r="A1666" s="765"/>
      <c r="B1666" s="624"/>
      <c r="C1666" s="1061"/>
      <c r="D1666" s="1061"/>
      <c r="E1666" s="1061"/>
      <c r="F1666" s="1061"/>
      <c r="G1666" s="1061"/>
      <c r="H1666" s="1061"/>
      <c r="I1666" s="1061"/>
      <c r="J1666" s="1061"/>
      <c r="K1666" s="1061"/>
      <c r="L1666" s="1061"/>
      <c r="M1666" s="1061"/>
      <c r="N1666" s="1061"/>
      <c r="O1666" s="626"/>
    </row>
    <row r="1667" spans="1:15" x14ac:dyDescent="0.25">
      <c r="A1667" s="765"/>
      <c r="B1667" s="624"/>
      <c r="C1667" s="1061"/>
      <c r="D1667" s="1061"/>
      <c r="E1667" s="1061"/>
      <c r="F1667" s="1061"/>
      <c r="G1667" s="1061"/>
      <c r="H1667" s="1061"/>
      <c r="I1667" s="1061"/>
      <c r="J1667" s="1061"/>
      <c r="K1667" s="1061"/>
      <c r="L1667" s="1061"/>
      <c r="M1667" s="1061"/>
      <c r="N1667" s="1061"/>
      <c r="O1667" s="626"/>
    </row>
    <row r="1668" spans="1:15" x14ac:dyDescent="0.25">
      <c r="A1668" s="765"/>
      <c r="B1668" s="624"/>
      <c r="C1668" s="1061"/>
      <c r="D1668" s="1061"/>
      <c r="E1668" s="1061"/>
      <c r="F1668" s="1061"/>
      <c r="G1668" s="1061"/>
      <c r="H1668" s="1061"/>
      <c r="I1668" s="1061"/>
      <c r="J1668" s="1061"/>
      <c r="K1668" s="1061"/>
      <c r="L1668" s="1061"/>
      <c r="M1668" s="1061"/>
      <c r="N1668" s="1061"/>
      <c r="O1668" s="626"/>
    </row>
    <row r="1669" spans="1:15" x14ac:dyDescent="0.25">
      <c r="A1669" s="765"/>
      <c r="B1669" s="624"/>
      <c r="C1669" s="1061"/>
      <c r="D1669" s="1061"/>
      <c r="E1669" s="1061"/>
      <c r="F1669" s="1061"/>
      <c r="G1669" s="1061"/>
      <c r="H1669" s="1061"/>
      <c r="I1669" s="1061"/>
      <c r="J1669" s="1061"/>
      <c r="K1669" s="1061"/>
      <c r="L1669" s="1061"/>
      <c r="M1669" s="1061"/>
      <c r="N1669" s="1061"/>
      <c r="O1669" s="626"/>
    </row>
    <row r="1670" spans="1:15" x14ac:dyDescent="0.25">
      <c r="A1670" s="765"/>
      <c r="B1670" s="624"/>
      <c r="C1670" s="1061"/>
      <c r="D1670" s="1061"/>
      <c r="E1670" s="1061"/>
      <c r="F1670" s="1061"/>
      <c r="G1670" s="1061"/>
      <c r="H1670" s="1061"/>
      <c r="I1670" s="1061"/>
      <c r="J1670" s="1061"/>
      <c r="K1670" s="1061"/>
      <c r="L1670" s="1061"/>
      <c r="M1670" s="1061"/>
      <c r="N1670" s="1061"/>
      <c r="O1670" s="626"/>
    </row>
    <row r="1671" spans="1:15" x14ac:dyDescent="0.25">
      <c r="A1671" s="765"/>
      <c r="B1671" s="624"/>
      <c r="C1671" s="1061"/>
      <c r="D1671" s="1061"/>
      <c r="E1671" s="1061"/>
      <c r="F1671" s="1061"/>
      <c r="G1671" s="1061"/>
      <c r="H1671" s="1061"/>
      <c r="I1671" s="1061"/>
      <c r="J1671" s="1061"/>
      <c r="K1671" s="1061"/>
      <c r="L1671" s="1061"/>
      <c r="M1671" s="1061"/>
      <c r="N1671" s="1061"/>
      <c r="O1671" s="626"/>
    </row>
    <row r="1672" spans="1:15" x14ac:dyDescent="0.25">
      <c r="A1672" s="765"/>
      <c r="B1672" s="624"/>
      <c r="C1672" s="1061"/>
      <c r="D1672" s="1061"/>
      <c r="E1672" s="1061"/>
      <c r="F1672" s="1061"/>
      <c r="G1672" s="1061"/>
      <c r="H1672" s="1061"/>
      <c r="I1672" s="1061"/>
      <c r="J1672" s="1061"/>
      <c r="K1672" s="1061"/>
      <c r="L1672" s="1061"/>
      <c r="M1672" s="1061"/>
      <c r="N1672" s="1061"/>
      <c r="O1672" s="626"/>
    </row>
    <row r="1673" spans="1:15" x14ac:dyDescent="0.25">
      <c r="A1673" s="765"/>
      <c r="B1673" s="624"/>
      <c r="C1673" s="1061"/>
      <c r="D1673" s="1061"/>
      <c r="E1673" s="1061"/>
      <c r="F1673" s="1061"/>
      <c r="G1673" s="1061"/>
      <c r="H1673" s="1061"/>
      <c r="I1673" s="1061"/>
      <c r="J1673" s="1061"/>
      <c r="K1673" s="1061"/>
      <c r="L1673" s="1061"/>
      <c r="M1673" s="1061"/>
      <c r="N1673" s="1061"/>
      <c r="O1673" s="626"/>
    </row>
    <row r="1674" spans="1:15" x14ac:dyDescent="0.25">
      <c r="A1674" s="765"/>
      <c r="B1674" s="624"/>
      <c r="C1674" s="1061"/>
      <c r="D1674" s="1061"/>
      <c r="E1674" s="1061"/>
      <c r="F1674" s="1061"/>
      <c r="G1674" s="1061"/>
      <c r="H1674" s="1061"/>
      <c r="I1674" s="1061"/>
      <c r="J1674" s="1061"/>
      <c r="K1674" s="1061"/>
      <c r="L1674" s="1061"/>
      <c r="M1674" s="1061"/>
      <c r="N1674" s="1061"/>
      <c r="O1674" s="626"/>
    </row>
    <row r="1675" spans="1:15" x14ac:dyDescent="0.25">
      <c r="A1675" s="765"/>
      <c r="B1675" s="624"/>
      <c r="C1675" s="1061"/>
      <c r="D1675" s="1061"/>
      <c r="E1675" s="1061"/>
      <c r="F1675" s="1061"/>
      <c r="G1675" s="1061"/>
      <c r="H1675" s="1061"/>
      <c r="I1675" s="1061"/>
      <c r="J1675" s="1061"/>
      <c r="K1675" s="1061"/>
      <c r="L1675" s="1061"/>
      <c r="M1675" s="1061"/>
      <c r="N1675" s="1061"/>
      <c r="O1675" s="626"/>
    </row>
    <row r="1676" spans="1:15" x14ac:dyDescent="0.25">
      <c r="A1676" s="765"/>
      <c r="B1676" s="624"/>
      <c r="C1676" s="1061"/>
      <c r="D1676" s="1061"/>
      <c r="E1676" s="1061"/>
      <c r="F1676" s="1061"/>
      <c r="G1676" s="1061"/>
      <c r="H1676" s="1061"/>
      <c r="I1676" s="1061"/>
      <c r="J1676" s="1061"/>
      <c r="K1676" s="1061"/>
      <c r="L1676" s="1061"/>
      <c r="M1676" s="1061"/>
      <c r="N1676" s="1061"/>
      <c r="O1676" s="626"/>
    </row>
    <row r="1677" spans="1:15" x14ac:dyDescent="0.25">
      <c r="A1677" s="765"/>
      <c r="B1677" s="624"/>
      <c r="C1677" s="1061"/>
      <c r="D1677" s="1061"/>
      <c r="E1677" s="1061"/>
      <c r="F1677" s="1061"/>
      <c r="G1677" s="1061"/>
      <c r="H1677" s="1061"/>
      <c r="I1677" s="1061"/>
      <c r="J1677" s="1061"/>
      <c r="K1677" s="1061"/>
      <c r="L1677" s="1061"/>
      <c r="M1677" s="1061"/>
      <c r="N1677" s="1061"/>
      <c r="O1677" s="626"/>
    </row>
    <row r="1678" spans="1:15" x14ac:dyDescent="0.25">
      <c r="A1678" s="765"/>
      <c r="B1678" s="624"/>
      <c r="C1678" s="1061"/>
      <c r="D1678" s="1061"/>
      <c r="E1678" s="1061"/>
      <c r="F1678" s="1061"/>
      <c r="G1678" s="1061"/>
      <c r="H1678" s="1061"/>
      <c r="I1678" s="1061"/>
      <c r="J1678" s="1061"/>
      <c r="K1678" s="1061"/>
      <c r="L1678" s="1061"/>
      <c r="M1678" s="1061"/>
      <c r="N1678" s="1061"/>
      <c r="O1678" s="626"/>
    </row>
    <row r="1679" spans="1:15" x14ac:dyDescent="0.25">
      <c r="A1679" s="765"/>
      <c r="B1679" s="624"/>
      <c r="C1679" s="1061"/>
      <c r="D1679" s="1061"/>
      <c r="E1679" s="1061"/>
      <c r="F1679" s="1061"/>
      <c r="G1679" s="1061"/>
      <c r="H1679" s="1061"/>
      <c r="I1679" s="1061"/>
      <c r="J1679" s="1061"/>
      <c r="K1679" s="1061"/>
      <c r="L1679" s="1061"/>
      <c r="M1679" s="1061"/>
      <c r="N1679" s="1061"/>
      <c r="O1679" s="626"/>
    </row>
    <row r="1680" spans="1:15" x14ac:dyDescent="0.25">
      <c r="A1680" s="765"/>
      <c r="B1680" s="624"/>
      <c r="C1680" s="1061"/>
      <c r="D1680" s="1061"/>
      <c r="E1680" s="1061"/>
      <c r="F1680" s="1061"/>
      <c r="G1680" s="1061"/>
      <c r="H1680" s="1061"/>
      <c r="I1680" s="1061"/>
      <c r="J1680" s="1061"/>
      <c r="K1680" s="1061"/>
      <c r="L1680" s="1061"/>
      <c r="M1680" s="1061"/>
      <c r="N1680" s="1061"/>
      <c r="O1680" s="626"/>
    </row>
    <row r="1681" spans="1:15" x14ac:dyDescent="0.25">
      <c r="A1681" s="765"/>
      <c r="B1681" s="624"/>
      <c r="C1681" s="1061"/>
      <c r="D1681" s="1061"/>
      <c r="E1681" s="1061"/>
      <c r="F1681" s="1061"/>
      <c r="G1681" s="1061"/>
      <c r="H1681" s="1061"/>
      <c r="I1681" s="1061"/>
      <c r="J1681" s="1061"/>
      <c r="K1681" s="1061"/>
      <c r="L1681" s="1061"/>
      <c r="M1681" s="1061"/>
      <c r="N1681" s="1061"/>
      <c r="O1681" s="626"/>
    </row>
    <row r="1682" spans="1:15" x14ac:dyDescent="0.25">
      <c r="A1682" s="765"/>
      <c r="B1682" s="624"/>
      <c r="C1682" s="1061"/>
      <c r="D1682" s="1061"/>
      <c r="E1682" s="1061"/>
      <c r="F1682" s="1061"/>
      <c r="G1682" s="1061"/>
      <c r="H1682" s="1061"/>
      <c r="I1682" s="1061"/>
      <c r="J1682" s="1061"/>
      <c r="K1682" s="1061"/>
      <c r="L1682" s="1061"/>
      <c r="M1682" s="1061"/>
      <c r="N1682" s="1061"/>
      <c r="O1682" s="626"/>
    </row>
    <row r="1683" spans="1:15" x14ac:dyDescent="0.25">
      <c r="A1683" s="765"/>
      <c r="B1683" s="624"/>
      <c r="C1683" s="1061"/>
      <c r="D1683" s="1061"/>
      <c r="E1683" s="1061"/>
      <c r="F1683" s="1061"/>
      <c r="G1683" s="1061"/>
      <c r="H1683" s="1061"/>
      <c r="I1683" s="1061"/>
      <c r="J1683" s="1061"/>
      <c r="K1683" s="1061"/>
      <c r="L1683" s="1061"/>
      <c r="M1683" s="1061"/>
      <c r="N1683" s="1061"/>
      <c r="O1683" s="626"/>
    </row>
    <row r="1684" spans="1:15" x14ac:dyDescent="0.25">
      <c r="A1684" s="765"/>
      <c r="B1684" s="624"/>
      <c r="C1684" s="1061"/>
      <c r="D1684" s="1061"/>
      <c r="E1684" s="1061"/>
      <c r="F1684" s="1061"/>
      <c r="G1684" s="1061"/>
      <c r="H1684" s="1061"/>
      <c r="I1684" s="1061"/>
      <c r="J1684" s="1061"/>
      <c r="K1684" s="1061"/>
      <c r="L1684" s="1061"/>
      <c r="M1684" s="1061"/>
      <c r="N1684" s="1061"/>
      <c r="O1684" s="626"/>
    </row>
    <row r="1685" spans="1:15" x14ac:dyDescent="0.25">
      <c r="A1685" s="765"/>
      <c r="B1685" s="624"/>
      <c r="C1685" s="1061"/>
      <c r="D1685" s="1061"/>
      <c r="E1685" s="1061"/>
      <c r="F1685" s="1061"/>
      <c r="G1685" s="1061"/>
      <c r="H1685" s="1061"/>
      <c r="I1685" s="1061"/>
      <c r="J1685" s="1061"/>
      <c r="K1685" s="1061"/>
      <c r="L1685" s="1061"/>
      <c r="M1685" s="1061"/>
      <c r="N1685" s="1061"/>
      <c r="O1685" s="626"/>
    </row>
    <row r="1686" spans="1:15" x14ac:dyDescent="0.25">
      <c r="A1686" s="765"/>
      <c r="B1686" s="624"/>
      <c r="C1686" s="1061"/>
      <c r="D1686" s="1061"/>
      <c r="E1686" s="1061"/>
      <c r="F1686" s="1061"/>
      <c r="G1686" s="1061"/>
      <c r="H1686" s="1061"/>
      <c r="I1686" s="1061"/>
      <c r="J1686" s="1061"/>
      <c r="K1686" s="1061"/>
      <c r="L1686" s="1061"/>
      <c r="M1686" s="1061"/>
      <c r="N1686" s="1061"/>
      <c r="O1686" s="626"/>
    </row>
    <row r="1687" spans="1:15" x14ac:dyDescent="0.25">
      <c r="A1687" s="765"/>
      <c r="B1687" s="624"/>
      <c r="C1687" s="1061"/>
      <c r="D1687" s="1061"/>
      <c r="E1687" s="1061"/>
      <c r="F1687" s="1061"/>
      <c r="G1687" s="1061"/>
      <c r="H1687" s="1061"/>
      <c r="I1687" s="1061"/>
      <c r="J1687" s="1061"/>
      <c r="K1687" s="1061"/>
      <c r="L1687" s="1061"/>
      <c r="M1687" s="1061"/>
      <c r="N1687" s="1061"/>
      <c r="O1687" s="626"/>
    </row>
    <row r="1688" spans="1:15" x14ac:dyDescent="0.25">
      <c r="A1688" s="765"/>
      <c r="B1688" s="624"/>
      <c r="C1688" s="1061"/>
      <c r="D1688" s="1061"/>
      <c r="E1688" s="1061"/>
      <c r="F1688" s="1061"/>
      <c r="G1688" s="1061"/>
      <c r="H1688" s="1061"/>
      <c r="I1688" s="1061"/>
      <c r="J1688" s="1061"/>
      <c r="K1688" s="1061"/>
      <c r="L1688" s="1061"/>
      <c r="M1688" s="1061"/>
      <c r="N1688" s="1061"/>
      <c r="O1688" s="626"/>
    </row>
    <row r="1689" spans="1:15" x14ac:dyDescent="0.25">
      <c r="A1689" s="765"/>
      <c r="B1689" s="624"/>
      <c r="C1689" s="1061"/>
      <c r="D1689" s="1061"/>
      <c r="E1689" s="1061"/>
      <c r="F1689" s="1061"/>
      <c r="G1689" s="1061"/>
      <c r="H1689" s="1061"/>
      <c r="I1689" s="1061"/>
      <c r="J1689" s="1061"/>
      <c r="K1689" s="1061"/>
      <c r="L1689" s="1061"/>
      <c r="M1689" s="1061"/>
      <c r="N1689" s="1061"/>
      <c r="O1689" s="626"/>
    </row>
    <row r="1690" spans="1:15" x14ac:dyDescent="0.25">
      <c r="A1690" s="765"/>
      <c r="B1690" s="624"/>
      <c r="C1690" s="1061"/>
      <c r="D1690" s="1061"/>
      <c r="E1690" s="1061"/>
      <c r="F1690" s="1061"/>
      <c r="G1690" s="1061"/>
      <c r="H1690" s="1061"/>
      <c r="I1690" s="1061"/>
      <c r="J1690" s="1061"/>
      <c r="K1690" s="1061"/>
      <c r="L1690" s="1061"/>
      <c r="M1690" s="1061"/>
      <c r="N1690" s="1061"/>
      <c r="O1690" s="626"/>
    </row>
    <row r="1691" spans="1:15" x14ac:dyDescent="0.25">
      <c r="A1691" s="765"/>
      <c r="B1691" s="624"/>
      <c r="C1691" s="1061"/>
      <c r="D1691" s="1061"/>
      <c r="E1691" s="1061"/>
      <c r="F1691" s="1061"/>
      <c r="G1691" s="1061"/>
      <c r="H1691" s="1061"/>
      <c r="I1691" s="1061"/>
      <c r="J1691" s="1061"/>
      <c r="K1691" s="1061"/>
      <c r="L1691" s="1061"/>
      <c r="M1691" s="1061"/>
      <c r="N1691" s="1061"/>
      <c r="O1691" s="626"/>
    </row>
    <row r="1692" spans="1:15" x14ac:dyDescent="0.25">
      <c r="A1692" s="765"/>
      <c r="B1692" s="624"/>
      <c r="C1692" s="1061"/>
      <c r="D1692" s="1061"/>
      <c r="E1692" s="1061"/>
      <c r="F1692" s="1061"/>
      <c r="G1692" s="1061"/>
      <c r="H1692" s="1061"/>
      <c r="I1692" s="1061"/>
      <c r="J1692" s="1061"/>
      <c r="K1692" s="1061"/>
      <c r="L1692" s="1061"/>
      <c r="M1692" s="1061"/>
      <c r="N1692" s="1061"/>
      <c r="O1692" s="626"/>
    </row>
    <row r="1693" spans="1:15" x14ac:dyDescent="0.25">
      <c r="A1693" s="765"/>
      <c r="B1693" s="624"/>
      <c r="C1693" s="1061"/>
      <c r="D1693" s="1061"/>
      <c r="E1693" s="1061"/>
      <c r="F1693" s="1061"/>
      <c r="G1693" s="1061"/>
      <c r="H1693" s="1061"/>
      <c r="I1693" s="1061"/>
      <c r="J1693" s="1061"/>
      <c r="K1693" s="1061"/>
      <c r="L1693" s="1061"/>
      <c r="M1693" s="1061"/>
      <c r="N1693" s="1061"/>
      <c r="O1693" s="626"/>
    </row>
    <row r="1694" spans="1:15" x14ac:dyDescent="0.25">
      <c r="A1694" s="765"/>
      <c r="B1694" s="624"/>
      <c r="C1694" s="1061"/>
      <c r="D1694" s="1061"/>
      <c r="E1694" s="1061"/>
      <c r="F1694" s="1061"/>
      <c r="G1694" s="1061"/>
      <c r="H1694" s="1061"/>
      <c r="I1694" s="1061"/>
      <c r="J1694" s="1061"/>
      <c r="K1694" s="1061"/>
      <c r="L1694" s="1061"/>
      <c r="M1694" s="1061"/>
      <c r="N1694" s="1061"/>
      <c r="O1694" s="626"/>
    </row>
    <row r="1695" spans="1:15" x14ac:dyDescent="0.25">
      <c r="A1695" s="765"/>
      <c r="B1695" s="624"/>
      <c r="C1695" s="1061"/>
      <c r="D1695" s="1061"/>
      <c r="E1695" s="1061"/>
      <c r="F1695" s="1061"/>
      <c r="G1695" s="1061"/>
      <c r="H1695" s="1061"/>
      <c r="I1695" s="1061"/>
      <c r="J1695" s="1061"/>
      <c r="K1695" s="1061"/>
      <c r="L1695" s="1061"/>
      <c r="M1695" s="1061"/>
      <c r="N1695" s="1061"/>
      <c r="O1695" s="626"/>
    </row>
    <row r="1696" spans="1:15" x14ac:dyDescent="0.25">
      <c r="A1696" s="765"/>
      <c r="B1696" s="624"/>
      <c r="C1696" s="1061"/>
      <c r="D1696" s="1061"/>
      <c r="E1696" s="1061"/>
      <c r="F1696" s="1061"/>
      <c r="G1696" s="1061"/>
      <c r="H1696" s="1061"/>
      <c r="I1696" s="1061"/>
      <c r="J1696" s="1061"/>
      <c r="K1696" s="1061"/>
      <c r="L1696" s="1061"/>
      <c r="M1696" s="1061"/>
      <c r="N1696" s="1061"/>
      <c r="O1696" s="626"/>
    </row>
    <row r="1697" spans="1:15" x14ac:dyDescent="0.25">
      <c r="A1697" s="765"/>
      <c r="B1697" s="624"/>
      <c r="C1697" s="1061"/>
      <c r="D1697" s="1061"/>
      <c r="E1697" s="1061"/>
      <c r="F1697" s="1061"/>
      <c r="G1697" s="1061"/>
      <c r="H1697" s="1061"/>
      <c r="I1697" s="1061"/>
      <c r="J1697" s="1061"/>
      <c r="K1697" s="1061"/>
      <c r="L1697" s="1061"/>
      <c r="M1697" s="1061"/>
      <c r="N1697" s="1061"/>
      <c r="O1697" s="626"/>
    </row>
    <row r="1698" spans="1:15" x14ac:dyDescent="0.25">
      <c r="A1698" s="765"/>
      <c r="B1698" s="624"/>
      <c r="C1698" s="1061"/>
      <c r="D1698" s="1061"/>
      <c r="E1698" s="1061"/>
      <c r="F1698" s="1061"/>
      <c r="G1698" s="1061"/>
      <c r="H1698" s="1061"/>
      <c r="I1698" s="1061"/>
      <c r="J1698" s="1061"/>
      <c r="K1698" s="1061"/>
      <c r="L1698" s="1061"/>
      <c r="M1698" s="1061"/>
      <c r="N1698" s="1061"/>
      <c r="O1698" s="626"/>
    </row>
    <row r="1699" spans="1:15" x14ac:dyDescent="0.25">
      <c r="A1699" s="765"/>
      <c r="B1699" s="624"/>
      <c r="C1699" s="1061"/>
      <c r="D1699" s="1061"/>
      <c r="E1699" s="1061"/>
      <c r="F1699" s="1061"/>
      <c r="G1699" s="1061"/>
      <c r="H1699" s="1061"/>
      <c r="I1699" s="1061"/>
      <c r="J1699" s="1061"/>
      <c r="K1699" s="1061"/>
      <c r="L1699" s="1061"/>
      <c r="M1699" s="1061"/>
      <c r="N1699" s="1061"/>
      <c r="O1699" s="626"/>
    </row>
    <row r="1700" spans="1:15" x14ac:dyDescent="0.25">
      <c r="A1700" s="765"/>
      <c r="B1700" s="624"/>
      <c r="C1700" s="1061"/>
      <c r="D1700" s="1061"/>
      <c r="E1700" s="1061"/>
      <c r="F1700" s="1061"/>
      <c r="G1700" s="1061"/>
      <c r="H1700" s="1061"/>
      <c r="I1700" s="1061"/>
      <c r="J1700" s="1061"/>
      <c r="K1700" s="1061"/>
      <c r="L1700" s="1061"/>
      <c r="M1700" s="1061"/>
      <c r="N1700" s="1061"/>
      <c r="O1700" s="626"/>
    </row>
    <row r="1701" spans="1:15" x14ac:dyDescent="0.25">
      <c r="A1701" s="765"/>
      <c r="B1701" s="624"/>
      <c r="C1701" s="1061"/>
      <c r="D1701" s="1061"/>
      <c r="E1701" s="1061"/>
      <c r="F1701" s="1061"/>
      <c r="G1701" s="1061"/>
      <c r="H1701" s="1061"/>
      <c r="I1701" s="1061"/>
      <c r="J1701" s="1061"/>
      <c r="K1701" s="1061"/>
      <c r="L1701" s="1061"/>
      <c r="M1701" s="1061"/>
      <c r="N1701" s="1061"/>
      <c r="O1701" s="626"/>
    </row>
    <row r="1702" spans="1:15" x14ac:dyDescent="0.25">
      <c r="A1702" s="765"/>
      <c r="B1702" s="624"/>
      <c r="C1702" s="1061"/>
      <c r="D1702" s="1061"/>
      <c r="E1702" s="1061"/>
      <c r="F1702" s="1061"/>
      <c r="G1702" s="1061"/>
      <c r="H1702" s="1061"/>
      <c r="I1702" s="1061"/>
      <c r="J1702" s="1061"/>
      <c r="K1702" s="1061"/>
      <c r="L1702" s="1061"/>
      <c r="M1702" s="1061"/>
      <c r="N1702" s="1061"/>
      <c r="O1702" s="626"/>
    </row>
    <row r="1703" spans="1:15" x14ac:dyDescent="0.25">
      <c r="A1703" s="765"/>
      <c r="B1703" s="624"/>
      <c r="C1703" s="1061"/>
      <c r="D1703" s="1061"/>
      <c r="E1703" s="1061"/>
      <c r="F1703" s="1061"/>
      <c r="G1703" s="1061"/>
      <c r="H1703" s="1061"/>
      <c r="I1703" s="1061"/>
      <c r="J1703" s="1061"/>
      <c r="K1703" s="1061"/>
      <c r="L1703" s="1061"/>
      <c r="M1703" s="1061"/>
      <c r="N1703" s="1061"/>
      <c r="O1703" s="626"/>
    </row>
    <row r="1704" spans="1:15" x14ac:dyDescent="0.25">
      <c r="A1704" s="765"/>
      <c r="B1704" s="624"/>
      <c r="C1704" s="1061"/>
      <c r="D1704" s="1061"/>
      <c r="E1704" s="1061"/>
      <c r="F1704" s="1061"/>
      <c r="G1704" s="1061"/>
      <c r="H1704" s="1061"/>
      <c r="I1704" s="1061"/>
      <c r="J1704" s="1061"/>
      <c r="K1704" s="1061"/>
      <c r="L1704" s="1061"/>
      <c r="M1704" s="1061"/>
      <c r="N1704" s="1061"/>
      <c r="O1704" s="626"/>
    </row>
    <row r="1705" spans="1:15" x14ac:dyDescent="0.25">
      <c r="A1705" s="765"/>
      <c r="B1705" s="624"/>
      <c r="C1705" s="1061"/>
      <c r="D1705" s="1061"/>
      <c r="E1705" s="1061"/>
      <c r="F1705" s="1061"/>
      <c r="G1705" s="1061"/>
      <c r="H1705" s="1061"/>
      <c r="I1705" s="1061"/>
      <c r="J1705" s="1061"/>
      <c r="K1705" s="1061"/>
      <c r="L1705" s="1061"/>
      <c r="M1705" s="1061"/>
      <c r="N1705" s="1061"/>
      <c r="O1705" s="626"/>
    </row>
    <row r="1706" spans="1:15" x14ac:dyDescent="0.25">
      <c r="A1706" s="765"/>
      <c r="B1706" s="624"/>
      <c r="C1706" s="1061"/>
      <c r="D1706" s="1061"/>
      <c r="E1706" s="1061"/>
      <c r="F1706" s="1061"/>
      <c r="G1706" s="1061"/>
      <c r="H1706" s="1061"/>
      <c r="I1706" s="1061"/>
      <c r="J1706" s="1061"/>
      <c r="K1706" s="1061"/>
      <c r="L1706" s="1061"/>
      <c r="M1706" s="1061"/>
      <c r="N1706" s="1061"/>
      <c r="O1706" s="626"/>
    </row>
    <row r="1707" spans="1:15" x14ac:dyDescent="0.25">
      <c r="A1707" s="765"/>
      <c r="B1707" s="624"/>
      <c r="C1707" s="1061"/>
      <c r="D1707" s="1061"/>
      <c r="E1707" s="1061"/>
      <c r="F1707" s="1061"/>
      <c r="G1707" s="1061"/>
      <c r="H1707" s="1061"/>
      <c r="I1707" s="1061"/>
      <c r="J1707" s="1061"/>
      <c r="K1707" s="1061"/>
      <c r="L1707" s="1061"/>
      <c r="M1707" s="1061"/>
      <c r="N1707" s="1061"/>
      <c r="O1707" s="626"/>
    </row>
    <row r="1708" spans="1:15" x14ac:dyDescent="0.25">
      <c r="A1708" s="765"/>
      <c r="B1708" s="624"/>
      <c r="C1708" s="1061"/>
      <c r="D1708" s="1061"/>
      <c r="E1708" s="1061"/>
      <c r="F1708" s="1061"/>
      <c r="G1708" s="1061"/>
      <c r="H1708" s="1061"/>
      <c r="I1708" s="1061"/>
      <c r="J1708" s="1061"/>
      <c r="K1708" s="1061"/>
      <c r="L1708" s="1061"/>
      <c r="M1708" s="1061"/>
      <c r="N1708" s="1061"/>
      <c r="O1708" s="626"/>
    </row>
    <row r="1709" spans="1:15" x14ac:dyDescent="0.25">
      <c r="A1709" s="765"/>
      <c r="B1709" s="624"/>
      <c r="C1709" s="1061"/>
      <c r="D1709" s="1061"/>
      <c r="E1709" s="1061"/>
      <c r="F1709" s="1061"/>
      <c r="G1709" s="1061"/>
      <c r="H1709" s="1061"/>
      <c r="I1709" s="1061"/>
      <c r="J1709" s="1061"/>
      <c r="K1709" s="1061"/>
      <c r="L1709" s="1061"/>
      <c r="M1709" s="1061"/>
      <c r="N1709" s="1061"/>
      <c r="O1709" s="626"/>
    </row>
    <row r="1710" spans="1:15" x14ac:dyDescent="0.25">
      <c r="A1710" s="765"/>
      <c r="B1710" s="624"/>
      <c r="C1710" s="1061"/>
      <c r="D1710" s="1061"/>
      <c r="E1710" s="1061"/>
      <c r="F1710" s="1061"/>
      <c r="G1710" s="1061"/>
      <c r="H1710" s="1061"/>
      <c r="I1710" s="1061"/>
      <c r="J1710" s="1061"/>
      <c r="K1710" s="1061"/>
      <c r="L1710" s="1061"/>
      <c r="M1710" s="1061"/>
      <c r="N1710" s="1061"/>
      <c r="O1710" s="626"/>
    </row>
    <row r="1711" spans="1:15" x14ac:dyDescent="0.25">
      <c r="A1711" s="765"/>
      <c r="B1711" s="624"/>
      <c r="C1711" s="1061"/>
      <c r="D1711" s="1061"/>
      <c r="E1711" s="1061"/>
      <c r="F1711" s="1061"/>
      <c r="G1711" s="1061"/>
      <c r="H1711" s="1061"/>
      <c r="I1711" s="1061"/>
      <c r="J1711" s="1061"/>
      <c r="K1711" s="1061"/>
      <c r="L1711" s="1061"/>
      <c r="M1711" s="1061"/>
      <c r="N1711" s="1061"/>
      <c r="O1711" s="626"/>
    </row>
    <row r="1712" spans="1:15" x14ac:dyDescent="0.25">
      <c r="A1712" s="765"/>
      <c r="B1712" s="624"/>
      <c r="C1712" s="1061"/>
      <c r="D1712" s="1061"/>
      <c r="E1712" s="1061"/>
      <c r="F1712" s="1061"/>
      <c r="G1712" s="1061"/>
      <c r="H1712" s="1061"/>
      <c r="I1712" s="1061"/>
      <c r="J1712" s="1061"/>
      <c r="K1712" s="1061"/>
      <c r="L1712" s="1061"/>
      <c r="M1712" s="1061"/>
      <c r="N1712" s="1061"/>
      <c r="O1712" s="626"/>
    </row>
    <row r="1713" spans="1:15" x14ac:dyDescent="0.25">
      <c r="A1713" s="765"/>
      <c r="B1713" s="624"/>
      <c r="C1713" s="1061"/>
      <c r="D1713" s="1061"/>
      <c r="E1713" s="1061"/>
      <c r="F1713" s="1061"/>
      <c r="G1713" s="1061"/>
      <c r="H1713" s="1061"/>
      <c r="I1713" s="1061"/>
      <c r="J1713" s="1061"/>
      <c r="K1713" s="1061"/>
      <c r="L1713" s="1061"/>
      <c r="M1713" s="1061"/>
      <c r="N1713" s="1061"/>
      <c r="O1713" s="626"/>
    </row>
    <row r="1714" spans="1:15" x14ac:dyDescent="0.25">
      <c r="A1714" s="765"/>
      <c r="B1714" s="624"/>
      <c r="C1714" s="1061"/>
      <c r="D1714" s="1061"/>
      <c r="E1714" s="1061"/>
      <c r="F1714" s="1061"/>
      <c r="G1714" s="1061"/>
      <c r="H1714" s="1061"/>
      <c r="I1714" s="1061"/>
      <c r="J1714" s="1061"/>
      <c r="K1714" s="1061"/>
      <c r="L1714" s="1061"/>
      <c r="M1714" s="1061"/>
      <c r="N1714" s="1061"/>
      <c r="O1714" s="626"/>
    </row>
    <row r="1715" spans="1:15" x14ac:dyDescent="0.25">
      <c r="A1715" s="765"/>
      <c r="B1715" s="624"/>
      <c r="C1715" s="1061"/>
      <c r="D1715" s="1061"/>
      <c r="E1715" s="1061"/>
      <c r="F1715" s="1061"/>
      <c r="G1715" s="1061"/>
      <c r="H1715" s="1061"/>
      <c r="I1715" s="1061"/>
      <c r="J1715" s="1061"/>
      <c r="K1715" s="1061"/>
      <c r="L1715" s="1061"/>
      <c r="M1715" s="1061"/>
      <c r="N1715" s="1061"/>
      <c r="O1715" s="626"/>
    </row>
    <row r="1716" spans="1:15" x14ac:dyDescent="0.25">
      <c r="A1716" s="765"/>
      <c r="B1716" s="624"/>
      <c r="C1716" s="1061"/>
      <c r="D1716" s="1061"/>
      <c r="E1716" s="1061"/>
      <c r="F1716" s="1061"/>
      <c r="G1716" s="1061"/>
      <c r="H1716" s="1061"/>
      <c r="I1716" s="1061"/>
      <c r="J1716" s="1061"/>
      <c r="K1716" s="1061"/>
      <c r="L1716" s="1061"/>
      <c r="M1716" s="1061"/>
      <c r="N1716" s="1061"/>
      <c r="O1716" s="626"/>
    </row>
    <row r="1717" spans="1:15" x14ac:dyDescent="0.25">
      <c r="A1717" s="765"/>
      <c r="B1717" s="624"/>
      <c r="C1717" s="1061"/>
      <c r="D1717" s="1061"/>
      <c r="E1717" s="1061"/>
      <c r="F1717" s="1061"/>
      <c r="G1717" s="1061"/>
      <c r="H1717" s="1061"/>
      <c r="I1717" s="1061"/>
      <c r="J1717" s="1061"/>
      <c r="K1717" s="1061"/>
      <c r="L1717" s="1061"/>
      <c r="M1717" s="1061"/>
      <c r="N1717" s="1061"/>
      <c r="O1717" s="626"/>
    </row>
    <row r="1718" spans="1:15" x14ac:dyDescent="0.25">
      <c r="A1718" s="765"/>
      <c r="B1718" s="624"/>
      <c r="C1718" s="1061"/>
      <c r="D1718" s="1061"/>
      <c r="E1718" s="1061"/>
      <c r="F1718" s="1061"/>
      <c r="G1718" s="1061"/>
      <c r="H1718" s="1061"/>
      <c r="I1718" s="1061"/>
      <c r="J1718" s="1061"/>
      <c r="K1718" s="1061"/>
      <c r="L1718" s="1061"/>
      <c r="M1718" s="1061"/>
      <c r="N1718" s="1061"/>
      <c r="O1718" s="626"/>
    </row>
    <row r="1719" spans="1:15" x14ac:dyDescent="0.25">
      <c r="A1719" s="765"/>
      <c r="B1719" s="624"/>
      <c r="C1719" s="1061"/>
      <c r="D1719" s="1061"/>
      <c r="E1719" s="1061"/>
      <c r="F1719" s="1061"/>
      <c r="G1719" s="1061"/>
      <c r="H1719" s="1061"/>
      <c r="I1719" s="1061"/>
      <c r="J1719" s="1061"/>
      <c r="K1719" s="1061"/>
      <c r="L1719" s="1061"/>
      <c r="M1719" s="1061"/>
      <c r="N1719" s="1061"/>
      <c r="O1719" s="626"/>
    </row>
    <row r="1720" spans="1:15" x14ac:dyDescent="0.25">
      <c r="A1720" s="765"/>
      <c r="B1720" s="624"/>
      <c r="C1720" s="1061"/>
      <c r="D1720" s="1061"/>
      <c r="E1720" s="1061"/>
      <c r="F1720" s="1061"/>
      <c r="G1720" s="1061"/>
      <c r="H1720" s="1061"/>
      <c r="I1720" s="1061"/>
      <c r="J1720" s="1061"/>
      <c r="K1720" s="1061"/>
      <c r="L1720" s="1061"/>
      <c r="M1720" s="1061"/>
      <c r="N1720" s="1061"/>
      <c r="O1720" s="626"/>
    </row>
    <row r="1721" spans="1:15" x14ac:dyDescent="0.25">
      <c r="A1721" s="765"/>
      <c r="B1721" s="624"/>
      <c r="C1721" s="1061"/>
      <c r="D1721" s="1061"/>
      <c r="E1721" s="1061"/>
      <c r="F1721" s="1061"/>
      <c r="G1721" s="1061"/>
      <c r="H1721" s="1061"/>
      <c r="I1721" s="1061"/>
      <c r="J1721" s="1061"/>
      <c r="K1721" s="1061"/>
      <c r="L1721" s="1061"/>
      <c r="M1721" s="1061"/>
      <c r="N1721" s="1061"/>
      <c r="O1721" s="626"/>
    </row>
    <row r="1722" spans="1:15" x14ac:dyDescent="0.25">
      <c r="A1722" s="765"/>
      <c r="B1722" s="624"/>
      <c r="C1722" s="1061"/>
      <c r="D1722" s="1061"/>
      <c r="E1722" s="1061"/>
      <c r="F1722" s="1061"/>
      <c r="G1722" s="1061"/>
      <c r="H1722" s="1061"/>
      <c r="I1722" s="1061"/>
      <c r="J1722" s="1061"/>
      <c r="K1722" s="1061"/>
      <c r="L1722" s="1061"/>
      <c r="M1722" s="1061"/>
      <c r="N1722" s="1061"/>
      <c r="O1722" s="626"/>
    </row>
    <row r="1723" spans="1:15" x14ac:dyDescent="0.25">
      <c r="A1723" s="765"/>
      <c r="B1723" s="624"/>
      <c r="C1723" s="1061"/>
      <c r="D1723" s="1061"/>
      <c r="E1723" s="1061"/>
      <c r="F1723" s="1061"/>
      <c r="G1723" s="1061"/>
      <c r="H1723" s="1061"/>
      <c r="I1723" s="1061"/>
      <c r="J1723" s="1061"/>
      <c r="K1723" s="1061"/>
      <c r="L1723" s="1061"/>
      <c r="M1723" s="1061"/>
      <c r="N1723" s="1061"/>
      <c r="O1723" s="626"/>
    </row>
    <row r="1724" spans="1:15" x14ac:dyDescent="0.25">
      <c r="A1724" s="765"/>
      <c r="B1724" s="624"/>
      <c r="C1724" s="1061"/>
      <c r="D1724" s="1061"/>
      <c r="E1724" s="1061"/>
      <c r="F1724" s="1061"/>
      <c r="G1724" s="1061"/>
      <c r="H1724" s="1061"/>
      <c r="I1724" s="1061"/>
      <c r="J1724" s="1061"/>
      <c r="K1724" s="1061"/>
      <c r="L1724" s="1061"/>
      <c r="M1724" s="1061"/>
      <c r="N1724" s="1061"/>
      <c r="O1724" s="626"/>
    </row>
    <row r="1725" spans="1:15" x14ac:dyDescent="0.25">
      <c r="A1725" s="765"/>
      <c r="B1725" s="624"/>
      <c r="C1725" s="1061"/>
      <c r="D1725" s="1061"/>
      <c r="E1725" s="1061"/>
      <c r="F1725" s="1061"/>
      <c r="G1725" s="1061"/>
      <c r="H1725" s="1061"/>
      <c r="I1725" s="1061"/>
      <c r="J1725" s="1061"/>
      <c r="K1725" s="1061"/>
      <c r="L1725" s="1061"/>
      <c r="M1725" s="1061"/>
      <c r="N1725" s="1061"/>
      <c r="O1725" s="626"/>
    </row>
    <row r="1726" spans="1:15" x14ac:dyDescent="0.25">
      <c r="A1726" s="765"/>
      <c r="B1726" s="624"/>
      <c r="C1726" s="1061"/>
      <c r="D1726" s="1061"/>
      <c r="E1726" s="1061"/>
      <c r="F1726" s="1061"/>
      <c r="G1726" s="1061"/>
      <c r="H1726" s="1061"/>
      <c r="I1726" s="1061"/>
      <c r="J1726" s="1061"/>
      <c r="K1726" s="1061"/>
      <c r="L1726" s="1061"/>
      <c r="M1726" s="1061"/>
      <c r="N1726" s="1061"/>
      <c r="O1726" s="626"/>
    </row>
    <row r="1727" spans="1:15" x14ac:dyDescent="0.25">
      <c r="A1727" s="765"/>
      <c r="B1727" s="624"/>
      <c r="C1727" s="1061"/>
      <c r="D1727" s="1061"/>
      <c r="E1727" s="1061"/>
      <c r="F1727" s="1061"/>
      <c r="G1727" s="1061"/>
      <c r="H1727" s="1061"/>
      <c r="I1727" s="1061"/>
      <c r="J1727" s="1061"/>
      <c r="K1727" s="1061"/>
      <c r="L1727" s="1061"/>
      <c r="M1727" s="1061"/>
      <c r="N1727" s="1061"/>
      <c r="O1727" s="626"/>
    </row>
    <row r="1728" spans="1:15" x14ac:dyDescent="0.25">
      <c r="A1728" s="765"/>
      <c r="B1728" s="624"/>
      <c r="C1728" s="1061"/>
      <c r="D1728" s="1061"/>
      <c r="E1728" s="1061"/>
      <c r="F1728" s="1061"/>
      <c r="G1728" s="1061"/>
      <c r="H1728" s="1061"/>
      <c r="I1728" s="1061"/>
      <c r="J1728" s="1061"/>
      <c r="K1728" s="1061"/>
      <c r="L1728" s="1061"/>
      <c r="M1728" s="1061"/>
      <c r="N1728" s="1061"/>
      <c r="O1728" s="626"/>
    </row>
    <row r="1729" spans="1:15" x14ac:dyDescent="0.25">
      <c r="A1729" s="765"/>
      <c r="B1729" s="624"/>
      <c r="C1729" s="1061"/>
      <c r="D1729" s="1061"/>
      <c r="E1729" s="1061"/>
      <c r="F1729" s="1061"/>
      <c r="G1729" s="1061"/>
      <c r="H1729" s="1061"/>
      <c r="I1729" s="1061"/>
      <c r="J1729" s="1061"/>
      <c r="K1729" s="1061"/>
      <c r="L1729" s="1061"/>
      <c r="M1729" s="1061"/>
      <c r="N1729" s="1061"/>
      <c r="O1729" s="626"/>
    </row>
    <row r="1730" spans="1:15" x14ac:dyDescent="0.25">
      <c r="A1730" s="765"/>
      <c r="B1730" s="624"/>
      <c r="C1730" s="1061"/>
      <c r="D1730" s="1061"/>
      <c r="E1730" s="1061"/>
      <c r="F1730" s="1061"/>
      <c r="G1730" s="1061"/>
      <c r="H1730" s="1061"/>
      <c r="I1730" s="1061"/>
      <c r="J1730" s="1061"/>
      <c r="K1730" s="1061"/>
      <c r="L1730" s="1061"/>
      <c r="M1730" s="1061"/>
      <c r="N1730" s="1061"/>
      <c r="O1730" s="626"/>
    </row>
    <row r="1731" spans="1:15" x14ac:dyDescent="0.25">
      <c r="A1731" s="765"/>
      <c r="B1731" s="624"/>
      <c r="C1731" s="1061"/>
      <c r="D1731" s="1061"/>
      <c r="E1731" s="1061"/>
      <c r="F1731" s="1061"/>
      <c r="G1731" s="1061"/>
      <c r="H1731" s="1061"/>
      <c r="I1731" s="1061"/>
      <c r="J1731" s="1061"/>
      <c r="K1731" s="1061"/>
      <c r="L1731" s="1061"/>
      <c r="M1731" s="1061"/>
      <c r="N1731" s="1061"/>
      <c r="O1731" s="626"/>
    </row>
    <row r="1732" spans="1:15" x14ac:dyDescent="0.25">
      <c r="A1732" s="765"/>
      <c r="B1732" s="624"/>
      <c r="C1732" s="1061"/>
      <c r="D1732" s="1061"/>
      <c r="E1732" s="1061"/>
      <c r="F1732" s="1061"/>
      <c r="G1732" s="1061"/>
      <c r="H1732" s="1061"/>
      <c r="I1732" s="1061"/>
      <c r="J1732" s="1061"/>
      <c r="K1732" s="1061"/>
      <c r="L1732" s="1061"/>
      <c r="M1732" s="1061"/>
      <c r="N1732" s="1061"/>
      <c r="O1732" s="626"/>
    </row>
    <row r="1733" spans="1:15" x14ac:dyDescent="0.25">
      <c r="A1733" s="765"/>
      <c r="B1733" s="624"/>
      <c r="C1733" s="1061"/>
      <c r="D1733" s="1061"/>
      <c r="E1733" s="1061"/>
      <c r="F1733" s="1061"/>
      <c r="G1733" s="1061"/>
      <c r="H1733" s="1061"/>
      <c r="I1733" s="1061"/>
      <c r="J1733" s="1061"/>
      <c r="K1733" s="1061"/>
      <c r="L1733" s="1061"/>
      <c r="M1733" s="1061"/>
      <c r="N1733" s="1061"/>
      <c r="O1733" s="626"/>
    </row>
    <row r="1734" spans="1:15" x14ac:dyDescent="0.25">
      <c r="A1734" s="765"/>
      <c r="B1734" s="624"/>
      <c r="C1734" s="1061"/>
      <c r="D1734" s="1061"/>
      <c r="E1734" s="1061"/>
      <c r="F1734" s="1061"/>
      <c r="G1734" s="1061"/>
      <c r="H1734" s="1061"/>
      <c r="I1734" s="1061"/>
      <c r="J1734" s="1061"/>
      <c r="K1734" s="1061"/>
      <c r="L1734" s="1061"/>
      <c r="M1734" s="1061"/>
      <c r="N1734" s="1061"/>
      <c r="O1734" s="626"/>
    </row>
    <row r="1735" spans="1:15" x14ac:dyDescent="0.25">
      <c r="A1735" s="765"/>
      <c r="B1735" s="624"/>
      <c r="C1735" s="1061"/>
      <c r="D1735" s="1061"/>
      <c r="E1735" s="1061"/>
      <c r="F1735" s="1061"/>
      <c r="G1735" s="1061"/>
      <c r="H1735" s="1061"/>
      <c r="I1735" s="1061"/>
      <c r="J1735" s="1061"/>
      <c r="K1735" s="1061"/>
      <c r="L1735" s="1061"/>
      <c r="M1735" s="1061"/>
      <c r="N1735" s="1061"/>
      <c r="O1735" s="626"/>
    </row>
    <row r="1736" spans="1:15" x14ac:dyDescent="0.25">
      <c r="A1736" s="765"/>
      <c r="B1736" s="624"/>
      <c r="C1736" s="1061"/>
      <c r="D1736" s="1061"/>
      <c r="E1736" s="1061"/>
      <c r="F1736" s="1061"/>
      <c r="G1736" s="1061"/>
      <c r="H1736" s="1061"/>
      <c r="I1736" s="1061"/>
      <c r="J1736" s="1061"/>
      <c r="K1736" s="1061"/>
      <c r="L1736" s="1061"/>
      <c r="M1736" s="1061"/>
      <c r="N1736" s="1061"/>
      <c r="O1736" s="626"/>
    </row>
    <row r="1737" spans="1:15" x14ac:dyDescent="0.25">
      <c r="A1737" s="765"/>
      <c r="B1737" s="624"/>
      <c r="C1737" s="1061"/>
      <c r="D1737" s="1061"/>
      <c r="E1737" s="1061"/>
      <c r="F1737" s="1061"/>
      <c r="G1737" s="1061"/>
      <c r="H1737" s="1061"/>
      <c r="I1737" s="1061"/>
      <c r="J1737" s="1061"/>
      <c r="K1737" s="1061"/>
      <c r="L1737" s="1061"/>
      <c r="M1737" s="1061"/>
      <c r="N1737" s="1061"/>
      <c r="O1737" s="626"/>
    </row>
    <row r="1738" spans="1:15" x14ac:dyDescent="0.25">
      <c r="A1738" s="765"/>
      <c r="B1738" s="624"/>
      <c r="C1738" s="1061"/>
      <c r="D1738" s="1061"/>
      <c r="E1738" s="1061"/>
      <c r="F1738" s="1061"/>
      <c r="G1738" s="1061"/>
      <c r="H1738" s="1061"/>
      <c r="I1738" s="1061"/>
      <c r="J1738" s="1061"/>
      <c r="K1738" s="1061"/>
      <c r="L1738" s="1061"/>
      <c r="M1738" s="1061"/>
      <c r="N1738" s="1061"/>
      <c r="O1738" s="626"/>
    </row>
    <row r="1739" spans="1:15" x14ac:dyDescent="0.25">
      <c r="A1739" s="765"/>
      <c r="B1739" s="624"/>
      <c r="C1739" s="1061"/>
      <c r="D1739" s="1061"/>
      <c r="E1739" s="1061"/>
      <c r="F1739" s="1061"/>
      <c r="G1739" s="1061"/>
      <c r="H1739" s="1061"/>
      <c r="I1739" s="1061"/>
      <c r="J1739" s="1061"/>
      <c r="K1739" s="1061"/>
      <c r="L1739" s="1061"/>
      <c r="M1739" s="1061"/>
      <c r="N1739" s="1061"/>
      <c r="O1739" s="626"/>
    </row>
    <row r="1740" spans="1:15" x14ac:dyDescent="0.25">
      <c r="A1740" s="765"/>
      <c r="B1740" s="624"/>
      <c r="C1740" s="1061"/>
      <c r="D1740" s="1061"/>
      <c r="E1740" s="1061"/>
      <c r="F1740" s="1061"/>
      <c r="G1740" s="1061"/>
      <c r="H1740" s="1061"/>
      <c r="I1740" s="1061"/>
      <c r="J1740" s="1061"/>
      <c r="K1740" s="1061"/>
      <c r="L1740" s="1061"/>
      <c r="M1740" s="1061"/>
      <c r="N1740" s="1061"/>
      <c r="O1740" s="626"/>
    </row>
    <row r="1741" spans="1:15" x14ac:dyDescent="0.25">
      <c r="A1741" s="765"/>
      <c r="B1741" s="624"/>
      <c r="C1741" s="1061"/>
      <c r="D1741" s="1061"/>
      <c r="E1741" s="1061"/>
      <c r="F1741" s="1061"/>
      <c r="G1741" s="1061"/>
      <c r="H1741" s="1061"/>
      <c r="I1741" s="1061"/>
      <c r="J1741" s="1061"/>
      <c r="K1741" s="1061"/>
      <c r="L1741" s="1061"/>
      <c r="M1741" s="1061"/>
      <c r="N1741" s="1061"/>
      <c r="O1741" s="626"/>
    </row>
    <row r="1742" spans="1:15" x14ac:dyDescent="0.25">
      <c r="A1742" s="765"/>
      <c r="B1742" s="624"/>
      <c r="C1742" s="1061"/>
      <c r="D1742" s="1061"/>
      <c r="E1742" s="1061"/>
      <c r="F1742" s="1061"/>
      <c r="G1742" s="1061"/>
      <c r="H1742" s="1061"/>
      <c r="I1742" s="1061"/>
      <c r="J1742" s="1061"/>
      <c r="K1742" s="1061"/>
      <c r="L1742" s="1061"/>
      <c r="M1742" s="1061"/>
      <c r="N1742" s="1061"/>
      <c r="O1742" s="626"/>
    </row>
    <row r="1743" spans="1:15" x14ac:dyDescent="0.25">
      <c r="A1743" s="765"/>
      <c r="B1743" s="624"/>
      <c r="C1743" s="1061"/>
      <c r="D1743" s="1061"/>
      <c r="E1743" s="1061"/>
      <c r="F1743" s="1061"/>
      <c r="G1743" s="1061"/>
      <c r="H1743" s="1061"/>
      <c r="I1743" s="1061"/>
      <c r="J1743" s="1061"/>
      <c r="K1743" s="1061"/>
      <c r="L1743" s="1061"/>
      <c r="M1743" s="1061"/>
      <c r="N1743" s="1061"/>
      <c r="O1743" s="626"/>
    </row>
    <row r="1744" spans="1:15" x14ac:dyDescent="0.25">
      <c r="A1744" s="765"/>
      <c r="B1744" s="624"/>
      <c r="C1744" s="1061"/>
      <c r="D1744" s="1061"/>
      <c r="E1744" s="1061"/>
      <c r="F1744" s="1061"/>
      <c r="G1744" s="1061"/>
      <c r="H1744" s="1061"/>
      <c r="I1744" s="1061"/>
      <c r="J1744" s="1061"/>
      <c r="K1744" s="1061"/>
      <c r="L1744" s="1061"/>
      <c r="M1744" s="1061"/>
      <c r="N1744" s="1061"/>
      <c r="O1744" s="626"/>
    </row>
    <row r="1745" spans="1:15" x14ac:dyDescent="0.25">
      <c r="A1745" s="765"/>
      <c r="B1745" s="624"/>
      <c r="C1745" s="1061"/>
      <c r="D1745" s="1061"/>
      <c r="E1745" s="1061"/>
      <c r="F1745" s="1061"/>
      <c r="G1745" s="1061"/>
      <c r="H1745" s="1061"/>
      <c r="I1745" s="1061"/>
      <c r="J1745" s="1061"/>
      <c r="K1745" s="1061"/>
      <c r="L1745" s="1061"/>
      <c r="M1745" s="1061"/>
      <c r="N1745" s="1061"/>
      <c r="O1745" s="626"/>
    </row>
    <row r="1746" spans="1:15" x14ac:dyDescent="0.25">
      <c r="A1746" s="765"/>
      <c r="B1746" s="624"/>
      <c r="C1746" s="1061"/>
      <c r="D1746" s="1061"/>
      <c r="E1746" s="1061"/>
      <c r="F1746" s="1061"/>
      <c r="G1746" s="1061"/>
      <c r="H1746" s="1061"/>
      <c r="I1746" s="1061"/>
      <c r="J1746" s="1061"/>
      <c r="K1746" s="1061"/>
      <c r="L1746" s="1061"/>
      <c r="M1746" s="1061"/>
      <c r="N1746" s="1061"/>
      <c r="O1746" s="626"/>
    </row>
    <row r="1747" spans="1:15" x14ac:dyDescent="0.25">
      <c r="A1747" s="765"/>
      <c r="B1747" s="624"/>
      <c r="C1747" s="1061"/>
      <c r="D1747" s="1061"/>
      <c r="E1747" s="1061"/>
      <c r="F1747" s="1061"/>
      <c r="G1747" s="1061"/>
      <c r="H1747" s="1061"/>
      <c r="I1747" s="1061"/>
      <c r="J1747" s="1061"/>
      <c r="K1747" s="1061"/>
      <c r="L1747" s="1061"/>
      <c r="M1747" s="1061"/>
      <c r="N1747" s="1061"/>
      <c r="O1747" s="626"/>
    </row>
    <row r="1748" spans="1:15" x14ac:dyDescent="0.25">
      <c r="A1748" s="765"/>
      <c r="B1748" s="624"/>
      <c r="C1748" s="1061"/>
      <c r="D1748" s="1061"/>
      <c r="E1748" s="1061"/>
      <c r="F1748" s="1061"/>
      <c r="G1748" s="1061"/>
      <c r="H1748" s="1061"/>
      <c r="I1748" s="1061"/>
      <c r="J1748" s="1061"/>
      <c r="K1748" s="1061"/>
      <c r="L1748" s="1061"/>
      <c r="M1748" s="1061"/>
      <c r="N1748" s="1061"/>
      <c r="O1748" s="626"/>
    </row>
    <row r="1749" spans="1:15" x14ac:dyDescent="0.25">
      <c r="A1749" s="765"/>
      <c r="B1749" s="624"/>
      <c r="C1749" s="1061"/>
      <c r="D1749" s="1061"/>
      <c r="E1749" s="1061"/>
      <c r="F1749" s="1061"/>
      <c r="G1749" s="1061"/>
      <c r="H1749" s="1061"/>
      <c r="I1749" s="1061"/>
      <c r="J1749" s="1061"/>
      <c r="K1749" s="1061"/>
      <c r="L1749" s="1061"/>
      <c r="M1749" s="1061"/>
      <c r="N1749" s="1061"/>
      <c r="O1749" s="626"/>
    </row>
    <row r="1750" spans="1:15" x14ac:dyDescent="0.25">
      <c r="A1750" s="765"/>
      <c r="B1750" s="624"/>
      <c r="C1750" s="1061"/>
      <c r="D1750" s="1061"/>
      <c r="E1750" s="1061"/>
      <c r="F1750" s="1061"/>
      <c r="G1750" s="1061"/>
      <c r="H1750" s="1061"/>
      <c r="I1750" s="1061"/>
      <c r="J1750" s="1061"/>
      <c r="K1750" s="1061"/>
      <c r="L1750" s="1061"/>
      <c r="M1750" s="1061"/>
      <c r="N1750" s="1061"/>
      <c r="O1750" s="626"/>
    </row>
    <row r="1751" spans="1:15" x14ac:dyDescent="0.25">
      <c r="A1751" s="765"/>
      <c r="B1751" s="624"/>
      <c r="C1751" s="1061"/>
      <c r="D1751" s="1061"/>
      <c r="E1751" s="1061"/>
      <c r="F1751" s="1061"/>
      <c r="G1751" s="1061"/>
      <c r="H1751" s="1061"/>
      <c r="I1751" s="1061"/>
      <c r="J1751" s="1061"/>
      <c r="K1751" s="1061"/>
      <c r="L1751" s="1061"/>
      <c r="M1751" s="1061"/>
      <c r="N1751" s="1061"/>
      <c r="O1751" s="626"/>
    </row>
    <row r="1752" spans="1:15" x14ac:dyDescent="0.25">
      <c r="A1752" s="765"/>
      <c r="B1752" s="624"/>
      <c r="C1752" s="1061"/>
      <c r="D1752" s="1061"/>
      <c r="E1752" s="1061"/>
      <c r="F1752" s="1061"/>
      <c r="G1752" s="1061"/>
      <c r="H1752" s="1061"/>
      <c r="I1752" s="1061"/>
      <c r="J1752" s="1061"/>
      <c r="K1752" s="1061"/>
      <c r="L1752" s="1061"/>
      <c r="M1752" s="1061"/>
      <c r="N1752" s="1061"/>
      <c r="O1752" s="626"/>
    </row>
    <row r="1753" spans="1:15" x14ac:dyDescent="0.25">
      <c r="A1753" s="765"/>
      <c r="B1753" s="624"/>
      <c r="C1753" s="1061"/>
      <c r="D1753" s="1061"/>
      <c r="E1753" s="1061"/>
      <c r="F1753" s="1061"/>
      <c r="G1753" s="1061"/>
      <c r="H1753" s="1061"/>
      <c r="I1753" s="1061"/>
      <c r="J1753" s="1061"/>
      <c r="K1753" s="1061"/>
      <c r="L1753" s="1061"/>
      <c r="M1753" s="1061"/>
      <c r="N1753" s="1061"/>
      <c r="O1753" s="626"/>
    </row>
    <row r="1754" spans="1:15" x14ac:dyDescent="0.25">
      <c r="A1754" s="765"/>
      <c r="B1754" s="624"/>
      <c r="C1754" s="1061"/>
      <c r="D1754" s="1061"/>
      <c r="E1754" s="1061"/>
      <c r="F1754" s="1061"/>
      <c r="G1754" s="1061"/>
      <c r="H1754" s="1061"/>
      <c r="I1754" s="1061"/>
      <c r="J1754" s="1061"/>
      <c r="K1754" s="1061"/>
      <c r="L1754" s="1061"/>
      <c r="M1754" s="1061"/>
      <c r="N1754" s="1061"/>
      <c r="O1754" s="626"/>
    </row>
    <row r="1755" spans="1:15" x14ac:dyDescent="0.25">
      <c r="A1755" s="765"/>
      <c r="B1755" s="624"/>
      <c r="C1755" s="1061"/>
      <c r="D1755" s="1061"/>
      <c r="E1755" s="1061"/>
      <c r="F1755" s="1061"/>
      <c r="G1755" s="1061"/>
      <c r="H1755" s="1061"/>
      <c r="I1755" s="1061"/>
      <c r="J1755" s="1061"/>
      <c r="K1755" s="1061"/>
      <c r="L1755" s="1061"/>
      <c r="M1755" s="1061"/>
      <c r="N1755" s="1061"/>
      <c r="O1755" s="626"/>
    </row>
    <row r="1756" spans="1:15" x14ac:dyDescent="0.25">
      <c r="A1756" s="765"/>
      <c r="B1756" s="624"/>
      <c r="C1756" s="1061"/>
      <c r="D1756" s="1061"/>
      <c r="E1756" s="1061"/>
      <c r="F1756" s="1061"/>
      <c r="G1756" s="1061"/>
      <c r="H1756" s="1061"/>
      <c r="I1756" s="1061"/>
      <c r="J1756" s="1061"/>
      <c r="K1756" s="1061"/>
      <c r="L1756" s="1061"/>
      <c r="M1756" s="1061"/>
      <c r="N1756" s="1061"/>
      <c r="O1756" s="626"/>
    </row>
    <row r="1757" spans="1:15" x14ac:dyDescent="0.25">
      <c r="A1757" s="765"/>
      <c r="B1757" s="624"/>
      <c r="C1757" s="1061"/>
      <c r="D1757" s="1061"/>
      <c r="E1757" s="1061"/>
      <c r="F1757" s="1061"/>
      <c r="G1757" s="1061"/>
      <c r="H1757" s="1061"/>
      <c r="I1757" s="1061"/>
      <c r="J1757" s="1061"/>
      <c r="K1757" s="1061"/>
      <c r="L1757" s="1061"/>
      <c r="M1757" s="1061"/>
      <c r="N1757" s="1061"/>
      <c r="O1757" s="626"/>
    </row>
    <row r="1758" spans="1:15" x14ac:dyDescent="0.25">
      <c r="A1758" s="765"/>
      <c r="B1758" s="624"/>
      <c r="C1758" s="1061"/>
      <c r="D1758" s="1061"/>
      <c r="E1758" s="1061"/>
      <c r="F1758" s="1061"/>
      <c r="G1758" s="1061"/>
      <c r="H1758" s="1061"/>
      <c r="I1758" s="1061"/>
      <c r="J1758" s="1061"/>
      <c r="K1758" s="1061"/>
      <c r="L1758" s="1061"/>
      <c r="M1758" s="1061"/>
      <c r="N1758" s="1061"/>
      <c r="O1758" s="626"/>
    </row>
    <row r="1759" spans="1:15" x14ac:dyDescent="0.25">
      <c r="A1759" s="765"/>
      <c r="B1759" s="624"/>
      <c r="C1759" s="1061"/>
      <c r="D1759" s="1061"/>
      <c r="E1759" s="1061"/>
      <c r="F1759" s="1061"/>
      <c r="G1759" s="1061"/>
      <c r="H1759" s="1061"/>
      <c r="I1759" s="1061"/>
      <c r="J1759" s="1061"/>
      <c r="K1759" s="1061"/>
      <c r="L1759" s="1061"/>
      <c r="M1759" s="1061"/>
      <c r="N1759" s="1061"/>
      <c r="O1759" s="626"/>
    </row>
    <row r="1760" spans="1:15" x14ac:dyDescent="0.25">
      <c r="A1760" s="765"/>
      <c r="B1760" s="624"/>
      <c r="C1760" s="1061"/>
      <c r="D1760" s="1061"/>
      <c r="E1760" s="1061"/>
      <c r="F1760" s="1061"/>
      <c r="G1760" s="1061"/>
      <c r="H1760" s="1061"/>
      <c r="I1760" s="1061"/>
      <c r="J1760" s="1061"/>
      <c r="K1760" s="1061"/>
      <c r="L1760" s="1061"/>
      <c r="M1760" s="1061"/>
      <c r="N1760" s="1061"/>
      <c r="O1760" s="626"/>
    </row>
    <row r="1761" spans="1:15" x14ac:dyDescent="0.25">
      <c r="A1761" s="765"/>
      <c r="B1761" s="624"/>
      <c r="C1761" s="1061"/>
      <c r="D1761" s="1061"/>
      <c r="E1761" s="1061"/>
      <c r="F1761" s="1061"/>
      <c r="G1761" s="1061"/>
      <c r="H1761" s="1061"/>
      <c r="I1761" s="1061"/>
      <c r="J1761" s="1061"/>
      <c r="K1761" s="1061"/>
      <c r="L1761" s="1061"/>
      <c r="M1761" s="1061"/>
      <c r="N1761" s="1061"/>
      <c r="O1761" s="626"/>
    </row>
    <row r="1762" spans="1:15" x14ac:dyDescent="0.25">
      <c r="A1762" s="765"/>
      <c r="B1762" s="624"/>
      <c r="C1762" s="1061"/>
      <c r="D1762" s="1061"/>
      <c r="E1762" s="1061"/>
      <c r="F1762" s="1061"/>
      <c r="G1762" s="1061"/>
      <c r="H1762" s="1061"/>
      <c r="I1762" s="1061"/>
      <c r="J1762" s="1061"/>
      <c r="K1762" s="1061"/>
      <c r="L1762" s="1061"/>
      <c r="M1762" s="1061"/>
      <c r="N1762" s="1061"/>
      <c r="O1762" s="626"/>
    </row>
    <row r="1763" spans="1:15" x14ac:dyDescent="0.25">
      <c r="A1763" s="765"/>
      <c r="B1763" s="624"/>
      <c r="C1763" s="1061"/>
      <c r="D1763" s="1061"/>
      <c r="E1763" s="1061"/>
      <c r="F1763" s="1061"/>
      <c r="G1763" s="1061"/>
      <c r="H1763" s="1061"/>
      <c r="I1763" s="1061"/>
      <c r="J1763" s="1061"/>
      <c r="K1763" s="1061"/>
      <c r="L1763" s="1061"/>
      <c r="M1763" s="1061"/>
      <c r="N1763" s="1061"/>
      <c r="O1763" s="626"/>
    </row>
    <row r="1764" spans="1:15" x14ac:dyDescent="0.25">
      <c r="A1764" s="765"/>
      <c r="B1764" s="624"/>
      <c r="C1764" s="1061"/>
      <c r="D1764" s="1061"/>
      <c r="E1764" s="1061"/>
      <c r="F1764" s="1061"/>
      <c r="G1764" s="1061"/>
      <c r="H1764" s="1061"/>
      <c r="I1764" s="1061"/>
      <c r="J1764" s="1061"/>
      <c r="K1764" s="1061"/>
      <c r="L1764" s="1061"/>
      <c r="M1764" s="1061"/>
      <c r="N1764" s="1061"/>
      <c r="O1764" s="626"/>
    </row>
    <row r="1765" spans="1:15" x14ac:dyDescent="0.25">
      <c r="A1765" s="765"/>
      <c r="B1765" s="624"/>
      <c r="C1765" s="1061"/>
      <c r="D1765" s="1061"/>
      <c r="E1765" s="1061"/>
      <c r="F1765" s="1061"/>
      <c r="G1765" s="1061"/>
      <c r="H1765" s="1061"/>
      <c r="I1765" s="1061"/>
      <c r="J1765" s="1061"/>
      <c r="K1765" s="1061"/>
      <c r="L1765" s="1061"/>
      <c r="M1765" s="1061"/>
      <c r="N1765" s="1061"/>
      <c r="O1765" s="626"/>
    </row>
    <row r="1766" spans="1:15" x14ac:dyDescent="0.25">
      <c r="A1766" s="765"/>
      <c r="B1766" s="624"/>
      <c r="C1766" s="1061"/>
      <c r="D1766" s="1061"/>
      <c r="E1766" s="1061"/>
      <c r="F1766" s="1061"/>
      <c r="G1766" s="1061"/>
      <c r="H1766" s="1061"/>
      <c r="I1766" s="1061"/>
      <c r="J1766" s="1061"/>
      <c r="K1766" s="1061"/>
      <c r="L1766" s="1061"/>
      <c r="M1766" s="1061"/>
      <c r="N1766" s="1061"/>
      <c r="O1766" s="626"/>
    </row>
    <row r="1767" spans="1:15" x14ac:dyDescent="0.25">
      <c r="A1767" s="765"/>
      <c r="B1767" s="624"/>
      <c r="C1767" s="1061"/>
      <c r="D1767" s="1061"/>
      <c r="E1767" s="1061"/>
      <c r="F1767" s="1061"/>
      <c r="G1767" s="1061"/>
      <c r="H1767" s="1061"/>
      <c r="I1767" s="1061"/>
      <c r="J1767" s="1061"/>
      <c r="K1767" s="1061"/>
      <c r="L1767" s="1061"/>
      <c r="M1767" s="1061"/>
      <c r="N1767" s="1061"/>
      <c r="O1767" s="626"/>
    </row>
    <row r="1768" spans="1:15" x14ac:dyDescent="0.25">
      <c r="A1768" s="765"/>
      <c r="B1768" s="624"/>
      <c r="C1768" s="1061"/>
      <c r="D1768" s="1061"/>
      <c r="E1768" s="1061"/>
      <c r="F1768" s="1061"/>
      <c r="G1768" s="1061"/>
      <c r="H1768" s="1061"/>
      <c r="I1768" s="1061"/>
      <c r="J1768" s="1061"/>
      <c r="K1768" s="1061"/>
      <c r="L1768" s="1061"/>
      <c r="M1768" s="1061"/>
      <c r="N1768" s="1061"/>
      <c r="O1768" s="626"/>
    </row>
    <row r="1769" spans="1:15" x14ac:dyDescent="0.25">
      <c r="A1769" s="765"/>
      <c r="B1769" s="624"/>
      <c r="C1769" s="1061"/>
      <c r="D1769" s="1061"/>
      <c r="E1769" s="1061"/>
      <c r="F1769" s="1061"/>
      <c r="G1769" s="1061"/>
      <c r="H1769" s="1061"/>
      <c r="I1769" s="1061"/>
      <c r="J1769" s="1061"/>
      <c r="K1769" s="1061"/>
      <c r="L1769" s="1061"/>
      <c r="M1769" s="1061"/>
      <c r="N1769" s="1061"/>
      <c r="O1769" s="626"/>
    </row>
    <row r="1770" spans="1:15" x14ac:dyDescent="0.25">
      <c r="A1770" s="765"/>
      <c r="B1770" s="624"/>
      <c r="C1770" s="1061"/>
      <c r="D1770" s="1061"/>
      <c r="E1770" s="1061"/>
      <c r="F1770" s="1061"/>
      <c r="G1770" s="1061"/>
      <c r="H1770" s="1061"/>
      <c r="I1770" s="1061"/>
      <c r="J1770" s="1061"/>
      <c r="K1770" s="1061"/>
      <c r="L1770" s="1061"/>
      <c r="M1770" s="1061"/>
      <c r="N1770" s="1061"/>
      <c r="O1770" s="626"/>
    </row>
    <row r="1771" spans="1:15" x14ac:dyDescent="0.25">
      <c r="A1771" s="765"/>
      <c r="B1771" s="624"/>
      <c r="C1771" s="1061"/>
      <c r="D1771" s="1061"/>
      <c r="E1771" s="1061"/>
      <c r="F1771" s="1061"/>
      <c r="G1771" s="1061"/>
      <c r="H1771" s="1061"/>
      <c r="I1771" s="1061"/>
      <c r="J1771" s="1061"/>
      <c r="K1771" s="1061"/>
      <c r="L1771" s="1061"/>
      <c r="M1771" s="1061"/>
      <c r="N1771" s="1061"/>
      <c r="O1771" s="626"/>
    </row>
    <row r="1772" spans="1:15" x14ac:dyDescent="0.25">
      <c r="A1772" s="765"/>
      <c r="B1772" s="624"/>
      <c r="C1772" s="1061"/>
      <c r="D1772" s="1061"/>
      <c r="E1772" s="1061"/>
      <c r="F1772" s="1061"/>
      <c r="G1772" s="1061"/>
      <c r="H1772" s="1061"/>
      <c r="I1772" s="1061"/>
      <c r="J1772" s="1061"/>
      <c r="K1772" s="1061"/>
      <c r="L1772" s="1061"/>
      <c r="M1772" s="1061"/>
      <c r="N1772" s="1061"/>
      <c r="O1772" s="626"/>
    </row>
    <row r="1773" spans="1:15" x14ac:dyDescent="0.25">
      <c r="A1773" s="765"/>
      <c r="B1773" s="624"/>
      <c r="C1773" s="1061"/>
      <c r="D1773" s="1061"/>
      <c r="E1773" s="1061"/>
      <c r="F1773" s="1061"/>
      <c r="G1773" s="1061"/>
      <c r="H1773" s="1061"/>
      <c r="I1773" s="1061"/>
      <c r="J1773" s="1061"/>
      <c r="K1773" s="1061"/>
      <c r="L1773" s="1061"/>
      <c r="M1773" s="1061"/>
      <c r="N1773" s="1061"/>
      <c r="O1773" s="626"/>
    </row>
    <row r="1774" spans="1:15" x14ac:dyDescent="0.25">
      <c r="A1774" s="765"/>
      <c r="B1774" s="624"/>
      <c r="C1774" s="1061"/>
      <c r="D1774" s="1061"/>
      <c r="E1774" s="1061"/>
      <c r="F1774" s="1061"/>
      <c r="G1774" s="1061"/>
      <c r="H1774" s="1061"/>
      <c r="I1774" s="1061"/>
      <c r="J1774" s="1061"/>
      <c r="K1774" s="1061"/>
      <c r="L1774" s="1061"/>
      <c r="M1774" s="1061"/>
      <c r="N1774" s="1061"/>
      <c r="O1774" s="626"/>
    </row>
    <row r="1775" spans="1:15" x14ac:dyDescent="0.25">
      <c r="A1775" s="765"/>
      <c r="B1775" s="624"/>
      <c r="C1775" s="1061"/>
      <c r="D1775" s="1061"/>
      <c r="E1775" s="1061"/>
      <c r="F1775" s="1061"/>
      <c r="G1775" s="1061"/>
      <c r="H1775" s="1061"/>
      <c r="I1775" s="1061"/>
      <c r="J1775" s="1061"/>
      <c r="K1775" s="1061"/>
      <c r="L1775" s="1061"/>
      <c r="M1775" s="1061"/>
      <c r="N1775" s="1061"/>
      <c r="O1775" s="626"/>
    </row>
    <row r="1776" spans="1:15" x14ac:dyDescent="0.25">
      <c r="A1776" s="765"/>
      <c r="B1776" s="624"/>
      <c r="C1776" s="1061"/>
      <c r="D1776" s="1061"/>
      <c r="E1776" s="1061"/>
      <c r="F1776" s="1061"/>
      <c r="G1776" s="1061"/>
      <c r="H1776" s="1061"/>
      <c r="I1776" s="1061"/>
      <c r="J1776" s="1061"/>
      <c r="K1776" s="1061"/>
      <c r="L1776" s="1061"/>
      <c r="M1776" s="1061"/>
      <c r="N1776" s="1061"/>
      <c r="O1776" s="626"/>
    </row>
    <row r="1777" spans="1:15" x14ac:dyDescent="0.25">
      <c r="A1777" s="765"/>
      <c r="B1777" s="624"/>
      <c r="C1777" s="1061"/>
      <c r="D1777" s="1061"/>
      <c r="E1777" s="1061"/>
      <c r="F1777" s="1061"/>
      <c r="G1777" s="1061"/>
      <c r="H1777" s="1061"/>
      <c r="I1777" s="1061"/>
      <c r="J1777" s="1061"/>
      <c r="K1777" s="1061"/>
      <c r="L1777" s="1061"/>
      <c r="M1777" s="1061"/>
      <c r="N1777" s="1061"/>
      <c r="O1777" s="626"/>
    </row>
    <row r="1778" spans="1:15" x14ac:dyDescent="0.25">
      <c r="A1778" s="765"/>
      <c r="B1778" s="624"/>
      <c r="C1778" s="1061"/>
      <c r="D1778" s="1061"/>
      <c r="E1778" s="1061"/>
      <c r="F1778" s="1061"/>
      <c r="G1778" s="1061"/>
      <c r="H1778" s="1061"/>
      <c r="I1778" s="1061"/>
      <c r="J1778" s="1061"/>
      <c r="K1778" s="1061"/>
      <c r="L1778" s="1061"/>
      <c r="M1778" s="1061"/>
      <c r="N1778" s="1061"/>
      <c r="O1778" s="626"/>
    </row>
    <row r="1779" spans="1:15" x14ac:dyDescent="0.25">
      <c r="A1779" s="765"/>
      <c r="B1779" s="624"/>
      <c r="C1779" s="1061"/>
      <c r="D1779" s="1061"/>
      <c r="E1779" s="1061"/>
      <c r="F1779" s="1061"/>
      <c r="G1779" s="1061"/>
      <c r="H1779" s="1061"/>
      <c r="I1779" s="1061"/>
      <c r="J1779" s="1061"/>
      <c r="K1779" s="1061"/>
      <c r="L1779" s="1061"/>
      <c r="M1779" s="1061"/>
      <c r="N1779" s="1061"/>
      <c r="O1779" s="626"/>
    </row>
    <row r="1780" spans="1:15" x14ac:dyDescent="0.25">
      <c r="A1780" s="765"/>
      <c r="B1780" s="624"/>
      <c r="C1780" s="1061"/>
      <c r="D1780" s="1061"/>
      <c r="E1780" s="1061"/>
      <c r="F1780" s="1061"/>
      <c r="G1780" s="1061"/>
      <c r="H1780" s="1061"/>
      <c r="I1780" s="1061"/>
      <c r="J1780" s="1061"/>
      <c r="K1780" s="1061"/>
      <c r="L1780" s="1061"/>
      <c r="M1780" s="1061"/>
      <c r="N1780" s="1061"/>
      <c r="O1780" s="626"/>
    </row>
    <row r="1781" spans="1:15" x14ac:dyDescent="0.25">
      <c r="A1781" s="765"/>
      <c r="B1781" s="624"/>
      <c r="C1781" s="1061"/>
      <c r="D1781" s="1061"/>
      <c r="E1781" s="1061"/>
      <c r="F1781" s="1061"/>
      <c r="G1781" s="1061"/>
      <c r="H1781" s="1061"/>
      <c r="I1781" s="1061"/>
      <c r="J1781" s="1061"/>
      <c r="K1781" s="1061"/>
      <c r="L1781" s="1061"/>
      <c r="M1781" s="1061"/>
      <c r="N1781" s="1061"/>
      <c r="O1781" s="626"/>
    </row>
    <row r="1782" spans="1:15" x14ac:dyDescent="0.25">
      <c r="A1782" s="765"/>
      <c r="B1782" s="624"/>
      <c r="C1782" s="1061"/>
      <c r="D1782" s="1061"/>
      <c r="E1782" s="1061"/>
      <c r="F1782" s="1061"/>
      <c r="G1782" s="1061"/>
      <c r="H1782" s="1061"/>
      <c r="I1782" s="1061"/>
      <c r="J1782" s="1061"/>
      <c r="K1782" s="1061"/>
      <c r="L1782" s="1061"/>
      <c r="M1782" s="1061"/>
      <c r="N1782" s="1061"/>
      <c r="O1782" s="626"/>
    </row>
    <row r="1783" spans="1:15" x14ac:dyDescent="0.25">
      <c r="A1783" s="765"/>
      <c r="B1783" s="624"/>
      <c r="C1783" s="1061"/>
      <c r="D1783" s="1061"/>
      <c r="E1783" s="1061"/>
      <c r="F1783" s="1061"/>
      <c r="G1783" s="1061"/>
      <c r="H1783" s="1061"/>
      <c r="I1783" s="1061"/>
      <c r="J1783" s="1061"/>
      <c r="K1783" s="1061"/>
      <c r="L1783" s="1061"/>
      <c r="M1783" s="1061"/>
      <c r="N1783" s="1061"/>
      <c r="O1783" s="626"/>
    </row>
    <row r="1784" spans="1:15" x14ac:dyDescent="0.25">
      <c r="A1784" s="765"/>
      <c r="B1784" s="624"/>
      <c r="C1784" s="1061"/>
      <c r="D1784" s="1061"/>
      <c r="E1784" s="1061"/>
      <c r="F1784" s="1061"/>
      <c r="G1784" s="1061"/>
      <c r="H1784" s="1061"/>
      <c r="I1784" s="1061"/>
      <c r="J1784" s="1061"/>
      <c r="K1784" s="1061"/>
      <c r="L1784" s="1061"/>
      <c r="M1784" s="1061"/>
      <c r="N1784" s="1061"/>
      <c r="O1784" s="626"/>
    </row>
    <row r="1785" spans="1:15" x14ac:dyDescent="0.25">
      <c r="A1785" s="765"/>
      <c r="B1785" s="624"/>
      <c r="C1785" s="1061"/>
      <c r="D1785" s="1061"/>
      <c r="E1785" s="1061"/>
      <c r="F1785" s="1061"/>
      <c r="G1785" s="1061"/>
      <c r="H1785" s="1061"/>
      <c r="I1785" s="1061"/>
      <c r="J1785" s="1061"/>
      <c r="K1785" s="1061"/>
      <c r="L1785" s="1061"/>
      <c r="M1785" s="1061"/>
      <c r="N1785" s="1061"/>
      <c r="O1785" s="626"/>
    </row>
    <row r="1786" spans="1:15" x14ac:dyDescent="0.25">
      <c r="A1786" s="765"/>
      <c r="B1786" s="624"/>
      <c r="C1786" s="1061"/>
      <c r="D1786" s="1061"/>
      <c r="E1786" s="1061"/>
      <c r="F1786" s="1061"/>
      <c r="G1786" s="1061"/>
      <c r="H1786" s="1061"/>
      <c r="I1786" s="1061"/>
      <c r="J1786" s="1061"/>
      <c r="K1786" s="1061"/>
      <c r="L1786" s="1061"/>
      <c r="M1786" s="1061"/>
      <c r="N1786" s="1061"/>
      <c r="O1786" s="626"/>
    </row>
    <row r="1787" spans="1:15" x14ac:dyDescent="0.25">
      <c r="A1787" s="765"/>
      <c r="B1787" s="624"/>
      <c r="C1787" s="1061"/>
      <c r="D1787" s="1061"/>
      <c r="E1787" s="1061"/>
      <c r="F1787" s="1061"/>
      <c r="G1787" s="1061"/>
      <c r="H1787" s="1061"/>
      <c r="I1787" s="1061"/>
      <c r="J1787" s="1061"/>
      <c r="K1787" s="1061"/>
      <c r="L1787" s="1061"/>
      <c r="M1787" s="1061"/>
      <c r="N1787" s="1061"/>
      <c r="O1787" s="626"/>
    </row>
    <row r="1788" spans="1:15" x14ac:dyDescent="0.25">
      <c r="A1788" s="765"/>
      <c r="B1788" s="624"/>
      <c r="C1788" s="1061"/>
      <c r="D1788" s="1061"/>
      <c r="E1788" s="1061"/>
      <c r="F1788" s="1061"/>
      <c r="G1788" s="1061"/>
      <c r="H1788" s="1061"/>
      <c r="I1788" s="1061"/>
      <c r="J1788" s="1061"/>
      <c r="K1788" s="1061"/>
      <c r="L1788" s="1061"/>
      <c r="M1788" s="1061"/>
      <c r="N1788" s="1061"/>
      <c r="O1788" s="626"/>
    </row>
    <row r="1789" spans="1:15" x14ac:dyDescent="0.25">
      <c r="A1789" s="765"/>
      <c r="B1789" s="624"/>
      <c r="C1789" s="1061"/>
      <c r="D1789" s="1061"/>
      <c r="E1789" s="1061"/>
      <c r="F1789" s="1061"/>
      <c r="G1789" s="1061"/>
      <c r="H1789" s="1061"/>
      <c r="I1789" s="1061"/>
      <c r="J1789" s="1061"/>
      <c r="K1789" s="1061"/>
      <c r="L1789" s="1061"/>
      <c r="M1789" s="1061"/>
      <c r="N1789" s="1061"/>
      <c r="O1789" s="626"/>
    </row>
    <row r="1790" spans="1:15" x14ac:dyDescent="0.25">
      <c r="A1790" s="765"/>
      <c r="B1790" s="624"/>
      <c r="C1790" s="1061"/>
      <c r="D1790" s="1061"/>
      <c r="E1790" s="1061"/>
      <c r="F1790" s="1061"/>
      <c r="G1790" s="1061"/>
      <c r="H1790" s="1061"/>
      <c r="I1790" s="1061"/>
      <c r="J1790" s="1061"/>
      <c r="K1790" s="1061"/>
      <c r="L1790" s="1061"/>
      <c r="M1790" s="1061"/>
      <c r="N1790" s="1061"/>
      <c r="O1790" s="626"/>
    </row>
    <row r="1791" spans="1:15" x14ac:dyDescent="0.25">
      <c r="A1791" s="765"/>
      <c r="B1791" s="624"/>
      <c r="C1791" s="1061"/>
      <c r="D1791" s="1061"/>
      <c r="E1791" s="1061"/>
      <c r="F1791" s="1061"/>
      <c r="G1791" s="1061"/>
      <c r="H1791" s="1061"/>
      <c r="I1791" s="1061"/>
      <c r="J1791" s="1061"/>
      <c r="K1791" s="1061"/>
      <c r="L1791" s="1061"/>
      <c r="M1791" s="1061"/>
      <c r="N1791" s="1061"/>
      <c r="O1791" s="626"/>
    </row>
    <row r="1792" spans="1:15" x14ac:dyDescent="0.25">
      <c r="A1792" s="765"/>
      <c r="B1792" s="624"/>
      <c r="C1792" s="1061"/>
      <c r="D1792" s="1061"/>
      <c r="E1792" s="1061"/>
      <c r="F1792" s="1061"/>
      <c r="G1792" s="1061"/>
      <c r="H1792" s="1061"/>
      <c r="I1792" s="1061"/>
      <c r="J1792" s="1061"/>
      <c r="K1792" s="1061"/>
      <c r="L1792" s="1061"/>
      <c r="M1792" s="1061"/>
      <c r="N1792" s="1061"/>
      <c r="O1792" s="626"/>
    </row>
    <row r="1793" spans="1:15" x14ac:dyDescent="0.25">
      <c r="A1793" s="765"/>
      <c r="B1793" s="624"/>
      <c r="C1793" s="1061"/>
      <c r="D1793" s="1061"/>
      <c r="E1793" s="1061"/>
      <c r="F1793" s="1061"/>
      <c r="G1793" s="1061"/>
      <c r="H1793" s="1061"/>
      <c r="I1793" s="1061"/>
      <c r="J1793" s="1061"/>
      <c r="K1793" s="1061"/>
      <c r="L1793" s="1061"/>
      <c r="M1793" s="1061"/>
      <c r="N1793" s="1061"/>
      <c r="O1793" s="626"/>
    </row>
    <row r="1794" spans="1:15" x14ac:dyDescent="0.25">
      <c r="A1794" s="765"/>
      <c r="B1794" s="624"/>
      <c r="C1794" s="1061"/>
      <c r="D1794" s="1061"/>
      <c r="E1794" s="1061"/>
      <c r="F1794" s="1061"/>
      <c r="G1794" s="1061"/>
      <c r="H1794" s="1061"/>
      <c r="I1794" s="1061"/>
      <c r="J1794" s="1061"/>
      <c r="K1794" s="1061"/>
      <c r="L1794" s="1061"/>
      <c r="M1794" s="1061"/>
      <c r="N1794" s="1061"/>
      <c r="O1794" s="626"/>
    </row>
    <row r="1795" spans="1:15" x14ac:dyDescent="0.25">
      <c r="A1795" s="765"/>
      <c r="B1795" s="624"/>
      <c r="C1795" s="1061"/>
      <c r="D1795" s="1061"/>
      <c r="E1795" s="1061"/>
      <c r="F1795" s="1061"/>
      <c r="G1795" s="1061"/>
      <c r="H1795" s="1061"/>
      <c r="I1795" s="1061"/>
      <c r="J1795" s="1061"/>
      <c r="K1795" s="1061"/>
      <c r="L1795" s="1061"/>
      <c r="M1795" s="1061"/>
      <c r="N1795" s="1061"/>
      <c r="O1795" s="626"/>
    </row>
    <row r="1796" spans="1:15" x14ac:dyDescent="0.25">
      <c r="A1796" s="765"/>
      <c r="B1796" s="624"/>
      <c r="C1796" s="1061"/>
      <c r="D1796" s="1061"/>
      <c r="E1796" s="1061"/>
      <c r="F1796" s="1061"/>
      <c r="G1796" s="1061"/>
      <c r="H1796" s="1061"/>
      <c r="I1796" s="1061"/>
      <c r="J1796" s="1061"/>
      <c r="K1796" s="1061"/>
      <c r="L1796" s="1061"/>
      <c r="M1796" s="1061"/>
      <c r="N1796" s="1061"/>
      <c r="O1796" s="626"/>
    </row>
    <row r="1797" spans="1:15" x14ac:dyDescent="0.25">
      <c r="A1797" s="765"/>
      <c r="B1797" s="624"/>
      <c r="C1797" s="1061"/>
      <c r="D1797" s="1061"/>
      <c r="E1797" s="1061"/>
      <c r="F1797" s="1061"/>
      <c r="G1797" s="1061"/>
      <c r="H1797" s="1061"/>
      <c r="I1797" s="1061"/>
      <c r="J1797" s="1061"/>
      <c r="K1797" s="1061"/>
      <c r="L1797" s="1061"/>
      <c r="M1797" s="1061"/>
      <c r="N1797" s="1061"/>
      <c r="O1797" s="626"/>
    </row>
    <row r="1798" spans="1:15" x14ac:dyDescent="0.25">
      <c r="A1798" s="765"/>
      <c r="B1798" s="624"/>
      <c r="C1798" s="1061"/>
      <c r="D1798" s="1061"/>
      <c r="E1798" s="1061"/>
      <c r="F1798" s="1061"/>
      <c r="G1798" s="1061"/>
      <c r="H1798" s="1061"/>
      <c r="I1798" s="1061"/>
      <c r="J1798" s="1061"/>
      <c r="K1798" s="1061"/>
      <c r="L1798" s="1061"/>
      <c r="M1798" s="1061"/>
      <c r="N1798" s="1061"/>
      <c r="O1798" s="626"/>
    </row>
    <row r="1799" spans="1:15" x14ac:dyDescent="0.25">
      <c r="A1799" s="765"/>
      <c r="B1799" s="624"/>
      <c r="C1799" s="1061"/>
      <c r="D1799" s="1061"/>
      <c r="E1799" s="1061"/>
      <c r="F1799" s="1061"/>
      <c r="G1799" s="1061"/>
      <c r="H1799" s="1061"/>
      <c r="I1799" s="1061"/>
      <c r="J1799" s="1061"/>
      <c r="K1799" s="1061"/>
      <c r="L1799" s="1061"/>
      <c r="M1799" s="1061"/>
      <c r="N1799" s="1061"/>
      <c r="O1799" s="626"/>
    </row>
    <row r="1800" spans="1:15" x14ac:dyDescent="0.25">
      <c r="A1800" s="765"/>
      <c r="B1800" s="624"/>
      <c r="C1800" s="1061"/>
      <c r="D1800" s="1061"/>
      <c r="E1800" s="1061"/>
      <c r="F1800" s="1061"/>
      <c r="G1800" s="1061"/>
      <c r="H1800" s="1061"/>
      <c r="I1800" s="1061"/>
      <c r="J1800" s="1061"/>
      <c r="K1800" s="1061"/>
      <c r="L1800" s="1061"/>
      <c r="M1800" s="1061"/>
      <c r="N1800" s="1061"/>
      <c r="O1800" s="626"/>
    </row>
    <row r="1801" spans="1:15" x14ac:dyDescent="0.25">
      <c r="A1801" s="765"/>
      <c r="B1801" s="624"/>
      <c r="C1801" s="1061"/>
      <c r="D1801" s="1061"/>
      <c r="E1801" s="1061"/>
      <c r="F1801" s="1061"/>
      <c r="G1801" s="1061"/>
      <c r="H1801" s="1061"/>
      <c r="I1801" s="1061"/>
      <c r="J1801" s="1061"/>
      <c r="K1801" s="1061"/>
      <c r="L1801" s="1061"/>
      <c r="M1801" s="1061"/>
      <c r="N1801" s="1061"/>
      <c r="O1801" s="626"/>
    </row>
    <row r="1802" spans="1:15" x14ac:dyDescent="0.25">
      <c r="A1802" s="765"/>
      <c r="B1802" s="624"/>
      <c r="C1802" s="1061"/>
      <c r="D1802" s="1061"/>
      <c r="E1802" s="1061"/>
      <c r="F1802" s="1061"/>
      <c r="G1802" s="1061"/>
      <c r="H1802" s="1061"/>
      <c r="I1802" s="1061"/>
      <c r="J1802" s="1061"/>
      <c r="K1802" s="1061"/>
      <c r="L1802" s="1061"/>
      <c r="M1802" s="1061"/>
      <c r="N1802" s="1061"/>
      <c r="O1802" s="626"/>
    </row>
    <row r="1803" spans="1:15" x14ac:dyDescent="0.25">
      <c r="A1803" s="765"/>
      <c r="B1803" s="624"/>
      <c r="C1803" s="1061"/>
      <c r="D1803" s="1061"/>
      <c r="E1803" s="1061"/>
      <c r="F1803" s="1061"/>
      <c r="G1803" s="1061"/>
      <c r="H1803" s="1061"/>
      <c r="I1803" s="1061"/>
      <c r="J1803" s="1061"/>
      <c r="K1803" s="1061"/>
      <c r="L1803" s="1061"/>
      <c r="M1803" s="1061"/>
      <c r="N1803" s="1061"/>
      <c r="O1803" s="626"/>
    </row>
    <row r="1804" spans="1:15" x14ac:dyDescent="0.25">
      <c r="A1804" s="765"/>
      <c r="B1804" s="624"/>
      <c r="C1804" s="1061"/>
      <c r="D1804" s="1061"/>
      <c r="E1804" s="1061"/>
      <c r="F1804" s="1061"/>
      <c r="G1804" s="1061"/>
      <c r="H1804" s="1061"/>
      <c r="I1804" s="1061"/>
      <c r="J1804" s="1061"/>
      <c r="K1804" s="1061"/>
      <c r="L1804" s="1061"/>
      <c r="M1804" s="1061"/>
      <c r="N1804" s="1061"/>
      <c r="O1804" s="626"/>
    </row>
    <row r="1805" spans="1:15" x14ac:dyDescent="0.25">
      <c r="A1805" s="765"/>
      <c r="B1805" s="624"/>
      <c r="C1805" s="1061"/>
      <c r="D1805" s="1061"/>
      <c r="E1805" s="1061"/>
      <c r="F1805" s="1061"/>
      <c r="G1805" s="1061"/>
      <c r="H1805" s="1061"/>
      <c r="I1805" s="1061"/>
      <c r="J1805" s="1061"/>
      <c r="K1805" s="1061"/>
      <c r="L1805" s="1061"/>
      <c r="M1805" s="1061"/>
      <c r="N1805" s="1061"/>
      <c r="O1805" s="626"/>
    </row>
    <row r="1806" spans="1:15" x14ac:dyDescent="0.25">
      <c r="A1806" s="765"/>
      <c r="B1806" s="624"/>
      <c r="C1806" s="1061"/>
      <c r="D1806" s="1061"/>
      <c r="E1806" s="1061"/>
      <c r="F1806" s="1061"/>
      <c r="G1806" s="1061"/>
      <c r="H1806" s="1061"/>
      <c r="I1806" s="1061"/>
      <c r="J1806" s="1061"/>
      <c r="K1806" s="1061"/>
      <c r="L1806" s="1061"/>
      <c r="M1806" s="1061"/>
      <c r="N1806" s="1061"/>
      <c r="O1806" s="626"/>
    </row>
    <row r="1807" spans="1:15" x14ac:dyDescent="0.25">
      <c r="A1807" s="765"/>
      <c r="B1807" s="624"/>
      <c r="C1807" s="1061"/>
      <c r="D1807" s="1061"/>
      <c r="E1807" s="1061"/>
      <c r="F1807" s="1061"/>
      <c r="G1807" s="1061"/>
      <c r="H1807" s="1061"/>
      <c r="I1807" s="1061"/>
      <c r="J1807" s="1061"/>
      <c r="K1807" s="1061"/>
      <c r="L1807" s="1061"/>
      <c r="M1807" s="1061"/>
      <c r="N1807" s="1061"/>
      <c r="O1807" s="626"/>
    </row>
    <row r="1808" spans="1:15" x14ac:dyDescent="0.25">
      <c r="A1808" s="765"/>
      <c r="B1808" s="624"/>
      <c r="C1808" s="1061"/>
      <c r="D1808" s="1061"/>
      <c r="E1808" s="1061"/>
      <c r="F1808" s="1061"/>
      <c r="G1808" s="1061"/>
      <c r="H1808" s="1061"/>
      <c r="I1808" s="1061"/>
      <c r="J1808" s="1061"/>
      <c r="K1808" s="1061"/>
      <c r="L1808" s="1061"/>
      <c r="M1808" s="1061"/>
      <c r="N1808" s="1061"/>
      <c r="O1808" s="626"/>
    </row>
    <row r="1809" spans="1:15" x14ac:dyDescent="0.25">
      <c r="A1809" s="765"/>
      <c r="B1809" s="624"/>
      <c r="C1809" s="1061"/>
      <c r="D1809" s="1061"/>
      <c r="E1809" s="1061"/>
      <c r="F1809" s="1061"/>
      <c r="G1809" s="1061"/>
      <c r="H1809" s="1061"/>
      <c r="I1809" s="1061"/>
      <c r="J1809" s="1061"/>
      <c r="K1809" s="1061"/>
      <c r="L1809" s="1061"/>
      <c r="M1809" s="1061"/>
      <c r="N1809" s="1061"/>
      <c r="O1809" s="626"/>
    </row>
    <row r="1810" spans="1:15" x14ac:dyDescent="0.25">
      <c r="A1810" s="765"/>
      <c r="B1810" s="624"/>
      <c r="C1810" s="1061"/>
      <c r="D1810" s="1061"/>
      <c r="E1810" s="1061"/>
      <c r="F1810" s="1061"/>
      <c r="G1810" s="1061"/>
      <c r="H1810" s="1061"/>
      <c r="I1810" s="1061"/>
      <c r="J1810" s="1061"/>
      <c r="K1810" s="1061"/>
      <c r="L1810" s="1061"/>
      <c r="M1810" s="1061"/>
      <c r="N1810" s="1061"/>
      <c r="O1810" s="626"/>
    </row>
    <row r="1811" spans="1:15" x14ac:dyDescent="0.25">
      <c r="A1811" s="765"/>
      <c r="B1811" s="624"/>
      <c r="C1811" s="1061"/>
      <c r="D1811" s="1061"/>
      <c r="E1811" s="1061"/>
      <c r="F1811" s="1061"/>
      <c r="G1811" s="1061"/>
      <c r="H1811" s="1061"/>
      <c r="I1811" s="1061"/>
      <c r="J1811" s="1061"/>
      <c r="K1811" s="1061"/>
      <c r="L1811" s="1061"/>
      <c r="M1811" s="1061"/>
      <c r="N1811" s="1061"/>
      <c r="O1811" s="626"/>
    </row>
    <row r="1812" spans="1:15" x14ac:dyDescent="0.25">
      <c r="A1812" s="765"/>
      <c r="B1812" s="624"/>
      <c r="C1812" s="1061"/>
      <c r="D1812" s="1061"/>
      <c r="E1812" s="1061"/>
      <c r="F1812" s="1061"/>
      <c r="G1812" s="1061"/>
      <c r="H1812" s="1061"/>
      <c r="I1812" s="1061"/>
      <c r="J1812" s="1061"/>
      <c r="K1812" s="1061"/>
      <c r="L1812" s="1061"/>
      <c r="M1812" s="1061"/>
      <c r="N1812" s="1061"/>
      <c r="O1812" s="626"/>
    </row>
    <row r="1813" spans="1:15" x14ac:dyDescent="0.25">
      <c r="A1813" s="765"/>
      <c r="B1813" s="624"/>
      <c r="C1813" s="1061"/>
      <c r="D1813" s="1061"/>
      <c r="E1813" s="1061"/>
      <c r="F1813" s="1061"/>
      <c r="G1813" s="1061"/>
      <c r="H1813" s="1061"/>
      <c r="I1813" s="1061"/>
      <c r="J1813" s="1061"/>
      <c r="K1813" s="1061"/>
      <c r="L1813" s="1061"/>
      <c r="M1813" s="1061"/>
      <c r="N1813" s="1061"/>
      <c r="O1813" s="626"/>
    </row>
    <row r="1814" spans="1:15" x14ac:dyDescent="0.25">
      <c r="A1814" s="765"/>
      <c r="B1814" s="624"/>
      <c r="C1814" s="1061"/>
      <c r="D1814" s="1061"/>
      <c r="E1814" s="1061"/>
      <c r="F1814" s="1061"/>
      <c r="G1814" s="1061"/>
      <c r="H1814" s="1061"/>
      <c r="I1814" s="1061"/>
      <c r="J1814" s="1061"/>
      <c r="K1814" s="1061"/>
      <c r="L1814" s="1061"/>
      <c r="M1814" s="1061"/>
      <c r="N1814" s="1061"/>
      <c r="O1814" s="626"/>
    </row>
    <row r="1815" spans="1:15" x14ac:dyDescent="0.25">
      <c r="A1815" s="765"/>
      <c r="B1815" s="624"/>
      <c r="C1815" s="1061"/>
      <c r="D1815" s="1061"/>
      <c r="E1815" s="1061"/>
      <c r="F1815" s="1061"/>
      <c r="G1815" s="1061"/>
      <c r="H1815" s="1061"/>
      <c r="I1815" s="1061"/>
      <c r="J1815" s="1061"/>
      <c r="K1815" s="1061"/>
      <c r="L1815" s="1061"/>
      <c r="M1815" s="1061"/>
      <c r="N1815" s="1061"/>
      <c r="O1815" s="626"/>
    </row>
    <row r="1816" spans="1:15" x14ac:dyDescent="0.25">
      <c r="A1816" s="765"/>
      <c r="B1816" s="624"/>
      <c r="C1816" s="1061"/>
      <c r="D1816" s="1061"/>
      <c r="E1816" s="1061"/>
      <c r="F1816" s="1061"/>
      <c r="G1816" s="1061"/>
      <c r="H1816" s="1061"/>
      <c r="I1816" s="1061"/>
      <c r="J1816" s="1061"/>
      <c r="K1816" s="1061"/>
      <c r="L1816" s="1061"/>
      <c r="M1816" s="1061"/>
      <c r="N1816" s="1061"/>
      <c r="O1816" s="626"/>
    </row>
    <row r="1817" spans="1:15" x14ac:dyDescent="0.25">
      <c r="A1817" s="765"/>
      <c r="B1817" s="624"/>
      <c r="C1817" s="1061"/>
      <c r="D1817" s="1061"/>
      <c r="E1817" s="1061"/>
      <c r="F1817" s="1061"/>
      <c r="G1817" s="1061"/>
      <c r="H1817" s="1061"/>
      <c r="I1817" s="1061"/>
      <c r="J1817" s="1061"/>
      <c r="K1817" s="1061"/>
      <c r="L1817" s="1061"/>
      <c r="M1817" s="1061"/>
      <c r="N1817" s="1061"/>
      <c r="O1817" s="626"/>
    </row>
    <row r="1818" spans="1:15" x14ac:dyDescent="0.25">
      <c r="A1818" s="765"/>
      <c r="B1818" s="624"/>
      <c r="C1818" s="1061"/>
      <c r="D1818" s="1061"/>
      <c r="E1818" s="1061"/>
      <c r="F1818" s="1061"/>
      <c r="G1818" s="1061"/>
      <c r="H1818" s="1061"/>
      <c r="I1818" s="1061"/>
      <c r="J1818" s="1061"/>
      <c r="K1818" s="1061"/>
      <c r="L1818" s="1061"/>
      <c r="M1818" s="1061"/>
      <c r="N1818" s="1061"/>
      <c r="O1818" s="626"/>
    </row>
    <row r="1819" spans="1:15" x14ac:dyDescent="0.25">
      <c r="A1819" s="765"/>
      <c r="B1819" s="624"/>
      <c r="C1819" s="1061"/>
      <c r="D1819" s="1061"/>
      <c r="E1819" s="1061"/>
      <c r="F1819" s="1061"/>
      <c r="G1819" s="1061"/>
      <c r="H1819" s="1061"/>
      <c r="I1819" s="1061"/>
      <c r="J1819" s="1061"/>
      <c r="K1819" s="1061"/>
      <c r="L1819" s="1061"/>
      <c r="M1819" s="1061"/>
      <c r="N1819" s="1061"/>
      <c r="O1819" s="626"/>
    </row>
    <row r="1820" spans="1:15" x14ac:dyDescent="0.25">
      <c r="A1820" s="765"/>
      <c r="B1820" s="624"/>
      <c r="C1820" s="1061"/>
      <c r="D1820" s="1061"/>
      <c r="E1820" s="1061"/>
      <c r="F1820" s="1061"/>
      <c r="G1820" s="1061"/>
      <c r="H1820" s="1061"/>
      <c r="I1820" s="1061"/>
      <c r="J1820" s="1061"/>
      <c r="K1820" s="1061"/>
      <c r="L1820" s="1061"/>
      <c r="M1820" s="1061"/>
      <c r="N1820" s="1061"/>
      <c r="O1820" s="626"/>
    </row>
    <row r="1821" spans="1:15" x14ac:dyDescent="0.25">
      <c r="A1821" s="765"/>
      <c r="B1821" s="624"/>
      <c r="C1821" s="1061"/>
      <c r="D1821" s="1061"/>
      <c r="E1821" s="1061"/>
      <c r="F1821" s="1061"/>
      <c r="G1821" s="1061"/>
      <c r="H1821" s="1061"/>
      <c r="I1821" s="1061"/>
      <c r="J1821" s="1061"/>
      <c r="K1821" s="1061"/>
      <c r="L1821" s="1061"/>
      <c r="M1821" s="1061"/>
      <c r="N1821" s="1061"/>
      <c r="O1821" s="626"/>
    </row>
    <row r="1822" spans="1:15" x14ac:dyDescent="0.25">
      <c r="A1822" s="765"/>
      <c r="B1822" s="624"/>
      <c r="C1822" s="1061"/>
      <c r="D1822" s="1061"/>
      <c r="E1822" s="1061"/>
      <c r="F1822" s="1061"/>
      <c r="G1822" s="1061"/>
      <c r="H1822" s="1061"/>
      <c r="I1822" s="1061"/>
      <c r="J1822" s="1061"/>
      <c r="K1822" s="1061"/>
      <c r="L1822" s="1061"/>
      <c r="M1822" s="1061"/>
      <c r="N1822" s="1061"/>
      <c r="O1822" s="626"/>
    </row>
    <row r="1823" spans="1:15" x14ac:dyDescent="0.25">
      <c r="A1823" s="765"/>
      <c r="B1823" s="624"/>
      <c r="C1823" s="1061"/>
      <c r="D1823" s="1061"/>
      <c r="E1823" s="1061"/>
      <c r="F1823" s="1061"/>
      <c r="G1823" s="1061"/>
      <c r="H1823" s="1061"/>
      <c r="I1823" s="1061"/>
      <c r="J1823" s="1061"/>
      <c r="K1823" s="1061"/>
      <c r="L1823" s="1061"/>
      <c r="M1823" s="1061"/>
      <c r="N1823" s="1061"/>
      <c r="O1823" s="626"/>
    </row>
    <row r="1824" spans="1:15" x14ac:dyDescent="0.25">
      <c r="A1824" s="765"/>
      <c r="B1824" s="624"/>
      <c r="C1824" s="1061"/>
      <c r="D1824" s="1061"/>
      <c r="E1824" s="1061"/>
      <c r="F1824" s="1061"/>
      <c r="G1824" s="1061"/>
      <c r="H1824" s="1061"/>
      <c r="I1824" s="1061"/>
      <c r="J1824" s="1061"/>
      <c r="K1824" s="1061"/>
      <c r="L1824" s="1061"/>
      <c r="M1824" s="1061"/>
      <c r="N1824" s="1061"/>
      <c r="O1824" s="626"/>
    </row>
    <row r="1825" spans="1:15" x14ac:dyDescent="0.25">
      <c r="A1825" s="765"/>
      <c r="B1825" s="624"/>
      <c r="C1825" s="1061"/>
      <c r="D1825" s="1061"/>
      <c r="E1825" s="1061"/>
      <c r="F1825" s="1061"/>
      <c r="G1825" s="1061"/>
      <c r="H1825" s="1061"/>
      <c r="I1825" s="1061"/>
      <c r="J1825" s="1061"/>
      <c r="K1825" s="1061"/>
      <c r="L1825" s="1061"/>
      <c r="M1825" s="1061"/>
      <c r="N1825" s="1061"/>
      <c r="O1825" s="626"/>
    </row>
    <row r="1826" spans="1:15" x14ac:dyDescent="0.25">
      <c r="A1826" s="765"/>
      <c r="B1826" s="624"/>
      <c r="C1826" s="1061"/>
      <c r="D1826" s="1061"/>
      <c r="E1826" s="1061"/>
      <c r="F1826" s="1061"/>
      <c r="G1826" s="1061"/>
      <c r="H1826" s="1061"/>
      <c r="I1826" s="1061"/>
      <c r="J1826" s="1061"/>
      <c r="K1826" s="1061"/>
      <c r="L1826" s="1061"/>
      <c r="M1826" s="1061"/>
      <c r="N1826" s="1061"/>
      <c r="O1826" s="626"/>
    </row>
    <row r="1827" spans="1:15" x14ac:dyDescent="0.25">
      <c r="A1827" s="765"/>
      <c r="B1827" s="624"/>
      <c r="C1827" s="1061"/>
      <c r="D1827" s="1061"/>
      <c r="E1827" s="1061"/>
      <c r="F1827" s="1061"/>
      <c r="G1827" s="1061"/>
      <c r="H1827" s="1061"/>
      <c r="I1827" s="1061"/>
      <c r="J1827" s="1061"/>
      <c r="K1827" s="1061"/>
      <c r="L1827" s="1061"/>
      <c r="M1827" s="1061"/>
      <c r="N1827" s="1061"/>
      <c r="O1827" s="626"/>
    </row>
    <row r="1828" spans="1:15" x14ac:dyDescent="0.25">
      <c r="A1828" s="765"/>
      <c r="B1828" s="624"/>
      <c r="C1828" s="1061"/>
      <c r="D1828" s="1061"/>
      <c r="E1828" s="1061"/>
      <c r="F1828" s="1061"/>
      <c r="G1828" s="1061"/>
      <c r="H1828" s="1061"/>
      <c r="I1828" s="1061"/>
      <c r="J1828" s="1061"/>
      <c r="K1828" s="1061"/>
      <c r="L1828" s="1061"/>
      <c r="M1828" s="1061"/>
      <c r="N1828" s="1061"/>
      <c r="O1828" s="626"/>
    </row>
    <row r="1829" spans="1:15" x14ac:dyDescent="0.25">
      <c r="A1829" s="765"/>
      <c r="B1829" s="624"/>
      <c r="C1829" s="1061"/>
      <c r="D1829" s="1061"/>
      <c r="E1829" s="1061"/>
      <c r="F1829" s="1061"/>
      <c r="G1829" s="1061"/>
      <c r="H1829" s="1061"/>
      <c r="I1829" s="1061"/>
      <c r="J1829" s="1061"/>
      <c r="K1829" s="1061"/>
      <c r="L1829" s="1061"/>
      <c r="M1829" s="1061"/>
      <c r="N1829" s="1061"/>
      <c r="O1829" s="626"/>
    </row>
    <row r="1830" spans="1:15" x14ac:dyDescent="0.25">
      <c r="A1830" s="765"/>
      <c r="B1830" s="624"/>
      <c r="C1830" s="1061"/>
      <c r="D1830" s="1061"/>
      <c r="E1830" s="1061"/>
      <c r="F1830" s="1061"/>
      <c r="G1830" s="1061"/>
      <c r="H1830" s="1061"/>
      <c r="I1830" s="1061"/>
      <c r="J1830" s="1061"/>
      <c r="K1830" s="1061"/>
      <c r="L1830" s="1061"/>
      <c r="M1830" s="1061"/>
      <c r="N1830" s="1061"/>
      <c r="O1830" s="626"/>
    </row>
    <row r="1831" spans="1:15" x14ac:dyDescent="0.25">
      <c r="A1831" s="765"/>
      <c r="B1831" s="624"/>
      <c r="C1831" s="1061"/>
      <c r="D1831" s="1061"/>
      <c r="E1831" s="1061"/>
      <c r="F1831" s="1061"/>
      <c r="G1831" s="1061"/>
      <c r="H1831" s="1061"/>
      <c r="I1831" s="1061"/>
      <c r="J1831" s="1061"/>
      <c r="K1831" s="1061"/>
      <c r="L1831" s="1061"/>
      <c r="M1831" s="1061"/>
      <c r="N1831" s="1061"/>
      <c r="O1831" s="626"/>
    </row>
    <row r="1832" spans="1:15" x14ac:dyDescent="0.25">
      <c r="A1832" s="765"/>
      <c r="B1832" s="624"/>
      <c r="C1832" s="1061"/>
      <c r="D1832" s="1061"/>
      <c r="E1832" s="1061"/>
      <c r="F1832" s="1061"/>
      <c r="G1832" s="1061"/>
      <c r="H1832" s="1061"/>
      <c r="I1832" s="1061"/>
      <c r="J1832" s="1061"/>
      <c r="K1832" s="1061"/>
      <c r="L1832" s="1061"/>
      <c r="M1832" s="1061"/>
      <c r="N1832" s="1061"/>
      <c r="O1832" s="626"/>
    </row>
    <row r="1833" spans="1:15" x14ac:dyDescent="0.25">
      <c r="A1833" s="765"/>
      <c r="B1833" s="624"/>
      <c r="C1833" s="1061"/>
      <c r="D1833" s="1061"/>
      <c r="E1833" s="1061"/>
      <c r="F1833" s="1061"/>
      <c r="G1833" s="1061"/>
      <c r="H1833" s="1061"/>
      <c r="I1833" s="1061"/>
      <c r="J1833" s="1061"/>
      <c r="K1833" s="1061"/>
      <c r="L1833" s="1061"/>
      <c r="M1833" s="1061"/>
      <c r="N1833" s="1061"/>
      <c r="O1833" s="626"/>
    </row>
    <row r="1834" spans="1:15" x14ac:dyDescent="0.25">
      <c r="A1834" s="765"/>
      <c r="B1834" s="624"/>
      <c r="C1834" s="1061"/>
      <c r="D1834" s="1061"/>
      <c r="E1834" s="1061"/>
      <c r="F1834" s="1061"/>
      <c r="G1834" s="1061"/>
      <c r="H1834" s="1061"/>
      <c r="I1834" s="1061"/>
      <c r="J1834" s="1061"/>
      <c r="K1834" s="1061"/>
      <c r="L1834" s="1061"/>
      <c r="M1834" s="1061"/>
      <c r="N1834" s="1061"/>
      <c r="O1834" s="626"/>
    </row>
    <row r="1835" spans="1:15" x14ac:dyDescent="0.25">
      <c r="A1835" s="765"/>
      <c r="B1835" s="624"/>
      <c r="C1835" s="1061"/>
      <c r="D1835" s="1061"/>
      <c r="E1835" s="1061"/>
      <c r="F1835" s="1061"/>
      <c r="G1835" s="1061"/>
      <c r="H1835" s="1061"/>
      <c r="I1835" s="1061"/>
      <c r="J1835" s="1061"/>
      <c r="K1835" s="1061"/>
      <c r="L1835" s="1061"/>
      <c r="M1835" s="1061"/>
      <c r="N1835" s="1061"/>
      <c r="O1835" s="626"/>
    </row>
    <row r="1836" spans="1:15" x14ac:dyDescent="0.25">
      <c r="A1836" s="765"/>
      <c r="B1836" s="624"/>
      <c r="C1836" s="1061"/>
      <c r="D1836" s="1061"/>
      <c r="E1836" s="1061"/>
      <c r="F1836" s="1061"/>
      <c r="G1836" s="1061"/>
      <c r="H1836" s="1061"/>
      <c r="I1836" s="1061"/>
      <c r="J1836" s="1061"/>
      <c r="K1836" s="1061"/>
      <c r="L1836" s="1061"/>
      <c r="M1836" s="1061"/>
      <c r="N1836" s="1061"/>
      <c r="O1836" s="626"/>
    </row>
    <row r="1837" spans="1:15" x14ac:dyDescent="0.25">
      <c r="A1837" s="765"/>
      <c r="B1837" s="624"/>
      <c r="C1837" s="1061"/>
      <c r="D1837" s="1061"/>
      <c r="E1837" s="1061"/>
      <c r="F1837" s="1061"/>
      <c r="G1837" s="1061"/>
      <c r="H1837" s="1061"/>
      <c r="I1837" s="1061"/>
      <c r="J1837" s="1061"/>
      <c r="K1837" s="1061"/>
      <c r="L1837" s="1061"/>
      <c r="M1837" s="1061"/>
      <c r="N1837" s="1061"/>
      <c r="O1837" s="626"/>
    </row>
    <row r="1838" spans="1:15" x14ac:dyDescent="0.25">
      <c r="A1838" s="765"/>
      <c r="B1838" s="624"/>
      <c r="C1838" s="1061"/>
      <c r="D1838" s="1061"/>
      <c r="E1838" s="1061"/>
      <c r="F1838" s="1061"/>
      <c r="G1838" s="1061"/>
      <c r="H1838" s="1061"/>
      <c r="I1838" s="1061"/>
      <c r="J1838" s="1061"/>
      <c r="K1838" s="1061"/>
      <c r="L1838" s="1061"/>
      <c r="M1838" s="1061"/>
      <c r="N1838" s="1061"/>
      <c r="O1838" s="626"/>
    </row>
    <row r="1839" spans="1:15" x14ac:dyDescent="0.25">
      <c r="A1839" s="765"/>
      <c r="B1839" s="624"/>
      <c r="C1839" s="1061"/>
      <c r="D1839" s="1061"/>
      <c r="E1839" s="1061"/>
      <c r="F1839" s="1061"/>
      <c r="G1839" s="1061"/>
      <c r="H1839" s="1061"/>
      <c r="I1839" s="1061"/>
      <c r="J1839" s="1061"/>
      <c r="K1839" s="1061"/>
      <c r="L1839" s="1061"/>
      <c r="M1839" s="1061"/>
      <c r="N1839" s="1061"/>
      <c r="O1839" s="626"/>
    </row>
    <row r="1840" spans="1:15" x14ac:dyDescent="0.25">
      <c r="A1840" s="765"/>
      <c r="B1840" s="624"/>
      <c r="C1840" s="1061"/>
      <c r="D1840" s="1061"/>
      <c r="E1840" s="1061"/>
      <c r="F1840" s="1061"/>
      <c r="G1840" s="1061"/>
      <c r="H1840" s="1061"/>
      <c r="I1840" s="1061"/>
      <c r="J1840" s="1061"/>
      <c r="K1840" s="1061"/>
      <c r="L1840" s="1061"/>
      <c r="M1840" s="1061"/>
      <c r="N1840" s="1061"/>
      <c r="O1840" s="626"/>
    </row>
    <row r="1841" spans="1:15" x14ac:dyDescent="0.25">
      <c r="A1841" s="765"/>
      <c r="B1841" s="624"/>
      <c r="C1841" s="1061"/>
      <c r="D1841" s="1061"/>
      <c r="E1841" s="1061"/>
      <c r="F1841" s="1061"/>
      <c r="G1841" s="1061"/>
      <c r="H1841" s="1061"/>
      <c r="I1841" s="1061"/>
      <c r="J1841" s="1061"/>
      <c r="K1841" s="1061"/>
      <c r="L1841" s="1061"/>
      <c r="M1841" s="1061"/>
      <c r="N1841" s="1061"/>
      <c r="O1841" s="626"/>
    </row>
    <row r="1842" spans="1:15" x14ac:dyDescent="0.25">
      <c r="A1842" s="765"/>
      <c r="B1842" s="624"/>
      <c r="C1842" s="1061"/>
      <c r="D1842" s="1061"/>
      <c r="E1842" s="1061"/>
      <c r="F1842" s="1061"/>
      <c r="G1842" s="1061"/>
      <c r="H1842" s="1061"/>
      <c r="I1842" s="1061"/>
      <c r="J1842" s="1061"/>
      <c r="K1842" s="1061"/>
      <c r="L1842" s="1061"/>
      <c r="M1842" s="1061"/>
      <c r="N1842" s="1061"/>
      <c r="O1842" s="626"/>
    </row>
    <row r="1843" spans="1:15" x14ac:dyDescent="0.25">
      <c r="A1843" s="765"/>
      <c r="B1843" s="624"/>
      <c r="C1843" s="1061"/>
      <c r="D1843" s="1061"/>
      <c r="E1843" s="1061"/>
      <c r="F1843" s="1061"/>
      <c r="G1843" s="1061"/>
      <c r="H1843" s="1061"/>
      <c r="I1843" s="1061"/>
      <c r="J1843" s="1061"/>
      <c r="K1843" s="1061"/>
      <c r="L1843" s="1061"/>
      <c r="M1843" s="1061"/>
      <c r="N1843" s="1061"/>
      <c r="O1843" s="626"/>
    </row>
    <row r="1844" spans="1:15" x14ac:dyDescent="0.25">
      <c r="A1844" s="765"/>
      <c r="B1844" s="624"/>
      <c r="C1844" s="1061"/>
      <c r="D1844" s="1061"/>
      <c r="E1844" s="1061"/>
      <c r="F1844" s="1061"/>
      <c r="G1844" s="1061"/>
      <c r="H1844" s="1061"/>
      <c r="I1844" s="1061"/>
      <c r="J1844" s="1061"/>
      <c r="K1844" s="1061"/>
      <c r="L1844" s="1061"/>
      <c r="M1844" s="1061"/>
      <c r="N1844" s="1061"/>
      <c r="O1844" s="626"/>
    </row>
    <row r="1845" spans="1:15" x14ac:dyDescent="0.25">
      <c r="A1845" s="765"/>
      <c r="B1845" s="624"/>
      <c r="C1845" s="1061"/>
      <c r="D1845" s="1061"/>
      <c r="E1845" s="1061"/>
      <c r="F1845" s="1061"/>
      <c r="G1845" s="1061"/>
      <c r="H1845" s="1061"/>
      <c r="I1845" s="1061"/>
      <c r="J1845" s="1061"/>
      <c r="K1845" s="1061"/>
      <c r="L1845" s="1061"/>
      <c r="M1845" s="1061"/>
      <c r="N1845" s="1061"/>
      <c r="O1845" s="626"/>
    </row>
    <row r="1846" spans="1:15" x14ac:dyDescent="0.25">
      <c r="A1846" s="765"/>
      <c r="B1846" s="624"/>
      <c r="C1846" s="1061"/>
      <c r="D1846" s="1061"/>
      <c r="E1846" s="1061"/>
      <c r="F1846" s="1061"/>
      <c r="G1846" s="1061"/>
      <c r="H1846" s="1061"/>
      <c r="I1846" s="1061"/>
      <c r="J1846" s="1061"/>
      <c r="K1846" s="1061"/>
      <c r="L1846" s="1061"/>
      <c r="M1846" s="1061"/>
      <c r="N1846" s="1061"/>
      <c r="O1846" s="626"/>
    </row>
    <row r="1847" spans="1:15" x14ac:dyDescent="0.25">
      <c r="A1847" s="765"/>
      <c r="B1847" s="624"/>
      <c r="C1847" s="1061"/>
      <c r="D1847" s="1061"/>
      <c r="E1847" s="1061"/>
      <c r="F1847" s="1061"/>
      <c r="G1847" s="1061"/>
      <c r="H1847" s="1061"/>
      <c r="I1847" s="1061"/>
      <c r="J1847" s="1061"/>
      <c r="K1847" s="1061"/>
      <c r="L1847" s="1061"/>
      <c r="M1847" s="1061"/>
      <c r="N1847" s="1061"/>
      <c r="O1847" s="626"/>
    </row>
    <row r="1848" spans="1:15" x14ac:dyDescent="0.25">
      <c r="A1848" s="765"/>
      <c r="B1848" s="624"/>
      <c r="C1848" s="1061"/>
      <c r="D1848" s="1061"/>
      <c r="E1848" s="1061"/>
      <c r="F1848" s="1061"/>
      <c r="G1848" s="1061"/>
      <c r="H1848" s="1061"/>
      <c r="I1848" s="1061"/>
      <c r="J1848" s="1061"/>
      <c r="K1848" s="1061"/>
      <c r="L1848" s="1061"/>
      <c r="M1848" s="1061"/>
      <c r="N1848" s="1061"/>
      <c r="O1848" s="626"/>
    </row>
    <row r="1849" spans="1:15" x14ac:dyDescent="0.25">
      <c r="A1849" s="765"/>
      <c r="B1849" s="624"/>
      <c r="C1849" s="1061"/>
      <c r="D1849" s="1061"/>
      <c r="E1849" s="1061"/>
      <c r="F1849" s="1061"/>
      <c r="G1849" s="1061"/>
      <c r="H1849" s="1061"/>
      <c r="I1849" s="1061"/>
      <c r="J1849" s="1061"/>
      <c r="K1849" s="1061"/>
      <c r="L1849" s="1061"/>
      <c r="M1849" s="1061"/>
      <c r="N1849" s="1061"/>
      <c r="O1849" s="626"/>
    </row>
    <row r="1850" spans="1:15" x14ac:dyDescent="0.25">
      <c r="A1850" s="765"/>
      <c r="B1850" s="624"/>
      <c r="C1850" s="1061"/>
      <c r="D1850" s="1061"/>
      <c r="E1850" s="1061"/>
      <c r="F1850" s="1061"/>
      <c r="G1850" s="1061"/>
      <c r="H1850" s="1061"/>
      <c r="I1850" s="1061"/>
      <c r="J1850" s="1061"/>
      <c r="K1850" s="1061"/>
      <c r="L1850" s="1061"/>
      <c r="M1850" s="1061"/>
      <c r="N1850" s="1061"/>
      <c r="O1850" s="626"/>
    </row>
    <row r="1851" spans="1:15" x14ac:dyDescent="0.25">
      <c r="A1851" s="765"/>
      <c r="B1851" s="624"/>
      <c r="C1851" s="1061"/>
      <c r="D1851" s="1061"/>
      <c r="E1851" s="1061"/>
      <c r="F1851" s="1061"/>
      <c r="G1851" s="1061"/>
      <c r="H1851" s="1061"/>
      <c r="I1851" s="1061"/>
      <c r="J1851" s="1061"/>
      <c r="K1851" s="1061"/>
      <c r="L1851" s="1061"/>
      <c r="M1851" s="1061"/>
      <c r="N1851" s="1061"/>
      <c r="O1851" s="626"/>
    </row>
    <row r="1852" spans="1:15" x14ac:dyDescent="0.25">
      <c r="A1852" s="765"/>
      <c r="B1852" s="624"/>
      <c r="C1852" s="1061"/>
      <c r="D1852" s="1061"/>
      <c r="E1852" s="1061"/>
      <c r="F1852" s="1061"/>
      <c r="G1852" s="1061"/>
      <c r="H1852" s="1061"/>
      <c r="I1852" s="1061"/>
      <c r="J1852" s="1061"/>
      <c r="K1852" s="1061"/>
      <c r="L1852" s="1061"/>
      <c r="M1852" s="1061"/>
      <c r="N1852" s="1061"/>
      <c r="O1852" s="626"/>
    </row>
    <row r="1853" spans="1:15" x14ac:dyDescent="0.25">
      <c r="A1853" s="765"/>
      <c r="B1853" s="624"/>
      <c r="C1853" s="1061"/>
      <c r="D1853" s="1061"/>
      <c r="E1853" s="1061"/>
      <c r="F1853" s="1061"/>
      <c r="G1853" s="1061"/>
      <c r="H1853" s="1061"/>
      <c r="I1853" s="1061"/>
      <c r="J1853" s="1061"/>
      <c r="K1853" s="1061"/>
      <c r="L1853" s="1061"/>
      <c r="M1853" s="1061"/>
      <c r="N1853" s="1061"/>
      <c r="O1853" s="626"/>
    </row>
    <row r="1854" spans="1:15" x14ac:dyDescent="0.25">
      <c r="A1854" s="765"/>
      <c r="B1854" s="624"/>
      <c r="C1854" s="1061"/>
      <c r="D1854" s="1061"/>
      <c r="E1854" s="1061"/>
      <c r="F1854" s="1061"/>
      <c r="G1854" s="1061"/>
      <c r="H1854" s="1061"/>
      <c r="I1854" s="1061"/>
      <c r="J1854" s="1061"/>
      <c r="K1854" s="1061"/>
      <c r="L1854" s="1061"/>
      <c r="M1854" s="1061"/>
      <c r="N1854" s="1061"/>
      <c r="O1854" s="626"/>
    </row>
    <row r="1855" spans="1:15" x14ac:dyDescent="0.25">
      <c r="A1855" s="765"/>
      <c r="B1855" s="624"/>
      <c r="C1855" s="1061"/>
      <c r="D1855" s="1061"/>
      <c r="E1855" s="1061"/>
      <c r="F1855" s="1061"/>
      <c r="G1855" s="1061"/>
      <c r="H1855" s="1061"/>
      <c r="I1855" s="1061"/>
      <c r="J1855" s="1061"/>
      <c r="K1855" s="1061"/>
      <c r="L1855" s="1061"/>
      <c r="M1855" s="1061"/>
      <c r="N1855" s="1061"/>
      <c r="O1855" s="626"/>
    </row>
    <row r="1856" spans="1:15" x14ac:dyDescent="0.25">
      <c r="A1856" s="765"/>
      <c r="B1856" s="624"/>
      <c r="C1856" s="1061"/>
      <c r="D1856" s="1061"/>
      <c r="E1856" s="1061"/>
      <c r="F1856" s="1061"/>
      <c r="G1856" s="1061"/>
      <c r="H1856" s="1061"/>
      <c r="I1856" s="1061"/>
      <c r="J1856" s="1061"/>
      <c r="K1856" s="1061"/>
      <c r="L1856" s="1061"/>
      <c r="M1856" s="1061"/>
      <c r="N1856" s="1061"/>
      <c r="O1856" s="626"/>
    </row>
    <row r="1857" spans="1:15" x14ac:dyDescent="0.25">
      <c r="A1857" s="765"/>
      <c r="B1857" s="624"/>
      <c r="C1857" s="1061"/>
      <c r="D1857" s="1061"/>
      <c r="E1857" s="1061"/>
      <c r="F1857" s="1061"/>
      <c r="G1857" s="1061"/>
      <c r="H1857" s="1061"/>
      <c r="I1857" s="1061"/>
      <c r="J1857" s="1061"/>
      <c r="K1857" s="1061"/>
      <c r="L1857" s="1061"/>
      <c r="M1857" s="1061"/>
      <c r="N1857" s="1061"/>
      <c r="O1857" s="626"/>
    </row>
    <row r="1858" spans="1:15" x14ac:dyDescent="0.25">
      <c r="A1858" s="765"/>
      <c r="B1858" s="624"/>
      <c r="C1858" s="1061"/>
      <c r="D1858" s="1061"/>
      <c r="E1858" s="1061"/>
      <c r="F1858" s="1061"/>
      <c r="G1858" s="1061"/>
      <c r="H1858" s="1061"/>
      <c r="I1858" s="1061"/>
      <c r="J1858" s="1061"/>
      <c r="K1858" s="1061"/>
      <c r="L1858" s="1061"/>
      <c r="M1858" s="1061"/>
      <c r="N1858" s="1061"/>
      <c r="O1858" s="626"/>
    </row>
    <row r="1859" spans="1:15" x14ac:dyDescent="0.25">
      <c r="A1859" s="765"/>
      <c r="B1859" s="624"/>
      <c r="C1859" s="1061"/>
      <c r="D1859" s="1061"/>
      <c r="E1859" s="1061"/>
      <c r="F1859" s="1061"/>
      <c r="G1859" s="1061"/>
      <c r="H1859" s="1061"/>
      <c r="I1859" s="1061"/>
      <c r="J1859" s="1061"/>
      <c r="K1859" s="1061"/>
      <c r="L1859" s="1061"/>
      <c r="M1859" s="1061"/>
      <c r="N1859" s="1061"/>
      <c r="O1859" s="626"/>
    </row>
    <row r="1860" spans="1:15" x14ac:dyDescent="0.25">
      <c r="A1860" s="765"/>
      <c r="B1860" s="624"/>
      <c r="C1860" s="1061"/>
      <c r="D1860" s="1061"/>
      <c r="E1860" s="1061"/>
      <c r="F1860" s="1061"/>
      <c r="G1860" s="1061"/>
      <c r="H1860" s="1061"/>
      <c r="I1860" s="1061"/>
      <c r="J1860" s="1061"/>
      <c r="K1860" s="1061"/>
      <c r="L1860" s="1061"/>
      <c r="M1860" s="1061"/>
      <c r="N1860" s="1061"/>
      <c r="O1860" s="626"/>
    </row>
    <row r="1861" spans="1:15" x14ac:dyDescent="0.25">
      <c r="A1861" s="765"/>
      <c r="B1861" s="624"/>
      <c r="C1861" s="1061"/>
      <c r="D1861" s="1061"/>
      <c r="E1861" s="1061"/>
      <c r="F1861" s="1061"/>
      <c r="G1861" s="1061"/>
      <c r="H1861" s="1061"/>
      <c r="I1861" s="1061"/>
      <c r="J1861" s="1061"/>
      <c r="K1861" s="1061"/>
      <c r="L1861" s="1061"/>
      <c r="M1861" s="1061"/>
      <c r="N1861" s="1061"/>
      <c r="O1861" s="626"/>
    </row>
    <row r="1862" spans="1:15" x14ac:dyDescent="0.25">
      <c r="A1862" s="765"/>
      <c r="B1862" s="624"/>
      <c r="C1862" s="1061"/>
      <c r="D1862" s="1061"/>
      <c r="E1862" s="1061"/>
      <c r="F1862" s="1061"/>
      <c r="G1862" s="1061"/>
      <c r="H1862" s="1061"/>
      <c r="I1862" s="1061"/>
      <c r="J1862" s="1061"/>
      <c r="K1862" s="1061"/>
      <c r="L1862" s="1061"/>
      <c r="M1862" s="1061"/>
      <c r="N1862" s="1061"/>
      <c r="O1862" s="626"/>
    </row>
    <row r="1863" spans="1:15" x14ac:dyDescent="0.25">
      <c r="A1863" s="765"/>
      <c r="B1863" s="624"/>
      <c r="C1863" s="1061"/>
      <c r="D1863" s="1061"/>
      <c r="E1863" s="1061"/>
      <c r="F1863" s="1061"/>
      <c r="G1863" s="1061"/>
      <c r="H1863" s="1061"/>
      <c r="I1863" s="1061"/>
      <c r="J1863" s="1061"/>
      <c r="K1863" s="1061"/>
      <c r="L1863" s="1061"/>
      <c r="M1863" s="1061"/>
      <c r="N1863" s="1061"/>
      <c r="O1863" s="626"/>
    </row>
    <row r="1864" spans="1:15" x14ac:dyDescent="0.25">
      <c r="A1864" s="765"/>
      <c r="B1864" s="624"/>
      <c r="C1864" s="1061"/>
      <c r="D1864" s="1061"/>
      <c r="E1864" s="1061"/>
      <c r="F1864" s="1061"/>
      <c r="G1864" s="1061"/>
      <c r="H1864" s="1061"/>
      <c r="I1864" s="1061"/>
      <c r="J1864" s="1061"/>
      <c r="K1864" s="1061"/>
      <c r="L1864" s="1061"/>
      <c r="M1864" s="1061"/>
      <c r="N1864" s="1061"/>
      <c r="O1864" s="626"/>
    </row>
    <row r="1865" spans="1:15" x14ac:dyDescent="0.25">
      <c r="A1865" s="765"/>
      <c r="B1865" s="624"/>
      <c r="C1865" s="1061"/>
      <c r="D1865" s="1061"/>
      <c r="E1865" s="1061"/>
      <c r="F1865" s="1061"/>
      <c r="G1865" s="1061"/>
      <c r="H1865" s="1061"/>
      <c r="I1865" s="1061"/>
      <c r="J1865" s="1061"/>
      <c r="K1865" s="1061"/>
      <c r="L1865" s="1061"/>
      <c r="M1865" s="1061"/>
      <c r="N1865" s="1061"/>
      <c r="O1865" s="626"/>
    </row>
    <row r="1866" spans="1:15" x14ac:dyDescent="0.25">
      <c r="A1866" s="765"/>
      <c r="B1866" s="624"/>
      <c r="C1866" s="1061"/>
      <c r="D1866" s="1061"/>
      <c r="E1866" s="1061"/>
      <c r="F1866" s="1061"/>
      <c r="G1866" s="1061"/>
      <c r="H1866" s="1061"/>
      <c r="I1866" s="1061"/>
      <c r="J1866" s="1061"/>
      <c r="K1866" s="1061"/>
      <c r="L1866" s="1061"/>
      <c r="M1866" s="1061"/>
      <c r="N1866" s="1061"/>
      <c r="O1866" s="626"/>
    </row>
    <row r="1867" spans="1:15" x14ac:dyDescent="0.25">
      <c r="A1867" s="765"/>
      <c r="B1867" s="624"/>
      <c r="C1867" s="1061"/>
      <c r="D1867" s="1061"/>
      <c r="E1867" s="1061"/>
      <c r="F1867" s="1061"/>
      <c r="G1867" s="1061"/>
      <c r="H1867" s="1061"/>
      <c r="I1867" s="1061"/>
      <c r="J1867" s="1061"/>
      <c r="K1867" s="1061"/>
      <c r="L1867" s="1061"/>
      <c r="M1867" s="1061"/>
      <c r="N1867" s="1061"/>
      <c r="O1867" s="626"/>
    </row>
    <row r="1868" spans="1:15" x14ac:dyDescent="0.25">
      <c r="A1868" s="765"/>
      <c r="B1868" s="624"/>
      <c r="C1868" s="1061"/>
      <c r="D1868" s="1061"/>
      <c r="E1868" s="1061"/>
      <c r="F1868" s="1061"/>
      <c r="G1868" s="1061"/>
      <c r="H1868" s="1061"/>
      <c r="I1868" s="1061"/>
      <c r="J1868" s="1061"/>
      <c r="K1868" s="1061"/>
      <c r="L1868" s="1061"/>
      <c r="M1868" s="1061"/>
      <c r="N1868" s="1061"/>
      <c r="O1868" s="626"/>
    </row>
    <row r="1869" spans="1:15" x14ac:dyDescent="0.25">
      <c r="A1869" s="765"/>
      <c r="B1869" s="624"/>
      <c r="C1869" s="1061"/>
      <c r="D1869" s="1061"/>
      <c r="E1869" s="1061"/>
      <c r="F1869" s="1061"/>
      <c r="G1869" s="1061"/>
      <c r="H1869" s="1061"/>
      <c r="I1869" s="1061"/>
      <c r="J1869" s="1061"/>
      <c r="K1869" s="1061"/>
      <c r="L1869" s="1061"/>
      <c r="M1869" s="1061"/>
      <c r="N1869" s="1061"/>
      <c r="O1869" s="626"/>
    </row>
    <row r="1870" spans="1:15" x14ac:dyDescent="0.25">
      <c r="A1870" s="765"/>
      <c r="B1870" s="624"/>
      <c r="C1870" s="1061"/>
      <c r="D1870" s="1061"/>
      <c r="E1870" s="1061"/>
      <c r="F1870" s="1061"/>
      <c r="G1870" s="1061"/>
      <c r="H1870" s="1061"/>
      <c r="I1870" s="1061"/>
      <c r="J1870" s="1061"/>
      <c r="K1870" s="1061"/>
      <c r="L1870" s="1061"/>
      <c r="M1870" s="1061"/>
      <c r="N1870" s="1061"/>
      <c r="O1870" s="626"/>
    </row>
    <row r="1871" spans="1:15" x14ac:dyDescent="0.25">
      <c r="A1871" s="765"/>
      <c r="B1871" s="624"/>
      <c r="C1871" s="1061"/>
      <c r="D1871" s="1061"/>
      <c r="E1871" s="1061"/>
      <c r="F1871" s="1061"/>
      <c r="G1871" s="1061"/>
      <c r="H1871" s="1061"/>
      <c r="I1871" s="1061"/>
      <c r="J1871" s="1061"/>
      <c r="K1871" s="1061"/>
      <c r="L1871" s="1061"/>
      <c r="M1871" s="1061"/>
      <c r="N1871" s="1061"/>
      <c r="O1871" s="626"/>
    </row>
    <row r="1872" spans="1:15" x14ac:dyDescent="0.25">
      <c r="A1872" s="765"/>
      <c r="B1872" s="624"/>
      <c r="C1872" s="1061"/>
      <c r="D1872" s="1061"/>
      <c r="E1872" s="1061"/>
      <c r="F1872" s="1061"/>
      <c r="G1872" s="1061"/>
      <c r="H1872" s="1061"/>
      <c r="I1872" s="1061"/>
      <c r="J1872" s="1061"/>
      <c r="K1872" s="1061"/>
      <c r="L1872" s="1061"/>
      <c r="M1872" s="1061"/>
      <c r="N1872" s="1061"/>
      <c r="O1872" s="626"/>
    </row>
    <row r="1873" spans="1:15" x14ac:dyDescent="0.25">
      <c r="A1873" s="765"/>
      <c r="B1873" s="624"/>
      <c r="C1873" s="1061"/>
      <c r="D1873" s="1061"/>
      <c r="E1873" s="1061"/>
      <c r="F1873" s="1061"/>
      <c r="G1873" s="1061"/>
      <c r="H1873" s="1061"/>
      <c r="I1873" s="1061"/>
      <c r="J1873" s="1061"/>
      <c r="K1873" s="1061"/>
      <c r="L1873" s="1061"/>
      <c r="M1873" s="1061"/>
      <c r="N1873" s="1061"/>
      <c r="O1873" s="626"/>
    </row>
    <row r="1874" spans="1:15" x14ac:dyDescent="0.25">
      <c r="A1874" s="765"/>
      <c r="B1874" s="624"/>
      <c r="C1874" s="1061"/>
      <c r="D1874" s="1061"/>
      <c r="E1874" s="1061"/>
      <c r="F1874" s="1061"/>
      <c r="G1874" s="1061"/>
      <c r="H1874" s="1061"/>
      <c r="I1874" s="1061"/>
      <c r="J1874" s="1061"/>
      <c r="K1874" s="1061"/>
      <c r="L1874" s="1061"/>
      <c r="M1874" s="1061"/>
      <c r="N1874" s="1061"/>
      <c r="O1874" s="626"/>
    </row>
    <row r="1875" spans="1:15" x14ac:dyDescent="0.25">
      <c r="A1875" s="765"/>
      <c r="B1875" s="624"/>
      <c r="C1875" s="1061"/>
      <c r="D1875" s="1061"/>
      <c r="E1875" s="1061"/>
      <c r="F1875" s="1061"/>
      <c r="G1875" s="1061"/>
      <c r="H1875" s="1061"/>
      <c r="I1875" s="1061"/>
      <c r="J1875" s="1061"/>
      <c r="K1875" s="1061"/>
      <c r="L1875" s="1061"/>
      <c r="M1875" s="1061"/>
      <c r="N1875" s="1061"/>
      <c r="O1875" s="626"/>
    </row>
    <row r="1876" spans="1:15" x14ac:dyDescent="0.25">
      <c r="A1876" s="765"/>
      <c r="B1876" s="624"/>
      <c r="C1876" s="1061"/>
      <c r="D1876" s="1061"/>
      <c r="E1876" s="1061"/>
      <c r="F1876" s="1061"/>
      <c r="G1876" s="1061"/>
      <c r="H1876" s="1061"/>
      <c r="I1876" s="1061"/>
      <c r="J1876" s="1061"/>
      <c r="K1876" s="1061"/>
      <c r="L1876" s="1061"/>
      <c r="M1876" s="1061"/>
      <c r="N1876" s="1061"/>
      <c r="O1876" s="626"/>
    </row>
    <row r="1877" spans="1:15" x14ac:dyDescent="0.25">
      <c r="A1877" s="765"/>
      <c r="B1877" s="624"/>
      <c r="C1877" s="1061"/>
      <c r="D1877" s="1061"/>
      <c r="E1877" s="1061"/>
      <c r="F1877" s="1061"/>
      <c r="G1877" s="1061"/>
      <c r="H1877" s="1061"/>
      <c r="I1877" s="1061"/>
      <c r="J1877" s="1061"/>
      <c r="K1877" s="1061"/>
      <c r="L1877" s="1061"/>
      <c r="M1877" s="1061"/>
      <c r="N1877" s="1061"/>
      <c r="O1877" s="626"/>
    </row>
    <row r="1878" spans="1:15" x14ac:dyDescent="0.25">
      <c r="A1878" s="765"/>
      <c r="B1878" s="624"/>
      <c r="C1878" s="1061"/>
      <c r="D1878" s="1061"/>
      <c r="E1878" s="1061"/>
      <c r="F1878" s="1061"/>
      <c r="G1878" s="1061"/>
      <c r="H1878" s="1061"/>
      <c r="I1878" s="1061"/>
      <c r="J1878" s="1061"/>
      <c r="K1878" s="1061"/>
      <c r="L1878" s="1061"/>
      <c r="M1878" s="1061"/>
      <c r="N1878" s="1061"/>
      <c r="O1878" s="626"/>
    </row>
    <row r="1879" spans="1:15" x14ac:dyDescent="0.25">
      <c r="A1879" s="765"/>
      <c r="B1879" s="624"/>
      <c r="C1879" s="1061"/>
      <c r="D1879" s="1061"/>
      <c r="E1879" s="1061"/>
      <c r="F1879" s="1061"/>
      <c r="G1879" s="1061"/>
      <c r="H1879" s="1061"/>
      <c r="I1879" s="1061"/>
      <c r="J1879" s="1061"/>
      <c r="K1879" s="1061"/>
      <c r="L1879" s="1061"/>
      <c r="M1879" s="1061"/>
      <c r="N1879" s="1061"/>
      <c r="O1879" s="626"/>
    </row>
    <row r="1880" spans="1:15" x14ac:dyDescent="0.25">
      <c r="A1880" s="765"/>
      <c r="B1880" s="624"/>
      <c r="C1880" s="1061"/>
      <c r="D1880" s="1061"/>
      <c r="E1880" s="1061"/>
      <c r="F1880" s="1061"/>
      <c r="G1880" s="1061"/>
      <c r="H1880" s="1061"/>
      <c r="I1880" s="1061"/>
      <c r="J1880" s="1061"/>
      <c r="K1880" s="1061"/>
      <c r="L1880" s="1061"/>
      <c r="M1880" s="1061"/>
      <c r="N1880" s="1061"/>
      <c r="O1880" s="626"/>
    </row>
    <row r="1881" spans="1:15" x14ac:dyDescent="0.25">
      <c r="A1881" s="765"/>
      <c r="B1881" s="624"/>
      <c r="C1881" s="1061"/>
      <c r="D1881" s="1061"/>
      <c r="E1881" s="1061"/>
      <c r="F1881" s="1061"/>
      <c r="G1881" s="1061"/>
      <c r="H1881" s="1061"/>
      <c r="I1881" s="1061"/>
      <c r="J1881" s="1061"/>
      <c r="K1881" s="1061"/>
      <c r="L1881" s="1061"/>
      <c r="M1881" s="1061"/>
      <c r="N1881" s="1061"/>
      <c r="O1881" s="626"/>
    </row>
    <row r="1882" spans="1:15" x14ac:dyDescent="0.25">
      <c r="A1882" s="765"/>
      <c r="B1882" s="624"/>
      <c r="C1882" s="1061"/>
      <c r="D1882" s="1061"/>
      <c r="E1882" s="1061"/>
      <c r="F1882" s="1061"/>
      <c r="G1882" s="1061"/>
      <c r="H1882" s="1061"/>
      <c r="I1882" s="1061"/>
      <c r="J1882" s="1061"/>
      <c r="K1882" s="1061"/>
      <c r="L1882" s="1061"/>
      <c r="M1882" s="1061"/>
      <c r="N1882" s="1061"/>
      <c r="O1882" s="626"/>
    </row>
    <row r="1883" spans="1:15" x14ac:dyDescent="0.25">
      <c r="A1883" s="765"/>
      <c r="B1883" s="624"/>
      <c r="C1883" s="1061"/>
      <c r="D1883" s="1061"/>
      <c r="E1883" s="1061"/>
      <c r="F1883" s="1061"/>
      <c r="G1883" s="1061"/>
      <c r="H1883" s="1061"/>
      <c r="I1883" s="1061"/>
      <c r="J1883" s="1061"/>
      <c r="K1883" s="1061"/>
      <c r="L1883" s="1061"/>
      <c r="M1883" s="1061"/>
      <c r="N1883" s="1061"/>
      <c r="O1883" s="626"/>
    </row>
    <row r="1884" spans="1:15" x14ac:dyDescent="0.25">
      <c r="A1884" s="765"/>
      <c r="B1884" s="624"/>
      <c r="C1884" s="1061"/>
      <c r="D1884" s="1061"/>
      <c r="E1884" s="1061"/>
      <c r="F1884" s="1061"/>
      <c r="G1884" s="1061"/>
      <c r="H1884" s="1061"/>
      <c r="I1884" s="1061"/>
      <c r="J1884" s="1061"/>
      <c r="K1884" s="1061"/>
      <c r="L1884" s="1061"/>
      <c r="M1884" s="1061"/>
      <c r="N1884" s="1061"/>
      <c r="O1884" s="626"/>
    </row>
    <row r="1885" spans="1:15" x14ac:dyDescent="0.25">
      <c r="A1885" s="765"/>
      <c r="B1885" s="624"/>
      <c r="C1885" s="1061"/>
      <c r="D1885" s="1061"/>
      <c r="E1885" s="1061"/>
      <c r="F1885" s="1061"/>
      <c r="G1885" s="1061"/>
      <c r="H1885" s="1061"/>
      <c r="I1885" s="1061"/>
      <c r="J1885" s="1061"/>
      <c r="K1885" s="1061"/>
      <c r="L1885" s="1061"/>
      <c r="M1885" s="1061"/>
      <c r="N1885" s="1061"/>
      <c r="O1885" s="626"/>
    </row>
    <row r="1886" spans="1:15" x14ac:dyDescent="0.25">
      <c r="A1886" s="765"/>
      <c r="B1886" s="624"/>
      <c r="C1886" s="1061"/>
      <c r="D1886" s="1061"/>
      <c r="E1886" s="1061"/>
      <c r="F1886" s="1061"/>
      <c r="G1886" s="1061"/>
      <c r="H1886" s="1061"/>
      <c r="I1886" s="1061"/>
      <c r="J1886" s="1061"/>
      <c r="K1886" s="1061"/>
      <c r="L1886" s="1061"/>
      <c r="M1886" s="1061"/>
      <c r="N1886" s="1061"/>
      <c r="O1886" s="626"/>
    </row>
    <row r="1887" spans="1:15" x14ac:dyDescent="0.25">
      <c r="A1887" s="765"/>
      <c r="B1887" s="624"/>
      <c r="C1887" s="1061"/>
      <c r="D1887" s="1061"/>
      <c r="E1887" s="1061"/>
      <c r="F1887" s="1061"/>
      <c r="G1887" s="1061"/>
      <c r="H1887" s="1061"/>
      <c r="I1887" s="1061"/>
      <c r="J1887" s="1061"/>
      <c r="K1887" s="1061"/>
      <c r="L1887" s="1061"/>
      <c r="M1887" s="1061"/>
      <c r="N1887" s="1061"/>
      <c r="O1887" s="626"/>
    </row>
    <row r="1888" spans="1:15" x14ac:dyDescent="0.25">
      <c r="A1888" s="765"/>
      <c r="B1888" s="624"/>
      <c r="C1888" s="1061"/>
      <c r="D1888" s="1061"/>
      <c r="E1888" s="1061"/>
      <c r="F1888" s="1061"/>
      <c r="G1888" s="1061"/>
      <c r="H1888" s="1061"/>
      <c r="I1888" s="1061"/>
      <c r="J1888" s="1061"/>
      <c r="K1888" s="1061"/>
      <c r="L1888" s="1061"/>
      <c r="M1888" s="1061"/>
      <c r="N1888" s="1061"/>
      <c r="O1888" s="626"/>
    </row>
    <row r="1889" spans="1:15" x14ac:dyDescent="0.25">
      <c r="A1889" s="765"/>
      <c r="B1889" s="624"/>
      <c r="C1889" s="1061"/>
      <c r="D1889" s="1061"/>
      <c r="E1889" s="1061"/>
      <c r="F1889" s="1061"/>
      <c r="G1889" s="1061"/>
      <c r="H1889" s="1061"/>
      <c r="I1889" s="1061"/>
      <c r="J1889" s="1061"/>
      <c r="K1889" s="1061"/>
      <c r="L1889" s="1061"/>
      <c r="M1889" s="1061"/>
      <c r="N1889" s="1061"/>
      <c r="O1889" s="626"/>
    </row>
    <row r="1890" spans="1:15" x14ac:dyDescent="0.25">
      <c r="A1890" s="765"/>
      <c r="B1890" s="624"/>
      <c r="C1890" s="1061"/>
      <c r="D1890" s="1061"/>
      <c r="E1890" s="1061"/>
      <c r="F1890" s="1061"/>
      <c r="G1890" s="1061"/>
      <c r="H1890" s="1061"/>
      <c r="I1890" s="1061"/>
      <c r="J1890" s="1061"/>
      <c r="K1890" s="1061"/>
      <c r="L1890" s="1061"/>
      <c r="M1890" s="1061"/>
      <c r="N1890" s="1061"/>
      <c r="O1890" s="626"/>
    </row>
    <row r="1891" spans="1:15" x14ac:dyDescent="0.25">
      <c r="A1891" s="765"/>
      <c r="B1891" s="624"/>
      <c r="C1891" s="1061"/>
      <c r="D1891" s="1061"/>
      <c r="E1891" s="1061"/>
      <c r="F1891" s="1061"/>
      <c r="G1891" s="1061"/>
      <c r="H1891" s="1061"/>
      <c r="I1891" s="1061"/>
      <c r="J1891" s="1061"/>
      <c r="K1891" s="1061"/>
      <c r="L1891" s="1061"/>
      <c r="M1891" s="1061"/>
      <c r="N1891" s="1061"/>
      <c r="O1891" s="626"/>
    </row>
    <row r="1892" spans="1:15" x14ac:dyDescent="0.25">
      <c r="A1892" s="765"/>
      <c r="B1892" s="624"/>
      <c r="C1892" s="1061"/>
      <c r="D1892" s="1061"/>
      <c r="E1892" s="1061"/>
      <c r="F1892" s="1061"/>
      <c r="G1892" s="1061"/>
      <c r="H1892" s="1061"/>
      <c r="I1892" s="1061"/>
      <c r="J1892" s="1061"/>
      <c r="K1892" s="1061"/>
      <c r="L1892" s="1061"/>
      <c r="M1892" s="1061"/>
      <c r="N1892" s="1061"/>
      <c r="O1892" s="626"/>
    </row>
    <row r="1893" spans="1:15" x14ac:dyDescent="0.25">
      <c r="A1893" s="765"/>
      <c r="B1893" s="624"/>
      <c r="C1893" s="1061"/>
      <c r="D1893" s="1061"/>
      <c r="E1893" s="1061"/>
      <c r="F1893" s="1061"/>
      <c r="G1893" s="1061"/>
      <c r="H1893" s="1061"/>
      <c r="I1893" s="1061"/>
      <c r="J1893" s="1061"/>
      <c r="K1893" s="1061"/>
      <c r="L1893" s="1061"/>
      <c r="M1893" s="1061"/>
      <c r="N1893" s="1061"/>
      <c r="O1893" s="626"/>
    </row>
    <row r="1894" spans="1:15" x14ac:dyDescent="0.25">
      <c r="A1894" s="765"/>
      <c r="B1894" s="624"/>
      <c r="C1894" s="1061"/>
      <c r="D1894" s="1061"/>
      <c r="E1894" s="1061"/>
      <c r="F1894" s="1061"/>
      <c r="G1894" s="1061"/>
      <c r="H1894" s="1061"/>
      <c r="I1894" s="1061"/>
      <c r="J1894" s="1061"/>
      <c r="K1894" s="1061"/>
      <c r="L1894" s="1061"/>
      <c r="M1894" s="1061"/>
      <c r="N1894" s="1061"/>
      <c r="O1894" s="626"/>
    </row>
    <row r="1895" spans="1:15" x14ac:dyDescent="0.25">
      <c r="A1895" s="765"/>
      <c r="B1895" s="624"/>
      <c r="C1895" s="1061"/>
      <c r="D1895" s="1061"/>
      <c r="E1895" s="1061"/>
      <c r="F1895" s="1061"/>
      <c r="G1895" s="1061"/>
      <c r="H1895" s="1061"/>
      <c r="I1895" s="1061"/>
      <c r="J1895" s="1061"/>
      <c r="K1895" s="1061"/>
      <c r="L1895" s="1061"/>
      <c r="M1895" s="1061"/>
      <c r="N1895" s="1061"/>
      <c r="O1895" s="626"/>
    </row>
    <row r="1896" spans="1:15" x14ac:dyDescent="0.25">
      <c r="A1896" s="765"/>
      <c r="B1896" s="624"/>
      <c r="C1896" s="1061"/>
      <c r="D1896" s="1061"/>
      <c r="E1896" s="1061"/>
      <c r="F1896" s="1061"/>
      <c r="G1896" s="1061"/>
      <c r="H1896" s="1061"/>
      <c r="I1896" s="1061"/>
      <c r="J1896" s="1061"/>
      <c r="K1896" s="1061"/>
      <c r="L1896" s="1061"/>
      <c r="M1896" s="1061"/>
      <c r="N1896" s="1061"/>
      <c r="O1896" s="626"/>
    </row>
    <row r="1897" spans="1:15" x14ac:dyDescent="0.25">
      <c r="A1897" s="765"/>
      <c r="B1897" s="624"/>
      <c r="C1897" s="1061"/>
      <c r="D1897" s="1061"/>
      <c r="E1897" s="1061"/>
      <c r="F1897" s="1061"/>
      <c r="G1897" s="1061"/>
      <c r="H1897" s="1061"/>
      <c r="I1897" s="1061"/>
      <c r="J1897" s="1061"/>
      <c r="K1897" s="1061"/>
      <c r="L1897" s="1061"/>
      <c r="M1897" s="1061"/>
      <c r="N1897" s="1061"/>
      <c r="O1897" s="626"/>
    </row>
    <row r="1898" spans="1:15" x14ac:dyDescent="0.25">
      <c r="A1898" s="765"/>
      <c r="B1898" s="624"/>
      <c r="C1898" s="1061"/>
      <c r="D1898" s="1061"/>
      <c r="E1898" s="1061"/>
      <c r="F1898" s="1061"/>
      <c r="G1898" s="1061"/>
      <c r="H1898" s="1061"/>
      <c r="I1898" s="1061"/>
      <c r="J1898" s="1061"/>
      <c r="K1898" s="1061"/>
      <c r="L1898" s="1061"/>
      <c r="M1898" s="1061"/>
      <c r="N1898" s="1061"/>
      <c r="O1898" s="626"/>
    </row>
    <row r="1899" spans="1:15" x14ac:dyDescent="0.25">
      <c r="A1899" s="765"/>
      <c r="B1899" s="624"/>
      <c r="C1899" s="1061"/>
      <c r="D1899" s="1061"/>
      <c r="E1899" s="1061"/>
      <c r="F1899" s="1061"/>
      <c r="G1899" s="1061"/>
      <c r="H1899" s="1061"/>
      <c r="I1899" s="1061"/>
      <c r="J1899" s="1061"/>
      <c r="K1899" s="1061"/>
      <c r="L1899" s="1061"/>
      <c r="M1899" s="1061"/>
      <c r="N1899" s="1061"/>
      <c r="O1899" s="626"/>
    </row>
    <row r="1900" spans="1:15" x14ac:dyDescent="0.25">
      <c r="A1900" s="765"/>
      <c r="B1900" s="624"/>
      <c r="C1900" s="1061"/>
      <c r="D1900" s="1061"/>
      <c r="E1900" s="1061"/>
      <c r="F1900" s="1061"/>
      <c r="G1900" s="1061"/>
      <c r="H1900" s="1061"/>
      <c r="I1900" s="1061"/>
      <c r="J1900" s="1061"/>
      <c r="K1900" s="1061"/>
      <c r="L1900" s="1061"/>
      <c r="M1900" s="1061"/>
      <c r="N1900" s="1061"/>
      <c r="O1900" s="626"/>
    </row>
    <row r="1901" spans="1:15" x14ac:dyDescent="0.25">
      <c r="A1901" s="765"/>
      <c r="B1901" s="624"/>
      <c r="C1901" s="1061"/>
      <c r="D1901" s="1061"/>
      <c r="E1901" s="1061"/>
      <c r="F1901" s="1061"/>
      <c r="G1901" s="1061"/>
      <c r="H1901" s="1061"/>
      <c r="I1901" s="1061"/>
      <c r="J1901" s="1061"/>
      <c r="K1901" s="1061"/>
      <c r="L1901" s="1061"/>
      <c r="M1901" s="1061"/>
      <c r="N1901" s="1061"/>
      <c r="O1901" s="626"/>
    </row>
    <row r="1902" spans="1:15" x14ac:dyDescent="0.25">
      <c r="A1902" s="765"/>
      <c r="B1902" s="624"/>
      <c r="C1902" s="1061"/>
      <c r="D1902" s="1061"/>
      <c r="E1902" s="1061"/>
      <c r="F1902" s="1061"/>
      <c r="G1902" s="1061"/>
      <c r="H1902" s="1061"/>
      <c r="I1902" s="1061"/>
      <c r="J1902" s="1061"/>
      <c r="K1902" s="1061"/>
      <c r="L1902" s="1061"/>
      <c r="M1902" s="1061"/>
      <c r="N1902" s="1061"/>
      <c r="O1902" s="626"/>
    </row>
    <row r="1903" spans="1:15" x14ac:dyDescent="0.25">
      <c r="A1903" s="765"/>
      <c r="B1903" s="624"/>
      <c r="C1903" s="1061"/>
      <c r="D1903" s="1061"/>
      <c r="E1903" s="1061"/>
      <c r="F1903" s="1061"/>
      <c r="G1903" s="1061"/>
      <c r="H1903" s="1061"/>
      <c r="I1903" s="1061"/>
      <c r="J1903" s="1061"/>
      <c r="K1903" s="1061"/>
      <c r="L1903" s="1061"/>
      <c r="M1903" s="1061"/>
      <c r="N1903" s="1061"/>
      <c r="O1903" s="626"/>
    </row>
    <row r="1904" spans="1:15" x14ac:dyDescent="0.25">
      <c r="A1904" s="765"/>
      <c r="B1904" s="624"/>
      <c r="C1904" s="1061"/>
      <c r="D1904" s="1061"/>
      <c r="E1904" s="1061"/>
      <c r="F1904" s="1061"/>
      <c r="G1904" s="1061"/>
      <c r="H1904" s="1061"/>
      <c r="I1904" s="1061"/>
      <c r="J1904" s="1061"/>
      <c r="K1904" s="1061"/>
      <c r="L1904" s="1061"/>
      <c r="M1904" s="1061"/>
      <c r="N1904" s="1061"/>
      <c r="O1904" s="626"/>
    </row>
    <row r="1905" spans="1:15" x14ac:dyDescent="0.25">
      <c r="A1905" s="765"/>
      <c r="B1905" s="624"/>
      <c r="C1905" s="1061"/>
      <c r="D1905" s="1061"/>
      <c r="E1905" s="1061"/>
      <c r="F1905" s="1061"/>
      <c r="G1905" s="1061"/>
      <c r="H1905" s="1061"/>
      <c r="I1905" s="1061"/>
      <c r="J1905" s="1061"/>
      <c r="K1905" s="1061"/>
      <c r="L1905" s="1061"/>
      <c r="M1905" s="1061"/>
      <c r="N1905" s="1061"/>
      <c r="O1905" s="626"/>
    </row>
    <row r="1906" spans="1:15" x14ac:dyDescent="0.25">
      <c r="A1906" s="765"/>
      <c r="B1906" s="624"/>
      <c r="C1906" s="1061"/>
      <c r="D1906" s="1061"/>
      <c r="E1906" s="1061"/>
      <c r="F1906" s="1061"/>
      <c r="G1906" s="1061"/>
      <c r="H1906" s="1061"/>
      <c r="I1906" s="1061"/>
      <c r="J1906" s="1061"/>
      <c r="K1906" s="1061"/>
      <c r="L1906" s="1061"/>
      <c r="M1906" s="1061"/>
      <c r="N1906" s="1061"/>
      <c r="O1906" s="626"/>
    </row>
    <row r="1907" spans="1:15" x14ac:dyDescent="0.25">
      <c r="A1907" s="765"/>
      <c r="B1907" s="624"/>
      <c r="C1907" s="1061"/>
      <c r="D1907" s="1061"/>
      <c r="E1907" s="1061"/>
      <c r="F1907" s="1061"/>
      <c r="G1907" s="1061"/>
      <c r="H1907" s="1061"/>
      <c r="I1907" s="1061"/>
      <c r="J1907" s="1061"/>
      <c r="K1907" s="1061"/>
      <c r="L1907" s="1061"/>
      <c r="M1907" s="1061"/>
      <c r="N1907" s="1061"/>
      <c r="O1907" s="626"/>
    </row>
    <row r="1908" spans="1:15" x14ac:dyDescent="0.25">
      <c r="A1908" s="765"/>
      <c r="B1908" s="624"/>
      <c r="C1908" s="1061"/>
      <c r="D1908" s="1061"/>
      <c r="E1908" s="1061"/>
      <c r="F1908" s="1061"/>
      <c r="G1908" s="1061"/>
      <c r="H1908" s="1061"/>
      <c r="I1908" s="1061"/>
      <c r="J1908" s="1061"/>
      <c r="K1908" s="1061"/>
      <c r="L1908" s="1061"/>
      <c r="M1908" s="1061"/>
      <c r="N1908" s="1061"/>
      <c r="O1908" s="626"/>
    </row>
    <row r="1909" spans="1:15" x14ac:dyDescent="0.25">
      <c r="A1909" s="765"/>
      <c r="B1909" s="624"/>
      <c r="C1909" s="1061"/>
      <c r="D1909" s="1061"/>
      <c r="E1909" s="1061"/>
      <c r="F1909" s="1061"/>
      <c r="G1909" s="1061"/>
      <c r="H1909" s="1061"/>
      <c r="I1909" s="1061"/>
      <c r="J1909" s="1061"/>
      <c r="K1909" s="1061"/>
      <c r="L1909" s="1061"/>
      <c r="M1909" s="1061"/>
      <c r="N1909" s="1061"/>
      <c r="O1909" s="626"/>
    </row>
    <row r="1910" spans="1:15" x14ac:dyDescent="0.25">
      <c r="A1910" s="765"/>
      <c r="B1910" s="624"/>
      <c r="C1910" s="1061"/>
      <c r="D1910" s="1061"/>
      <c r="E1910" s="1061"/>
      <c r="F1910" s="1061"/>
      <c r="G1910" s="1061"/>
      <c r="H1910" s="1061"/>
      <c r="I1910" s="1061"/>
      <c r="J1910" s="1061"/>
      <c r="K1910" s="1061"/>
      <c r="L1910" s="1061"/>
      <c r="M1910" s="1061"/>
      <c r="N1910" s="1061"/>
      <c r="O1910" s="626"/>
    </row>
    <row r="1911" spans="1:15" x14ac:dyDescent="0.25">
      <c r="A1911" s="765"/>
      <c r="B1911" s="624"/>
      <c r="C1911" s="1061"/>
      <c r="D1911" s="1061"/>
      <c r="E1911" s="1061"/>
      <c r="F1911" s="1061"/>
      <c r="G1911" s="1061"/>
      <c r="H1911" s="1061"/>
      <c r="I1911" s="1061"/>
      <c r="J1911" s="1061"/>
      <c r="K1911" s="1061"/>
      <c r="L1911" s="1061"/>
      <c r="M1911" s="1061"/>
      <c r="N1911" s="1061"/>
      <c r="O1911" s="626"/>
    </row>
    <row r="1912" spans="1:15" x14ac:dyDescent="0.25">
      <c r="A1912" s="765"/>
      <c r="B1912" s="624"/>
      <c r="C1912" s="1061"/>
      <c r="D1912" s="1061"/>
      <c r="E1912" s="1061"/>
      <c r="F1912" s="1061"/>
      <c r="G1912" s="1061"/>
      <c r="H1912" s="1061"/>
      <c r="I1912" s="1061"/>
      <c r="J1912" s="1061"/>
      <c r="K1912" s="1061"/>
      <c r="L1912" s="1061"/>
      <c r="M1912" s="1061"/>
      <c r="N1912" s="1061"/>
      <c r="O1912" s="626"/>
    </row>
    <row r="1913" spans="1:15" x14ac:dyDescent="0.25">
      <c r="A1913" s="765"/>
      <c r="B1913" s="624"/>
      <c r="C1913" s="1061"/>
      <c r="D1913" s="1061"/>
      <c r="E1913" s="1061"/>
      <c r="F1913" s="1061"/>
      <c r="G1913" s="1061"/>
      <c r="H1913" s="1061"/>
      <c r="I1913" s="1061"/>
      <c r="J1913" s="1061"/>
      <c r="K1913" s="1061"/>
      <c r="L1913" s="1061"/>
      <c r="M1913" s="1061"/>
      <c r="N1913" s="1061"/>
      <c r="O1913" s="626"/>
    </row>
    <row r="1914" spans="1:15" x14ac:dyDescent="0.25">
      <c r="A1914" s="765"/>
      <c r="B1914" s="624"/>
      <c r="C1914" s="1061"/>
      <c r="D1914" s="1061"/>
      <c r="E1914" s="1061"/>
      <c r="F1914" s="1061"/>
      <c r="G1914" s="1061"/>
      <c r="H1914" s="1061"/>
      <c r="I1914" s="1061"/>
      <c r="J1914" s="1061"/>
      <c r="K1914" s="1061"/>
      <c r="L1914" s="1061"/>
      <c r="M1914" s="1061"/>
      <c r="N1914" s="1061"/>
      <c r="O1914" s="626"/>
    </row>
    <row r="1915" spans="1:15" x14ac:dyDescent="0.25">
      <c r="A1915" s="765"/>
      <c r="B1915" s="624"/>
      <c r="C1915" s="1061"/>
      <c r="D1915" s="1061"/>
      <c r="E1915" s="1061"/>
      <c r="F1915" s="1061"/>
      <c r="G1915" s="1061"/>
      <c r="H1915" s="1061"/>
      <c r="I1915" s="1061"/>
      <c r="J1915" s="1061"/>
      <c r="K1915" s="1061"/>
      <c r="L1915" s="1061"/>
      <c r="M1915" s="1061"/>
      <c r="N1915" s="1061"/>
      <c r="O1915" s="626"/>
    </row>
    <row r="1916" spans="1:15" x14ac:dyDescent="0.25">
      <c r="A1916" s="765"/>
      <c r="B1916" s="624"/>
      <c r="C1916" s="1061"/>
      <c r="D1916" s="1061"/>
      <c r="E1916" s="1061"/>
      <c r="F1916" s="1061"/>
      <c r="G1916" s="1061"/>
      <c r="H1916" s="1061"/>
      <c r="I1916" s="1061"/>
      <c r="J1916" s="1061"/>
      <c r="K1916" s="1061"/>
      <c r="L1916" s="1061"/>
      <c r="M1916" s="1061"/>
      <c r="N1916" s="1061"/>
      <c r="O1916" s="626"/>
    </row>
    <row r="1917" spans="1:15" x14ac:dyDescent="0.25">
      <c r="A1917" s="765"/>
      <c r="B1917" s="624"/>
      <c r="C1917" s="1061"/>
      <c r="D1917" s="1061"/>
      <c r="E1917" s="1061"/>
      <c r="F1917" s="1061"/>
      <c r="G1917" s="1061"/>
      <c r="H1917" s="1061"/>
      <c r="I1917" s="1061"/>
      <c r="J1917" s="1061"/>
      <c r="K1917" s="1061"/>
      <c r="L1917" s="1061"/>
      <c r="M1917" s="1061"/>
      <c r="N1917" s="1061"/>
      <c r="O1917" s="626"/>
    </row>
    <row r="1918" spans="1:15" x14ac:dyDescent="0.25">
      <c r="A1918" s="765"/>
      <c r="B1918" s="624"/>
      <c r="C1918" s="1061"/>
      <c r="D1918" s="1061"/>
      <c r="E1918" s="1061"/>
      <c r="F1918" s="1061"/>
      <c r="G1918" s="1061"/>
      <c r="H1918" s="1061"/>
      <c r="I1918" s="1061"/>
      <c r="J1918" s="1061"/>
      <c r="K1918" s="1061"/>
      <c r="L1918" s="1061"/>
      <c r="M1918" s="1061"/>
      <c r="N1918" s="1061"/>
      <c r="O1918" s="626"/>
    </row>
    <row r="1919" spans="1:15" x14ac:dyDescent="0.25">
      <c r="A1919" s="765"/>
      <c r="B1919" s="624"/>
      <c r="C1919" s="1061"/>
      <c r="D1919" s="1061"/>
      <c r="E1919" s="1061"/>
      <c r="F1919" s="1061"/>
      <c r="G1919" s="1061"/>
      <c r="H1919" s="1061"/>
      <c r="I1919" s="1061"/>
      <c r="J1919" s="1061"/>
      <c r="K1919" s="1061"/>
      <c r="L1919" s="1061"/>
      <c r="M1919" s="1061"/>
      <c r="N1919" s="1061"/>
      <c r="O1919" s="626"/>
    </row>
    <row r="1920" spans="1:15" x14ac:dyDescent="0.25">
      <c r="A1920" s="765"/>
      <c r="B1920" s="624"/>
      <c r="C1920" s="1061"/>
      <c r="D1920" s="1061"/>
      <c r="E1920" s="1061"/>
      <c r="F1920" s="1061"/>
      <c r="G1920" s="1061"/>
      <c r="H1920" s="1061"/>
      <c r="I1920" s="1061"/>
      <c r="J1920" s="1061"/>
      <c r="K1920" s="1061"/>
      <c r="L1920" s="1061"/>
      <c r="M1920" s="1061"/>
      <c r="N1920" s="1061"/>
      <c r="O1920" s="626"/>
    </row>
    <row r="1921" spans="1:15" x14ac:dyDescent="0.25">
      <c r="A1921" s="765"/>
      <c r="B1921" s="624"/>
      <c r="C1921" s="1061"/>
      <c r="D1921" s="1061"/>
      <c r="E1921" s="1061"/>
      <c r="F1921" s="1061"/>
      <c r="G1921" s="1061"/>
      <c r="H1921" s="1061"/>
      <c r="I1921" s="1061"/>
      <c r="J1921" s="1061"/>
      <c r="K1921" s="1061"/>
      <c r="L1921" s="1061"/>
      <c r="M1921" s="1061"/>
      <c r="N1921" s="1061"/>
      <c r="O1921" s="626"/>
    </row>
    <row r="1922" spans="1:15" x14ac:dyDescent="0.25">
      <c r="A1922" s="765"/>
      <c r="B1922" s="624"/>
      <c r="C1922" s="1061"/>
      <c r="D1922" s="1061"/>
      <c r="E1922" s="1061"/>
      <c r="F1922" s="1061"/>
      <c r="G1922" s="1061"/>
      <c r="H1922" s="1061"/>
      <c r="I1922" s="1061"/>
      <c r="J1922" s="1061"/>
      <c r="K1922" s="1061"/>
      <c r="L1922" s="1061"/>
      <c r="M1922" s="1061"/>
      <c r="N1922" s="1061"/>
      <c r="O1922" s="626"/>
    </row>
    <row r="1923" spans="1:15" x14ac:dyDescent="0.25">
      <c r="A1923" s="765"/>
      <c r="B1923" s="624"/>
      <c r="C1923" s="1061"/>
      <c r="D1923" s="1061"/>
      <c r="E1923" s="1061"/>
      <c r="F1923" s="1061"/>
      <c r="G1923" s="1061"/>
      <c r="H1923" s="1061"/>
      <c r="I1923" s="1061"/>
      <c r="J1923" s="1061"/>
      <c r="K1923" s="1061"/>
      <c r="L1923" s="1061"/>
      <c r="M1923" s="1061"/>
      <c r="N1923" s="1061"/>
      <c r="O1923" s="626"/>
    </row>
    <row r="1924" spans="1:15" x14ac:dyDescent="0.25">
      <c r="A1924" s="765"/>
      <c r="B1924" s="624"/>
      <c r="C1924" s="1061"/>
      <c r="D1924" s="1061"/>
      <c r="E1924" s="1061"/>
      <c r="F1924" s="1061"/>
      <c r="G1924" s="1061"/>
      <c r="H1924" s="1061"/>
      <c r="I1924" s="1061"/>
      <c r="J1924" s="1061"/>
      <c r="K1924" s="1061"/>
      <c r="L1924" s="1061"/>
      <c r="M1924" s="1061"/>
      <c r="N1924" s="1061"/>
      <c r="O1924" s="626"/>
    </row>
    <row r="1925" spans="1:15" x14ac:dyDescent="0.25">
      <c r="A1925" s="765"/>
      <c r="B1925" s="624"/>
      <c r="C1925" s="1061"/>
      <c r="D1925" s="1061"/>
      <c r="E1925" s="1061"/>
      <c r="F1925" s="1061"/>
      <c r="G1925" s="1061"/>
      <c r="H1925" s="1061"/>
      <c r="I1925" s="1061"/>
      <c r="J1925" s="1061"/>
      <c r="K1925" s="1061"/>
      <c r="L1925" s="1061"/>
      <c r="M1925" s="1061"/>
      <c r="N1925" s="1061"/>
      <c r="O1925" s="626"/>
    </row>
    <row r="1926" spans="1:15" x14ac:dyDescent="0.25">
      <c r="A1926" s="765"/>
      <c r="B1926" s="624"/>
      <c r="C1926" s="1061"/>
      <c r="D1926" s="1061"/>
      <c r="E1926" s="1061"/>
      <c r="F1926" s="1061"/>
      <c r="G1926" s="1061"/>
      <c r="H1926" s="1061"/>
      <c r="I1926" s="1061"/>
      <c r="J1926" s="1061"/>
      <c r="K1926" s="1061"/>
      <c r="L1926" s="1061"/>
      <c r="M1926" s="1061"/>
      <c r="N1926" s="1061"/>
      <c r="O1926" s="626"/>
    </row>
    <row r="1927" spans="1:15" x14ac:dyDescent="0.25">
      <c r="A1927" s="765"/>
      <c r="B1927" s="624"/>
      <c r="C1927" s="1061"/>
      <c r="D1927" s="1061"/>
      <c r="E1927" s="1061"/>
      <c r="F1927" s="1061"/>
      <c r="G1927" s="1061"/>
      <c r="H1927" s="1061"/>
      <c r="I1927" s="1061"/>
      <c r="J1927" s="1061"/>
      <c r="K1927" s="1061"/>
      <c r="L1927" s="1061"/>
      <c r="M1927" s="1061"/>
      <c r="N1927" s="1061"/>
      <c r="O1927" s="626"/>
    </row>
    <row r="1928" spans="1:15" x14ac:dyDescent="0.25">
      <c r="A1928" s="765"/>
      <c r="B1928" s="624"/>
      <c r="C1928" s="1061"/>
      <c r="D1928" s="1061"/>
      <c r="E1928" s="1061"/>
      <c r="F1928" s="1061"/>
      <c r="G1928" s="1061"/>
      <c r="H1928" s="1061"/>
      <c r="I1928" s="1061"/>
      <c r="J1928" s="1061"/>
      <c r="K1928" s="1061"/>
      <c r="L1928" s="1061"/>
      <c r="M1928" s="1061"/>
      <c r="N1928" s="1061"/>
      <c r="O1928" s="626"/>
    </row>
    <row r="1929" spans="1:15" x14ac:dyDescent="0.25">
      <c r="A1929" s="765"/>
      <c r="B1929" s="624"/>
      <c r="C1929" s="1061"/>
      <c r="D1929" s="1061"/>
      <c r="E1929" s="1061"/>
      <c r="F1929" s="1061"/>
      <c r="G1929" s="1061"/>
      <c r="H1929" s="1061"/>
      <c r="I1929" s="1061"/>
      <c r="J1929" s="1061"/>
      <c r="K1929" s="1061"/>
      <c r="L1929" s="1061"/>
      <c r="M1929" s="1061"/>
      <c r="N1929" s="1061"/>
      <c r="O1929" s="626"/>
    </row>
    <row r="1930" spans="1:15" x14ac:dyDescent="0.25">
      <c r="A1930" s="765"/>
      <c r="B1930" s="624"/>
      <c r="C1930" s="1061"/>
      <c r="D1930" s="1061"/>
      <c r="E1930" s="1061"/>
      <c r="F1930" s="1061"/>
      <c r="G1930" s="1061"/>
      <c r="H1930" s="1061"/>
      <c r="I1930" s="1061"/>
      <c r="J1930" s="1061"/>
      <c r="K1930" s="1061"/>
      <c r="L1930" s="1061"/>
      <c r="M1930" s="1061"/>
      <c r="N1930" s="1061"/>
      <c r="O1930" s="626"/>
    </row>
    <row r="1931" spans="1:15" x14ac:dyDescent="0.25">
      <c r="A1931" s="765"/>
      <c r="B1931" s="624"/>
      <c r="C1931" s="1061"/>
      <c r="D1931" s="1061"/>
      <c r="E1931" s="1061"/>
      <c r="F1931" s="1061"/>
      <c r="G1931" s="1061"/>
      <c r="H1931" s="1061"/>
      <c r="I1931" s="1061"/>
      <c r="J1931" s="1061"/>
      <c r="K1931" s="1061"/>
      <c r="L1931" s="1061"/>
      <c r="M1931" s="1061"/>
      <c r="N1931" s="1061"/>
      <c r="O1931" s="626"/>
    </row>
    <row r="1932" spans="1:15" x14ac:dyDescent="0.25">
      <c r="A1932" s="765"/>
      <c r="B1932" s="624"/>
      <c r="C1932" s="1061"/>
      <c r="D1932" s="1061"/>
      <c r="E1932" s="1061"/>
      <c r="F1932" s="1061"/>
      <c r="G1932" s="1061"/>
      <c r="H1932" s="1061"/>
      <c r="I1932" s="1061"/>
      <c r="J1932" s="1061"/>
      <c r="K1932" s="1061"/>
      <c r="L1932" s="1061"/>
      <c r="M1932" s="1061"/>
      <c r="N1932" s="1061"/>
      <c r="O1932" s="626"/>
    </row>
    <row r="1933" spans="1:15" x14ac:dyDescent="0.25">
      <c r="A1933" s="765"/>
      <c r="B1933" s="624"/>
      <c r="C1933" s="1061"/>
      <c r="D1933" s="1061"/>
      <c r="E1933" s="1061"/>
      <c r="F1933" s="1061"/>
      <c r="G1933" s="1061"/>
      <c r="H1933" s="1061"/>
      <c r="I1933" s="1061"/>
      <c r="J1933" s="1061"/>
      <c r="K1933" s="1061"/>
      <c r="L1933" s="1061"/>
      <c r="M1933" s="1061"/>
      <c r="N1933" s="1061"/>
      <c r="O1933" s="626"/>
    </row>
    <row r="1934" spans="1:15" x14ac:dyDescent="0.25">
      <c r="A1934" s="765"/>
      <c r="B1934" s="624"/>
      <c r="C1934" s="1061"/>
      <c r="D1934" s="1061"/>
      <c r="E1934" s="1061"/>
      <c r="F1934" s="1061"/>
      <c r="G1934" s="1061"/>
      <c r="H1934" s="1061"/>
      <c r="I1934" s="1061"/>
      <c r="J1934" s="1061"/>
      <c r="K1934" s="1061"/>
      <c r="L1934" s="1061"/>
      <c r="M1934" s="1061"/>
      <c r="N1934" s="1061"/>
      <c r="O1934" s="626"/>
    </row>
    <row r="1935" spans="1:15" x14ac:dyDescent="0.25">
      <c r="A1935" s="765"/>
      <c r="B1935" s="624"/>
      <c r="C1935" s="1061"/>
      <c r="D1935" s="1061"/>
      <c r="E1935" s="1061"/>
      <c r="F1935" s="1061"/>
      <c r="G1935" s="1061"/>
      <c r="H1935" s="1061"/>
      <c r="I1935" s="1061"/>
      <c r="J1935" s="1061"/>
      <c r="K1935" s="1061"/>
      <c r="L1935" s="1061"/>
      <c r="M1935" s="1061"/>
      <c r="N1935" s="1061"/>
      <c r="O1935" s="626"/>
    </row>
    <row r="1936" spans="1:15" x14ac:dyDescent="0.25">
      <c r="A1936" s="765"/>
      <c r="B1936" s="624"/>
      <c r="C1936" s="1061"/>
      <c r="D1936" s="1061"/>
      <c r="E1936" s="1061"/>
      <c r="F1936" s="1061"/>
      <c r="G1936" s="1061"/>
      <c r="H1936" s="1061"/>
      <c r="I1936" s="1061"/>
      <c r="J1936" s="1061"/>
      <c r="K1936" s="1061"/>
      <c r="L1936" s="1061"/>
      <c r="M1936" s="1061"/>
      <c r="N1936" s="1061"/>
      <c r="O1936" s="626"/>
    </row>
    <row r="1937" spans="1:15" x14ac:dyDescent="0.25">
      <c r="A1937" s="765"/>
      <c r="B1937" s="624"/>
      <c r="C1937" s="1061"/>
      <c r="D1937" s="1061"/>
      <c r="E1937" s="1061"/>
      <c r="F1937" s="1061"/>
      <c r="G1937" s="1061"/>
      <c r="H1937" s="1061"/>
      <c r="I1937" s="1061"/>
      <c r="J1937" s="1061"/>
      <c r="K1937" s="1061"/>
      <c r="L1937" s="1061"/>
      <c r="M1937" s="1061"/>
      <c r="N1937" s="1061"/>
      <c r="O1937" s="626"/>
    </row>
    <row r="1938" spans="1:15" x14ac:dyDescent="0.25">
      <c r="A1938" s="765"/>
      <c r="B1938" s="624"/>
      <c r="C1938" s="1061"/>
      <c r="D1938" s="1061"/>
      <c r="E1938" s="1061"/>
      <c r="F1938" s="1061"/>
      <c r="G1938" s="1061"/>
      <c r="H1938" s="1061"/>
      <c r="I1938" s="1061"/>
      <c r="J1938" s="1061"/>
      <c r="K1938" s="1061"/>
      <c r="L1938" s="1061"/>
      <c r="M1938" s="1061"/>
      <c r="N1938" s="1061"/>
      <c r="O1938" s="626"/>
    </row>
    <row r="1939" spans="1:15" x14ac:dyDescent="0.25">
      <c r="A1939" s="765"/>
      <c r="B1939" s="624"/>
      <c r="C1939" s="1061"/>
      <c r="D1939" s="1061"/>
      <c r="E1939" s="1061"/>
      <c r="F1939" s="1061"/>
      <c r="G1939" s="1061"/>
      <c r="H1939" s="1061"/>
      <c r="I1939" s="1061"/>
      <c r="J1939" s="1061"/>
      <c r="K1939" s="1061"/>
      <c r="L1939" s="1061"/>
      <c r="M1939" s="1061"/>
      <c r="N1939" s="1061"/>
      <c r="O1939" s="626"/>
    </row>
    <row r="1940" spans="1:15" x14ac:dyDescent="0.25">
      <c r="A1940" s="765"/>
      <c r="B1940" s="624"/>
      <c r="C1940" s="1061"/>
      <c r="D1940" s="1061"/>
      <c r="E1940" s="1061"/>
      <c r="F1940" s="1061"/>
      <c r="G1940" s="1061"/>
      <c r="H1940" s="1061"/>
      <c r="I1940" s="1061"/>
      <c r="J1940" s="1061"/>
      <c r="K1940" s="1061"/>
      <c r="L1940" s="1061"/>
      <c r="M1940" s="1061"/>
      <c r="N1940" s="1061"/>
      <c r="O1940" s="626"/>
    </row>
    <row r="1941" spans="1:15" x14ac:dyDescent="0.25">
      <c r="A1941" s="765"/>
      <c r="B1941" s="624"/>
      <c r="C1941" s="1061"/>
      <c r="D1941" s="1061"/>
      <c r="E1941" s="1061"/>
      <c r="F1941" s="1061"/>
      <c r="G1941" s="1061"/>
      <c r="H1941" s="1061"/>
      <c r="I1941" s="1061"/>
      <c r="J1941" s="1061"/>
      <c r="K1941" s="1061"/>
      <c r="L1941" s="1061"/>
      <c r="M1941" s="1061"/>
      <c r="N1941" s="1061"/>
      <c r="O1941" s="626"/>
    </row>
    <row r="1942" spans="1:15" x14ac:dyDescent="0.25">
      <c r="A1942" s="765"/>
      <c r="B1942" s="624"/>
      <c r="C1942" s="1061"/>
      <c r="D1942" s="1061"/>
      <c r="E1942" s="1061"/>
      <c r="F1942" s="1061"/>
      <c r="G1942" s="1061"/>
      <c r="H1942" s="1061"/>
      <c r="I1942" s="1061"/>
      <c r="J1942" s="1061"/>
      <c r="K1942" s="1061"/>
      <c r="L1942" s="1061"/>
      <c r="M1942" s="1061"/>
      <c r="N1942" s="1061"/>
      <c r="O1942" s="626"/>
    </row>
    <row r="1943" spans="1:15" x14ac:dyDescent="0.25">
      <c r="A1943" s="765"/>
      <c r="B1943" s="624"/>
      <c r="C1943" s="1061"/>
      <c r="D1943" s="1061"/>
      <c r="E1943" s="1061"/>
      <c r="F1943" s="1061"/>
      <c r="G1943" s="1061"/>
      <c r="H1943" s="1061"/>
      <c r="I1943" s="1061"/>
      <c r="J1943" s="1061"/>
      <c r="K1943" s="1061"/>
      <c r="L1943" s="1061"/>
      <c r="M1943" s="1061"/>
      <c r="N1943" s="1061"/>
      <c r="O1943" s="626"/>
    </row>
    <row r="1944" spans="1:15" x14ac:dyDescent="0.25">
      <c r="A1944" s="765"/>
      <c r="B1944" s="624"/>
      <c r="C1944" s="1061"/>
      <c r="D1944" s="1061"/>
      <c r="E1944" s="1061"/>
      <c r="F1944" s="1061"/>
      <c r="G1944" s="1061"/>
      <c r="H1944" s="1061"/>
      <c r="I1944" s="1061"/>
      <c r="J1944" s="1061"/>
      <c r="K1944" s="1061"/>
      <c r="L1944" s="1061"/>
      <c r="M1944" s="1061"/>
      <c r="N1944" s="1061"/>
      <c r="O1944" s="626"/>
    </row>
    <row r="1945" spans="1:15" x14ac:dyDescent="0.25">
      <c r="A1945" s="765"/>
      <c r="B1945" s="624"/>
      <c r="C1945" s="1061"/>
      <c r="D1945" s="1061"/>
      <c r="E1945" s="1061"/>
      <c r="F1945" s="1061"/>
      <c r="G1945" s="1061"/>
      <c r="H1945" s="1061"/>
      <c r="I1945" s="1061"/>
      <c r="J1945" s="1061"/>
      <c r="K1945" s="1061"/>
      <c r="L1945" s="1061"/>
      <c r="M1945" s="1061"/>
      <c r="N1945" s="1061"/>
      <c r="O1945" s="626"/>
    </row>
    <row r="1946" spans="1:15" x14ac:dyDescent="0.25">
      <c r="A1946" s="765"/>
      <c r="B1946" s="624"/>
      <c r="C1946" s="1061"/>
      <c r="D1946" s="1061"/>
      <c r="E1946" s="1061"/>
      <c r="F1946" s="1061"/>
      <c r="G1946" s="1061"/>
      <c r="H1946" s="1061"/>
      <c r="I1946" s="1061"/>
      <c r="J1946" s="1061"/>
      <c r="K1946" s="1061"/>
      <c r="L1946" s="1061"/>
      <c r="M1946" s="1061"/>
      <c r="N1946" s="1061"/>
      <c r="O1946" s="626"/>
    </row>
    <row r="1947" spans="1:15" x14ac:dyDescent="0.25">
      <c r="A1947" s="765"/>
      <c r="B1947" s="624"/>
      <c r="C1947" s="1061"/>
      <c r="D1947" s="1061"/>
      <c r="E1947" s="1061"/>
      <c r="F1947" s="1061"/>
      <c r="G1947" s="1061"/>
      <c r="H1947" s="1061"/>
      <c r="I1947" s="1061"/>
      <c r="J1947" s="1061"/>
      <c r="K1947" s="1061"/>
      <c r="L1947" s="1061"/>
      <c r="M1947" s="1061"/>
      <c r="N1947" s="1061"/>
      <c r="O1947" s="626"/>
    </row>
    <row r="1948" spans="1:15" x14ac:dyDescent="0.25">
      <c r="A1948" s="765"/>
      <c r="B1948" s="624"/>
      <c r="C1948" s="1061"/>
      <c r="D1948" s="1061"/>
      <c r="E1948" s="1061"/>
      <c r="F1948" s="1061"/>
      <c r="G1948" s="1061"/>
      <c r="H1948" s="1061"/>
      <c r="I1948" s="1061"/>
      <c r="J1948" s="1061"/>
      <c r="K1948" s="1061"/>
      <c r="L1948" s="1061"/>
      <c r="M1948" s="1061"/>
      <c r="N1948" s="1061"/>
      <c r="O1948" s="626"/>
    </row>
    <row r="1949" spans="1:15" x14ac:dyDescent="0.25">
      <c r="A1949" s="765"/>
      <c r="B1949" s="624"/>
      <c r="C1949" s="1061"/>
      <c r="D1949" s="1061"/>
      <c r="E1949" s="1061"/>
      <c r="F1949" s="1061"/>
      <c r="G1949" s="1061"/>
      <c r="H1949" s="1061"/>
      <c r="I1949" s="1061"/>
      <c r="J1949" s="1061"/>
      <c r="K1949" s="1061"/>
      <c r="L1949" s="1061"/>
      <c r="M1949" s="1061"/>
      <c r="N1949" s="1061"/>
      <c r="O1949" s="626"/>
    </row>
    <row r="1950" spans="1:15" x14ac:dyDescent="0.25">
      <c r="A1950" s="765"/>
      <c r="B1950" s="624"/>
      <c r="C1950" s="1061"/>
      <c r="D1950" s="1061"/>
      <c r="E1950" s="1061"/>
      <c r="F1950" s="1061"/>
      <c r="G1950" s="1061"/>
      <c r="H1950" s="1061"/>
      <c r="I1950" s="1061"/>
      <c r="J1950" s="1061"/>
      <c r="K1950" s="1061"/>
      <c r="L1950" s="1061"/>
      <c r="M1950" s="1061"/>
      <c r="N1950" s="1061"/>
      <c r="O1950" s="626"/>
    </row>
    <row r="1951" spans="1:15" x14ac:dyDescent="0.25">
      <c r="A1951" s="765"/>
      <c r="B1951" s="624"/>
      <c r="C1951" s="1061"/>
      <c r="D1951" s="1061"/>
      <c r="E1951" s="1061"/>
      <c r="F1951" s="1061"/>
      <c r="G1951" s="1061"/>
      <c r="H1951" s="1061"/>
      <c r="I1951" s="1061"/>
      <c r="J1951" s="1061"/>
      <c r="K1951" s="1061"/>
      <c r="L1951" s="1061"/>
      <c r="M1951" s="1061"/>
      <c r="N1951" s="1061"/>
      <c r="O1951" s="626"/>
    </row>
    <row r="1952" spans="1:15" x14ac:dyDescent="0.25">
      <c r="A1952" s="765"/>
      <c r="B1952" s="624"/>
      <c r="C1952" s="1061"/>
      <c r="D1952" s="1061"/>
      <c r="E1952" s="1061"/>
      <c r="F1952" s="1061"/>
      <c r="G1952" s="1061"/>
      <c r="H1952" s="1061"/>
      <c r="I1952" s="1061"/>
      <c r="J1952" s="1061"/>
      <c r="K1952" s="1061"/>
      <c r="L1952" s="1061"/>
      <c r="M1952" s="1061"/>
      <c r="N1952" s="1061"/>
      <c r="O1952" s="626"/>
    </row>
    <row r="1953" spans="1:15" x14ac:dyDescent="0.25">
      <c r="A1953" s="765"/>
      <c r="B1953" s="624"/>
      <c r="C1953" s="1061"/>
      <c r="D1953" s="1061"/>
      <c r="E1953" s="1061"/>
      <c r="F1953" s="1061"/>
      <c r="G1953" s="1061"/>
      <c r="H1953" s="1061"/>
      <c r="I1953" s="1061"/>
      <c r="J1953" s="1061"/>
      <c r="K1953" s="1061"/>
      <c r="L1953" s="1061"/>
      <c r="M1953" s="1061"/>
      <c r="N1953" s="1061"/>
      <c r="O1953" s="626"/>
    </row>
    <row r="1954" spans="1:15" x14ac:dyDescent="0.25">
      <c r="A1954" s="765"/>
      <c r="B1954" s="624"/>
      <c r="C1954" s="1061"/>
      <c r="D1954" s="1061"/>
      <c r="E1954" s="1061"/>
      <c r="F1954" s="1061"/>
      <c r="G1954" s="1061"/>
      <c r="H1954" s="1061"/>
      <c r="I1954" s="1061"/>
      <c r="J1954" s="1061"/>
      <c r="K1954" s="1061"/>
      <c r="L1954" s="1061"/>
      <c r="M1954" s="1061"/>
      <c r="N1954" s="1061"/>
      <c r="O1954" s="626"/>
    </row>
    <row r="1955" spans="1:15" x14ac:dyDescent="0.25">
      <c r="A1955" s="765"/>
      <c r="B1955" s="624"/>
      <c r="C1955" s="1061"/>
      <c r="D1955" s="1061"/>
      <c r="E1955" s="1061"/>
      <c r="F1955" s="1061"/>
      <c r="G1955" s="1061"/>
      <c r="H1955" s="1061"/>
      <c r="I1955" s="1061"/>
      <c r="J1955" s="1061"/>
      <c r="K1955" s="1061"/>
      <c r="L1955" s="1061"/>
      <c r="M1955" s="1061"/>
      <c r="N1955" s="1061"/>
      <c r="O1955" s="626"/>
    </row>
    <row r="1956" spans="1:15" x14ac:dyDescent="0.25">
      <c r="A1956" s="765"/>
      <c r="B1956" s="624"/>
      <c r="C1956" s="1061"/>
      <c r="D1956" s="1061"/>
      <c r="E1956" s="1061"/>
      <c r="F1956" s="1061"/>
      <c r="G1956" s="1061"/>
      <c r="H1956" s="1061"/>
      <c r="I1956" s="1061"/>
      <c r="J1956" s="1061"/>
      <c r="K1956" s="1061"/>
      <c r="L1956" s="1061"/>
      <c r="M1956" s="1061"/>
      <c r="N1956" s="1061"/>
      <c r="O1956" s="626"/>
    </row>
    <row r="1957" spans="1:15" x14ac:dyDescent="0.25">
      <c r="A1957" s="765"/>
      <c r="B1957" s="624"/>
      <c r="C1957" s="1061"/>
      <c r="D1957" s="1061"/>
      <c r="E1957" s="1061"/>
      <c r="F1957" s="1061"/>
      <c r="G1957" s="1061"/>
      <c r="H1957" s="1061"/>
      <c r="I1957" s="1061"/>
      <c r="J1957" s="1061"/>
      <c r="K1957" s="1061"/>
      <c r="L1957" s="1061"/>
      <c r="M1957" s="1061"/>
      <c r="N1957" s="1061"/>
      <c r="O1957" s="626"/>
    </row>
    <row r="1958" spans="1:15" x14ac:dyDescent="0.25">
      <c r="A1958" s="765"/>
      <c r="B1958" s="624"/>
      <c r="C1958" s="1061"/>
      <c r="D1958" s="1061"/>
      <c r="E1958" s="1061"/>
      <c r="F1958" s="1061"/>
      <c r="G1958" s="1061"/>
      <c r="H1958" s="1061"/>
      <c r="I1958" s="1061"/>
      <c r="J1958" s="1061"/>
      <c r="K1958" s="1061"/>
      <c r="L1958" s="1061"/>
      <c r="M1958" s="1061"/>
      <c r="N1958" s="1061"/>
      <c r="O1958" s="626"/>
    </row>
    <row r="1959" spans="1:15" x14ac:dyDescent="0.25">
      <c r="A1959" s="765"/>
      <c r="B1959" s="624"/>
      <c r="C1959" s="1061"/>
      <c r="D1959" s="1061"/>
      <c r="E1959" s="1061"/>
      <c r="F1959" s="1061"/>
      <c r="G1959" s="1061"/>
      <c r="H1959" s="1061"/>
      <c r="I1959" s="1061"/>
      <c r="J1959" s="1061"/>
      <c r="K1959" s="1061"/>
      <c r="L1959" s="1061"/>
      <c r="M1959" s="1061"/>
      <c r="N1959" s="1061"/>
      <c r="O1959" s="626"/>
    </row>
    <row r="1960" spans="1:15" x14ac:dyDescent="0.25">
      <c r="A1960" s="765"/>
      <c r="B1960" s="624"/>
      <c r="C1960" s="1061"/>
      <c r="D1960" s="1061"/>
      <c r="E1960" s="1061"/>
      <c r="F1960" s="1061"/>
      <c r="G1960" s="1061"/>
      <c r="H1960" s="1061"/>
      <c r="I1960" s="1061"/>
      <c r="J1960" s="1061"/>
      <c r="K1960" s="1061"/>
      <c r="L1960" s="1061"/>
      <c r="M1960" s="1061"/>
      <c r="N1960" s="1061"/>
      <c r="O1960" s="626"/>
    </row>
    <row r="1961" spans="1:15" x14ac:dyDescent="0.25">
      <c r="A1961" s="765"/>
      <c r="B1961" s="624"/>
      <c r="C1961" s="1061"/>
      <c r="D1961" s="1061"/>
      <c r="E1961" s="1061"/>
      <c r="F1961" s="1061"/>
      <c r="G1961" s="1061"/>
      <c r="H1961" s="1061"/>
      <c r="I1961" s="1061"/>
      <c r="J1961" s="1061"/>
      <c r="K1961" s="1061"/>
      <c r="L1961" s="1061"/>
      <c r="M1961" s="1061"/>
      <c r="N1961" s="1061"/>
      <c r="O1961" s="626"/>
    </row>
    <row r="1962" spans="1:15" x14ac:dyDescent="0.25">
      <c r="A1962" s="765"/>
      <c r="B1962" s="624"/>
      <c r="C1962" s="1061"/>
      <c r="D1962" s="1061"/>
      <c r="E1962" s="1061"/>
      <c r="F1962" s="1061"/>
      <c r="G1962" s="1061"/>
      <c r="H1962" s="1061"/>
      <c r="I1962" s="1061"/>
      <c r="J1962" s="1061"/>
      <c r="K1962" s="1061"/>
      <c r="L1962" s="1061"/>
      <c r="M1962" s="1061"/>
      <c r="N1962" s="1061"/>
      <c r="O1962" s="626"/>
    </row>
    <row r="1963" spans="1:15" x14ac:dyDescent="0.25">
      <c r="A1963" s="765"/>
      <c r="B1963" s="624"/>
      <c r="C1963" s="1061"/>
      <c r="D1963" s="1061"/>
      <c r="E1963" s="1061"/>
      <c r="F1963" s="1061"/>
      <c r="G1963" s="1061"/>
      <c r="H1963" s="1061"/>
      <c r="I1963" s="1061"/>
      <c r="J1963" s="1061"/>
      <c r="K1963" s="1061"/>
      <c r="L1963" s="1061"/>
      <c r="M1963" s="1061"/>
      <c r="N1963" s="1061"/>
      <c r="O1963" s="626"/>
    </row>
    <row r="1964" spans="1:15" x14ac:dyDescent="0.25">
      <c r="A1964" s="765"/>
      <c r="B1964" s="624"/>
      <c r="C1964" s="1061"/>
      <c r="D1964" s="1061"/>
      <c r="E1964" s="1061"/>
      <c r="F1964" s="1061"/>
      <c r="G1964" s="1061"/>
      <c r="H1964" s="1061"/>
      <c r="I1964" s="1061"/>
      <c r="J1964" s="1061"/>
      <c r="K1964" s="1061"/>
      <c r="L1964" s="1061"/>
      <c r="M1964" s="1061"/>
      <c r="N1964" s="1061"/>
      <c r="O1964" s="626"/>
    </row>
    <row r="1965" spans="1:15" x14ac:dyDescent="0.25">
      <c r="A1965" s="765"/>
      <c r="B1965" s="624"/>
      <c r="C1965" s="1061"/>
      <c r="D1965" s="1061"/>
      <c r="E1965" s="1061"/>
      <c r="F1965" s="1061"/>
      <c r="G1965" s="1061"/>
      <c r="H1965" s="1061"/>
      <c r="I1965" s="1061"/>
      <c r="J1965" s="1061"/>
      <c r="K1965" s="1061"/>
      <c r="L1965" s="1061"/>
      <c r="M1965" s="1061"/>
      <c r="N1965" s="1061"/>
      <c r="O1965" s="626"/>
    </row>
    <row r="1966" spans="1:15" x14ac:dyDescent="0.25">
      <c r="A1966" s="765"/>
      <c r="B1966" s="624"/>
      <c r="C1966" s="1061"/>
      <c r="D1966" s="1061"/>
      <c r="E1966" s="1061"/>
      <c r="F1966" s="1061"/>
      <c r="G1966" s="1061"/>
      <c r="H1966" s="1061"/>
      <c r="I1966" s="1061"/>
      <c r="J1966" s="1061"/>
      <c r="K1966" s="1061"/>
      <c r="L1966" s="1061"/>
      <c r="M1966" s="1061"/>
      <c r="N1966" s="1061"/>
      <c r="O1966" s="626"/>
    </row>
    <row r="1967" spans="1:15" x14ac:dyDescent="0.25">
      <c r="A1967" s="765"/>
      <c r="B1967" s="624"/>
      <c r="C1967" s="1061"/>
      <c r="D1967" s="1061"/>
      <c r="E1967" s="1061"/>
      <c r="F1967" s="1061"/>
      <c r="G1967" s="1061"/>
      <c r="H1967" s="1061"/>
      <c r="I1967" s="1061"/>
      <c r="J1967" s="1061"/>
      <c r="K1967" s="1061"/>
      <c r="L1967" s="1061"/>
      <c r="M1967" s="1061"/>
      <c r="N1967" s="1061"/>
      <c r="O1967" s="626"/>
    </row>
    <row r="1968" spans="1:15" x14ac:dyDescent="0.25">
      <c r="A1968" s="765"/>
      <c r="B1968" s="624"/>
      <c r="C1968" s="1061"/>
      <c r="D1968" s="1061"/>
      <c r="E1968" s="1061"/>
      <c r="F1968" s="1061"/>
      <c r="G1968" s="1061"/>
      <c r="H1968" s="1061"/>
      <c r="I1968" s="1061"/>
      <c r="J1968" s="1061"/>
      <c r="K1968" s="1061"/>
      <c r="L1968" s="1061"/>
      <c r="M1968" s="1061"/>
      <c r="N1968" s="1061"/>
      <c r="O1968" s="626"/>
    </row>
    <row r="1969" spans="1:15" x14ac:dyDescent="0.25">
      <c r="A1969" s="765"/>
      <c r="B1969" s="624"/>
      <c r="C1969" s="1061"/>
      <c r="D1969" s="1061"/>
      <c r="E1969" s="1061"/>
      <c r="F1969" s="1061"/>
      <c r="G1969" s="1061"/>
      <c r="H1969" s="1061"/>
      <c r="I1969" s="1061"/>
      <c r="J1969" s="1061"/>
      <c r="K1969" s="1061"/>
      <c r="L1969" s="1061"/>
      <c r="M1969" s="1061"/>
      <c r="N1969" s="1061"/>
      <c r="O1969" s="626"/>
    </row>
    <row r="1970" spans="1:15" x14ac:dyDescent="0.25">
      <c r="A1970" s="765"/>
      <c r="B1970" s="624"/>
      <c r="C1970" s="1061"/>
      <c r="D1970" s="1061"/>
      <c r="E1970" s="1061"/>
      <c r="F1970" s="1061"/>
      <c r="G1970" s="1061"/>
      <c r="H1970" s="1061"/>
      <c r="I1970" s="1061"/>
      <c r="J1970" s="1061"/>
      <c r="K1970" s="1061"/>
      <c r="L1970" s="1061"/>
      <c r="M1970" s="1061"/>
      <c r="N1970" s="1061"/>
      <c r="O1970" s="626"/>
    </row>
    <row r="1971" spans="1:15" x14ac:dyDescent="0.25">
      <c r="A1971" s="765"/>
      <c r="B1971" s="624"/>
      <c r="C1971" s="1061"/>
      <c r="D1971" s="1061"/>
      <c r="E1971" s="1061"/>
      <c r="F1971" s="1061"/>
      <c r="G1971" s="1061"/>
      <c r="H1971" s="1061"/>
      <c r="I1971" s="1061"/>
      <c r="J1971" s="1061"/>
      <c r="K1971" s="1061"/>
      <c r="L1971" s="1061"/>
      <c r="M1971" s="1061"/>
      <c r="N1971" s="1061"/>
      <c r="O1971" s="626"/>
    </row>
    <row r="1972" spans="1:15" x14ac:dyDescent="0.25">
      <c r="A1972" s="765"/>
      <c r="B1972" s="624"/>
      <c r="C1972" s="1061"/>
      <c r="D1972" s="1061"/>
      <c r="E1972" s="1061"/>
      <c r="F1972" s="1061"/>
      <c r="G1972" s="1061"/>
      <c r="H1972" s="1061"/>
      <c r="I1972" s="1061"/>
      <c r="J1972" s="1061"/>
      <c r="K1972" s="1061"/>
      <c r="L1972" s="1061"/>
      <c r="M1972" s="1061"/>
      <c r="N1972" s="1061"/>
      <c r="O1972" s="626"/>
    </row>
    <row r="1973" spans="1:15" x14ac:dyDescent="0.25">
      <c r="A1973" s="765"/>
      <c r="B1973" s="624"/>
      <c r="C1973" s="1061"/>
      <c r="D1973" s="1061"/>
      <c r="E1973" s="1061"/>
      <c r="F1973" s="1061"/>
      <c r="G1973" s="1061"/>
      <c r="H1973" s="1061"/>
      <c r="I1973" s="1061"/>
      <c r="J1973" s="1061"/>
      <c r="K1973" s="1061"/>
      <c r="L1973" s="1061"/>
      <c r="M1973" s="1061"/>
      <c r="N1973" s="1061"/>
      <c r="O1973" s="626"/>
    </row>
    <row r="1974" spans="1:15" x14ac:dyDescent="0.25">
      <c r="A1974" s="765"/>
      <c r="B1974" s="624"/>
      <c r="C1974" s="1061"/>
      <c r="D1974" s="1061"/>
      <c r="E1974" s="1061"/>
      <c r="F1974" s="1061"/>
      <c r="G1974" s="1061"/>
      <c r="H1974" s="1061"/>
      <c r="I1974" s="1061"/>
      <c r="J1974" s="1061"/>
      <c r="K1974" s="1061"/>
      <c r="L1974" s="1061"/>
      <c r="M1974" s="1061"/>
      <c r="N1974" s="1061"/>
      <c r="O1974" s="626"/>
    </row>
    <row r="1975" spans="1:15" x14ac:dyDescent="0.25">
      <c r="A1975" s="765"/>
      <c r="B1975" s="624"/>
      <c r="C1975" s="1061"/>
      <c r="D1975" s="1061"/>
      <c r="E1975" s="1061"/>
      <c r="F1975" s="1061"/>
      <c r="G1975" s="1061"/>
      <c r="H1975" s="1061"/>
      <c r="I1975" s="1061"/>
      <c r="J1975" s="1061"/>
      <c r="K1975" s="1061"/>
      <c r="L1975" s="1061"/>
      <c r="M1975" s="1061"/>
      <c r="N1975" s="1061"/>
      <c r="O1975" s="626"/>
    </row>
    <row r="1976" spans="1:15" x14ac:dyDescent="0.25">
      <c r="A1976" s="765"/>
      <c r="B1976" s="624"/>
      <c r="C1976" s="1061"/>
      <c r="D1976" s="1061"/>
      <c r="E1976" s="1061"/>
      <c r="F1976" s="1061"/>
      <c r="G1976" s="1061"/>
      <c r="H1976" s="1061"/>
      <c r="I1976" s="1061"/>
      <c r="J1976" s="1061"/>
      <c r="K1976" s="1061"/>
      <c r="L1976" s="1061"/>
      <c r="M1976" s="1061"/>
      <c r="N1976" s="1061"/>
      <c r="O1976" s="626"/>
    </row>
    <row r="1977" spans="1:15" x14ac:dyDescent="0.25">
      <c r="A1977" s="765"/>
      <c r="B1977" s="624"/>
      <c r="C1977" s="1061"/>
      <c r="D1977" s="1061"/>
      <c r="E1977" s="1061"/>
      <c r="F1977" s="1061"/>
      <c r="G1977" s="1061"/>
      <c r="H1977" s="1061"/>
      <c r="I1977" s="1061"/>
      <c r="J1977" s="1061"/>
      <c r="K1977" s="1061"/>
      <c r="L1977" s="1061"/>
      <c r="M1977" s="1061"/>
      <c r="N1977" s="1061"/>
      <c r="O1977" s="626"/>
    </row>
    <row r="1978" spans="1:15" x14ac:dyDescent="0.25">
      <c r="A1978" s="765"/>
      <c r="B1978" s="624"/>
      <c r="C1978" s="1061"/>
      <c r="D1978" s="1061"/>
      <c r="E1978" s="1061"/>
      <c r="F1978" s="1061"/>
      <c r="G1978" s="1061"/>
      <c r="H1978" s="1061"/>
      <c r="I1978" s="1061"/>
      <c r="J1978" s="1061"/>
      <c r="K1978" s="1061"/>
      <c r="L1978" s="1061"/>
      <c r="M1978" s="1061"/>
      <c r="N1978" s="1061"/>
      <c r="O1978" s="626"/>
    </row>
    <row r="1979" spans="1:15" x14ac:dyDescent="0.25">
      <c r="A1979" s="765"/>
      <c r="B1979" s="624"/>
      <c r="C1979" s="1061"/>
      <c r="D1979" s="1061"/>
      <c r="E1979" s="1061"/>
      <c r="F1979" s="1061"/>
      <c r="G1979" s="1061"/>
      <c r="H1979" s="1061"/>
      <c r="I1979" s="1061"/>
      <c r="J1979" s="1061"/>
      <c r="K1979" s="1061"/>
      <c r="L1979" s="1061"/>
      <c r="M1979" s="1061"/>
      <c r="N1979" s="1061"/>
      <c r="O1979" s="626"/>
    </row>
    <row r="1980" spans="1:15" x14ac:dyDescent="0.25">
      <c r="A1980" s="765"/>
      <c r="B1980" s="624"/>
      <c r="C1980" s="1061"/>
      <c r="D1980" s="1061"/>
      <c r="E1980" s="1061"/>
      <c r="F1980" s="1061"/>
      <c r="G1980" s="1061"/>
      <c r="H1980" s="1061"/>
      <c r="I1980" s="1061"/>
      <c r="J1980" s="1061"/>
      <c r="K1980" s="1061"/>
      <c r="L1980" s="1061"/>
      <c r="M1980" s="1061"/>
      <c r="N1980" s="1061"/>
      <c r="O1980" s="626"/>
    </row>
    <row r="1981" spans="1:15" x14ac:dyDescent="0.25">
      <c r="A1981" s="765"/>
      <c r="B1981" s="624"/>
      <c r="C1981" s="1061"/>
      <c r="D1981" s="1061"/>
      <c r="E1981" s="1061"/>
      <c r="F1981" s="1061"/>
      <c r="G1981" s="1061"/>
      <c r="H1981" s="1061"/>
      <c r="I1981" s="1061"/>
      <c r="J1981" s="1061"/>
      <c r="K1981" s="1061"/>
      <c r="L1981" s="1061"/>
      <c r="M1981" s="1061"/>
      <c r="N1981" s="1061"/>
      <c r="O1981" s="626"/>
    </row>
    <row r="1982" spans="1:15" x14ac:dyDescent="0.25">
      <c r="A1982" s="765"/>
      <c r="B1982" s="624"/>
      <c r="C1982" s="1061"/>
      <c r="D1982" s="1061"/>
      <c r="E1982" s="1061"/>
      <c r="F1982" s="1061"/>
      <c r="G1982" s="1061"/>
      <c r="H1982" s="1061"/>
      <c r="I1982" s="1061"/>
      <c r="J1982" s="1061"/>
      <c r="K1982" s="1061"/>
      <c r="L1982" s="1061"/>
      <c r="M1982" s="1061"/>
      <c r="N1982" s="1061"/>
      <c r="O1982" s="626"/>
    </row>
    <row r="1983" spans="1:15" x14ac:dyDescent="0.25">
      <c r="A1983" s="765"/>
      <c r="B1983" s="624"/>
      <c r="C1983" s="1061"/>
      <c r="D1983" s="1061"/>
      <c r="E1983" s="1061"/>
      <c r="F1983" s="1061"/>
      <c r="G1983" s="1061"/>
      <c r="H1983" s="1061"/>
      <c r="I1983" s="1061"/>
      <c r="J1983" s="1061"/>
      <c r="K1983" s="1061"/>
      <c r="L1983" s="1061"/>
      <c r="M1983" s="1061"/>
      <c r="N1983" s="1061"/>
      <c r="O1983" s="626"/>
    </row>
    <row r="1984" spans="1:15" x14ac:dyDescent="0.25">
      <c r="A1984" s="765"/>
      <c r="B1984" s="624"/>
      <c r="C1984" s="1061"/>
      <c r="D1984" s="1061"/>
      <c r="E1984" s="1061"/>
      <c r="F1984" s="1061"/>
      <c r="G1984" s="1061"/>
      <c r="H1984" s="1061"/>
      <c r="I1984" s="1061"/>
      <c r="J1984" s="1061"/>
      <c r="K1984" s="1061"/>
      <c r="L1984" s="1061"/>
      <c r="M1984" s="1061"/>
      <c r="N1984" s="1061"/>
      <c r="O1984" s="626"/>
    </row>
    <row r="1985" spans="1:15" x14ac:dyDescent="0.25">
      <c r="A1985" s="765"/>
      <c r="B1985" s="624"/>
      <c r="C1985" s="1061"/>
      <c r="D1985" s="1061"/>
      <c r="E1985" s="1061"/>
      <c r="F1985" s="1061"/>
      <c r="G1985" s="1061"/>
      <c r="H1985" s="1061"/>
      <c r="I1985" s="1061"/>
      <c r="J1985" s="1061"/>
      <c r="K1985" s="1061"/>
      <c r="L1985" s="1061"/>
      <c r="M1985" s="1061"/>
      <c r="N1985" s="1061"/>
      <c r="O1985" s="626"/>
    </row>
    <row r="1986" spans="1:15" x14ac:dyDescent="0.25">
      <c r="A1986" s="765"/>
      <c r="B1986" s="624"/>
      <c r="C1986" s="1061"/>
      <c r="D1986" s="1061"/>
      <c r="E1986" s="1061"/>
      <c r="F1986" s="1061"/>
      <c r="G1986" s="1061"/>
      <c r="H1986" s="1061"/>
      <c r="I1986" s="1061"/>
      <c r="J1986" s="1061"/>
      <c r="K1986" s="1061"/>
      <c r="L1986" s="1061"/>
      <c r="M1986" s="1061"/>
      <c r="N1986" s="1061"/>
      <c r="O1986" s="626"/>
    </row>
    <row r="1987" spans="1:15" x14ac:dyDescent="0.25">
      <c r="A1987" s="765"/>
      <c r="B1987" s="624"/>
      <c r="C1987" s="1061"/>
      <c r="D1987" s="1061"/>
      <c r="E1987" s="1061"/>
      <c r="F1987" s="1061"/>
      <c r="G1987" s="1061"/>
      <c r="H1987" s="1061"/>
      <c r="I1987" s="1061"/>
      <c r="J1987" s="1061"/>
      <c r="K1987" s="1061"/>
      <c r="L1987" s="1061"/>
      <c r="M1987" s="1061"/>
      <c r="N1987" s="1061"/>
      <c r="O1987" s="626"/>
    </row>
    <row r="1988" spans="1:15" x14ac:dyDescent="0.25">
      <c r="A1988" s="765"/>
      <c r="B1988" s="624"/>
      <c r="C1988" s="1061"/>
      <c r="D1988" s="1061"/>
      <c r="E1988" s="1061"/>
      <c r="F1988" s="1061"/>
      <c r="G1988" s="1061"/>
      <c r="H1988" s="1061"/>
      <c r="I1988" s="1061"/>
      <c r="J1988" s="1061"/>
      <c r="K1988" s="1061"/>
      <c r="L1988" s="1061"/>
      <c r="M1988" s="1061"/>
      <c r="N1988" s="1061"/>
      <c r="O1988" s="626"/>
    </row>
    <row r="1989" spans="1:15" x14ac:dyDescent="0.25">
      <c r="A1989" s="765"/>
      <c r="B1989" s="624"/>
      <c r="C1989" s="1061"/>
      <c r="D1989" s="1061"/>
      <c r="E1989" s="1061"/>
      <c r="F1989" s="1061"/>
      <c r="G1989" s="1061"/>
      <c r="H1989" s="1061"/>
      <c r="I1989" s="1061"/>
      <c r="J1989" s="1061"/>
      <c r="K1989" s="1061"/>
      <c r="L1989" s="1061"/>
      <c r="M1989" s="1061"/>
      <c r="N1989" s="1061"/>
      <c r="O1989" s="626"/>
    </row>
    <row r="1990" spans="1:15" x14ac:dyDescent="0.25">
      <c r="A1990" s="765"/>
      <c r="B1990" s="624"/>
      <c r="C1990" s="1061"/>
      <c r="D1990" s="1061"/>
      <c r="E1990" s="1061"/>
      <c r="F1990" s="1061"/>
      <c r="G1990" s="1061"/>
      <c r="H1990" s="1061"/>
      <c r="I1990" s="1061"/>
      <c r="J1990" s="1061"/>
      <c r="K1990" s="1061"/>
      <c r="L1990" s="1061"/>
      <c r="M1990" s="1061"/>
      <c r="N1990" s="1061"/>
      <c r="O1990" s="626"/>
    </row>
    <row r="1991" spans="1:15" x14ac:dyDescent="0.25">
      <c r="A1991" s="765"/>
      <c r="B1991" s="624"/>
      <c r="C1991" s="1061"/>
      <c r="D1991" s="1061"/>
      <c r="E1991" s="1061"/>
      <c r="F1991" s="1061"/>
      <c r="G1991" s="1061"/>
      <c r="H1991" s="1061"/>
      <c r="I1991" s="1061"/>
      <c r="J1991" s="1061"/>
      <c r="K1991" s="1061"/>
      <c r="L1991" s="1061"/>
      <c r="M1991" s="1061"/>
      <c r="N1991" s="1061"/>
      <c r="O1991" s="626"/>
    </row>
    <row r="1992" spans="1:15" x14ac:dyDescent="0.25">
      <c r="A1992" s="765"/>
      <c r="B1992" s="624"/>
      <c r="C1992" s="1061"/>
      <c r="D1992" s="1061"/>
      <c r="E1992" s="1061"/>
      <c r="F1992" s="1061"/>
      <c r="G1992" s="1061"/>
      <c r="H1992" s="1061"/>
      <c r="I1992" s="1061"/>
      <c r="J1992" s="1061"/>
      <c r="K1992" s="1061"/>
      <c r="L1992" s="1061"/>
      <c r="M1992" s="1061"/>
      <c r="N1992" s="1061"/>
      <c r="O1992" s="626"/>
    </row>
    <row r="1993" spans="1:15" x14ac:dyDescent="0.25">
      <c r="A1993" s="765"/>
      <c r="B1993" s="624"/>
      <c r="C1993" s="1061"/>
      <c r="D1993" s="1061"/>
      <c r="E1993" s="1061"/>
      <c r="F1993" s="1061"/>
      <c r="G1993" s="1061"/>
      <c r="H1993" s="1061"/>
      <c r="I1993" s="1061"/>
      <c r="J1993" s="1061"/>
      <c r="K1993" s="1061"/>
      <c r="L1993" s="1061"/>
      <c r="M1993" s="1061"/>
      <c r="N1993" s="1061"/>
      <c r="O1993" s="626"/>
    </row>
    <row r="1994" spans="1:15" x14ac:dyDescent="0.25">
      <c r="A1994" s="765"/>
      <c r="B1994" s="624"/>
      <c r="C1994" s="1061"/>
      <c r="D1994" s="1061"/>
      <c r="E1994" s="1061"/>
      <c r="F1994" s="1061"/>
      <c r="G1994" s="1061"/>
      <c r="H1994" s="1061"/>
      <c r="I1994" s="1061"/>
      <c r="J1994" s="1061"/>
      <c r="K1994" s="1061"/>
      <c r="L1994" s="1061"/>
      <c r="M1994" s="1061"/>
      <c r="N1994" s="1061"/>
      <c r="O1994" s="626"/>
    </row>
    <row r="1995" spans="1:15" x14ac:dyDescent="0.25">
      <c r="A1995" s="765"/>
      <c r="B1995" s="624"/>
      <c r="C1995" s="1061"/>
      <c r="D1995" s="1061"/>
      <c r="E1995" s="1061"/>
      <c r="F1995" s="1061"/>
      <c r="G1995" s="1061"/>
      <c r="H1995" s="1061"/>
      <c r="I1995" s="1061"/>
      <c r="J1995" s="1061"/>
      <c r="K1995" s="1061"/>
      <c r="L1995" s="1061"/>
      <c r="M1995" s="1061"/>
      <c r="N1995" s="1061"/>
      <c r="O1995" s="626"/>
    </row>
    <row r="1996" spans="1:15" x14ac:dyDescent="0.25">
      <c r="A1996" s="765"/>
      <c r="B1996" s="624"/>
      <c r="C1996" s="1061"/>
      <c r="D1996" s="1061"/>
      <c r="E1996" s="1061"/>
      <c r="F1996" s="1061"/>
      <c r="G1996" s="1061"/>
      <c r="H1996" s="1061"/>
      <c r="I1996" s="1061"/>
      <c r="J1996" s="1061"/>
      <c r="K1996" s="1061"/>
      <c r="L1996" s="1061"/>
      <c r="M1996" s="1061"/>
      <c r="N1996" s="1061"/>
      <c r="O1996" s="626"/>
    </row>
    <row r="1997" spans="1:15" x14ac:dyDescent="0.25">
      <c r="A1997" s="765"/>
      <c r="B1997" s="624"/>
      <c r="C1997" s="1061"/>
      <c r="D1997" s="1061"/>
      <c r="E1997" s="1061"/>
      <c r="F1997" s="1061"/>
      <c r="G1997" s="1061"/>
      <c r="H1997" s="1061"/>
      <c r="I1997" s="1061"/>
      <c r="J1997" s="1061"/>
      <c r="K1997" s="1061"/>
      <c r="L1997" s="1061"/>
      <c r="M1997" s="1061"/>
      <c r="N1997" s="1061"/>
      <c r="O1997" s="626"/>
    </row>
    <row r="1998" spans="1:15" x14ac:dyDescent="0.25">
      <c r="A1998" s="765"/>
      <c r="B1998" s="624"/>
      <c r="C1998" s="1061"/>
      <c r="D1998" s="1061"/>
      <c r="E1998" s="1061"/>
      <c r="F1998" s="1061"/>
      <c r="G1998" s="1061"/>
      <c r="H1998" s="1061"/>
      <c r="I1998" s="1061"/>
      <c r="J1998" s="1061"/>
      <c r="K1998" s="1061"/>
      <c r="L1998" s="1061"/>
      <c r="M1998" s="1061"/>
      <c r="N1998" s="1061"/>
      <c r="O1998" s="626"/>
    </row>
    <row r="1999" spans="1:15" x14ac:dyDescent="0.25">
      <c r="A1999" s="765"/>
      <c r="B1999" s="624"/>
      <c r="C1999" s="1061"/>
      <c r="D1999" s="1061"/>
      <c r="E1999" s="1061"/>
      <c r="F1999" s="1061"/>
      <c r="G1999" s="1061"/>
      <c r="H1999" s="1061"/>
      <c r="I1999" s="1061"/>
      <c r="J1999" s="1061"/>
      <c r="K1999" s="1061"/>
      <c r="L1999" s="1061"/>
      <c r="M1999" s="1061"/>
      <c r="N1999" s="1061"/>
      <c r="O1999" s="626"/>
    </row>
    <row r="2000" spans="1:15" x14ac:dyDescent="0.25">
      <c r="A2000" s="765"/>
      <c r="B2000" s="624"/>
      <c r="C2000" s="1061"/>
      <c r="D2000" s="1061"/>
      <c r="E2000" s="1061"/>
      <c r="F2000" s="1061"/>
      <c r="G2000" s="1061"/>
      <c r="H2000" s="1061"/>
      <c r="I2000" s="1061"/>
      <c r="J2000" s="1061"/>
      <c r="K2000" s="1061"/>
      <c r="L2000" s="1061"/>
      <c r="M2000" s="1061"/>
      <c r="N2000" s="1061"/>
      <c r="O2000" s="626"/>
    </row>
    <row r="2001" spans="1:15" x14ac:dyDescent="0.25">
      <c r="A2001" s="765"/>
      <c r="B2001" s="624"/>
      <c r="C2001" s="1061"/>
      <c r="D2001" s="1061"/>
      <c r="E2001" s="1061"/>
      <c r="F2001" s="1061"/>
      <c r="G2001" s="1061"/>
      <c r="H2001" s="1061"/>
      <c r="I2001" s="1061"/>
      <c r="J2001" s="1061"/>
      <c r="K2001" s="1061"/>
      <c r="L2001" s="1061"/>
      <c r="M2001" s="1061"/>
      <c r="N2001" s="1061"/>
      <c r="O2001" s="626"/>
    </row>
    <row r="2002" spans="1:15" x14ac:dyDescent="0.25">
      <c r="A2002" s="765"/>
      <c r="B2002" s="624"/>
      <c r="C2002" s="1061"/>
      <c r="D2002" s="1061"/>
      <c r="E2002" s="1061"/>
      <c r="F2002" s="1061"/>
      <c r="G2002" s="1061"/>
      <c r="H2002" s="1061"/>
      <c r="I2002" s="1061"/>
      <c r="J2002" s="1061"/>
      <c r="K2002" s="1061"/>
      <c r="L2002" s="1061"/>
      <c r="M2002" s="1061"/>
      <c r="N2002" s="1061"/>
      <c r="O2002" s="626"/>
    </row>
    <row r="2003" spans="1:15" x14ac:dyDescent="0.25">
      <c r="A2003" s="765"/>
      <c r="B2003" s="624"/>
      <c r="C2003" s="1061"/>
      <c r="D2003" s="1061"/>
      <c r="E2003" s="1061"/>
      <c r="F2003" s="1061"/>
      <c r="G2003" s="1061"/>
      <c r="H2003" s="1061"/>
      <c r="I2003" s="1061"/>
      <c r="J2003" s="1061"/>
      <c r="K2003" s="1061"/>
      <c r="L2003" s="1061"/>
      <c r="M2003" s="1061"/>
      <c r="N2003" s="1061"/>
      <c r="O2003" s="626"/>
    </row>
    <row r="2004" spans="1:15" x14ac:dyDescent="0.25">
      <c r="A2004" s="765"/>
      <c r="B2004" s="624"/>
      <c r="C2004" s="1061"/>
      <c r="D2004" s="1061"/>
      <c r="E2004" s="1061"/>
      <c r="F2004" s="1061"/>
      <c r="G2004" s="1061"/>
      <c r="H2004" s="1061"/>
      <c r="I2004" s="1061"/>
      <c r="J2004" s="1061"/>
      <c r="K2004" s="1061"/>
      <c r="L2004" s="1061"/>
      <c r="M2004" s="1061"/>
      <c r="N2004" s="1061"/>
      <c r="O2004" s="626"/>
    </row>
    <row r="2005" spans="1:15" x14ac:dyDescent="0.25">
      <c r="A2005" s="765"/>
      <c r="B2005" s="624"/>
      <c r="C2005" s="1061"/>
      <c r="D2005" s="1061"/>
      <c r="E2005" s="1061"/>
      <c r="F2005" s="1061"/>
      <c r="G2005" s="1061"/>
      <c r="H2005" s="1061"/>
      <c r="I2005" s="1061"/>
      <c r="J2005" s="1061"/>
      <c r="K2005" s="1061"/>
      <c r="L2005" s="1061"/>
      <c r="M2005" s="1061"/>
      <c r="N2005" s="1061"/>
      <c r="O2005" s="626"/>
    </row>
    <row r="2006" spans="1:15" x14ac:dyDescent="0.25">
      <c r="A2006" s="765"/>
      <c r="B2006" s="624"/>
      <c r="C2006" s="1061"/>
      <c r="D2006" s="1061"/>
      <c r="E2006" s="1061"/>
      <c r="F2006" s="1061"/>
      <c r="G2006" s="1061"/>
      <c r="H2006" s="1061"/>
      <c r="I2006" s="1061"/>
      <c r="J2006" s="1061"/>
      <c r="K2006" s="1061"/>
      <c r="L2006" s="1061"/>
      <c r="M2006" s="1061"/>
      <c r="N2006" s="1061"/>
      <c r="O2006" s="626"/>
    </row>
    <row r="2007" spans="1:15" x14ac:dyDescent="0.25">
      <c r="A2007" s="765"/>
      <c r="B2007" s="624"/>
      <c r="C2007" s="1061"/>
      <c r="D2007" s="1061"/>
      <c r="E2007" s="1061"/>
      <c r="F2007" s="1061"/>
      <c r="G2007" s="1061"/>
      <c r="H2007" s="1061"/>
      <c r="I2007" s="1061"/>
      <c r="J2007" s="1061"/>
      <c r="K2007" s="1061"/>
      <c r="L2007" s="1061"/>
      <c r="M2007" s="1061"/>
      <c r="N2007" s="1061"/>
      <c r="O2007" s="626"/>
    </row>
    <row r="2008" spans="1:15" x14ac:dyDescent="0.25">
      <c r="A2008" s="765"/>
      <c r="B2008" s="624"/>
      <c r="C2008" s="1061"/>
      <c r="D2008" s="1061"/>
      <c r="E2008" s="1061"/>
      <c r="F2008" s="1061"/>
      <c r="G2008" s="1061"/>
      <c r="H2008" s="1061"/>
      <c r="I2008" s="1061"/>
      <c r="J2008" s="1061"/>
      <c r="K2008" s="1061"/>
      <c r="L2008" s="1061"/>
      <c r="M2008" s="1061"/>
      <c r="N2008" s="1061"/>
      <c r="O2008" s="626"/>
    </row>
    <row r="2009" spans="1:15" x14ac:dyDescent="0.25">
      <c r="A2009" s="765"/>
      <c r="B2009" s="624"/>
      <c r="C2009" s="1061"/>
      <c r="D2009" s="1061"/>
      <c r="E2009" s="1061"/>
      <c r="F2009" s="1061"/>
      <c r="G2009" s="1061"/>
      <c r="H2009" s="1061"/>
      <c r="I2009" s="1061"/>
      <c r="J2009" s="1061"/>
      <c r="K2009" s="1061"/>
      <c r="L2009" s="1061"/>
      <c r="M2009" s="1061"/>
      <c r="N2009" s="1061"/>
      <c r="O2009" s="626"/>
    </row>
    <row r="2010" spans="1:15" x14ac:dyDescent="0.25">
      <c r="A2010" s="765"/>
      <c r="B2010" s="624"/>
      <c r="C2010" s="1061"/>
      <c r="D2010" s="1061"/>
      <c r="E2010" s="1061"/>
      <c r="F2010" s="1061"/>
      <c r="G2010" s="1061"/>
      <c r="H2010" s="1061"/>
      <c r="I2010" s="1061"/>
      <c r="J2010" s="1061"/>
      <c r="K2010" s="1061"/>
      <c r="L2010" s="1061"/>
      <c r="M2010" s="1061"/>
      <c r="N2010" s="1061"/>
      <c r="O2010" s="626"/>
    </row>
    <row r="2011" spans="1:15" x14ac:dyDescent="0.25">
      <c r="A2011" s="765"/>
      <c r="B2011" s="624"/>
      <c r="C2011" s="1061"/>
      <c r="D2011" s="1061"/>
      <c r="E2011" s="1061"/>
      <c r="F2011" s="1061"/>
      <c r="G2011" s="1061"/>
      <c r="H2011" s="1061"/>
      <c r="I2011" s="1061"/>
      <c r="J2011" s="1061"/>
      <c r="K2011" s="1061"/>
      <c r="L2011" s="1061"/>
      <c r="M2011" s="1061"/>
      <c r="N2011" s="1061"/>
      <c r="O2011" s="626"/>
    </row>
    <row r="2012" spans="1:15" x14ac:dyDescent="0.25">
      <c r="A2012" s="765"/>
      <c r="B2012" s="624"/>
      <c r="C2012" s="1061"/>
      <c r="D2012" s="1061"/>
      <c r="E2012" s="1061"/>
      <c r="F2012" s="1061"/>
      <c r="G2012" s="1061"/>
      <c r="H2012" s="1061"/>
      <c r="I2012" s="1061"/>
      <c r="J2012" s="1061"/>
      <c r="K2012" s="1061"/>
      <c r="L2012" s="1061"/>
      <c r="M2012" s="1061"/>
      <c r="N2012" s="1061"/>
      <c r="O2012" s="626"/>
    </row>
    <row r="2013" spans="1:15" x14ac:dyDescent="0.25">
      <c r="A2013" s="765"/>
      <c r="B2013" s="624"/>
      <c r="C2013" s="1061"/>
      <c r="D2013" s="1061"/>
      <c r="E2013" s="1061"/>
      <c r="F2013" s="1061"/>
      <c r="G2013" s="1061"/>
      <c r="H2013" s="1061"/>
      <c r="I2013" s="1061"/>
      <c r="J2013" s="1061"/>
      <c r="K2013" s="1061"/>
      <c r="L2013" s="1061"/>
      <c r="M2013" s="1061"/>
      <c r="N2013" s="1061"/>
      <c r="O2013" s="626"/>
    </row>
    <row r="2014" spans="1:15" x14ac:dyDescent="0.25">
      <c r="A2014" s="765"/>
      <c r="B2014" s="624"/>
      <c r="C2014" s="1061"/>
      <c r="D2014" s="1061"/>
      <c r="E2014" s="1061"/>
      <c r="F2014" s="1061"/>
      <c r="G2014" s="1061"/>
      <c r="H2014" s="1061"/>
      <c r="I2014" s="1061"/>
      <c r="J2014" s="1061"/>
      <c r="K2014" s="1061"/>
      <c r="L2014" s="1061"/>
      <c r="M2014" s="1061"/>
      <c r="N2014" s="1061"/>
      <c r="O2014" s="626"/>
    </row>
    <row r="2015" spans="1:15" x14ac:dyDescent="0.25">
      <c r="A2015" s="765"/>
      <c r="B2015" s="624"/>
      <c r="C2015" s="1061"/>
      <c r="D2015" s="1061"/>
      <c r="E2015" s="1061"/>
      <c r="F2015" s="1061"/>
      <c r="G2015" s="1061"/>
      <c r="H2015" s="1061"/>
      <c r="I2015" s="1061"/>
      <c r="J2015" s="1061"/>
      <c r="K2015" s="1061"/>
      <c r="L2015" s="1061"/>
      <c r="M2015" s="1061"/>
      <c r="N2015" s="1061"/>
      <c r="O2015" s="626"/>
    </row>
    <row r="2016" spans="1:15" x14ac:dyDescent="0.25">
      <c r="A2016" s="765"/>
      <c r="B2016" s="624"/>
      <c r="C2016" s="1061"/>
      <c r="D2016" s="1061"/>
      <c r="E2016" s="1061"/>
      <c r="F2016" s="1061"/>
      <c r="G2016" s="1061"/>
      <c r="H2016" s="1061"/>
      <c r="I2016" s="1061"/>
      <c r="J2016" s="1061"/>
      <c r="K2016" s="1061"/>
      <c r="L2016" s="1061"/>
      <c r="M2016" s="1061"/>
      <c r="N2016" s="1061"/>
      <c r="O2016" s="626"/>
    </row>
    <row r="2017" spans="1:15" x14ac:dyDescent="0.25">
      <c r="A2017" s="765"/>
      <c r="B2017" s="624"/>
      <c r="C2017" s="1061"/>
      <c r="D2017" s="1061"/>
      <c r="E2017" s="1061"/>
      <c r="F2017" s="1061"/>
      <c r="G2017" s="1061"/>
      <c r="H2017" s="1061"/>
      <c r="I2017" s="1061"/>
      <c r="J2017" s="1061"/>
      <c r="K2017" s="1061"/>
      <c r="L2017" s="1061"/>
      <c r="M2017" s="1061"/>
      <c r="N2017" s="1061"/>
      <c r="O2017" s="626"/>
    </row>
    <row r="2018" spans="1:15" x14ac:dyDescent="0.25">
      <c r="A2018" s="765"/>
      <c r="B2018" s="624"/>
      <c r="C2018" s="1061"/>
      <c r="D2018" s="1061"/>
      <c r="E2018" s="1061"/>
      <c r="F2018" s="1061"/>
      <c r="G2018" s="1061"/>
      <c r="H2018" s="1061"/>
      <c r="I2018" s="1061"/>
      <c r="J2018" s="1061"/>
      <c r="K2018" s="1061"/>
      <c r="L2018" s="1061"/>
      <c r="M2018" s="1061"/>
      <c r="N2018" s="1061"/>
      <c r="O2018" s="626"/>
    </row>
    <row r="2019" spans="1:15" x14ac:dyDescent="0.25">
      <c r="A2019" s="765"/>
      <c r="B2019" s="624"/>
      <c r="C2019" s="1061"/>
      <c r="D2019" s="1061"/>
      <c r="E2019" s="1061"/>
      <c r="F2019" s="1061"/>
      <c r="G2019" s="1061"/>
      <c r="H2019" s="1061"/>
      <c r="I2019" s="1061"/>
      <c r="J2019" s="1061"/>
      <c r="K2019" s="1061"/>
      <c r="L2019" s="1061"/>
      <c r="M2019" s="1061"/>
      <c r="N2019" s="1061"/>
      <c r="O2019" s="626"/>
    </row>
    <row r="2020" spans="1:15" x14ac:dyDescent="0.25">
      <c r="A2020" s="765"/>
      <c r="B2020" s="624"/>
      <c r="C2020" s="1061"/>
      <c r="D2020" s="1061"/>
      <c r="E2020" s="1061"/>
      <c r="F2020" s="1061"/>
      <c r="G2020" s="1061"/>
      <c r="H2020" s="1061"/>
      <c r="I2020" s="1061"/>
      <c r="J2020" s="1061"/>
      <c r="K2020" s="1061"/>
      <c r="L2020" s="1061"/>
      <c r="M2020" s="1061"/>
      <c r="N2020" s="1061"/>
      <c r="O2020" s="626"/>
    </row>
    <row r="2021" spans="1:15" x14ac:dyDescent="0.25">
      <c r="A2021" s="765"/>
      <c r="B2021" s="624"/>
      <c r="C2021" s="1061"/>
      <c r="D2021" s="1061"/>
      <c r="E2021" s="1061"/>
      <c r="F2021" s="1061"/>
      <c r="G2021" s="1061"/>
      <c r="H2021" s="1061"/>
      <c r="I2021" s="1061"/>
      <c r="J2021" s="1061"/>
      <c r="K2021" s="1061"/>
      <c r="L2021" s="1061"/>
      <c r="M2021" s="1061"/>
      <c r="N2021" s="1061"/>
      <c r="O2021" s="626"/>
    </row>
    <row r="2022" spans="1:15" x14ac:dyDescent="0.25">
      <c r="A2022" s="765"/>
      <c r="B2022" s="624"/>
      <c r="C2022" s="1061"/>
      <c r="D2022" s="1061"/>
      <c r="E2022" s="1061"/>
      <c r="F2022" s="1061"/>
      <c r="G2022" s="1061"/>
      <c r="H2022" s="1061"/>
      <c r="I2022" s="1061"/>
      <c r="J2022" s="1061"/>
      <c r="K2022" s="1061"/>
      <c r="L2022" s="1061"/>
      <c r="M2022" s="1061"/>
      <c r="N2022" s="1061"/>
      <c r="O2022" s="626"/>
    </row>
    <row r="2023" spans="1:15" x14ac:dyDescent="0.25">
      <c r="A2023" s="765"/>
      <c r="B2023" s="624"/>
      <c r="C2023" s="1061"/>
      <c r="D2023" s="1061"/>
      <c r="E2023" s="1061"/>
      <c r="F2023" s="1061"/>
      <c r="G2023" s="1061"/>
      <c r="H2023" s="1061"/>
      <c r="I2023" s="1061"/>
      <c r="J2023" s="1061"/>
      <c r="K2023" s="1061"/>
      <c r="L2023" s="1061"/>
      <c r="M2023" s="1061"/>
      <c r="N2023" s="1061"/>
      <c r="O2023" s="626"/>
    </row>
    <row r="2024" spans="1:15" x14ac:dyDescent="0.25">
      <c r="A2024" s="765"/>
      <c r="B2024" s="624"/>
      <c r="C2024" s="1061"/>
      <c r="D2024" s="1061"/>
      <c r="E2024" s="1061"/>
      <c r="F2024" s="1061"/>
      <c r="G2024" s="1061"/>
      <c r="H2024" s="1061"/>
      <c r="I2024" s="1061"/>
      <c r="J2024" s="1061"/>
      <c r="K2024" s="1061"/>
      <c r="L2024" s="1061"/>
      <c r="M2024" s="1061"/>
      <c r="N2024" s="1061"/>
      <c r="O2024" s="626"/>
    </row>
    <row r="2025" spans="1:15" x14ac:dyDescent="0.25">
      <c r="A2025" s="765"/>
      <c r="B2025" s="624"/>
      <c r="C2025" s="1061"/>
      <c r="D2025" s="1061"/>
      <c r="E2025" s="1061"/>
      <c r="F2025" s="1061"/>
      <c r="G2025" s="1061"/>
      <c r="H2025" s="1061"/>
      <c r="I2025" s="1061"/>
      <c r="J2025" s="1061"/>
      <c r="K2025" s="1061"/>
      <c r="L2025" s="1061"/>
      <c r="M2025" s="1061"/>
      <c r="N2025" s="1061"/>
      <c r="O2025" s="626"/>
    </row>
    <row r="2026" spans="1:15" x14ac:dyDescent="0.25">
      <c r="A2026" s="765"/>
      <c r="B2026" s="627"/>
      <c r="C2026" s="628"/>
      <c r="D2026" s="628"/>
      <c r="E2026" s="628"/>
      <c r="F2026" s="628"/>
      <c r="G2026" s="628"/>
      <c r="H2026" s="628"/>
      <c r="I2026" s="628"/>
      <c r="J2026" s="628"/>
      <c r="K2026" s="628"/>
      <c r="L2026" s="628"/>
      <c r="M2026" s="628"/>
      <c r="N2026" s="628"/>
      <c r="O2026" s="629"/>
    </row>
    <row r="2027" spans="1:15" x14ac:dyDescent="0.25">
      <c r="A2027" s="765"/>
      <c r="B2027" s="765"/>
      <c r="C2027" s="765"/>
      <c r="D2027" s="765"/>
      <c r="E2027" s="765"/>
      <c r="F2027" s="765"/>
      <c r="G2027" s="765"/>
      <c r="H2027" s="765"/>
      <c r="I2027" s="765"/>
      <c r="J2027" s="765"/>
      <c r="K2027" s="765"/>
      <c r="L2027" s="765"/>
      <c r="M2027" s="765"/>
      <c r="N2027" s="765"/>
      <c r="O2027" s="765"/>
    </row>
    <row r="2028" spans="1:15" x14ac:dyDescent="0.25">
      <c r="A2028" s="765"/>
      <c r="B2028" s="765"/>
      <c r="C2028" s="765"/>
      <c r="D2028" s="765"/>
      <c r="E2028" s="765"/>
      <c r="F2028" s="765"/>
      <c r="G2028" s="765"/>
      <c r="H2028" s="765"/>
      <c r="I2028" s="765"/>
      <c r="J2028" s="765"/>
      <c r="K2028" s="765"/>
      <c r="L2028" s="765"/>
      <c r="M2028" s="765"/>
      <c r="N2028" s="765"/>
      <c r="O2028" s="765"/>
    </row>
    <row r="2029" spans="1:15" x14ac:dyDescent="0.25">
      <c r="A2029" s="765"/>
      <c r="B2029" s="765"/>
      <c r="C2029" s="765"/>
      <c r="D2029" s="765"/>
      <c r="E2029" s="765"/>
      <c r="F2029" s="765"/>
      <c r="G2029" s="765"/>
      <c r="H2029" s="765"/>
      <c r="I2029" s="765"/>
      <c r="J2029" s="765"/>
      <c r="K2029" s="765"/>
      <c r="L2029" s="765"/>
      <c r="M2029" s="765"/>
      <c r="N2029" s="765"/>
      <c r="O2029" s="765"/>
    </row>
    <row r="2030" spans="1:15" x14ac:dyDescent="0.25">
      <c r="A2030" s="765"/>
      <c r="B2030" s="765"/>
      <c r="C2030" s="765"/>
      <c r="D2030" s="765"/>
      <c r="E2030" s="765"/>
      <c r="F2030" s="765"/>
      <c r="G2030" s="765"/>
      <c r="H2030" s="765"/>
      <c r="I2030" s="765"/>
      <c r="J2030" s="765"/>
      <c r="K2030" s="765"/>
      <c r="L2030" s="765"/>
      <c r="M2030" s="765"/>
      <c r="N2030" s="765"/>
      <c r="O2030" s="765"/>
    </row>
    <row r="2031" spans="1:15" x14ac:dyDescent="0.25">
      <c r="A2031" s="765"/>
      <c r="B2031" s="765"/>
      <c r="C2031" s="765"/>
      <c r="D2031" s="765"/>
      <c r="E2031" s="765"/>
      <c r="F2031" s="765"/>
      <c r="G2031" s="765"/>
      <c r="H2031" s="765"/>
      <c r="I2031" s="765"/>
      <c r="J2031" s="765"/>
      <c r="K2031" s="765"/>
      <c r="L2031" s="765"/>
      <c r="M2031" s="765"/>
      <c r="N2031" s="765"/>
      <c r="O2031" s="765"/>
    </row>
    <row r="2032" spans="1:15" x14ac:dyDescent="0.25">
      <c r="A2032" s="765"/>
      <c r="B2032" s="765"/>
      <c r="C2032" s="765"/>
      <c r="D2032" s="765"/>
      <c r="E2032" s="765"/>
      <c r="F2032" s="765"/>
      <c r="G2032" s="765"/>
      <c r="H2032" s="765"/>
      <c r="I2032" s="765"/>
      <c r="J2032" s="765"/>
      <c r="K2032" s="765"/>
      <c r="L2032" s="765"/>
      <c r="M2032" s="765"/>
      <c r="N2032" s="765"/>
      <c r="O2032" s="765"/>
    </row>
    <row r="2033" spans="1:15" x14ac:dyDescent="0.25">
      <c r="A2033" s="765"/>
      <c r="B2033" s="765"/>
      <c r="C2033" s="765"/>
      <c r="D2033" s="765"/>
      <c r="E2033" s="765"/>
      <c r="F2033" s="765"/>
      <c r="G2033" s="765"/>
      <c r="H2033" s="765"/>
      <c r="I2033" s="765"/>
      <c r="J2033" s="765"/>
      <c r="K2033" s="765"/>
      <c r="L2033" s="765"/>
      <c r="M2033" s="765"/>
      <c r="N2033" s="765"/>
      <c r="O2033" s="765"/>
    </row>
    <row r="2034" spans="1:15" x14ac:dyDescent="0.25">
      <c r="A2034" s="765"/>
      <c r="B2034" s="765"/>
      <c r="C2034" s="765"/>
      <c r="D2034" s="765"/>
      <c r="E2034" s="765"/>
      <c r="F2034" s="765"/>
      <c r="G2034" s="765"/>
      <c r="H2034" s="765"/>
      <c r="I2034" s="765"/>
      <c r="J2034" s="765"/>
      <c r="K2034" s="765"/>
      <c r="L2034" s="765"/>
      <c r="M2034" s="765"/>
      <c r="N2034" s="765"/>
      <c r="O2034" s="765"/>
    </row>
    <row r="2035" spans="1:15" x14ac:dyDescent="0.25">
      <c r="A2035" s="765"/>
      <c r="B2035" s="765"/>
      <c r="C2035" s="765"/>
      <c r="D2035" s="765"/>
      <c r="E2035" s="765"/>
      <c r="F2035" s="765"/>
      <c r="G2035" s="765"/>
      <c r="H2035" s="765"/>
      <c r="I2035" s="765"/>
      <c r="J2035" s="765"/>
      <c r="K2035" s="765"/>
      <c r="L2035" s="765"/>
      <c r="M2035" s="765"/>
      <c r="N2035" s="765"/>
      <c r="O2035" s="765"/>
    </row>
    <row r="2036" spans="1:15" x14ac:dyDescent="0.25">
      <c r="B2036" s="765"/>
      <c r="C2036" s="765"/>
      <c r="D2036" s="765"/>
      <c r="E2036" s="765"/>
      <c r="F2036" s="765"/>
      <c r="G2036" s="765"/>
      <c r="H2036" s="765"/>
      <c r="I2036" s="765"/>
      <c r="J2036" s="765"/>
      <c r="K2036" s="765"/>
      <c r="L2036" s="765"/>
      <c r="M2036" s="765"/>
      <c r="N2036" s="765"/>
      <c r="O2036" s="765"/>
    </row>
    <row r="2037" spans="1:15" x14ac:dyDescent="0.25">
      <c r="B2037" s="765"/>
      <c r="C2037" s="765"/>
      <c r="D2037" s="765"/>
      <c r="E2037" s="765"/>
      <c r="F2037" s="765"/>
      <c r="G2037" s="765"/>
      <c r="H2037" s="765"/>
      <c r="I2037" s="765"/>
      <c r="J2037" s="765"/>
      <c r="K2037" s="765"/>
      <c r="L2037" s="765"/>
      <c r="M2037" s="765"/>
      <c r="N2037" s="765"/>
      <c r="O2037" s="765"/>
    </row>
    <row r="2038" spans="1:15" x14ac:dyDescent="0.25">
      <c r="B2038" s="765"/>
      <c r="C2038" s="765"/>
      <c r="D2038" s="765"/>
      <c r="E2038" s="765"/>
      <c r="F2038" s="765"/>
      <c r="G2038" s="765"/>
      <c r="H2038" s="765"/>
      <c r="I2038" s="765"/>
      <c r="J2038" s="765"/>
      <c r="K2038" s="765"/>
      <c r="L2038" s="765"/>
      <c r="M2038" s="765"/>
      <c r="N2038" s="765"/>
      <c r="O2038" s="765"/>
    </row>
    <row r="2039" spans="1:15" x14ac:dyDescent="0.25">
      <c r="B2039" s="765"/>
      <c r="C2039" s="765"/>
      <c r="D2039" s="765"/>
      <c r="E2039" s="765"/>
      <c r="F2039" s="765"/>
      <c r="G2039" s="765"/>
      <c r="H2039" s="765"/>
      <c r="I2039" s="765"/>
      <c r="J2039" s="765"/>
      <c r="K2039" s="765"/>
      <c r="L2039" s="765"/>
      <c r="M2039" s="765"/>
      <c r="N2039" s="765"/>
      <c r="O2039" s="765"/>
    </row>
    <row r="2040" spans="1:15" x14ac:dyDescent="0.25">
      <c r="B2040" s="765"/>
      <c r="C2040" s="765"/>
      <c r="D2040" s="765"/>
      <c r="E2040" s="765"/>
      <c r="F2040" s="765"/>
      <c r="G2040" s="765"/>
      <c r="H2040" s="765"/>
      <c r="I2040" s="765"/>
      <c r="J2040" s="765"/>
      <c r="K2040" s="765"/>
      <c r="L2040" s="765"/>
      <c r="M2040" s="765"/>
      <c r="N2040" s="765"/>
      <c r="O2040" s="765"/>
    </row>
    <row r="2041" spans="1:15" x14ac:dyDescent="0.25">
      <c r="B2041" s="765"/>
      <c r="C2041" s="765"/>
      <c r="D2041" s="765"/>
      <c r="E2041" s="765"/>
      <c r="F2041" s="765"/>
      <c r="G2041" s="765"/>
      <c r="H2041" s="765"/>
      <c r="I2041" s="765"/>
      <c r="J2041" s="765"/>
      <c r="K2041" s="765"/>
      <c r="L2041" s="765"/>
      <c r="M2041" s="765"/>
      <c r="N2041" s="765"/>
      <c r="O2041" s="765"/>
    </row>
    <row r="2042" spans="1:15" x14ac:dyDescent="0.25">
      <c r="B2042" s="765"/>
      <c r="C2042" s="765"/>
      <c r="D2042" s="765"/>
      <c r="E2042" s="765"/>
      <c r="F2042" s="765"/>
      <c r="G2042" s="765"/>
      <c r="H2042" s="765"/>
      <c r="I2042" s="765"/>
      <c r="J2042" s="765"/>
      <c r="K2042" s="765"/>
      <c r="L2042" s="765"/>
      <c r="M2042" s="765"/>
      <c r="N2042" s="765"/>
      <c r="O2042" s="765"/>
    </row>
    <row r="2043" spans="1:15" x14ac:dyDescent="0.25">
      <c r="B2043" s="765"/>
      <c r="C2043" s="765"/>
      <c r="D2043" s="765"/>
      <c r="E2043" s="765"/>
      <c r="F2043" s="765"/>
      <c r="G2043" s="765"/>
      <c r="H2043" s="765"/>
      <c r="I2043" s="765"/>
      <c r="J2043" s="765"/>
      <c r="K2043" s="765"/>
      <c r="L2043" s="765"/>
      <c r="M2043" s="765"/>
      <c r="N2043" s="765"/>
      <c r="O2043" s="765"/>
    </row>
    <row r="2044" spans="1:15" x14ac:dyDescent="0.25">
      <c r="B2044" s="765"/>
      <c r="C2044" s="765"/>
      <c r="D2044" s="765"/>
      <c r="E2044" s="765"/>
      <c r="F2044" s="765"/>
      <c r="G2044" s="765"/>
      <c r="H2044" s="765"/>
      <c r="I2044" s="765"/>
      <c r="J2044" s="765"/>
      <c r="K2044" s="765"/>
      <c r="L2044" s="765"/>
      <c r="M2044" s="765"/>
      <c r="N2044" s="765"/>
      <c r="O2044" s="765"/>
    </row>
    <row r="2045" spans="1:15" x14ac:dyDescent="0.25">
      <c r="B2045" s="765"/>
      <c r="C2045" s="765"/>
      <c r="D2045" s="765"/>
      <c r="E2045" s="765"/>
      <c r="F2045" s="765"/>
      <c r="G2045" s="765"/>
      <c r="H2045" s="765"/>
      <c r="I2045" s="765"/>
      <c r="J2045" s="765"/>
      <c r="K2045" s="765"/>
      <c r="L2045" s="765"/>
      <c r="M2045" s="765"/>
      <c r="N2045" s="765"/>
      <c r="O2045" s="765"/>
    </row>
    <row r="2046" spans="1:15" x14ac:dyDescent="0.25">
      <c r="B2046" s="765"/>
      <c r="C2046" s="765"/>
      <c r="D2046" s="765"/>
      <c r="E2046" s="765"/>
      <c r="F2046" s="765"/>
      <c r="G2046" s="765"/>
      <c r="H2046" s="765"/>
      <c r="I2046" s="765"/>
      <c r="J2046" s="765"/>
      <c r="K2046" s="765"/>
      <c r="L2046" s="765"/>
      <c r="M2046" s="765"/>
      <c r="N2046" s="765"/>
      <c r="O2046" s="765"/>
    </row>
    <row r="2047" spans="1:15" x14ac:dyDescent="0.25">
      <c r="B2047" s="765"/>
      <c r="C2047" s="765"/>
      <c r="D2047" s="765"/>
      <c r="E2047" s="765"/>
      <c r="F2047" s="765"/>
      <c r="G2047" s="765"/>
      <c r="H2047" s="765"/>
      <c r="I2047" s="765"/>
      <c r="J2047" s="765"/>
      <c r="K2047" s="765"/>
      <c r="L2047" s="765"/>
      <c r="M2047" s="765"/>
      <c r="N2047" s="765"/>
      <c r="O2047" s="765"/>
    </row>
    <row r="2048" spans="1:15" x14ac:dyDescent="0.25">
      <c r="B2048" s="765"/>
      <c r="C2048" s="765"/>
      <c r="D2048" s="765"/>
      <c r="E2048" s="765"/>
      <c r="F2048" s="765"/>
      <c r="G2048" s="765"/>
      <c r="H2048" s="765"/>
      <c r="I2048" s="765"/>
      <c r="J2048" s="765"/>
      <c r="K2048" s="765"/>
      <c r="L2048" s="765"/>
      <c r="M2048" s="765"/>
      <c r="N2048" s="765"/>
      <c r="O2048" s="765"/>
    </row>
    <row r="2049" spans="2:15" x14ac:dyDescent="0.25">
      <c r="B2049" s="765"/>
      <c r="C2049" s="765"/>
      <c r="D2049" s="765"/>
      <c r="E2049" s="765"/>
      <c r="F2049" s="765"/>
      <c r="G2049" s="765"/>
      <c r="H2049" s="765"/>
      <c r="I2049" s="765"/>
      <c r="J2049" s="765"/>
      <c r="K2049" s="765"/>
      <c r="L2049" s="765"/>
      <c r="M2049" s="765"/>
      <c r="N2049" s="765"/>
      <c r="O2049" s="765"/>
    </row>
    <row r="2050" spans="2:15" x14ac:dyDescent="0.25">
      <c r="B2050" s="765"/>
      <c r="C2050" s="765"/>
      <c r="D2050" s="765"/>
      <c r="E2050" s="765"/>
      <c r="F2050" s="765"/>
      <c r="G2050" s="765"/>
      <c r="H2050" s="765"/>
      <c r="I2050" s="765"/>
      <c r="J2050" s="765"/>
      <c r="K2050" s="765"/>
      <c r="L2050" s="765"/>
      <c r="M2050" s="765"/>
      <c r="N2050" s="765"/>
      <c r="O2050" s="765"/>
    </row>
    <row r="2051" spans="2:15" x14ac:dyDescent="0.25">
      <c r="B2051" s="765"/>
      <c r="C2051" s="765"/>
      <c r="D2051" s="765"/>
      <c r="E2051" s="765"/>
      <c r="F2051" s="765"/>
      <c r="G2051" s="765"/>
      <c r="H2051" s="765"/>
      <c r="I2051" s="765"/>
      <c r="J2051" s="765"/>
      <c r="K2051" s="765"/>
      <c r="L2051" s="765"/>
      <c r="M2051" s="765"/>
      <c r="N2051" s="765"/>
      <c r="O2051" s="765"/>
    </row>
    <row r="2052" spans="2:15" x14ac:dyDescent="0.25">
      <c r="B2052" s="765"/>
      <c r="C2052" s="765"/>
      <c r="D2052" s="765"/>
      <c r="E2052" s="765"/>
      <c r="F2052" s="765"/>
      <c r="G2052" s="765"/>
      <c r="H2052" s="765"/>
      <c r="I2052" s="765"/>
      <c r="J2052" s="765"/>
      <c r="K2052" s="765"/>
      <c r="L2052" s="765"/>
      <c r="M2052" s="765"/>
      <c r="N2052" s="765"/>
      <c r="O2052" s="765"/>
    </row>
    <row r="2053" spans="2:15" x14ac:dyDescent="0.25">
      <c r="B2053" s="765"/>
      <c r="C2053" s="765"/>
      <c r="D2053" s="765"/>
      <c r="E2053" s="765"/>
      <c r="F2053" s="765"/>
      <c r="G2053" s="765"/>
      <c r="H2053" s="765"/>
      <c r="I2053" s="765"/>
      <c r="J2053" s="765"/>
      <c r="K2053" s="765"/>
      <c r="L2053" s="765"/>
      <c r="M2053" s="765"/>
      <c r="N2053" s="765"/>
      <c r="O2053" s="765"/>
    </row>
    <row r="2054" spans="2:15" x14ac:dyDescent="0.25">
      <c r="B2054" s="765"/>
      <c r="C2054" s="765"/>
      <c r="D2054" s="765"/>
      <c r="E2054" s="765"/>
      <c r="F2054" s="765"/>
      <c r="G2054" s="765"/>
      <c r="H2054" s="765"/>
      <c r="I2054" s="765"/>
      <c r="J2054" s="765"/>
      <c r="K2054" s="765"/>
      <c r="L2054" s="765"/>
      <c r="M2054" s="765"/>
      <c r="N2054" s="765"/>
      <c r="O2054" s="765"/>
    </row>
    <row r="2055" spans="2:15" x14ac:dyDescent="0.25">
      <c r="B2055" s="765"/>
      <c r="C2055" s="765"/>
      <c r="D2055" s="765"/>
      <c r="E2055" s="765"/>
      <c r="F2055" s="765"/>
      <c r="G2055" s="765"/>
      <c r="H2055" s="765"/>
      <c r="I2055" s="765"/>
      <c r="J2055" s="765"/>
      <c r="K2055" s="765"/>
      <c r="L2055" s="765"/>
      <c r="M2055" s="765"/>
      <c r="N2055" s="765"/>
      <c r="O2055" s="765"/>
    </row>
    <row r="2056" spans="2:15" x14ac:dyDescent="0.25">
      <c r="B2056" s="765"/>
      <c r="C2056" s="765"/>
      <c r="D2056" s="765"/>
      <c r="E2056" s="765"/>
      <c r="F2056" s="765"/>
      <c r="G2056" s="765"/>
      <c r="H2056" s="765"/>
      <c r="I2056" s="765"/>
      <c r="J2056" s="765"/>
      <c r="K2056" s="765"/>
      <c r="L2056" s="765"/>
      <c r="M2056" s="765"/>
      <c r="N2056" s="765"/>
      <c r="O2056" s="765"/>
    </row>
    <row r="2057" spans="2:15" x14ac:dyDescent="0.25">
      <c r="B2057" s="765"/>
      <c r="C2057" s="765"/>
      <c r="D2057" s="765"/>
      <c r="E2057" s="765"/>
      <c r="F2057" s="765"/>
      <c r="G2057" s="765"/>
      <c r="H2057" s="765"/>
      <c r="I2057" s="765"/>
      <c r="J2057" s="765"/>
      <c r="K2057" s="765"/>
      <c r="L2057" s="765"/>
      <c r="M2057" s="765"/>
      <c r="N2057" s="765"/>
      <c r="O2057" s="765"/>
    </row>
    <row r="2058" spans="2:15" x14ac:dyDescent="0.25">
      <c r="B2058" s="765"/>
      <c r="C2058" s="765"/>
      <c r="D2058" s="765"/>
      <c r="E2058" s="765"/>
      <c r="F2058" s="765"/>
      <c r="G2058" s="765"/>
      <c r="H2058" s="765"/>
      <c r="I2058" s="765"/>
      <c r="J2058" s="765"/>
      <c r="K2058" s="765"/>
      <c r="L2058" s="765"/>
      <c r="M2058" s="765"/>
      <c r="N2058" s="765"/>
      <c r="O2058" s="765"/>
    </row>
    <row r="2059" spans="2:15" x14ac:dyDescent="0.25">
      <c r="B2059" s="765"/>
      <c r="C2059" s="765"/>
      <c r="D2059" s="765"/>
      <c r="E2059" s="765"/>
      <c r="F2059" s="765"/>
      <c r="G2059" s="765"/>
      <c r="H2059" s="765"/>
      <c r="I2059" s="765"/>
      <c r="J2059" s="765"/>
      <c r="K2059" s="765"/>
      <c r="L2059" s="765"/>
      <c r="M2059" s="765"/>
      <c r="N2059" s="765"/>
      <c r="O2059" s="765"/>
    </row>
    <row r="2060" spans="2:15" x14ac:dyDescent="0.25">
      <c r="B2060" s="765"/>
      <c r="C2060" s="765"/>
      <c r="D2060" s="765"/>
      <c r="E2060" s="765"/>
      <c r="F2060" s="765"/>
      <c r="G2060" s="765"/>
      <c r="H2060" s="765"/>
      <c r="I2060" s="765"/>
      <c r="J2060" s="765"/>
      <c r="K2060" s="765"/>
      <c r="L2060" s="765"/>
      <c r="M2060" s="765"/>
      <c r="N2060" s="765"/>
      <c r="O2060" s="765"/>
    </row>
    <row r="2061" spans="2:15" x14ac:dyDescent="0.25">
      <c r="B2061" s="765"/>
      <c r="C2061" s="765"/>
      <c r="D2061" s="765"/>
      <c r="E2061" s="765"/>
      <c r="F2061" s="765"/>
      <c r="G2061" s="765"/>
      <c r="H2061" s="765"/>
      <c r="I2061" s="765"/>
      <c r="J2061" s="765"/>
      <c r="K2061" s="765"/>
      <c r="L2061" s="765"/>
      <c r="M2061" s="765"/>
      <c r="N2061" s="765"/>
      <c r="O2061" s="765"/>
    </row>
    <row r="2062" spans="2:15" x14ac:dyDescent="0.25">
      <c r="B2062" s="765"/>
      <c r="C2062" s="765"/>
      <c r="D2062" s="765"/>
      <c r="E2062" s="765"/>
      <c r="F2062" s="765"/>
      <c r="G2062" s="765"/>
      <c r="H2062" s="765"/>
      <c r="I2062" s="765"/>
      <c r="J2062" s="765"/>
      <c r="K2062" s="765"/>
      <c r="L2062" s="765"/>
      <c r="M2062" s="765"/>
      <c r="N2062" s="765"/>
      <c r="O2062" s="765"/>
    </row>
    <row r="2063" spans="2:15" x14ac:dyDescent="0.25">
      <c r="B2063" s="765"/>
      <c r="C2063" s="765"/>
      <c r="D2063" s="765"/>
      <c r="E2063" s="765"/>
      <c r="F2063" s="765"/>
      <c r="G2063" s="765"/>
      <c r="H2063" s="765"/>
      <c r="I2063" s="765"/>
      <c r="J2063" s="765"/>
      <c r="K2063" s="765"/>
      <c r="L2063" s="765"/>
      <c r="M2063" s="765"/>
      <c r="N2063" s="765"/>
      <c r="O2063" s="765"/>
    </row>
    <row r="2064" spans="2:15" x14ac:dyDescent="0.25">
      <c r="B2064" s="765"/>
      <c r="C2064" s="765"/>
      <c r="D2064" s="765"/>
      <c r="E2064" s="765"/>
      <c r="F2064" s="765"/>
      <c r="G2064" s="765"/>
      <c r="H2064" s="765"/>
      <c r="I2064" s="765"/>
      <c r="J2064" s="765"/>
      <c r="K2064" s="765"/>
      <c r="L2064" s="765"/>
      <c r="M2064" s="765"/>
      <c r="N2064" s="765"/>
      <c r="O2064" s="765"/>
    </row>
    <row r="2065" spans="2:15" x14ac:dyDescent="0.25">
      <c r="B2065" s="765"/>
      <c r="C2065" s="765"/>
      <c r="D2065" s="765"/>
      <c r="E2065" s="765"/>
      <c r="F2065" s="765"/>
      <c r="G2065" s="765"/>
      <c r="H2065" s="765"/>
      <c r="I2065" s="765"/>
      <c r="J2065" s="765"/>
      <c r="K2065" s="765"/>
      <c r="L2065" s="765"/>
      <c r="M2065" s="765"/>
      <c r="N2065" s="765"/>
      <c r="O2065" s="765"/>
    </row>
    <row r="2066" spans="2:15" x14ac:dyDescent="0.25">
      <c r="B2066" s="765"/>
      <c r="C2066" s="765"/>
      <c r="D2066" s="765"/>
      <c r="E2066" s="765"/>
      <c r="F2066" s="765"/>
      <c r="G2066" s="765"/>
      <c r="H2066" s="765"/>
      <c r="I2066" s="765"/>
      <c r="J2066" s="765"/>
      <c r="K2066" s="765"/>
      <c r="L2066" s="765"/>
      <c r="M2066" s="765"/>
      <c r="N2066" s="765"/>
      <c r="O2066" s="765"/>
    </row>
    <row r="2067" spans="2:15" x14ac:dyDescent="0.25">
      <c r="B2067" s="765"/>
      <c r="C2067" s="765"/>
      <c r="D2067" s="765"/>
      <c r="E2067" s="765"/>
      <c r="F2067" s="765"/>
      <c r="G2067" s="765"/>
      <c r="H2067" s="765"/>
      <c r="I2067" s="765"/>
      <c r="J2067" s="765"/>
      <c r="K2067" s="765"/>
      <c r="L2067" s="765"/>
      <c r="M2067" s="765"/>
      <c r="N2067" s="765"/>
      <c r="O2067" s="765"/>
    </row>
    <row r="2068" spans="2:15" x14ac:dyDescent="0.25">
      <c r="B2068" s="765"/>
      <c r="C2068" s="765"/>
      <c r="D2068" s="765"/>
      <c r="E2068" s="765"/>
      <c r="F2068" s="765"/>
      <c r="G2068" s="765"/>
      <c r="H2068" s="765"/>
      <c r="I2068" s="765"/>
      <c r="J2068" s="765"/>
      <c r="K2068" s="765"/>
      <c r="L2068" s="765"/>
      <c r="M2068" s="765"/>
      <c r="N2068" s="765"/>
      <c r="O2068" s="765"/>
    </row>
    <row r="2069" spans="2:15" x14ac:dyDescent="0.25">
      <c r="B2069" s="765"/>
      <c r="C2069" s="765"/>
      <c r="D2069" s="765"/>
      <c r="E2069" s="765"/>
      <c r="F2069" s="765"/>
      <c r="G2069" s="765"/>
      <c r="H2069" s="765"/>
      <c r="I2069" s="765"/>
      <c r="J2069" s="765"/>
      <c r="K2069" s="765"/>
      <c r="L2069" s="765"/>
      <c r="M2069" s="765"/>
      <c r="N2069" s="765"/>
      <c r="O2069" s="765"/>
    </row>
    <row r="2070" spans="2:15" x14ac:dyDescent="0.25">
      <c r="B2070" s="765"/>
      <c r="C2070" s="765"/>
      <c r="D2070" s="765"/>
      <c r="E2070" s="765"/>
      <c r="F2070" s="765"/>
      <c r="G2070" s="765"/>
      <c r="H2070" s="765"/>
      <c r="I2070" s="765"/>
      <c r="J2070" s="765"/>
      <c r="K2070" s="765"/>
      <c r="L2070" s="765"/>
      <c r="M2070" s="765"/>
      <c r="N2070" s="765"/>
      <c r="O2070" s="765"/>
    </row>
    <row r="2071" spans="2:15" x14ac:dyDescent="0.25">
      <c r="B2071" s="765"/>
      <c r="C2071" s="765"/>
      <c r="D2071" s="765"/>
      <c r="E2071" s="765"/>
      <c r="F2071" s="765"/>
      <c r="G2071" s="765"/>
      <c r="H2071" s="765"/>
      <c r="I2071" s="765"/>
      <c r="J2071" s="765"/>
      <c r="K2071" s="765"/>
      <c r="L2071" s="765"/>
      <c r="M2071" s="765"/>
      <c r="N2071" s="765"/>
      <c r="O2071" s="765"/>
    </row>
    <row r="2072" spans="2:15" x14ac:dyDescent="0.25">
      <c r="B2072" s="765"/>
      <c r="C2072" s="765"/>
      <c r="D2072" s="765"/>
      <c r="E2072" s="765"/>
      <c r="F2072" s="765"/>
      <c r="G2072" s="765"/>
      <c r="H2072" s="765"/>
      <c r="I2072" s="765"/>
      <c r="J2072" s="765"/>
      <c r="K2072" s="765"/>
      <c r="L2072" s="765"/>
      <c r="M2072" s="765"/>
      <c r="N2072" s="765"/>
      <c r="O2072" s="765"/>
    </row>
    <row r="2073" spans="2:15" x14ac:dyDescent="0.25">
      <c r="B2073" s="765"/>
      <c r="C2073" s="765"/>
      <c r="D2073" s="765"/>
      <c r="E2073" s="765"/>
      <c r="F2073" s="765"/>
      <c r="G2073" s="765"/>
      <c r="H2073" s="765"/>
      <c r="I2073" s="765"/>
      <c r="J2073" s="765"/>
      <c r="K2073" s="765"/>
      <c r="L2073" s="765"/>
      <c r="M2073" s="765"/>
      <c r="N2073" s="765"/>
      <c r="O2073" s="765"/>
    </row>
    <row r="2074" spans="2:15" x14ac:dyDescent="0.25">
      <c r="B2074" s="765"/>
      <c r="C2074" s="765"/>
      <c r="D2074" s="765"/>
      <c r="E2074" s="765"/>
      <c r="F2074" s="765"/>
      <c r="G2074" s="765"/>
      <c r="H2074" s="765"/>
      <c r="I2074" s="765"/>
      <c r="J2074" s="765"/>
      <c r="K2074" s="765"/>
      <c r="L2074" s="765"/>
      <c r="M2074" s="765"/>
      <c r="N2074" s="765"/>
      <c r="O2074" s="765"/>
    </row>
    <row r="2075" spans="2:15" x14ac:dyDescent="0.25">
      <c r="B2075" s="765"/>
      <c r="C2075" s="765"/>
      <c r="D2075" s="765"/>
      <c r="E2075" s="765"/>
      <c r="F2075" s="765"/>
      <c r="G2075" s="765"/>
      <c r="H2075" s="765"/>
      <c r="I2075" s="765"/>
      <c r="J2075" s="765"/>
      <c r="K2075" s="765"/>
      <c r="L2075" s="765"/>
      <c r="M2075" s="765"/>
      <c r="N2075" s="765"/>
      <c r="O2075" s="765"/>
    </row>
    <row r="2076" spans="2:15" x14ac:dyDescent="0.25">
      <c r="B2076" s="765"/>
      <c r="C2076" s="765"/>
      <c r="D2076" s="765"/>
      <c r="E2076" s="765"/>
      <c r="F2076" s="765"/>
      <c r="G2076" s="765"/>
      <c r="H2076" s="765"/>
      <c r="I2076" s="765"/>
      <c r="J2076" s="765"/>
      <c r="K2076" s="765"/>
      <c r="L2076" s="765"/>
      <c r="M2076" s="765"/>
      <c r="N2076" s="765"/>
      <c r="O2076" s="765"/>
    </row>
    <row r="2077" spans="2:15" x14ac:dyDescent="0.25">
      <c r="B2077" s="765"/>
      <c r="C2077" s="765"/>
      <c r="D2077" s="765"/>
      <c r="E2077" s="765"/>
      <c r="F2077" s="765"/>
      <c r="G2077" s="765"/>
      <c r="H2077" s="765"/>
      <c r="I2077" s="765"/>
      <c r="J2077" s="765"/>
      <c r="K2077" s="765"/>
      <c r="L2077" s="765"/>
      <c r="M2077" s="765"/>
      <c r="N2077" s="765"/>
      <c r="O2077" s="765"/>
    </row>
    <row r="2078" spans="2:15" x14ac:dyDescent="0.25">
      <c r="B2078" s="765"/>
      <c r="C2078" s="765"/>
      <c r="D2078" s="765"/>
      <c r="E2078" s="765"/>
      <c r="F2078" s="765"/>
      <c r="G2078" s="765"/>
      <c r="H2078" s="765"/>
      <c r="I2078" s="765"/>
      <c r="J2078" s="765"/>
      <c r="K2078" s="765"/>
      <c r="L2078" s="765"/>
      <c r="M2078" s="765"/>
      <c r="N2078" s="765"/>
      <c r="O2078" s="765"/>
    </row>
    <row r="2079" spans="2:15" x14ac:dyDescent="0.25">
      <c r="B2079" s="765"/>
      <c r="C2079" s="765"/>
      <c r="D2079" s="765"/>
      <c r="E2079" s="765"/>
      <c r="F2079" s="765"/>
      <c r="G2079" s="765"/>
      <c r="H2079" s="765"/>
      <c r="I2079" s="765"/>
      <c r="J2079" s="765"/>
      <c r="K2079" s="765"/>
      <c r="L2079" s="765"/>
      <c r="M2079" s="765"/>
      <c r="N2079" s="765"/>
      <c r="O2079" s="765"/>
    </row>
    <row r="2080" spans="2:15" x14ac:dyDescent="0.25">
      <c r="B2080" s="765"/>
      <c r="C2080" s="765"/>
      <c r="D2080" s="765"/>
      <c r="E2080" s="765"/>
      <c r="F2080" s="765"/>
      <c r="G2080" s="765"/>
      <c r="H2080" s="765"/>
      <c r="I2080" s="765"/>
      <c r="J2080" s="765"/>
      <c r="K2080" s="765"/>
      <c r="L2080" s="765"/>
      <c r="M2080" s="765"/>
      <c r="N2080" s="765"/>
      <c r="O2080" s="765"/>
    </row>
    <row r="2081" spans="2:15" x14ac:dyDescent="0.25">
      <c r="B2081" s="765"/>
      <c r="C2081" s="765"/>
      <c r="D2081" s="765"/>
      <c r="E2081" s="765"/>
      <c r="F2081" s="765"/>
      <c r="G2081" s="765"/>
      <c r="H2081" s="765"/>
      <c r="I2081" s="765"/>
      <c r="J2081" s="765"/>
      <c r="K2081" s="765"/>
      <c r="L2081" s="765"/>
      <c r="M2081" s="765"/>
      <c r="N2081" s="765"/>
      <c r="O2081" s="765"/>
    </row>
    <row r="2082" spans="2:15" x14ac:dyDescent="0.25">
      <c r="B2082" s="765"/>
      <c r="C2082" s="765"/>
      <c r="D2082" s="765"/>
      <c r="E2082" s="765"/>
      <c r="F2082" s="765"/>
      <c r="G2082" s="765"/>
      <c r="H2082" s="765"/>
      <c r="I2082" s="765"/>
      <c r="J2082" s="765"/>
      <c r="K2082" s="765"/>
      <c r="L2082" s="765"/>
      <c r="M2082" s="765"/>
      <c r="N2082" s="765"/>
      <c r="O2082" s="765"/>
    </row>
    <row r="2083" spans="2:15" x14ac:dyDescent="0.25">
      <c r="B2083" s="765"/>
      <c r="C2083" s="765"/>
      <c r="D2083" s="765"/>
      <c r="E2083" s="765"/>
      <c r="F2083" s="765"/>
      <c r="G2083" s="765"/>
      <c r="H2083" s="765"/>
      <c r="I2083" s="765"/>
      <c r="J2083" s="765"/>
      <c r="K2083" s="765"/>
      <c r="L2083" s="765"/>
      <c r="M2083" s="765"/>
      <c r="N2083" s="765"/>
      <c r="O2083" s="765"/>
    </row>
    <row r="2084" spans="2:15" x14ac:dyDescent="0.25">
      <c r="B2084" s="765"/>
      <c r="C2084" s="765"/>
      <c r="D2084" s="765"/>
      <c r="E2084" s="765"/>
      <c r="F2084" s="765"/>
      <c r="G2084" s="765"/>
      <c r="H2084" s="765"/>
      <c r="I2084" s="765"/>
      <c r="J2084" s="765"/>
      <c r="K2084" s="765"/>
      <c r="L2084" s="765"/>
      <c r="M2084" s="765"/>
      <c r="N2084" s="765"/>
      <c r="O2084" s="765"/>
    </row>
    <row r="2085" spans="2:15" x14ac:dyDescent="0.25">
      <c r="B2085" s="765"/>
      <c r="C2085" s="765"/>
      <c r="D2085" s="765"/>
      <c r="E2085" s="765"/>
      <c r="F2085" s="765"/>
      <c r="G2085" s="765"/>
      <c r="H2085" s="765"/>
      <c r="I2085" s="765"/>
      <c r="J2085" s="765"/>
      <c r="K2085" s="765"/>
      <c r="L2085" s="765"/>
      <c r="M2085" s="765"/>
      <c r="N2085" s="765"/>
      <c r="O2085" s="765"/>
    </row>
    <row r="2086" spans="2:15" x14ac:dyDescent="0.25">
      <c r="B2086" s="765"/>
      <c r="C2086" s="765"/>
      <c r="D2086" s="765"/>
      <c r="E2086" s="765"/>
      <c r="F2086" s="765"/>
      <c r="G2086" s="765"/>
      <c r="H2086" s="765"/>
      <c r="I2086" s="765"/>
      <c r="J2086" s="765"/>
      <c r="K2086" s="765"/>
      <c r="L2086" s="765"/>
      <c r="M2086" s="765"/>
      <c r="N2086" s="765"/>
      <c r="O2086" s="765"/>
    </row>
    <row r="2087" spans="2:15" x14ac:dyDescent="0.25">
      <c r="B2087" s="765"/>
      <c r="C2087" s="765"/>
      <c r="D2087" s="765"/>
      <c r="E2087" s="765"/>
      <c r="F2087" s="765"/>
      <c r="G2087" s="765"/>
      <c r="H2087" s="765"/>
      <c r="I2087" s="765"/>
      <c r="J2087" s="765"/>
      <c r="K2087" s="765"/>
      <c r="L2087" s="765"/>
      <c r="M2087" s="765"/>
      <c r="N2087" s="765"/>
      <c r="O2087" s="765"/>
    </row>
    <row r="2088" spans="2:15" x14ac:dyDescent="0.25">
      <c r="B2088" s="765"/>
      <c r="C2088" s="765"/>
      <c r="D2088" s="765"/>
      <c r="E2088" s="765"/>
      <c r="F2088" s="765"/>
      <c r="G2088" s="765"/>
      <c r="H2088" s="765"/>
      <c r="I2088" s="765"/>
      <c r="J2088" s="765"/>
      <c r="K2088" s="765"/>
      <c r="L2088" s="765"/>
      <c r="M2088" s="765"/>
      <c r="N2088" s="765"/>
      <c r="O2088" s="765"/>
    </row>
    <row r="2089" spans="2:15" x14ac:dyDescent="0.25">
      <c r="B2089" s="765"/>
      <c r="C2089" s="765"/>
      <c r="D2089" s="765"/>
      <c r="E2089" s="765"/>
      <c r="F2089" s="765"/>
      <c r="G2089" s="765"/>
      <c r="H2089" s="765"/>
      <c r="I2089" s="765"/>
      <c r="J2089" s="765"/>
      <c r="K2089" s="765"/>
      <c r="L2089" s="765"/>
      <c r="M2089" s="765"/>
      <c r="N2089" s="765"/>
      <c r="O2089" s="765"/>
    </row>
    <row r="2090" spans="2:15" x14ac:dyDescent="0.25">
      <c r="B2090" s="765"/>
      <c r="C2090" s="765"/>
      <c r="D2090" s="765"/>
      <c r="E2090" s="765"/>
      <c r="F2090" s="765"/>
      <c r="G2090" s="765"/>
      <c r="H2090" s="765"/>
      <c r="I2090" s="765"/>
      <c r="J2090" s="765"/>
      <c r="K2090" s="765"/>
      <c r="L2090" s="765"/>
      <c r="M2090" s="765"/>
      <c r="N2090" s="765"/>
      <c r="O2090" s="765"/>
    </row>
    <row r="2091" spans="2:15" x14ac:dyDescent="0.25">
      <c r="B2091" s="765"/>
      <c r="C2091" s="765"/>
      <c r="D2091" s="765"/>
      <c r="E2091" s="765"/>
      <c r="F2091" s="765"/>
      <c r="G2091" s="765"/>
      <c r="H2091" s="765"/>
      <c r="I2091" s="765"/>
      <c r="J2091" s="765"/>
      <c r="K2091" s="765"/>
      <c r="L2091" s="765"/>
      <c r="M2091" s="765"/>
      <c r="N2091" s="765"/>
      <c r="O2091" s="765"/>
    </row>
    <row r="2092" spans="2:15" x14ac:dyDescent="0.25">
      <c r="B2092" s="765"/>
      <c r="C2092" s="765"/>
      <c r="D2092" s="765"/>
      <c r="E2092" s="765"/>
      <c r="F2092" s="765"/>
      <c r="G2092" s="765"/>
      <c r="H2092" s="765"/>
      <c r="I2092" s="765"/>
      <c r="J2092" s="765"/>
      <c r="K2092" s="765"/>
      <c r="L2092" s="765"/>
      <c r="M2092" s="765"/>
      <c r="N2092" s="765"/>
      <c r="O2092" s="765"/>
    </row>
    <row r="2093" spans="2:15" x14ac:dyDescent="0.25">
      <c r="B2093" s="765"/>
      <c r="C2093" s="765"/>
      <c r="D2093" s="765"/>
      <c r="E2093" s="765"/>
      <c r="F2093" s="765"/>
      <c r="G2093" s="765"/>
      <c r="H2093" s="765"/>
      <c r="I2093" s="765"/>
      <c r="J2093" s="765"/>
      <c r="K2093" s="765"/>
      <c r="L2093" s="765"/>
      <c r="M2093" s="765"/>
      <c r="N2093" s="765"/>
      <c r="O2093" s="765"/>
    </row>
    <row r="2094" spans="2:15" x14ac:dyDescent="0.25">
      <c r="B2094" s="765"/>
      <c r="C2094" s="765"/>
      <c r="D2094" s="765"/>
      <c r="E2094" s="765"/>
      <c r="F2094" s="765"/>
      <c r="G2094" s="765"/>
      <c r="H2094" s="765"/>
      <c r="I2094" s="765"/>
      <c r="J2094" s="765"/>
      <c r="K2094" s="765"/>
      <c r="L2094" s="765"/>
      <c r="M2094" s="765"/>
      <c r="N2094" s="765"/>
      <c r="O2094" s="765"/>
    </row>
    <row r="2095" spans="2:15" x14ac:dyDescent="0.25">
      <c r="B2095" s="765"/>
      <c r="C2095" s="765"/>
      <c r="D2095" s="765"/>
      <c r="E2095" s="765"/>
      <c r="F2095" s="765"/>
      <c r="G2095" s="765"/>
      <c r="H2095" s="765"/>
      <c r="I2095" s="765"/>
      <c r="J2095" s="765"/>
      <c r="K2095" s="765"/>
      <c r="L2095" s="765"/>
      <c r="M2095" s="765"/>
      <c r="N2095" s="765"/>
      <c r="O2095" s="765"/>
    </row>
    <row r="2096" spans="2:15" x14ac:dyDescent="0.25">
      <c r="B2096" s="765"/>
      <c r="C2096" s="765"/>
      <c r="D2096" s="765"/>
      <c r="E2096" s="765"/>
      <c r="F2096" s="765"/>
      <c r="G2096" s="765"/>
      <c r="H2096" s="765"/>
      <c r="I2096" s="765"/>
      <c r="J2096" s="765"/>
      <c r="K2096" s="765"/>
      <c r="L2096" s="765"/>
      <c r="M2096" s="765"/>
      <c r="N2096" s="765"/>
      <c r="O2096" s="765"/>
    </row>
    <row r="2097" spans="2:15" x14ac:dyDescent="0.25">
      <c r="B2097" s="765"/>
      <c r="C2097" s="765"/>
      <c r="D2097" s="765"/>
      <c r="E2097" s="765"/>
      <c r="F2097" s="765"/>
      <c r="G2097" s="765"/>
      <c r="H2097" s="765"/>
      <c r="I2097" s="765"/>
      <c r="J2097" s="765"/>
      <c r="K2097" s="765"/>
      <c r="L2097" s="765"/>
      <c r="M2097" s="765"/>
      <c r="N2097" s="765"/>
      <c r="O2097" s="765"/>
    </row>
    <row r="2098" spans="2:15" x14ac:dyDescent="0.25">
      <c r="B2098" s="765"/>
      <c r="C2098" s="765"/>
      <c r="D2098" s="765"/>
      <c r="E2098" s="765"/>
      <c r="F2098" s="765"/>
      <c r="G2098" s="765"/>
      <c r="H2098" s="765"/>
      <c r="I2098" s="765"/>
      <c r="J2098" s="765"/>
      <c r="K2098" s="765"/>
      <c r="L2098" s="765"/>
      <c r="M2098" s="765"/>
      <c r="N2098" s="765"/>
      <c r="O2098" s="765"/>
    </row>
    <row r="2099" spans="2:15" x14ac:dyDescent="0.25">
      <c r="B2099" s="765"/>
      <c r="C2099" s="765"/>
      <c r="D2099" s="765"/>
      <c r="E2099" s="765"/>
      <c r="F2099" s="765"/>
      <c r="G2099" s="765"/>
      <c r="H2099" s="765"/>
      <c r="I2099" s="765"/>
      <c r="J2099" s="765"/>
      <c r="K2099" s="765"/>
      <c r="L2099" s="765"/>
      <c r="M2099" s="765"/>
      <c r="N2099" s="765"/>
      <c r="O2099" s="765"/>
    </row>
    <row r="2100" spans="2:15" x14ac:dyDescent="0.25">
      <c r="B2100" s="765"/>
      <c r="C2100" s="765"/>
      <c r="D2100" s="765"/>
      <c r="E2100" s="765"/>
      <c r="F2100" s="765"/>
      <c r="G2100" s="765"/>
      <c r="H2100" s="765"/>
      <c r="I2100" s="765"/>
      <c r="J2100" s="765"/>
      <c r="K2100" s="765"/>
      <c r="L2100" s="765"/>
      <c r="M2100" s="765"/>
      <c r="N2100" s="765"/>
      <c r="O2100" s="765"/>
    </row>
    <row r="2101" spans="2:15" x14ac:dyDescent="0.25">
      <c r="B2101" s="765"/>
      <c r="C2101" s="765"/>
      <c r="D2101" s="765"/>
      <c r="E2101" s="765"/>
      <c r="F2101" s="765"/>
      <c r="G2101" s="765"/>
      <c r="H2101" s="765"/>
      <c r="I2101" s="765"/>
      <c r="J2101" s="765"/>
      <c r="K2101" s="765"/>
      <c r="L2101" s="765"/>
      <c r="M2101" s="765"/>
      <c r="N2101" s="765"/>
      <c r="O2101" s="765"/>
    </row>
    <row r="2102" spans="2:15" x14ac:dyDescent="0.25">
      <c r="B2102" s="765"/>
      <c r="C2102" s="765"/>
      <c r="D2102" s="765"/>
      <c r="E2102" s="765"/>
      <c r="F2102" s="765"/>
      <c r="G2102" s="765"/>
      <c r="H2102" s="765"/>
      <c r="I2102" s="765"/>
      <c r="J2102" s="765"/>
      <c r="K2102" s="765"/>
      <c r="L2102" s="765"/>
      <c r="M2102" s="765"/>
      <c r="N2102" s="765"/>
      <c r="O2102" s="765"/>
    </row>
    <row r="2103" spans="2:15" x14ac:dyDescent="0.25">
      <c r="B2103" s="765"/>
      <c r="C2103" s="765"/>
      <c r="D2103" s="765"/>
      <c r="E2103" s="765"/>
      <c r="F2103" s="765"/>
      <c r="G2103" s="765"/>
      <c r="H2103" s="765"/>
      <c r="I2103" s="765"/>
      <c r="J2103" s="765"/>
      <c r="K2103" s="765"/>
      <c r="L2103" s="765"/>
      <c r="M2103" s="765"/>
      <c r="N2103" s="765"/>
      <c r="O2103" s="765"/>
    </row>
    <row r="2104" spans="2:15" x14ac:dyDescent="0.25">
      <c r="B2104" s="765"/>
      <c r="C2104" s="765"/>
      <c r="D2104" s="765"/>
      <c r="E2104" s="765"/>
      <c r="F2104" s="765"/>
      <c r="G2104" s="765"/>
      <c r="H2104" s="765"/>
      <c r="I2104" s="765"/>
      <c r="J2104" s="765"/>
      <c r="K2104" s="765"/>
      <c r="L2104" s="765"/>
      <c r="M2104" s="765"/>
      <c r="N2104" s="765"/>
      <c r="O2104" s="765"/>
    </row>
    <row r="2105" spans="2:15" x14ac:dyDescent="0.25">
      <c r="B2105" s="765"/>
      <c r="C2105" s="765"/>
      <c r="D2105" s="765"/>
      <c r="E2105" s="765"/>
      <c r="F2105" s="765"/>
      <c r="G2105" s="765"/>
      <c r="H2105" s="765"/>
      <c r="I2105" s="765"/>
      <c r="J2105" s="765"/>
      <c r="K2105" s="765"/>
      <c r="L2105" s="765"/>
      <c r="M2105" s="765"/>
      <c r="N2105" s="765"/>
      <c r="O2105" s="765"/>
    </row>
    <row r="2106" spans="2:15" x14ac:dyDescent="0.25">
      <c r="B2106" s="765"/>
      <c r="C2106" s="765"/>
      <c r="D2106" s="765"/>
      <c r="E2106" s="765"/>
      <c r="F2106" s="765"/>
      <c r="G2106" s="765"/>
      <c r="H2106" s="765"/>
      <c r="I2106" s="765"/>
      <c r="J2106" s="765"/>
      <c r="K2106" s="765"/>
      <c r="L2106" s="765"/>
      <c r="M2106" s="765"/>
      <c r="N2106" s="765"/>
      <c r="O2106" s="765"/>
    </row>
    <row r="2107" spans="2:15" x14ac:dyDescent="0.25">
      <c r="B2107" s="765"/>
      <c r="C2107" s="765"/>
      <c r="D2107" s="765"/>
      <c r="E2107" s="765"/>
      <c r="F2107" s="765"/>
      <c r="G2107" s="765"/>
      <c r="H2107" s="765"/>
      <c r="I2107" s="765"/>
      <c r="J2107" s="765"/>
      <c r="K2107" s="765"/>
      <c r="L2107" s="765"/>
      <c r="M2107" s="765"/>
      <c r="N2107" s="765"/>
      <c r="O2107" s="765"/>
    </row>
    <row r="2108" spans="2:15" x14ac:dyDescent="0.25">
      <c r="B2108" s="765"/>
      <c r="C2108" s="765"/>
      <c r="D2108" s="765"/>
      <c r="E2108" s="765"/>
      <c r="F2108" s="765"/>
      <c r="G2108" s="765"/>
      <c r="H2108" s="765"/>
      <c r="I2108" s="765"/>
      <c r="J2108" s="765"/>
      <c r="K2108" s="765"/>
      <c r="L2108" s="765"/>
      <c r="M2108" s="765"/>
      <c r="N2108" s="765"/>
      <c r="O2108" s="765"/>
    </row>
    <row r="2109" spans="2:15" x14ac:dyDescent="0.25">
      <c r="B2109" s="765"/>
      <c r="C2109" s="765"/>
      <c r="D2109" s="765"/>
      <c r="E2109" s="765"/>
      <c r="F2109" s="765"/>
      <c r="G2109" s="765"/>
      <c r="H2109" s="765"/>
      <c r="I2109" s="765"/>
      <c r="J2109" s="765"/>
      <c r="K2109" s="765"/>
      <c r="L2109" s="765"/>
      <c r="M2109" s="765"/>
      <c r="N2109" s="765"/>
      <c r="O2109" s="765"/>
    </row>
    <row r="2110" spans="2:15" x14ac:dyDescent="0.25">
      <c r="B2110" s="765"/>
      <c r="C2110" s="765"/>
      <c r="D2110" s="765"/>
      <c r="E2110" s="765"/>
      <c r="F2110" s="765"/>
      <c r="G2110" s="765"/>
      <c r="H2110" s="765"/>
      <c r="I2110" s="765"/>
      <c r="J2110" s="765"/>
      <c r="K2110" s="765"/>
      <c r="L2110" s="765"/>
      <c r="M2110" s="765"/>
      <c r="N2110" s="765"/>
      <c r="O2110" s="765"/>
    </row>
    <row r="2111" spans="2:15" x14ac:dyDescent="0.25">
      <c r="B2111" s="765"/>
      <c r="C2111" s="765"/>
      <c r="D2111" s="765"/>
      <c r="E2111" s="765"/>
      <c r="F2111" s="765"/>
      <c r="G2111" s="765"/>
      <c r="H2111" s="765"/>
      <c r="I2111" s="765"/>
      <c r="J2111" s="765"/>
      <c r="K2111" s="765"/>
      <c r="L2111" s="765"/>
      <c r="M2111" s="765"/>
      <c r="N2111" s="765"/>
      <c r="O2111" s="765"/>
    </row>
    <row r="2112" spans="2:15" x14ac:dyDescent="0.25">
      <c r="B2112" s="765"/>
      <c r="C2112" s="765"/>
      <c r="D2112" s="765"/>
      <c r="E2112" s="765"/>
      <c r="F2112" s="765"/>
      <c r="G2112" s="765"/>
      <c r="H2112" s="765"/>
      <c r="I2112" s="765"/>
      <c r="J2112" s="765"/>
      <c r="K2112" s="765"/>
      <c r="L2112" s="765"/>
      <c r="M2112" s="765"/>
      <c r="N2112" s="765"/>
      <c r="O2112" s="765"/>
    </row>
    <row r="2113" spans="2:15" x14ac:dyDescent="0.25">
      <c r="B2113" s="765"/>
      <c r="C2113" s="765"/>
      <c r="D2113" s="765"/>
      <c r="E2113" s="765"/>
      <c r="F2113" s="765"/>
      <c r="G2113" s="765"/>
      <c r="H2113" s="765"/>
      <c r="I2113" s="765"/>
      <c r="J2113" s="765"/>
      <c r="K2113" s="765"/>
      <c r="L2113" s="765"/>
      <c r="M2113" s="765"/>
      <c r="N2113" s="765"/>
      <c r="O2113" s="765"/>
    </row>
    <row r="2114" spans="2:15" x14ac:dyDescent="0.25">
      <c r="B2114" s="765"/>
      <c r="C2114" s="765"/>
      <c r="D2114" s="765"/>
      <c r="E2114" s="765"/>
      <c r="F2114" s="765"/>
      <c r="G2114" s="765"/>
      <c r="H2114" s="765"/>
      <c r="I2114" s="765"/>
      <c r="J2114" s="765"/>
      <c r="K2114" s="765"/>
      <c r="L2114" s="765"/>
      <c r="M2114" s="765"/>
      <c r="N2114" s="765"/>
      <c r="O2114" s="765"/>
    </row>
    <row r="2115" spans="2:15" x14ac:dyDescent="0.25">
      <c r="B2115" s="765"/>
      <c r="C2115" s="765"/>
      <c r="D2115" s="765"/>
      <c r="E2115" s="765"/>
      <c r="F2115" s="765"/>
      <c r="G2115" s="765"/>
      <c r="H2115" s="765"/>
      <c r="I2115" s="765"/>
      <c r="J2115" s="765"/>
      <c r="K2115" s="765"/>
      <c r="L2115" s="765"/>
      <c r="M2115" s="765"/>
      <c r="N2115" s="765"/>
      <c r="O2115" s="765"/>
    </row>
    <row r="2116" spans="2:15" x14ac:dyDescent="0.25">
      <c r="B2116" s="765"/>
      <c r="C2116" s="765"/>
      <c r="D2116" s="765"/>
      <c r="E2116" s="765"/>
      <c r="F2116" s="765"/>
      <c r="G2116" s="765"/>
      <c r="H2116" s="765"/>
      <c r="I2116" s="765"/>
      <c r="J2116" s="765"/>
      <c r="K2116" s="765"/>
      <c r="L2116" s="765"/>
      <c r="M2116" s="765"/>
      <c r="N2116" s="765"/>
      <c r="O2116" s="765"/>
    </row>
    <row r="2117" spans="2:15" x14ac:dyDescent="0.25">
      <c r="B2117" s="765"/>
      <c r="C2117" s="765"/>
      <c r="D2117" s="765"/>
      <c r="E2117" s="765"/>
      <c r="F2117" s="765"/>
      <c r="G2117" s="765"/>
      <c r="H2117" s="765"/>
      <c r="I2117" s="765"/>
      <c r="J2117" s="765"/>
      <c r="K2117" s="765"/>
      <c r="L2117" s="765"/>
      <c r="M2117" s="765"/>
      <c r="N2117" s="765"/>
      <c r="O2117" s="765"/>
    </row>
    <row r="2118" spans="2:15" x14ac:dyDescent="0.25">
      <c r="B2118" s="765"/>
      <c r="C2118" s="765"/>
      <c r="D2118" s="765"/>
      <c r="E2118" s="765"/>
      <c r="F2118" s="765"/>
      <c r="G2118" s="765"/>
      <c r="H2118" s="765"/>
      <c r="I2118" s="765"/>
      <c r="J2118" s="765"/>
      <c r="K2118" s="765"/>
      <c r="L2118" s="765"/>
      <c r="M2118" s="765"/>
      <c r="N2118" s="765"/>
      <c r="O2118" s="765"/>
    </row>
    <row r="2119" spans="2:15" x14ac:dyDescent="0.25">
      <c r="B2119" s="765"/>
      <c r="C2119" s="765"/>
      <c r="D2119" s="765"/>
      <c r="E2119" s="765"/>
      <c r="F2119" s="765"/>
      <c r="G2119" s="765"/>
      <c r="H2119" s="765"/>
      <c r="I2119" s="765"/>
      <c r="J2119" s="765"/>
      <c r="K2119" s="765"/>
      <c r="L2119" s="765"/>
      <c r="M2119" s="765"/>
      <c r="N2119" s="765"/>
      <c r="O2119" s="765"/>
    </row>
    <row r="2120" spans="2:15" x14ac:dyDescent="0.25">
      <c r="B2120" s="765"/>
      <c r="C2120" s="765"/>
      <c r="D2120" s="765"/>
      <c r="E2120" s="765"/>
      <c r="F2120" s="765"/>
      <c r="G2120" s="765"/>
      <c r="H2120" s="765"/>
      <c r="I2120" s="765"/>
      <c r="J2120" s="765"/>
      <c r="K2120" s="765"/>
      <c r="L2120" s="765"/>
      <c r="M2120" s="765"/>
      <c r="N2120" s="765"/>
      <c r="O2120" s="765"/>
    </row>
    <row r="2121" spans="2:15" x14ac:dyDescent="0.25">
      <c r="B2121" s="765"/>
      <c r="C2121" s="765"/>
      <c r="D2121" s="765"/>
      <c r="E2121" s="765"/>
      <c r="F2121" s="765"/>
      <c r="G2121" s="765"/>
      <c r="H2121" s="765"/>
      <c r="I2121" s="765"/>
      <c r="J2121" s="765"/>
      <c r="K2121" s="765"/>
      <c r="L2121" s="765"/>
      <c r="M2121" s="765"/>
      <c r="N2121" s="765"/>
      <c r="O2121" s="765"/>
    </row>
    <row r="2122" spans="2:15" x14ac:dyDescent="0.25">
      <c r="B2122" s="765"/>
      <c r="C2122" s="765"/>
      <c r="D2122" s="765"/>
      <c r="E2122" s="765"/>
      <c r="F2122" s="765"/>
      <c r="G2122" s="765"/>
      <c r="H2122" s="765"/>
      <c r="I2122" s="765"/>
      <c r="J2122" s="765"/>
      <c r="K2122" s="765"/>
      <c r="L2122" s="765"/>
      <c r="M2122" s="765"/>
      <c r="N2122" s="765"/>
      <c r="O2122" s="765"/>
    </row>
    <row r="2123" spans="2:15" x14ac:dyDescent="0.25">
      <c r="B2123" s="765"/>
      <c r="C2123" s="765"/>
      <c r="D2123" s="765"/>
      <c r="E2123" s="765"/>
      <c r="F2123" s="765"/>
      <c r="G2123" s="765"/>
      <c r="H2123" s="765"/>
      <c r="I2123" s="765"/>
      <c r="J2123" s="765"/>
      <c r="K2123" s="765"/>
      <c r="L2123" s="765"/>
      <c r="M2123" s="765"/>
      <c r="N2123" s="765"/>
      <c r="O2123" s="765"/>
    </row>
    <row r="2124" spans="2:15" x14ac:dyDescent="0.25">
      <c r="B2124" s="765"/>
      <c r="C2124" s="765"/>
      <c r="D2124" s="765"/>
      <c r="E2124" s="765"/>
      <c r="F2124" s="765"/>
      <c r="G2124" s="765"/>
      <c r="H2124" s="765"/>
      <c r="I2124" s="765"/>
      <c r="J2124" s="765"/>
      <c r="K2124" s="765"/>
      <c r="L2124" s="765"/>
      <c r="M2124" s="765"/>
      <c r="N2124" s="765"/>
      <c r="O2124" s="765"/>
    </row>
    <row r="2125" spans="2:15" x14ac:dyDescent="0.25">
      <c r="B2125" s="765"/>
      <c r="C2125" s="765"/>
      <c r="D2125" s="765"/>
      <c r="E2125" s="765"/>
      <c r="F2125" s="765"/>
      <c r="G2125" s="765"/>
      <c r="H2125" s="765"/>
      <c r="I2125" s="765"/>
      <c r="J2125" s="765"/>
      <c r="K2125" s="765"/>
      <c r="L2125" s="765"/>
      <c r="M2125" s="765"/>
      <c r="N2125" s="765"/>
      <c r="O2125" s="765"/>
    </row>
    <row r="2126" spans="2:15" x14ac:dyDescent="0.25">
      <c r="B2126" s="765"/>
      <c r="C2126" s="765"/>
      <c r="D2126" s="765"/>
      <c r="E2126" s="765"/>
      <c r="F2126" s="765"/>
      <c r="G2126" s="765"/>
      <c r="H2126" s="765"/>
      <c r="I2126" s="765"/>
      <c r="J2126" s="765"/>
      <c r="K2126" s="765"/>
      <c r="L2126" s="765"/>
      <c r="M2126" s="765"/>
      <c r="N2126" s="765"/>
      <c r="O2126" s="765"/>
    </row>
    <row r="2127" spans="2:15" x14ac:dyDescent="0.25">
      <c r="B2127" s="765"/>
      <c r="C2127" s="765"/>
      <c r="D2127" s="765"/>
      <c r="E2127" s="765"/>
      <c r="F2127" s="765"/>
      <c r="G2127" s="765"/>
      <c r="H2127" s="765"/>
      <c r="I2127" s="765"/>
      <c r="J2127" s="765"/>
      <c r="K2127" s="765"/>
      <c r="L2127" s="765"/>
      <c r="M2127" s="765"/>
      <c r="N2127" s="765"/>
      <c r="O2127" s="765"/>
    </row>
    <row r="2128" spans="2:15" x14ac:dyDescent="0.25">
      <c r="B2128" s="765"/>
      <c r="C2128" s="765"/>
      <c r="D2128" s="765"/>
      <c r="E2128" s="765"/>
      <c r="F2128" s="765"/>
      <c r="G2128" s="765"/>
      <c r="H2128" s="765"/>
      <c r="I2128" s="765"/>
      <c r="J2128" s="765"/>
      <c r="K2128" s="765"/>
      <c r="L2128" s="765"/>
      <c r="M2128" s="765"/>
      <c r="N2128" s="765"/>
      <c r="O2128" s="765"/>
    </row>
    <row r="2129" spans="2:15" x14ac:dyDescent="0.25">
      <c r="B2129" s="765"/>
      <c r="C2129" s="765"/>
      <c r="D2129" s="765"/>
      <c r="E2129" s="765"/>
      <c r="F2129" s="765"/>
      <c r="G2129" s="765"/>
      <c r="H2129" s="765"/>
      <c r="I2129" s="765"/>
      <c r="J2129" s="765"/>
      <c r="K2129" s="765"/>
      <c r="L2129" s="765"/>
      <c r="M2129" s="765"/>
      <c r="N2129" s="765"/>
      <c r="O2129" s="765"/>
    </row>
    <row r="2130" spans="2:15" x14ac:dyDescent="0.25">
      <c r="B2130" s="765"/>
      <c r="C2130" s="765"/>
      <c r="D2130" s="765"/>
      <c r="E2130" s="765"/>
      <c r="F2130" s="765"/>
      <c r="G2130" s="765"/>
      <c r="H2130" s="765"/>
      <c r="I2130" s="765"/>
      <c r="J2130" s="765"/>
      <c r="K2130" s="765"/>
      <c r="L2130" s="765"/>
      <c r="M2130" s="765"/>
      <c r="N2130" s="765"/>
      <c r="O2130" s="765"/>
    </row>
    <row r="2131" spans="2:15" x14ac:dyDescent="0.25">
      <c r="B2131" s="765"/>
      <c r="C2131" s="765"/>
      <c r="D2131" s="765"/>
      <c r="E2131" s="765"/>
      <c r="F2131" s="765"/>
      <c r="G2131" s="765"/>
      <c r="H2131" s="765"/>
      <c r="I2131" s="765"/>
      <c r="J2131" s="765"/>
      <c r="K2131" s="765"/>
      <c r="L2131" s="765"/>
      <c r="M2131" s="765"/>
      <c r="N2131" s="765"/>
      <c r="O2131" s="765"/>
    </row>
    <row r="2132" spans="2:15" x14ac:dyDescent="0.25">
      <c r="B2132" s="765"/>
      <c r="C2132" s="765"/>
      <c r="D2132" s="765"/>
      <c r="E2132" s="765"/>
      <c r="F2132" s="765"/>
      <c r="G2132" s="765"/>
      <c r="H2132" s="765"/>
      <c r="I2132" s="765"/>
      <c r="J2132" s="765"/>
      <c r="K2132" s="765"/>
      <c r="L2132" s="765"/>
      <c r="M2132" s="765"/>
      <c r="N2132" s="765"/>
      <c r="O2132" s="765"/>
    </row>
    <row r="2133" spans="2:15" x14ac:dyDescent="0.25">
      <c r="B2133" s="765"/>
      <c r="C2133" s="765"/>
      <c r="D2133" s="765"/>
      <c r="E2133" s="765"/>
      <c r="F2133" s="765"/>
      <c r="G2133" s="765"/>
      <c r="H2133" s="765"/>
      <c r="I2133" s="765"/>
      <c r="J2133" s="765"/>
      <c r="K2133" s="765"/>
      <c r="L2133" s="765"/>
      <c r="M2133" s="765"/>
      <c r="N2133" s="765"/>
      <c r="O2133" s="765"/>
    </row>
    <row r="2134" spans="2:15" x14ac:dyDescent="0.25">
      <c r="B2134" s="765"/>
      <c r="C2134" s="765"/>
      <c r="D2134" s="765"/>
      <c r="E2134" s="765"/>
      <c r="F2134" s="765"/>
      <c r="G2134" s="765"/>
      <c r="H2134" s="765"/>
      <c r="I2134" s="765"/>
      <c r="J2134" s="765"/>
      <c r="K2134" s="765"/>
      <c r="L2134" s="765"/>
      <c r="M2134" s="765"/>
      <c r="N2134" s="765"/>
      <c r="O2134" s="765"/>
    </row>
    <row r="2135" spans="2:15" x14ac:dyDescent="0.25">
      <c r="B2135" s="765"/>
      <c r="C2135" s="765"/>
      <c r="D2135" s="765"/>
      <c r="E2135" s="765"/>
      <c r="F2135" s="765"/>
      <c r="G2135" s="765"/>
      <c r="H2135" s="765"/>
      <c r="I2135" s="765"/>
      <c r="J2135" s="765"/>
      <c r="K2135" s="765"/>
      <c r="L2135" s="765"/>
      <c r="M2135" s="765"/>
      <c r="N2135" s="765"/>
      <c r="O2135" s="765"/>
    </row>
    <row r="2136" spans="2:15" x14ac:dyDescent="0.25">
      <c r="B2136" s="765"/>
      <c r="C2136" s="765"/>
      <c r="D2136" s="765"/>
      <c r="E2136" s="765"/>
      <c r="F2136" s="765"/>
      <c r="G2136" s="765"/>
      <c r="H2136" s="765"/>
      <c r="I2136" s="765"/>
      <c r="J2136" s="765"/>
      <c r="K2136" s="765"/>
      <c r="L2136" s="765"/>
      <c r="M2136" s="765"/>
      <c r="N2136" s="765"/>
      <c r="O2136" s="765"/>
    </row>
    <row r="2137" spans="2:15" x14ac:dyDescent="0.25">
      <c r="B2137" s="765"/>
      <c r="C2137" s="765"/>
      <c r="D2137" s="765"/>
      <c r="E2137" s="765"/>
      <c r="F2137" s="765"/>
      <c r="G2137" s="765"/>
      <c r="H2137" s="765"/>
      <c r="I2137" s="765"/>
      <c r="J2137" s="765"/>
      <c r="K2137" s="765"/>
      <c r="L2137" s="765"/>
      <c r="M2137" s="765"/>
      <c r="N2137" s="765"/>
      <c r="O2137" s="765"/>
    </row>
    <row r="2138" spans="2:15" x14ac:dyDescent="0.25">
      <c r="B2138" s="765"/>
      <c r="C2138" s="765"/>
      <c r="D2138" s="765"/>
      <c r="E2138" s="765"/>
      <c r="F2138" s="765"/>
      <c r="G2138" s="765"/>
      <c r="H2138" s="765"/>
      <c r="I2138" s="765"/>
      <c r="J2138" s="765"/>
      <c r="K2138" s="765"/>
      <c r="L2138" s="765"/>
      <c r="M2138" s="765"/>
      <c r="N2138" s="765"/>
      <c r="O2138" s="765"/>
    </row>
    <row r="2139" spans="2:15" x14ac:dyDescent="0.25">
      <c r="B2139" s="765"/>
      <c r="C2139" s="765"/>
      <c r="D2139" s="765"/>
      <c r="E2139" s="765"/>
      <c r="F2139" s="765"/>
      <c r="G2139" s="765"/>
      <c r="H2139" s="765"/>
      <c r="I2139" s="765"/>
      <c r="J2139" s="765"/>
      <c r="K2139" s="765"/>
      <c r="L2139" s="765"/>
      <c r="M2139" s="765"/>
      <c r="N2139" s="765"/>
      <c r="O2139" s="765"/>
    </row>
    <row r="2140" spans="2:15" x14ac:dyDescent="0.25">
      <c r="B2140" s="765"/>
      <c r="C2140" s="765"/>
      <c r="D2140" s="765"/>
      <c r="E2140" s="765"/>
      <c r="F2140" s="765"/>
      <c r="G2140" s="765"/>
      <c r="H2140" s="765"/>
      <c r="I2140" s="765"/>
      <c r="J2140" s="765"/>
      <c r="K2140" s="765"/>
      <c r="L2140" s="765"/>
      <c r="M2140" s="765"/>
      <c r="N2140" s="765"/>
      <c r="O2140" s="765"/>
    </row>
    <row r="2141" spans="2:15" x14ac:dyDescent="0.25">
      <c r="B2141" s="765"/>
      <c r="C2141" s="765"/>
      <c r="D2141" s="765"/>
      <c r="E2141" s="765"/>
      <c r="F2141" s="765"/>
      <c r="G2141" s="765"/>
      <c r="H2141" s="765"/>
      <c r="I2141" s="765"/>
      <c r="J2141" s="765"/>
      <c r="K2141" s="765"/>
      <c r="L2141" s="765"/>
      <c r="M2141" s="765"/>
      <c r="N2141" s="765"/>
      <c r="O2141" s="765"/>
    </row>
    <row r="2142" spans="2:15" x14ac:dyDescent="0.25">
      <c r="B2142" s="765"/>
      <c r="C2142" s="765"/>
      <c r="D2142" s="765"/>
      <c r="E2142" s="765"/>
      <c r="F2142" s="765"/>
      <c r="G2142" s="765"/>
      <c r="H2142" s="765"/>
      <c r="I2142" s="765"/>
      <c r="J2142" s="765"/>
      <c r="K2142" s="765"/>
      <c r="L2142" s="765"/>
      <c r="M2142" s="765"/>
      <c r="N2142" s="765"/>
      <c r="O2142" s="765"/>
    </row>
    <row r="2143" spans="2:15" x14ac:dyDescent="0.25">
      <c r="B2143" s="765"/>
      <c r="C2143" s="765"/>
      <c r="D2143" s="765"/>
      <c r="E2143" s="765"/>
      <c r="F2143" s="765"/>
      <c r="G2143" s="765"/>
      <c r="H2143" s="765"/>
      <c r="I2143" s="765"/>
      <c r="J2143" s="765"/>
      <c r="K2143" s="765"/>
      <c r="L2143" s="765"/>
      <c r="M2143" s="765"/>
      <c r="N2143" s="765"/>
      <c r="O2143" s="765"/>
    </row>
    <row r="2144" spans="2:15" x14ac:dyDescent="0.25">
      <c r="B2144" s="765"/>
      <c r="C2144" s="765"/>
      <c r="D2144" s="765"/>
      <c r="E2144" s="765"/>
      <c r="F2144" s="765"/>
      <c r="G2144" s="765"/>
      <c r="H2144" s="765"/>
      <c r="I2144" s="765"/>
      <c r="J2144" s="765"/>
      <c r="K2144" s="765"/>
      <c r="L2144" s="765"/>
      <c r="M2144" s="765"/>
      <c r="N2144" s="765"/>
      <c r="O2144" s="765"/>
    </row>
    <row r="2145" spans="2:15" x14ac:dyDescent="0.25">
      <c r="B2145" s="765"/>
      <c r="C2145" s="765"/>
      <c r="D2145" s="765"/>
      <c r="E2145" s="765"/>
      <c r="F2145" s="765"/>
      <c r="G2145" s="765"/>
      <c r="H2145" s="765"/>
      <c r="I2145" s="765"/>
      <c r="J2145" s="765"/>
      <c r="K2145" s="765"/>
      <c r="L2145" s="765"/>
      <c r="M2145" s="765"/>
      <c r="N2145" s="765"/>
      <c r="O2145" s="765"/>
    </row>
    <row r="2146" spans="2:15" x14ac:dyDescent="0.25">
      <c r="B2146" s="765"/>
      <c r="C2146" s="765"/>
      <c r="D2146" s="765"/>
      <c r="E2146" s="765"/>
      <c r="F2146" s="765"/>
      <c r="G2146" s="765"/>
      <c r="H2146" s="765"/>
      <c r="I2146" s="765"/>
      <c r="J2146" s="765"/>
      <c r="K2146" s="765"/>
      <c r="L2146" s="765"/>
      <c r="M2146" s="765"/>
      <c r="N2146" s="765"/>
      <c r="O2146" s="765"/>
    </row>
    <row r="2147" spans="2:15" x14ac:dyDescent="0.25">
      <c r="B2147" s="765"/>
      <c r="C2147" s="765"/>
      <c r="D2147" s="765"/>
      <c r="E2147" s="765"/>
      <c r="F2147" s="765"/>
      <c r="G2147" s="765"/>
      <c r="H2147" s="765"/>
      <c r="I2147" s="765"/>
      <c r="J2147" s="765"/>
      <c r="K2147" s="765"/>
      <c r="L2147" s="765"/>
      <c r="M2147" s="765"/>
      <c r="N2147" s="765"/>
      <c r="O2147" s="765"/>
    </row>
    <row r="2148" spans="2:15" x14ac:dyDescent="0.25">
      <c r="B2148" s="765"/>
      <c r="C2148" s="765"/>
      <c r="D2148" s="765"/>
      <c r="E2148" s="765"/>
      <c r="F2148" s="765"/>
      <c r="G2148" s="765"/>
      <c r="H2148" s="765"/>
      <c r="I2148" s="765"/>
      <c r="J2148" s="765"/>
      <c r="K2148" s="765"/>
      <c r="L2148" s="765"/>
      <c r="M2148" s="765"/>
      <c r="N2148" s="765"/>
      <c r="O2148" s="765"/>
    </row>
    <row r="2149" spans="2:15" x14ac:dyDescent="0.25">
      <c r="B2149" s="765"/>
      <c r="C2149" s="765"/>
      <c r="D2149" s="765"/>
      <c r="E2149" s="765"/>
      <c r="F2149" s="765"/>
      <c r="G2149" s="765"/>
      <c r="H2149" s="765"/>
      <c r="I2149" s="765"/>
      <c r="J2149" s="765"/>
      <c r="K2149" s="765"/>
      <c r="L2149" s="765"/>
      <c r="M2149" s="765"/>
      <c r="N2149" s="765"/>
      <c r="O2149" s="765"/>
    </row>
    <row r="2150" spans="2:15" x14ac:dyDescent="0.25">
      <c r="B2150" s="765"/>
      <c r="C2150" s="765"/>
      <c r="D2150" s="765"/>
      <c r="E2150" s="765"/>
      <c r="F2150" s="765"/>
      <c r="G2150" s="765"/>
      <c r="H2150" s="765"/>
      <c r="I2150" s="765"/>
      <c r="J2150" s="765"/>
      <c r="K2150" s="765"/>
      <c r="L2150" s="765"/>
      <c r="M2150" s="765"/>
      <c r="N2150" s="765"/>
      <c r="O2150" s="765"/>
    </row>
    <row r="2151" spans="2:15" x14ac:dyDescent="0.25">
      <c r="B2151" s="765"/>
      <c r="C2151" s="765"/>
      <c r="D2151" s="765"/>
      <c r="E2151" s="765"/>
      <c r="F2151" s="765"/>
      <c r="G2151" s="765"/>
      <c r="H2151" s="765"/>
      <c r="I2151" s="765"/>
      <c r="J2151" s="765"/>
      <c r="K2151" s="765"/>
      <c r="L2151" s="765"/>
      <c r="M2151" s="765"/>
      <c r="N2151" s="765"/>
      <c r="O2151" s="765"/>
    </row>
    <row r="2152" spans="2:15" x14ac:dyDescent="0.25">
      <c r="B2152" s="765"/>
      <c r="C2152" s="765"/>
      <c r="D2152" s="765"/>
      <c r="E2152" s="765"/>
      <c r="F2152" s="765"/>
      <c r="G2152" s="765"/>
      <c r="H2152" s="765"/>
      <c r="I2152" s="765"/>
      <c r="J2152" s="765"/>
      <c r="K2152" s="765"/>
      <c r="L2152" s="765"/>
      <c r="M2152" s="765"/>
      <c r="N2152" s="765"/>
      <c r="O2152" s="765"/>
    </row>
    <row r="2153" spans="2:15" x14ac:dyDescent="0.25">
      <c r="B2153" s="765"/>
      <c r="C2153" s="765"/>
      <c r="D2153" s="765"/>
      <c r="E2153" s="765"/>
      <c r="F2153" s="765"/>
      <c r="G2153" s="765"/>
      <c r="H2153" s="765"/>
      <c r="I2153" s="765"/>
      <c r="J2153" s="765"/>
      <c r="K2153" s="765"/>
      <c r="L2153" s="765"/>
      <c r="M2153" s="765"/>
      <c r="N2153" s="765"/>
      <c r="O2153" s="765"/>
    </row>
    <row r="2154" spans="2:15" x14ac:dyDescent="0.25">
      <c r="B2154" s="765"/>
      <c r="C2154" s="765"/>
      <c r="D2154" s="765"/>
      <c r="E2154" s="765"/>
      <c r="F2154" s="765"/>
      <c r="G2154" s="765"/>
      <c r="H2154" s="765"/>
      <c r="I2154" s="765"/>
      <c r="J2154" s="765"/>
      <c r="K2154" s="765"/>
      <c r="L2154" s="765"/>
      <c r="M2154" s="765"/>
      <c r="N2154" s="765"/>
      <c r="O2154" s="765"/>
    </row>
    <row r="2155" spans="2:15" x14ac:dyDescent="0.25">
      <c r="B2155" s="765"/>
      <c r="C2155" s="765"/>
      <c r="D2155" s="765"/>
      <c r="E2155" s="765"/>
      <c r="F2155" s="765"/>
      <c r="G2155" s="765"/>
      <c r="H2155" s="765"/>
      <c r="I2155" s="765"/>
      <c r="J2155" s="765"/>
      <c r="K2155" s="765"/>
      <c r="L2155" s="765"/>
      <c r="M2155" s="765"/>
      <c r="N2155" s="765"/>
      <c r="O2155" s="765"/>
    </row>
    <row r="2156" spans="2:15" x14ac:dyDescent="0.25">
      <c r="B2156" s="765"/>
      <c r="C2156" s="765"/>
      <c r="D2156" s="765"/>
      <c r="E2156" s="765"/>
      <c r="F2156" s="765"/>
      <c r="G2156" s="765"/>
      <c r="H2156" s="765"/>
      <c r="I2156" s="765"/>
      <c r="J2156" s="765"/>
      <c r="K2156" s="765"/>
      <c r="L2156" s="765"/>
      <c r="M2156" s="765"/>
      <c r="N2156" s="765"/>
      <c r="O2156" s="765"/>
    </row>
    <row r="2157" spans="2:15" x14ac:dyDescent="0.25">
      <c r="B2157" s="765"/>
      <c r="C2157" s="765"/>
      <c r="D2157" s="765"/>
      <c r="E2157" s="765"/>
      <c r="F2157" s="765"/>
      <c r="G2157" s="765"/>
      <c r="H2157" s="765"/>
      <c r="I2157" s="765"/>
      <c r="J2157" s="765"/>
      <c r="K2157" s="765"/>
      <c r="L2157" s="765"/>
      <c r="M2157" s="765"/>
      <c r="N2157" s="765"/>
      <c r="O2157" s="765"/>
    </row>
    <row r="2158" spans="2:15" x14ac:dyDescent="0.25">
      <c r="B2158" s="765"/>
      <c r="C2158" s="765"/>
      <c r="D2158" s="765"/>
      <c r="E2158" s="765"/>
      <c r="F2158" s="765"/>
      <c r="G2158" s="765"/>
      <c r="H2158" s="765"/>
      <c r="I2158" s="765"/>
      <c r="J2158" s="765"/>
      <c r="K2158" s="765"/>
      <c r="L2158" s="765"/>
      <c r="M2158" s="765"/>
      <c r="N2158" s="765"/>
      <c r="O2158" s="765"/>
    </row>
    <row r="2159" spans="2:15" x14ac:dyDescent="0.25">
      <c r="B2159" s="765"/>
      <c r="C2159" s="765"/>
      <c r="D2159" s="765"/>
      <c r="E2159" s="765"/>
      <c r="F2159" s="765"/>
      <c r="G2159" s="765"/>
      <c r="H2159" s="765"/>
      <c r="I2159" s="765"/>
      <c r="J2159" s="765"/>
      <c r="K2159" s="765"/>
      <c r="L2159" s="765"/>
      <c r="M2159" s="765"/>
      <c r="N2159" s="765"/>
      <c r="O2159" s="765"/>
    </row>
    <row r="2160" spans="2:15" x14ac:dyDescent="0.25">
      <c r="B2160" s="765"/>
      <c r="C2160" s="765"/>
      <c r="D2160" s="765"/>
      <c r="E2160" s="765"/>
      <c r="F2160" s="765"/>
      <c r="G2160" s="765"/>
      <c r="H2160" s="765"/>
      <c r="I2160" s="765"/>
      <c r="J2160" s="765"/>
      <c r="K2160" s="765"/>
      <c r="L2160" s="765"/>
      <c r="M2160" s="765"/>
      <c r="N2160" s="765"/>
      <c r="O2160" s="765"/>
    </row>
    <row r="2161" spans="2:15" x14ac:dyDescent="0.25">
      <c r="B2161" s="765"/>
      <c r="C2161" s="765"/>
      <c r="D2161" s="765"/>
      <c r="E2161" s="765"/>
      <c r="F2161" s="765"/>
      <c r="G2161" s="765"/>
      <c r="H2161" s="765"/>
      <c r="I2161" s="765"/>
      <c r="J2161" s="765"/>
      <c r="K2161" s="765"/>
      <c r="L2161" s="765"/>
      <c r="M2161" s="765"/>
      <c r="N2161" s="765"/>
      <c r="O2161" s="765"/>
    </row>
    <row r="2162" spans="2:15" x14ac:dyDescent="0.25">
      <c r="B2162" s="765"/>
      <c r="C2162" s="765"/>
      <c r="D2162" s="765"/>
      <c r="E2162" s="765"/>
      <c r="F2162" s="765"/>
      <c r="G2162" s="765"/>
      <c r="H2162" s="765"/>
      <c r="I2162" s="765"/>
      <c r="J2162" s="765"/>
      <c r="K2162" s="765"/>
      <c r="L2162" s="765"/>
      <c r="M2162" s="765"/>
      <c r="N2162" s="765"/>
      <c r="O2162" s="765"/>
    </row>
    <row r="2163" spans="2:15" x14ac:dyDescent="0.25">
      <c r="B2163" s="765"/>
      <c r="C2163" s="765"/>
      <c r="D2163" s="765"/>
      <c r="E2163" s="765"/>
      <c r="F2163" s="765"/>
      <c r="G2163" s="765"/>
      <c r="H2163" s="765"/>
      <c r="I2163" s="765"/>
      <c r="J2163" s="765"/>
      <c r="K2163" s="765"/>
      <c r="L2163" s="765"/>
      <c r="M2163" s="765"/>
      <c r="N2163" s="765"/>
      <c r="O2163" s="765"/>
    </row>
    <row r="2164" spans="2:15" x14ac:dyDescent="0.25">
      <c r="B2164" s="765"/>
      <c r="C2164" s="765"/>
      <c r="D2164" s="765"/>
      <c r="E2164" s="765"/>
      <c r="F2164" s="765"/>
      <c r="G2164" s="765"/>
      <c r="H2164" s="765"/>
      <c r="I2164" s="765"/>
      <c r="J2164" s="765"/>
      <c r="K2164" s="765"/>
      <c r="L2164" s="765"/>
      <c r="M2164" s="765"/>
      <c r="N2164" s="765"/>
      <c r="O2164" s="765"/>
    </row>
    <row r="2165" spans="2:15" x14ac:dyDescent="0.25">
      <c r="B2165" s="765"/>
      <c r="C2165" s="765"/>
      <c r="D2165" s="765"/>
      <c r="E2165" s="765"/>
      <c r="F2165" s="765"/>
      <c r="G2165" s="765"/>
      <c r="H2165" s="765"/>
      <c r="I2165" s="765"/>
      <c r="J2165" s="765"/>
      <c r="K2165" s="765"/>
      <c r="L2165" s="765"/>
      <c r="M2165" s="765"/>
      <c r="N2165" s="765"/>
      <c r="O2165" s="765"/>
    </row>
    <row r="2166" spans="2:15" x14ac:dyDescent="0.25">
      <c r="B2166" s="765"/>
      <c r="C2166" s="765"/>
      <c r="D2166" s="765"/>
      <c r="E2166" s="765"/>
      <c r="F2166" s="765"/>
      <c r="G2166" s="765"/>
      <c r="H2166" s="765"/>
      <c r="I2166" s="765"/>
      <c r="J2166" s="765"/>
      <c r="K2166" s="765"/>
      <c r="L2166" s="765"/>
      <c r="M2166" s="765"/>
      <c r="N2166" s="765"/>
      <c r="O2166" s="765"/>
    </row>
    <row r="2167" spans="2:15" x14ac:dyDescent="0.25">
      <c r="B2167" s="765"/>
      <c r="C2167" s="765"/>
      <c r="D2167" s="765"/>
      <c r="E2167" s="765"/>
      <c r="F2167" s="765"/>
      <c r="G2167" s="765"/>
      <c r="H2167" s="765"/>
      <c r="I2167" s="765"/>
      <c r="J2167" s="765"/>
      <c r="K2167" s="765"/>
      <c r="L2167" s="765"/>
      <c r="M2167" s="765"/>
      <c r="N2167" s="765"/>
      <c r="O2167" s="765"/>
    </row>
    <row r="2168" spans="2:15" x14ac:dyDescent="0.25">
      <c r="B2168" s="765"/>
      <c r="C2168" s="765"/>
      <c r="D2168" s="765"/>
      <c r="E2168" s="765"/>
      <c r="F2168" s="765"/>
      <c r="G2168" s="765"/>
      <c r="H2168" s="765"/>
      <c r="I2168" s="765"/>
      <c r="J2168" s="765"/>
      <c r="K2168" s="765"/>
      <c r="L2168" s="765"/>
      <c r="M2168" s="765"/>
      <c r="N2168" s="765"/>
      <c r="O2168" s="765"/>
    </row>
    <row r="2169" spans="2:15" x14ac:dyDescent="0.25">
      <c r="B2169" s="765"/>
      <c r="C2169" s="765"/>
      <c r="D2169" s="765"/>
      <c r="E2169" s="765"/>
      <c r="F2169" s="765"/>
      <c r="G2169" s="765"/>
      <c r="H2169" s="765"/>
      <c r="I2169" s="765"/>
      <c r="J2169" s="765"/>
      <c r="K2169" s="765"/>
      <c r="L2169" s="765"/>
      <c r="M2169" s="765"/>
      <c r="N2169" s="765"/>
      <c r="O2169" s="765"/>
    </row>
    <row r="2170" spans="2:15" x14ac:dyDescent="0.25">
      <c r="B2170" s="765"/>
      <c r="C2170" s="765"/>
      <c r="D2170" s="765"/>
      <c r="E2170" s="765"/>
      <c r="F2170" s="765"/>
      <c r="G2170" s="765"/>
      <c r="H2170" s="765"/>
      <c r="I2170" s="765"/>
      <c r="J2170" s="765"/>
      <c r="K2170" s="765"/>
      <c r="L2170" s="765"/>
      <c r="M2170" s="765"/>
      <c r="N2170" s="765"/>
      <c r="O2170" s="765"/>
    </row>
    <row r="2171" spans="2:15" x14ac:dyDescent="0.25">
      <c r="B2171" s="765"/>
      <c r="C2171" s="765"/>
      <c r="D2171" s="765"/>
      <c r="E2171" s="765"/>
      <c r="F2171" s="765"/>
      <c r="G2171" s="765"/>
      <c r="H2171" s="765"/>
      <c r="I2171" s="765"/>
      <c r="J2171" s="765"/>
      <c r="K2171" s="765"/>
      <c r="L2171" s="765"/>
      <c r="M2171" s="765"/>
      <c r="N2171" s="765"/>
      <c r="O2171" s="765"/>
    </row>
    <row r="2172" spans="2:15" x14ac:dyDescent="0.25">
      <c r="B2172" s="765"/>
      <c r="C2172" s="765"/>
      <c r="D2172" s="765"/>
      <c r="E2172" s="765"/>
      <c r="F2172" s="765"/>
      <c r="G2172" s="765"/>
      <c r="H2172" s="765"/>
      <c r="I2172" s="765"/>
      <c r="J2172" s="765"/>
      <c r="K2172" s="765"/>
      <c r="L2172" s="765"/>
      <c r="M2172" s="765"/>
      <c r="N2172" s="765"/>
      <c r="O2172" s="765"/>
    </row>
    <row r="2173" spans="2:15" x14ac:dyDescent="0.25">
      <c r="B2173" s="765"/>
      <c r="C2173" s="765"/>
      <c r="D2173" s="765"/>
      <c r="E2173" s="765"/>
      <c r="F2173" s="765"/>
      <c r="G2173" s="765"/>
      <c r="H2173" s="765"/>
      <c r="I2173" s="765"/>
      <c r="J2173" s="765"/>
      <c r="K2173" s="765"/>
      <c r="L2173" s="765"/>
      <c r="M2173" s="765"/>
      <c r="N2173" s="765"/>
      <c r="O2173" s="765"/>
    </row>
    <row r="2174" spans="2:15" x14ac:dyDescent="0.25">
      <c r="B2174" s="765"/>
      <c r="C2174" s="765"/>
      <c r="D2174" s="765"/>
      <c r="E2174" s="765"/>
      <c r="F2174" s="765"/>
      <c r="G2174" s="765"/>
      <c r="H2174" s="765"/>
      <c r="I2174" s="765"/>
      <c r="J2174" s="765"/>
      <c r="K2174" s="765"/>
      <c r="L2174" s="765"/>
      <c r="M2174" s="765"/>
      <c r="N2174" s="765"/>
      <c r="O2174" s="765"/>
    </row>
    <row r="2175" spans="2:15" x14ac:dyDescent="0.25">
      <c r="B2175" s="765"/>
      <c r="C2175" s="765"/>
      <c r="D2175" s="765"/>
      <c r="E2175" s="765"/>
      <c r="F2175" s="765"/>
      <c r="G2175" s="765"/>
      <c r="H2175" s="765"/>
      <c r="I2175" s="765"/>
      <c r="J2175" s="765"/>
      <c r="K2175" s="765"/>
      <c r="L2175" s="765"/>
      <c r="M2175" s="765"/>
      <c r="N2175" s="765"/>
      <c r="O2175" s="765"/>
    </row>
    <row r="2176" spans="2:15" x14ac:dyDescent="0.25">
      <c r="B2176" s="765"/>
      <c r="C2176" s="765"/>
      <c r="D2176" s="765"/>
      <c r="E2176" s="765"/>
      <c r="F2176" s="765"/>
      <c r="G2176" s="765"/>
      <c r="H2176" s="765"/>
      <c r="I2176" s="765"/>
      <c r="J2176" s="765"/>
      <c r="K2176" s="765"/>
      <c r="L2176" s="765"/>
      <c r="M2176" s="765"/>
      <c r="N2176" s="765"/>
      <c r="O2176" s="765"/>
    </row>
    <row r="2177" spans="2:15" x14ac:dyDescent="0.25">
      <c r="B2177" s="765"/>
      <c r="C2177" s="765"/>
      <c r="D2177" s="765"/>
      <c r="E2177" s="765"/>
      <c r="F2177" s="765"/>
      <c r="G2177" s="765"/>
      <c r="H2177" s="765"/>
      <c r="I2177" s="765"/>
      <c r="J2177" s="765"/>
      <c r="K2177" s="765"/>
      <c r="L2177" s="765"/>
      <c r="M2177" s="765"/>
      <c r="N2177" s="765"/>
      <c r="O2177" s="765"/>
    </row>
    <row r="2178" spans="2:15" x14ac:dyDescent="0.25">
      <c r="B2178" s="765"/>
      <c r="C2178" s="765"/>
      <c r="D2178" s="765"/>
      <c r="E2178" s="765"/>
      <c r="F2178" s="765"/>
      <c r="G2178" s="765"/>
      <c r="H2178" s="765"/>
      <c r="I2178" s="765"/>
      <c r="J2178" s="765"/>
      <c r="K2178" s="765"/>
      <c r="L2178" s="765"/>
      <c r="M2178" s="765"/>
      <c r="N2178" s="765"/>
      <c r="O2178" s="765"/>
    </row>
    <row r="2179" spans="2:15" x14ac:dyDescent="0.25">
      <c r="B2179" s="765"/>
      <c r="C2179" s="765"/>
      <c r="D2179" s="765"/>
      <c r="E2179" s="765"/>
      <c r="F2179" s="765"/>
      <c r="G2179" s="765"/>
      <c r="H2179" s="765"/>
      <c r="I2179" s="765"/>
      <c r="J2179" s="765"/>
      <c r="K2179" s="765"/>
      <c r="L2179" s="765"/>
      <c r="M2179" s="765"/>
      <c r="N2179" s="765"/>
      <c r="O2179" s="765"/>
    </row>
    <row r="2180" spans="2:15" x14ac:dyDescent="0.25">
      <c r="B2180" s="765"/>
      <c r="C2180" s="765"/>
      <c r="D2180" s="765"/>
      <c r="E2180" s="765"/>
      <c r="F2180" s="765"/>
      <c r="G2180" s="765"/>
      <c r="H2180" s="765"/>
      <c r="I2180" s="765"/>
      <c r="J2180" s="765"/>
      <c r="K2180" s="765"/>
      <c r="L2180" s="765"/>
      <c r="M2180" s="765"/>
      <c r="N2180" s="765"/>
      <c r="O2180" s="765"/>
    </row>
    <row r="2181" spans="2:15" x14ac:dyDescent="0.25">
      <c r="B2181" s="765"/>
      <c r="C2181" s="765"/>
      <c r="D2181" s="765"/>
      <c r="E2181" s="765"/>
      <c r="F2181" s="765"/>
      <c r="G2181" s="765"/>
      <c r="H2181" s="765"/>
      <c r="I2181" s="765"/>
      <c r="J2181" s="765"/>
      <c r="K2181" s="765"/>
      <c r="L2181" s="765"/>
      <c r="M2181" s="765"/>
      <c r="N2181" s="765"/>
      <c r="O2181" s="765"/>
    </row>
    <row r="2182" spans="2:15" x14ac:dyDescent="0.25">
      <c r="B2182" s="765"/>
      <c r="C2182" s="765"/>
      <c r="D2182" s="765"/>
      <c r="E2182" s="765"/>
      <c r="F2182" s="765"/>
      <c r="G2182" s="765"/>
      <c r="H2182" s="765"/>
      <c r="I2182" s="765"/>
      <c r="J2182" s="765"/>
      <c r="K2182" s="765"/>
      <c r="L2182" s="765"/>
      <c r="M2182" s="765"/>
      <c r="N2182" s="765"/>
      <c r="O2182" s="765"/>
    </row>
    <row r="2183" spans="2:15" x14ac:dyDescent="0.25">
      <c r="B2183" s="765"/>
      <c r="C2183" s="765"/>
      <c r="D2183" s="765"/>
      <c r="E2183" s="765"/>
      <c r="F2183" s="765"/>
      <c r="G2183" s="765"/>
      <c r="H2183" s="765"/>
      <c r="I2183" s="765"/>
      <c r="J2183" s="765"/>
      <c r="K2183" s="765"/>
      <c r="L2183" s="765"/>
      <c r="M2183" s="765"/>
      <c r="N2183" s="765"/>
      <c r="O2183" s="765"/>
    </row>
    <row r="2184" spans="2:15" x14ac:dyDescent="0.25">
      <c r="B2184" s="765"/>
      <c r="C2184" s="765"/>
      <c r="D2184" s="765"/>
      <c r="E2184" s="765"/>
      <c r="F2184" s="765"/>
      <c r="G2184" s="765"/>
      <c r="H2184" s="765"/>
      <c r="I2184" s="765"/>
      <c r="J2184" s="765"/>
      <c r="K2184" s="765"/>
      <c r="L2184" s="765"/>
      <c r="M2184" s="765"/>
      <c r="N2184" s="765"/>
      <c r="O2184" s="765"/>
    </row>
    <row r="2185" spans="2:15" x14ac:dyDescent="0.25">
      <c r="B2185" s="765"/>
      <c r="C2185" s="765"/>
      <c r="D2185" s="765"/>
      <c r="E2185" s="765"/>
      <c r="F2185" s="765"/>
      <c r="G2185" s="765"/>
      <c r="H2185" s="765"/>
      <c r="I2185" s="765"/>
      <c r="J2185" s="765"/>
      <c r="K2185" s="765"/>
      <c r="L2185" s="765"/>
      <c r="M2185" s="765"/>
      <c r="N2185" s="765"/>
      <c r="O2185" s="765"/>
    </row>
    <row r="2186" spans="2:15" x14ac:dyDescent="0.25">
      <c r="B2186" s="765"/>
      <c r="C2186" s="765"/>
      <c r="D2186" s="765"/>
      <c r="E2186" s="765"/>
      <c r="F2186" s="765"/>
      <c r="G2186" s="765"/>
      <c r="H2186" s="765"/>
      <c r="I2186" s="765"/>
      <c r="J2186" s="765"/>
      <c r="K2186" s="765"/>
      <c r="L2186" s="765"/>
      <c r="M2186" s="765"/>
      <c r="N2186" s="765"/>
      <c r="O2186" s="765"/>
    </row>
    <row r="2187" spans="2:15" x14ac:dyDescent="0.25">
      <c r="B2187" s="765"/>
      <c r="C2187" s="765"/>
      <c r="D2187" s="765"/>
      <c r="E2187" s="765"/>
      <c r="F2187" s="765"/>
      <c r="G2187" s="765"/>
      <c r="H2187" s="765"/>
      <c r="I2187" s="765"/>
      <c r="J2187" s="765"/>
      <c r="K2187" s="765"/>
      <c r="L2187" s="765"/>
      <c r="M2187" s="765"/>
      <c r="N2187" s="765"/>
      <c r="O2187" s="765"/>
    </row>
    <row r="2188" spans="2:15" x14ac:dyDescent="0.25">
      <c r="B2188" s="765"/>
      <c r="C2188" s="765"/>
      <c r="D2188" s="765"/>
      <c r="E2188" s="765"/>
      <c r="F2188" s="765"/>
      <c r="G2188" s="765"/>
      <c r="H2188" s="765"/>
      <c r="I2188" s="765"/>
      <c r="J2188" s="765"/>
      <c r="K2188" s="765"/>
      <c r="L2188" s="765"/>
      <c r="M2188" s="765"/>
      <c r="N2188" s="765"/>
      <c r="O2188" s="765"/>
    </row>
    <row r="2189" spans="2:15" x14ac:dyDescent="0.25">
      <c r="B2189" s="765"/>
      <c r="C2189" s="765"/>
      <c r="D2189" s="765"/>
      <c r="E2189" s="765"/>
      <c r="F2189" s="765"/>
      <c r="G2189" s="765"/>
      <c r="H2189" s="765"/>
      <c r="I2189" s="765"/>
      <c r="J2189" s="765"/>
      <c r="K2189" s="765"/>
      <c r="L2189" s="765"/>
      <c r="M2189" s="765"/>
      <c r="N2189" s="765"/>
      <c r="O2189" s="765"/>
    </row>
    <row r="2190" spans="2:15" x14ac:dyDescent="0.25">
      <c r="B2190" s="765"/>
      <c r="C2190" s="765"/>
      <c r="D2190" s="765"/>
      <c r="E2190" s="765"/>
      <c r="F2190" s="765"/>
      <c r="G2190" s="765"/>
      <c r="H2190" s="765"/>
      <c r="I2190" s="765"/>
      <c r="J2190" s="765"/>
      <c r="K2190" s="765"/>
      <c r="L2190" s="765"/>
      <c r="M2190" s="765"/>
      <c r="N2190" s="765"/>
      <c r="O2190" s="765"/>
    </row>
    <row r="2191" spans="2:15" x14ac:dyDescent="0.25">
      <c r="B2191" s="765"/>
      <c r="C2191" s="765"/>
      <c r="D2191" s="765"/>
      <c r="E2191" s="765"/>
      <c r="F2191" s="765"/>
      <c r="G2191" s="765"/>
      <c r="H2191" s="765"/>
      <c r="I2191" s="765"/>
      <c r="J2191" s="765"/>
      <c r="K2191" s="765"/>
      <c r="L2191" s="765"/>
      <c r="M2191" s="765"/>
      <c r="N2191" s="765"/>
      <c r="O2191" s="765"/>
    </row>
    <row r="2192" spans="2:15" x14ac:dyDescent="0.25">
      <c r="B2192" s="765"/>
      <c r="C2192" s="765"/>
      <c r="D2192" s="765"/>
      <c r="E2192" s="765"/>
      <c r="F2192" s="765"/>
      <c r="G2192" s="765"/>
      <c r="H2192" s="765"/>
      <c r="I2192" s="765"/>
      <c r="J2192" s="765"/>
      <c r="K2192" s="765"/>
      <c r="L2192" s="765"/>
      <c r="M2192" s="765"/>
      <c r="N2192" s="765"/>
      <c r="O2192" s="765"/>
    </row>
    <row r="2193" spans="2:15" x14ac:dyDescent="0.25">
      <c r="B2193" s="765"/>
      <c r="C2193" s="765"/>
      <c r="D2193" s="765"/>
      <c r="E2193" s="765"/>
      <c r="F2193" s="765"/>
      <c r="G2193" s="765"/>
      <c r="H2193" s="765"/>
      <c r="I2193" s="765"/>
      <c r="J2193" s="765"/>
      <c r="K2193" s="765"/>
      <c r="L2193" s="765"/>
      <c r="M2193" s="765"/>
      <c r="N2193" s="765"/>
      <c r="O2193" s="765"/>
    </row>
    <row r="2194" spans="2:15" x14ac:dyDescent="0.25">
      <c r="B2194" s="765"/>
      <c r="C2194" s="765"/>
      <c r="D2194" s="765"/>
      <c r="E2194" s="765"/>
      <c r="F2194" s="765"/>
      <c r="G2194" s="765"/>
      <c r="H2194" s="765"/>
      <c r="I2194" s="765"/>
      <c r="J2194" s="765"/>
      <c r="K2194" s="765"/>
      <c r="L2194" s="765"/>
      <c r="M2194" s="765"/>
      <c r="N2194" s="765"/>
      <c r="O2194" s="765"/>
    </row>
    <row r="2195" spans="2:15" x14ac:dyDescent="0.25">
      <c r="B2195" s="765"/>
      <c r="C2195" s="765"/>
      <c r="D2195" s="765"/>
      <c r="E2195" s="765"/>
      <c r="F2195" s="765"/>
      <c r="G2195" s="765"/>
      <c r="H2195" s="765"/>
      <c r="I2195" s="765"/>
      <c r="J2195" s="765"/>
      <c r="K2195" s="765"/>
      <c r="L2195" s="765"/>
      <c r="M2195" s="765"/>
      <c r="N2195" s="765"/>
      <c r="O2195" s="765"/>
    </row>
    <row r="2196" spans="2:15" x14ac:dyDescent="0.25">
      <c r="B2196" s="765"/>
      <c r="C2196" s="765"/>
      <c r="D2196" s="765"/>
      <c r="E2196" s="765"/>
      <c r="F2196" s="765"/>
      <c r="G2196" s="765"/>
      <c r="H2196" s="765"/>
      <c r="I2196" s="765"/>
      <c r="J2196" s="765"/>
      <c r="K2196" s="765"/>
      <c r="L2196" s="765"/>
      <c r="M2196" s="765"/>
      <c r="N2196" s="765"/>
      <c r="O2196" s="765"/>
    </row>
    <row r="2197" spans="2:15" x14ac:dyDescent="0.25">
      <c r="B2197" s="765"/>
      <c r="C2197" s="765"/>
      <c r="D2197" s="765"/>
      <c r="E2197" s="765"/>
      <c r="F2197" s="765"/>
      <c r="G2197" s="765"/>
      <c r="H2197" s="765"/>
      <c r="I2197" s="765"/>
      <c r="J2197" s="765"/>
      <c r="K2197" s="765"/>
      <c r="L2197" s="765"/>
      <c r="M2197" s="765"/>
      <c r="N2197" s="765"/>
      <c r="O2197" s="765"/>
    </row>
    <row r="2198" spans="2:15" x14ac:dyDescent="0.25">
      <c r="B2198" s="765"/>
      <c r="C2198" s="765"/>
      <c r="D2198" s="765"/>
      <c r="E2198" s="765"/>
      <c r="F2198" s="765"/>
      <c r="G2198" s="765"/>
      <c r="H2198" s="765"/>
      <c r="I2198" s="765"/>
      <c r="J2198" s="765"/>
      <c r="K2198" s="765"/>
      <c r="L2198" s="765"/>
      <c r="M2198" s="765"/>
      <c r="N2198" s="765"/>
      <c r="O2198" s="765"/>
    </row>
    <row r="2199" spans="2:15" x14ac:dyDescent="0.25">
      <c r="B2199" s="765"/>
      <c r="C2199" s="765"/>
      <c r="D2199" s="765"/>
      <c r="E2199" s="765"/>
      <c r="F2199" s="765"/>
      <c r="G2199" s="765"/>
      <c r="H2199" s="765"/>
      <c r="I2199" s="765"/>
      <c r="J2199" s="765"/>
      <c r="K2199" s="765"/>
      <c r="L2199" s="765"/>
      <c r="M2199" s="765"/>
      <c r="N2199" s="765"/>
      <c r="O2199" s="765"/>
    </row>
    <row r="2200" spans="2:15" x14ac:dyDescent="0.25">
      <c r="B2200" s="765"/>
      <c r="C2200" s="765"/>
      <c r="D2200" s="765"/>
      <c r="E2200" s="765"/>
      <c r="F2200" s="765"/>
      <c r="G2200" s="765"/>
      <c r="H2200" s="765"/>
      <c r="I2200" s="765"/>
      <c r="J2200" s="765"/>
      <c r="K2200" s="765"/>
      <c r="L2200" s="765"/>
      <c r="M2200" s="765"/>
      <c r="N2200" s="765"/>
      <c r="O2200" s="765"/>
    </row>
    <row r="2201" spans="2:15" x14ac:dyDescent="0.25">
      <c r="B2201" s="765"/>
      <c r="C2201" s="765"/>
      <c r="D2201" s="765"/>
      <c r="E2201" s="765"/>
      <c r="F2201" s="765"/>
      <c r="G2201" s="765"/>
      <c r="H2201" s="765"/>
      <c r="I2201" s="765"/>
      <c r="J2201" s="765"/>
      <c r="K2201" s="765"/>
      <c r="L2201" s="765"/>
      <c r="M2201" s="765"/>
      <c r="N2201" s="765"/>
      <c r="O2201" s="765"/>
    </row>
    <row r="2202" spans="2:15" x14ac:dyDescent="0.25">
      <c r="B2202" s="765"/>
      <c r="C2202" s="765"/>
      <c r="D2202" s="765"/>
      <c r="E2202" s="765"/>
      <c r="F2202" s="765"/>
      <c r="G2202" s="765"/>
      <c r="H2202" s="765"/>
      <c r="I2202" s="765"/>
      <c r="J2202" s="765"/>
      <c r="K2202" s="765"/>
      <c r="L2202" s="765"/>
      <c r="M2202" s="765"/>
      <c r="N2202" s="765"/>
      <c r="O2202" s="765"/>
    </row>
    <row r="2203" spans="2:15" x14ac:dyDescent="0.25">
      <c r="B2203" s="765"/>
      <c r="C2203" s="765"/>
      <c r="D2203" s="765"/>
      <c r="E2203" s="765"/>
      <c r="F2203" s="765"/>
      <c r="G2203" s="765"/>
      <c r="H2203" s="765"/>
      <c r="I2203" s="765"/>
      <c r="J2203" s="765"/>
      <c r="K2203" s="765"/>
      <c r="L2203" s="765"/>
      <c r="M2203" s="765"/>
      <c r="N2203" s="765"/>
      <c r="O2203" s="765"/>
    </row>
    <row r="2204" spans="2:15" x14ac:dyDescent="0.25">
      <c r="B2204" s="765"/>
      <c r="C2204" s="765"/>
      <c r="D2204" s="765"/>
      <c r="E2204" s="765"/>
      <c r="F2204" s="765"/>
      <c r="G2204" s="765"/>
      <c r="H2204" s="765"/>
      <c r="I2204" s="765"/>
      <c r="J2204" s="765"/>
      <c r="K2204" s="765"/>
      <c r="L2204" s="765"/>
      <c r="M2204" s="765"/>
      <c r="N2204" s="765"/>
      <c r="O2204" s="765"/>
    </row>
    <row r="2205" spans="2:15" x14ac:dyDescent="0.25">
      <c r="B2205" s="765"/>
      <c r="C2205" s="765"/>
      <c r="D2205" s="765"/>
      <c r="E2205" s="765"/>
      <c r="F2205" s="765"/>
      <c r="G2205" s="765"/>
      <c r="H2205" s="765"/>
      <c r="I2205" s="765"/>
      <c r="J2205" s="765"/>
      <c r="K2205" s="765"/>
      <c r="L2205" s="765"/>
      <c r="M2205" s="765"/>
      <c r="N2205" s="765"/>
      <c r="O2205" s="765"/>
    </row>
    <row r="2206" spans="2:15" x14ac:dyDescent="0.25">
      <c r="B2206" s="765"/>
      <c r="C2206" s="765"/>
      <c r="D2206" s="765"/>
      <c r="E2206" s="765"/>
      <c r="F2206" s="765"/>
      <c r="G2206" s="765"/>
      <c r="H2206" s="765"/>
      <c r="I2206" s="765"/>
      <c r="J2206" s="765"/>
      <c r="K2206" s="765"/>
      <c r="L2206" s="765"/>
      <c r="M2206" s="765"/>
      <c r="N2206" s="765"/>
      <c r="O2206" s="765"/>
    </row>
    <row r="2207" spans="2:15" x14ac:dyDescent="0.25">
      <c r="B2207" s="765"/>
      <c r="C2207" s="765"/>
      <c r="D2207" s="765"/>
      <c r="E2207" s="765"/>
      <c r="F2207" s="765"/>
      <c r="G2207" s="765"/>
      <c r="H2207" s="765"/>
      <c r="I2207" s="765"/>
      <c r="J2207" s="765"/>
      <c r="K2207" s="765"/>
      <c r="L2207" s="765"/>
      <c r="M2207" s="765"/>
      <c r="N2207" s="765"/>
      <c r="O2207" s="765"/>
    </row>
    <row r="2208" spans="2:15" x14ac:dyDescent="0.25">
      <c r="B2208" s="765"/>
      <c r="C2208" s="765"/>
      <c r="D2208" s="765"/>
      <c r="E2208" s="765"/>
      <c r="F2208" s="765"/>
      <c r="G2208" s="765"/>
      <c r="H2208" s="765"/>
      <c r="I2208" s="765"/>
      <c r="J2208" s="765"/>
      <c r="K2208" s="765"/>
      <c r="L2208" s="765"/>
      <c r="M2208" s="765"/>
      <c r="N2208" s="765"/>
      <c r="O2208" s="765"/>
    </row>
    <row r="2209" spans="2:15" x14ac:dyDescent="0.25">
      <c r="B2209" s="765"/>
      <c r="C2209" s="765"/>
      <c r="D2209" s="765"/>
      <c r="E2209" s="765"/>
      <c r="F2209" s="765"/>
      <c r="G2209" s="765"/>
      <c r="H2209" s="765"/>
      <c r="I2209" s="765"/>
      <c r="J2209" s="765"/>
      <c r="K2209" s="765"/>
      <c r="L2209" s="765"/>
      <c r="M2209" s="765"/>
      <c r="N2209" s="765"/>
      <c r="O2209" s="765"/>
    </row>
    <row r="2210" spans="2:15" x14ac:dyDescent="0.25">
      <c r="B2210" s="765"/>
      <c r="C2210" s="765"/>
      <c r="D2210" s="765"/>
      <c r="E2210" s="765"/>
      <c r="F2210" s="765"/>
      <c r="G2210" s="765"/>
      <c r="H2210" s="765"/>
      <c r="I2210" s="765"/>
      <c r="J2210" s="765"/>
      <c r="K2210" s="765"/>
      <c r="L2210" s="765"/>
      <c r="M2210" s="765"/>
      <c r="N2210" s="765"/>
      <c r="O2210" s="765"/>
    </row>
    <row r="2211" spans="2:15" x14ac:dyDescent="0.25">
      <c r="B2211" s="765"/>
      <c r="C2211" s="765"/>
      <c r="D2211" s="765"/>
      <c r="E2211" s="765"/>
      <c r="F2211" s="765"/>
      <c r="G2211" s="765"/>
      <c r="H2211" s="765"/>
      <c r="I2211" s="765"/>
      <c r="J2211" s="765"/>
      <c r="K2211" s="765"/>
      <c r="L2211" s="765"/>
      <c r="M2211" s="765"/>
      <c r="N2211" s="765"/>
      <c r="O2211" s="765"/>
    </row>
    <row r="2212" spans="2:15" x14ac:dyDescent="0.25">
      <c r="B2212" s="765"/>
      <c r="C2212" s="765"/>
      <c r="D2212" s="765"/>
      <c r="E2212" s="765"/>
      <c r="F2212" s="765"/>
      <c r="G2212" s="765"/>
      <c r="H2212" s="765"/>
      <c r="I2212" s="765"/>
      <c r="J2212" s="765"/>
      <c r="K2212" s="765"/>
      <c r="L2212" s="765"/>
      <c r="M2212" s="765"/>
      <c r="N2212" s="765"/>
      <c r="O2212" s="765"/>
    </row>
    <row r="2213" spans="2:15" x14ac:dyDescent="0.25">
      <c r="B2213" s="765"/>
      <c r="C2213" s="765"/>
      <c r="D2213" s="765"/>
      <c r="E2213" s="765"/>
      <c r="F2213" s="765"/>
      <c r="G2213" s="765"/>
      <c r="H2213" s="765"/>
      <c r="I2213" s="765"/>
      <c r="J2213" s="765"/>
      <c r="K2213" s="765"/>
      <c r="L2213" s="765"/>
      <c r="M2213" s="765"/>
      <c r="N2213" s="765"/>
      <c r="O2213" s="765"/>
    </row>
    <row r="2214" spans="2:15" x14ac:dyDescent="0.25">
      <c r="B2214" s="765"/>
      <c r="C2214" s="765"/>
      <c r="D2214" s="765"/>
      <c r="E2214" s="765"/>
      <c r="F2214" s="765"/>
      <c r="G2214" s="765"/>
      <c r="H2214" s="765"/>
      <c r="I2214" s="765"/>
      <c r="J2214" s="765"/>
      <c r="K2214" s="765"/>
      <c r="L2214" s="765"/>
      <c r="M2214" s="765"/>
      <c r="N2214" s="765"/>
      <c r="O2214" s="765"/>
    </row>
    <row r="2215" spans="2:15" x14ac:dyDescent="0.25">
      <c r="B2215" s="765"/>
      <c r="C2215" s="765"/>
      <c r="D2215" s="765"/>
      <c r="E2215" s="765"/>
      <c r="F2215" s="765"/>
      <c r="G2215" s="765"/>
      <c r="H2215" s="765"/>
      <c r="I2215" s="765"/>
      <c r="J2215" s="765"/>
      <c r="K2215" s="765"/>
      <c r="L2215" s="765"/>
      <c r="M2215" s="765"/>
      <c r="N2215" s="765"/>
      <c r="O2215" s="765"/>
    </row>
    <row r="2216" spans="2:15" x14ac:dyDescent="0.25">
      <c r="B2216" s="765"/>
      <c r="C2216" s="765"/>
      <c r="D2216" s="765"/>
      <c r="E2216" s="765"/>
      <c r="F2216" s="765"/>
      <c r="G2216" s="765"/>
      <c r="H2216" s="765"/>
      <c r="I2216" s="765"/>
      <c r="J2216" s="765"/>
      <c r="K2216" s="765"/>
      <c r="L2216" s="765"/>
      <c r="M2216" s="765"/>
      <c r="N2216" s="765"/>
      <c r="O2216" s="765"/>
    </row>
    <row r="2217" spans="2:15" x14ac:dyDescent="0.25">
      <c r="B2217" s="765"/>
      <c r="C2217" s="765"/>
      <c r="D2217" s="765"/>
      <c r="E2217" s="765"/>
      <c r="F2217" s="765"/>
      <c r="G2217" s="765"/>
      <c r="H2217" s="765"/>
      <c r="I2217" s="765"/>
      <c r="J2217" s="765"/>
      <c r="K2217" s="765"/>
      <c r="L2217" s="765"/>
      <c r="M2217" s="765"/>
      <c r="N2217" s="765"/>
      <c r="O2217" s="765"/>
    </row>
    <row r="2218" spans="2:15" x14ac:dyDescent="0.25">
      <c r="B2218" s="765"/>
      <c r="C2218" s="765"/>
      <c r="D2218" s="765"/>
      <c r="E2218" s="765"/>
      <c r="F2218" s="765"/>
      <c r="G2218" s="765"/>
      <c r="H2218" s="765"/>
      <c r="I2218" s="765"/>
      <c r="J2218" s="765"/>
      <c r="K2218" s="765"/>
      <c r="L2218" s="765"/>
      <c r="M2218" s="765"/>
      <c r="N2218" s="765"/>
      <c r="O2218" s="765"/>
    </row>
    <row r="2219" spans="2:15" x14ac:dyDescent="0.25">
      <c r="B2219" s="765"/>
      <c r="C2219" s="765"/>
      <c r="D2219" s="765"/>
      <c r="E2219" s="765"/>
      <c r="F2219" s="765"/>
      <c r="G2219" s="765"/>
      <c r="H2219" s="765"/>
      <c r="I2219" s="765"/>
      <c r="J2219" s="765"/>
      <c r="K2219" s="765"/>
      <c r="L2219" s="765"/>
      <c r="M2219" s="765"/>
      <c r="N2219" s="765"/>
      <c r="O2219" s="765"/>
    </row>
    <row r="2220" spans="2:15" x14ac:dyDescent="0.25">
      <c r="B2220" s="765"/>
      <c r="C2220" s="765"/>
      <c r="D2220" s="765"/>
      <c r="E2220" s="765"/>
      <c r="F2220" s="765"/>
      <c r="G2220" s="765"/>
      <c r="H2220" s="765"/>
      <c r="I2220" s="765"/>
      <c r="J2220" s="765"/>
      <c r="K2220" s="765"/>
      <c r="L2220" s="765"/>
      <c r="M2220" s="765"/>
      <c r="N2220" s="765"/>
      <c r="O2220" s="765"/>
    </row>
    <row r="2221" spans="2:15" x14ac:dyDescent="0.25">
      <c r="B2221" s="765"/>
      <c r="C2221" s="765"/>
      <c r="D2221" s="765"/>
      <c r="E2221" s="765"/>
      <c r="F2221" s="765"/>
      <c r="G2221" s="765"/>
      <c r="H2221" s="765"/>
      <c r="I2221" s="765"/>
      <c r="J2221" s="765"/>
      <c r="K2221" s="765"/>
      <c r="L2221" s="765"/>
      <c r="M2221" s="765"/>
      <c r="N2221" s="765"/>
      <c r="O2221" s="765"/>
    </row>
    <row r="2222" spans="2:15" x14ac:dyDescent="0.25">
      <c r="B2222" s="765"/>
      <c r="C2222" s="765"/>
      <c r="D2222" s="765"/>
      <c r="E2222" s="765"/>
      <c r="F2222" s="765"/>
      <c r="G2222" s="765"/>
      <c r="H2222" s="765"/>
      <c r="I2222" s="765"/>
      <c r="J2222" s="765"/>
      <c r="K2222" s="765"/>
      <c r="L2222" s="765"/>
      <c r="M2222" s="765"/>
      <c r="N2222" s="765"/>
      <c r="O2222" s="765"/>
    </row>
    <row r="2223" spans="2:15" x14ac:dyDescent="0.25">
      <c r="B2223" s="765"/>
      <c r="C2223" s="765"/>
      <c r="D2223" s="765"/>
      <c r="E2223" s="765"/>
      <c r="F2223" s="765"/>
      <c r="G2223" s="765"/>
      <c r="H2223" s="765"/>
      <c r="I2223" s="765"/>
      <c r="J2223" s="765"/>
      <c r="K2223" s="765"/>
      <c r="L2223" s="765"/>
      <c r="M2223" s="765"/>
      <c r="N2223" s="765"/>
      <c r="O2223" s="765"/>
    </row>
    <row r="2224" spans="2:15" x14ac:dyDescent="0.25">
      <c r="B2224" s="765"/>
      <c r="C2224" s="765"/>
      <c r="D2224" s="765"/>
      <c r="E2224" s="765"/>
      <c r="F2224" s="765"/>
      <c r="G2224" s="765"/>
      <c r="H2224" s="765"/>
      <c r="I2224" s="765"/>
      <c r="J2224" s="765"/>
      <c r="K2224" s="765"/>
      <c r="L2224" s="765"/>
      <c r="M2224" s="765"/>
      <c r="N2224" s="765"/>
      <c r="O2224" s="765"/>
    </row>
    <row r="2225" spans="2:15" x14ac:dyDescent="0.25">
      <c r="B2225" s="765"/>
      <c r="C2225" s="765"/>
      <c r="D2225" s="765"/>
      <c r="E2225" s="765"/>
      <c r="F2225" s="765"/>
      <c r="G2225" s="765"/>
      <c r="H2225" s="765"/>
      <c r="I2225" s="765"/>
      <c r="J2225" s="765"/>
      <c r="K2225" s="765"/>
      <c r="L2225" s="765"/>
      <c r="M2225" s="765"/>
      <c r="N2225" s="765"/>
      <c r="O2225" s="765"/>
    </row>
    <row r="2226" spans="2:15" x14ac:dyDescent="0.25">
      <c r="B2226" s="765"/>
      <c r="C2226" s="765"/>
      <c r="D2226" s="765"/>
      <c r="E2226" s="765"/>
      <c r="F2226" s="765"/>
      <c r="G2226" s="765"/>
      <c r="H2226" s="765"/>
      <c r="I2226" s="765"/>
      <c r="J2226" s="765"/>
      <c r="K2226" s="765"/>
      <c r="L2226" s="765"/>
      <c r="M2226" s="765"/>
      <c r="N2226" s="765"/>
      <c r="O2226" s="765"/>
    </row>
    <row r="2227" spans="2:15" x14ac:dyDescent="0.25">
      <c r="B2227" s="765"/>
      <c r="C2227" s="765"/>
      <c r="D2227" s="765"/>
      <c r="E2227" s="765"/>
      <c r="F2227" s="765"/>
      <c r="G2227" s="765"/>
      <c r="H2227" s="765"/>
      <c r="I2227" s="765"/>
      <c r="J2227" s="765"/>
      <c r="K2227" s="765"/>
      <c r="L2227" s="765"/>
      <c r="M2227" s="765"/>
      <c r="N2227" s="765"/>
      <c r="O2227" s="765"/>
    </row>
    <row r="2228" spans="2:15" x14ac:dyDescent="0.25">
      <c r="B2228" s="765"/>
      <c r="C2228" s="765"/>
      <c r="D2228" s="765"/>
      <c r="E2228" s="765"/>
      <c r="F2228" s="765"/>
      <c r="G2228" s="765"/>
      <c r="H2228" s="765"/>
      <c r="I2228" s="765"/>
      <c r="J2228" s="765"/>
      <c r="K2228" s="765"/>
      <c r="L2228" s="765"/>
      <c r="M2228" s="765"/>
      <c r="N2228" s="765"/>
      <c r="O2228" s="765"/>
    </row>
    <row r="2229" spans="2:15" x14ac:dyDescent="0.25">
      <c r="B2229" s="765"/>
      <c r="C2229" s="765"/>
      <c r="D2229" s="765"/>
      <c r="E2229" s="765"/>
      <c r="F2229" s="765"/>
      <c r="G2229" s="765"/>
      <c r="H2229" s="765"/>
      <c r="I2229" s="765"/>
      <c r="J2229" s="765"/>
      <c r="K2229" s="765"/>
      <c r="L2229" s="765"/>
      <c r="M2229" s="765"/>
      <c r="N2229" s="765"/>
      <c r="O2229" s="765"/>
    </row>
    <row r="2230" spans="2:15" x14ac:dyDescent="0.25">
      <c r="B2230" s="765"/>
      <c r="C2230" s="765"/>
      <c r="D2230" s="765"/>
      <c r="E2230" s="765"/>
      <c r="F2230" s="765"/>
      <c r="G2230" s="765"/>
      <c r="H2230" s="765"/>
      <c r="I2230" s="765"/>
      <c r="J2230" s="765"/>
      <c r="K2230" s="765"/>
      <c r="L2230" s="765"/>
      <c r="M2230" s="765"/>
      <c r="N2230" s="765"/>
      <c r="O2230" s="765"/>
    </row>
    <row r="2231" spans="2:15" x14ac:dyDescent="0.25">
      <c r="B2231" s="765"/>
      <c r="C2231" s="765"/>
      <c r="D2231" s="765"/>
      <c r="E2231" s="765"/>
      <c r="F2231" s="765"/>
      <c r="G2231" s="765"/>
      <c r="H2231" s="765"/>
      <c r="I2231" s="765"/>
      <c r="J2231" s="765"/>
      <c r="K2231" s="765"/>
      <c r="L2231" s="765"/>
      <c r="M2231" s="765"/>
      <c r="N2231" s="765"/>
      <c r="O2231" s="765"/>
    </row>
    <row r="2232" spans="2:15" x14ac:dyDescent="0.25">
      <c r="B2232" s="765"/>
      <c r="C2232" s="765"/>
      <c r="D2232" s="765"/>
      <c r="E2232" s="765"/>
      <c r="F2232" s="765"/>
      <c r="G2232" s="765"/>
      <c r="H2232" s="765"/>
      <c r="I2232" s="765"/>
      <c r="J2232" s="765"/>
      <c r="K2232" s="765"/>
      <c r="L2232" s="765"/>
      <c r="M2232" s="765"/>
      <c r="N2232" s="765"/>
      <c r="O2232" s="765"/>
    </row>
    <row r="2233" spans="2:15" x14ac:dyDescent="0.25">
      <c r="B2233" s="765"/>
      <c r="C2233" s="765"/>
      <c r="D2233" s="765"/>
      <c r="E2233" s="765"/>
      <c r="F2233" s="765"/>
      <c r="G2233" s="765"/>
      <c r="H2233" s="765"/>
      <c r="I2233" s="765"/>
      <c r="J2233" s="765"/>
      <c r="K2233" s="765"/>
      <c r="L2233" s="765"/>
      <c r="M2233" s="765"/>
      <c r="N2233" s="765"/>
      <c r="O2233" s="765"/>
    </row>
    <row r="2234" spans="2:15" x14ac:dyDescent="0.25">
      <c r="B2234" s="765"/>
      <c r="C2234" s="765"/>
      <c r="D2234" s="765"/>
      <c r="E2234" s="765"/>
      <c r="F2234" s="765"/>
      <c r="G2234" s="765"/>
      <c r="H2234" s="765"/>
      <c r="I2234" s="765"/>
      <c r="J2234" s="765"/>
      <c r="K2234" s="765"/>
      <c r="L2234" s="765"/>
      <c r="M2234" s="765"/>
      <c r="N2234" s="765"/>
      <c r="O2234" s="765"/>
    </row>
    <row r="2235" spans="2:15" x14ac:dyDescent="0.25">
      <c r="B2235" s="765"/>
      <c r="C2235" s="765"/>
      <c r="D2235" s="765"/>
      <c r="E2235" s="765"/>
      <c r="F2235" s="765"/>
      <c r="G2235" s="765"/>
      <c r="H2235" s="765"/>
      <c r="I2235" s="765"/>
      <c r="J2235" s="765"/>
      <c r="K2235" s="765"/>
      <c r="L2235" s="765"/>
      <c r="M2235" s="765"/>
      <c r="N2235" s="765"/>
      <c r="O2235" s="765"/>
    </row>
    <row r="2236" spans="2:15" x14ac:dyDescent="0.25">
      <c r="B2236" s="765"/>
      <c r="C2236" s="765"/>
      <c r="D2236" s="765"/>
      <c r="E2236" s="765"/>
      <c r="F2236" s="765"/>
      <c r="G2236" s="765"/>
      <c r="H2236" s="765"/>
      <c r="I2236" s="765"/>
      <c r="J2236" s="765"/>
      <c r="K2236" s="765"/>
      <c r="L2236" s="765"/>
      <c r="M2236" s="765"/>
      <c r="N2236" s="765"/>
      <c r="O2236" s="765"/>
    </row>
    <row r="2237" spans="2:15" x14ac:dyDescent="0.25">
      <c r="B2237" s="765"/>
      <c r="C2237" s="765"/>
      <c r="D2237" s="765"/>
      <c r="E2237" s="765"/>
      <c r="F2237" s="765"/>
      <c r="G2237" s="765"/>
      <c r="H2237" s="765"/>
      <c r="I2237" s="765"/>
      <c r="J2237" s="765"/>
      <c r="K2237" s="765"/>
      <c r="L2237" s="765"/>
      <c r="M2237" s="765"/>
      <c r="N2237" s="765"/>
      <c r="O2237" s="765"/>
    </row>
    <row r="2238" spans="2:15" x14ac:dyDescent="0.25">
      <c r="B2238" s="765"/>
      <c r="C2238" s="765"/>
      <c r="D2238" s="765"/>
      <c r="E2238" s="765"/>
      <c r="F2238" s="765"/>
      <c r="G2238" s="765"/>
      <c r="H2238" s="765"/>
      <c r="I2238" s="765"/>
      <c r="J2238" s="765"/>
      <c r="K2238" s="765"/>
      <c r="L2238" s="765"/>
      <c r="M2238" s="765"/>
      <c r="N2238" s="765"/>
      <c r="O2238" s="765"/>
    </row>
    <row r="2239" spans="2:15" x14ac:dyDescent="0.25">
      <c r="B2239" s="765"/>
      <c r="C2239" s="765"/>
      <c r="D2239" s="765"/>
      <c r="E2239" s="765"/>
      <c r="F2239" s="765"/>
      <c r="G2239" s="765"/>
      <c r="H2239" s="765"/>
      <c r="I2239" s="765"/>
      <c r="J2239" s="765"/>
      <c r="K2239" s="765"/>
      <c r="L2239" s="765"/>
      <c r="M2239" s="765"/>
      <c r="N2239" s="765"/>
      <c r="O2239" s="765"/>
    </row>
    <row r="2240" spans="2:15" x14ac:dyDescent="0.25">
      <c r="B2240" s="765"/>
      <c r="C2240" s="765"/>
      <c r="D2240" s="765"/>
      <c r="E2240" s="765"/>
      <c r="F2240" s="765"/>
      <c r="G2240" s="765"/>
      <c r="H2240" s="765"/>
      <c r="I2240" s="765"/>
      <c r="J2240" s="765"/>
      <c r="K2240" s="765"/>
      <c r="L2240" s="765"/>
      <c r="M2240" s="765"/>
      <c r="N2240" s="765"/>
      <c r="O2240" s="765"/>
    </row>
    <row r="2241" spans="2:15" x14ac:dyDescent="0.25">
      <c r="B2241" s="765"/>
      <c r="C2241" s="765"/>
      <c r="D2241" s="765"/>
      <c r="E2241" s="765"/>
      <c r="F2241" s="765"/>
      <c r="G2241" s="765"/>
      <c r="H2241" s="765"/>
      <c r="I2241" s="765"/>
      <c r="J2241" s="765"/>
      <c r="K2241" s="765"/>
      <c r="L2241" s="765"/>
      <c r="M2241" s="765"/>
      <c r="N2241" s="765"/>
      <c r="O2241" s="765"/>
    </row>
    <row r="2242" spans="2:15" x14ac:dyDescent="0.25">
      <c r="B2242" s="765"/>
      <c r="C2242" s="765"/>
      <c r="D2242" s="765"/>
      <c r="E2242" s="765"/>
      <c r="F2242" s="765"/>
      <c r="G2242" s="765"/>
      <c r="H2242" s="765"/>
      <c r="I2242" s="765"/>
      <c r="J2242" s="765"/>
      <c r="K2242" s="765"/>
      <c r="L2242" s="765"/>
      <c r="M2242" s="765"/>
      <c r="N2242" s="765"/>
      <c r="O2242" s="765"/>
    </row>
    <row r="2243" spans="2:15" x14ac:dyDescent="0.25">
      <c r="B2243" s="765"/>
      <c r="C2243" s="765"/>
      <c r="D2243" s="765"/>
      <c r="E2243" s="765"/>
      <c r="F2243" s="765"/>
      <c r="G2243" s="765"/>
      <c r="H2243" s="765"/>
      <c r="I2243" s="765"/>
      <c r="J2243" s="765"/>
      <c r="K2243" s="765"/>
      <c r="L2243" s="765"/>
      <c r="M2243" s="765"/>
      <c r="N2243" s="765"/>
      <c r="O2243" s="765"/>
    </row>
    <row r="2244" spans="2:15" x14ac:dyDescent="0.25">
      <c r="B2244" s="765"/>
      <c r="C2244" s="765"/>
      <c r="D2244" s="765"/>
      <c r="E2244" s="765"/>
      <c r="F2244" s="765"/>
      <c r="G2244" s="765"/>
      <c r="H2244" s="765"/>
      <c r="I2244" s="765"/>
      <c r="J2244" s="765"/>
      <c r="K2244" s="765"/>
      <c r="L2244" s="765"/>
      <c r="M2244" s="765"/>
      <c r="N2244" s="765"/>
      <c r="O2244" s="765"/>
    </row>
    <row r="2245" spans="2:15" x14ac:dyDescent="0.25">
      <c r="B2245" s="765"/>
      <c r="C2245" s="765"/>
      <c r="D2245" s="765"/>
      <c r="E2245" s="765"/>
      <c r="F2245" s="765"/>
      <c r="G2245" s="765"/>
      <c r="H2245" s="765"/>
      <c r="I2245" s="765"/>
      <c r="J2245" s="765"/>
      <c r="K2245" s="765"/>
      <c r="L2245" s="765"/>
      <c r="M2245" s="765"/>
      <c r="N2245" s="765"/>
      <c r="O2245" s="765"/>
    </row>
    <row r="2246" spans="2:15" x14ac:dyDescent="0.25">
      <c r="B2246" s="765"/>
      <c r="C2246" s="765"/>
      <c r="D2246" s="765"/>
      <c r="E2246" s="765"/>
      <c r="F2246" s="765"/>
      <c r="G2246" s="765"/>
      <c r="H2246" s="765"/>
      <c r="I2246" s="765"/>
      <c r="J2246" s="765"/>
      <c r="K2246" s="765"/>
      <c r="L2246" s="765"/>
      <c r="M2246" s="765"/>
      <c r="N2246" s="765"/>
      <c r="O2246" s="765"/>
    </row>
    <row r="2247" spans="2:15" x14ac:dyDescent="0.25">
      <c r="B2247" s="765"/>
      <c r="C2247" s="765"/>
      <c r="D2247" s="765"/>
      <c r="E2247" s="765"/>
      <c r="F2247" s="765"/>
      <c r="G2247" s="765"/>
      <c r="H2247" s="765"/>
      <c r="I2247" s="765"/>
      <c r="J2247" s="765"/>
      <c r="K2247" s="765"/>
      <c r="L2247" s="765"/>
      <c r="M2247" s="765"/>
      <c r="N2247" s="765"/>
      <c r="O2247" s="765"/>
    </row>
    <row r="2248" spans="2:15" x14ac:dyDescent="0.25">
      <c r="B2248" s="765"/>
      <c r="C2248" s="765"/>
      <c r="D2248" s="765"/>
      <c r="E2248" s="765"/>
      <c r="F2248" s="765"/>
      <c r="G2248" s="765"/>
      <c r="H2248" s="765"/>
      <c r="I2248" s="765"/>
      <c r="J2248" s="765"/>
      <c r="K2248" s="765"/>
      <c r="L2248" s="765"/>
      <c r="M2248" s="765"/>
      <c r="N2248" s="765"/>
      <c r="O2248" s="765"/>
    </row>
    <row r="2249" spans="2:15" x14ac:dyDescent="0.25">
      <c r="B2249" s="765"/>
      <c r="C2249" s="765"/>
      <c r="D2249" s="765"/>
      <c r="E2249" s="765"/>
      <c r="F2249" s="765"/>
      <c r="G2249" s="765"/>
      <c r="H2249" s="765"/>
      <c r="I2249" s="765"/>
      <c r="J2249" s="765"/>
      <c r="K2249" s="765"/>
      <c r="L2249" s="765"/>
      <c r="M2249" s="765"/>
      <c r="N2249" s="765"/>
      <c r="O2249" s="765"/>
    </row>
    <row r="2250" spans="2:15" x14ac:dyDescent="0.25">
      <c r="B2250" s="765"/>
      <c r="C2250" s="765"/>
      <c r="D2250" s="765"/>
      <c r="E2250" s="765"/>
      <c r="F2250" s="765"/>
      <c r="G2250" s="765"/>
      <c r="H2250" s="765"/>
      <c r="I2250" s="765"/>
      <c r="J2250" s="765"/>
      <c r="K2250" s="765"/>
      <c r="L2250" s="765"/>
      <c r="M2250" s="765"/>
      <c r="N2250" s="765"/>
      <c r="O2250" s="765"/>
    </row>
    <row r="2251" spans="2:15" x14ac:dyDescent="0.25">
      <c r="B2251" s="765"/>
      <c r="C2251" s="765"/>
      <c r="D2251" s="765"/>
      <c r="E2251" s="765"/>
      <c r="F2251" s="765"/>
      <c r="G2251" s="765"/>
      <c r="H2251" s="765"/>
      <c r="I2251" s="765"/>
      <c r="J2251" s="765"/>
      <c r="K2251" s="765"/>
      <c r="L2251" s="765"/>
      <c r="M2251" s="765"/>
      <c r="N2251" s="765"/>
      <c r="O2251" s="765"/>
    </row>
    <row r="2252" spans="2:15" x14ac:dyDescent="0.25">
      <c r="B2252" s="765"/>
      <c r="C2252" s="765"/>
      <c r="D2252" s="765"/>
      <c r="E2252" s="765"/>
      <c r="F2252" s="765"/>
      <c r="G2252" s="765"/>
      <c r="H2252" s="765"/>
      <c r="I2252" s="765"/>
      <c r="J2252" s="765"/>
      <c r="K2252" s="765"/>
      <c r="L2252" s="765"/>
      <c r="M2252" s="765"/>
      <c r="N2252" s="765"/>
      <c r="O2252" s="765"/>
    </row>
    <row r="2253" spans="2:15" x14ac:dyDescent="0.25">
      <c r="B2253" s="765"/>
      <c r="C2253" s="765"/>
      <c r="D2253" s="765"/>
      <c r="E2253" s="765"/>
      <c r="F2253" s="765"/>
      <c r="G2253" s="765"/>
      <c r="H2253" s="765"/>
      <c r="I2253" s="765"/>
      <c r="J2253" s="765"/>
      <c r="K2253" s="765"/>
      <c r="L2253" s="765"/>
      <c r="M2253" s="765"/>
      <c r="N2253" s="765"/>
      <c r="O2253" s="765"/>
    </row>
    <row r="2254" spans="2:15" x14ac:dyDescent="0.25">
      <c r="B2254" s="765"/>
      <c r="C2254" s="765"/>
      <c r="D2254" s="765"/>
      <c r="E2254" s="765"/>
      <c r="F2254" s="765"/>
      <c r="G2254" s="765"/>
      <c r="H2254" s="765"/>
      <c r="I2254" s="765"/>
      <c r="J2254" s="765"/>
      <c r="K2254" s="765"/>
      <c r="L2254" s="765"/>
      <c r="M2254" s="765"/>
      <c r="N2254" s="765"/>
      <c r="O2254" s="765"/>
    </row>
    <row r="2255" spans="2:15" x14ac:dyDescent="0.25">
      <c r="B2255" s="765"/>
      <c r="C2255" s="765"/>
      <c r="D2255" s="765"/>
      <c r="E2255" s="765"/>
      <c r="F2255" s="765"/>
      <c r="G2255" s="765"/>
      <c r="H2255" s="765"/>
      <c r="I2255" s="765"/>
      <c r="J2255" s="765"/>
      <c r="K2255" s="765"/>
      <c r="L2255" s="765"/>
      <c r="M2255" s="765"/>
      <c r="N2255" s="765"/>
      <c r="O2255" s="765"/>
    </row>
    <row r="2256" spans="2:15" x14ac:dyDescent="0.25">
      <c r="B2256" s="765"/>
      <c r="C2256" s="765"/>
      <c r="D2256" s="765"/>
      <c r="E2256" s="765"/>
      <c r="F2256" s="765"/>
      <c r="G2256" s="765"/>
      <c r="H2256" s="765"/>
      <c r="I2256" s="765"/>
      <c r="J2256" s="765"/>
      <c r="K2256" s="765"/>
      <c r="L2256" s="765"/>
      <c r="M2256" s="765"/>
      <c r="N2256" s="765"/>
      <c r="O2256" s="765"/>
    </row>
    <row r="2257" spans="2:15" x14ac:dyDescent="0.25">
      <c r="B2257" s="765"/>
      <c r="C2257" s="765"/>
      <c r="D2257" s="765"/>
      <c r="E2257" s="765"/>
      <c r="F2257" s="765"/>
      <c r="G2257" s="765"/>
      <c r="H2257" s="765"/>
      <c r="I2257" s="765"/>
      <c r="J2257" s="765"/>
      <c r="K2257" s="765"/>
      <c r="L2257" s="765"/>
      <c r="M2257" s="765"/>
      <c r="N2257" s="765"/>
      <c r="O2257" s="765"/>
    </row>
    <row r="2258" spans="2:15" x14ac:dyDescent="0.25">
      <c r="B2258" s="765"/>
      <c r="C2258" s="765"/>
      <c r="D2258" s="765"/>
      <c r="E2258" s="765"/>
      <c r="F2258" s="765"/>
      <c r="G2258" s="765"/>
      <c r="H2258" s="765"/>
      <c r="I2258" s="765"/>
      <c r="J2258" s="765"/>
      <c r="K2258" s="765"/>
      <c r="L2258" s="765"/>
      <c r="M2258" s="765"/>
      <c r="N2258" s="765"/>
      <c r="O2258" s="765"/>
    </row>
    <row r="2259" spans="2:15" x14ac:dyDescent="0.25">
      <c r="B2259" s="765"/>
      <c r="C2259" s="765"/>
      <c r="D2259" s="765"/>
      <c r="E2259" s="765"/>
      <c r="F2259" s="765"/>
      <c r="G2259" s="765"/>
      <c r="H2259" s="765"/>
      <c r="I2259" s="765"/>
      <c r="J2259" s="765"/>
      <c r="K2259" s="765"/>
      <c r="L2259" s="765"/>
      <c r="M2259" s="765"/>
      <c r="N2259" s="765"/>
      <c r="O2259" s="765"/>
    </row>
    <row r="2260" spans="2:15" x14ac:dyDescent="0.25">
      <c r="B2260" s="765"/>
      <c r="C2260" s="765"/>
      <c r="D2260" s="765"/>
      <c r="E2260" s="765"/>
      <c r="F2260" s="765"/>
      <c r="G2260" s="765"/>
      <c r="H2260" s="765"/>
      <c r="I2260" s="765"/>
      <c r="J2260" s="765"/>
      <c r="K2260" s="765"/>
      <c r="L2260" s="765"/>
      <c r="M2260" s="765"/>
      <c r="N2260" s="765"/>
      <c r="O2260" s="765"/>
    </row>
    <row r="2261" spans="2:15" x14ac:dyDescent="0.25">
      <c r="B2261" s="765"/>
      <c r="C2261" s="765"/>
      <c r="D2261" s="765"/>
      <c r="E2261" s="765"/>
      <c r="F2261" s="765"/>
      <c r="G2261" s="765"/>
      <c r="H2261" s="765"/>
      <c r="I2261" s="765"/>
      <c r="J2261" s="765"/>
      <c r="K2261" s="765"/>
      <c r="L2261" s="765"/>
      <c r="M2261" s="765"/>
      <c r="N2261" s="765"/>
      <c r="O2261" s="765"/>
    </row>
    <row r="2262" spans="2:15" x14ac:dyDescent="0.25">
      <c r="B2262" s="765"/>
      <c r="C2262" s="765"/>
      <c r="D2262" s="765"/>
      <c r="E2262" s="765"/>
      <c r="F2262" s="765"/>
      <c r="G2262" s="765"/>
      <c r="H2262" s="765"/>
      <c r="I2262" s="765"/>
      <c r="J2262" s="765"/>
      <c r="K2262" s="765"/>
      <c r="L2262" s="765"/>
      <c r="M2262" s="765"/>
      <c r="N2262" s="765"/>
      <c r="O2262" s="765"/>
    </row>
    <row r="2263" spans="2:15" x14ac:dyDescent="0.25">
      <c r="B2263" s="765"/>
      <c r="C2263" s="765"/>
      <c r="D2263" s="765"/>
      <c r="E2263" s="765"/>
      <c r="F2263" s="765"/>
      <c r="G2263" s="765"/>
      <c r="H2263" s="765"/>
      <c r="I2263" s="765"/>
      <c r="J2263" s="765"/>
      <c r="K2263" s="765"/>
      <c r="L2263" s="765"/>
      <c r="M2263" s="765"/>
      <c r="N2263" s="765"/>
      <c r="O2263" s="765"/>
    </row>
    <row r="2264" spans="2:15" x14ac:dyDescent="0.25">
      <c r="B2264" s="765"/>
      <c r="C2264" s="765"/>
      <c r="D2264" s="765"/>
      <c r="E2264" s="765"/>
      <c r="F2264" s="765"/>
      <c r="G2264" s="765"/>
      <c r="H2264" s="765"/>
      <c r="I2264" s="765"/>
      <c r="J2264" s="765"/>
      <c r="K2264" s="765"/>
      <c r="L2264" s="765"/>
      <c r="M2264" s="765"/>
      <c r="N2264" s="765"/>
      <c r="O2264" s="765"/>
    </row>
    <row r="2265" spans="2:15" x14ac:dyDescent="0.25">
      <c r="B2265" s="765"/>
      <c r="C2265" s="765"/>
      <c r="D2265" s="765"/>
      <c r="E2265" s="765"/>
      <c r="F2265" s="765"/>
      <c r="G2265" s="765"/>
      <c r="H2265" s="765"/>
      <c r="I2265" s="765"/>
      <c r="J2265" s="765"/>
      <c r="K2265" s="765"/>
      <c r="L2265" s="765"/>
      <c r="M2265" s="765"/>
      <c r="N2265" s="765"/>
      <c r="O2265" s="765"/>
    </row>
    <row r="2266" spans="2:15" x14ac:dyDescent="0.25">
      <c r="B2266" s="765"/>
      <c r="C2266" s="765"/>
      <c r="D2266" s="765"/>
      <c r="E2266" s="765"/>
      <c r="F2266" s="765"/>
      <c r="G2266" s="765"/>
      <c r="H2266" s="765"/>
      <c r="I2266" s="765"/>
      <c r="J2266" s="765"/>
      <c r="K2266" s="765"/>
      <c r="L2266" s="765"/>
      <c r="M2266" s="765"/>
      <c r="N2266" s="765"/>
      <c r="O2266" s="765"/>
    </row>
    <row r="2267" spans="2:15" x14ac:dyDescent="0.25">
      <c r="B2267" s="765"/>
      <c r="C2267" s="765"/>
      <c r="D2267" s="765"/>
      <c r="E2267" s="765"/>
      <c r="F2267" s="765"/>
      <c r="G2267" s="765"/>
      <c r="H2267" s="765"/>
      <c r="I2267" s="765"/>
      <c r="J2267" s="765"/>
      <c r="K2267" s="765"/>
      <c r="L2267" s="765"/>
      <c r="M2267" s="765"/>
      <c r="N2267" s="765"/>
      <c r="O2267" s="765"/>
    </row>
    <row r="2268" spans="2:15" x14ac:dyDescent="0.25">
      <c r="B2268" s="765"/>
      <c r="C2268" s="765"/>
      <c r="D2268" s="765"/>
      <c r="E2268" s="765"/>
      <c r="F2268" s="765"/>
      <c r="G2268" s="765"/>
      <c r="H2268" s="765"/>
      <c r="I2268" s="765"/>
      <c r="J2268" s="765"/>
      <c r="K2268" s="765"/>
      <c r="L2268" s="765"/>
      <c r="M2268" s="765"/>
      <c r="N2268" s="765"/>
      <c r="O2268" s="765"/>
    </row>
    <row r="2269" spans="2:15" x14ac:dyDescent="0.25">
      <c r="B2269" s="765"/>
      <c r="C2269" s="765"/>
      <c r="D2269" s="765"/>
      <c r="E2269" s="765"/>
      <c r="F2269" s="765"/>
      <c r="G2269" s="765"/>
      <c r="H2269" s="765"/>
      <c r="I2269" s="765"/>
      <c r="J2269" s="765"/>
      <c r="K2269" s="765"/>
      <c r="L2269" s="765"/>
      <c r="M2269" s="765"/>
      <c r="N2269" s="765"/>
      <c r="O2269" s="765"/>
    </row>
    <row r="2270" spans="2:15" x14ac:dyDescent="0.25">
      <c r="B2270" s="765"/>
      <c r="C2270" s="765"/>
      <c r="D2270" s="765"/>
      <c r="E2270" s="765"/>
      <c r="F2270" s="765"/>
      <c r="G2270" s="765"/>
      <c r="H2270" s="765"/>
      <c r="I2270" s="765"/>
      <c r="J2270" s="765"/>
      <c r="K2270" s="765"/>
      <c r="L2270" s="765"/>
      <c r="M2270" s="765"/>
      <c r="N2270" s="765"/>
      <c r="O2270" s="765"/>
    </row>
    <row r="2271" spans="2:15" x14ac:dyDescent="0.25">
      <c r="B2271" s="765"/>
      <c r="C2271" s="765"/>
      <c r="D2271" s="765"/>
      <c r="E2271" s="765"/>
      <c r="F2271" s="765"/>
      <c r="G2271" s="765"/>
      <c r="H2271" s="765"/>
      <c r="I2271" s="765"/>
      <c r="J2271" s="765"/>
      <c r="K2271" s="765"/>
      <c r="L2271" s="765"/>
      <c r="M2271" s="765"/>
      <c r="N2271" s="765"/>
      <c r="O2271" s="765"/>
    </row>
    <row r="2272" spans="2:15" x14ac:dyDescent="0.25">
      <c r="B2272" s="765"/>
      <c r="C2272" s="765"/>
      <c r="D2272" s="765"/>
      <c r="E2272" s="765"/>
      <c r="F2272" s="765"/>
      <c r="G2272" s="765"/>
      <c r="H2272" s="765"/>
      <c r="I2272" s="765"/>
      <c r="J2272" s="765"/>
      <c r="K2272" s="765"/>
      <c r="L2272" s="765"/>
      <c r="M2272" s="765"/>
      <c r="N2272" s="765"/>
      <c r="O2272" s="765"/>
    </row>
    <row r="2273" spans="2:15" x14ac:dyDescent="0.25">
      <c r="B2273" s="765"/>
      <c r="C2273" s="765"/>
      <c r="D2273" s="765"/>
      <c r="E2273" s="765"/>
      <c r="F2273" s="765"/>
      <c r="G2273" s="765"/>
      <c r="H2273" s="765"/>
      <c r="I2273" s="765"/>
      <c r="J2273" s="765"/>
      <c r="K2273" s="765"/>
      <c r="L2273" s="765"/>
      <c r="M2273" s="765"/>
      <c r="N2273" s="765"/>
      <c r="O2273" s="765"/>
    </row>
    <row r="2274" spans="2:15" x14ac:dyDescent="0.25">
      <c r="B2274" s="765"/>
      <c r="C2274" s="765"/>
      <c r="D2274" s="765"/>
      <c r="E2274" s="765"/>
      <c r="F2274" s="765"/>
      <c r="G2274" s="765"/>
      <c r="H2274" s="765"/>
      <c r="I2274" s="765"/>
      <c r="J2274" s="765"/>
      <c r="K2274" s="765"/>
      <c r="L2274" s="765"/>
      <c r="M2274" s="765"/>
      <c r="N2274" s="765"/>
      <c r="O2274" s="765"/>
    </row>
    <row r="2275" spans="2:15" x14ac:dyDescent="0.25">
      <c r="B2275" s="765"/>
      <c r="C2275" s="765"/>
      <c r="D2275" s="765"/>
      <c r="E2275" s="765"/>
      <c r="F2275" s="765"/>
      <c r="G2275" s="765"/>
      <c r="H2275" s="765"/>
      <c r="I2275" s="765"/>
      <c r="J2275" s="765"/>
      <c r="K2275" s="765"/>
      <c r="L2275" s="765"/>
      <c r="M2275" s="765"/>
      <c r="N2275" s="765"/>
      <c r="O2275" s="765"/>
    </row>
    <row r="2276" spans="2:15" x14ac:dyDescent="0.25">
      <c r="B2276" s="765"/>
      <c r="C2276" s="765"/>
      <c r="D2276" s="765"/>
      <c r="E2276" s="765"/>
      <c r="F2276" s="765"/>
      <c r="G2276" s="765"/>
      <c r="H2276" s="765"/>
      <c r="I2276" s="765"/>
      <c r="J2276" s="765"/>
      <c r="K2276" s="765"/>
      <c r="L2276" s="765"/>
      <c r="M2276" s="765"/>
      <c r="N2276" s="765"/>
      <c r="O2276" s="765"/>
    </row>
    <row r="2277" spans="2:15" x14ac:dyDescent="0.25">
      <c r="B2277" s="765"/>
      <c r="C2277" s="765"/>
      <c r="D2277" s="765"/>
      <c r="E2277" s="765"/>
      <c r="F2277" s="765"/>
      <c r="G2277" s="765"/>
      <c r="H2277" s="765"/>
      <c r="I2277" s="765"/>
      <c r="J2277" s="765"/>
      <c r="K2277" s="765"/>
      <c r="L2277" s="765"/>
      <c r="M2277" s="765"/>
      <c r="N2277" s="765"/>
      <c r="O2277" s="765"/>
    </row>
    <row r="2278" spans="2:15" x14ac:dyDescent="0.25">
      <c r="B2278" s="765"/>
      <c r="C2278" s="765"/>
      <c r="D2278" s="765"/>
      <c r="E2278" s="765"/>
      <c r="F2278" s="765"/>
      <c r="G2278" s="765"/>
      <c r="H2278" s="765"/>
      <c r="I2278" s="765"/>
      <c r="J2278" s="765"/>
      <c r="K2278" s="765"/>
      <c r="L2278" s="765"/>
      <c r="M2278" s="765"/>
      <c r="N2278" s="765"/>
      <c r="O2278" s="765"/>
    </row>
    <row r="2279" spans="2:15" x14ac:dyDescent="0.25">
      <c r="B2279" s="765"/>
      <c r="C2279" s="765"/>
      <c r="D2279" s="765"/>
      <c r="E2279" s="765"/>
      <c r="F2279" s="765"/>
      <c r="G2279" s="765"/>
      <c r="H2279" s="765"/>
      <c r="I2279" s="765"/>
      <c r="J2279" s="765"/>
      <c r="K2279" s="765"/>
      <c r="L2279" s="765"/>
      <c r="M2279" s="765"/>
      <c r="N2279" s="765"/>
      <c r="O2279" s="765"/>
    </row>
    <row r="2280" spans="2:15" x14ac:dyDescent="0.25">
      <c r="B2280" s="765"/>
      <c r="C2280" s="765"/>
      <c r="D2280" s="765"/>
      <c r="E2280" s="765"/>
      <c r="F2280" s="765"/>
      <c r="G2280" s="765"/>
      <c r="H2280" s="765"/>
      <c r="I2280" s="765"/>
      <c r="J2280" s="765"/>
      <c r="K2280" s="765"/>
      <c r="L2280" s="765"/>
      <c r="M2280" s="765"/>
      <c r="N2280" s="765"/>
      <c r="O2280" s="765"/>
    </row>
    <row r="2281" spans="2:15" x14ac:dyDescent="0.25">
      <c r="B2281" s="765"/>
      <c r="C2281" s="765"/>
      <c r="D2281" s="765"/>
      <c r="E2281" s="765"/>
      <c r="F2281" s="765"/>
      <c r="G2281" s="765"/>
      <c r="H2281" s="765"/>
      <c r="I2281" s="765"/>
      <c r="J2281" s="765"/>
      <c r="K2281" s="765"/>
      <c r="L2281" s="765"/>
      <c r="M2281" s="765"/>
      <c r="N2281" s="765"/>
      <c r="O2281" s="765"/>
    </row>
    <row r="2282" spans="2:15" x14ac:dyDescent="0.25">
      <c r="B2282" s="765"/>
      <c r="C2282" s="765"/>
      <c r="D2282" s="765"/>
      <c r="E2282" s="765"/>
      <c r="F2282" s="765"/>
      <c r="G2282" s="765"/>
      <c r="H2282" s="765"/>
      <c r="I2282" s="765"/>
      <c r="J2282" s="765"/>
      <c r="K2282" s="765"/>
      <c r="L2282" s="765"/>
      <c r="M2282" s="765"/>
      <c r="N2282" s="765"/>
      <c r="O2282" s="765"/>
    </row>
    <row r="2283" spans="2:15" x14ac:dyDescent="0.25">
      <c r="B2283" s="765"/>
      <c r="C2283" s="765"/>
      <c r="D2283" s="765"/>
      <c r="E2283" s="765"/>
      <c r="F2283" s="765"/>
      <c r="G2283" s="765"/>
      <c r="H2283" s="765"/>
      <c r="I2283" s="765"/>
      <c r="J2283" s="765"/>
      <c r="K2283" s="765"/>
      <c r="L2283" s="765"/>
      <c r="M2283" s="765"/>
      <c r="N2283" s="765"/>
      <c r="O2283" s="765"/>
    </row>
    <row r="2284" spans="2:15" x14ac:dyDescent="0.25">
      <c r="B2284" s="765"/>
      <c r="C2284" s="765"/>
      <c r="D2284" s="765"/>
      <c r="E2284" s="765"/>
      <c r="F2284" s="765"/>
      <c r="G2284" s="765"/>
      <c r="H2284" s="765"/>
      <c r="I2284" s="765"/>
      <c r="J2284" s="765"/>
      <c r="K2284" s="765"/>
      <c r="L2284" s="765"/>
      <c r="M2284" s="765"/>
      <c r="N2284" s="765"/>
      <c r="O2284" s="765"/>
    </row>
    <row r="2285" spans="2:15" x14ac:dyDescent="0.25">
      <c r="B2285" s="765"/>
      <c r="C2285" s="765"/>
      <c r="D2285" s="765"/>
      <c r="E2285" s="765"/>
      <c r="F2285" s="765"/>
      <c r="G2285" s="765"/>
      <c r="H2285" s="765"/>
      <c r="I2285" s="765"/>
      <c r="J2285" s="765"/>
      <c r="K2285" s="765"/>
      <c r="L2285" s="765"/>
      <c r="M2285" s="765"/>
      <c r="N2285" s="765"/>
      <c r="O2285" s="765"/>
    </row>
    <row r="2286" spans="2:15" x14ac:dyDescent="0.25">
      <c r="B2286" s="765"/>
      <c r="C2286" s="765"/>
      <c r="D2286" s="765"/>
      <c r="E2286" s="765"/>
      <c r="F2286" s="765"/>
      <c r="G2286" s="765"/>
      <c r="H2286" s="765"/>
      <c r="I2286" s="765"/>
      <c r="J2286" s="765"/>
      <c r="K2286" s="765"/>
      <c r="L2286" s="765"/>
      <c r="M2286" s="765"/>
      <c r="N2286" s="765"/>
      <c r="O2286" s="765"/>
    </row>
    <row r="2287" spans="2:15" x14ac:dyDescent="0.25">
      <c r="B2287" s="765"/>
      <c r="C2287" s="765"/>
      <c r="D2287" s="765"/>
      <c r="E2287" s="765"/>
      <c r="F2287" s="765"/>
      <c r="G2287" s="765"/>
      <c r="H2287" s="765"/>
      <c r="I2287" s="765"/>
      <c r="J2287" s="765"/>
      <c r="K2287" s="765"/>
      <c r="L2287" s="765"/>
      <c r="M2287" s="765"/>
      <c r="N2287" s="765"/>
      <c r="O2287" s="765"/>
    </row>
    <row r="2288" spans="2:15" x14ac:dyDescent="0.25">
      <c r="B2288" s="765"/>
      <c r="C2288" s="765"/>
      <c r="D2288" s="765"/>
      <c r="E2288" s="765"/>
      <c r="F2288" s="765"/>
      <c r="G2288" s="765"/>
      <c r="H2288" s="765"/>
      <c r="I2288" s="765"/>
      <c r="J2288" s="765"/>
      <c r="K2288" s="765"/>
      <c r="L2288" s="765"/>
      <c r="M2288" s="765"/>
      <c r="N2288" s="765"/>
      <c r="O2288" s="765"/>
    </row>
    <row r="2289" spans="2:15" x14ac:dyDescent="0.25">
      <c r="B2289" s="765"/>
      <c r="C2289" s="765"/>
      <c r="D2289" s="765"/>
      <c r="E2289" s="765"/>
      <c r="F2289" s="765"/>
      <c r="G2289" s="765"/>
      <c r="H2289" s="765"/>
      <c r="I2289" s="765"/>
      <c r="J2289" s="765"/>
      <c r="K2289" s="765"/>
      <c r="L2289" s="765"/>
      <c r="M2289" s="765"/>
      <c r="N2289" s="765"/>
      <c r="O2289" s="765"/>
    </row>
    <row r="2290" spans="2:15" x14ac:dyDescent="0.25">
      <c r="B2290" s="765"/>
      <c r="C2290" s="765"/>
      <c r="D2290" s="765"/>
      <c r="E2290" s="765"/>
      <c r="F2290" s="765"/>
      <c r="G2290" s="765"/>
      <c r="H2290" s="765"/>
      <c r="I2290" s="765"/>
      <c r="J2290" s="765"/>
      <c r="K2290" s="765"/>
      <c r="L2290" s="765"/>
      <c r="M2290" s="765"/>
      <c r="N2290" s="765"/>
      <c r="O2290" s="765"/>
    </row>
    <row r="2291" spans="2:15" x14ac:dyDescent="0.25">
      <c r="B2291" s="765"/>
      <c r="C2291" s="765"/>
      <c r="D2291" s="765"/>
      <c r="E2291" s="765"/>
      <c r="F2291" s="765"/>
      <c r="G2291" s="765"/>
      <c r="H2291" s="765"/>
      <c r="I2291" s="765"/>
      <c r="J2291" s="765"/>
      <c r="K2291" s="765"/>
      <c r="L2291" s="765"/>
      <c r="M2291" s="765"/>
      <c r="N2291" s="765"/>
      <c r="O2291" s="765"/>
    </row>
    <row r="2292" spans="2:15" x14ac:dyDescent="0.25">
      <c r="B2292" s="765"/>
      <c r="C2292" s="765"/>
      <c r="D2292" s="765"/>
      <c r="E2292" s="765"/>
      <c r="F2292" s="765"/>
      <c r="G2292" s="765"/>
      <c r="H2292" s="765"/>
      <c r="I2292" s="765"/>
      <c r="J2292" s="765"/>
      <c r="K2292" s="765"/>
      <c r="L2292" s="765"/>
      <c r="M2292" s="765"/>
      <c r="N2292" s="765"/>
      <c r="O2292" s="765"/>
    </row>
    <row r="2293" spans="2:15" x14ac:dyDescent="0.25">
      <c r="B2293" s="765"/>
      <c r="C2293" s="765"/>
      <c r="D2293" s="765"/>
      <c r="E2293" s="765"/>
      <c r="F2293" s="765"/>
      <c r="G2293" s="765"/>
      <c r="H2293" s="765"/>
      <c r="I2293" s="765"/>
      <c r="J2293" s="765"/>
      <c r="K2293" s="765"/>
      <c r="L2293" s="765"/>
      <c r="M2293" s="765"/>
      <c r="N2293" s="765"/>
      <c r="O2293" s="765"/>
    </row>
    <row r="2294" spans="2:15" x14ac:dyDescent="0.25">
      <c r="B2294" s="765"/>
      <c r="C2294" s="765"/>
      <c r="D2294" s="765"/>
      <c r="E2294" s="765"/>
      <c r="F2294" s="765"/>
      <c r="G2294" s="765"/>
      <c r="H2294" s="765"/>
      <c r="I2294" s="765"/>
      <c r="J2294" s="765"/>
      <c r="K2294" s="765"/>
      <c r="L2294" s="765"/>
      <c r="M2294" s="765"/>
      <c r="N2294" s="765"/>
      <c r="O2294" s="765"/>
    </row>
    <row r="2295" spans="2:15" x14ac:dyDescent="0.25">
      <c r="B2295" s="765"/>
      <c r="C2295" s="765"/>
      <c r="D2295" s="765"/>
      <c r="E2295" s="765"/>
      <c r="F2295" s="765"/>
      <c r="G2295" s="765"/>
      <c r="H2295" s="765"/>
      <c r="I2295" s="765"/>
      <c r="J2295" s="765"/>
      <c r="K2295" s="765"/>
      <c r="L2295" s="765"/>
      <c r="M2295" s="765"/>
      <c r="N2295" s="765"/>
      <c r="O2295" s="765"/>
    </row>
    <row r="2296" spans="2:15" x14ac:dyDescent="0.25">
      <c r="B2296" s="765"/>
      <c r="C2296" s="765"/>
      <c r="D2296" s="765"/>
      <c r="E2296" s="765"/>
      <c r="F2296" s="765"/>
      <c r="G2296" s="765"/>
      <c r="H2296" s="765"/>
      <c r="I2296" s="765"/>
      <c r="J2296" s="765"/>
      <c r="K2296" s="765"/>
      <c r="L2296" s="765"/>
      <c r="M2296" s="765"/>
      <c r="N2296" s="765"/>
      <c r="O2296" s="765"/>
    </row>
    <row r="2297" spans="2:15" x14ac:dyDescent="0.25">
      <c r="B2297" s="765"/>
      <c r="C2297" s="765"/>
      <c r="D2297" s="765"/>
      <c r="E2297" s="765"/>
      <c r="F2297" s="765"/>
      <c r="G2297" s="765"/>
      <c r="H2297" s="765"/>
      <c r="I2297" s="765"/>
      <c r="J2297" s="765"/>
      <c r="K2297" s="765"/>
      <c r="L2297" s="765"/>
      <c r="M2297" s="765"/>
      <c r="N2297" s="765"/>
      <c r="O2297" s="765"/>
    </row>
    <row r="2298" spans="2:15" x14ac:dyDescent="0.25">
      <c r="B2298" s="765"/>
      <c r="C2298" s="765"/>
      <c r="D2298" s="765"/>
      <c r="E2298" s="765"/>
      <c r="F2298" s="765"/>
      <c r="G2298" s="765"/>
      <c r="H2298" s="765"/>
      <c r="I2298" s="765"/>
      <c r="J2298" s="765"/>
      <c r="K2298" s="765"/>
      <c r="L2298" s="765"/>
      <c r="M2298" s="765"/>
      <c r="N2298" s="765"/>
      <c r="O2298" s="765"/>
    </row>
    <row r="2299" spans="2:15" x14ac:dyDescent="0.25">
      <c r="B2299" s="765"/>
      <c r="C2299" s="765"/>
      <c r="D2299" s="765"/>
      <c r="E2299" s="765"/>
      <c r="F2299" s="765"/>
      <c r="G2299" s="765"/>
      <c r="H2299" s="765"/>
      <c r="I2299" s="765"/>
      <c r="J2299" s="765"/>
      <c r="K2299" s="765"/>
      <c r="L2299" s="765"/>
      <c r="M2299" s="765"/>
      <c r="N2299" s="765"/>
      <c r="O2299" s="765"/>
    </row>
    <row r="2300" spans="2:15" x14ac:dyDescent="0.25">
      <c r="B2300" s="765"/>
      <c r="C2300" s="765"/>
      <c r="D2300" s="765"/>
      <c r="E2300" s="765"/>
      <c r="F2300" s="765"/>
      <c r="G2300" s="765"/>
      <c r="H2300" s="765"/>
      <c r="I2300" s="765"/>
      <c r="J2300" s="765"/>
      <c r="K2300" s="765"/>
      <c r="L2300" s="765"/>
      <c r="M2300" s="765"/>
      <c r="N2300" s="765"/>
      <c r="O2300" s="765"/>
    </row>
    <row r="2301" spans="2:15" x14ac:dyDescent="0.25">
      <c r="B2301" s="765"/>
      <c r="C2301" s="765"/>
      <c r="D2301" s="765"/>
      <c r="E2301" s="765"/>
      <c r="F2301" s="765"/>
      <c r="G2301" s="765"/>
      <c r="H2301" s="765"/>
      <c r="I2301" s="765"/>
      <c r="J2301" s="765"/>
      <c r="K2301" s="765"/>
      <c r="L2301" s="765"/>
      <c r="M2301" s="765"/>
      <c r="N2301" s="765"/>
      <c r="O2301" s="765"/>
    </row>
    <row r="2302" spans="2:15" x14ac:dyDescent="0.25">
      <c r="B2302" s="765"/>
      <c r="C2302" s="765"/>
      <c r="D2302" s="765"/>
      <c r="E2302" s="765"/>
      <c r="F2302" s="765"/>
      <c r="G2302" s="765"/>
      <c r="H2302" s="765"/>
      <c r="I2302" s="765"/>
      <c r="J2302" s="765"/>
      <c r="K2302" s="765"/>
      <c r="L2302" s="765"/>
      <c r="M2302" s="765"/>
      <c r="N2302" s="765"/>
      <c r="O2302" s="765"/>
    </row>
    <row r="2303" spans="2:15" x14ac:dyDescent="0.25">
      <c r="B2303" s="765"/>
      <c r="C2303" s="765"/>
      <c r="D2303" s="765"/>
      <c r="E2303" s="765"/>
      <c r="F2303" s="765"/>
      <c r="G2303" s="765"/>
      <c r="H2303" s="765"/>
      <c r="I2303" s="765"/>
      <c r="J2303" s="765"/>
      <c r="K2303" s="765"/>
      <c r="L2303" s="765"/>
      <c r="M2303" s="765"/>
      <c r="N2303" s="765"/>
      <c r="O2303" s="765"/>
    </row>
    <row r="2304" spans="2:15" x14ac:dyDescent="0.25">
      <c r="B2304" s="765"/>
      <c r="C2304" s="765"/>
      <c r="D2304" s="765"/>
      <c r="E2304" s="765"/>
      <c r="F2304" s="765"/>
      <c r="G2304" s="765"/>
      <c r="H2304" s="765"/>
      <c r="I2304" s="765"/>
      <c r="J2304" s="765"/>
      <c r="K2304" s="765"/>
      <c r="L2304" s="765"/>
      <c r="M2304" s="765"/>
      <c r="N2304" s="765"/>
      <c r="O2304" s="765"/>
    </row>
    <row r="2305" spans="2:15" x14ac:dyDescent="0.25">
      <c r="B2305" s="765"/>
      <c r="C2305" s="765"/>
      <c r="D2305" s="765"/>
      <c r="E2305" s="765"/>
      <c r="F2305" s="765"/>
      <c r="G2305" s="765"/>
      <c r="H2305" s="765"/>
      <c r="I2305" s="765"/>
      <c r="J2305" s="765"/>
      <c r="K2305" s="765"/>
      <c r="L2305" s="765"/>
      <c r="M2305" s="765"/>
      <c r="N2305" s="765"/>
      <c r="O2305" s="765"/>
    </row>
    <row r="2306" spans="2:15" x14ac:dyDescent="0.25">
      <c r="B2306" s="765"/>
      <c r="C2306" s="765"/>
      <c r="D2306" s="765"/>
      <c r="E2306" s="765"/>
      <c r="F2306" s="765"/>
      <c r="G2306" s="765"/>
      <c r="H2306" s="765"/>
      <c r="I2306" s="765"/>
      <c r="J2306" s="765"/>
      <c r="K2306" s="765"/>
      <c r="L2306" s="765"/>
      <c r="M2306" s="765"/>
      <c r="N2306" s="765"/>
      <c r="O2306" s="765"/>
    </row>
    <row r="2307" spans="2:15" x14ac:dyDescent="0.25">
      <c r="B2307" s="765"/>
      <c r="C2307" s="765"/>
      <c r="D2307" s="765"/>
      <c r="E2307" s="765"/>
      <c r="F2307" s="765"/>
      <c r="G2307" s="765"/>
      <c r="H2307" s="765"/>
      <c r="I2307" s="765"/>
      <c r="J2307" s="765"/>
      <c r="K2307" s="765"/>
      <c r="L2307" s="765"/>
      <c r="M2307" s="765"/>
      <c r="N2307" s="765"/>
      <c r="O2307" s="765"/>
    </row>
    <row r="2308" spans="2:15" x14ac:dyDescent="0.25">
      <c r="B2308" s="765"/>
      <c r="C2308" s="765"/>
      <c r="D2308" s="765"/>
      <c r="E2308" s="765"/>
      <c r="F2308" s="765"/>
      <c r="G2308" s="765"/>
      <c r="H2308" s="765"/>
      <c r="I2308" s="765"/>
      <c r="J2308" s="765"/>
      <c r="K2308" s="765"/>
      <c r="L2308" s="765"/>
      <c r="M2308" s="765"/>
      <c r="N2308" s="765"/>
      <c r="O2308" s="765"/>
    </row>
    <row r="2309" spans="2:15" x14ac:dyDescent="0.25">
      <c r="B2309" s="765"/>
      <c r="C2309" s="765"/>
      <c r="D2309" s="765"/>
      <c r="E2309" s="765"/>
      <c r="F2309" s="765"/>
      <c r="G2309" s="765"/>
      <c r="H2309" s="765"/>
      <c r="I2309" s="765"/>
      <c r="J2309" s="765"/>
      <c r="K2309" s="765"/>
      <c r="L2309" s="765"/>
      <c r="M2309" s="765"/>
      <c r="N2309" s="765"/>
      <c r="O2309" s="765"/>
    </row>
    <row r="2310" spans="2:15" x14ac:dyDescent="0.25">
      <c r="B2310" s="765"/>
      <c r="C2310" s="765"/>
      <c r="D2310" s="765"/>
      <c r="E2310" s="765"/>
      <c r="F2310" s="765"/>
      <c r="G2310" s="765"/>
      <c r="H2310" s="765"/>
      <c r="I2310" s="765"/>
      <c r="J2310" s="765"/>
      <c r="K2310" s="765"/>
      <c r="L2310" s="765"/>
      <c r="M2310" s="765"/>
      <c r="N2310" s="765"/>
      <c r="O2310" s="765"/>
    </row>
    <row r="2311" spans="2:15" x14ac:dyDescent="0.25">
      <c r="B2311" s="765"/>
      <c r="C2311" s="765"/>
      <c r="D2311" s="765"/>
      <c r="E2311" s="765"/>
      <c r="F2311" s="765"/>
      <c r="G2311" s="765"/>
      <c r="H2311" s="765"/>
      <c r="I2311" s="765"/>
      <c r="J2311" s="765"/>
      <c r="K2311" s="765"/>
      <c r="L2311" s="765"/>
      <c r="M2311" s="765"/>
      <c r="N2311" s="765"/>
      <c r="O2311" s="765"/>
    </row>
    <row r="2312" spans="2:15" x14ac:dyDescent="0.25">
      <c r="B2312" s="765"/>
      <c r="C2312" s="765"/>
      <c r="D2312" s="765"/>
      <c r="E2312" s="765"/>
      <c r="F2312" s="765"/>
      <c r="G2312" s="765"/>
      <c r="H2312" s="765"/>
      <c r="I2312" s="765"/>
      <c r="J2312" s="765"/>
      <c r="K2312" s="765"/>
      <c r="L2312" s="765"/>
      <c r="M2312" s="765"/>
      <c r="N2312" s="765"/>
      <c r="O2312" s="765"/>
    </row>
    <row r="2313" spans="2:15" x14ac:dyDescent="0.25">
      <c r="B2313" s="765"/>
      <c r="C2313" s="765"/>
      <c r="D2313" s="765"/>
      <c r="E2313" s="765"/>
      <c r="F2313" s="765"/>
      <c r="G2313" s="765"/>
      <c r="H2313" s="765"/>
      <c r="I2313" s="765"/>
      <c r="J2313" s="765"/>
      <c r="K2313" s="765"/>
      <c r="L2313" s="765"/>
      <c r="M2313" s="765"/>
      <c r="N2313" s="765"/>
      <c r="O2313" s="765"/>
    </row>
    <row r="2314" spans="2:15" x14ac:dyDescent="0.25">
      <c r="B2314" s="765"/>
      <c r="C2314" s="765"/>
      <c r="D2314" s="765"/>
      <c r="E2314" s="765"/>
      <c r="F2314" s="765"/>
      <c r="G2314" s="765"/>
      <c r="H2314" s="765"/>
      <c r="I2314" s="765"/>
      <c r="J2314" s="765"/>
      <c r="K2314" s="765"/>
      <c r="L2314" s="765"/>
      <c r="M2314" s="765"/>
      <c r="N2314" s="765"/>
      <c r="O2314" s="765"/>
    </row>
    <row r="2315" spans="2:15" x14ac:dyDescent="0.25">
      <c r="B2315" s="765"/>
      <c r="C2315" s="765"/>
      <c r="D2315" s="765"/>
      <c r="E2315" s="765"/>
      <c r="F2315" s="765"/>
      <c r="G2315" s="765"/>
      <c r="H2315" s="765"/>
      <c r="I2315" s="765"/>
      <c r="J2315" s="765"/>
      <c r="K2315" s="765"/>
      <c r="L2315" s="765"/>
      <c r="M2315" s="765"/>
      <c r="N2315" s="765"/>
      <c r="O2315" s="765"/>
    </row>
    <row r="2316" spans="2:15" x14ac:dyDescent="0.25">
      <c r="B2316" s="765"/>
      <c r="C2316" s="765"/>
      <c r="D2316" s="765"/>
      <c r="E2316" s="765"/>
      <c r="F2316" s="765"/>
      <c r="G2316" s="765"/>
      <c r="H2316" s="765"/>
      <c r="I2316" s="765"/>
      <c r="J2316" s="765"/>
      <c r="K2316" s="765"/>
      <c r="L2316" s="765"/>
      <c r="M2316" s="765"/>
      <c r="N2316" s="765"/>
      <c r="O2316" s="765"/>
    </row>
    <row r="2317" spans="2:15" x14ac:dyDescent="0.25">
      <c r="B2317" s="765"/>
      <c r="C2317" s="765"/>
      <c r="D2317" s="765"/>
      <c r="E2317" s="765"/>
      <c r="F2317" s="765"/>
      <c r="G2317" s="765"/>
      <c r="H2317" s="765"/>
      <c r="I2317" s="765"/>
      <c r="J2317" s="765"/>
      <c r="K2317" s="765"/>
      <c r="L2317" s="765"/>
      <c r="M2317" s="765"/>
      <c r="N2317" s="765"/>
      <c r="O2317" s="765"/>
    </row>
    <row r="2318" spans="2:15" x14ac:dyDescent="0.25">
      <c r="B2318" s="765"/>
      <c r="C2318" s="765"/>
      <c r="D2318" s="765"/>
      <c r="E2318" s="765"/>
      <c r="F2318" s="765"/>
      <c r="G2318" s="765"/>
      <c r="H2318" s="765"/>
      <c r="I2318" s="765"/>
      <c r="J2318" s="765"/>
      <c r="K2318" s="765"/>
      <c r="L2318" s="765"/>
      <c r="M2318" s="765"/>
      <c r="N2318" s="765"/>
      <c r="O2318" s="765"/>
    </row>
    <row r="2319" spans="2:15" x14ac:dyDescent="0.25">
      <c r="B2319" s="765"/>
      <c r="C2319" s="765"/>
      <c r="D2319" s="765"/>
      <c r="E2319" s="765"/>
      <c r="F2319" s="765"/>
      <c r="G2319" s="765"/>
      <c r="H2319" s="765"/>
      <c r="I2319" s="765"/>
      <c r="J2319" s="765"/>
      <c r="K2319" s="765"/>
      <c r="L2319" s="765"/>
      <c r="M2319" s="765"/>
      <c r="N2319" s="765"/>
      <c r="O2319" s="765"/>
    </row>
    <row r="2320" spans="2:15" x14ac:dyDescent="0.25">
      <c r="B2320" s="765"/>
      <c r="C2320" s="765"/>
      <c r="D2320" s="765"/>
      <c r="E2320" s="765"/>
      <c r="F2320" s="765"/>
      <c r="G2320" s="765"/>
      <c r="H2320" s="765"/>
      <c r="I2320" s="765"/>
      <c r="J2320" s="765"/>
      <c r="K2320" s="765"/>
      <c r="L2320" s="765"/>
      <c r="M2320" s="765"/>
      <c r="N2320" s="765"/>
      <c r="O2320" s="765"/>
    </row>
    <row r="2321" spans="2:15" x14ac:dyDescent="0.25">
      <c r="B2321" s="765"/>
      <c r="C2321" s="765"/>
      <c r="D2321" s="765"/>
      <c r="E2321" s="765"/>
      <c r="F2321" s="765"/>
      <c r="G2321" s="765"/>
      <c r="H2321" s="765"/>
      <c r="I2321" s="765"/>
      <c r="J2321" s="765"/>
      <c r="K2321" s="765"/>
      <c r="L2321" s="765"/>
      <c r="M2321" s="765"/>
      <c r="N2321" s="765"/>
      <c r="O2321" s="765"/>
    </row>
    <row r="2322" spans="2:15" x14ac:dyDescent="0.25">
      <c r="B2322" s="765"/>
      <c r="C2322" s="765"/>
      <c r="D2322" s="765"/>
      <c r="E2322" s="765"/>
      <c r="F2322" s="765"/>
      <c r="G2322" s="765"/>
      <c r="H2322" s="765"/>
      <c r="I2322" s="765"/>
      <c r="J2322" s="765"/>
      <c r="K2322" s="765"/>
      <c r="L2322" s="765"/>
      <c r="M2322" s="765"/>
      <c r="N2322" s="765"/>
      <c r="O2322" s="765"/>
    </row>
    <row r="2323" spans="2:15" x14ac:dyDescent="0.25">
      <c r="B2323" s="765"/>
      <c r="C2323" s="765"/>
      <c r="D2323" s="765"/>
      <c r="E2323" s="765"/>
      <c r="F2323" s="765"/>
      <c r="G2323" s="765"/>
      <c r="H2323" s="765"/>
      <c r="I2323" s="765"/>
      <c r="J2323" s="765"/>
      <c r="K2323" s="765"/>
      <c r="L2323" s="765"/>
      <c r="M2323" s="765"/>
      <c r="N2323" s="765"/>
      <c r="O2323" s="765"/>
    </row>
    <row r="2324" spans="2:15" x14ac:dyDescent="0.25">
      <c r="B2324" s="765"/>
      <c r="C2324" s="765"/>
      <c r="D2324" s="765"/>
      <c r="E2324" s="765"/>
      <c r="F2324" s="765"/>
      <c r="G2324" s="765"/>
      <c r="H2324" s="765"/>
      <c r="I2324" s="765"/>
      <c r="J2324" s="765"/>
      <c r="K2324" s="765"/>
      <c r="L2324" s="765"/>
      <c r="M2324" s="765"/>
      <c r="N2324" s="765"/>
      <c r="O2324" s="765"/>
    </row>
    <row r="2325" spans="2:15" x14ac:dyDescent="0.25">
      <c r="B2325" s="765"/>
      <c r="C2325" s="765"/>
      <c r="D2325" s="765"/>
      <c r="E2325" s="765"/>
      <c r="F2325" s="765"/>
      <c r="G2325" s="765"/>
      <c r="H2325" s="765"/>
      <c r="I2325" s="765"/>
      <c r="J2325" s="765"/>
      <c r="K2325" s="765"/>
      <c r="L2325" s="765"/>
      <c r="M2325" s="765"/>
      <c r="N2325" s="765"/>
      <c r="O2325" s="765"/>
    </row>
    <row r="2326" spans="2:15" x14ac:dyDescent="0.25">
      <c r="B2326" s="765"/>
      <c r="C2326" s="765"/>
      <c r="D2326" s="765"/>
      <c r="E2326" s="765"/>
      <c r="F2326" s="765"/>
      <c r="G2326" s="765"/>
      <c r="H2326" s="765"/>
      <c r="I2326" s="765"/>
      <c r="J2326" s="765"/>
      <c r="K2326" s="765"/>
      <c r="L2326" s="765"/>
      <c r="M2326" s="765"/>
      <c r="N2326" s="765"/>
      <c r="O2326" s="765"/>
    </row>
    <row r="2327" spans="2:15" x14ac:dyDescent="0.25">
      <c r="B2327" s="765"/>
      <c r="C2327" s="765"/>
      <c r="D2327" s="765"/>
      <c r="E2327" s="765"/>
      <c r="F2327" s="765"/>
      <c r="G2327" s="765"/>
      <c r="H2327" s="765"/>
      <c r="I2327" s="765"/>
      <c r="J2327" s="765"/>
      <c r="K2327" s="765"/>
      <c r="L2327" s="765"/>
      <c r="M2327" s="765"/>
      <c r="N2327" s="765"/>
      <c r="O2327" s="765"/>
    </row>
    <row r="2328" spans="2:15" x14ac:dyDescent="0.25">
      <c r="B2328" s="765"/>
      <c r="C2328" s="765"/>
      <c r="D2328" s="765"/>
      <c r="E2328" s="765"/>
      <c r="F2328" s="765"/>
      <c r="G2328" s="765"/>
      <c r="H2328" s="765"/>
      <c r="I2328" s="765"/>
      <c r="J2328" s="765"/>
      <c r="K2328" s="765"/>
      <c r="L2328" s="765"/>
      <c r="M2328" s="765"/>
      <c r="N2328" s="765"/>
      <c r="O2328" s="765"/>
    </row>
    <row r="2329" spans="2:15" x14ac:dyDescent="0.25">
      <c r="B2329" s="765"/>
      <c r="C2329" s="765"/>
      <c r="D2329" s="765"/>
      <c r="E2329" s="765"/>
      <c r="F2329" s="765"/>
      <c r="G2329" s="765"/>
      <c r="H2329" s="765"/>
      <c r="I2329" s="765"/>
      <c r="J2329" s="765"/>
      <c r="K2329" s="765"/>
      <c r="L2329" s="765"/>
      <c r="M2329" s="765"/>
      <c r="N2329" s="765"/>
      <c r="O2329" s="765"/>
    </row>
    <row r="2330" spans="2:15" x14ac:dyDescent="0.25">
      <c r="B2330" s="765"/>
      <c r="C2330" s="765"/>
      <c r="D2330" s="765"/>
      <c r="E2330" s="765"/>
      <c r="F2330" s="765"/>
      <c r="G2330" s="765"/>
      <c r="H2330" s="765"/>
      <c r="I2330" s="765"/>
      <c r="J2330" s="765"/>
      <c r="K2330" s="765"/>
      <c r="L2330" s="765"/>
      <c r="M2330" s="765"/>
      <c r="N2330" s="765"/>
      <c r="O2330" s="765"/>
    </row>
    <row r="2331" spans="2:15" x14ac:dyDescent="0.25">
      <c r="B2331" s="765"/>
      <c r="C2331" s="765"/>
      <c r="D2331" s="765"/>
      <c r="E2331" s="765"/>
      <c r="F2331" s="765"/>
      <c r="G2331" s="765"/>
      <c r="H2331" s="765"/>
      <c r="I2331" s="765"/>
      <c r="J2331" s="765"/>
      <c r="K2331" s="765"/>
      <c r="L2331" s="765"/>
      <c r="M2331" s="765"/>
      <c r="N2331" s="765"/>
      <c r="O2331" s="765"/>
    </row>
    <row r="2332" spans="2:15" x14ac:dyDescent="0.25">
      <c r="B2332" s="765"/>
      <c r="C2332" s="765"/>
      <c r="D2332" s="765"/>
      <c r="E2332" s="765"/>
      <c r="F2332" s="765"/>
      <c r="G2332" s="765"/>
      <c r="H2332" s="765"/>
      <c r="I2332" s="765"/>
      <c r="J2332" s="765"/>
      <c r="K2332" s="765"/>
      <c r="L2332" s="765"/>
      <c r="M2332" s="765"/>
      <c r="N2332" s="765"/>
      <c r="O2332" s="765"/>
    </row>
    <row r="2333" spans="2:15" x14ac:dyDescent="0.25">
      <c r="B2333" s="765"/>
      <c r="C2333" s="765"/>
      <c r="D2333" s="765"/>
      <c r="E2333" s="765"/>
      <c r="F2333" s="765"/>
      <c r="G2333" s="765"/>
      <c r="H2333" s="765"/>
      <c r="I2333" s="765"/>
      <c r="J2333" s="765"/>
      <c r="K2333" s="765"/>
      <c r="L2333" s="765"/>
      <c r="M2333" s="765"/>
      <c r="N2333" s="765"/>
      <c r="O2333" s="765"/>
    </row>
    <row r="2334" spans="2:15" x14ac:dyDescent="0.25">
      <c r="B2334" s="765"/>
      <c r="C2334" s="765"/>
      <c r="D2334" s="765"/>
      <c r="E2334" s="765"/>
      <c r="F2334" s="765"/>
      <c r="G2334" s="765"/>
      <c r="H2334" s="765"/>
      <c r="I2334" s="765"/>
      <c r="J2334" s="765"/>
      <c r="K2334" s="765"/>
      <c r="L2334" s="765"/>
      <c r="M2334" s="765"/>
      <c r="N2334" s="765"/>
      <c r="O2334" s="765"/>
    </row>
    <row r="2335" spans="2:15" x14ac:dyDescent="0.25">
      <c r="B2335" s="765"/>
      <c r="C2335" s="765"/>
      <c r="D2335" s="765"/>
      <c r="E2335" s="765"/>
      <c r="F2335" s="765"/>
      <c r="G2335" s="765"/>
      <c r="H2335" s="765"/>
      <c r="I2335" s="765"/>
      <c r="J2335" s="765"/>
      <c r="K2335" s="765"/>
      <c r="L2335" s="765"/>
      <c r="M2335" s="765"/>
      <c r="N2335" s="765"/>
      <c r="O2335" s="765"/>
    </row>
    <row r="2336" spans="2:15" x14ac:dyDescent="0.25">
      <c r="B2336" s="765"/>
      <c r="C2336" s="765"/>
      <c r="D2336" s="765"/>
      <c r="E2336" s="765"/>
      <c r="F2336" s="765"/>
      <c r="G2336" s="765"/>
      <c r="H2336" s="765"/>
      <c r="I2336" s="765"/>
      <c r="J2336" s="765"/>
      <c r="K2336" s="765"/>
      <c r="L2336" s="765"/>
      <c r="M2336" s="765"/>
      <c r="N2336" s="765"/>
      <c r="O2336" s="765"/>
    </row>
    <row r="2337" spans="2:15" x14ac:dyDescent="0.25">
      <c r="B2337" s="765"/>
      <c r="C2337" s="765"/>
      <c r="D2337" s="765"/>
      <c r="E2337" s="765"/>
      <c r="F2337" s="765"/>
      <c r="G2337" s="765"/>
      <c r="H2337" s="765"/>
      <c r="I2337" s="765"/>
      <c r="J2337" s="765"/>
      <c r="K2337" s="765"/>
      <c r="L2337" s="765"/>
      <c r="M2337" s="765"/>
      <c r="N2337" s="765"/>
      <c r="O2337" s="765"/>
    </row>
    <row r="2338" spans="2:15" x14ac:dyDescent="0.25">
      <c r="B2338" s="765"/>
      <c r="C2338" s="765"/>
      <c r="D2338" s="765"/>
      <c r="E2338" s="765"/>
      <c r="F2338" s="765"/>
      <c r="G2338" s="765"/>
      <c r="H2338" s="765"/>
      <c r="I2338" s="765"/>
      <c r="J2338" s="765"/>
      <c r="K2338" s="765"/>
      <c r="L2338" s="765"/>
      <c r="M2338" s="765"/>
      <c r="N2338" s="765"/>
      <c r="O2338" s="765"/>
    </row>
    <row r="2339" spans="2:15" x14ac:dyDescent="0.25">
      <c r="B2339" s="765"/>
      <c r="C2339" s="765"/>
      <c r="D2339" s="765"/>
      <c r="E2339" s="765"/>
      <c r="F2339" s="765"/>
      <c r="G2339" s="765"/>
      <c r="H2339" s="765"/>
      <c r="I2339" s="765"/>
      <c r="J2339" s="765"/>
      <c r="K2339" s="765"/>
      <c r="L2339" s="765"/>
      <c r="M2339" s="765"/>
      <c r="N2339" s="765"/>
      <c r="O2339" s="765"/>
    </row>
    <row r="2340" spans="2:15" x14ac:dyDescent="0.25">
      <c r="B2340" s="765"/>
      <c r="C2340" s="765"/>
      <c r="D2340" s="765"/>
      <c r="E2340" s="765"/>
      <c r="F2340" s="765"/>
      <c r="G2340" s="765"/>
      <c r="H2340" s="765"/>
      <c r="I2340" s="765"/>
      <c r="J2340" s="765"/>
      <c r="K2340" s="765"/>
      <c r="L2340" s="765"/>
      <c r="M2340" s="765"/>
      <c r="N2340" s="765"/>
      <c r="O2340" s="765"/>
    </row>
    <row r="2341" spans="2:15" x14ac:dyDescent="0.25">
      <c r="B2341" s="765"/>
      <c r="C2341" s="765"/>
      <c r="D2341" s="765"/>
      <c r="E2341" s="765"/>
      <c r="F2341" s="765"/>
      <c r="G2341" s="765"/>
      <c r="H2341" s="765"/>
      <c r="I2341" s="765"/>
      <c r="J2341" s="765"/>
      <c r="K2341" s="765"/>
      <c r="L2341" s="765"/>
      <c r="M2341" s="765"/>
      <c r="N2341" s="765"/>
      <c r="O2341" s="765"/>
    </row>
    <row r="2342" spans="2:15" x14ac:dyDescent="0.25">
      <c r="B2342" s="765"/>
      <c r="C2342" s="765"/>
      <c r="D2342" s="765"/>
      <c r="E2342" s="765"/>
      <c r="F2342" s="765"/>
      <c r="G2342" s="765"/>
      <c r="H2342" s="765"/>
      <c r="I2342" s="765"/>
      <c r="J2342" s="765"/>
      <c r="K2342" s="765"/>
      <c r="L2342" s="765"/>
      <c r="M2342" s="765"/>
      <c r="N2342" s="765"/>
      <c r="O2342" s="765"/>
    </row>
    <row r="2343" spans="2:15" x14ac:dyDescent="0.25">
      <c r="B2343" s="765"/>
      <c r="C2343" s="765"/>
      <c r="D2343" s="765"/>
      <c r="E2343" s="765"/>
      <c r="F2343" s="765"/>
      <c r="G2343" s="765"/>
      <c r="H2343" s="765"/>
      <c r="I2343" s="765"/>
      <c r="J2343" s="765"/>
      <c r="K2343" s="765"/>
      <c r="L2343" s="765"/>
      <c r="M2343" s="765"/>
      <c r="N2343" s="765"/>
      <c r="O2343" s="765"/>
    </row>
    <row r="2344" spans="2:15" x14ac:dyDescent="0.25">
      <c r="B2344" s="765"/>
      <c r="C2344" s="765"/>
      <c r="D2344" s="765"/>
      <c r="E2344" s="765"/>
      <c r="F2344" s="765"/>
      <c r="G2344" s="765"/>
      <c r="H2344" s="765"/>
      <c r="I2344" s="765"/>
      <c r="J2344" s="765"/>
      <c r="K2344" s="765"/>
      <c r="L2344" s="765"/>
      <c r="M2344" s="765"/>
      <c r="N2344" s="765"/>
      <c r="O2344" s="765"/>
    </row>
    <row r="2345" spans="2:15" x14ac:dyDescent="0.25">
      <c r="B2345" s="765"/>
      <c r="C2345" s="765"/>
      <c r="D2345" s="765"/>
      <c r="E2345" s="765"/>
      <c r="F2345" s="765"/>
      <c r="G2345" s="765"/>
      <c r="H2345" s="765"/>
      <c r="I2345" s="765"/>
      <c r="J2345" s="765"/>
      <c r="K2345" s="765"/>
      <c r="L2345" s="765"/>
      <c r="M2345" s="765"/>
      <c r="N2345" s="765"/>
      <c r="O2345" s="765"/>
    </row>
    <row r="2346" spans="2:15" x14ac:dyDescent="0.25">
      <c r="B2346" s="765"/>
      <c r="C2346" s="765"/>
      <c r="D2346" s="765"/>
      <c r="E2346" s="765"/>
      <c r="F2346" s="765"/>
      <c r="G2346" s="765"/>
      <c r="H2346" s="765"/>
      <c r="I2346" s="765"/>
      <c r="J2346" s="765"/>
      <c r="K2346" s="765"/>
      <c r="L2346" s="765"/>
      <c r="M2346" s="765"/>
      <c r="N2346" s="765"/>
      <c r="O2346" s="765"/>
    </row>
    <row r="2347" spans="2:15" x14ac:dyDescent="0.25">
      <c r="B2347" s="765"/>
      <c r="C2347" s="765"/>
      <c r="D2347" s="765"/>
      <c r="E2347" s="765"/>
      <c r="F2347" s="765"/>
      <c r="G2347" s="765"/>
      <c r="H2347" s="765"/>
      <c r="I2347" s="765"/>
      <c r="J2347" s="765"/>
      <c r="K2347" s="765"/>
      <c r="L2347" s="765"/>
      <c r="M2347" s="765"/>
      <c r="N2347" s="765"/>
      <c r="O2347" s="765"/>
    </row>
    <row r="2348" spans="2:15" x14ac:dyDescent="0.25">
      <c r="B2348" s="765"/>
      <c r="C2348" s="765"/>
      <c r="D2348" s="765"/>
      <c r="E2348" s="765"/>
      <c r="F2348" s="765"/>
      <c r="G2348" s="765"/>
      <c r="H2348" s="765"/>
      <c r="I2348" s="765"/>
      <c r="J2348" s="765"/>
      <c r="K2348" s="765"/>
      <c r="L2348" s="765"/>
      <c r="M2348" s="765"/>
      <c r="N2348" s="765"/>
      <c r="O2348" s="765"/>
    </row>
    <row r="2349" spans="2:15" x14ac:dyDescent="0.25">
      <c r="B2349" s="765"/>
      <c r="C2349" s="765"/>
      <c r="D2349" s="765"/>
      <c r="E2349" s="765"/>
      <c r="F2349" s="765"/>
      <c r="G2349" s="765"/>
      <c r="H2349" s="765"/>
      <c r="I2349" s="765"/>
      <c r="J2349" s="765"/>
      <c r="K2349" s="765"/>
      <c r="L2349" s="765"/>
      <c r="M2349" s="765"/>
      <c r="N2349" s="765"/>
      <c r="O2349" s="765"/>
    </row>
    <row r="2350" spans="2:15" x14ac:dyDescent="0.25">
      <c r="B2350" s="765"/>
      <c r="C2350" s="765"/>
      <c r="D2350" s="765"/>
      <c r="E2350" s="765"/>
      <c r="F2350" s="765"/>
      <c r="G2350" s="765"/>
      <c r="H2350" s="765"/>
      <c r="I2350" s="765"/>
      <c r="J2350" s="765"/>
      <c r="K2350" s="765"/>
      <c r="L2350" s="765"/>
      <c r="M2350" s="765"/>
      <c r="N2350" s="765"/>
      <c r="O2350" s="765"/>
    </row>
    <row r="2351" spans="2:15" x14ac:dyDescent="0.25">
      <c r="B2351" s="765"/>
      <c r="C2351" s="765"/>
      <c r="D2351" s="765"/>
      <c r="E2351" s="765"/>
      <c r="F2351" s="765"/>
      <c r="G2351" s="765"/>
      <c r="H2351" s="765"/>
      <c r="I2351" s="765"/>
      <c r="J2351" s="765"/>
      <c r="K2351" s="765"/>
      <c r="L2351" s="765"/>
      <c r="M2351" s="765"/>
      <c r="N2351" s="765"/>
      <c r="O2351" s="765"/>
    </row>
    <row r="2352" spans="2:15" x14ac:dyDescent="0.25">
      <c r="B2352" s="765"/>
      <c r="C2352" s="765"/>
      <c r="D2352" s="765"/>
      <c r="E2352" s="765"/>
      <c r="F2352" s="765"/>
      <c r="G2352" s="765"/>
      <c r="H2352" s="765"/>
      <c r="I2352" s="765"/>
      <c r="J2352" s="765"/>
      <c r="K2352" s="765"/>
      <c r="L2352" s="765"/>
      <c r="M2352" s="765"/>
      <c r="N2352" s="765"/>
      <c r="O2352" s="765"/>
    </row>
    <row r="2353" spans="2:15" x14ac:dyDescent="0.25">
      <c r="B2353" s="765"/>
      <c r="C2353" s="765"/>
      <c r="D2353" s="765"/>
      <c r="E2353" s="765"/>
      <c r="F2353" s="765"/>
      <c r="G2353" s="765"/>
      <c r="H2353" s="765"/>
      <c r="I2353" s="765"/>
      <c r="J2353" s="765"/>
      <c r="K2353" s="765"/>
      <c r="L2353" s="765"/>
      <c r="M2353" s="765"/>
      <c r="N2353" s="765"/>
      <c r="O2353" s="765"/>
    </row>
    <row r="2354" spans="2:15" x14ac:dyDescent="0.25">
      <c r="B2354" s="765"/>
      <c r="C2354" s="765"/>
      <c r="D2354" s="765"/>
      <c r="E2354" s="765"/>
      <c r="F2354" s="765"/>
      <c r="G2354" s="765"/>
      <c r="H2354" s="765"/>
      <c r="I2354" s="765"/>
      <c r="J2354" s="765"/>
      <c r="K2354" s="765"/>
      <c r="L2354" s="765"/>
      <c r="M2354" s="765"/>
      <c r="N2354" s="765"/>
      <c r="O2354" s="765"/>
    </row>
    <row r="2355" spans="2:15" x14ac:dyDescent="0.25">
      <c r="B2355" s="765"/>
      <c r="C2355" s="765"/>
      <c r="D2355" s="765"/>
      <c r="E2355" s="765"/>
      <c r="F2355" s="765"/>
      <c r="G2355" s="765"/>
      <c r="H2355" s="765"/>
      <c r="I2355" s="765"/>
      <c r="J2355" s="765"/>
      <c r="K2355" s="765"/>
      <c r="L2355" s="765"/>
      <c r="M2355" s="765"/>
      <c r="N2355" s="765"/>
      <c r="O2355" s="765"/>
    </row>
    <row r="2356" spans="2:15" x14ac:dyDescent="0.25">
      <c r="B2356" s="765"/>
      <c r="C2356" s="765"/>
      <c r="D2356" s="765"/>
      <c r="E2356" s="765"/>
      <c r="F2356" s="765"/>
      <c r="G2356" s="765"/>
      <c r="H2356" s="765"/>
      <c r="I2356" s="765"/>
      <c r="J2356" s="765"/>
      <c r="K2356" s="765"/>
      <c r="L2356" s="765"/>
      <c r="M2356" s="765"/>
      <c r="N2356" s="765"/>
      <c r="O2356" s="765"/>
    </row>
    <row r="2357" spans="2:15" x14ac:dyDescent="0.25">
      <c r="B2357" s="765"/>
      <c r="C2357" s="765"/>
      <c r="D2357" s="765"/>
      <c r="E2357" s="765"/>
      <c r="F2357" s="765"/>
      <c r="G2357" s="765"/>
      <c r="H2357" s="765"/>
      <c r="I2357" s="765"/>
      <c r="J2357" s="765"/>
      <c r="K2357" s="765"/>
      <c r="L2357" s="765"/>
      <c r="M2357" s="765"/>
      <c r="N2357" s="765"/>
      <c r="O2357" s="765"/>
    </row>
    <row r="2358" spans="2:15" x14ac:dyDescent="0.25">
      <c r="B2358" s="765"/>
      <c r="C2358" s="765"/>
      <c r="D2358" s="765"/>
      <c r="E2358" s="765"/>
      <c r="F2358" s="765"/>
      <c r="G2358" s="765"/>
      <c r="H2358" s="765"/>
      <c r="I2358" s="765"/>
      <c r="J2358" s="765"/>
      <c r="K2358" s="765"/>
      <c r="L2358" s="765"/>
      <c r="M2358" s="765"/>
      <c r="N2358" s="765"/>
      <c r="O2358" s="765"/>
    </row>
    <row r="2359" spans="2:15" x14ac:dyDescent="0.25">
      <c r="B2359" s="765"/>
      <c r="C2359" s="765"/>
      <c r="D2359" s="765"/>
      <c r="E2359" s="765"/>
      <c r="F2359" s="765"/>
      <c r="G2359" s="765"/>
      <c r="H2359" s="765"/>
      <c r="I2359" s="765"/>
      <c r="J2359" s="765"/>
      <c r="K2359" s="765"/>
      <c r="L2359" s="765"/>
      <c r="M2359" s="765"/>
      <c r="N2359" s="765"/>
      <c r="O2359" s="765"/>
    </row>
    <row r="2360" spans="2:15" x14ac:dyDescent="0.25">
      <c r="B2360" s="765"/>
      <c r="C2360" s="765"/>
      <c r="D2360" s="765"/>
      <c r="E2360" s="765"/>
      <c r="F2360" s="765"/>
      <c r="G2360" s="765"/>
      <c r="H2360" s="765"/>
      <c r="I2360" s="765"/>
      <c r="J2360" s="765"/>
      <c r="K2360" s="765"/>
      <c r="L2360" s="765"/>
      <c r="M2360" s="765"/>
      <c r="N2360" s="765"/>
      <c r="O2360" s="765"/>
    </row>
    <row r="2361" spans="2:15" x14ac:dyDescent="0.25">
      <c r="B2361" s="765"/>
      <c r="C2361" s="765"/>
      <c r="D2361" s="765"/>
      <c r="E2361" s="765"/>
      <c r="F2361" s="765"/>
      <c r="G2361" s="765"/>
      <c r="H2361" s="765"/>
      <c r="I2361" s="765"/>
      <c r="J2361" s="765"/>
      <c r="K2361" s="765"/>
      <c r="L2361" s="765"/>
      <c r="M2361" s="765"/>
      <c r="N2361" s="765"/>
      <c r="O2361" s="765"/>
    </row>
    <row r="2362" spans="2:15" x14ac:dyDescent="0.25">
      <c r="B2362" s="765"/>
      <c r="C2362" s="765"/>
      <c r="D2362" s="765"/>
      <c r="E2362" s="765"/>
      <c r="F2362" s="765"/>
      <c r="G2362" s="765"/>
      <c r="H2362" s="765"/>
      <c r="I2362" s="765"/>
      <c r="J2362" s="765"/>
      <c r="K2362" s="765"/>
      <c r="L2362" s="765"/>
      <c r="M2362" s="765"/>
      <c r="N2362" s="765"/>
      <c r="O2362" s="765"/>
    </row>
    <row r="2363" spans="2:15" x14ac:dyDescent="0.25">
      <c r="B2363" s="765"/>
      <c r="C2363" s="765"/>
      <c r="D2363" s="765"/>
      <c r="E2363" s="765"/>
      <c r="F2363" s="765"/>
      <c r="G2363" s="765"/>
      <c r="H2363" s="765"/>
      <c r="I2363" s="765"/>
      <c r="J2363" s="765"/>
      <c r="K2363" s="765"/>
      <c r="L2363" s="765"/>
      <c r="M2363" s="765"/>
      <c r="N2363" s="765"/>
      <c r="O2363" s="765"/>
    </row>
    <row r="2364" spans="2:15" x14ac:dyDescent="0.25">
      <c r="B2364" s="765"/>
      <c r="C2364" s="765"/>
      <c r="D2364" s="765"/>
      <c r="E2364" s="765"/>
      <c r="F2364" s="765"/>
      <c r="G2364" s="765"/>
      <c r="H2364" s="765"/>
      <c r="I2364" s="765"/>
      <c r="J2364" s="765"/>
      <c r="K2364" s="765"/>
      <c r="L2364" s="765"/>
      <c r="M2364" s="765"/>
      <c r="N2364" s="765"/>
      <c r="O2364" s="765"/>
    </row>
    <row r="2365" spans="2:15" x14ac:dyDescent="0.25">
      <c r="B2365" s="765"/>
      <c r="C2365" s="765"/>
      <c r="D2365" s="765"/>
      <c r="E2365" s="765"/>
      <c r="F2365" s="765"/>
      <c r="G2365" s="765"/>
      <c r="H2365" s="765"/>
      <c r="I2365" s="765"/>
      <c r="J2365" s="765"/>
      <c r="K2365" s="765"/>
      <c r="L2365" s="765"/>
      <c r="M2365" s="765"/>
      <c r="N2365" s="765"/>
      <c r="O2365" s="765"/>
    </row>
    <row r="2366" spans="2:15" x14ac:dyDescent="0.25">
      <c r="B2366" s="765"/>
      <c r="C2366" s="765"/>
      <c r="D2366" s="765"/>
      <c r="E2366" s="765"/>
      <c r="F2366" s="765"/>
      <c r="G2366" s="765"/>
      <c r="H2366" s="765"/>
      <c r="I2366" s="765"/>
      <c r="J2366" s="765"/>
      <c r="K2366" s="765"/>
      <c r="L2366" s="765"/>
      <c r="M2366" s="765"/>
      <c r="N2366" s="765"/>
      <c r="O2366" s="765"/>
    </row>
    <row r="2367" spans="2:15" x14ac:dyDescent="0.25">
      <c r="B2367" s="765"/>
      <c r="C2367" s="765"/>
      <c r="D2367" s="765"/>
      <c r="E2367" s="765"/>
      <c r="F2367" s="765"/>
      <c r="G2367" s="765"/>
      <c r="H2367" s="765"/>
      <c r="I2367" s="765"/>
      <c r="J2367" s="765"/>
      <c r="K2367" s="765"/>
      <c r="L2367" s="765"/>
      <c r="M2367" s="765"/>
      <c r="N2367" s="765"/>
      <c r="O2367" s="765"/>
    </row>
    <row r="2368" spans="2:15" x14ac:dyDescent="0.25">
      <c r="B2368" s="765"/>
      <c r="C2368" s="765"/>
      <c r="D2368" s="765"/>
      <c r="E2368" s="765"/>
      <c r="F2368" s="765"/>
      <c r="G2368" s="765"/>
      <c r="H2368" s="765"/>
      <c r="I2368" s="765"/>
      <c r="J2368" s="765"/>
      <c r="K2368" s="765"/>
      <c r="L2368" s="765"/>
      <c r="M2368" s="765"/>
      <c r="N2368" s="765"/>
      <c r="O2368" s="765"/>
    </row>
    <row r="2369" spans="2:15" x14ac:dyDescent="0.25">
      <c r="B2369" s="765"/>
      <c r="C2369" s="765"/>
      <c r="D2369" s="765"/>
      <c r="E2369" s="765"/>
      <c r="F2369" s="765"/>
      <c r="G2369" s="765"/>
      <c r="H2369" s="765"/>
      <c r="I2369" s="765"/>
      <c r="J2369" s="765"/>
      <c r="K2369" s="765"/>
      <c r="L2369" s="765"/>
      <c r="M2369" s="765"/>
      <c r="N2369" s="765"/>
      <c r="O2369" s="765"/>
    </row>
    <row r="2370" spans="2:15" x14ac:dyDescent="0.25">
      <c r="B2370" s="765"/>
      <c r="C2370" s="765"/>
      <c r="D2370" s="765"/>
      <c r="E2370" s="765"/>
      <c r="F2370" s="765"/>
      <c r="G2370" s="765"/>
      <c r="H2370" s="765"/>
      <c r="I2370" s="765"/>
      <c r="J2370" s="765"/>
      <c r="K2370" s="765"/>
      <c r="L2370" s="765"/>
      <c r="M2370" s="765"/>
      <c r="N2370" s="765"/>
      <c r="O2370" s="765"/>
    </row>
    <row r="2371" spans="2:15" x14ac:dyDescent="0.25">
      <c r="B2371" s="765"/>
      <c r="C2371" s="765"/>
      <c r="D2371" s="765"/>
      <c r="E2371" s="765"/>
      <c r="F2371" s="765"/>
      <c r="G2371" s="765"/>
      <c r="H2371" s="765"/>
      <c r="I2371" s="765"/>
      <c r="J2371" s="765"/>
      <c r="K2371" s="765"/>
      <c r="L2371" s="765"/>
      <c r="M2371" s="765"/>
      <c r="N2371" s="765"/>
      <c r="O2371" s="765"/>
    </row>
    <row r="2372" spans="2:15" x14ac:dyDescent="0.25">
      <c r="B2372" s="765"/>
      <c r="C2372" s="765"/>
      <c r="D2372" s="765"/>
      <c r="E2372" s="765"/>
      <c r="F2372" s="765"/>
      <c r="G2372" s="765"/>
      <c r="H2372" s="765"/>
      <c r="I2372" s="765"/>
      <c r="J2372" s="765"/>
      <c r="K2372" s="765"/>
      <c r="L2372" s="765"/>
      <c r="M2372" s="765"/>
      <c r="N2372" s="765"/>
      <c r="O2372" s="765"/>
    </row>
    <row r="2373" spans="2:15" x14ac:dyDescent="0.25">
      <c r="B2373" s="765"/>
      <c r="C2373" s="765"/>
      <c r="D2373" s="765"/>
      <c r="E2373" s="765"/>
      <c r="F2373" s="765"/>
      <c r="G2373" s="765"/>
      <c r="H2373" s="765"/>
      <c r="I2373" s="765"/>
      <c r="J2373" s="765"/>
      <c r="K2373" s="765"/>
      <c r="L2373" s="765"/>
      <c r="M2373" s="765"/>
      <c r="N2373" s="765"/>
      <c r="O2373" s="765"/>
    </row>
    <row r="2374" spans="2:15" x14ac:dyDescent="0.25">
      <c r="B2374" s="765"/>
      <c r="C2374" s="765"/>
      <c r="D2374" s="765"/>
      <c r="E2374" s="765"/>
      <c r="F2374" s="765"/>
      <c r="G2374" s="765"/>
      <c r="H2374" s="765"/>
      <c r="I2374" s="765"/>
      <c r="J2374" s="765"/>
      <c r="K2374" s="765"/>
      <c r="L2374" s="765"/>
      <c r="M2374" s="765"/>
      <c r="N2374" s="765"/>
      <c r="O2374" s="765"/>
    </row>
    <row r="2375" spans="2:15" x14ac:dyDescent="0.25">
      <c r="B2375" s="765"/>
      <c r="C2375" s="765"/>
      <c r="D2375" s="765"/>
      <c r="E2375" s="765"/>
      <c r="F2375" s="765"/>
      <c r="G2375" s="765"/>
      <c r="H2375" s="765"/>
      <c r="I2375" s="765"/>
      <c r="J2375" s="765"/>
      <c r="K2375" s="765"/>
      <c r="L2375" s="765"/>
      <c r="M2375" s="765"/>
      <c r="N2375" s="765"/>
      <c r="O2375" s="765"/>
    </row>
    <row r="2376" spans="2:15" x14ac:dyDescent="0.25">
      <c r="B2376" s="765"/>
      <c r="C2376" s="765"/>
      <c r="D2376" s="765"/>
      <c r="E2376" s="765"/>
      <c r="F2376" s="765"/>
      <c r="G2376" s="765"/>
      <c r="H2376" s="765"/>
      <c r="I2376" s="765"/>
      <c r="J2376" s="765"/>
      <c r="K2376" s="765"/>
      <c r="L2376" s="765"/>
      <c r="M2376" s="765"/>
      <c r="N2376" s="765"/>
      <c r="O2376" s="765"/>
    </row>
    <row r="2377" spans="2:15" x14ac:dyDescent="0.25">
      <c r="B2377" s="765"/>
      <c r="C2377" s="765"/>
      <c r="D2377" s="765"/>
      <c r="E2377" s="765"/>
      <c r="F2377" s="765"/>
      <c r="G2377" s="765"/>
      <c r="H2377" s="765"/>
      <c r="I2377" s="765"/>
      <c r="J2377" s="765"/>
      <c r="K2377" s="765"/>
      <c r="L2377" s="765"/>
      <c r="M2377" s="765"/>
      <c r="N2377" s="765"/>
      <c r="O2377" s="765"/>
    </row>
    <row r="2378" spans="2:15" x14ac:dyDescent="0.25">
      <c r="B2378" s="765"/>
      <c r="C2378" s="765"/>
      <c r="D2378" s="765"/>
      <c r="E2378" s="765"/>
      <c r="F2378" s="765"/>
      <c r="G2378" s="765"/>
      <c r="H2378" s="765"/>
      <c r="I2378" s="765"/>
      <c r="J2378" s="765"/>
      <c r="K2378" s="765"/>
      <c r="L2378" s="765"/>
      <c r="M2378" s="765"/>
      <c r="N2378" s="765"/>
      <c r="O2378" s="765"/>
    </row>
    <row r="2379" spans="2:15" x14ac:dyDescent="0.25">
      <c r="B2379" s="765"/>
      <c r="C2379" s="765"/>
      <c r="D2379" s="765"/>
      <c r="E2379" s="765"/>
      <c r="F2379" s="765"/>
      <c r="G2379" s="765"/>
      <c r="H2379" s="765"/>
      <c r="I2379" s="765"/>
      <c r="J2379" s="765"/>
      <c r="K2379" s="765"/>
      <c r="L2379" s="765"/>
      <c r="M2379" s="765"/>
      <c r="N2379" s="765"/>
      <c r="O2379" s="765"/>
    </row>
    <row r="2380" spans="2:15" x14ac:dyDescent="0.25">
      <c r="B2380" s="765"/>
      <c r="C2380" s="765"/>
      <c r="D2380" s="765"/>
      <c r="E2380" s="765"/>
      <c r="F2380" s="765"/>
      <c r="G2380" s="765"/>
      <c r="H2380" s="765"/>
      <c r="I2380" s="765"/>
      <c r="J2380" s="765"/>
      <c r="K2380" s="765"/>
      <c r="L2380" s="765"/>
      <c r="M2380" s="765"/>
      <c r="N2380" s="765"/>
      <c r="O2380" s="765"/>
    </row>
    <row r="2381" spans="2:15" x14ac:dyDescent="0.25">
      <c r="B2381" s="765"/>
      <c r="C2381" s="765"/>
      <c r="D2381" s="765"/>
      <c r="E2381" s="765"/>
      <c r="F2381" s="765"/>
      <c r="G2381" s="765"/>
      <c r="H2381" s="765"/>
      <c r="I2381" s="765"/>
      <c r="J2381" s="765"/>
      <c r="K2381" s="765"/>
      <c r="L2381" s="765"/>
      <c r="M2381" s="765"/>
      <c r="N2381" s="765"/>
      <c r="O2381" s="765"/>
    </row>
    <row r="2382" spans="2:15" x14ac:dyDescent="0.25">
      <c r="B2382" s="765"/>
      <c r="C2382" s="765"/>
      <c r="D2382" s="765"/>
      <c r="E2382" s="765"/>
      <c r="F2382" s="765"/>
      <c r="G2382" s="765"/>
      <c r="H2382" s="765"/>
      <c r="I2382" s="765"/>
      <c r="J2382" s="765"/>
      <c r="K2382" s="765"/>
      <c r="L2382" s="765"/>
      <c r="M2382" s="765"/>
      <c r="N2382" s="765"/>
      <c r="O2382" s="765"/>
    </row>
    <row r="2383" spans="2:15" x14ac:dyDescent="0.25">
      <c r="B2383" s="765"/>
      <c r="C2383" s="765"/>
      <c r="D2383" s="765"/>
      <c r="E2383" s="765"/>
      <c r="F2383" s="765"/>
      <c r="G2383" s="765"/>
      <c r="H2383" s="765"/>
      <c r="I2383" s="765"/>
      <c r="J2383" s="765"/>
      <c r="K2383" s="765"/>
      <c r="L2383" s="765"/>
      <c r="M2383" s="765"/>
      <c r="N2383" s="765"/>
      <c r="O2383" s="765"/>
    </row>
    <row r="2384" spans="2:15" x14ac:dyDescent="0.25">
      <c r="B2384" s="765"/>
      <c r="C2384" s="765"/>
      <c r="D2384" s="765"/>
      <c r="E2384" s="765"/>
      <c r="F2384" s="765"/>
      <c r="G2384" s="765"/>
      <c r="H2384" s="765"/>
      <c r="I2384" s="765"/>
      <c r="J2384" s="765"/>
      <c r="K2384" s="765"/>
      <c r="L2384" s="765"/>
      <c r="M2384" s="765"/>
      <c r="N2384" s="765"/>
      <c r="O2384" s="765"/>
    </row>
    <row r="2385" spans="2:15" x14ac:dyDescent="0.25">
      <c r="B2385" s="765"/>
      <c r="C2385" s="765"/>
      <c r="D2385" s="765"/>
      <c r="E2385" s="765"/>
      <c r="F2385" s="765"/>
      <c r="G2385" s="765"/>
      <c r="H2385" s="765"/>
      <c r="I2385" s="765"/>
      <c r="J2385" s="765"/>
      <c r="K2385" s="765"/>
      <c r="L2385" s="765"/>
      <c r="M2385" s="765"/>
      <c r="N2385" s="765"/>
      <c r="O2385" s="765"/>
    </row>
    <row r="2386" spans="2:15" x14ac:dyDescent="0.25">
      <c r="B2386" s="765"/>
      <c r="C2386" s="765"/>
      <c r="D2386" s="765"/>
      <c r="E2386" s="765"/>
      <c r="F2386" s="765"/>
      <c r="G2386" s="765"/>
      <c r="H2386" s="765"/>
      <c r="I2386" s="765"/>
      <c r="J2386" s="765"/>
      <c r="K2386" s="765"/>
      <c r="L2386" s="765"/>
      <c r="M2386" s="765"/>
      <c r="N2386" s="765"/>
      <c r="O2386" s="765"/>
    </row>
    <row r="2387" spans="2:15" x14ac:dyDescent="0.25">
      <c r="B2387" s="765"/>
      <c r="C2387" s="765"/>
      <c r="D2387" s="765"/>
      <c r="E2387" s="765"/>
      <c r="F2387" s="765"/>
      <c r="G2387" s="765"/>
      <c r="H2387" s="765"/>
      <c r="I2387" s="765"/>
      <c r="J2387" s="765"/>
      <c r="K2387" s="765"/>
      <c r="L2387" s="765"/>
      <c r="M2387" s="765"/>
      <c r="N2387" s="765"/>
      <c r="O2387" s="765"/>
    </row>
    <row r="2388" spans="2:15" x14ac:dyDescent="0.25">
      <c r="B2388" s="765"/>
      <c r="C2388" s="765"/>
      <c r="D2388" s="765"/>
      <c r="E2388" s="765"/>
      <c r="F2388" s="765"/>
      <c r="G2388" s="765"/>
      <c r="H2388" s="765"/>
      <c r="I2388" s="765"/>
      <c r="J2388" s="765"/>
      <c r="K2388" s="765"/>
      <c r="L2388" s="765"/>
      <c r="M2388" s="765"/>
      <c r="N2388" s="765"/>
      <c r="O2388" s="765"/>
    </row>
    <row r="2389" spans="2:15" x14ac:dyDescent="0.25">
      <c r="B2389" s="765"/>
      <c r="C2389" s="765"/>
      <c r="D2389" s="765"/>
      <c r="E2389" s="765"/>
      <c r="F2389" s="765"/>
      <c r="G2389" s="765"/>
      <c r="H2389" s="765"/>
      <c r="I2389" s="765"/>
      <c r="J2389" s="765"/>
      <c r="K2389" s="765"/>
      <c r="L2389" s="765"/>
      <c r="M2389" s="765"/>
      <c r="N2389" s="765"/>
      <c r="O2389" s="765"/>
    </row>
    <row r="2390" spans="2:15" x14ac:dyDescent="0.25">
      <c r="B2390" s="765"/>
      <c r="C2390" s="765"/>
      <c r="D2390" s="765"/>
      <c r="E2390" s="765"/>
      <c r="F2390" s="765"/>
      <c r="G2390" s="765"/>
      <c r="H2390" s="765"/>
      <c r="I2390" s="765"/>
      <c r="J2390" s="765"/>
      <c r="K2390" s="765"/>
      <c r="L2390" s="765"/>
      <c r="M2390" s="765"/>
      <c r="N2390" s="765"/>
      <c r="O2390" s="765"/>
    </row>
    <row r="2391" spans="2:15" x14ac:dyDescent="0.25">
      <c r="B2391" s="765"/>
      <c r="C2391" s="765"/>
      <c r="D2391" s="765"/>
      <c r="E2391" s="765"/>
      <c r="F2391" s="765"/>
      <c r="G2391" s="765"/>
      <c r="H2391" s="765"/>
      <c r="I2391" s="765"/>
      <c r="J2391" s="765"/>
      <c r="K2391" s="765"/>
      <c r="L2391" s="765"/>
      <c r="M2391" s="765"/>
      <c r="N2391" s="765"/>
      <c r="O2391" s="765"/>
    </row>
    <row r="2392" spans="2:15" x14ac:dyDescent="0.25">
      <c r="B2392" s="765"/>
      <c r="C2392" s="765"/>
      <c r="D2392" s="765"/>
      <c r="E2392" s="765"/>
      <c r="F2392" s="765"/>
      <c r="G2392" s="765"/>
      <c r="H2392" s="765"/>
      <c r="I2392" s="765"/>
      <c r="J2392" s="765"/>
      <c r="K2392" s="765"/>
      <c r="L2392" s="765"/>
      <c r="M2392" s="765"/>
      <c r="N2392" s="765"/>
      <c r="O2392" s="765"/>
    </row>
    <row r="2393" spans="2:15" x14ac:dyDescent="0.25">
      <c r="B2393" s="765"/>
      <c r="C2393" s="765"/>
      <c r="D2393" s="765"/>
      <c r="E2393" s="765"/>
      <c r="F2393" s="765"/>
      <c r="G2393" s="765"/>
      <c r="H2393" s="765"/>
      <c r="I2393" s="765"/>
      <c r="J2393" s="765"/>
      <c r="K2393" s="765"/>
      <c r="L2393" s="765"/>
      <c r="M2393" s="765"/>
      <c r="N2393" s="765"/>
      <c r="O2393" s="765"/>
    </row>
    <row r="2394" spans="2:15" x14ac:dyDescent="0.25">
      <c r="B2394" s="765"/>
      <c r="C2394" s="765"/>
      <c r="D2394" s="765"/>
      <c r="E2394" s="765"/>
      <c r="F2394" s="765"/>
      <c r="G2394" s="765"/>
      <c r="H2394" s="765"/>
      <c r="I2394" s="765"/>
      <c r="J2394" s="765"/>
      <c r="K2394" s="765"/>
      <c r="L2394" s="765"/>
      <c r="M2394" s="765"/>
      <c r="N2394" s="765"/>
      <c r="O2394" s="765"/>
    </row>
    <row r="2395" spans="2:15" x14ac:dyDescent="0.25">
      <c r="B2395" s="765"/>
      <c r="C2395" s="765"/>
      <c r="D2395" s="765"/>
      <c r="E2395" s="765"/>
      <c r="F2395" s="765"/>
      <c r="G2395" s="765"/>
      <c r="H2395" s="765"/>
      <c r="I2395" s="765"/>
      <c r="J2395" s="765"/>
      <c r="K2395" s="765"/>
      <c r="L2395" s="765"/>
      <c r="M2395" s="765"/>
      <c r="N2395" s="765"/>
      <c r="O2395" s="765"/>
    </row>
    <row r="2396" spans="2:15" x14ac:dyDescent="0.25">
      <c r="B2396" s="765"/>
      <c r="C2396" s="765"/>
      <c r="D2396" s="765"/>
      <c r="E2396" s="765"/>
      <c r="F2396" s="765"/>
      <c r="G2396" s="765"/>
      <c r="H2396" s="765"/>
      <c r="I2396" s="765"/>
      <c r="J2396" s="765"/>
      <c r="K2396" s="765"/>
      <c r="L2396" s="765"/>
      <c r="M2396" s="765"/>
      <c r="N2396" s="765"/>
      <c r="O2396" s="765"/>
    </row>
    <row r="2397" spans="2:15" x14ac:dyDescent="0.25">
      <c r="B2397" s="765"/>
      <c r="C2397" s="765"/>
      <c r="D2397" s="765"/>
      <c r="E2397" s="765"/>
      <c r="F2397" s="765"/>
      <c r="G2397" s="765"/>
      <c r="H2397" s="765"/>
      <c r="I2397" s="765"/>
      <c r="J2397" s="765"/>
      <c r="K2397" s="765"/>
      <c r="L2397" s="765"/>
      <c r="M2397" s="765"/>
      <c r="N2397" s="765"/>
      <c r="O2397" s="765"/>
    </row>
    <row r="2398" spans="2:15" x14ac:dyDescent="0.25">
      <c r="B2398" s="765"/>
      <c r="C2398" s="765"/>
      <c r="D2398" s="765"/>
      <c r="E2398" s="765"/>
      <c r="F2398" s="765"/>
      <c r="G2398" s="765"/>
      <c r="H2398" s="765"/>
      <c r="I2398" s="765"/>
      <c r="J2398" s="765"/>
      <c r="K2398" s="765"/>
      <c r="L2398" s="765"/>
      <c r="M2398" s="765"/>
      <c r="N2398" s="765"/>
      <c r="O2398" s="765"/>
    </row>
    <row r="2399" spans="2:15" x14ac:dyDescent="0.25">
      <c r="B2399" s="765"/>
      <c r="C2399" s="765"/>
      <c r="D2399" s="765"/>
      <c r="E2399" s="765"/>
      <c r="F2399" s="765"/>
      <c r="G2399" s="765"/>
      <c r="H2399" s="765"/>
      <c r="I2399" s="765"/>
      <c r="J2399" s="765"/>
      <c r="K2399" s="765"/>
      <c r="L2399" s="765"/>
      <c r="M2399" s="765"/>
      <c r="N2399" s="765"/>
      <c r="O2399" s="765"/>
    </row>
    <row r="2400" spans="2:15" x14ac:dyDescent="0.25">
      <c r="B2400" s="765"/>
      <c r="C2400" s="765"/>
      <c r="D2400" s="765"/>
      <c r="E2400" s="765"/>
      <c r="F2400" s="765"/>
      <c r="G2400" s="765"/>
      <c r="H2400" s="765"/>
      <c r="I2400" s="765"/>
      <c r="J2400" s="765"/>
      <c r="K2400" s="765"/>
      <c r="L2400" s="765"/>
      <c r="M2400" s="765"/>
      <c r="N2400" s="765"/>
      <c r="O2400" s="765"/>
    </row>
    <row r="2401" spans="2:15" x14ac:dyDescent="0.25">
      <c r="B2401" s="765"/>
      <c r="C2401" s="765"/>
      <c r="D2401" s="765"/>
      <c r="E2401" s="765"/>
      <c r="F2401" s="765"/>
      <c r="G2401" s="765"/>
      <c r="H2401" s="765"/>
      <c r="I2401" s="765"/>
      <c r="J2401" s="765"/>
      <c r="K2401" s="765"/>
      <c r="L2401" s="765"/>
      <c r="M2401" s="765"/>
      <c r="N2401" s="765"/>
      <c r="O2401" s="765"/>
    </row>
    <row r="2402" spans="2:15" x14ac:dyDescent="0.25">
      <c r="B2402" s="765"/>
      <c r="C2402" s="765"/>
      <c r="D2402" s="765"/>
      <c r="E2402" s="765"/>
      <c r="F2402" s="765"/>
      <c r="G2402" s="765"/>
      <c r="H2402" s="765"/>
      <c r="I2402" s="765"/>
      <c r="J2402" s="765"/>
      <c r="K2402" s="765"/>
      <c r="L2402" s="765"/>
      <c r="M2402" s="765"/>
      <c r="N2402" s="765"/>
      <c r="O2402" s="765"/>
    </row>
    <row r="2403" spans="2:15" x14ac:dyDescent="0.25">
      <c r="B2403" s="765"/>
      <c r="C2403" s="765"/>
      <c r="D2403" s="765"/>
      <c r="E2403" s="765"/>
      <c r="F2403" s="765"/>
      <c r="G2403" s="765"/>
      <c r="H2403" s="765"/>
      <c r="I2403" s="765"/>
      <c r="J2403" s="765"/>
      <c r="K2403" s="765"/>
      <c r="L2403" s="765"/>
      <c r="M2403" s="765"/>
      <c r="N2403" s="765"/>
      <c r="O2403" s="765"/>
    </row>
    <row r="2404" spans="2:15" x14ac:dyDescent="0.25">
      <c r="B2404" s="765"/>
      <c r="C2404" s="765"/>
      <c r="D2404" s="765"/>
      <c r="E2404" s="765"/>
      <c r="F2404" s="765"/>
      <c r="G2404" s="765"/>
      <c r="H2404" s="765"/>
      <c r="I2404" s="765"/>
      <c r="J2404" s="765"/>
      <c r="K2404" s="765"/>
      <c r="L2404" s="765"/>
      <c r="M2404" s="765"/>
      <c r="N2404" s="765"/>
      <c r="O2404" s="765"/>
    </row>
    <row r="2405" spans="2:15" x14ac:dyDescent="0.25">
      <c r="B2405" s="765"/>
      <c r="C2405" s="765"/>
      <c r="D2405" s="765"/>
      <c r="E2405" s="765"/>
      <c r="F2405" s="765"/>
      <c r="G2405" s="765"/>
      <c r="H2405" s="765"/>
      <c r="I2405" s="765"/>
      <c r="J2405" s="765"/>
      <c r="K2405" s="765"/>
      <c r="L2405" s="765"/>
      <c r="M2405" s="765"/>
      <c r="N2405" s="765"/>
      <c r="O2405" s="765"/>
    </row>
    <row r="2406" spans="2:15" x14ac:dyDescent="0.25">
      <c r="B2406" s="765"/>
      <c r="C2406" s="765"/>
      <c r="D2406" s="765"/>
      <c r="E2406" s="765"/>
      <c r="F2406" s="765"/>
      <c r="G2406" s="765"/>
      <c r="H2406" s="765"/>
      <c r="I2406" s="765"/>
      <c r="J2406" s="765"/>
      <c r="K2406" s="765"/>
      <c r="L2406" s="765"/>
      <c r="M2406" s="765"/>
      <c r="N2406" s="765"/>
      <c r="O2406" s="765"/>
    </row>
    <row r="2407" spans="2:15" x14ac:dyDescent="0.25">
      <c r="B2407" s="765"/>
      <c r="C2407" s="765"/>
      <c r="D2407" s="765"/>
      <c r="E2407" s="765"/>
      <c r="F2407" s="765"/>
      <c r="G2407" s="765"/>
      <c r="H2407" s="765"/>
      <c r="I2407" s="765"/>
      <c r="J2407" s="765"/>
      <c r="K2407" s="765"/>
      <c r="L2407" s="765"/>
      <c r="M2407" s="765"/>
      <c r="N2407" s="765"/>
      <c r="O2407" s="765"/>
    </row>
    <row r="2408" spans="2:15" x14ac:dyDescent="0.25">
      <c r="B2408" s="765"/>
      <c r="C2408" s="765"/>
      <c r="D2408" s="765"/>
      <c r="E2408" s="765"/>
      <c r="F2408" s="765"/>
      <c r="G2408" s="765"/>
      <c r="H2408" s="765"/>
      <c r="I2408" s="765"/>
      <c r="J2408" s="765"/>
      <c r="K2408" s="765"/>
      <c r="L2408" s="765"/>
      <c r="M2408" s="765"/>
      <c r="N2408" s="765"/>
      <c r="O2408" s="765"/>
    </row>
    <row r="2409" spans="2:15" x14ac:dyDescent="0.25">
      <c r="B2409" s="765"/>
      <c r="C2409" s="765"/>
      <c r="D2409" s="765"/>
      <c r="E2409" s="765"/>
      <c r="F2409" s="765"/>
      <c r="G2409" s="765"/>
      <c r="H2409" s="765"/>
      <c r="I2409" s="765"/>
      <c r="J2409" s="765"/>
      <c r="K2409" s="765"/>
      <c r="L2409" s="765"/>
      <c r="M2409" s="765"/>
      <c r="N2409" s="765"/>
      <c r="O2409" s="765"/>
    </row>
    <row r="2410" spans="2:15" x14ac:dyDescent="0.25">
      <c r="B2410" s="765"/>
      <c r="C2410" s="765"/>
      <c r="D2410" s="765"/>
      <c r="E2410" s="765"/>
      <c r="F2410" s="765"/>
      <c r="G2410" s="765"/>
      <c r="H2410" s="765"/>
      <c r="I2410" s="765"/>
      <c r="J2410" s="765"/>
      <c r="K2410" s="765"/>
      <c r="L2410" s="765"/>
      <c r="M2410" s="765"/>
      <c r="N2410" s="765"/>
      <c r="O2410" s="765"/>
    </row>
    <row r="2411" spans="2:15" x14ac:dyDescent="0.25">
      <c r="B2411" s="765"/>
      <c r="C2411" s="765"/>
      <c r="D2411" s="765"/>
      <c r="E2411" s="765"/>
      <c r="F2411" s="765"/>
      <c r="G2411" s="765"/>
      <c r="H2411" s="765"/>
      <c r="I2411" s="765"/>
      <c r="J2411" s="765"/>
      <c r="K2411" s="765"/>
      <c r="L2411" s="765"/>
      <c r="M2411" s="765"/>
      <c r="N2411" s="765"/>
      <c r="O2411" s="765"/>
    </row>
    <row r="2412" spans="2:15" x14ac:dyDescent="0.25">
      <c r="B2412" s="765"/>
      <c r="C2412" s="765"/>
      <c r="D2412" s="765"/>
      <c r="E2412" s="765"/>
      <c r="F2412" s="765"/>
      <c r="G2412" s="765"/>
      <c r="H2412" s="765"/>
      <c r="I2412" s="765"/>
      <c r="J2412" s="765"/>
      <c r="K2412" s="765"/>
      <c r="L2412" s="765"/>
      <c r="M2412" s="765"/>
      <c r="N2412" s="765"/>
      <c r="O2412" s="765"/>
    </row>
    <row r="2413" spans="2:15" x14ac:dyDescent="0.25">
      <c r="B2413" s="765"/>
      <c r="C2413" s="765"/>
      <c r="D2413" s="765"/>
      <c r="E2413" s="765"/>
      <c r="F2413" s="765"/>
      <c r="G2413" s="765"/>
      <c r="H2413" s="765"/>
      <c r="I2413" s="765"/>
      <c r="J2413" s="765"/>
      <c r="K2413" s="765"/>
      <c r="L2413" s="765"/>
      <c r="M2413" s="765"/>
      <c r="N2413" s="765"/>
      <c r="O2413" s="765"/>
    </row>
    <row r="2414" spans="2:15" x14ac:dyDescent="0.25">
      <c r="B2414" s="765"/>
      <c r="C2414" s="765"/>
      <c r="D2414" s="765"/>
      <c r="E2414" s="765"/>
      <c r="F2414" s="765"/>
      <c r="G2414" s="765"/>
      <c r="H2414" s="765"/>
      <c r="I2414" s="765"/>
      <c r="J2414" s="765"/>
      <c r="K2414" s="765"/>
      <c r="L2414" s="765"/>
      <c r="M2414" s="765"/>
      <c r="N2414" s="765"/>
      <c r="O2414" s="765"/>
    </row>
    <row r="2415" spans="2:15" x14ac:dyDescent="0.25">
      <c r="B2415" s="765"/>
      <c r="C2415" s="765"/>
      <c r="D2415" s="765"/>
      <c r="E2415" s="765"/>
      <c r="F2415" s="765"/>
      <c r="G2415" s="765"/>
      <c r="H2415" s="765"/>
      <c r="I2415" s="765"/>
      <c r="J2415" s="765"/>
      <c r="K2415" s="765"/>
      <c r="L2415" s="765"/>
      <c r="M2415" s="765"/>
      <c r="N2415" s="765"/>
      <c r="O2415" s="765"/>
    </row>
    <row r="2416" spans="2:15" x14ac:dyDescent="0.25">
      <c r="B2416" s="765"/>
      <c r="C2416" s="765"/>
      <c r="D2416" s="765"/>
      <c r="E2416" s="765"/>
      <c r="F2416" s="765"/>
      <c r="G2416" s="765"/>
      <c r="H2416" s="765"/>
      <c r="I2416" s="765"/>
      <c r="J2416" s="765"/>
      <c r="K2416" s="765"/>
      <c r="L2416" s="765"/>
      <c r="M2416" s="765"/>
      <c r="N2416" s="765"/>
      <c r="O2416" s="765"/>
    </row>
    <row r="2417" spans="2:15" x14ac:dyDescent="0.25">
      <c r="B2417" s="765"/>
      <c r="C2417" s="765"/>
      <c r="D2417" s="765"/>
      <c r="E2417" s="765"/>
      <c r="F2417" s="765"/>
      <c r="G2417" s="765"/>
      <c r="H2417" s="765"/>
      <c r="I2417" s="765"/>
      <c r="J2417" s="765"/>
      <c r="K2417" s="765"/>
      <c r="L2417" s="765"/>
      <c r="M2417" s="765"/>
      <c r="N2417" s="765"/>
      <c r="O2417" s="765"/>
    </row>
    <row r="2418" spans="2:15" x14ac:dyDescent="0.25">
      <c r="B2418" s="765"/>
      <c r="C2418" s="765"/>
      <c r="D2418" s="765"/>
      <c r="E2418" s="765"/>
      <c r="F2418" s="765"/>
      <c r="G2418" s="765"/>
      <c r="H2418" s="765"/>
      <c r="I2418" s="765"/>
      <c r="J2418" s="765"/>
      <c r="K2418" s="765"/>
      <c r="L2418" s="765"/>
      <c r="M2418" s="765"/>
      <c r="N2418" s="765"/>
      <c r="O2418" s="765"/>
    </row>
    <row r="2419" spans="2:15" x14ac:dyDescent="0.25">
      <c r="B2419" s="765"/>
      <c r="C2419" s="765"/>
      <c r="D2419" s="765"/>
      <c r="E2419" s="765"/>
      <c r="F2419" s="765"/>
      <c r="G2419" s="765"/>
      <c r="H2419" s="765"/>
      <c r="I2419" s="765"/>
      <c r="J2419" s="765"/>
      <c r="K2419" s="765"/>
      <c r="L2419" s="765"/>
      <c r="M2419" s="765"/>
      <c r="N2419" s="765"/>
      <c r="O2419" s="765"/>
    </row>
    <row r="2420" spans="2:15" x14ac:dyDescent="0.25">
      <c r="B2420" s="765"/>
      <c r="C2420" s="765"/>
      <c r="D2420" s="765"/>
      <c r="E2420" s="765"/>
      <c r="F2420" s="765"/>
      <c r="G2420" s="765"/>
      <c r="H2420" s="765"/>
      <c r="I2420" s="765"/>
      <c r="J2420" s="765"/>
      <c r="K2420" s="765"/>
      <c r="L2420" s="765"/>
      <c r="M2420" s="765"/>
      <c r="N2420" s="765"/>
      <c r="O2420" s="765"/>
    </row>
    <row r="2421" spans="2:15" x14ac:dyDescent="0.25">
      <c r="B2421" s="765"/>
      <c r="C2421" s="765"/>
      <c r="D2421" s="765"/>
      <c r="E2421" s="765"/>
      <c r="F2421" s="765"/>
      <c r="G2421" s="765"/>
      <c r="H2421" s="765"/>
      <c r="I2421" s="765"/>
      <c r="J2421" s="765"/>
      <c r="K2421" s="765"/>
      <c r="L2421" s="765"/>
      <c r="M2421" s="765"/>
      <c r="N2421" s="765"/>
      <c r="O2421" s="765"/>
    </row>
    <row r="2422" spans="2:15" x14ac:dyDescent="0.25">
      <c r="B2422" s="765"/>
      <c r="C2422" s="765"/>
      <c r="D2422" s="765"/>
      <c r="E2422" s="765"/>
      <c r="F2422" s="765"/>
      <c r="G2422" s="765"/>
      <c r="H2422" s="765"/>
      <c r="I2422" s="765"/>
      <c r="J2422" s="765"/>
      <c r="K2422" s="765"/>
      <c r="L2422" s="765"/>
      <c r="M2422" s="765"/>
      <c r="N2422" s="765"/>
      <c r="O2422" s="765"/>
    </row>
    <row r="2423" spans="2:15" x14ac:dyDescent="0.25">
      <c r="B2423" s="765"/>
      <c r="C2423" s="765"/>
      <c r="D2423" s="765"/>
      <c r="E2423" s="765"/>
      <c r="F2423" s="765"/>
      <c r="G2423" s="765"/>
      <c r="H2423" s="765"/>
      <c r="I2423" s="765"/>
      <c r="J2423" s="765"/>
      <c r="K2423" s="765"/>
      <c r="L2423" s="765"/>
      <c r="M2423" s="765"/>
      <c r="N2423" s="765"/>
      <c r="O2423" s="765"/>
    </row>
    <row r="2424" spans="2:15" x14ac:dyDescent="0.25">
      <c r="B2424" s="765"/>
      <c r="C2424" s="765"/>
      <c r="D2424" s="765"/>
      <c r="E2424" s="765"/>
      <c r="F2424" s="765"/>
      <c r="G2424" s="765"/>
      <c r="H2424" s="765"/>
      <c r="I2424" s="765"/>
      <c r="J2424" s="765"/>
      <c r="K2424" s="765"/>
      <c r="L2424" s="765"/>
      <c r="M2424" s="765"/>
      <c r="N2424" s="765"/>
      <c r="O2424" s="765"/>
    </row>
    <row r="2425" spans="2:15" x14ac:dyDescent="0.25">
      <c r="B2425" s="765"/>
      <c r="C2425" s="765"/>
      <c r="D2425" s="765"/>
      <c r="E2425" s="765"/>
      <c r="F2425" s="765"/>
      <c r="G2425" s="765"/>
      <c r="H2425" s="765"/>
      <c r="I2425" s="765"/>
      <c r="J2425" s="765"/>
      <c r="K2425" s="765"/>
      <c r="L2425" s="765"/>
      <c r="M2425" s="765"/>
      <c r="N2425" s="765"/>
      <c r="O2425" s="765"/>
    </row>
    <row r="2426" spans="2:15" x14ac:dyDescent="0.25">
      <c r="B2426" s="765"/>
      <c r="C2426" s="765"/>
      <c r="D2426" s="765"/>
      <c r="E2426" s="765"/>
      <c r="F2426" s="765"/>
      <c r="G2426" s="765"/>
      <c r="H2426" s="765"/>
      <c r="I2426" s="765"/>
      <c r="J2426" s="765"/>
      <c r="K2426" s="765"/>
      <c r="L2426" s="765"/>
      <c r="M2426" s="765"/>
      <c r="N2426" s="765"/>
      <c r="O2426" s="765"/>
    </row>
    <row r="2427" spans="2:15" x14ac:dyDescent="0.25">
      <c r="B2427" s="765"/>
      <c r="C2427" s="765"/>
      <c r="D2427" s="765"/>
      <c r="E2427" s="765"/>
      <c r="F2427" s="765"/>
      <c r="G2427" s="765"/>
      <c r="H2427" s="765"/>
      <c r="I2427" s="765"/>
      <c r="J2427" s="765"/>
      <c r="K2427" s="765"/>
      <c r="L2427" s="765"/>
      <c r="M2427" s="765"/>
      <c r="N2427" s="765"/>
      <c r="O2427" s="765"/>
    </row>
    <row r="2428" spans="2:15" x14ac:dyDescent="0.25">
      <c r="B2428" s="765"/>
      <c r="C2428" s="765"/>
      <c r="D2428" s="765"/>
      <c r="E2428" s="765"/>
      <c r="F2428" s="765"/>
      <c r="G2428" s="765"/>
      <c r="H2428" s="765"/>
      <c r="I2428" s="765"/>
      <c r="J2428" s="765"/>
      <c r="K2428" s="765"/>
      <c r="L2428" s="765"/>
      <c r="M2428" s="765"/>
      <c r="N2428" s="765"/>
      <c r="O2428" s="765"/>
    </row>
    <row r="2429" spans="2:15" x14ac:dyDescent="0.25">
      <c r="B2429" s="765"/>
      <c r="C2429" s="765"/>
      <c r="D2429" s="765"/>
      <c r="E2429" s="765"/>
      <c r="F2429" s="765"/>
      <c r="G2429" s="765"/>
      <c r="H2429" s="765"/>
      <c r="I2429" s="765"/>
      <c r="J2429" s="765"/>
      <c r="K2429" s="765"/>
      <c r="L2429" s="765"/>
      <c r="M2429" s="765"/>
      <c r="N2429" s="765"/>
      <c r="O2429" s="765"/>
    </row>
    <row r="2430" spans="2:15" x14ac:dyDescent="0.25">
      <c r="B2430" s="765"/>
      <c r="C2430" s="765"/>
      <c r="D2430" s="765"/>
      <c r="E2430" s="765"/>
      <c r="F2430" s="765"/>
      <c r="G2430" s="765"/>
      <c r="H2430" s="765"/>
      <c r="I2430" s="765"/>
      <c r="J2430" s="765"/>
      <c r="K2430" s="765"/>
      <c r="L2430" s="765"/>
      <c r="M2430" s="765"/>
      <c r="N2430" s="765"/>
      <c r="O2430" s="765"/>
    </row>
    <row r="2431" spans="2:15" x14ac:dyDescent="0.25">
      <c r="B2431" s="765"/>
      <c r="C2431" s="765"/>
      <c r="D2431" s="765"/>
      <c r="E2431" s="765"/>
      <c r="F2431" s="765"/>
      <c r="G2431" s="765"/>
      <c r="H2431" s="765"/>
      <c r="I2431" s="765"/>
      <c r="J2431" s="765"/>
      <c r="K2431" s="765"/>
      <c r="L2431" s="765"/>
      <c r="M2431" s="765"/>
      <c r="N2431" s="765"/>
      <c r="O2431" s="765"/>
    </row>
    <row r="2432" spans="2:15" x14ac:dyDescent="0.25">
      <c r="B2432" s="765"/>
      <c r="C2432" s="765"/>
      <c r="D2432" s="765"/>
      <c r="E2432" s="765"/>
      <c r="F2432" s="765"/>
      <c r="G2432" s="765"/>
      <c r="H2432" s="765"/>
      <c r="I2432" s="765"/>
      <c r="J2432" s="765"/>
      <c r="K2432" s="765"/>
      <c r="L2432" s="765"/>
      <c r="M2432" s="765"/>
      <c r="N2432" s="765"/>
      <c r="O2432" s="765"/>
    </row>
    <row r="2433" spans="2:15" x14ac:dyDescent="0.25">
      <c r="B2433" s="765"/>
      <c r="C2433" s="765"/>
      <c r="D2433" s="765"/>
      <c r="E2433" s="765"/>
      <c r="F2433" s="765"/>
      <c r="G2433" s="765"/>
      <c r="H2433" s="765"/>
      <c r="I2433" s="765"/>
      <c r="J2433" s="765"/>
      <c r="K2433" s="765"/>
      <c r="L2433" s="765"/>
      <c r="M2433" s="765"/>
      <c r="N2433" s="765"/>
      <c r="O2433" s="765"/>
    </row>
    <row r="2434" spans="2:15" x14ac:dyDescent="0.25">
      <c r="B2434" s="765"/>
      <c r="C2434" s="765"/>
      <c r="D2434" s="765"/>
      <c r="E2434" s="765"/>
      <c r="F2434" s="765"/>
      <c r="G2434" s="765"/>
      <c r="H2434" s="765"/>
      <c r="I2434" s="765"/>
      <c r="J2434" s="765"/>
      <c r="K2434" s="765"/>
      <c r="L2434" s="765"/>
      <c r="M2434" s="765"/>
      <c r="N2434" s="765"/>
      <c r="O2434" s="765"/>
    </row>
    <row r="2435" spans="2:15" x14ac:dyDescent="0.25">
      <c r="B2435" s="765"/>
      <c r="C2435" s="765"/>
      <c r="D2435" s="765"/>
      <c r="E2435" s="765"/>
      <c r="F2435" s="765"/>
      <c r="G2435" s="765"/>
      <c r="H2435" s="765"/>
      <c r="I2435" s="765"/>
      <c r="J2435" s="765"/>
      <c r="K2435" s="765"/>
      <c r="L2435" s="765"/>
      <c r="M2435" s="765"/>
      <c r="N2435" s="765"/>
      <c r="O2435" s="765"/>
    </row>
    <row r="2436" spans="2:15" x14ac:dyDescent="0.25">
      <c r="B2436" s="765"/>
      <c r="C2436" s="765"/>
      <c r="D2436" s="765"/>
      <c r="E2436" s="765"/>
      <c r="F2436" s="765"/>
      <c r="G2436" s="765"/>
      <c r="H2436" s="765"/>
      <c r="I2436" s="765"/>
      <c r="J2436" s="765"/>
      <c r="K2436" s="765"/>
      <c r="L2436" s="765"/>
      <c r="M2436" s="765"/>
      <c r="N2436" s="765"/>
      <c r="O2436" s="765"/>
    </row>
    <row r="2437" spans="2:15" x14ac:dyDescent="0.25">
      <c r="B2437" s="765"/>
      <c r="C2437" s="765"/>
      <c r="D2437" s="765"/>
      <c r="E2437" s="765"/>
      <c r="F2437" s="765"/>
      <c r="G2437" s="765"/>
      <c r="H2437" s="765"/>
      <c r="I2437" s="765"/>
      <c r="J2437" s="765"/>
      <c r="K2437" s="765"/>
      <c r="L2437" s="765"/>
      <c r="M2437" s="765"/>
      <c r="N2437" s="765"/>
      <c r="O2437" s="765"/>
    </row>
    <row r="2438" spans="2:15" x14ac:dyDescent="0.25">
      <c r="B2438" s="765"/>
      <c r="C2438" s="765"/>
      <c r="D2438" s="765"/>
      <c r="E2438" s="765"/>
      <c r="F2438" s="765"/>
      <c r="G2438" s="765"/>
      <c r="H2438" s="765"/>
      <c r="I2438" s="765"/>
      <c r="J2438" s="765"/>
      <c r="K2438" s="765"/>
      <c r="L2438" s="765"/>
      <c r="M2438" s="765"/>
      <c r="N2438" s="765"/>
      <c r="O2438" s="765"/>
    </row>
    <row r="2439" spans="2:15" x14ac:dyDescent="0.25">
      <c r="B2439" s="765"/>
      <c r="C2439" s="765"/>
      <c r="D2439" s="765"/>
      <c r="E2439" s="765"/>
      <c r="F2439" s="765"/>
      <c r="G2439" s="765"/>
      <c r="H2439" s="765"/>
      <c r="I2439" s="765"/>
      <c r="J2439" s="765"/>
      <c r="K2439" s="765"/>
      <c r="L2439" s="765"/>
      <c r="M2439" s="765"/>
      <c r="N2439" s="765"/>
      <c r="O2439" s="765"/>
    </row>
    <row r="2440" spans="2:15" x14ac:dyDescent="0.25">
      <c r="B2440" s="765"/>
      <c r="C2440" s="765"/>
      <c r="D2440" s="765"/>
      <c r="E2440" s="765"/>
      <c r="F2440" s="765"/>
      <c r="G2440" s="765"/>
      <c r="H2440" s="765"/>
      <c r="I2440" s="765"/>
      <c r="J2440" s="765"/>
      <c r="K2440" s="765"/>
      <c r="L2440" s="765"/>
      <c r="M2440" s="765"/>
      <c r="N2440" s="765"/>
      <c r="O2440" s="765"/>
    </row>
    <row r="2441" spans="2:15" x14ac:dyDescent="0.25">
      <c r="B2441" s="765"/>
      <c r="C2441" s="765"/>
      <c r="D2441" s="765"/>
      <c r="E2441" s="765"/>
      <c r="F2441" s="765"/>
      <c r="G2441" s="765"/>
      <c r="H2441" s="765"/>
      <c r="I2441" s="765"/>
      <c r="J2441" s="765"/>
      <c r="K2441" s="765"/>
      <c r="L2441" s="765"/>
      <c r="M2441" s="765"/>
      <c r="N2441" s="765"/>
      <c r="O2441" s="765"/>
    </row>
    <row r="2442" spans="2:15" x14ac:dyDescent="0.25">
      <c r="B2442" s="765"/>
      <c r="C2442" s="765"/>
      <c r="D2442" s="765"/>
      <c r="E2442" s="765"/>
      <c r="F2442" s="765"/>
      <c r="G2442" s="765"/>
      <c r="H2442" s="765"/>
      <c r="I2442" s="765"/>
      <c r="J2442" s="765"/>
      <c r="K2442" s="765"/>
      <c r="L2442" s="765"/>
      <c r="M2442" s="765"/>
      <c r="N2442" s="765"/>
      <c r="O2442" s="765"/>
    </row>
    <row r="2443" spans="2:15" x14ac:dyDescent="0.25">
      <c r="B2443" s="765"/>
      <c r="C2443" s="765"/>
      <c r="D2443" s="765"/>
      <c r="E2443" s="765"/>
      <c r="F2443" s="765"/>
      <c r="G2443" s="765"/>
      <c r="H2443" s="765"/>
      <c r="I2443" s="765"/>
      <c r="J2443" s="765"/>
      <c r="K2443" s="765"/>
      <c r="L2443" s="765"/>
      <c r="M2443" s="765"/>
      <c r="N2443" s="765"/>
      <c r="O2443" s="765"/>
    </row>
    <row r="2444" spans="2:15" x14ac:dyDescent="0.25">
      <c r="B2444" s="765"/>
      <c r="C2444" s="765"/>
      <c r="D2444" s="765"/>
      <c r="E2444" s="765"/>
      <c r="F2444" s="765"/>
      <c r="G2444" s="765"/>
      <c r="H2444" s="765"/>
      <c r="I2444" s="765"/>
      <c r="J2444" s="765"/>
      <c r="K2444" s="765"/>
      <c r="L2444" s="765"/>
      <c r="M2444" s="765"/>
      <c r="N2444" s="765"/>
      <c r="O2444" s="765"/>
    </row>
    <row r="2445" spans="2:15" x14ac:dyDescent="0.25">
      <c r="B2445" s="765"/>
      <c r="C2445" s="765"/>
      <c r="D2445" s="765"/>
      <c r="E2445" s="765"/>
      <c r="F2445" s="765"/>
      <c r="G2445" s="765"/>
      <c r="H2445" s="765"/>
      <c r="I2445" s="765"/>
      <c r="J2445" s="765"/>
      <c r="K2445" s="765"/>
      <c r="L2445" s="765"/>
      <c r="M2445" s="765"/>
      <c r="N2445" s="765"/>
      <c r="O2445" s="765"/>
    </row>
    <row r="2446" spans="2:15" x14ac:dyDescent="0.25">
      <c r="B2446" s="765"/>
      <c r="C2446" s="765"/>
      <c r="D2446" s="765"/>
      <c r="E2446" s="765"/>
      <c r="F2446" s="765"/>
      <c r="G2446" s="765"/>
      <c r="H2446" s="765"/>
      <c r="I2446" s="765"/>
      <c r="J2446" s="765"/>
      <c r="K2446" s="765"/>
      <c r="L2446" s="765"/>
      <c r="M2446" s="765"/>
      <c r="N2446" s="765"/>
      <c r="O2446" s="765"/>
    </row>
    <row r="2447" spans="2:15" x14ac:dyDescent="0.25">
      <c r="B2447" s="765"/>
      <c r="C2447" s="765"/>
      <c r="D2447" s="765"/>
      <c r="E2447" s="765"/>
      <c r="F2447" s="765"/>
      <c r="G2447" s="765"/>
      <c r="H2447" s="765"/>
      <c r="I2447" s="765"/>
      <c r="J2447" s="765"/>
      <c r="K2447" s="765"/>
      <c r="L2447" s="765"/>
      <c r="M2447" s="765"/>
      <c r="N2447" s="765"/>
      <c r="O2447" s="765"/>
    </row>
    <row r="2448" spans="2:15" x14ac:dyDescent="0.25">
      <c r="B2448" s="765"/>
      <c r="C2448" s="765"/>
      <c r="D2448" s="765"/>
      <c r="E2448" s="765"/>
      <c r="F2448" s="765"/>
      <c r="G2448" s="765"/>
      <c r="H2448" s="765"/>
      <c r="I2448" s="765"/>
      <c r="J2448" s="765"/>
      <c r="K2448" s="765"/>
      <c r="L2448" s="765"/>
      <c r="M2448" s="765"/>
      <c r="N2448" s="765"/>
      <c r="O2448" s="765"/>
    </row>
    <row r="2449" spans="2:15" x14ac:dyDescent="0.25">
      <c r="B2449" s="765"/>
      <c r="C2449" s="765"/>
      <c r="D2449" s="765"/>
      <c r="E2449" s="765"/>
      <c r="F2449" s="765"/>
      <c r="G2449" s="765"/>
      <c r="H2449" s="765"/>
      <c r="I2449" s="765"/>
      <c r="J2449" s="765"/>
      <c r="K2449" s="765"/>
      <c r="L2449" s="765"/>
      <c r="M2449" s="765"/>
      <c r="N2449" s="765"/>
      <c r="O2449" s="765"/>
    </row>
    <row r="2450" spans="2:15" x14ac:dyDescent="0.25">
      <c r="B2450" s="765"/>
      <c r="C2450" s="765"/>
      <c r="D2450" s="765"/>
      <c r="E2450" s="765"/>
      <c r="F2450" s="765"/>
      <c r="G2450" s="765"/>
      <c r="H2450" s="765"/>
      <c r="I2450" s="765"/>
      <c r="J2450" s="765"/>
      <c r="K2450" s="765"/>
      <c r="L2450" s="765"/>
      <c r="M2450" s="765"/>
      <c r="N2450" s="765"/>
      <c r="O2450" s="765"/>
    </row>
    <row r="2451" spans="2:15" x14ac:dyDescent="0.25">
      <c r="B2451" s="765"/>
      <c r="C2451" s="765"/>
      <c r="D2451" s="765"/>
      <c r="E2451" s="765"/>
      <c r="F2451" s="765"/>
      <c r="G2451" s="765"/>
      <c r="H2451" s="765"/>
      <c r="I2451" s="765"/>
      <c r="J2451" s="765"/>
      <c r="K2451" s="765"/>
      <c r="L2451" s="765"/>
      <c r="M2451" s="765"/>
      <c r="N2451" s="765"/>
      <c r="O2451" s="765"/>
    </row>
    <row r="2452" spans="2:15" x14ac:dyDescent="0.25">
      <c r="B2452" s="765"/>
      <c r="C2452" s="765"/>
      <c r="D2452" s="765"/>
      <c r="E2452" s="765"/>
      <c r="F2452" s="765"/>
      <c r="G2452" s="765"/>
      <c r="H2452" s="765"/>
      <c r="I2452" s="765"/>
      <c r="J2452" s="765"/>
      <c r="K2452" s="765"/>
      <c r="L2452" s="765"/>
      <c r="M2452" s="765"/>
      <c r="N2452" s="765"/>
      <c r="O2452" s="765"/>
    </row>
    <row r="2453" spans="2:15" x14ac:dyDescent="0.25">
      <c r="B2453" s="765"/>
      <c r="C2453" s="765"/>
      <c r="D2453" s="765"/>
      <c r="E2453" s="765"/>
      <c r="F2453" s="765"/>
      <c r="G2453" s="765"/>
      <c r="H2453" s="765"/>
      <c r="I2453" s="765"/>
      <c r="J2453" s="765"/>
      <c r="K2453" s="765"/>
      <c r="L2453" s="765"/>
      <c r="M2453" s="765"/>
      <c r="N2453" s="765"/>
      <c r="O2453" s="765"/>
    </row>
    <row r="2454" spans="2:15" x14ac:dyDescent="0.25">
      <c r="B2454" s="765"/>
      <c r="C2454" s="765"/>
      <c r="D2454" s="765"/>
      <c r="E2454" s="765"/>
      <c r="F2454" s="765"/>
      <c r="G2454" s="765"/>
      <c r="H2454" s="765"/>
      <c r="I2454" s="765"/>
      <c r="J2454" s="765"/>
      <c r="K2454" s="765"/>
      <c r="L2454" s="765"/>
      <c r="M2454" s="765"/>
      <c r="N2454" s="765"/>
      <c r="O2454" s="765"/>
    </row>
    <row r="2455" spans="2:15" x14ac:dyDescent="0.25">
      <c r="B2455" s="765"/>
      <c r="C2455" s="765"/>
      <c r="D2455" s="765"/>
      <c r="E2455" s="765"/>
      <c r="F2455" s="765"/>
      <c r="G2455" s="765"/>
      <c r="H2455" s="765"/>
      <c r="I2455" s="765"/>
      <c r="J2455" s="765"/>
      <c r="K2455" s="765"/>
      <c r="L2455" s="765"/>
      <c r="M2455" s="765"/>
      <c r="N2455" s="765"/>
      <c r="O2455" s="765"/>
    </row>
    <row r="2456" spans="2:15" x14ac:dyDescent="0.25">
      <c r="B2456" s="765"/>
      <c r="C2456" s="765"/>
      <c r="D2456" s="765"/>
      <c r="E2456" s="765"/>
      <c r="F2456" s="765"/>
      <c r="G2456" s="765"/>
      <c r="H2456" s="765"/>
      <c r="I2456" s="765"/>
      <c r="J2456" s="765"/>
      <c r="K2456" s="765"/>
      <c r="L2456" s="765"/>
      <c r="M2456" s="765"/>
      <c r="N2456" s="765"/>
      <c r="O2456" s="765"/>
    </row>
    <row r="2457" spans="2:15" x14ac:dyDescent="0.25">
      <c r="B2457" s="765"/>
      <c r="C2457" s="765"/>
      <c r="D2457" s="765"/>
      <c r="E2457" s="765"/>
      <c r="F2457" s="765"/>
      <c r="G2457" s="765"/>
      <c r="H2457" s="765"/>
      <c r="I2457" s="765"/>
      <c r="J2457" s="765"/>
      <c r="K2457" s="765"/>
      <c r="L2457" s="765"/>
      <c r="M2457" s="765"/>
      <c r="N2457" s="765"/>
      <c r="O2457" s="765"/>
    </row>
    <row r="2458" spans="2:15" x14ac:dyDescent="0.25">
      <c r="B2458" s="765"/>
      <c r="C2458" s="765"/>
      <c r="D2458" s="765"/>
      <c r="E2458" s="765"/>
      <c r="F2458" s="765"/>
      <c r="G2458" s="765"/>
      <c r="H2458" s="765"/>
      <c r="I2458" s="765"/>
      <c r="J2458" s="765"/>
      <c r="K2458" s="765"/>
      <c r="L2458" s="765"/>
      <c r="M2458" s="765"/>
      <c r="N2458" s="765"/>
      <c r="O2458" s="765"/>
    </row>
    <row r="2459" spans="2:15" x14ac:dyDescent="0.25">
      <c r="B2459" s="765"/>
      <c r="C2459" s="765"/>
      <c r="D2459" s="765"/>
      <c r="E2459" s="765"/>
      <c r="F2459" s="765"/>
      <c r="G2459" s="765"/>
      <c r="H2459" s="765"/>
      <c r="I2459" s="765"/>
      <c r="J2459" s="765"/>
      <c r="K2459" s="765"/>
      <c r="L2459" s="765"/>
      <c r="M2459" s="765"/>
      <c r="N2459" s="765"/>
      <c r="O2459" s="765"/>
    </row>
    <row r="2460" spans="2:15" x14ac:dyDescent="0.25">
      <c r="B2460" s="765"/>
      <c r="C2460" s="765"/>
      <c r="D2460" s="765"/>
      <c r="E2460" s="765"/>
      <c r="F2460" s="765"/>
      <c r="G2460" s="765"/>
      <c r="H2460" s="765"/>
      <c r="I2460" s="765"/>
      <c r="J2460" s="765"/>
      <c r="K2460" s="765"/>
      <c r="L2460" s="765"/>
      <c r="M2460" s="765"/>
      <c r="N2460" s="765"/>
      <c r="O2460" s="765"/>
    </row>
    <row r="2461" spans="2:15" x14ac:dyDescent="0.25">
      <c r="B2461" s="765"/>
      <c r="C2461" s="765"/>
      <c r="D2461" s="765"/>
      <c r="E2461" s="765"/>
      <c r="F2461" s="765"/>
      <c r="G2461" s="765"/>
      <c r="H2461" s="765"/>
      <c r="I2461" s="765"/>
      <c r="J2461" s="765"/>
      <c r="K2461" s="765"/>
      <c r="L2461" s="765"/>
      <c r="M2461" s="765"/>
      <c r="N2461" s="765"/>
      <c r="O2461" s="765"/>
    </row>
    <row r="2462" spans="2:15" x14ac:dyDescent="0.25">
      <c r="B2462" s="765"/>
      <c r="C2462" s="765"/>
      <c r="D2462" s="765"/>
      <c r="E2462" s="765"/>
      <c r="F2462" s="765"/>
      <c r="G2462" s="765"/>
      <c r="H2462" s="765"/>
      <c r="I2462" s="765"/>
      <c r="J2462" s="765"/>
      <c r="K2462" s="765"/>
      <c r="L2462" s="765"/>
      <c r="M2462" s="765"/>
      <c r="N2462" s="765"/>
      <c r="O2462" s="765"/>
    </row>
    <row r="2463" spans="2:15" x14ac:dyDescent="0.25">
      <c r="B2463" s="765"/>
      <c r="C2463" s="765"/>
      <c r="D2463" s="765"/>
      <c r="E2463" s="765"/>
      <c r="F2463" s="765"/>
      <c r="G2463" s="765"/>
      <c r="H2463" s="765"/>
      <c r="I2463" s="765"/>
      <c r="J2463" s="765"/>
      <c r="K2463" s="765"/>
      <c r="L2463" s="765"/>
      <c r="M2463" s="765"/>
      <c r="N2463" s="765"/>
      <c r="O2463" s="765"/>
    </row>
    <row r="2464" spans="2:15" x14ac:dyDescent="0.25">
      <c r="B2464" s="765"/>
      <c r="C2464" s="765"/>
      <c r="D2464" s="765"/>
      <c r="E2464" s="765"/>
      <c r="F2464" s="765"/>
      <c r="G2464" s="765"/>
      <c r="H2464" s="765"/>
      <c r="I2464" s="765"/>
      <c r="J2464" s="765"/>
      <c r="K2464" s="765"/>
      <c r="L2464" s="765"/>
      <c r="M2464" s="765"/>
      <c r="N2464" s="765"/>
      <c r="O2464" s="765"/>
    </row>
    <row r="2465" spans="2:15" x14ac:dyDescent="0.25">
      <c r="B2465" s="765"/>
      <c r="C2465" s="765"/>
      <c r="D2465" s="765"/>
      <c r="E2465" s="765"/>
      <c r="F2465" s="765"/>
      <c r="G2465" s="765"/>
      <c r="H2465" s="765"/>
      <c r="I2465" s="765"/>
      <c r="J2465" s="765"/>
      <c r="K2465" s="765"/>
      <c r="L2465" s="765"/>
      <c r="M2465" s="765"/>
      <c r="N2465" s="765"/>
      <c r="O2465" s="765"/>
    </row>
    <row r="2466" spans="2:15" x14ac:dyDescent="0.25">
      <c r="B2466" s="765"/>
      <c r="C2466" s="765"/>
      <c r="D2466" s="765"/>
      <c r="E2466" s="765"/>
      <c r="F2466" s="765"/>
      <c r="G2466" s="765"/>
      <c r="H2466" s="765"/>
      <c r="I2466" s="765"/>
      <c r="J2466" s="765"/>
      <c r="K2466" s="765"/>
      <c r="L2466" s="765"/>
      <c r="M2466" s="765"/>
      <c r="N2466" s="765"/>
      <c r="O2466" s="765"/>
    </row>
    <row r="2467" spans="2:15" x14ac:dyDescent="0.25">
      <c r="B2467" s="765"/>
      <c r="C2467" s="765"/>
      <c r="D2467" s="765"/>
      <c r="E2467" s="765"/>
      <c r="F2467" s="765"/>
      <c r="G2467" s="765"/>
      <c r="H2467" s="765"/>
      <c r="I2467" s="765"/>
      <c r="J2467" s="765"/>
      <c r="K2467" s="765"/>
      <c r="L2467" s="765"/>
      <c r="M2467" s="765"/>
      <c r="N2467" s="765"/>
      <c r="O2467" s="765"/>
    </row>
    <row r="2468" spans="2:15" x14ac:dyDescent="0.25">
      <c r="B2468" s="765"/>
      <c r="C2468" s="765"/>
      <c r="D2468" s="765"/>
      <c r="E2468" s="765"/>
      <c r="F2468" s="765"/>
      <c r="G2468" s="765"/>
      <c r="H2468" s="765"/>
      <c r="I2468" s="765"/>
      <c r="J2468" s="765"/>
      <c r="K2468" s="765"/>
      <c r="L2468" s="765"/>
      <c r="M2468" s="765"/>
      <c r="N2468" s="765"/>
      <c r="O2468" s="765"/>
    </row>
    <row r="2469" spans="2:15" x14ac:dyDescent="0.25">
      <c r="B2469" s="765"/>
      <c r="C2469" s="765"/>
      <c r="D2469" s="765"/>
      <c r="E2469" s="765"/>
      <c r="F2469" s="765"/>
      <c r="G2469" s="765"/>
      <c r="H2469" s="765"/>
      <c r="I2469" s="765"/>
      <c r="J2469" s="765"/>
      <c r="K2469" s="765"/>
      <c r="L2469" s="765"/>
      <c r="M2469" s="765"/>
      <c r="N2469" s="765"/>
      <c r="O2469" s="765"/>
    </row>
    <row r="2470" spans="2:15" x14ac:dyDescent="0.25">
      <c r="B2470" s="765"/>
      <c r="C2470" s="765"/>
      <c r="D2470" s="765"/>
      <c r="E2470" s="765"/>
      <c r="F2470" s="765"/>
      <c r="G2470" s="765"/>
      <c r="H2470" s="765"/>
      <c r="I2470" s="765"/>
      <c r="J2470" s="765"/>
      <c r="K2470" s="765"/>
      <c r="L2470" s="765"/>
      <c r="M2470" s="765"/>
      <c r="N2470" s="765"/>
      <c r="O2470" s="765"/>
    </row>
    <row r="2471" spans="2:15" x14ac:dyDescent="0.25">
      <c r="B2471" s="765"/>
      <c r="C2471" s="765"/>
      <c r="D2471" s="765"/>
      <c r="E2471" s="765"/>
      <c r="F2471" s="765"/>
      <c r="G2471" s="765"/>
      <c r="H2471" s="765"/>
      <c r="I2471" s="765"/>
      <c r="J2471" s="765"/>
      <c r="K2471" s="765"/>
      <c r="L2471" s="765"/>
      <c r="M2471" s="765"/>
      <c r="N2471" s="765"/>
      <c r="O2471" s="765"/>
    </row>
    <row r="2472" spans="2:15" x14ac:dyDescent="0.25">
      <c r="B2472" s="765"/>
      <c r="C2472" s="765"/>
      <c r="D2472" s="765"/>
      <c r="E2472" s="765"/>
      <c r="F2472" s="765"/>
      <c r="G2472" s="765"/>
      <c r="H2472" s="765"/>
      <c r="I2472" s="765"/>
      <c r="J2472" s="765"/>
      <c r="K2472" s="765"/>
      <c r="L2472" s="765"/>
      <c r="M2472" s="765"/>
      <c r="N2472" s="765"/>
      <c r="O2472" s="765"/>
    </row>
    <row r="2473" spans="2:15" x14ac:dyDescent="0.25">
      <c r="B2473" s="765"/>
      <c r="C2473" s="765"/>
      <c r="D2473" s="765"/>
      <c r="E2473" s="765"/>
      <c r="F2473" s="765"/>
      <c r="G2473" s="765"/>
      <c r="H2473" s="765"/>
      <c r="I2473" s="765"/>
      <c r="J2473" s="765"/>
      <c r="K2473" s="765"/>
      <c r="L2473" s="765"/>
      <c r="M2473" s="765"/>
      <c r="N2473" s="765"/>
      <c r="O2473" s="765"/>
    </row>
    <row r="2474" spans="2:15" x14ac:dyDescent="0.25">
      <c r="B2474" s="765"/>
      <c r="C2474" s="765"/>
      <c r="D2474" s="765"/>
      <c r="E2474" s="765"/>
      <c r="F2474" s="765"/>
      <c r="G2474" s="765"/>
      <c r="H2474" s="765"/>
      <c r="I2474" s="765"/>
      <c r="J2474" s="765"/>
      <c r="K2474" s="765"/>
      <c r="L2474" s="765"/>
      <c r="M2474" s="765"/>
      <c r="N2474" s="765"/>
      <c r="O2474" s="765"/>
    </row>
    <row r="2475" spans="2:15" x14ac:dyDescent="0.25">
      <c r="B2475" s="765"/>
      <c r="C2475" s="765"/>
      <c r="D2475" s="765"/>
      <c r="E2475" s="765"/>
      <c r="F2475" s="765"/>
      <c r="G2475" s="765"/>
      <c r="H2475" s="765"/>
      <c r="I2475" s="765"/>
      <c r="J2475" s="765"/>
      <c r="K2475" s="765"/>
      <c r="L2475" s="765"/>
      <c r="M2475" s="765"/>
      <c r="N2475" s="765"/>
      <c r="O2475" s="765"/>
    </row>
    <row r="2476" spans="2:15" x14ac:dyDescent="0.25">
      <c r="B2476" s="765"/>
      <c r="C2476" s="765"/>
      <c r="D2476" s="765"/>
      <c r="E2476" s="765"/>
      <c r="F2476" s="765"/>
      <c r="G2476" s="765"/>
      <c r="H2476" s="765"/>
      <c r="I2476" s="765"/>
      <c r="J2476" s="765"/>
      <c r="K2476" s="765"/>
      <c r="L2476" s="765"/>
      <c r="M2476" s="765"/>
      <c r="N2476" s="765"/>
      <c r="O2476" s="765"/>
    </row>
    <row r="2477" spans="2:15" x14ac:dyDescent="0.25">
      <c r="B2477" s="765"/>
      <c r="C2477" s="765"/>
      <c r="D2477" s="765"/>
      <c r="E2477" s="765"/>
      <c r="F2477" s="765"/>
      <c r="G2477" s="765"/>
      <c r="H2477" s="765"/>
      <c r="I2477" s="765"/>
      <c r="J2477" s="765"/>
      <c r="K2477" s="765"/>
      <c r="L2477" s="765"/>
      <c r="M2477" s="765"/>
      <c r="N2477" s="765"/>
      <c r="O2477" s="765"/>
    </row>
    <row r="2478" spans="2:15" x14ac:dyDescent="0.25">
      <c r="B2478" s="765"/>
      <c r="C2478" s="765"/>
      <c r="D2478" s="765"/>
      <c r="E2478" s="765"/>
      <c r="F2478" s="765"/>
      <c r="G2478" s="765"/>
      <c r="H2478" s="765"/>
      <c r="I2478" s="765"/>
      <c r="J2478" s="765"/>
      <c r="K2478" s="765"/>
      <c r="L2478" s="765"/>
      <c r="M2478" s="765"/>
      <c r="N2478" s="765"/>
      <c r="O2478" s="765"/>
    </row>
    <row r="2479" spans="2:15" x14ac:dyDescent="0.25">
      <c r="B2479" s="765"/>
      <c r="C2479" s="765"/>
      <c r="D2479" s="765"/>
      <c r="E2479" s="765"/>
      <c r="F2479" s="765"/>
      <c r="G2479" s="765"/>
      <c r="H2479" s="765"/>
      <c r="I2479" s="765"/>
      <c r="J2479" s="765"/>
      <c r="K2479" s="765"/>
      <c r="L2479" s="765"/>
      <c r="M2479" s="765"/>
      <c r="N2479" s="765"/>
      <c r="O2479" s="765"/>
    </row>
    <row r="2480" spans="2:15" x14ac:dyDescent="0.25">
      <c r="B2480" s="765"/>
      <c r="C2480" s="765"/>
      <c r="D2480" s="765"/>
      <c r="E2480" s="765"/>
      <c r="F2480" s="765"/>
      <c r="G2480" s="765"/>
      <c r="H2480" s="765"/>
      <c r="I2480" s="765"/>
      <c r="J2480" s="765"/>
      <c r="K2480" s="765"/>
      <c r="L2480" s="765"/>
      <c r="M2480" s="765"/>
      <c r="N2480" s="765"/>
      <c r="O2480" s="765"/>
    </row>
    <row r="2481" spans="2:15" x14ac:dyDescent="0.25">
      <c r="B2481" s="765"/>
      <c r="C2481" s="765"/>
      <c r="D2481" s="765"/>
      <c r="E2481" s="765"/>
      <c r="F2481" s="765"/>
      <c r="G2481" s="765"/>
      <c r="H2481" s="765"/>
      <c r="I2481" s="765"/>
      <c r="J2481" s="765"/>
      <c r="K2481" s="765"/>
      <c r="L2481" s="765"/>
      <c r="M2481" s="765"/>
      <c r="N2481" s="765"/>
      <c r="O2481" s="765"/>
    </row>
    <row r="2482" spans="2:15" x14ac:dyDescent="0.25">
      <c r="B2482" s="765"/>
      <c r="C2482" s="765"/>
      <c r="D2482" s="765"/>
      <c r="E2482" s="765"/>
      <c r="F2482" s="765"/>
      <c r="G2482" s="765"/>
      <c r="H2482" s="765"/>
      <c r="I2482" s="765"/>
      <c r="J2482" s="765"/>
      <c r="K2482" s="765"/>
      <c r="L2482" s="765"/>
      <c r="M2482" s="765"/>
      <c r="N2482" s="765"/>
      <c r="O2482" s="765"/>
    </row>
    <row r="2483" spans="2:15" x14ac:dyDescent="0.25">
      <c r="B2483" s="765"/>
      <c r="C2483" s="765"/>
      <c r="D2483" s="765"/>
      <c r="E2483" s="765"/>
      <c r="F2483" s="765"/>
      <c r="G2483" s="765"/>
      <c r="H2483" s="765"/>
      <c r="I2483" s="765"/>
      <c r="J2483" s="765"/>
      <c r="K2483" s="765"/>
      <c r="L2483" s="765"/>
      <c r="M2483" s="765"/>
      <c r="N2483" s="765"/>
      <c r="O2483" s="765"/>
    </row>
    <row r="2484" spans="2:15" x14ac:dyDescent="0.25">
      <c r="B2484" s="765"/>
      <c r="C2484" s="765"/>
      <c r="D2484" s="765"/>
      <c r="E2484" s="765"/>
      <c r="F2484" s="765"/>
      <c r="G2484" s="765"/>
      <c r="H2484" s="765"/>
      <c r="I2484" s="765"/>
      <c r="J2484" s="765"/>
      <c r="K2484" s="765"/>
      <c r="L2484" s="765"/>
      <c r="M2484" s="765"/>
      <c r="N2484" s="765"/>
      <c r="O2484" s="765"/>
    </row>
    <row r="2485" spans="2:15" x14ac:dyDescent="0.25">
      <c r="B2485" s="765"/>
      <c r="C2485" s="765"/>
      <c r="D2485" s="765"/>
      <c r="E2485" s="765"/>
      <c r="F2485" s="765"/>
      <c r="G2485" s="765"/>
      <c r="H2485" s="765"/>
      <c r="I2485" s="765"/>
      <c r="J2485" s="765"/>
      <c r="K2485" s="765"/>
      <c r="L2485" s="765"/>
      <c r="M2485" s="765"/>
      <c r="N2485" s="765"/>
      <c r="O2485" s="765"/>
    </row>
    <row r="2486" spans="2:15" x14ac:dyDescent="0.25">
      <c r="B2486" s="765"/>
      <c r="C2486" s="765"/>
      <c r="D2486" s="765"/>
      <c r="E2486" s="765"/>
      <c r="F2486" s="765"/>
      <c r="G2486" s="765"/>
      <c r="H2486" s="765"/>
      <c r="I2486" s="765"/>
      <c r="J2486" s="765"/>
      <c r="K2486" s="765"/>
      <c r="L2486" s="765"/>
      <c r="M2486" s="765"/>
      <c r="N2486" s="765"/>
      <c r="O2486" s="765"/>
    </row>
    <row r="2487" spans="2:15" x14ac:dyDescent="0.25">
      <c r="B2487" s="765"/>
      <c r="C2487" s="765"/>
      <c r="D2487" s="765"/>
      <c r="E2487" s="765"/>
      <c r="F2487" s="765"/>
      <c r="G2487" s="765"/>
      <c r="H2487" s="765"/>
      <c r="I2487" s="765"/>
      <c r="J2487" s="765"/>
      <c r="K2487" s="765"/>
      <c r="L2487" s="765"/>
      <c r="M2487" s="765"/>
      <c r="N2487" s="765"/>
      <c r="O2487" s="765"/>
    </row>
    <row r="2488" spans="2:15" x14ac:dyDescent="0.25">
      <c r="B2488" s="765"/>
      <c r="C2488" s="765"/>
      <c r="D2488" s="765"/>
      <c r="E2488" s="765"/>
      <c r="F2488" s="765"/>
      <c r="G2488" s="765"/>
      <c r="H2488" s="765"/>
      <c r="I2488" s="765"/>
      <c r="J2488" s="765"/>
      <c r="K2488" s="765"/>
      <c r="L2488" s="765"/>
      <c r="M2488" s="765"/>
      <c r="N2488" s="765"/>
      <c r="O2488" s="765"/>
    </row>
    <row r="2489" spans="2:15" x14ac:dyDescent="0.25">
      <c r="B2489" s="765"/>
      <c r="C2489" s="765"/>
      <c r="D2489" s="765"/>
      <c r="E2489" s="765"/>
      <c r="F2489" s="765"/>
      <c r="G2489" s="765"/>
      <c r="H2489" s="765"/>
      <c r="I2489" s="765"/>
      <c r="J2489" s="765"/>
      <c r="K2489" s="765"/>
      <c r="L2489" s="765"/>
      <c r="M2489" s="765"/>
      <c r="N2489" s="765"/>
      <c r="O2489" s="765"/>
    </row>
    <row r="2490" spans="2:15" x14ac:dyDescent="0.25">
      <c r="B2490" s="765"/>
      <c r="C2490" s="765"/>
      <c r="D2490" s="765"/>
      <c r="E2490" s="765"/>
      <c r="F2490" s="765"/>
      <c r="G2490" s="765"/>
      <c r="H2490" s="765"/>
      <c r="I2490" s="765"/>
      <c r="J2490" s="765"/>
      <c r="K2490" s="765"/>
      <c r="L2490" s="765"/>
      <c r="M2490" s="765"/>
      <c r="N2490" s="765"/>
      <c r="O2490" s="765"/>
    </row>
    <row r="2491" spans="2:15" x14ac:dyDescent="0.25">
      <c r="B2491" s="765"/>
      <c r="C2491" s="765"/>
      <c r="D2491" s="765"/>
      <c r="E2491" s="765"/>
      <c r="F2491" s="765"/>
      <c r="G2491" s="765"/>
      <c r="H2491" s="765"/>
      <c r="I2491" s="765"/>
      <c r="J2491" s="765"/>
      <c r="K2491" s="765"/>
      <c r="L2491" s="765"/>
      <c r="M2491" s="765"/>
      <c r="N2491" s="765"/>
      <c r="O2491" s="765"/>
    </row>
    <row r="2492" spans="2:15" x14ac:dyDescent="0.25">
      <c r="B2492" s="765"/>
      <c r="C2492" s="765"/>
      <c r="D2492" s="765"/>
      <c r="E2492" s="765"/>
      <c r="F2492" s="765"/>
      <c r="G2492" s="765"/>
      <c r="H2492" s="765"/>
      <c r="I2492" s="765"/>
      <c r="J2492" s="765"/>
      <c r="K2492" s="765"/>
      <c r="L2492" s="765"/>
      <c r="M2492" s="765"/>
      <c r="N2492" s="765"/>
      <c r="O2492" s="765"/>
    </row>
    <row r="2493" spans="2:15" x14ac:dyDescent="0.25">
      <c r="B2493" s="765"/>
      <c r="C2493" s="765"/>
      <c r="D2493" s="765"/>
      <c r="E2493" s="765"/>
      <c r="F2493" s="765"/>
      <c r="G2493" s="765"/>
      <c r="H2493" s="765"/>
      <c r="I2493" s="765"/>
      <c r="J2493" s="765"/>
      <c r="K2493" s="765"/>
      <c r="L2493" s="765"/>
      <c r="M2493" s="765"/>
      <c r="N2493" s="765"/>
      <c r="O2493" s="765"/>
    </row>
    <row r="2494" spans="2:15" x14ac:dyDescent="0.25">
      <c r="B2494" s="765"/>
      <c r="C2494" s="765"/>
      <c r="D2494" s="765"/>
      <c r="E2494" s="765"/>
      <c r="F2494" s="765"/>
      <c r="G2494" s="765"/>
      <c r="H2494" s="765"/>
      <c r="I2494" s="765"/>
      <c r="J2494" s="765"/>
      <c r="K2494" s="765"/>
      <c r="L2494" s="765"/>
      <c r="M2494" s="765"/>
      <c r="N2494" s="765"/>
      <c r="O2494" s="765"/>
    </row>
    <row r="2495" spans="2:15" x14ac:dyDescent="0.25">
      <c r="B2495" s="765"/>
      <c r="C2495" s="765"/>
      <c r="D2495" s="765"/>
      <c r="E2495" s="765"/>
      <c r="F2495" s="765"/>
      <c r="G2495" s="765"/>
      <c r="H2495" s="765"/>
      <c r="I2495" s="765"/>
      <c r="J2495" s="765"/>
      <c r="K2495" s="765"/>
      <c r="L2495" s="765"/>
      <c r="M2495" s="765"/>
      <c r="N2495" s="765"/>
      <c r="O2495" s="765"/>
    </row>
    <row r="2496" spans="2:15" x14ac:dyDescent="0.25">
      <c r="B2496" s="765"/>
      <c r="C2496" s="765"/>
      <c r="D2496" s="765"/>
      <c r="E2496" s="765"/>
      <c r="F2496" s="765"/>
      <c r="G2496" s="765"/>
      <c r="H2496" s="765"/>
      <c r="I2496" s="765"/>
      <c r="J2496" s="765"/>
      <c r="K2496" s="765"/>
      <c r="L2496" s="765"/>
      <c r="M2496" s="765"/>
      <c r="N2496" s="765"/>
      <c r="O2496" s="765"/>
    </row>
    <row r="2497" spans="2:15" x14ac:dyDescent="0.25">
      <c r="B2497" s="765"/>
      <c r="C2497" s="765"/>
      <c r="D2497" s="765"/>
      <c r="E2497" s="765"/>
      <c r="F2497" s="765"/>
      <c r="G2497" s="765"/>
      <c r="H2497" s="765"/>
      <c r="I2497" s="765"/>
      <c r="J2497" s="765"/>
      <c r="K2497" s="765"/>
      <c r="L2497" s="765"/>
      <c r="M2497" s="765"/>
      <c r="N2497" s="765"/>
      <c r="O2497" s="765"/>
    </row>
    <row r="2498" spans="2:15" x14ac:dyDescent="0.25">
      <c r="B2498" s="765"/>
      <c r="C2498" s="765"/>
      <c r="D2498" s="765"/>
      <c r="E2498" s="765"/>
      <c r="F2498" s="765"/>
      <c r="G2498" s="765"/>
      <c r="H2498" s="765"/>
      <c r="I2498" s="765"/>
      <c r="J2498" s="765"/>
      <c r="K2498" s="765"/>
      <c r="L2498" s="765"/>
      <c r="M2498" s="765"/>
      <c r="N2498" s="765"/>
      <c r="O2498" s="765"/>
    </row>
    <row r="2499" spans="2:15" x14ac:dyDescent="0.25">
      <c r="B2499" s="765"/>
      <c r="C2499" s="765"/>
      <c r="D2499" s="765"/>
      <c r="E2499" s="765"/>
      <c r="F2499" s="765"/>
      <c r="G2499" s="765"/>
      <c r="H2499" s="765"/>
      <c r="I2499" s="765"/>
      <c r="J2499" s="765"/>
      <c r="K2499" s="765"/>
      <c r="L2499" s="765"/>
      <c r="M2499" s="765"/>
      <c r="N2499" s="765"/>
      <c r="O2499" s="765"/>
    </row>
    <row r="2500" spans="2:15" x14ac:dyDescent="0.25">
      <c r="B2500" s="765"/>
      <c r="C2500" s="765"/>
      <c r="D2500" s="765"/>
      <c r="E2500" s="765"/>
      <c r="F2500" s="765"/>
      <c r="G2500" s="765"/>
      <c r="H2500" s="765"/>
      <c r="I2500" s="765"/>
      <c r="J2500" s="765"/>
      <c r="K2500" s="765"/>
      <c r="L2500" s="765"/>
      <c r="M2500" s="765"/>
      <c r="N2500" s="765"/>
      <c r="O2500" s="765"/>
    </row>
    <row r="2501" spans="2:15" x14ac:dyDescent="0.25">
      <c r="B2501" s="765"/>
      <c r="C2501" s="765"/>
      <c r="D2501" s="765"/>
      <c r="E2501" s="765"/>
      <c r="F2501" s="765"/>
      <c r="G2501" s="765"/>
      <c r="H2501" s="765"/>
      <c r="I2501" s="765"/>
      <c r="J2501" s="765"/>
      <c r="K2501" s="765"/>
      <c r="L2501" s="765"/>
      <c r="M2501" s="765"/>
      <c r="N2501" s="765"/>
      <c r="O2501" s="765"/>
    </row>
    <row r="2502" spans="2:15" x14ac:dyDescent="0.25">
      <c r="B2502" s="765"/>
      <c r="C2502" s="765"/>
      <c r="D2502" s="765"/>
      <c r="E2502" s="765"/>
      <c r="F2502" s="765"/>
      <c r="G2502" s="765"/>
      <c r="H2502" s="765"/>
      <c r="I2502" s="765"/>
      <c r="J2502" s="765"/>
      <c r="K2502" s="765"/>
      <c r="L2502" s="765"/>
      <c r="M2502" s="765"/>
      <c r="N2502" s="765"/>
      <c r="O2502" s="765"/>
    </row>
    <row r="2503" spans="2:15" x14ac:dyDescent="0.25">
      <c r="B2503" s="765"/>
      <c r="C2503" s="765"/>
      <c r="D2503" s="765"/>
      <c r="E2503" s="765"/>
      <c r="F2503" s="765"/>
      <c r="G2503" s="765"/>
      <c r="H2503" s="765"/>
      <c r="I2503" s="765"/>
      <c r="J2503" s="765"/>
      <c r="K2503" s="765"/>
      <c r="L2503" s="765"/>
      <c r="M2503" s="765"/>
      <c r="N2503" s="765"/>
      <c r="O2503" s="765"/>
    </row>
    <row r="2504" spans="2:15" x14ac:dyDescent="0.25">
      <c r="B2504" s="765"/>
      <c r="C2504" s="765"/>
      <c r="D2504" s="765"/>
      <c r="E2504" s="765"/>
      <c r="F2504" s="765"/>
      <c r="G2504" s="765"/>
      <c r="H2504" s="765"/>
      <c r="I2504" s="765"/>
      <c r="J2504" s="765"/>
      <c r="K2504" s="765"/>
      <c r="L2504" s="765"/>
      <c r="M2504" s="765"/>
      <c r="N2504" s="765"/>
      <c r="O2504" s="765"/>
    </row>
    <row r="2505" spans="2:15" x14ac:dyDescent="0.25">
      <c r="B2505" s="765"/>
      <c r="C2505" s="765"/>
      <c r="D2505" s="765"/>
      <c r="E2505" s="765"/>
      <c r="F2505" s="765"/>
      <c r="G2505" s="765"/>
      <c r="H2505" s="765"/>
      <c r="I2505" s="765"/>
      <c r="J2505" s="765"/>
      <c r="K2505" s="765"/>
      <c r="L2505" s="765"/>
      <c r="M2505" s="765"/>
      <c r="N2505" s="765"/>
      <c r="O2505" s="765"/>
    </row>
    <row r="2506" spans="2:15" x14ac:dyDescent="0.25">
      <c r="B2506" s="765"/>
      <c r="C2506" s="765"/>
      <c r="D2506" s="765"/>
      <c r="E2506" s="765"/>
      <c r="F2506" s="765"/>
      <c r="G2506" s="765"/>
      <c r="H2506" s="765"/>
      <c r="I2506" s="765"/>
      <c r="J2506" s="765"/>
      <c r="K2506" s="765"/>
      <c r="L2506" s="765"/>
      <c r="M2506" s="765"/>
      <c r="N2506" s="765"/>
      <c r="O2506" s="765"/>
    </row>
    <row r="2507" spans="2:15" x14ac:dyDescent="0.25">
      <c r="B2507" s="765"/>
      <c r="C2507" s="765"/>
      <c r="D2507" s="765"/>
      <c r="E2507" s="765"/>
      <c r="F2507" s="765"/>
      <c r="G2507" s="765"/>
      <c r="H2507" s="765"/>
      <c r="I2507" s="765"/>
      <c r="J2507" s="765"/>
      <c r="K2507" s="765"/>
      <c r="L2507" s="765"/>
      <c r="M2507" s="765"/>
      <c r="N2507" s="765"/>
      <c r="O2507" s="765"/>
    </row>
    <row r="2508" spans="2:15" x14ac:dyDescent="0.25">
      <c r="B2508" s="765"/>
      <c r="C2508" s="765"/>
      <c r="D2508" s="765"/>
      <c r="E2508" s="765"/>
      <c r="F2508" s="765"/>
      <c r="G2508" s="765"/>
      <c r="H2508" s="765"/>
      <c r="I2508" s="765"/>
      <c r="J2508" s="765"/>
      <c r="K2508" s="765"/>
      <c r="L2508" s="765"/>
      <c r="M2508" s="765"/>
      <c r="N2508" s="765"/>
      <c r="O2508" s="765"/>
    </row>
    <row r="2509" spans="2:15" x14ac:dyDescent="0.25">
      <c r="B2509" s="765"/>
      <c r="C2509" s="765"/>
      <c r="D2509" s="765"/>
      <c r="E2509" s="765"/>
      <c r="F2509" s="765"/>
      <c r="G2509" s="765"/>
      <c r="H2509" s="765"/>
      <c r="I2509" s="765"/>
      <c r="J2509" s="765"/>
      <c r="K2509" s="765"/>
      <c r="L2509" s="765"/>
      <c r="M2509" s="765"/>
      <c r="N2509" s="765"/>
      <c r="O2509" s="765"/>
    </row>
    <row r="2510" spans="2:15" x14ac:dyDescent="0.25">
      <c r="B2510" s="765"/>
      <c r="C2510" s="765"/>
      <c r="D2510" s="765"/>
      <c r="E2510" s="765"/>
      <c r="F2510" s="765"/>
      <c r="G2510" s="765"/>
      <c r="H2510" s="765"/>
      <c r="I2510" s="765"/>
      <c r="J2510" s="765"/>
      <c r="K2510" s="765"/>
      <c r="L2510" s="765"/>
      <c r="M2510" s="765"/>
      <c r="N2510" s="765"/>
      <c r="O2510" s="765"/>
    </row>
    <row r="2511" spans="2:15" x14ac:dyDescent="0.25">
      <c r="B2511" s="765"/>
      <c r="C2511" s="765"/>
      <c r="D2511" s="765"/>
      <c r="E2511" s="765"/>
      <c r="F2511" s="765"/>
      <c r="G2511" s="765"/>
      <c r="H2511" s="765"/>
      <c r="I2511" s="765"/>
      <c r="J2511" s="765"/>
      <c r="K2511" s="765"/>
      <c r="L2511" s="765"/>
      <c r="M2511" s="765"/>
      <c r="N2511" s="765"/>
      <c r="O2511" s="765"/>
    </row>
    <row r="2512" spans="2:15" x14ac:dyDescent="0.25">
      <c r="B2512" s="765"/>
      <c r="C2512" s="765"/>
      <c r="D2512" s="765"/>
      <c r="E2512" s="765"/>
      <c r="F2512" s="765"/>
      <c r="G2512" s="765"/>
      <c r="H2512" s="765"/>
      <c r="I2512" s="765"/>
      <c r="J2512" s="765"/>
      <c r="K2512" s="765"/>
      <c r="L2512" s="765"/>
      <c r="M2512" s="765"/>
      <c r="N2512" s="765"/>
      <c r="O2512" s="765"/>
    </row>
    <row r="2513" spans="2:15" x14ac:dyDescent="0.25">
      <c r="B2513" s="765"/>
      <c r="C2513" s="765"/>
      <c r="D2513" s="765"/>
      <c r="E2513" s="765"/>
      <c r="F2513" s="765"/>
      <c r="G2513" s="765"/>
      <c r="H2513" s="765"/>
      <c r="I2513" s="765"/>
      <c r="J2513" s="765"/>
      <c r="K2513" s="765"/>
      <c r="L2513" s="765"/>
      <c r="M2513" s="765"/>
      <c r="N2513" s="765"/>
      <c r="O2513" s="765"/>
    </row>
    <row r="2514" spans="2:15" x14ac:dyDescent="0.25">
      <c r="B2514" s="765"/>
      <c r="C2514" s="765"/>
      <c r="D2514" s="765"/>
      <c r="E2514" s="765"/>
      <c r="F2514" s="765"/>
      <c r="G2514" s="765"/>
      <c r="H2514" s="765"/>
      <c r="I2514" s="765"/>
      <c r="J2514" s="765"/>
      <c r="K2514" s="765"/>
      <c r="L2514" s="765"/>
      <c r="M2514" s="765"/>
      <c r="N2514" s="765"/>
      <c r="O2514" s="765"/>
    </row>
    <row r="2515" spans="2:15" x14ac:dyDescent="0.25">
      <c r="B2515" s="765"/>
      <c r="C2515" s="765"/>
      <c r="D2515" s="765"/>
      <c r="E2515" s="765"/>
      <c r="F2515" s="765"/>
      <c r="G2515" s="765"/>
      <c r="H2515" s="765"/>
      <c r="I2515" s="765"/>
      <c r="J2515" s="765"/>
      <c r="K2515" s="765"/>
      <c r="L2515" s="765"/>
      <c r="M2515" s="765"/>
      <c r="N2515" s="765"/>
      <c r="O2515" s="765"/>
    </row>
    <row r="2516" spans="2:15" x14ac:dyDescent="0.25">
      <c r="B2516" s="765"/>
      <c r="C2516" s="765"/>
      <c r="D2516" s="765"/>
      <c r="E2516" s="765"/>
      <c r="F2516" s="765"/>
      <c r="G2516" s="765"/>
      <c r="H2516" s="765"/>
      <c r="I2516" s="765"/>
      <c r="J2516" s="765"/>
      <c r="K2516" s="765"/>
      <c r="L2516" s="765"/>
      <c r="M2516" s="765"/>
      <c r="N2516" s="765"/>
      <c r="O2516" s="765"/>
    </row>
    <row r="2517" spans="2:15" x14ac:dyDescent="0.25">
      <c r="B2517" s="765"/>
      <c r="C2517" s="765"/>
      <c r="D2517" s="765"/>
      <c r="E2517" s="765"/>
      <c r="F2517" s="765"/>
      <c r="G2517" s="765"/>
      <c r="H2517" s="765"/>
      <c r="I2517" s="765"/>
      <c r="J2517" s="765"/>
      <c r="K2517" s="765"/>
      <c r="L2517" s="765"/>
      <c r="M2517" s="765"/>
      <c r="N2517" s="765"/>
      <c r="O2517" s="765"/>
    </row>
    <row r="2518" spans="2:15" x14ac:dyDescent="0.25">
      <c r="B2518" s="765"/>
      <c r="C2518" s="765"/>
      <c r="D2518" s="765"/>
      <c r="E2518" s="765"/>
      <c r="F2518" s="765"/>
      <c r="G2518" s="765"/>
      <c r="H2518" s="765"/>
      <c r="I2518" s="765"/>
      <c r="J2518" s="765"/>
      <c r="K2518" s="765"/>
      <c r="L2518" s="765"/>
      <c r="M2518" s="765"/>
      <c r="N2518" s="765"/>
      <c r="O2518" s="765"/>
    </row>
    <row r="2519" spans="2:15" x14ac:dyDescent="0.25">
      <c r="B2519" s="765"/>
      <c r="C2519" s="765"/>
      <c r="D2519" s="765"/>
      <c r="E2519" s="765"/>
      <c r="F2519" s="765"/>
      <c r="G2519" s="765"/>
      <c r="H2519" s="765"/>
      <c r="I2519" s="765"/>
      <c r="J2519" s="765"/>
      <c r="K2519" s="765"/>
      <c r="L2519" s="765"/>
      <c r="M2519" s="765"/>
      <c r="N2519" s="765"/>
      <c r="O2519" s="765"/>
    </row>
    <row r="2520" spans="2:15" x14ac:dyDescent="0.25">
      <c r="B2520" s="765"/>
      <c r="C2520" s="765"/>
      <c r="D2520" s="765"/>
      <c r="E2520" s="765"/>
      <c r="F2520" s="765"/>
      <c r="G2520" s="765"/>
      <c r="H2520" s="765"/>
      <c r="I2520" s="765"/>
      <c r="J2520" s="765"/>
      <c r="K2520" s="765"/>
      <c r="L2520" s="765"/>
      <c r="M2520" s="765"/>
      <c r="N2520" s="765"/>
      <c r="O2520" s="765"/>
    </row>
    <row r="2521" spans="2:15" x14ac:dyDescent="0.25">
      <c r="B2521" s="765"/>
      <c r="C2521" s="765"/>
      <c r="D2521" s="765"/>
      <c r="E2521" s="765"/>
      <c r="F2521" s="765"/>
      <c r="G2521" s="765"/>
      <c r="H2521" s="765"/>
      <c r="I2521" s="765"/>
      <c r="J2521" s="765"/>
      <c r="K2521" s="765"/>
      <c r="L2521" s="765"/>
      <c r="M2521" s="765"/>
      <c r="N2521" s="765"/>
      <c r="O2521" s="765"/>
    </row>
    <row r="2522" spans="2:15" x14ac:dyDescent="0.25">
      <c r="B2522" s="765"/>
      <c r="C2522" s="765"/>
      <c r="D2522" s="765"/>
      <c r="E2522" s="765"/>
      <c r="F2522" s="765"/>
      <c r="G2522" s="765"/>
      <c r="H2522" s="765"/>
      <c r="I2522" s="765"/>
      <c r="J2522" s="765"/>
      <c r="K2522" s="765"/>
      <c r="L2522" s="765"/>
      <c r="M2522" s="765"/>
      <c r="N2522" s="765"/>
      <c r="O2522" s="765"/>
    </row>
    <row r="2523" spans="2:15" x14ac:dyDescent="0.25">
      <c r="B2523" s="765"/>
      <c r="C2523" s="765"/>
      <c r="D2523" s="765"/>
      <c r="E2523" s="765"/>
      <c r="F2523" s="765"/>
      <c r="G2523" s="765"/>
      <c r="H2523" s="765"/>
      <c r="I2523" s="765"/>
      <c r="J2523" s="765"/>
      <c r="K2523" s="765"/>
      <c r="L2523" s="765"/>
      <c r="M2523" s="765"/>
      <c r="N2523" s="765"/>
      <c r="O2523" s="765"/>
    </row>
    <row r="2524" spans="2:15" x14ac:dyDescent="0.25">
      <c r="B2524" s="765"/>
      <c r="C2524" s="765"/>
      <c r="D2524" s="765"/>
      <c r="E2524" s="765"/>
      <c r="F2524" s="765"/>
      <c r="G2524" s="765"/>
      <c r="H2524" s="765"/>
      <c r="I2524" s="765"/>
      <c r="J2524" s="765"/>
      <c r="K2524" s="765"/>
      <c r="L2524" s="765"/>
      <c r="M2524" s="765"/>
      <c r="N2524" s="765"/>
      <c r="O2524" s="765"/>
    </row>
    <row r="2525" spans="2:15" x14ac:dyDescent="0.25">
      <c r="B2525" s="765"/>
      <c r="C2525" s="765"/>
      <c r="D2525" s="765"/>
      <c r="E2525" s="765"/>
      <c r="F2525" s="765"/>
      <c r="G2525" s="765"/>
      <c r="H2525" s="765"/>
      <c r="I2525" s="765"/>
      <c r="J2525" s="765"/>
      <c r="K2525" s="765"/>
      <c r="L2525" s="765"/>
      <c r="M2525" s="765"/>
      <c r="N2525" s="765"/>
      <c r="O2525" s="765"/>
    </row>
    <row r="2526" spans="2:15" x14ac:dyDescent="0.25">
      <c r="B2526" s="765"/>
      <c r="C2526" s="765"/>
      <c r="D2526" s="765"/>
      <c r="E2526" s="765"/>
      <c r="F2526" s="765"/>
      <c r="G2526" s="765"/>
      <c r="H2526" s="765"/>
      <c r="I2526" s="765"/>
      <c r="J2526" s="765"/>
      <c r="K2526" s="765"/>
      <c r="L2526" s="765"/>
      <c r="M2526" s="765"/>
      <c r="N2526" s="765"/>
      <c r="O2526" s="765"/>
    </row>
    <row r="2527" spans="2:15" x14ac:dyDescent="0.25">
      <c r="B2527" s="765"/>
      <c r="C2527" s="765"/>
      <c r="D2527" s="765"/>
      <c r="E2527" s="765"/>
      <c r="F2527" s="765"/>
      <c r="G2527" s="765"/>
      <c r="H2527" s="765"/>
      <c r="I2527" s="765"/>
      <c r="J2527" s="765"/>
      <c r="K2527" s="765"/>
      <c r="L2527" s="765"/>
      <c r="M2527" s="765"/>
      <c r="N2527" s="765"/>
      <c r="O2527" s="765"/>
    </row>
    <row r="2528" spans="2:15" x14ac:dyDescent="0.25">
      <c r="B2528" s="765"/>
      <c r="C2528" s="765"/>
      <c r="D2528" s="765"/>
      <c r="E2528" s="765"/>
      <c r="F2528" s="765"/>
      <c r="G2528" s="765"/>
      <c r="H2528" s="765"/>
      <c r="I2528" s="765"/>
      <c r="J2528" s="765"/>
      <c r="K2528" s="765"/>
      <c r="L2528" s="765"/>
      <c r="M2528" s="765"/>
      <c r="N2528" s="765"/>
      <c r="O2528" s="765"/>
    </row>
    <row r="2529" spans="2:15" x14ac:dyDescent="0.25">
      <c r="B2529" s="765"/>
      <c r="C2529" s="765"/>
      <c r="D2529" s="765"/>
      <c r="E2529" s="765"/>
      <c r="F2529" s="765"/>
      <c r="G2529" s="765"/>
      <c r="H2529" s="765"/>
      <c r="I2529" s="765"/>
      <c r="J2529" s="765"/>
      <c r="K2529" s="765"/>
      <c r="L2529" s="765"/>
      <c r="M2529" s="765"/>
      <c r="N2529" s="765"/>
      <c r="O2529" s="765"/>
    </row>
    <row r="2530" spans="2:15" x14ac:dyDescent="0.25">
      <c r="B2530" s="765"/>
      <c r="C2530" s="765"/>
      <c r="D2530" s="765"/>
      <c r="E2530" s="765"/>
      <c r="F2530" s="765"/>
      <c r="G2530" s="765"/>
      <c r="H2530" s="765"/>
      <c r="I2530" s="765"/>
      <c r="J2530" s="765"/>
      <c r="K2530" s="765"/>
      <c r="L2530" s="765"/>
      <c r="M2530" s="765"/>
      <c r="N2530" s="765"/>
      <c r="O2530" s="765"/>
    </row>
    <row r="2531" spans="2:15" x14ac:dyDescent="0.25">
      <c r="B2531" s="765"/>
      <c r="C2531" s="765"/>
      <c r="D2531" s="765"/>
      <c r="E2531" s="765"/>
      <c r="F2531" s="765"/>
      <c r="G2531" s="765"/>
      <c r="H2531" s="765"/>
      <c r="I2531" s="765"/>
      <c r="J2531" s="765"/>
      <c r="K2531" s="765"/>
      <c r="L2531" s="765"/>
      <c r="M2531" s="765"/>
      <c r="N2531" s="765"/>
      <c r="O2531" s="765"/>
    </row>
    <row r="2532" spans="2:15" x14ac:dyDescent="0.25">
      <c r="B2532" s="765"/>
      <c r="C2532" s="765"/>
      <c r="D2532" s="765"/>
      <c r="E2532" s="765"/>
      <c r="F2532" s="765"/>
      <c r="G2532" s="765"/>
      <c r="H2532" s="765"/>
      <c r="I2532" s="765"/>
      <c r="J2532" s="765"/>
      <c r="K2532" s="765"/>
      <c r="L2532" s="765"/>
      <c r="M2532" s="765"/>
      <c r="N2532" s="765"/>
      <c r="O2532" s="765"/>
    </row>
    <row r="2533" spans="2:15" x14ac:dyDescent="0.25">
      <c r="B2533" s="765"/>
      <c r="C2533" s="765"/>
      <c r="D2533" s="765"/>
      <c r="E2533" s="765"/>
      <c r="F2533" s="765"/>
      <c r="G2533" s="765"/>
      <c r="H2533" s="765"/>
      <c r="I2533" s="765"/>
      <c r="J2533" s="765"/>
      <c r="K2533" s="765"/>
      <c r="L2533" s="765"/>
      <c r="M2533" s="765"/>
      <c r="N2533" s="765"/>
      <c r="O2533" s="765"/>
    </row>
    <row r="2534" spans="2:15" x14ac:dyDescent="0.25">
      <c r="B2534" s="765"/>
      <c r="C2534" s="765"/>
      <c r="D2534" s="765"/>
      <c r="E2534" s="765"/>
      <c r="F2534" s="765"/>
      <c r="G2534" s="765"/>
      <c r="H2534" s="765"/>
      <c r="I2534" s="765"/>
      <c r="J2534" s="765"/>
      <c r="K2534" s="765"/>
      <c r="L2534" s="765"/>
      <c r="M2534" s="765"/>
      <c r="N2534" s="765"/>
      <c r="O2534" s="765"/>
    </row>
    <row r="2535" spans="2:15" x14ac:dyDescent="0.25">
      <c r="B2535" s="765"/>
      <c r="C2535" s="765"/>
      <c r="D2535" s="765"/>
      <c r="E2535" s="765"/>
      <c r="F2535" s="765"/>
      <c r="G2535" s="765"/>
      <c r="H2535" s="765"/>
      <c r="I2535" s="765"/>
      <c r="J2535" s="765"/>
      <c r="K2535" s="765"/>
      <c r="L2535" s="765"/>
      <c r="M2535" s="765"/>
      <c r="N2535" s="765"/>
      <c r="O2535" s="765"/>
    </row>
    <row r="2536" spans="2:15" x14ac:dyDescent="0.25">
      <c r="B2536" s="765"/>
      <c r="C2536" s="765"/>
      <c r="D2536" s="765"/>
      <c r="E2536" s="765"/>
      <c r="F2536" s="765"/>
      <c r="G2536" s="765"/>
      <c r="H2536" s="765"/>
      <c r="I2536" s="765"/>
      <c r="J2536" s="765"/>
      <c r="K2536" s="765"/>
      <c r="L2536" s="765"/>
      <c r="M2536" s="765"/>
      <c r="N2536" s="765"/>
      <c r="O2536" s="765"/>
    </row>
    <row r="2537" spans="2:15" x14ac:dyDescent="0.25">
      <c r="B2537" s="765"/>
      <c r="C2537" s="765"/>
      <c r="D2537" s="765"/>
      <c r="E2537" s="765"/>
      <c r="F2537" s="765"/>
      <c r="G2537" s="765"/>
      <c r="H2537" s="765"/>
      <c r="I2537" s="765"/>
      <c r="J2537" s="765"/>
      <c r="K2537" s="765"/>
      <c r="L2537" s="765"/>
      <c r="M2537" s="765"/>
      <c r="N2537" s="765"/>
      <c r="O2537" s="765"/>
    </row>
    <row r="2538" spans="2:15" x14ac:dyDescent="0.25">
      <c r="B2538" s="765"/>
      <c r="C2538" s="765"/>
      <c r="D2538" s="765"/>
      <c r="E2538" s="765"/>
      <c r="F2538" s="765"/>
      <c r="G2538" s="765"/>
      <c r="H2538" s="765"/>
      <c r="I2538" s="765"/>
      <c r="J2538" s="765"/>
      <c r="K2538" s="765"/>
      <c r="L2538" s="765"/>
      <c r="M2538" s="765"/>
      <c r="N2538" s="765"/>
      <c r="O2538" s="765"/>
    </row>
    <row r="2539" spans="2:15" x14ac:dyDescent="0.25">
      <c r="B2539" s="765"/>
      <c r="C2539" s="765"/>
      <c r="D2539" s="765"/>
      <c r="E2539" s="765"/>
      <c r="F2539" s="765"/>
      <c r="G2539" s="765"/>
      <c r="H2539" s="765"/>
      <c r="I2539" s="765"/>
      <c r="J2539" s="765"/>
      <c r="K2539" s="765"/>
      <c r="L2539" s="765"/>
      <c r="M2539" s="765"/>
      <c r="N2539" s="765"/>
      <c r="O2539" s="765"/>
    </row>
    <row r="2540" spans="2:15" x14ac:dyDescent="0.25">
      <c r="B2540" s="765"/>
      <c r="C2540" s="765"/>
      <c r="D2540" s="765"/>
      <c r="E2540" s="765"/>
      <c r="F2540" s="765"/>
      <c r="G2540" s="765"/>
      <c r="H2540" s="765"/>
      <c r="I2540" s="765"/>
      <c r="J2540" s="765"/>
      <c r="K2540" s="765"/>
      <c r="L2540" s="765"/>
      <c r="M2540" s="765"/>
      <c r="N2540" s="765"/>
      <c r="O2540" s="765"/>
    </row>
    <row r="2541" spans="2:15" x14ac:dyDescent="0.25">
      <c r="B2541" s="765"/>
      <c r="C2541" s="765"/>
      <c r="D2541" s="765"/>
      <c r="E2541" s="765"/>
      <c r="F2541" s="765"/>
      <c r="G2541" s="765"/>
      <c r="H2541" s="765"/>
      <c r="I2541" s="765"/>
      <c r="J2541" s="765"/>
      <c r="K2541" s="765"/>
      <c r="L2541" s="765"/>
      <c r="M2541" s="765"/>
      <c r="N2541" s="765"/>
      <c r="O2541" s="765"/>
    </row>
    <row r="2542" spans="2:15" x14ac:dyDescent="0.25">
      <c r="B2542" s="765"/>
      <c r="C2542" s="765"/>
      <c r="D2542" s="765"/>
      <c r="E2542" s="765"/>
      <c r="F2542" s="765"/>
      <c r="G2542" s="765"/>
      <c r="H2542" s="765"/>
      <c r="I2542" s="765"/>
      <c r="J2542" s="765"/>
      <c r="K2542" s="765"/>
      <c r="L2542" s="765"/>
      <c r="M2542" s="765"/>
      <c r="N2542" s="765"/>
      <c r="O2542" s="765"/>
    </row>
    <row r="2543" spans="2:15" x14ac:dyDescent="0.25">
      <c r="B2543" s="765"/>
      <c r="C2543" s="765"/>
      <c r="D2543" s="765"/>
      <c r="E2543" s="765"/>
      <c r="F2543" s="765"/>
      <c r="G2543" s="765"/>
      <c r="H2543" s="765"/>
      <c r="I2543" s="765"/>
      <c r="J2543" s="765"/>
      <c r="K2543" s="765"/>
      <c r="L2543" s="765"/>
      <c r="M2543" s="765"/>
      <c r="N2543" s="765"/>
      <c r="O2543" s="765"/>
    </row>
    <row r="2544" spans="2:15" x14ac:dyDescent="0.25">
      <c r="B2544" s="765"/>
      <c r="C2544" s="765"/>
      <c r="D2544" s="765"/>
      <c r="E2544" s="765"/>
      <c r="F2544" s="765"/>
      <c r="G2544" s="765"/>
      <c r="H2544" s="765"/>
      <c r="I2544" s="765"/>
      <c r="J2544" s="765"/>
      <c r="K2544" s="765"/>
      <c r="L2544" s="765"/>
      <c r="M2544" s="765"/>
      <c r="N2544" s="765"/>
      <c r="O2544" s="765"/>
    </row>
    <row r="2545" spans="2:15" x14ac:dyDescent="0.25">
      <c r="B2545" s="765"/>
      <c r="C2545" s="765"/>
      <c r="D2545" s="765"/>
      <c r="E2545" s="765"/>
      <c r="F2545" s="765"/>
      <c r="G2545" s="765"/>
      <c r="H2545" s="765"/>
      <c r="I2545" s="765"/>
      <c r="J2545" s="765"/>
      <c r="K2545" s="765"/>
      <c r="L2545" s="765"/>
      <c r="M2545" s="765"/>
      <c r="N2545" s="765"/>
      <c r="O2545" s="765"/>
    </row>
    <row r="2546" spans="2:15" x14ac:dyDescent="0.25">
      <c r="B2546" s="765"/>
      <c r="C2546" s="765"/>
      <c r="D2546" s="765"/>
      <c r="E2546" s="765"/>
      <c r="F2546" s="765"/>
      <c r="G2546" s="765"/>
      <c r="H2546" s="765"/>
      <c r="I2546" s="765"/>
      <c r="J2546" s="765"/>
      <c r="K2546" s="765"/>
      <c r="L2546" s="765"/>
      <c r="M2546" s="765"/>
      <c r="N2546" s="765"/>
      <c r="O2546" s="765"/>
    </row>
    <row r="2547" spans="2:15" x14ac:dyDescent="0.25">
      <c r="B2547" s="765"/>
      <c r="C2547" s="765"/>
      <c r="D2547" s="765"/>
      <c r="E2547" s="765"/>
      <c r="F2547" s="765"/>
      <c r="G2547" s="765"/>
      <c r="H2547" s="765"/>
      <c r="I2547" s="765"/>
      <c r="J2547" s="765"/>
      <c r="K2547" s="765"/>
      <c r="L2547" s="765"/>
      <c r="M2547" s="765"/>
      <c r="N2547" s="765"/>
      <c r="O2547" s="765"/>
    </row>
    <row r="2548" spans="2:15" x14ac:dyDescent="0.25">
      <c r="B2548" s="765"/>
      <c r="C2548" s="765"/>
      <c r="D2548" s="765"/>
      <c r="E2548" s="765"/>
      <c r="F2548" s="765"/>
      <c r="G2548" s="765"/>
      <c r="H2548" s="765"/>
      <c r="I2548" s="765"/>
      <c r="J2548" s="765"/>
      <c r="K2548" s="765"/>
      <c r="L2548" s="765"/>
      <c r="M2548" s="765"/>
      <c r="N2548" s="765"/>
      <c r="O2548" s="765"/>
    </row>
    <row r="2549" spans="2:15" x14ac:dyDescent="0.25">
      <c r="B2549" s="765"/>
      <c r="C2549" s="765"/>
      <c r="D2549" s="765"/>
      <c r="E2549" s="765"/>
      <c r="F2549" s="765"/>
      <c r="G2549" s="765"/>
      <c r="H2549" s="765"/>
      <c r="I2549" s="765"/>
      <c r="J2549" s="765"/>
      <c r="K2549" s="765"/>
      <c r="L2549" s="765"/>
      <c r="M2549" s="765"/>
      <c r="N2549" s="765"/>
      <c r="O2549" s="765"/>
    </row>
    <row r="2550" spans="2:15" x14ac:dyDescent="0.25">
      <c r="B2550" s="765"/>
      <c r="C2550" s="765"/>
      <c r="D2550" s="765"/>
      <c r="E2550" s="765"/>
      <c r="F2550" s="765"/>
      <c r="G2550" s="765"/>
      <c r="H2550" s="765"/>
      <c r="I2550" s="765"/>
      <c r="J2550" s="765"/>
      <c r="K2550" s="765"/>
      <c r="L2550" s="765"/>
      <c r="M2550" s="765"/>
      <c r="N2550" s="765"/>
      <c r="O2550" s="765"/>
    </row>
    <row r="2551" spans="2:15" x14ac:dyDescent="0.25">
      <c r="B2551" s="765"/>
      <c r="C2551" s="765"/>
      <c r="D2551" s="765"/>
      <c r="E2551" s="765"/>
      <c r="F2551" s="765"/>
      <c r="G2551" s="765"/>
      <c r="H2551" s="765"/>
      <c r="I2551" s="765"/>
      <c r="J2551" s="765"/>
      <c r="K2551" s="765"/>
      <c r="L2551" s="765"/>
      <c r="M2551" s="765"/>
      <c r="N2551" s="765"/>
      <c r="O2551" s="765"/>
    </row>
    <row r="2552" spans="2:15" x14ac:dyDescent="0.25">
      <c r="B2552" s="765"/>
      <c r="C2552" s="765"/>
      <c r="D2552" s="765"/>
      <c r="E2552" s="765"/>
      <c r="F2552" s="765"/>
      <c r="G2552" s="765"/>
      <c r="H2552" s="765"/>
      <c r="I2552" s="765"/>
      <c r="J2552" s="765"/>
      <c r="K2552" s="765"/>
      <c r="L2552" s="765"/>
      <c r="M2552" s="765"/>
      <c r="N2552" s="765"/>
      <c r="O2552" s="765"/>
    </row>
    <row r="2553" spans="2:15" x14ac:dyDescent="0.25">
      <c r="B2553" s="765"/>
      <c r="C2553" s="765"/>
      <c r="D2553" s="765"/>
      <c r="E2553" s="765"/>
      <c r="F2553" s="765"/>
      <c r="G2553" s="765"/>
      <c r="H2553" s="765"/>
      <c r="I2553" s="765"/>
      <c r="J2553" s="765"/>
      <c r="K2553" s="765"/>
      <c r="L2553" s="765"/>
      <c r="M2553" s="765"/>
      <c r="N2553" s="765"/>
      <c r="O2553" s="765"/>
    </row>
    <row r="2554" spans="2:15" x14ac:dyDescent="0.25">
      <c r="B2554" s="765"/>
      <c r="C2554" s="765"/>
      <c r="D2554" s="765"/>
      <c r="E2554" s="765"/>
      <c r="F2554" s="765"/>
      <c r="G2554" s="765"/>
      <c r="H2554" s="765"/>
      <c r="I2554" s="765"/>
      <c r="J2554" s="765"/>
      <c r="K2554" s="765"/>
      <c r="L2554" s="765"/>
      <c r="M2554" s="765"/>
      <c r="N2554" s="765"/>
      <c r="O2554" s="765"/>
    </row>
    <row r="2555" spans="2:15" x14ac:dyDescent="0.25">
      <c r="B2555" s="765"/>
      <c r="C2555" s="765"/>
      <c r="D2555" s="765"/>
      <c r="E2555" s="765"/>
      <c r="F2555" s="765"/>
      <c r="G2555" s="765"/>
      <c r="H2555" s="765"/>
      <c r="I2555" s="765"/>
      <c r="J2555" s="765"/>
      <c r="K2555" s="765"/>
      <c r="L2555" s="765"/>
      <c r="M2555" s="765"/>
      <c r="N2555" s="765"/>
      <c r="O2555" s="765"/>
    </row>
    <row r="2556" spans="2:15" x14ac:dyDescent="0.25">
      <c r="B2556" s="765"/>
      <c r="C2556" s="765"/>
      <c r="D2556" s="765"/>
      <c r="E2556" s="765"/>
      <c r="F2556" s="765"/>
      <c r="G2556" s="765"/>
      <c r="H2556" s="765"/>
      <c r="I2556" s="765"/>
      <c r="J2556" s="765"/>
      <c r="K2556" s="765"/>
      <c r="L2556" s="765"/>
      <c r="M2556" s="765"/>
      <c r="N2556" s="765"/>
      <c r="O2556" s="765"/>
    </row>
    <row r="2557" spans="2:15" x14ac:dyDescent="0.25">
      <c r="B2557" s="765"/>
      <c r="C2557" s="765"/>
      <c r="D2557" s="765"/>
      <c r="E2557" s="765"/>
      <c r="F2557" s="765"/>
      <c r="G2557" s="765"/>
      <c r="H2557" s="765"/>
      <c r="I2557" s="765"/>
      <c r="J2557" s="765"/>
      <c r="K2557" s="765"/>
      <c r="L2557" s="765"/>
      <c r="M2557" s="765"/>
      <c r="N2557" s="765"/>
      <c r="O2557" s="765"/>
    </row>
    <row r="2558" spans="2:15" x14ac:dyDescent="0.25">
      <c r="B2558" s="765"/>
      <c r="C2558" s="765"/>
      <c r="D2558" s="765"/>
      <c r="E2558" s="765"/>
      <c r="F2558" s="765"/>
      <c r="G2558" s="765"/>
      <c r="H2558" s="765"/>
      <c r="I2558" s="765"/>
      <c r="J2558" s="765"/>
      <c r="K2558" s="765"/>
      <c r="L2558" s="765"/>
      <c r="M2558" s="765"/>
      <c r="N2558" s="765"/>
      <c r="O2558" s="765"/>
    </row>
    <row r="2559" spans="2:15" x14ac:dyDescent="0.25">
      <c r="B2559" s="765"/>
      <c r="C2559" s="765"/>
      <c r="D2559" s="765"/>
      <c r="E2559" s="765"/>
      <c r="F2559" s="765"/>
      <c r="G2559" s="765"/>
      <c r="H2559" s="765"/>
      <c r="I2559" s="765"/>
      <c r="J2559" s="765"/>
      <c r="K2559" s="765"/>
      <c r="L2559" s="765"/>
      <c r="M2559" s="765"/>
      <c r="N2559" s="765"/>
      <c r="O2559" s="765"/>
    </row>
    <row r="2560" spans="2:15" x14ac:dyDescent="0.25">
      <c r="B2560" s="765"/>
      <c r="C2560" s="765"/>
      <c r="D2560" s="765"/>
      <c r="E2560" s="765"/>
      <c r="F2560" s="765"/>
      <c r="G2560" s="765"/>
      <c r="H2560" s="765"/>
      <c r="I2560" s="765"/>
      <c r="J2560" s="765"/>
      <c r="K2560" s="765"/>
      <c r="L2560" s="765"/>
      <c r="M2560" s="765"/>
      <c r="N2560" s="765"/>
      <c r="O2560" s="765"/>
    </row>
    <row r="2561" spans="2:15" x14ac:dyDescent="0.25">
      <c r="B2561" s="765"/>
      <c r="C2561" s="765"/>
      <c r="D2561" s="765"/>
      <c r="E2561" s="765"/>
      <c r="F2561" s="765"/>
      <c r="G2561" s="765"/>
      <c r="H2561" s="765"/>
      <c r="I2561" s="765"/>
      <c r="J2561" s="765"/>
      <c r="K2561" s="765"/>
      <c r="L2561" s="765"/>
      <c r="M2561" s="765"/>
      <c r="N2561" s="765"/>
      <c r="O2561" s="765"/>
    </row>
    <row r="2562" spans="2:15" x14ac:dyDescent="0.25">
      <c r="B2562" s="765"/>
      <c r="C2562" s="765"/>
      <c r="D2562" s="765"/>
      <c r="E2562" s="765"/>
      <c r="F2562" s="765"/>
      <c r="G2562" s="765"/>
      <c r="H2562" s="765"/>
      <c r="I2562" s="765"/>
      <c r="J2562" s="765"/>
      <c r="K2562" s="765"/>
      <c r="L2562" s="765"/>
      <c r="M2562" s="765"/>
      <c r="N2562" s="765"/>
      <c r="O2562" s="765"/>
    </row>
    <row r="2563" spans="2:15" x14ac:dyDescent="0.25">
      <c r="B2563" s="765"/>
      <c r="C2563" s="765"/>
      <c r="D2563" s="765"/>
      <c r="E2563" s="765"/>
      <c r="F2563" s="765"/>
      <c r="G2563" s="765"/>
      <c r="H2563" s="765"/>
      <c r="I2563" s="765"/>
      <c r="J2563" s="765"/>
      <c r="K2563" s="765"/>
      <c r="L2563" s="765"/>
      <c r="M2563" s="765"/>
      <c r="N2563" s="765"/>
      <c r="O2563" s="765"/>
    </row>
    <row r="2564" spans="2:15" x14ac:dyDescent="0.25">
      <c r="B2564" s="765"/>
      <c r="C2564" s="765"/>
      <c r="D2564" s="765"/>
      <c r="E2564" s="765"/>
      <c r="F2564" s="765"/>
      <c r="G2564" s="765"/>
      <c r="H2564" s="765"/>
      <c r="I2564" s="765"/>
      <c r="J2564" s="765"/>
      <c r="K2564" s="765"/>
      <c r="L2564" s="765"/>
      <c r="M2564" s="765"/>
      <c r="N2564" s="765"/>
      <c r="O2564" s="765"/>
    </row>
    <row r="2565" spans="2:15" x14ac:dyDescent="0.25">
      <c r="B2565" s="765"/>
      <c r="C2565" s="765"/>
      <c r="D2565" s="765"/>
      <c r="E2565" s="765"/>
      <c r="F2565" s="765"/>
      <c r="G2565" s="765"/>
      <c r="H2565" s="765"/>
      <c r="I2565" s="765"/>
      <c r="J2565" s="765"/>
      <c r="K2565" s="765"/>
      <c r="L2565" s="765"/>
      <c r="M2565" s="765"/>
      <c r="N2565" s="765"/>
      <c r="O2565" s="765"/>
    </row>
    <row r="2566" spans="2:15" x14ac:dyDescent="0.25">
      <c r="B2566" s="765"/>
      <c r="C2566" s="765"/>
      <c r="D2566" s="765"/>
      <c r="E2566" s="765"/>
      <c r="F2566" s="765"/>
      <c r="G2566" s="765"/>
      <c r="H2566" s="765"/>
      <c r="I2566" s="765"/>
      <c r="J2566" s="765"/>
      <c r="K2566" s="765"/>
      <c r="L2566" s="765"/>
      <c r="M2566" s="765"/>
      <c r="N2566" s="765"/>
      <c r="O2566" s="765"/>
    </row>
    <row r="2567" spans="2:15" x14ac:dyDescent="0.25">
      <c r="B2567" s="765"/>
      <c r="C2567" s="765"/>
      <c r="D2567" s="765"/>
      <c r="E2567" s="765"/>
      <c r="F2567" s="765"/>
      <c r="G2567" s="765"/>
      <c r="H2567" s="765"/>
      <c r="I2567" s="765"/>
      <c r="J2567" s="765"/>
      <c r="K2567" s="765"/>
      <c r="L2567" s="765"/>
      <c r="M2567" s="765"/>
      <c r="N2567" s="765"/>
      <c r="O2567" s="765"/>
    </row>
    <row r="2568" spans="2:15" x14ac:dyDescent="0.25">
      <c r="B2568" s="765"/>
      <c r="C2568" s="765"/>
      <c r="D2568" s="765"/>
      <c r="E2568" s="765"/>
      <c r="F2568" s="765"/>
      <c r="G2568" s="765"/>
      <c r="H2568" s="765"/>
      <c r="I2568" s="765"/>
      <c r="J2568" s="765"/>
      <c r="K2568" s="765"/>
      <c r="L2568" s="765"/>
      <c r="M2568" s="765"/>
      <c r="N2568" s="765"/>
      <c r="O2568" s="765"/>
    </row>
    <row r="2569" spans="2:15" x14ac:dyDescent="0.25">
      <c r="B2569" s="765"/>
      <c r="C2569" s="765"/>
      <c r="D2569" s="765"/>
      <c r="E2569" s="765"/>
      <c r="F2569" s="765"/>
      <c r="G2569" s="765"/>
      <c r="H2569" s="765"/>
      <c r="I2569" s="765"/>
      <c r="J2569" s="765"/>
      <c r="K2569" s="765"/>
      <c r="L2569" s="765"/>
      <c r="M2569" s="765"/>
      <c r="N2569" s="765"/>
      <c r="O2569" s="765"/>
    </row>
    <row r="2570" spans="2:15" x14ac:dyDescent="0.25">
      <c r="B2570" s="765"/>
      <c r="C2570" s="765"/>
      <c r="D2570" s="765"/>
      <c r="E2570" s="765"/>
      <c r="F2570" s="765"/>
      <c r="G2570" s="765"/>
      <c r="H2570" s="765"/>
      <c r="I2570" s="765"/>
      <c r="J2570" s="765"/>
      <c r="K2570" s="765"/>
      <c r="L2570" s="765"/>
      <c r="M2570" s="765"/>
      <c r="N2570" s="765"/>
      <c r="O2570" s="765"/>
    </row>
    <row r="2571" spans="2:15" x14ac:dyDescent="0.25">
      <c r="B2571" s="765"/>
      <c r="C2571" s="765"/>
      <c r="D2571" s="765"/>
      <c r="E2571" s="765"/>
      <c r="F2571" s="765"/>
      <c r="G2571" s="765"/>
      <c r="H2571" s="765"/>
      <c r="I2571" s="765"/>
      <c r="J2571" s="765"/>
      <c r="K2571" s="765"/>
      <c r="L2571" s="765"/>
      <c r="M2571" s="765"/>
      <c r="N2571" s="765"/>
      <c r="O2571" s="765"/>
    </row>
    <row r="2572" spans="2:15" x14ac:dyDescent="0.25">
      <c r="B2572" s="765"/>
      <c r="C2572" s="765"/>
      <c r="D2572" s="765"/>
      <c r="E2572" s="765"/>
      <c r="F2572" s="765"/>
      <c r="G2572" s="765"/>
      <c r="H2572" s="765"/>
      <c r="I2572" s="765"/>
      <c r="J2572" s="765"/>
      <c r="K2572" s="765"/>
      <c r="L2572" s="765"/>
      <c r="M2572" s="765"/>
      <c r="N2572" s="765"/>
      <c r="O2572" s="765"/>
    </row>
    <row r="2573" spans="2:15" x14ac:dyDescent="0.25">
      <c r="B2573" s="765"/>
      <c r="C2573" s="765"/>
      <c r="D2573" s="765"/>
      <c r="E2573" s="765"/>
      <c r="F2573" s="765"/>
      <c r="G2573" s="765"/>
      <c r="H2573" s="765"/>
      <c r="I2573" s="765"/>
      <c r="J2573" s="765"/>
      <c r="K2573" s="765"/>
      <c r="L2573" s="765"/>
      <c r="M2573" s="765"/>
      <c r="N2573" s="765"/>
      <c r="O2573" s="765"/>
    </row>
    <row r="2574" spans="2:15" x14ac:dyDescent="0.25">
      <c r="B2574" s="765"/>
      <c r="C2574" s="765"/>
      <c r="D2574" s="765"/>
      <c r="E2574" s="765"/>
      <c r="F2574" s="765"/>
      <c r="G2574" s="765"/>
      <c r="H2574" s="765"/>
      <c r="I2574" s="765"/>
      <c r="J2574" s="765"/>
      <c r="K2574" s="765"/>
      <c r="L2574" s="765"/>
      <c r="M2574" s="765"/>
      <c r="N2574" s="765"/>
      <c r="O2574" s="765"/>
    </row>
    <row r="2575" spans="2:15" x14ac:dyDescent="0.25">
      <c r="B2575" s="765"/>
      <c r="C2575" s="765"/>
      <c r="D2575" s="765"/>
      <c r="E2575" s="765"/>
      <c r="F2575" s="765"/>
      <c r="G2575" s="765"/>
      <c r="H2575" s="765"/>
      <c r="I2575" s="765"/>
      <c r="J2575" s="765"/>
      <c r="K2575" s="765"/>
      <c r="L2575" s="765"/>
      <c r="M2575" s="765"/>
      <c r="N2575" s="765"/>
      <c r="O2575" s="765"/>
    </row>
    <row r="2576" spans="2:15" x14ac:dyDescent="0.25">
      <c r="B2576" s="765"/>
      <c r="C2576" s="765"/>
      <c r="D2576" s="765"/>
      <c r="E2576" s="765"/>
      <c r="F2576" s="765"/>
      <c r="G2576" s="765"/>
      <c r="H2576" s="765"/>
      <c r="I2576" s="765"/>
      <c r="J2576" s="765"/>
      <c r="K2576" s="765"/>
      <c r="L2576" s="765"/>
      <c r="M2576" s="765"/>
      <c r="N2576" s="765"/>
      <c r="O2576" s="765"/>
    </row>
    <row r="2577" spans="2:15" x14ac:dyDescent="0.25">
      <c r="B2577" s="765"/>
      <c r="C2577" s="765"/>
      <c r="D2577" s="765"/>
      <c r="E2577" s="765"/>
      <c r="F2577" s="765"/>
      <c r="G2577" s="765"/>
      <c r="H2577" s="765"/>
      <c r="I2577" s="765"/>
      <c r="J2577" s="765"/>
      <c r="K2577" s="765"/>
      <c r="L2577" s="765"/>
      <c r="M2577" s="765"/>
      <c r="N2577" s="765"/>
      <c r="O2577" s="765"/>
    </row>
    <row r="2578" spans="2:15" x14ac:dyDescent="0.25">
      <c r="B2578" s="765"/>
      <c r="C2578" s="765"/>
      <c r="D2578" s="765"/>
      <c r="E2578" s="765"/>
      <c r="F2578" s="765"/>
      <c r="G2578" s="765"/>
      <c r="H2578" s="765"/>
      <c r="I2578" s="765"/>
      <c r="J2578" s="765"/>
      <c r="K2578" s="765"/>
      <c r="L2578" s="765"/>
      <c r="M2578" s="765"/>
      <c r="N2578" s="765"/>
      <c r="O2578" s="765"/>
    </row>
    <row r="2579" spans="2:15" x14ac:dyDescent="0.25">
      <c r="B2579" s="765"/>
      <c r="C2579" s="765"/>
      <c r="D2579" s="765"/>
      <c r="E2579" s="765"/>
      <c r="F2579" s="765"/>
      <c r="G2579" s="765"/>
      <c r="H2579" s="765"/>
      <c r="I2579" s="765"/>
      <c r="J2579" s="765"/>
      <c r="K2579" s="765"/>
      <c r="L2579" s="765"/>
      <c r="M2579" s="765"/>
      <c r="N2579" s="765"/>
      <c r="O2579" s="765"/>
    </row>
    <row r="2580" spans="2:15" x14ac:dyDescent="0.25">
      <c r="B2580" s="765"/>
      <c r="C2580" s="765"/>
      <c r="D2580" s="765"/>
      <c r="E2580" s="765"/>
      <c r="F2580" s="765"/>
      <c r="G2580" s="765"/>
      <c r="H2580" s="765"/>
      <c r="I2580" s="765"/>
      <c r="J2580" s="765"/>
      <c r="K2580" s="765"/>
      <c r="L2580" s="765"/>
      <c r="M2580" s="765"/>
      <c r="N2580" s="765"/>
      <c r="O2580" s="765"/>
    </row>
    <row r="2581" spans="2:15" x14ac:dyDescent="0.25">
      <c r="B2581" s="765"/>
      <c r="C2581" s="765"/>
      <c r="D2581" s="765"/>
      <c r="E2581" s="765"/>
      <c r="F2581" s="765"/>
      <c r="G2581" s="765"/>
      <c r="H2581" s="765"/>
      <c r="I2581" s="765"/>
      <c r="J2581" s="765"/>
      <c r="K2581" s="765"/>
      <c r="L2581" s="765"/>
      <c r="M2581" s="765"/>
      <c r="N2581" s="765"/>
      <c r="O2581" s="765"/>
    </row>
    <row r="2582" spans="2:15" x14ac:dyDescent="0.25">
      <c r="B2582" s="765"/>
      <c r="C2582" s="765"/>
      <c r="D2582" s="765"/>
      <c r="E2582" s="765"/>
      <c r="F2582" s="765"/>
      <c r="G2582" s="765"/>
      <c r="H2582" s="765"/>
      <c r="I2582" s="765"/>
      <c r="J2582" s="765"/>
      <c r="K2582" s="765"/>
      <c r="L2582" s="765"/>
      <c r="M2582" s="765"/>
      <c r="N2582" s="765"/>
      <c r="O2582" s="765"/>
    </row>
    <row r="2583" spans="2:15" x14ac:dyDescent="0.25">
      <c r="B2583" s="765"/>
      <c r="C2583" s="765"/>
      <c r="D2583" s="765"/>
      <c r="E2583" s="765"/>
      <c r="F2583" s="765"/>
      <c r="G2583" s="765"/>
      <c r="H2583" s="765"/>
      <c r="I2583" s="765"/>
      <c r="J2583" s="765"/>
      <c r="K2583" s="765"/>
      <c r="L2583" s="765"/>
      <c r="M2583" s="765"/>
      <c r="N2583" s="765"/>
      <c r="O2583" s="765"/>
    </row>
    <row r="2584" spans="2:15" x14ac:dyDescent="0.25">
      <c r="B2584" s="765"/>
      <c r="C2584" s="765"/>
      <c r="D2584" s="765"/>
      <c r="E2584" s="765"/>
      <c r="F2584" s="765"/>
      <c r="G2584" s="765"/>
      <c r="H2584" s="765"/>
      <c r="I2584" s="765"/>
      <c r="J2584" s="765"/>
      <c r="K2584" s="765"/>
      <c r="L2584" s="765"/>
      <c r="M2584" s="765"/>
      <c r="N2584" s="765"/>
      <c r="O2584" s="765"/>
    </row>
    <row r="2585" spans="2:15" x14ac:dyDescent="0.25">
      <c r="B2585" s="765"/>
      <c r="C2585" s="765"/>
      <c r="D2585" s="765"/>
      <c r="E2585" s="765"/>
      <c r="F2585" s="765"/>
      <c r="G2585" s="765"/>
      <c r="H2585" s="765"/>
      <c r="I2585" s="765"/>
      <c r="J2585" s="765"/>
      <c r="K2585" s="765"/>
      <c r="L2585" s="765"/>
      <c r="M2585" s="765"/>
      <c r="N2585" s="765"/>
      <c r="O2585" s="765"/>
    </row>
    <row r="2586" spans="2:15" x14ac:dyDescent="0.25">
      <c r="B2586" s="765"/>
      <c r="C2586" s="765"/>
      <c r="D2586" s="765"/>
      <c r="E2586" s="765"/>
      <c r="F2586" s="765"/>
      <c r="G2586" s="765"/>
      <c r="H2586" s="765"/>
      <c r="I2586" s="765"/>
      <c r="J2586" s="765"/>
      <c r="K2586" s="765"/>
      <c r="L2586" s="765"/>
      <c r="M2586" s="765"/>
      <c r="N2586" s="765"/>
      <c r="O2586" s="765"/>
    </row>
    <row r="2587" spans="2:15" x14ac:dyDescent="0.25">
      <c r="B2587" s="765"/>
      <c r="C2587" s="765"/>
      <c r="D2587" s="765"/>
      <c r="E2587" s="765"/>
      <c r="F2587" s="765"/>
      <c r="G2587" s="765"/>
      <c r="H2587" s="765"/>
      <c r="I2587" s="765"/>
      <c r="J2587" s="765"/>
      <c r="K2587" s="765"/>
      <c r="L2587" s="765"/>
      <c r="M2587" s="765"/>
      <c r="N2587" s="765"/>
      <c r="O2587" s="765"/>
    </row>
    <row r="2588" spans="2:15" x14ac:dyDescent="0.25">
      <c r="B2588" s="765"/>
      <c r="C2588" s="765"/>
      <c r="D2588" s="765"/>
      <c r="E2588" s="765"/>
      <c r="F2588" s="765"/>
      <c r="G2588" s="765"/>
      <c r="H2588" s="765"/>
      <c r="I2588" s="765"/>
      <c r="J2588" s="765"/>
      <c r="K2588" s="765"/>
      <c r="L2588" s="765"/>
      <c r="M2588" s="765"/>
      <c r="N2588" s="765"/>
      <c r="O2588" s="765"/>
    </row>
    <row r="2589" spans="2:15" x14ac:dyDescent="0.25">
      <c r="B2589" s="765"/>
      <c r="C2589" s="765"/>
      <c r="D2589" s="765"/>
      <c r="E2589" s="765"/>
      <c r="F2589" s="765"/>
      <c r="G2589" s="765"/>
      <c r="H2589" s="765"/>
      <c r="I2589" s="765"/>
      <c r="J2589" s="765"/>
      <c r="K2589" s="765"/>
      <c r="L2589" s="765"/>
      <c r="M2589" s="765"/>
      <c r="N2589" s="765"/>
      <c r="O2589" s="765"/>
    </row>
    <row r="2590" spans="2:15" x14ac:dyDescent="0.25">
      <c r="B2590" s="765"/>
      <c r="C2590" s="765"/>
      <c r="D2590" s="765"/>
      <c r="E2590" s="765"/>
      <c r="F2590" s="765"/>
      <c r="G2590" s="765"/>
      <c r="H2590" s="765"/>
      <c r="I2590" s="765"/>
      <c r="J2590" s="765"/>
      <c r="K2590" s="765"/>
      <c r="L2590" s="765"/>
      <c r="M2590" s="765"/>
      <c r="N2590" s="765"/>
      <c r="O2590" s="765"/>
    </row>
    <row r="2591" spans="2:15" x14ac:dyDescent="0.25">
      <c r="B2591" s="765"/>
      <c r="C2591" s="765"/>
      <c r="D2591" s="765"/>
      <c r="E2591" s="765"/>
      <c r="F2591" s="765"/>
      <c r="G2591" s="765"/>
      <c r="H2591" s="765"/>
      <c r="I2591" s="765"/>
      <c r="J2591" s="765"/>
      <c r="K2591" s="765"/>
      <c r="L2591" s="765"/>
      <c r="M2591" s="765"/>
      <c r="N2591" s="765"/>
      <c r="O2591" s="765"/>
    </row>
    <row r="2592" spans="2:15" x14ac:dyDescent="0.25">
      <c r="B2592" s="765"/>
      <c r="C2592" s="765"/>
      <c r="D2592" s="765"/>
      <c r="E2592" s="765"/>
      <c r="F2592" s="765"/>
      <c r="G2592" s="765"/>
      <c r="H2592" s="765"/>
      <c r="I2592" s="765"/>
      <c r="J2592" s="765"/>
      <c r="K2592" s="765"/>
      <c r="L2592" s="765"/>
      <c r="M2592" s="765"/>
      <c r="N2592" s="765"/>
      <c r="O2592" s="765"/>
    </row>
    <row r="2593" spans="2:15" x14ac:dyDescent="0.25">
      <c r="B2593" s="765"/>
      <c r="C2593" s="765"/>
      <c r="D2593" s="765"/>
      <c r="E2593" s="765"/>
      <c r="F2593" s="765"/>
      <c r="G2593" s="765"/>
      <c r="H2593" s="765"/>
      <c r="I2593" s="765"/>
      <c r="J2593" s="765"/>
      <c r="K2593" s="765"/>
      <c r="L2593" s="765"/>
      <c r="M2593" s="765"/>
      <c r="N2593" s="765"/>
      <c r="O2593" s="765"/>
    </row>
    <row r="2594" spans="2:15" x14ac:dyDescent="0.25">
      <c r="B2594" s="765"/>
      <c r="C2594" s="765"/>
      <c r="D2594" s="765"/>
      <c r="E2594" s="765"/>
      <c r="F2594" s="765"/>
      <c r="G2594" s="765"/>
      <c r="H2594" s="765"/>
      <c r="I2594" s="765"/>
      <c r="J2594" s="765"/>
      <c r="K2594" s="765"/>
      <c r="L2594" s="765"/>
      <c r="M2594" s="765"/>
      <c r="N2594" s="765"/>
      <c r="O2594" s="765"/>
    </row>
    <row r="2595" spans="2:15" x14ac:dyDescent="0.25">
      <c r="B2595" s="765"/>
      <c r="C2595" s="765"/>
      <c r="D2595" s="765"/>
      <c r="E2595" s="765"/>
      <c r="F2595" s="765"/>
      <c r="G2595" s="765"/>
      <c r="H2595" s="765"/>
      <c r="I2595" s="765"/>
      <c r="J2595" s="765"/>
      <c r="K2595" s="765"/>
      <c r="L2595" s="765"/>
      <c r="M2595" s="765"/>
      <c r="N2595" s="765"/>
      <c r="O2595" s="765"/>
    </row>
    <row r="2596" spans="2:15" x14ac:dyDescent="0.25">
      <c r="B2596" s="765"/>
      <c r="C2596" s="765"/>
      <c r="D2596" s="765"/>
      <c r="E2596" s="765"/>
      <c r="F2596" s="765"/>
      <c r="G2596" s="765"/>
      <c r="H2596" s="765"/>
      <c r="I2596" s="765"/>
      <c r="J2596" s="765"/>
      <c r="K2596" s="765"/>
      <c r="L2596" s="765"/>
      <c r="M2596" s="765"/>
      <c r="N2596" s="765"/>
      <c r="O2596" s="765"/>
    </row>
    <row r="2597" spans="2:15" x14ac:dyDescent="0.25">
      <c r="B2597" s="765"/>
      <c r="C2597" s="765"/>
      <c r="D2597" s="765"/>
      <c r="E2597" s="765"/>
      <c r="F2597" s="765"/>
      <c r="G2597" s="765"/>
      <c r="H2597" s="765"/>
      <c r="I2597" s="765"/>
      <c r="J2597" s="765"/>
      <c r="K2597" s="765"/>
      <c r="L2597" s="765"/>
      <c r="M2597" s="765"/>
      <c r="N2597" s="765"/>
      <c r="O2597" s="765"/>
    </row>
    <row r="2598" spans="2:15" x14ac:dyDescent="0.25">
      <c r="B2598" s="765"/>
      <c r="C2598" s="765"/>
      <c r="D2598" s="765"/>
      <c r="E2598" s="765"/>
      <c r="F2598" s="765"/>
      <c r="G2598" s="765"/>
      <c r="H2598" s="765"/>
      <c r="I2598" s="765"/>
      <c r="J2598" s="765"/>
      <c r="K2598" s="765"/>
      <c r="L2598" s="765"/>
      <c r="M2598" s="765"/>
      <c r="N2598" s="765"/>
      <c r="O2598" s="765"/>
    </row>
    <row r="2599" spans="2:15" x14ac:dyDescent="0.25">
      <c r="B2599" s="765"/>
      <c r="C2599" s="765"/>
      <c r="D2599" s="765"/>
      <c r="E2599" s="765"/>
      <c r="F2599" s="765"/>
      <c r="G2599" s="765"/>
      <c r="H2599" s="765"/>
      <c r="I2599" s="765"/>
      <c r="J2599" s="765"/>
      <c r="K2599" s="765"/>
      <c r="L2599" s="765"/>
      <c r="M2599" s="765"/>
      <c r="N2599" s="765"/>
      <c r="O2599" s="765"/>
    </row>
    <row r="2600" spans="2:15" x14ac:dyDescent="0.25">
      <c r="B2600" s="765"/>
      <c r="C2600" s="765"/>
      <c r="D2600" s="765"/>
      <c r="E2600" s="765"/>
      <c r="F2600" s="765"/>
      <c r="G2600" s="765"/>
      <c r="H2600" s="765"/>
      <c r="I2600" s="765"/>
      <c r="J2600" s="765"/>
      <c r="K2600" s="765"/>
      <c r="L2600" s="765"/>
      <c r="M2600" s="765"/>
      <c r="N2600" s="765"/>
      <c r="O2600" s="765"/>
    </row>
    <row r="2601" spans="2:15" x14ac:dyDescent="0.25">
      <c r="B2601" s="765"/>
      <c r="C2601" s="765"/>
      <c r="D2601" s="765"/>
      <c r="E2601" s="765"/>
      <c r="F2601" s="765"/>
      <c r="G2601" s="765"/>
      <c r="H2601" s="765"/>
      <c r="I2601" s="765"/>
      <c r="J2601" s="765"/>
      <c r="K2601" s="765"/>
      <c r="L2601" s="765"/>
      <c r="M2601" s="765"/>
      <c r="N2601" s="765"/>
      <c r="O2601" s="765"/>
    </row>
    <row r="2602" spans="2:15" x14ac:dyDescent="0.25">
      <c r="B2602" s="765"/>
      <c r="C2602" s="765"/>
      <c r="D2602" s="765"/>
      <c r="E2602" s="765"/>
      <c r="F2602" s="765"/>
      <c r="G2602" s="765"/>
      <c r="H2602" s="765"/>
      <c r="I2602" s="765"/>
      <c r="J2602" s="765"/>
      <c r="K2602" s="765"/>
      <c r="L2602" s="765"/>
      <c r="M2602" s="765"/>
      <c r="N2602" s="765"/>
      <c r="O2602" s="765"/>
    </row>
    <row r="2603" spans="2:15" x14ac:dyDescent="0.25">
      <c r="B2603" s="765"/>
      <c r="C2603" s="765"/>
      <c r="D2603" s="765"/>
      <c r="E2603" s="765"/>
      <c r="F2603" s="765"/>
      <c r="G2603" s="765"/>
      <c r="H2603" s="765"/>
      <c r="I2603" s="765"/>
      <c r="J2603" s="765"/>
      <c r="K2603" s="765"/>
      <c r="L2603" s="765"/>
      <c r="M2603" s="765"/>
      <c r="N2603" s="765"/>
      <c r="O2603" s="765"/>
    </row>
    <row r="2604" spans="2:15" x14ac:dyDescent="0.25">
      <c r="B2604" s="765"/>
      <c r="C2604" s="765"/>
      <c r="D2604" s="765"/>
      <c r="E2604" s="765"/>
      <c r="F2604" s="765"/>
      <c r="G2604" s="765"/>
      <c r="H2604" s="765"/>
      <c r="I2604" s="765"/>
      <c r="J2604" s="765"/>
      <c r="K2604" s="765"/>
      <c r="L2604" s="765"/>
      <c r="M2604" s="765"/>
      <c r="N2604" s="765"/>
      <c r="O2604" s="765"/>
    </row>
    <row r="2605" spans="2:15" x14ac:dyDescent="0.25">
      <c r="B2605" s="765"/>
      <c r="C2605" s="765"/>
      <c r="D2605" s="765"/>
      <c r="E2605" s="765"/>
      <c r="F2605" s="765"/>
      <c r="G2605" s="765"/>
      <c r="H2605" s="765"/>
      <c r="I2605" s="765"/>
      <c r="J2605" s="765"/>
      <c r="K2605" s="765"/>
      <c r="L2605" s="765"/>
      <c r="M2605" s="765"/>
      <c r="N2605" s="765"/>
      <c r="O2605" s="765"/>
    </row>
    <row r="2606" spans="2:15" x14ac:dyDescent="0.25">
      <c r="B2606" s="765"/>
      <c r="C2606" s="765"/>
      <c r="D2606" s="765"/>
      <c r="E2606" s="765"/>
      <c r="F2606" s="765"/>
      <c r="G2606" s="765"/>
      <c r="H2606" s="765"/>
      <c r="I2606" s="765"/>
      <c r="J2606" s="765"/>
      <c r="K2606" s="765"/>
      <c r="L2606" s="765"/>
      <c r="M2606" s="765"/>
      <c r="N2606" s="765"/>
      <c r="O2606" s="765"/>
    </row>
    <row r="2607" spans="2:15" x14ac:dyDescent="0.25">
      <c r="B2607" s="765"/>
      <c r="C2607" s="765"/>
      <c r="D2607" s="765"/>
      <c r="E2607" s="765"/>
      <c r="F2607" s="765"/>
      <c r="G2607" s="765"/>
      <c r="H2607" s="765"/>
      <c r="I2607" s="765"/>
      <c r="J2607" s="765"/>
      <c r="K2607" s="765"/>
      <c r="L2607" s="765"/>
      <c r="M2607" s="765"/>
      <c r="N2607" s="765"/>
      <c r="O2607" s="765"/>
    </row>
    <row r="2608" spans="2:15" x14ac:dyDescent="0.25">
      <c r="B2608" s="765"/>
      <c r="C2608" s="765"/>
      <c r="D2608" s="765"/>
      <c r="E2608" s="765"/>
      <c r="F2608" s="765"/>
      <c r="G2608" s="765"/>
      <c r="H2608" s="765"/>
      <c r="I2608" s="765"/>
      <c r="J2608" s="765"/>
      <c r="K2608" s="765"/>
      <c r="L2608" s="765"/>
      <c r="M2608" s="765"/>
      <c r="N2608" s="765"/>
      <c r="O2608" s="765"/>
    </row>
    <row r="2609" spans="2:15" x14ac:dyDescent="0.25">
      <c r="B2609" s="765"/>
      <c r="C2609" s="765"/>
      <c r="D2609" s="765"/>
      <c r="E2609" s="765"/>
      <c r="F2609" s="765"/>
      <c r="G2609" s="765"/>
      <c r="H2609" s="765"/>
      <c r="I2609" s="765"/>
      <c r="J2609" s="765"/>
      <c r="K2609" s="765"/>
      <c r="L2609" s="765"/>
      <c r="M2609" s="765"/>
      <c r="N2609" s="765"/>
      <c r="O2609" s="765"/>
    </row>
    <row r="2610" spans="2:15" x14ac:dyDescent="0.25">
      <c r="B2610" s="765"/>
      <c r="C2610" s="765"/>
      <c r="D2610" s="765"/>
      <c r="E2610" s="765"/>
      <c r="F2610" s="765"/>
      <c r="G2610" s="765"/>
      <c r="H2610" s="765"/>
      <c r="I2610" s="765"/>
      <c r="J2610" s="765"/>
      <c r="K2610" s="765"/>
      <c r="L2610" s="765"/>
      <c r="M2610" s="765"/>
      <c r="N2610" s="765"/>
      <c r="O2610" s="765"/>
    </row>
    <row r="2611" spans="2:15" x14ac:dyDescent="0.25">
      <c r="B2611" s="765"/>
      <c r="C2611" s="765"/>
      <c r="D2611" s="765"/>
      <c r="E2611" s="765"/>
      <c r="F2611" s="765"/>
      <c r="G2611" s="765"/>
      <c r="H2611" s="765"/>
      <c r="I2611" s="765"/>
      <c r="J2611" s="765"/>
      <c r="K2611" s="765"/>
      <c r="L2611" s="765"/>
      <c r="M2611" s="765"/>
      <c r="N2611" s="765"/>
      <c r="O2611" s="765"/>
    </row>
    <row r="2612" spans="2:15" x14ac:dyDescent="0.25">
      <c r="B2612" s="765"/>
      <c r="C2612" s="765"/>
      <c r="D2612" s="765"/>
      <c r="E2612" s="765"/>
      <c r="F2612" s="765"/>
      <c r="G2612" s="765"/>
      <c r="H2612" s="765"/>
      <c r="I2612" s="765"/>
      <c r="J2612" s="765"/>
      <c r="K2612" s="765"/>
      <c r="L2612" s="765"/>
      <c r="M2612" s="765"/>
      <c r="N2612" s="765"/>
      <c r="O2612" s="765"/>
    </row>
    <row r="2613" spans="2:15" x14ac:dyDescent="0.25">
      <c r="B2613" s="765"/>
      <c r="C2613" s="765"/>
      <c r="D2613" s="765"/>
      <c r="E2613" s="765"/>
      <c r="F2613" s="765"/>
      <c r="G2613" s="765"/>
      <c r="H2613" s="765"/>
      <c r="I2613" s="765"/>
      <c r="J2613" s="765"/>
      <c r="K2613" s="765"/>
      <c r="L2613" s="765"/>
      <c r="M2613" s="765"/>
      <c r="N2613" s="765"/>
      <c r="O2613" s="765"/>
    </row>
    <row r="2614" spans="2:15" x14ac:dyDescent="0.25">
      <c r="B2614" s="765"/>
      <c r="C2614" s="765"/>
      <c r="D2614" s="765"/>
      <c r="E2614" s="765"/>
      <c r="F2614" s="765"/>
      <c r="G2614" s="765"/>
      <c r="H2614" s="765"/>
      <c r="I2614" s="765"/>
      <c r="J2614" s="765"/>
      <c r="K2614" s="765"/>
      <c r="L2614" s="765"/>
      <c r="M2614" s="765"/>
      <c r="N2614" s="765"/>
      <c r="O2614" s="765"/>
    </row>
    <row r="2615" spans="2:15" x14ac:dyDescent="0.25">
      <c r="B2615" s="765"/>
      <c r="C2615" s="765"/>
      <c r="D2615" s="765"/>
      <c r="E2615" s="765"/>
      <c r="F2615" s="765"/>
      <c r="G2615" s="765"/>
      <c r="H2615" s="765"/>
      <c r="I2615" s="765"/>
      <c r="J2615" s="765"/>
      <c r="K2615" s="765"/>
      <c r="L2615" s="765"/>
      <c r="M2615" s="765"/>
      <c r="N2615" s="765"/>
      <c r="O2615" s="765"/>
    </row>
    <row r="2616" spans="2:15" x14ac:dyDescent="0.25">
      <c r="B2616" s="765"/>
      <c r="C2616" s="765"/>
      <c r="D2616" s="765"/>
      <c r="E2616" s="765"/>
      <c r="F2616" s="765"/>
      <c r="G2616" s="765"/>
      <c r="H2616" s="765"/>
      <c r="I2616" s="765"/>
      <c r="J2616" s="765"/>
      <c r="K2616" s="765"/>
      <c r="L2616" s="765"/>
      <c r="M2616" s="765"/>
      <c r="N2616" s="765"/>
      <c r="O2616" s="765"/>
    </row>
    <row r="2617" spans="2:15" x14ac:dyDescent="0.25">
      <c r="B2617" s="765"/>
      <c r="C2617" s="765"/>
      <c r="D2617" s="765"/>
      <c r="E2617" s="765"/>
      <c r="F2617" s="765"/>
      <c r="G2617" s="765"/>
      <c r="H2617" s="765"/>
      <c r="I2617" s="765"/>
      <c r="J2617" s="765"/>
      <c r="K2617" s="765"/>
      <c r="L2617" s="765"/>
      <c r="M2617" s="765"/>
      <c r="N2617" s="765"/>
      <c r="O2617" s="765"/>
    </row>
    <row r="2618" spans="2:15" x14ac:dyDescent="0.25">
      <c r="B2618" s="765"/>
      <c r="C2618" s="765"/>
      <c r="D2618" s="765"/>
      <c r="E2618" s="765"/>
      <c r="F2618" s="765"/>
      <c r="G2618" s="765"/>
      <c r="H2618" s="765"/>
      <c r="I2618" s="765"/>
      <c r="J2618" s="765"/>
      <c r="K2618" s="765"/>
      <c r="L2618" s="765"/>
      <c r="M2618" s="765"/>
      <c r="N2618" s="765"/>
      <c r="O2618" s="765"/>
    </row>
    <row r="2619" spans="2:15" x14ac:dyDescent="0.25">
      <c r="B2619" s="765"/>
      <c r="C2619" s="765"/>
      <c r="D2619" s="765"/>
      <c r="E2619" s="765"/>
      <c r="F2619" s="765"/>
      <c r="G2619" s="765"/>
      <c r="H2619" s="765"/>
      <c r="I2619" s="765"/>
      <c r="J2619" s="765"/>
      <c r="K2619" s="765"/>
      <c r="L2619" s="765"/>
      <c r="M2619" s="765"/>
      <c r="N2619" s="765"/>
      <c r="O2619" s="765"/>
    </row>
    <row r="2620" spans="2:15" x14ac:dyDescent="0.25">
      <c r="B2620" s="765"/>
      <c r="C2620" s="765"/>
      <c r="D2620" s="765"/>
      <c r="E2620" s="765"/>
      <c r="F2620" s="765"/>
      <c r="G2620" s="765"/>
      <c r="H2620" s="765"/>
      <c r="I2620" s="765"/>
      <c r="J2620" s="765"/>
      <c r="K2620" s="765"/>
      <c r="L2620" s="765"/>
      <c r="M2620" s="765"/>
      <c r="N2620" s="765"/>
      <c r="O2620" s="765"/>
    </row>
    <row r="2621" spans="2:15" x14ac:dyDescent="0.25">
      <c r="B2621" s="765"/>
      <c r="C2621" s="765"/>
      <c r="D2621" s="765"/>
      <c r="E2621" s="765"/>
      <c r="F2621" s="765"/>
      <c r="G2621" s="765"/>
      <c r="H2621" s="765"/>
      <c r="I2621" s="765"/>
      <c r="J2621" s="765"/>
      <c r="K2621" s="765"/>
      <c r="L2621" s="765"/>
      <c r="M2621" s="765"/>
      <c r="N2621" s="765"/>
      <c r="O2621" s="765"/>
    </row>
    <row r="2622" spans="2:15" x14ac:dyDescent="0.25">
      <c r="B2622" s="765"/>
      <c r="C2622" s="765"/>
      <c r="D2622" s="765"/>
      <c r="E2622" s="765"/>
      <c r="F2622" s="765"/>
      <c r="G2622" s="765"/>
      <c r="H2622" s="765"/>
      <c r="I2622" s="765"/>
      <c r="J2622" s="765"/>
      <c r="K2622" s="765"/>
      <c r="L2622" s="765"/>
      <c r="M2622" s="765"/>
      <c r="N2622" s="765"/>
      <c r="O2622" s="765"/>
    </row>
    <row r="2623" spans="2:15" x14ac:dyDescent="0.25">
      <c r="B2623" s="765"/>
      <c r="C2623" s="765"/>
      <c r="D2623" s="765"/>
      <c r="E2623" s="765"/>
      <c r="F2623" s="765"/>
      <c r="G2623" s="765"/>
      <c r="H2623" s="765"/>
      <c r="I2623" s="765"/>
      <c r="J2623" s="765"/>
      <c r="K2623" s="765"/>
      <c r="L2623" s="765"/>
      <c r="M2623" s="765"/>
      <c r="N2623" s="765"/>
      <c r="O2623" s="765"/>
    </row>
    <row r="2624" spans="2:15" x14ac:dyDescent="0.25">
      <c r="B2624" s="765"/>
      <c r="C2624" s="765"/>
      <c r="D2624" s="765"/>
      <c r="E2624" s="765"/>
      <c r="F2624" s="765"/>
      <c r="G2624" s="765"/>
      <c r="H2624" s="765"/>
      <c r="I2624" s="765"/>
      <c r="J2624" s="765"/>
      <c r="K2624" s="765"/>
      <c r="L2624" s="765"/>
      <c r="M2624" s="765"/>
      <c r="N2624" s="765"/>
      <c r="O2624" s="765"/>
    </row>
    <row r="2625" spans="2:15" x14ac:dyDescent="0.25">
      <c r="B2625" s="765"/>
      <c r="C2625" s="765"/>
      <c r="D2625" s="765"/>
      <c r="E2625" s="765"/>
      <c r="F2625" s="765"/>
      <c r="G2625" s="765"/>
      <c r="H2625" s="765"/>
      <c r="I2625" s="765"/>
      <c r="J2625" s="765"/>
      <c r="K2625" s="765"/>
      <c r="L2625" s="765"/>
      <c r="M2625" s="765"/>
      <c r="N2625" s="765"/>
      <c r="O2625" s="765"/>
    </row>
    <row r="2626" spans="2:15" x14ac:dyDescent="0.25">
      <c r="B2626" s="765"/>
      <c r="C2626" s="765"/>
      <c r="D2626" s="765"/>
      <c r="E2626" s="765"/>
      <c r="F2626" s="765"/>
      <c r="G2626" s="765"/>
      <c r="H2626" s="765"/>
      <c r="I2626" s="765"/>
      <c r="J2626" s="765"/>
      <c r="K2626" s="765"/>
      <c r="L2626" s="765"/>
      <c r="M2626" s="765"/>
      <c r="N2626" s="765"/>
      <c r="O2626" s="765"/>
    </row>
    <row r="2627" spans="2:15" x14ac:dyDescent="0.25">
      <c r="B2627" s="765"/>
      <c r="C2627" s="765"/>
      <c r="D2627" s="765"/>
      <c r="E2627" s="765"/>
      <c r="F2627" s="765"/>
      <c r="G2627" s="765"/>
      <c r="H2627" s="765"/>
      <c r="I2627" s="765"/>
      <c r="J2627" s="765"/>
      <c r="K2627" s="765"/>
      <c r="L2627" s="765"/>
      <c r="M2627" s="765"/>
      <c r="N2627" s="765"/>
      <c r="O2627" s="765"/>
    </row>
    <row r="2628" spans="2:15" x14ac:dyDescent="0.25">
      <c r="B2628" s="765"/>
      <c r="C2628" s="765"/>
      <c r="D2628" s="765"/>
      <c r="E2628" s="765"/>
      <c r="F2628" s="765"/>
      <c r="G2628" s="765"/>
      <c r="H2628" s="765"/>
      <c r="I2628" s="765"/>
      <c r="J2628" s="765"/>
      <c r="K2628" s="765"/>
      <c r="L2628" s="765"/>
      <c r="M2628" s="765"/>
      <c r="N2628" s="765"/>
      <c r="O2628" s="765"/>
    </row>
    <row r="2629" spans="2:15" x14ac:dyDescent="0.25">
      <c r="B2629" s="765"/>
      <c r="C2629" s="765"/>
      <c r="D2629" s="765"/>
      <c r="E2629" s="765"/>
      <c r="F2629" s="765"/>
      <c r="G2629" s="765"/>
      <c r="H2629" s="765"/>
      <c r="I2629" s="765"/>
      <c r="J2629" s="765"/>
      <c r="K2629" s="765"/>
      <c r="L2629" s="765"/>
      <c r="M2629" s="765"/>
      <c r="N2629" s="765"/>
      <c r="O2629" s="765"/>
    </row>
    <row r="2630" spans="2:15" x14ac:dyDescent="0.25">
      <c r="B2630" s="765"/>
      <c r="C2630" s="765"/>
      <c r="D2630" s="765"/>
      <c r="E2630" s="765"/>
      <c r="F2630" s="765"/>
      <c r="G2630" s="765"/>
      <c r="H2630" s="765"/>
      <c r="I2630" s="765"/>
      <c r="J2630" s="765"/>
      <c r="K2630" s="765"/>
      <c r="L2630" s="765"/>
      <c r="M2630" s="765"/>
      <c r="N2630" s="765"/>
      <c r="O2630" s="765"/>
    </row>
    <row r="2631" spans="2:15" x14ac:dyDescent="0.25">
      <c r="B2631" s="765"/>
      <c r="C2631" s="765"/>
      <c r="D2631" s="765"/>
      <c r="E2631" s="765"/>
      <c r="F2631" s="765"/>
      <c r="G2631" s="765"/>
      <c r="H2631" s="765"/>
      <c r="I2631" s="765"/>
      <c r="J2631" s="765"/>
      <c r="K2631" s="765"/>
      <c r="L2631" s="765"/>
      <c r="M2631" s="765"/>
      <c r="N2631" s="765"/>
      <c r="O2631" s="765"/>
    </row>
    <row r="2632" spans="2:15" x14ac:dyDescent="0.25">
      <c r="B2632" s="765"/>
      <c r="C2632" s="765"/>
      <c r="D2632" s="765"/>
      <c r="E2632" s="765"/>
      <c r="F2632" s="765"/>
      <c r="G2632" s="765"/>
      <c r="H2632" s="765"/>
      <c r="I2632" s="765"/>
      <c r="J2632" s="765"/>
      <c r="K2632" s="765"/>
      <c r="L2632" s="765"/>
      <c r="M2632" s="765"/>
      <c r="N2632" s="765"/>
      <c r="O2632" s="765"/>
    </row>
    <row r="2633" spans="2:15" x14ac:dyDescent="0.25">
      <c r="B2633" s="765"/>
      <c r="C2633" s="765"/>
      <c r="D2633" s="765"/>
      <c r="E2633" s="765"/>
      <c r="F2633" s="765"/>
      <c r="G2633" s="765"/>
      <c r="H2633" s="765"/>
      <c r="I2633" s="765"/>
      <c r="J2633" s="765"/>
      <c r="K2633" s="765"/>
      <c r="L2633" s="765"/>
      <c r="M2633" s="765"/>
      <c r="N2633" s="765"/>
      <c r="O2633" s="765"/>
    </row>
    <row r="2634" spans="2:15" x14ac:dyDescent="0.25">
      <c r="B2634" s="765"/>
      <c r="C2634" s="765"/>
      <c r="D2634" s="765"/>
      <c r="E2634" s="765"/>
      <c r="F2634" s="765"/>
      <c r="G2634" s="765"/>
      <c r="H2634" s="765"/>
      <c r="I2634" s="765"/>
      <c r="J2634" s="765"/>
      <c r="K2634" s="765"/>
      <c r="L2634" s="765"/>
      <c r="M2634" s="765"/>
      <c r="N2634" s="765"/>
      <c r="O2634" s="765"/>
    </row>
    <row r="2635" spans="2:15" x14ac:dyDescent="0.25">
      <c r="B2635" s="765"/>
      <c r="C2635" s="765"/>
      <c r="D2635" s="765"/>
      <c r="E2635" s="765"/>
      <c r="F2635" s="765"/>
      <c r="G2635" s="765"/>
      <c r="H2635" s="765"/>
      <c r="I2635" s="765"/>
      <c r="J2635" s="765"/>
      <c r="K2635" s="765"/>
      <c r="L2635" s="765"/>
      <c r="M2635" s="765"/>
      <c r="N2635" s="765"/>
      <c r="O2635" s="765"/>
    </row>
    <row r="2636" spans="2:15" x14ac:dyDescent="0.25">
      <c r="B2636" s="765"/>
      <c r="C2636" s="765"/>
      <c r="D2636" s="765"/>
      <c r="E2636" s="765"/>
      <c r="F2636" s="765"/>
      <c r="G2636" s="765"/>
      <c r="H2636" s="765"/>
      <c r="I2636" s="765"/>
      <c r="J2636" s="765"/>
      <c r="K2636" s="765"/>
      <c r="L2636" s="765"/>
      <c r="M2636" s="765"/>
      <c r="N2636" s="765"/>
      <c r="O2636" s="765"/>
    </row>
    <row r="2637" spans="2:15" x14ac:dyDescent="0.25">
      <c r="B2637" s="765"/>
      <c r="C2637" s="765"/>
      <c r="D2637" s="765"/>
      <c r="E2637" s="765"/>
      <c r="F2637" s="765"/>
      <c r="G2637" s="765"/>
      <c r="H2637" s="765"/>
      <c r="I2637" s="765"/>
      <c r="J2637" s="765"/>
      <c r="K2637" s="765"/>
      <c r="L2637" s="765"/>
      <c r="M2637" s="765"/>
      <c r="N2637" s="765"/>
      <c r="O2637" s="765"/>
    </row>
    <row r="2638" spans="2:15" x14ac:dyDescent="0.25">
      <c r="B2638" s="765"/>
      <c r="C2638" s="765"/>
      <c r="D2638" s="765"/>
      <c r="E2638" s="765"/>
      <c r="F2638" s="765"/>
      <c r="G2638" s="765"/>
      <c r="H2638" s="765"/>
      <c r="I2638" s="765"/>
      <c r="J2638" s="765"/>
      <c r="K2638" s="765"/>
      <c r="L2638" s="765"/>
      <c r="M2638" s="765"/>
      <c r="N2638" s="765"/>
      <c r="O2638" s="765"/>
    </row>
    <row r="2639" spans="2:15" x14ac:dyDescent="0.25">
      <c r="B2639" s="765"/>
      <c r="C2639" s="765"/>
      <c r="D2639" s="765"/>
      <c r="E2639" s="765"/>
      <c r="F2639" s="765"/>
      <c r="G2639" s="765"/>
      <c r="H2639" s="765"/>
      <c r="I2639" s="765"/>
      <c r="J2639" s="765"/>
      <c r="K2639" s="765"/>
      <c r="L2639" s="765"/>
      <c r="M2639" s="765"/>
      <c r="N2639" s="765"/>
      <c r="O2639" s="765"/>
    </row>
    <row r="2640" spans="2:15" x14ac:dyDescent="0.25">
      <c r="B2640" s="765"/>
      <c r="C2640" s="765"/>
      <c r="D2640" s="765"/>
      <c r="E2640" s="765"/>
      <c r="F2640" s="765"/>
      <c r="G2640" s="765"/>
      <c r="H2640" s="765"/>
      <c r="I2640" s="765"/>
      <c r="J2640" s="765"/>
      <c r="K2640" s="765"/>
      <c r="L2640" s="765"/>
      <c r="M2640" s="765"/>
      <c r="N2640" s="765"/>
      <c r="O2640" s="765"/>
    </row>
  </sheetData>
  <sortState xmlns:xlrd2="http://schemas.microsoft.com/office/spreadsheetml/2017/richdata2" ref="D5:D8">
    <sortCondition ref="D5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CY995"/>
  <sheetViews>
    <sheetView workbookViewId="0">
      <pane ySplit="5" topLeftCell="A645" activePane="bottomLeft" state="frozen"/>
      <selection pane="bottomLeft" activeCell="A2" sqref="A2:BC4613"/>
    </sheetView>
  </sheetViews>
  <sheetFormatPr defaultColWidth="9.140625" defaultRowHeight="15" x14ac:dyDescent="0.25"/>
  <cols>
    <col min="1" max="1" width="16" style="2" customWidth="1"/>
    <col min="2" max="2" width="16.85546875" style="2" customWidth="1"/>
    <col min="3" max="3" width="13.85546875" style="2" customWidth="1"/>
    <col min="4" max="4" width="18" style="2" customWidth="1"/>
    <col min="5" max="5" width="15.140625" style="2" customWidth="1"/>
    <col min="6" max="6" width="21.42578125" style="2" customWidth="1"/>
    <col min="7" max="7" width="16" style="2" customWidth="1"/>
    <col min="8" max="8" width="14.140625" style="2" customWidth="1"/>
    <col min="9" max="9" width="14.85546875" style="2" customWidth="1"/>
    <col min="10" max="10" width="12.42578125" style="2" customWidth="1"/>
    <col min="11" max="11" width="14.85546875" style="2" customWidth="1"/>
    <col min="12" max="12" width="9.140625" style="2" customWidth="1"/>
    <col min="13" max="13" width="10" style="2" bestFit="1" customWidth="1"/>
    <col min="14" max="14" width="10.140625" style="2" customWidth="1"/>
    <col min="15" max="16" width="9.140625" style="2"/>
    <col min="17" max="17" width="11.42578125" style="2" customWidth="1"/>
    <col min="18" max="18" width="12.85546875" style="2" customWidth="1"/>
    <col min="19" max="19" width="11.140625" style="2" bestFit="1" customWidth="1"/>
    <col min="20" max="20" width="8.5703125" style="2" bestFit="1" customWidth="1"/>
    <col min="21" max="21" width="9.140625" style="2"/>
    <col min="22" max="22" width="11.5703125" style="2" bestFit="1" customWidth="1"/>
    <col min="23" max="23" width="12.42578125" style="2" customWidth="1"/>
    <col min="24" max="24" width="11.42578125" style="2" customWidth="1"/>
    <col min="25" max="25" width="10" style="2" customWidth="1"/>
    <col min="26" max="16384" width="9.140625" style="2"/>
  </cols>
  <sheetData>
    <row r="1" spans="1:49" ht="48" customHeight="1" x14ac:dyDescent="0.25"/>
    <row r="2" spans="1:49" ht="18.75" x14ac:dyDescent="0.25">
      <c r="A2" s="118" t="s">
        <v>165</v>
      </c>
      <c r="C2" s="2" t="s">
        <v>312</v>
      </c>
      <c r="D2" s="262" t="s">
        <v>5079</v>
      </c>
    </row>
    <row r="3" spans="1:49" x14ac:dyDescent="0.25">
      <c r="A3" s="2" t="s">
        <v>50</v>
      </c>
      <c r="B3" s="104" t="s">
        <v>5080</v>
      </c>
      <c r="C3" s="2" t="s">
        <v>313</v>
      </c>
      <c r="D3" s="2" t="s">
        <v>5081</v>
      </c>
    </row>
    <row r="4" spans="1:49" ht="15.75" thickBot="1" x14ac:dyDescent="0.3">
      <c r="A4" s="2" t="s">
        <v>128</v>
      </c>
      <c r="B4" s="2" t="s">
        <v>5082</v>
      </c>
    </row>
    <row r="5" spans="1:49" ht="42.75" customHeight="1" x14ac:dyDescent="0.25">
      <c r="A5" s="105" t="s">
        <v>130</v>
      </c>
      <c r="B5" s="105" t="s">
        <v>132</v>
      </c>
      <c r="C5" s="105" t="s">
        <v>133</v>
      </c>
      <c r="D5" s="105" t="s">
        <v>40</v>
      </c>
      <c r="E5" s="105" t="s">
        <v>414</v>
      </c>
      <c r="F5" s="106" t="s">
        <v>691</v>
      </c>
      <c r="G5" s="106" t="s">
        <v>264</v>
      </c>
      <c r="H5" s="107" t="s">
        <v>37</v>
      </c>
      <c r="I5" s="106" t="s">
        <v>265</v>
      </c>
      <c r="J5" s="106" t="s">
        <v>129</v>
      </c>
      <c r="K5" s="106" t="s">
        <v>692</v>
      </c>
      <c r="L5" s="106" t="s">
        <v>42</v>
      </c>
      <c r="M5" s="106" t="s">
        <v>134</v>
      </c>
      <c r="N5" s="106" t="s">
        <v>135</v>
      </c>
      <c r="O5" s="106" t="s">
        <v>41</v>
      </c>
      <c r="P5" s="106" t="s">
        <v>44</v>
      </c>
      <c r="Q5" s="106" t="s">
        <v>875</v>
      </c>
      <c r="R5" s="106" t="s">
        <v>537</v>
      </c>
      <c r="S5" s="106" t="s">
        <v>542</v>
      </c>
      <c r="T5" s="106" t="s">
        <v>43</v>
      </c>
      <c r="U5" s="106" t="s">
        <v>136</v>
      </c>
      <c r="V5" s="106" t="s">
        <v>137</v>
      </c>
      <c r="W5" s="106" t="s">
        <v>1614</v>
      </c>
      <c r="X5" s="106" t="s">
        <v>138</v>
      </c>
      <c r="Y5" s="106" t="s">
        <v>139</v>
      </c>
      <c r="Z5" s="106" t="s">
        <v>140</v>
      </c>
      <c r="AA5" s="106" t="s">
        <v>141</v>
      </c>
      <c r="AB5" s="106" t="s">
        <v>266</v>
      </c>
      <c r="AC5" s="106" t="s">
        <v>267</v>
      </c>
      <c r="AD5" s="106" t="s">
        <v>268</v>
      </c>
      <c r="AE5" s="106" t="s">
        <v>675</v>
      </c>
      <c r="AF5" s="106" t="s">
        <v>143</v>
      </c>
      <c r="AG5" s="106" t="s">
        <v>142</v>
      </c>
      <c r="AH5" s="106" t="s">
        <v>670</v>
      </c>
      <c r="AI5" s="106" t="s">
        <v>671</v>
      </c>
      <c r="AJ5" s="106" t="s">
        <v>672</v>
      </c>
      <c r="AK5" s="106" t="s">
        <v>725</v>
      </c>
      <c r="AL5" s="106" t="s">
        <v>678</v>
      </c>
      <c r="AM5" s="106" t="s">
        <v>693</v>
      </c>
      <c r="AN5" s="2" t="s">
        <v>950</v>
      </c>
      <c r="AO5" s="2" t="s">
        <v>2178</v>
      </c>
      <c r="AP5" s="2" t="s">
        <v>2179</v>
      </c>
      <c r="AQ5" s="2" t="s">
        <v>2180</v>
      </c>
      <c r="AR5" s="2" t="s">
        <v>2181</v>
      </c>
    </row>
    <row r="6" spans="1:49" ht="3.75" customHeight="1" x14ac:dyDescent="0.25">
      <c r="A6" s="263">
        <v>1</v>
      </c>
      <c r="B6" s="263">
        <v>2</v>
      </c>
      <c r="C6" s="263">
        <v>3</v>
      </c>
      <c r="D6" s="263">
        <v>4</v>
      </c>
      <c r="E6" s="263">
        <v>5</v>
      </c>
      <c r="F6" s="264">
        <v>6</v>
      </c>
      <c r="G6" s="264">
        <v>7</v>
      </c>
      <c r="H6" s="263">
        <v>8</v>
      </c>
      <c r="I6" s="264">
        <v>9</v>
      </c>
      <c r="J6" s="264">
        <v>10</v>
      </c>
      <c r="K6" s="264">
        <v>11</v>
      </c>
      <c r="L6" s="264">
        <v>12</v>
      </c>
      <c r="M6" s="264">
        <v>13</v>
      </c>
      <c r="N6" s="264">
        <v>14</v>
      </c>
      <c r="O6" s="264">
        <v>15</v>
      </c>
      <c r="P6" s="264">
        <v>16</v>
      </c>
      <c r="Q6" s="264">
        <v>17</v>
      </c>
      <c r="R6" s="264">
        <v>18</v>
      </c>
      <c r="S6" s="264">
        <v>19</v>
      </c>
      <c r="T6" s="264">
        <v>20</v>
      </c>
      <c r="U6" s="264">
        <v>21</v>
      </c>
      <c r="V6" s="264">
        <v>22</v>
      </c>
      <c r="W6" s="264">
        <v>23</v>
      </c>
      <c r="X6" s="264">
        <v>24</v>
      </c>
      <c r="Y6" s="264">
        <v>25</v>
      </c>
      <c r="Z6" s="264">
        <v>26</v>
      </c>
      <c r="AA6" s="264">
        <v>27</v>
      </c>
      <c r="AB6" s="264">
        <v>28</v>
      </c>
      <c r="AC6" s="264">
        <v>29</v>
      </c>
      <c r="AD6" s="264">
        <v>30</v>
      </c>
      <c r="AE6" s="264">
        <v>31</v>
      </c>
      <c r="AF6" s="264">
        <v>32</v>
      </c>
      <c r="AG6" s="264">
        <v>33</v>
      </c>
      <c r="AH6" s="264">
        <v>34</v>
      </c>
      <c r="AI6" s="2">
        <v>35</v>
      </c>
      <c r="AJ6" s="2">
        <v>36</v>
      </c>
      <c r="AK6" s="2">
        <v>37</v>
      </c>
      <c r="AL6" s="2">
        <v>38</v>
      </c>
      <c r="AM6" s="2">
        <v>39</v>
      </c>
      <c r="AN6" s="2">
        <v>40</v>
      </c>
      <c r="AO6" s="2">
        <v>41</v>
      </c>
      <c r="AP6" s="2">
        <v>42</v>
      </c>
      <c r="AQ6" s="2">
        <v>43</v>
      </c>
      <c r="AR6" s="2">
        <v>44</v>
      </c>
    </row>
    <row r="7" spans="1:49" ht="2.25" customHeight="1" thickBot="1" x14ac:dyDescent="0.3">
      <c r="A7" s="55" t="s">
        <v>130</v>
      </c>
      <c r="B7" s="55" t="s">
        <v>132</v>
      </c>
      <c r="C7" s="55" t="s">
        <v>133</v>
      </c>
      <c r="D7" s="55" t="s">
        <v>40</v>
      </c>
      <c r="E7" s="55" t="s">
        <v>414</v>
      </c>
      <c r="F7" s="55" t="s">
        <v>691</v>
      </c>
      <c r="G7" s="55" t="s">
        <v>264</v>
      </c>
      <c r="H7" s="55" t="s">
        <v>37</v>
      </c>
      <c r="I7" s="55" t="s">
        <v>265</v>
      </c>
      <c r="J7" s="55" t="s">
        <v>129</v>
      </c>
      <c r="K7" s="55" t="s">
        <v>692</v>
      </c>
      <c r="L7" s="55" t="s">
        <v>42</v>
      </c>
      <c r="M7" s="55" t="s">
        <v>134</v>
      </c>
      <c r="N7" s="55" t="s">
        <v>135</v>
      </c>
      <c r="O7" s="55" t="s">
        <v>41</v>
      </c>
      <c r="P7" s="55" t="s">
        <v>44</v>
      </c>
      <c r="Q7" s="55" t="s">
        <v>875</v>
      </c>
      <c r="R7" s="55" t="s">
        <v>537</v>
      </c>
      <c r="S7" s="55" t="s">
        <v>542</v>
      </c>
      <c r="T7" s="55" t="s">
        <v>43</v>
      </c>
      <c r="U7" s="55" t="s">
        <v>136</v>
      </c>
      <c r="V7" s="55" t="s">
        <v>137</v>
      </c>
      <c r="W7" s="55" t="s">
        <v>1614</v>
      </c>
      <c r="X7" s="55" t="s">
        <v>138</v>
      </c>
      <c r="Y7" s="55" t="s">
        <v>139</v>
      </c>
      <c r="Z7" s="55" t="s">
        <v>140</v>
      </c>
      <c r="AA7" s="55" t="s">
        <v>141</v>
      </c>
      <c r="AB7" s="55" t="s">
        <v>266</v>
      </c>
      <c r="AC7" s="55" t="s">
        <v>267</v>
      </c>
      <c r="AD7" s="55" t="s">
        <v>268</v>
      </c>
      <c r="AE7" s="55" t="s">
        <v>675</v>
      </c>
      <c r="AF7" s="55" t="s">
        <v>143</v>
      </c>
      <c r="AG7" s="55" t="s">
        <v>142</v>
      </c>
      <c r="AH7" s="55" t="s">
        <v>670</v>
      </c>
      <c r="AI7" s="2" t="s">
        <v>671</v>
      </c>
      <c r="AJ7" s="2" t="s">
        <v>672</v>
      </c>
      <c r="AK7" s="2" t="s">
        <v>725</v>
      </c>
      <c r="AL7" s="2" t="s">
        <v>678</v>
      </c>
      <c r="AM7" s="2" t="s">
        <v>693</v>
      </c>
      <c r="AN7" s="2" t="s">
        <v>950</v>
      </c>
    </row>
    <row r="8" spans="1:49" ht="15.75" thickTop="1" x14ac:dyDescent="0.25">
      <c r="A8" s="110" t="s">
        <v>607</v>
      </c>
      <c r="B8" s="108" t="s">
        <v>310</v>
      </c>
      <c r="C8" s="108" t="s">
        <v>314</v>
      </c>
      <c r="D8" s="108" t="s">
        <v>60</v>
      </c>
      <c r="E8" s="108" t="s">
        <v>60</v>
      </c>
      <c r="F8" s="265" t="s">
        <v>712</v>
      </c>
      <c r="G8" s="213" t="s">
        <v>315</v>
      </c>
      <c r="H8" s="115" t="s">
        <v>316</v>
      </c>
      <c r="I8" s="213">
        <v>1</v>
      </c>
      <c r="J8" s="109">
        <v>0</v>
      </c>
      <c r="K8" s="109" t="s">
        <v>696</v>
      </c>
      <c r="L8" s="115">
        <v>1</v>
      </c>
      <c r="M8" s="115">
        <v>100</v>
      </c>
      <c r="N8" s="115">
        <v>100</v>
      </c>
      <c r="O8" s="214">
        <v>0</v>
      </c>
      <c r="P8" s="116">
        <v>0</v>
      </c>
      <c r="Q8" s="215">
        <v>0</v>
      </c>
      <c r="R8" s="216">
        <v>0</v>
      </c>
      <c r="S8" s="217">
        <v>2.7397200000000002E-3</v>
      </c>
      <c r="T8" s="218">
        <v>0</v>
      </c>
      <c r="U8" s="115">
        <v>0</v>
      </c>
      <c r="V8" s="115">
        <v>0</v>
      </c>
      <c r="W8" s="109"/>
      <c r="X8" s="109">
        <v>0</v>
      </c>
      <c r="Y8" s="109" t="s">
        <v>310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 t="s">
        <v>625</v>
      </c>
      <c r="AF8" s="109"/>
      <c r="AG8" s="109"/>
      <c r="AH8" s="109"/>
      <c r="AM8" s="2" t="s">
        <v>310</v>
      </c>
      <c r="AN8" s="2" t="s">
        <v>952</v>
      </c>
      <c r="AO8" s="2">
        <v>1</v>
      </c>
    </row>
    <row r="9" spans="1:49" x14ac:dyDescent="0.25">
      <c r="A9" s="23" t="s">
        <v>4904</v>
      </c>
      <c r="B9" s="108" t="s">
        <v>310</v>
      </c>
      <c r="C9" s="108" t="s">
        <v>4905</v>
      </c>
      <c r="D9" s="108" t="s">
        <v>60</v>
      </c>
      <c r="E9" s="108" t="s">
        <v>60</v>
      </c>
      <c r="F9" s="114" t="s">
        <v>4906</v>
      </c>
      <c r="G9" s="213" t="s">
        <v>4907</v>
      </c>
      <c r="H9" s="115" t="s">
        <v>316</v>
      </c>
      <c r="I9" s="213">
        <v>1</v>
      </c>
      <c r="J9" s="109">
        <v>0</v>
      </c>
      <c r="K9" s="109" t="s">
        <v>696</v>
      </c>
      <c r="L9" s="115">
        <v>1</v>
      </c>
      <c r="M9" s="115">
        <v>100</v>
      </c>
      <c r="N9" s="115">
        <v>100</v>
      </c>
      <c r="O9" s="214">
        <v>0</v>
      </c>
      <c r="P9" s="115">
        <v>0</v>
      </c>
      <c r="Q9" s="769">
        <v>0</v>
      </c>
      <c r="R9" s="216">
        <v>0</v>
      </c>
      <c r="S9" s="216">
        <v>2.7397200000000002E-3</v>
      </c>
      <c r="T9" s="216">
        <v>0</v>
      </c>
      <c r="U9" s="216">
        <v>0</v>
      </c>
      <c r="V9" s="115">
        <v>0</v>
      </c>
      <c r="W9" s="109"/>
      <c r="X9" s="109">
        <v>0</v>
      </c>
      <c r="Y9" s="109" t="s">
        <v>310</v>
      </c>
      <c r="Z9" s="109">
        <v>0</v>
      </c>
      <c r="AA9" s="109">
        <v>0</v>
      </c>
      <c r="AB9" s="109">
        <v>0</v>
      </c>
      <c r="AC9" s="109">
        <v>0</v>
      </c>
      <c r="AD9" s="765">
        <v>0</v>
      </c>
      <c r="AE9" s="765" t="s">
        <v>625</v>
      </c>
      <c r="AF9" s="765"/>
      <c r="AG9" s="765"/>
      <c r="AH9" s="109"/>
      <c r="AM9" s="2" t="s">
        <v>310</v>
      </c>
      <c r="AN9" s="2" t="s">
        <v>952</v>
      </c>
      <c r="AO9" s="2">
        <v>1</v>
      </c>
      <c r="AT9" s="765"/>
      <c r="AU9" s="765"/>
      <c r="AV9" s="765"/>
      <c r="AW9" s="765"/>
    </row>
    <row r="10" spans="1:49" s="111" customFormat="1" x14ac:dyDescent="0.25">
      <c r="A10" s="23" t="s">
        <v>2918</v>
      </c>
      <c r="B10" s="108"/>
      <c r="C10" s="108" t="s">
        <v>5083</v>
      </c>
      <c r="D10" s="108"/>
      <c r="E10" s="108"/>
      <c r="F10" s="114"/>
      <c r="G10" s="213" t="s">
        <v>2919</v>
      </c>
      <c r="H10" s="115" t="s">
        <v>2920</v>
      </c>
      <c r="I10" s="213">
        <v>50000000</v>
      </c>
      <c r="J10" s="109">
        <v>2.96</v>
      </c>
      <c r="K10" s="109"/>
      <c r="L10" s="115">
        <v>1</v>
      </c>
      <c r="M10" s="115">
        <v>101.5</v>
      </c>
      <c r="N10" s="115">
        <v>101.5</v>
      </c>
      <c r="O10" s="214">
        <v>0</v>
      </c>
      <c r="P10" s="115">
        <v>5.2</v>
      </c>
      <c r="Q10" s="769"/>
      <c r="R10" s="216"/>
      <c r="S10" s="216"/>
      <c r="T10" s="216"/>
      <c r="U10" s="216"/>
      <c r="V10" s="115"/>
      <c r="W10" s="109"/>
      <c r="X10" s="109"/>
      <c r="Y10" s="109"/>
      <c r="Z10" s="109"/>
      <c r="AA10" s="109"/>
      <c r="AB10" s="109"/>
      <c r="AC10" s="109"/>
      <c r="AE10" s="111" t="s">
        <v>625</v>
      </c>
      <c r="AH10" s="109"/>
      <c r="AL10" s="111" t="s">
        <v>2921</v>
      </c>
      <c r="AM10" s="111" t="s">
        <v>2922</v>
      </c>
      <c r="AN10" s="111" t="s">
        <v>952</v>
      </c>
      <c r="AT10" s="765"/>
      <c r="AU10" s="765"/>
      <c r="AV10" s="765"/>
      <c r="AW10" s="765"/>
    </row>
    <row r="11" spans="1:49" x14ac:dyDescent="0.25">
      <c r="A11" s="23" t="s">
        <v>3302</v>
      </c>
      <c r="B11" s="108"/>
      <c r="C11" s="108" t="s">
        <v>3303</v>
      </c>
      <c r="D11" s="108"/>
      <c r="E11" s="108" t="s">
        <v>3303</v>
      </c>
      <c r="F11" s="114"/>
      <c r="G11" s="213" t="s">
        <v>3304</v>
      </c>
      <c r="H11" s="115" t="s">
        <v>3305</v>
      </c>
      <c r="I11" s="213">
        <v>10000000</v>
      </c>
      <c r="J11" s="109">
        <v>0</v>
      </c>
      <c r="K11" s="109" t="s">
        <v>696</v>
      </c>
      <c r="L11" s="115">
        <v>1</v>
      </c>
      <c r="M11" s="115">
        <v>100</v>
      </c>
      <c r="N11" s="115">
        <v>100</v>
      </c>
      <c r="O11" s="214">
        <v>0</v>
      </c>
      <c r="P11" s="115">
        <v>5</v>
      </c>
      <c r="Q11" s="769">
        <v>5</v>
      </c>
      <c r="R11" s="216">
        <v>5</v>
      </c>
      <c r="S11" s="216">
        <v>5</v>
      </c>
      <c r="T11" s="216"/>
      <c r="U11" s="216"/>
      <c r="V11" s="115"/>
      <c r="W11" s="109"/>
      <c r="X11" s="109"/>
      <c r="Y11" s="109"/>
      <c r="Z11" s="109"/>
      <c r="AA11" s="109"/>
      <c r="AB11" s="109"/>
      <c r="AC11" s="109"/>
      <c r="AD11" s="765"/>
      <c r="AE11" s="765" t="s">
        <v>10</v>
      </c>
      <c r="AF11" s="765"/>
      <c r="AG11" s="765"/>
      <c r="AH11" s="109"/>
      <c r="AL11" s="2" t="s">
        <v>2921</v>
      </c>
      <c r="AM11" s="2" t="s">
        <v>3306</v>
      </c>
      <c r="AN11" s="2" t="s">
        <v>952</v>
      </c>
      <c r="AT11" s="765"/>
      <c r="AU11" s="765"/>
      <c r="AV11" s="765"/>
      <c r="AW11" s="765"/>
    </row>
    <row r="12" spans="1:49" x14ac:dyDescent="0.25">
      <c r="A12" s="23" t="s">
        <v>3307</v>
      </c>
      <c r="B12" s="108"/>
      <c r="C12" s="108" t="s">
        <v>3308</v>
      </c>
      <c r="D12" s="108"/>
      <c r="E12" s="108" t="s">
        <v>3308</v>
      </c>
      <c r="F12" s="114"/>
      <c r="G12" s="213" t="s">
        <v>3309</v>
      </c>
      <c r="H12" s="115" t="s">
        <v>3310</v>
      </c>
      <c r="I12" s="213">
        <v>10000000</v>
      </c>
      <c r="J12" s="109">
        <v>0</v>
      </c>
      <c r="K12" s="109" t="s">
        <v>696</v>
      </c>
      <c r="L12" s="115">
        <v>1</v>
      </c>
      <c r="M12" s="115">
        <v>100</v>
      </c>
      <c r="N12" s="115">
        <v>100</v>
      </c>
      <c r="O12" s="214">
        <v>0</v>
      </c>
      <c r="P12" s="115">
        <v>0</v>
      </c>
      <c r="Q12" s="769"/>
      <c r="R12" s="216"/>
      <c r="S12" s="216"/>
      <c r="T12" s="216"/>
      <c r="U12" s="216"/>
      <c r="V12" s="115"/>
      <c r="W12" s="109"/>
      <c r="X12" s="109"/>
      <c r="Y12" s="109"/>
      <c r="Z12" s="109"/>
      <c r="AA12" s="109"/>
      <c r="AB12" s="109"/>
      <c r="AC12" s="109"/>
      <c r="AD12" s="765"/>
      <c r="AE12" s="765" t="s">
        <v>3311</v>
      </c>
      <c r="AF12" s="765"/>
      <c r="AG12" s="765"/>
      <c r="AH12" s="109"/>
      <c r="AL12" s="2" t="s">
        <v>2921</v>
      </c>
      <c r="AM12" s="2" t="s">
        <v>3312</v>
      </c>
      <c r="AN12" s="2" t="s">
        <v>952</v>
      </c>
      <c r="AT12" s="765"/>
      <c r="AU12" s="765"/>
      <c r="AV12" s="765"/>
      <c r="AW12" s="765"/>
    </row>
    <row r="13" spans="1:49" x14ac:dyDescent="0.25">
      <c r="A13" s="23" t="s">
        <v>3456</v>
      </c>
      <c r="B13" s="108" t="s">
        <v>529</v>
      </c>
      <c r="C13" s="108" t="s">
        <v>5084</v>
      </c>
      <c r="D13" s="108" t="s">
        <v>530</v>
      </c>
      <c r="E13" s="108" t="s">
        <v>3458</v>
      </c>
      <c r="F13" s="114" t="s">
        <v>698</v>
      </c>
      <c r="G13" s="213" t="s">
        <v>3459</v>
      </c>
      <c r="H13" s="115" t="s">
        <v>3460</v>
      </c>
      <c r="I13" s="213">
        <v>10500000</v>
      </c>
      <c r="J13" s="109">
        <v>6.6988599999999998</v>
      </c>
      <c r="K13" s="109" t="s">
        <v>695</v>
      </c>
      <c r="L13" s="115">
        <v>1</v>
      </c>
      <c r="M13" s="115">
        <v>0</v>
      </c>
      <c r="N13" s="115">
        <v>0</v>
      </c>
      <c r="O13" s="214">
        <v>1.1722999999999999</v>
      </c>
      <c r="P13" s="115">
        <v>4.5776000000000003</v>
      </c>
      <c r="Q13" s="769"/>
      <c r="R13" s="216"/>
      <c r="S13" s="216">
        <v>4.5776000000000003</v>
      </c>
      <c r="T13" s="216">
        <v>62</v>
      </c>
      <c r="U13" s="216"/>
      <c r="V13" s="115"/>
      <c r="W13" s="109">
        <v>644</v>
      </c>
      <c r="X13" s="109"/>
      <c r="Y13" s="109" t="s">
        <v>993</v>
      </c>
      <c r="Z13" s="109"/>
      <c r="AA13" s="109"/>
      <c r="AB13" s="109"/>
      <c r="AC13" s="109"/>
      <c r="AD13" s="765"/>
      <c r="AE13" s="765" t="s">
        <v>13</v>
      </c>
      <c r="AF13" s="765" t="s">
        <v>522</v>
      </c>
      <c r="AG13" s="765" t="s">
        <v>2796</v>
      </c>
      <c r="AH13" s="109"/>
      <c r="AL13" s="2" t="s">
        <v>680</v>
      </c>
      <c r="AM13" s="2" t="s">
        <v>711</v>
      </c>
      <c r="AN13" s="2" t="s">
        <v>952</v>
      </c>
      <c r="AO13" s="2">
        <v>1</v>
      </c>
      <c r="AP13" s="2" t="s">
        <v>4637</v>
      </c>
      <c r="AQ13" s="2" t="s">
        <v>3700</v>
      </c>
      <c r="AR13" s="2" t="s">
        <v>4638</v>
      </c>
      <c r="AT13" s="765"/>
      <c r="AU13" s="765"/>
      <c r="AV13" s="765"/>
      <c r="AW13" s="765"/>
    </row>
    <row r="14" spans="1:49" x14ac:dyDescent="0.25">
      <c r="A14" s="23" t="s">
        <v>3628</v>
      </c>
      <c r="B14" s="108" t="s">
        <v>656</v>
      </c>
      <c r="C14" s="108" t="s">
        <v>3657</v>
      </c>
      <c r="D14" s="108" t="s">
        <v>541</v>
      </c>
      <c r="E14" s="108" t="s">
        <v>3657</v>
      </c>
      <c r="F14" s="114" t="s">
        <v>699</v>
      </c>
      <c r="G14" s="213" t="s">
        <v>3658</v>
      </c>
      <c r="H14" s="115" t="s">
        <v>3659</v>
      </c>
      <c r="I14" s="213">
        <v>70000000</v>
      </c>
      <c r="J14" s="109">
        <v>4</v>
      </c>
      <c r="K14" s="109" t="s">
        <v>696</v>
      </c>
      <c r="L14" s="115">
        <v>1</v>
      </c>
      <c r="M14" s="115">
        <v>97.921000000000006</v>
      </c>
      <c r="N14" s="115">
        <v>98.286000000000001</v>
      </c>
      <c r="O14" s="214">
        <v>1.977778</v>
      </c>
      <c r="P14" s="115"/>
      <c r="Q14" s="769">
        <v>3.243033509556581</v>
      </c>
      <c r="R14" s="216">
        <v>3.2254872629950491</v>
      </c>
      <c r="S14" s="216">
        <v>3.243033509556581</v>
      </c>
      <c r="T14" s="216">
        <v>0</v>
      </c>
      <c r="U14" s="216">
        <v>4.3867015710909527</v>
      </c>
      <c r="V14" s="115"/>
      <c r="W14" s="109">
        <v>387.5</v>
      </c>
      <c r="X14" s="109">
        <v>197.1486195009895</v>
      </c>
      <c r="Y14" s="109"/>
      <c r="Z14" s="109"/>
      <c r="AA14" s="109"/>
      <c r="AB14" s="109"/>
      <c r="AC14" s="109"/>
      <c r="AD14" s="765"/>
      <c r="AE14" s="765" t="s">
        <v>10</v>
      </c>
      <c r="AF14" s="765"/>
      <c r="AG14" s="765"/>
      <c r="AH14" s="109"/>
      <c r="AI14" s="2" t="s">
        <v>20</v>
      </c>
      <c r="AL14" s="2" t="s">
        <v>680</v>
      </c>
      <c r="AM14" s="2" t="s">
        <v>812</v>
      </c>
      <c r="AN14" s="2" t="s">
        <v>952</v>
      </c>
      <c r="AT14" s="765"/>
      <c r="AU14" s="765"/>
      <c r="AV14" s="765"/>
      <c r="AW14" s="765"/>
    </row>
    <row r="15" spans="1:49" x14ac:dyDescent="0.25">
      <c r="A15" s="23" t="s">
        <v>1913</v>
      </c>
      <c r="B15" s="108" t="s">
        <v>528</v>
      </c>
      <c r="C15" s="108" t="s">
        <v>5085</v>
      </c>
      <c r="D15" s="108" t="s">
        <v>1731</v>
      </c>
      <c r="E15" s="108" t="s">
        <v>1914</v>
      </c>
      <c r="F15" s="114" t="s">
        <v>694</v>
      </c>
      <c r="G15" s="213" t="s">
        <v>1915</v>
      </c>
      <c r="H15" s="115" t="s">
        <v>1916</v>
      </c>
      <c r="I15" s="213">
        <v>1565310.37</v>
      </c>
      <c r="J15" s="109">
        <v>3.601153</v>
      </c>
      <c r="K15" s="109" t="s">
        <v>696</v>
      </c>
      <c r="L15" s="115">
        <v>0.48521710169999999</v>
      </c>
      <c r="M15" s="115">
        <v>94.945815999999994</v>
      </c>
      <c r="N15" s="115">
        <v>95.134311999999994</v>
      </c>
      <c r="O15" s="214">
        <v>0.27008599999999999</v>
      </c>
      <c r="P15" s="115">
        <v>8.0528999999999993</v>
      </c>
      <c r="Q15" s="769">
        <v>7.5152015635099998</v>
      </c>
      <c r="R15" s="216"/>
      <c r="S15" s="216">
        <v>7.5152015635099998</v>
      </c>
      <c r="T15" s="216">
        <v>26</v>
      </c>
      <c r="U15" s="216">
        <v>4.2370000000000001</v>
      </c>
      <c r="V15" s="115">
        <v>168.88759681597</v>
      </c>
      <c r="W15" s="109"/>
      <c r="X15" s="109">
        <v>126.10191994745</v>
      </c>
      <c r="Y15" s="109" t="s">
        <v>1874</v>
      </c>
      <c r="Z15" s="109">
        <v>12.94355404672485</v>
      </c>
      <c r="AA15" s="109">
        <v>35.791090774958533</v>
      </c>
      <c r="AB15" s="109" t="s">
        <v>4865</v>
      </c>
      <c r="AC15" s="109" t="s">
        <v>3496</v>
      </c>
      <c r="AD15" s="765" t="s">
        <v>252</v>
      </c>
      <c r="AE15" s="765" t="s">
        <v>8</v>
      </c>
      <c r="AF15" s="765"/>
      <c r="AG15" s="765"/>
      <c r="AH15" s="109" t="s">
        <v>8</v>
      </c>
      <c r="AI15" s="2" t="s">
        <v>16</v>
      </c>
      <c r="AL15" s="2" t="s">
        <v>680</v>
      </c>
      <c r="AM15" s="2" t="s">
        <v>709</v>
      </c>
      <c r="AN15" s="2" t="s">
        <v>952</v>
      </c>
      <c r="AO15" s="2">
        <v>0.49043294799999998</v>
      </c>
      <c r="AP15" s="2" t="s">
        <v>4673</v>
      </c>
      <c r="AQ15" s="2" t="s">
        <v>4469</v>
      </c>
      <c r="AR15" s="2" t="s">
        <v>4638</v>
      </c>
      <c r="AT15" s="765"/>
      <c r="AU15" s="765"/>
      <c r="AV15" s="765"/>
      <c r="AW15" s="765"/>
    </row>
    <row r="16" spans="1:49" s="765" customFormat="1" x14ac:dyDescent="0.25">
      <c r="A16" s="23" t="s">
        <v>5086</v>
      </c>
      <c r="B16" s="108" t="s">
        <v>529</v>
      </c>
      <c r="C16" s="108" t="s">
        <v>5087</v>
      </c>
      <c r="D16" s="108" t="s">
        <v>3063</v>
      </c>
      <c r="E16" s="108" t="s">
        <v>3064</v>
      </c>
      <c r="F16" s="114" t="s">
        <v>698</v>
      </c>
      <c r="G16" s="213" t="s">
        <v>3065</v>
      </c>
      <c r="H16" s="115" t="s">
        <v>3066</v>
      </c>
      <c r="I16" s="213">
        <v>0</v>
      </c>
      <c r="J16" s="109">
        <v>0.64488000000000001</v>
      </c>
      <c r="K16" s="109" t="s">
        <v>695</v>
      </c>
      <c r="L16" s="115">
        <v>0</v>
      </c>
      <c r="M16" s="115">
        <v>0</v>
      </c>
      <c r="N16" s="115">
        <v>0</v>
      </c>
      <c r="O16" s="214">
        <v>0</v>
      </c>
      <c r="P16" s="115">
        <v>8.6</v>
      </c>
      <c r="Q16" s="769"/>
      <c r="R16" s="216"/>
      <c r="S16" s="216">
        <v>8.6</v>
      </c>
      <c r="T16" s="216">
        <v>7</v>
      </c>
      <c r="U16" s="216"/>
      <c r="V16" s="115"/>
      <c r="W16" s="109">
        <v>40</v>
      </c>
      <c r="X16" s="109"/>
      <c r="Y16" s="109" t="s">
        <v>531</v>
      </c>
      <c r="Z16" s="109"/>
      <c r="AA16" s="109"/>
      <c r="AB16" s="109"/>
      <c r="AC16" s="109"/>
      <c r="AE16" s="765" t="s">
        <v>522</v>
      </c>
      <c r="AF16" s="765" t="s">
        <v>522</v>
      </c>
      <c r="AG16" s="765" t="s">
        <v>1066</v>
      </c>
      <c r="AH16" s="109" t="s">
        <v>2668</v>
      </c>
      <c r="AL16" s="765" t="s">
        <v>680</v>
      </c>
      <c r="AM16" s="765" t="s">
        <v>710</v>
      </c>
      <c r="AN16" s="765" t="s">
        <v>952</v>
      </c>
      <c r="AO16" s="765">
        <v>0.17506456100000001</v>
      </c>
      <c r="AP16" s="765" t="s">
        <v>5088</v>
      </c>
      <c r="AQ16" s="765" t="s">
        <v>2827</v>
      </c>
      <c r="AR16" s="765" t="s">
        <v>5089</v>
      </c>
    </row>
    <row r="17" spans="1:49" x14ac:dyDescent="0.25">
      <c r="A17" s="23" t="s">
        <v>5090</v>
      </c>
      <c r="B17" s="108" t="s">
        <v>529</v>
      </c>
      <c r="C17" s="108" t="s">
        <v>5087</v>
      </c>
      <c r="D17" s="108" t="s">
        <v>3063</v>
      </c>
      <c r="E17" s="108" t="s">
        <v>3067</v>
      </c>
      <c r="F17" s="114" t="s">
        <v>698</v>
      </c>
      <c r="G17" s="213" t="s">
        <v>3065</v>
      </c>
      <c r="H17" s="115" t="s">
        <v>3066</v>
      </c>
      <c r="I17" s="213">
        <v>0</v>
      </c>
      <c r="J17" s="109">
        <v>0.76488</v>
      </c>
      <c r="K17" s="109" t="s">
        <v>695</v>
      </c>
      <c r="L17" s="115">
        <v>0</v>
      </c>
      <c r="M17" s="115">
        <v>0</v>
      </c>
      <c r="N17" s="115">
        <v>0</v>
      </c>
      <c r="O17" s="214">
        <v>0</v>
      </c>
      <c r="P17" s="115">
        <v>9.9</v>
      </c>
      <c r="Q17" s="769"/>
      <c r="R17" s="216"/>
      <c r="S17" s="216">
        <v>9.9</v>
      </c>
      <c r="T17" s="216">
        <v>7</v>
      </c>
      <c r="U17" s="216"/>
      <c r="V17" s="115"/>
      <c r="W17" s="109">
        <v>52</v>
      </c>
      <c r="X17" s="109"/>
      <c r="Y17" s="109" t="s">
        <v>532</v>
      </c>
      <c r="Z17" s="109"/>
      <c r="AA17" s="109"/>
      <c r="AB17" s="109"/>
      <c r="AC17" s="109"/>
      <c r="AD17" s="765"/>
      <c r="AE17" s="765" t="s">
        <v>522</v>
      </c>
      <c r="AF17" s="765" t="s">
        <v>522</v>
      </c>
      <c r="AG17" s="765" t="s">
        <v>1066</v>
      </c>
      <c r="AH17" s="109" t="s">
        <v>2668</v>
      </c>
      <c r="AL17" s="2" t="s">
        <v>680</v>
      </c>
      <c r="AM17" s="2" t="s">
        <v>710</v>
      </c>
      <c r="AN17" s="2" t="s">
        <v>952</v>
      </c>
      <c r="AO17" s="2">
        <v>1</v>
      </c>
      <c r="AP17" s="2" t="s">
        <v>5088</v>
      </c>
      <c r="AQ17" s="2" t="s">
        <v>2827</v>
      </c>
      <c r="AR17" s="2" t="s">
        <v>5089</v>
      </c>
      <c r="AT17" s="765"/>
      <c r="AU17" s="765"/>
      <c r="AV17" s="765"/>
      <c r="AW17" s="765"/>
    </row>
    <row r="18" spans="1:49" x14ac:dyDescent="0.25">
      <c r="A18" s="23" t="s">
        <v>4800</v>
      </c>
      <c r="B18" s="108" t="s">
        <v>527</v>
      </c>
      <c r="C18" s="108" t="s">
        <v>5091</v>
      </c>
      <c r="D18" s="108" t="s">
        <v>4652</v>
      </c>
      <c r="E18" s="108" t="s">
        <v>4801</v>
      </c>
      <c r="F18" s="114" t="s">
        <v>694</v>
      </c>
      <c r="G18" s="213" t="s">
        <v>4811</v>
      </c>
      <c r="H18" s="115" t="s">
        <v>4812</v>
      </c>
      <c r="I18" s="213">
        <v>56300000</v>
      </c>
      <c r="J18" s="109">
        <v>4.3970000000000002</v>
      </c>
      <c r="K18" s="109" t="s">
        <v>695</v>
      </c>
      <c r="L18" s="115">
        <v>1</v>
      </c>
      <c r="M18" s="115">
        <v>97.234406000000007</v>
      </c>
      <c r="N18" s="115">
        <v>97.376373000000001</v>
      </c>
      <c r="O18" s="214">
        <v>0.15878100000000001</v>
      </c>
      <c r="P18" s="115">
        <v>1.0417000000000001</v>
      </c>
      <c r="Q18" s="769">
        <v>4.2000000000000003E-2</v>
      </c>
      <c r="R18" s="216"/>
      <c r="S18" s="216">
        <v>4.2000000000000003E-2</v>
      </c>
      <c r="T18" s="216">
        <v>13</v>
      </c>
      <c r="U18" s="216">
        <v>7.2710000000000008</v>
      </c>
      <c r="V18" s="115">
        <v>556.81666955708033</v>
      </c>
      <c r="W18" s="109">
        <v>400</v>
      </c>
      <c r="X18" s="109">
        <v>683.9</v>
      </c>
      <c r="Y18" s="109" t="s">
        <v>1861</v>
      </c>
      <c r="Z18" s="109">
        <v>0</v>
      </c>
      <c r="AA18" s="109">
        <v>0</v>
      </c>
      <c r="AB18" s="109"/>
      <c r="AC18" s="109"/>
      <c r="AD18" s="765"/>
      <c r="AE18" s="765" t="s">
        <v>13</v>
      </c>
      <c r="AF18" s="765" t="s">
        <v>5</v>
      </c>
      <c r="AG18" s="765"/>
      <c r="AH18" s="109"/>
      <c r="AL18" s="2" t="s">
        <v>680</v>
      </c>
      <c r="AM18" s="2" t="s">
        <v>2976</v>
      </c>
      <c r="AN18" s="2" t="s">
        <v>952</v>
      </c>
      <c r="AO18" s="2">
        <v>1</v>
      </c>
      <c r="AP18" s="2" t="s">
        <v>4673</v>
      </c>
      <c r="AQ18" s="2" t="s">
        <v>4396</v>
      </c>
      <c r="AR18" s="2" t="s">
        <v>4671</v>
      </c>
      <c r="AT18" s="765"/>
      <c r="AU18" s="765"/>
      <c r="AV18" s="765"/>
      <c r="AW18" s="765"/>
    </row>
    <row r="19" spans="1:49" x14ac:dyDescent="0.25">
      <c r="A19" s="23" t="s">
        <v>4438</v>
      </c>
      <c r="B19" s="108" t="s">
        <v>540</v>
      </c>
      <c r="C19" s="108" t="s">
        <v>4450</v>
      </c>
      <c r="D19" s="108" t="s">
        <v>541</v>
      </c>
      <c r="E19" s="108" t="s">
        <v>4450</v>
      </c>
      <c r="F19" s="114" t="s">
        <v>699</v>
      </c>
      <c r="G19" s="213" t="s">
        <v>4451</v>
      </c>
      <c r="H19" s="115" t="s">
        <v>4452</v>
      </c>
      <c r="I19" s="213">
        <v>60000000</v>
      </c>
      <c r="J19" s="109">
        <v>4.7</v>
      </c>
      <c r="K19" s="109" t="s">
        <v>696</v>
      </c>
      <c r="L19" s="115">
        <v>1</v>
      </c>
      <c r="M19" s="115">
        <v>98.832999999999998</v>
      </c>
      <c r="N19" s="115">
        <v>100.5415</v>
      </c>
      <c r="O19" s="214">
        <v>2.3108330000000001</v>
      </c>
      <c r="P19" s="115"/>
      <c r="Q19" s="769">
        <v>2.2926588606728422</v>
      </c>
      <c r="R19" s="216">
        <v>2.2853269672815819</v>
      </c>
      <c r="S19" s="216">
        <v>2.2926588606728422</v>
      </c>
      <c r="T19" s="216">
        <v>177</v>
      </c>
      <c r="U19" s="216">
        <v>4.240280015140387</v>
      </c>
      <c r="V19" s="115"/>
      <c r="W19" s="109">
        <v>339.161</v>
      </c>
      <c r="X19" s="109">
        <v>134.45266658903401</v>
      </c>
      <c r="Y19" s="109"/>
      <c r="Z19" s="109"/>
      <c r="AA19" s="109"/>
      <c r="AB19" s="109"/>
      <c r="AC19" s="109"/>
      <c r="AD19" s="765"/>
      <c r="AE19" s="765" t="s">
        <v>10</v>
      </c>
      <c r="AF19" s="765"/>
      <c r="AG19" s="765"/>
      <c r="AH19" s="109"/>
      <c r="AI19" s="2" t="s">
        <v>20</v>
      </c>
      <c r="AL19" s="2" t="s">
        <v>680</v>
      </c>
      <c r="AM19" s="2" t="s">
        <v>812</v>
      </c>
      <c r="AN19" s="2" t="s">
        <v>952</v>
      </c>
      <c r="AT19" s="765"/>
      <c r="AU19" s="765"/>
      <c r="AV19" s="765"/>
      <c r="AW19" s="765"/>
    </row>
    <row r="20" spans="1:49" x14ac:dyDescent="0.25">
      <c r="A20" s="23" t="s">
        <v>4437</v>
      </c>
      <c r="B20" s="108" t="s">
        <v>656</v>
      </c>
      <c r="C20" s="108" t="s">
        <v>4453</v>
      </c>
      <c r="D20" s="108" t="s">
        <v>541</v>
      </c>
      <c r="E20" s="108" t="s">
        <v>4453</v>
      </c>
      <c r="F20" s="114" t="s">
        <v>699</v>
      </c>
      <c r="G20" s="213" t="s">
        <v>4454</v>
      </c>
      <c r="H20" s="115" t="s">
        <v>2431</v>
      </c>
      <c r="I20" s="213">
        <v>50000000</v>
      </c>
      <c r="J20" s="109">
        <v>5.875</v>
      </c>
      <c r="K20" s="109" t="s">
        <v>696</v>
      </c>
      <c r="L20" s="115">
        <v>1</v>
      </c>
      <c r="M20" s="115">
        <v>107.29300000000001</v>
      </c>
      <c r="N20" s="115">
        <v>107.7405</v>
      </c>
      <c r="O20" s="214">
        <v>1.680903</v>
      </c>
      <c r="P20" s="115"/>
      <c r="Q20" s="769">
        <v>2.902981890839861</v>
      </c>
      <c r="R20" s="216">
        <v>2.8881291107516889</v>
      </c>
      <c r="S20" s="216">
        <v>2.902981890839861</v>
      </c>
      <c r="T20" s="216">
        <v>102</v>
      </c>
      <c r="U20" s="216">
        <v>4.8538581734856159</v>
      </c>
      <c r="V20" s="115"/>
      <c r="W20" s="109">
        <v>569</v>
      </c>
      <c r="X20" s="109">
        <v>72.69664868037043</v>
      </c>
      <c r="Y20" s="109"/>
      <c r="Z20" s="109"/>
      <c r="AA20" s="109"/>
      <c r="AB20" s="109"/>
      <c r="AC20" s="109"/>
      <c r="AD20" s="765"/>
      <c r="AE20" s="765" t="s">
        <v>10</v>
      </c>
      <c r="AF20" s="765"/>
      <c r="AG20" s="765"/>
      <c r="AH20" s="109"/>
      <c r="AI20" s="2" t="s">
        <v>20</v>
      </c>
      <c r="AL20" s="2" t="s">
        <v>680</v>
      </c>
      <c r="AM20" s="2" t="s">
        <v>812</v>
      </c>
      <c r="AN20" s="2" t="s">
        <v>952</v>
      </c>
      <c r="AT20" s="765"/>
      <c r="AU20" s="765"/>
      <c r="AV20" s="765"/>
      <c r="AW20" s="765"/>
    </row>
    <row r="21" spans="1:49" x14ac:dyDescent="0.25">
      <c r="A21" s="23" t="s">
        <v>1862</v>
      </c>
      <c r="B21" s="108" t="s">
        <v>526</v>
      </c>
      <c r="C21" s="108" t="s">
        <v>1863</v>
      </c>
      <c r="D21" s="108" t="s">
        <v>4066</v>
      </c>
      <c r="E21" s="108" t="s">
        <v>1864</v>
      </c>
      <c r="F21" s="114" t="s">
        <v>698</v>
      </c>
      <c r="G21" s="213" t="s">
        <v>1865</v>
      </c>
      <c r="H21" s="115" t="s">
        <v>1866</v>
      </c>
      <c r="I21" s="213">
        <v>32635000</v>
      </c>
      <c r="J21" s="109">
        <v>4.7050000000000001</v>
      </c>
      <c r="K21" s="109" t="s">
        <v>696</v>
      </c>
      <c r="L21" s="115">
        <v>1</v>
      </c>
      <c r="M21" s="115">
        <v>100.970139</v>
      </c>
      <c r="N21" s="115">
        <v>101.02985</v>
      </c>
      <c r="O21" s="214">
        <v>0.35287499999999999</v>
      </c>
      <c r="P21" s="115">
        <v>2.5472000000000001</v>
      </c>
      <c r="Q21" s="769">
        <v>2.3889999999999998</v>
      </c>
      <c r="R21" s="216"/>
      <c r="S21" s="216">
        <v>2.3889999999999998</v>
      </c>
      <c r="T21" s="216">
        <v>26</v>
      </c>
      <c r="U21" s="216">
        <v>4.2530000000000001</v>
      </c>
      <c r="V21" s="115">
        <v>176.90399951910749</v>
      </c>
      <c r="W21" s="109"/>
      <c r="X21" s="109">
        <v>168.7</v>
      </c>
      <c r="Y21" s="109" t="s">
        <v>663</v>
      </c>
      <c r="Z21" s="109">
        <v>0</v>
      </c>
      <c r="AA21" s="109">
        <v>0.33450140396960037</v>
      </c>
      <c r="AB21" s="109"/>
      <c r="AC21" s="109"/>
      <c r="AD21" s="765"/>
      <c r="AE21" s="765" t="s">
        <v>7</v>
      </c>
      <c r="AF21" s="765"/>
      <c r="AG21" s="765" t="s">
        <v>1062</v>
      </c>
      <c r="AH21" s="109"/>
      <c r="AI21" s="2" t="s">
        <v>7</v>
      </c>
      <c r="AJ21" s="2" t="s">
        <v>7</v>
      </c>
      <c r="AL21" s="2" t="s">
        <v>680</v>
      </c>
      <c r="AM21" s="2" t="s">
        <v>2895</v>
      </c>
      <c r="AN21" s="2" t="s">
        <v>952</v>
      </c>
      <c r="AO21" s="2">
        <v>1</v>
      </c>
      <c r="AP21" s="2" t="s">
        <v>4673</v>
      </c>
      <c r="AQ21" s="2" t="s">
        <v>4639</v>
      </c>
      <c r="AR21" s="2" t="s">
        <v>4793</v>
      </c>
      <c r="AT21" s="765"/>
      <c r="AU21" s="765"/>
      <c r="AV21" s="765"/>
      <c r="AW21" s="765"/>
    </row>
    <row r="22" spans="1:49" x14ac:dyDescent="0.25">
      <c r="A22" s="23" t="s">
        <v>1881</v>
      </c>
      <c r="B22" s="108" t="s">
        <v>526</v>
      </c>
      <c r="C22" s="108" t="s">
        <v>1863</v>
      </c>
      <c r="D22" s="108" t="s">
        <v>4813</v>
      </c>
      <c r="E22" s="108" t="s">
        <v>1882</v>
      </c>
      <c r="F22" s="114" t="s">
        <v>698</v>
      </c>
      <c r="G22" s="213" t="s">
        <v>1884</v>
      </c>
      <c r="H22" s="115" t="s">
        <v>1883</v>
      </c>
      <c r="I22" s="213">
        <v>41246000</v>
      </c>
      <c r="J22" s="109">
        <v>4.6909999999999998</v>
      </c>
      <c r="K22" s="109" t="s">
        <v>696</v>
      </c>
      <c r="L22" s="115">
        <v>1</v>
      </c>
      <c r="M22" s="115">
        <v>101.42346999999999</v>
      </c>
      <c r="N22" s="115">
        <v>101.505157</v>
      </c>
      <c r="O22" s="214">
        <v>0.351825</v>
      </c>
      <c r="P22" s="115">
        <v>3.5472000000000001</v>
      </c>
      <c r="Q22" s="769">
        <v>3.2490000000000001</v>
      </c>
      <c r="R22" s="216"/>
      <c r="S22" s="216">
        <v>3.2490000000000001</v>
      </c>
      <c r="T22" s="216">
        <v>27</v>
      </c>
      <c r="U22" s="216">
        <v>4.2320000000000002</v>
      </c>
      <c r="V22" s="115">
        <v>164.5637957035924</v>
      </c>
      <c r="W22" s="109"/>
      <c r="X22" s="109">
        <v>157.9</v>
      </c>
      <c r="Y22" s="109" t="s">
        <v>663</v>
      </c>
      <c r="Z22" s="109">
        <v>0</v>
      </c>
      <c r="AA22" s="109">
        <v>6.1545994788136937E-2</v>
      </c>
      <c r="AB22" s="109"/>
      <c r="AC22" s="109"/>
      <c r="AD22" s="765"/>
      <c r="AE22" s="765" t="s">
        <v>7</v>
      </c>
      <c r="AF22" s="765"/>
      <c r="AG22" s="765" t="s">
        <v>1062</v>
      </c>
      <c r="AH22" s="109"/>
      <c r="AI22" s="2" t="s">
        <v>7</v>
      </c>
      <c r="AJ22" s="2" t="s">
        <v>7</v>
      </c>
      <c r="AL22" s="2" t="s">
        <v>680</v>
      </c>
      <c r="AM22" s="2" t="s">
        <v>2895</v>
      </c>
      <c r="AN22" s="2" t="s">
        <v>952</v>
      </c>
      <c r="AO22" s="2">
        <v>1</v>
      </c>
      <c r="AP22" s="2" t="s">
        <v>4673</v>
      </c>
      <c r="AQ22" s="2" t="s">
        <v>4639</v>
      </c>
      <c r="AR22" s="2" t="s">
        <v>4793</v>
      </c>
      <c r="AT22" s="765"/>
      <c r="AU22" s="765"/>
      <c r="AV22" s="765"/>
      <c r="AW22" s="765"/>
    </row>
    <row r="23" spans="1:49" x14ac:dyDescent="0.25">
      <c r="A23" s="23" t="s">
        <v>3641</v>
      </c>
      <c r="B23" s="108" t="s">
        <v>526</v>
      </c>
      <c r="C23" s="108" t="s">
        <v>1863</v>
      </c>
      <c r="D23" s="108" t="s">
        <v>4813</v>
      </c>
      <c r="E23" s="108" t="s">
        <v>3660</v>
      </c>
      <c r="F23" s="114" t="s">
        <v>698</v>
      </c>
      <c r="G23" s="213" t="s">
        <v>1884</v>
      </c>
      <c r="H23" s="115" t="s">
        <v>1883</v>
      </c>
      <c r="I23" s="213">
        <v>74242000</v>
      </c>
      <c r="J23" s="109">
        <v>6.07</v>
      </c>
      <c r="K23" s="109" t="s">
        <v>696</v>
      </c>
      <c r="L23" s="115">
        <v>1</v>
      </c>
      <c r="M23" s="115">
        <v>103.654465</v>
      </c>
      <c r="N23" s="115">
        <v>103.735966</v>
      </c>
      <c r="O23" s="214">
        <v>0.45524999999999999</v>
      </c>
      <c r="P23" s="115">
        <v>3.5472000000000001</v>
      </c>
      <c r="Q23" s="769">
        <v>3.1789999999999998</v>
      </c>
      <c r="R23" s="216"/>
      <c r="S23" s="216">
        <v>3.1789999999999998</v>
      </c>
      <c r="T23" s="216">
        <v>27</v>
      </c>
      <c r="U23" s="216">
        <v>4.9130000000000003</v>
      </c>
      <c r="V23" s="115">
        <v>232.66177162195191</v>
      </c>
      <c r="W23" s="109"/>
      <c r="X23" s="109">
        <v>225.6</v>
      </c>
      <c r="Y23" s="109" t="s">
        <v>663</v>
      </c>
      <c r="Z23" s="109">
        <v>0</v>
      </c>
      <c r="AA23" s="109">
        <v>6.1545994788136937E-2</v>
      </c>
      <c r="AB23" s="109"/>
      <c r="AC23" s="109"/>
      <c r="AD23" s="765"/>
      <c r="AE23" s="765" t="s">
        <v>8</v>
      </c>
      <c r="AF23" s="765"/>
      <c r="AG23" s="765" t="s">
        <v>522</v>
      </c>
      <c r="AH23" s="109"/>
      <c r="AI23" s="2" t="s">
        <v>17</v>
      </c>
      <c r="AJ23" s="2" t="s">
        <v>2545</v>
      </c>
      <c r="AL23" s="2" t="s">
        <v>680</v>
      </c>
      <c r="AM23" s="2" t="s">
        <v>2895</v>
      </c>
      <c r="AN23" s="2" t="s">
        <v>952</v>
      </c>
      <c r="AO23" s="2">
        <v>1</v>
      </c>
      <c r="AP23" s="2" t="s">
        <v>4673</v>
      </c>
      <c r="AQ23" s="2" t="s">
        <v>4639</v>
      </c>
      <c r="AR23" s="2" t="s">
        <v>4793</v>
      </c>
      <c r="AT23" s="765"/>
      <c r="AU23" s="765"/>
      <c r="AV23" s="765"/>
      <c r="AW23" s="765"/>
    </row>
    <row r="24" spans="1:49" x14ac:dyDescent="0.25">
      <c r="A24" s="23" t="s">
        <v>4436</v>
      </c>
      <c r="B24" s="108" t="s">
        <v>540</v>
      </c>
      <c r="C24" s="108" t="s">
        <v>4455</v>
      </c>
      <c r="D24" s="108" t="s">
        <v>541</v>
      </c>
      <c r="E24" s="108" t="s">
        <v>4455</v>
      </c>
      <c r="F24" s="114" t="s">
        <v>699</v>
      </c>
      <c r="G24" s="213" t="s">
        <v>4456</v>
      </c>
      <c r="H24" s="115" t="s">
        <v>4457</v>
      </c>
      <c r="I24" s="213">
        <v>120000000</v>
      </c>
      <c r="J24" s="109">
        <v>4.25</v>
      </c>
      <c r="K24" s="109" t="s">
        <v>696</v>
      </c>
      <c r="L24" s="115">
        <v>1</v>
      </c>
      <c r="M24" s="115">
        <v>99.331999999999994</v>
      </c>
      <c r="N24" s="115">
        <v>99.788499999999999</v>
      </c>
      <c r="O24" s="214">
        <v>1.2159720000000001</v>
      </c>
      <c r="P24" s="115"/>
      <c r="Q24" s="769">
        <v>2.5177257391778629</v>
      </c>
      <c r="R24" s="216">
        <v>2.502142627056827</v>
      </c>
      <c r="S24" s="216">
        <v>2.5177257391778629</v>
      </c>
      <c r="T24" s="216">
        <v>103</v>
      </c>
      <c r="U24" s="216">
        <v>3.7183822467732921</v>
      </c>
      <c r="V24" s="115"/>
      <c r="W24" s="109">
        <v>294</v>
      </c>
      <c r="X24" s="109">
        <v>172.5123432155533</v>
      </c>
      <c r="Y24" s="109"/>
      <c r="Z24" s="109"/>
      <c r="AA24" s="109"/>
      <c r="AB24" s="109"/>
      <c r="AC24" s="109"/>
      <c r="AD24" s="765"/>
      <c r="AE24" s="765" t="s">
        <v>9</v>
      </c>
      <c r="AF24" s="765"/>
      <c r="AG24" s="765"/>
      <c r="AH24" s="109"/>
      <c r="AI24" s="2" t="s">
        <v>10</v>
      </c>
      <c r="AK24" s="2" t="s">
        <v>18</v>
      </c>
      <c r="AL24" s="2" t="s">
        <v>680</v>
      </c>
      <c r="AM24" s="2" t="s">
        <v>812</v>
      </c>
      <c r="AN24" s="2" t="s">
        <v>952</v>
      </c>
      <c r="AT24" s="765"/>
      <c r="AU24" s="765"/>
      <c r="AV24" s="765"/>
      <c r="AW24" s="765"/>
    </row>
    <row r="25" spans="1:49" x14ac:dyDescent="0.25">
      <c r="A25" s="23" t="s">
        <v>5065</v>
      </c>
      <c r="B25" s="108" t="s">
        <v>528</v>
      </c>
      <c r="C25" s="108" t="s">
        <v>1018</v>
      </c>
      <c r="D25" s="108" t="s">
        <v>5092</v>
      </c>
      <c r="E25" s="108" t="s">
        <v>5093</v>
      </c>
      <c r="F25" s="114" t="s">
        <v>694</v>
      </c>
      <c r="G25" s="213" t="s">
        <v>1199</v>
      </c>
      <c r="H25" s="115" t="s">
        <v>1907</v>
      </c>
      <c r="I25" s="213">
        <v>28277226.09</v>
      </c>
      <c r="J25" s="109">
        <v>3.92</v>
      </c>
      <c r="K25" s="109" t="s">
        <v>696</v>
      </c>
      <c r="L25" s="115">
        <v>7.2478760700000006E-2</v>
      </c>
      <c r="M25" s="115">
        <v>100</v>
      </c>
      <c r="N25" s="115">
        <v>100</v>
      </c>
      <c r="O25" s="214">
        <v>0.29399999999999998</v>
      </c>
      <c r="P25" s="115">
        <v>6.9400000000000003E-2</v>
      </c>
      <c r="Q25" s="769">
        <v>0.29874954348999999</v>
      </c>
      <c r="R25" s="216"/>
      <c r="S25" s="216">
        <v>0.29874954348999999</v>
      </c>
      <c r="T25" s="216">
        <v>26</v>
      </c>
      <c r="U25" s="216">
        <v>2.5590000000000002</v>
      </c>
      <c r="V25" s="115">
        <v>0.17220356701</v>
      </c>
      <c r="W25" s="109"/>
      <c r="X25" s="109">
        <v>217.21445668953001</v>
      </c>
      <c r="Y25" s="109" t="s">
        <v>5094</v>
      </c>
      <c r="Z25" s="109">
        <v>56.343911158371839</v>
      </c>
      <c r="AA25" s="109">
        <v>44.057281351783693</v>
      </c>
      <c r="AB25" s="109" t="s">
        <v>3712</v>
      </c>
      <c r="AC25" s="109" t="s">
        <v>245</v>
      </c>
      <c r="AD25" s="765" t="s">
        <v>253</v>
      </c>
      <c r="AE25" s="765" t="s">
        <v>7</v>
      </c>
      <c r="AF25" s="765"/>
      <c r="AG25" s="765"/>
      <c r="AH25" s="109" t="s">
        <v>7</v>
      </c>
      <c r="AJ25" s="2" t="s">
        <v>7</v>
      </c>
      <c r="AL25" s="2" t="s">
        <v>680</v>
      </c>
      <c r="AM25" s="2" t="s">
        <v>1668</v>
      </c>
      <c r="AN25" s="2" t="s">
        <v>952</v>
      </c>
      <c r="AO25" s="2">
        <v>9.4311596999999997E-2</v>
      </c>
      <c r="AP25" s="2" t="s">
        <v>4673</v>
      </c>
      <c r="AQ25" s="2" t="s">
        <v>4469</v>
      </c>
      <c r="AR25" s="2" t="s">
        <v>4638</v>
      </c>
      <c r="AT25" s="765"/>
      <c r="AU25" s="765"/>
      <c r="AV25" s="765"/>
      <c r="AW25" s="765"/>
    </row>
    <row r="26" spans="1:49" x14ac:dyDescent="0.25">
      <c r="A26" s="23" t="s">
        <v>5064</v>
      </c>
      <c r="B26" s="108" t="s">
        <v>528</v>
      </c>
      <c r="C26" s="108" t="s">
        <v>1018</v>
      </c>
      <c r="D26" s="108" t="s">
        <v>5092</v>
      </c>
      <c r="E26" s="108" t="s">
        <v>5095</v>
      </c>
      <c r="F26" s="114" t="s">
        <v>694</v>
      </c>
      <c r="G26" s="213" t="s">
        <v>1199</v>
      </c>
      <c r="H26" s="115" t="s">
        <v>1907</v>
      </c>
      <c r="I26" s="213">
        <v>4589477.6500000004</v>
      </c>
      <c r="J26" s="109">
        <v>4.0220000000000002</v>
      </c>
      <c r="K26" s="109" t="s">
        <v>696</v>
      </c>
      <c r="L26" s="115">
        <v>8.4590869999999999E-2</v>
      </c>
      <c r="M26" s="115">
        <v>100</v>
      </c>
      <c r="N26" s="115">
        <v>100</v>
      </c>
      <c r="O26" s="214">
        <v>0.30164999999999997</v>
      </c>
      <c r="P26" s="115">
        <v>6.9400000000000003E-2</v>
      </c>
      <c r="Q26" s="769">
        <v>0.29864588787000002</v>
      </c>
      <c r="R26" s="216"/>
      <c r="S26" s="216">
        <v>0.29864588787000002</v>
      </c>
      <c r="T26" s="216">
        <v>27</v>
      </c>
      <c r="U26" s="216">
        <v>2.6259999999999999</v>
      </c>
      <c r="V26" s="115">
        <v>0.57788293996999995</v>
      </c>
      <c r="W26" s="109"/>
      <c r="X26" s="109">
        <v>225.04002982879999</v>
      </c>
      <c r="Y26" s="109" t="s">
        <v>5094</v>
      </c>
      <c r="Z26" s="109">
        <v>56.343911158371839</v>
      </c>
      <c r="AA26" s="109">
        <v>44.057281351783693</v>
      </c>
      <c r="AB26" s="109" t="s">
        <v>3712</v>
      </c>
      <c r="AC26" s="109" t="s">
        <v>245</v>
      </c>
      <c r="AD26" s="765" t="s">
        <v>253</v>
      </c>
      <c r="AE26" s="765" t="s">
        <v>7</v>
      </c>
      <c r="AF26" s="765"/>
      <c r="AG26" s="765"/>
      <c r="AH26" s="109" t="s">
        <v>7</v>
      </c>
      <c r="AJ26" s="2" t="s">
        <v>7</v>
      </c>
      <c r="AL26" s="2" t="s">
        <v>680</v>
      </c>
      <c r="AM26" s="2" t="s">
        <v>1668</v>
      </c>
      <c r="AN26" s="2" t="s">
        <v>952</v>
      </c>
      <c r="AO26" s="2">
        <v>0.110072247</v>
      </c>
      <c r="AP26" s="2" t="s">
        <v>4673</v>
      </c>
      <c r="AQ26" s="2" t="s">
        <v>4469</v>
      </c>
      <c r="AR26" s="2" t="s">
        <v>4638</v>
      </c>
      <c r="AT26" s="765"/>
      <c r="AU26" s="765"/>
      <c r="AV26" s="765"/>
      <c r="AW26" s="765"/>
    </row>
    <row r="27" spans="1:49" x14ac:dyDescent="0.25">
      <c r="A27" s="23" t="s">
        <v>5063</v>
      </c>
      <c r="B27" s="108" t="s">
        <v>528</v>
      </c>
      <c r="C27" s="108" t="s">
        <v>1018</v>
      </c>
      <c r="D27" s="108" t="s">
        <v>5092</v>
      </c>
      <c r="E27" s="108" t="s">
        <v>5096</v>
      </c>
      <c r="F27" s="114" t="s">
        <v>694</v>
      </c>
      <c r="G27" s="213" t="s">
        <v>1199</v>
      </c>
      <c r="H27" s="115" t="s">
        <v>1907</v>
      </c>
      <c r="I27" s="213">
        <v>4151043.17</v>
      </c>
      <c r="J27" s="109">
        <v>4.1239999999999997</v>
      </c>
      <c r="K27" s="109" t="s">
        <v>696</v>
      </c>
      <c r="L27" s="115">
        <v>8.4590869900000004E-2</v>
      </c>
      <c r="M27" s="115">
        <v>100</v>
      </c>
      <c r="N27" s="115">
        <v>100</v>
      </c>
      <c r="O27" s="214">
        <v>0.30930000000000002</v>
      </c>
      <c r="P27" s="115">
        <v>6.9400000000000003E-2</v>
      </c>
      <c r="Q27" s="769">
        <v>0.29769958761999998</v>
      </c>
      <c r="R27" s="216"/>
      <c r="S27" s="216">
        <v>0.29769958761999998</v>
      </c>
      <c r="T27" s="216">
        <v>27</v>
      </c>
      <c r="U27" s="216">
        <v>2.6930000000000001</v>
      </c>
      <c r="V27" s="115">
        <v>0.98350302246999999</v>
      </c>
      <c r="W27" s="109"/>
      <c r="X27" s="109">
        <v>232.84567070287</v>
      </c>
      <c r="Y27" s="109" t="s">
        <v>5094</v>
      </c>
      <c r="Z27" s="109">
        <v>56.343911158371839</v>
      </c>
      <c r="AA27" s="109">
        <v>44.057281351783693</v>
      </c>
      <c r="AB27" s="109" t="s">
        <v>3712</v>
      </c>
      <c r="AC27" s="109" t="s">
        <v>245</v>
      </c>
      <c r="AD27" s="765" t="s">
        <v>253</v>
      </c>
      <c r="AE27" s="765" t="s">
        <v>7</v>
      </c>
      <c r="AF27" s="765"/>
      <c r="AG27" s="765"/>
      <c r="AH27" s="109" t="s">
        <v>7</v>
      </c>
      <c r="AJ27" s="2" t="s">
        <v>1543</v>
      </c>
      <c r="AL27" s="2" t="s">
        <v>680</v>
      </c>
      <c r="AM27" s="2" t="s">
        <v>1668</v>
      </c>
      <c r="AN27" s="2" t="s">
        <v>952</v>
      </c>
      <c r="AO27" s="2">
        <v>0.110072247</v>
      </c>
      <c r="AP27" s="2" t="s">
        <v>4673</v>
      </c>
      <c r="AQ27" s="2" t="s">
        <v>4469</v>
      </c>
      <c r="AR27" s="2" t="s">
        <v>4638</v>
      </c>
      <c r="AT27" s="765"/>
      <c r="AU27" s="765"/>
      <c r="AV27" s="765"/>
      <c r="AW27" s="765"/>
    </row>
    <row r="28" spans="1:49" x14ac:dyDescent="0.25">
      <c r="A28" s="23" t="s">
        <v>5062</v>
      </c>
      <c r="B28" s="108" t="s">
        <v>528</v>
      </c>
      <c r="C28" s="108" t="s">
        <v>1018</v>
      </c>
      <c r="D28" s="108" t="s">
        <v>5092</v>
      </c>
      <c r="E28" s="108" t="s">
        <v>5097</v>
      </c>
      <c r="F28" s="114" t="s">
        <v>694</v>
      </c>
      <c r="G28" s="213" t="s">
        <v>1199</v>
      </c>
      <c r="H28" s="115" t="s">
        <v>1907</v>
      </c>
      <c r="I28" s="213">
        <v>40844000</v>
      </c>
      <c r="J28" s="109">
        <v>4.5</v>
      </c>
      <c r="K28" s="109" t="s">
        <v>696</v>
      </c>
      <c r="L28" s="115">
        <v>1</v>
      </c>
      <c r="M28" s="115">
        <v>100</v>
      </c>
      <c r="N28" s="115">
        <v>100</v>
      </c>
      <c r="O28" s="214">
        <v>0.33750000000000002</v>
      </c>
      <c r="P28" s="115">
        <v>6.9400000000000003E-2</v>
      </c>
      <c r="Q28" s="769">
        <v>1.48692747962</v>
      </c>
      <c r="R28" s="216"/>
      <c r="S28" s="216">
        <v>1.48692747962</v>
      </c>
      <c r="T28" s="216">
        <v>27</v>
      </c>
      <c r="U28" s="216">
        <v>4.0389999999999997</v>
      </c>
      <c r="V28" s="115">
        <v>2.47821818803</v>
      </c>
      <c r="W28" s="109"/>
      <c r="X28" s="109">
        <v>229.68353512624</v>
      </c>
      <c r="Y28" s="109" t="s">
        <v>5098</v>
      </c>
      <c r="Z28" s="109">
        <v>56.343911158371839</v>
      </c>
      <c r="AA28" s="109">
        <v>44.057281351783693</v>
      </c>
      <c r="AB28" s="109" t="s">
        <v>3712</v>
      </c>
      <c r="AC28" s="109" t="s">
        <v>245</v>
      </c>
      <c r="AD28" s="765" t="s">
        <v>253</v>
      </c>
      <c r="AE28" s="765" t="s">
        <v>8</v>
      </c>
      <c r="AF28" s="765"/>
      <c r="AG28" s="765"/>
      <c r="AH28" s="109" t="s">
        <v>8</v>
      </c>
      <c r="AJ28" s="2" t="s">
        <v>9</v>
      </c>
      <c r="AL28" s="2" t="s">
        <v>680</v>
      </c>
      <c r="AM28" s="2" t="s">
        <v>1668</v>
      </c>
      <c r="AN28" s="2" t="s">
        <v>952</v>
      </c>
      <c r="AO28" s="2">
        <v>1</v>
      </c>
      <c r="AP28" s="2" t="s">
        <v>4673</v>
      </c>
      <c r="AQ28" s="2" t="s">
        <v>4469</v>
      </c>
      <c r="AR28" s="2" t="s">
        <v>4638</v>
      </c>
      <c r="AT28" s="765"/>
      <c r="AU28" s="765"/>
      <c r="AV28" s="765"/>
      <c r="AW28" s="765"/>
    </row>
    <row r="29" spans="1:49" x14ac:dyDescent="0.25">
      <c r="A29" s="23" t="s">
        <v>2544</v>
      </c>
      <c r="B29" s="108" t="s">
        <v>528</v>
      </c>
      <c r="C29" s="108" t="s">
        <v>1018</v>
      </c>
      <c r="D29" s="108" t="s">
        <v>5099</v>
      </c>
      <c r="E29" s="108" t="s">
        <v>2546</v>
      </c>
      <c r="F29" s="114" t="s">
        <v>694</v>
      </c>
      <c r="G29" s="213" t="s">
        <v>1145</v>
      </c>
      <c r="H29" s="115" t="s">
        <v>2582</v>
      </c>
      <c r="I29" s="213">
        <v>17301937.93</v>
      </c>
      <c r="J29" s="109">
        <v>3.649</v>
      </c>
      <c r="K29" s="109" t="s">
        <v>696</v>
      </c>
      <c r="L29" s="115">
        <v>6.7051639199999999E-2</v>
      </c>
      <c r="M29" s="115">
        <v>100</v>
      </c>
      <c r="N29" s="115">
        <v>100</v>
      </c>
      <c r="O29" s="214">
        <v>0.273675</v>
      </c>
      <c r="P29" s="115">
        <v>6.9400000000000003E-2</v>
      </c>
      <c r="Q29" s="769">
        <v>0.35328865728999997</v>
      </c>
      <c r="R29" s="216"/>
      <c r="S29" s="216">
        <v>0.35328865728999997</v>
      </c>
      <c r="T29" s="216">
        <v>27</v>
      </c>
      <c r="U29" s="216">
        <v>3.2559999999999998</v>
      </c>
      <c r="V29" s="115">
        <v>-0.90591901118999996</v>
      </c>
      <c r="W29" s="109"/>
      <c r="X29" s="109">
        <v>196.45098193634001</v>
      </c>
      <c r="Y29" s="109" t="s">
        <v>1542</v>
      </c>
      <c r="Z29" s="109">
        <v>21.35259995158837</v>
      </c>
      <c r="AA29" s="109">
        <v>36.747470486849679</v>
      </c>
      <c r="AB29" s="109" t="s">
        <v>3978</v>
      </c>
      <c r="AC29" s="109" t="s">
        <v>1663</v>
      </c>
      <c r="AD29" s="765" t="s">
        <v>251</v>
      </c>
      <c r="AE29" s="765" t="s">
        <v>7</v>
      </c>
      <c r="AF29" s="765"/>
      <c r="AG29" s="765"/>
      <c r="AH29" s="109" t="s">
        <v>7</v>
      </c>
      <c r="AJ29" s="2" t="s">
        <v>7</v>
      </c>
      <c r="AL29" s="2" t="s">
        <v>680</v>
      </c>
      <c r="AM29" s="2" t="s">
        <v>1668</v>
      </c>
      <c r="AN29" s="2" t="s">
        <v>952</v>
      </c>
      <c r="AO29" s="2">
        <v>7.2866254000000005E-2</v>
      </c>
      <c r="AP29" s="2" t="s">
        <v>4673</v>
      </c>
      <c r="AQ29" s="2" t="s">
        <v>4469</v>
      </c>
      <c r="AR29" s="2" t="s">
        <v>4638</v>
      </c>
      <c r="AT29" s="765"/>
      <c r="AU29" s="765"/>
      <c r="AV29" s="765"/>
      <c r="AW29" s="765"/>
    </row>
    <row r="30" spans="1:49" x14ac:dyDescent="0.25">
      <c r="A30" s="23" t="s">
        <v>2541</v>
      </c>
      <c r="B30" s="108" t="s">
        <v>528</v>
      </c>
      <c r="C30" s="108" t="s">
        <v>1018</v>
      </c>
      <c r="D30" s="108" t="s">
        <v>5099</v>
      </c>
      <c r="E30" s="108" t="s">
        <v>2547</v>
      </c>
      <c r="F30" s="114" t="s">
        <v>694</v>
      </c>
      <c r="G30" s="213" t="s">
        <v>1145</v>
      </c>
      <c r="H30" s="115" t="s">
        <v>2582</v>
      </c>
      <c r="I30" s="213">
        <v>20184000</v>
      </c>
      <c r="J30" s="109">
        <v>4.4210000000000003</v>
      </c>
      <c r="K30" s="109" t="s">
        <v>696</v>
      </c>
      <c r="L30" s="115">
        <v>1</v>
      </c>
      <c r="M30" s="115">
        <v>100</v>
      </c>
      <c r="N30" s="115">
        <v>100</v>
      </c>
      <c r="O30" s="214">
        <v>0.33157500000000001</v>
      </c>
      <c r="P30" s="115">
        <v>6.9400000000000003E-2</v>
      </c>
      <c r="Q30" s="769">
        <v>1.4977925975299999</v>
      </c>
      <c r="R30" s="216"/>
      <c r="S30" s="216">
        <v>1.4977925975299999</v>
      </c>
      <c r="T30" s="216">
        <v>27</v>
      </c>
      <c r="U30" s="216">
        <v>4.2949999999999999</v>
      </c>
      <c r="V30" s="115">
        <v>2.16423577724</v>
      </c>
      <c r="W30" s="109"/>
      <c r="X30" s="109">
        <v>223.71527679856001</v>
      </c>
      <c r="Y30" s="109" t="s">
        <v>2027</v>
      </c>
      <c r="Z30" s="109">
        <v>21.35259995158837</v>
      </c>
      <c r="AA30" s="109">
        <v>36.747470486849679</v>
      </c>
      <c r="AB30" s="109" t="s">
        <v>3978</v>
      </c>
      <c r="AC30" s="109" t="s">
        <v>1663</v>
      </c>
      <c r="AD30" s="765" t="s">
        <v>251</v>
      </c>
      <c r="AE30" s="765" t="s">
        <v>8</v>
      </c>
      <c r="AF30" s="765"/>
      <c r="AG30" s="765"/>
      <c r="AH30" s="109" t="s">
        <v>8</v>
      </c>
      <c r="AJ30" s="2" t="s">
        <v>9</v>
      </c>
      <c r="AL30" s="2" t="s">
        <v>680</v>
      </c>
      <c r="AM30" s="2" t="s">
        <v>1668</v>
      </c>
      <c r="AN30" s="2" t="s">
        <v>952</v>
      </c>
      <c r="AO30" s="2">
        <v>1</v>
      </c>
      <c r="AP30" s="2" t="s">
        <v>4673</v>
      </c>
      <c r="AQ30" s="2" t="s">
        <v>4469</v>
      </c>
      <c r="AR30" s="2" t="s">
        <v>4638</v>
      </c>
      <c r="AT30" s="765"/>
      <c r="AU30" s="765"/>
      <c r="AV30" s="765"/>
      <c r="AW30" s="765"/>
    </row>
    <row r="31" spans="1:49" x14ac:dyDescent="0.25">
      <c r="A31" s="23" t="s">
        <v>2540</v>
      </c>
      <c r="B31" s="108" t="s">
        <v>528</v>
      </c>
      <c r="C31" s="108" t="s">
        <v>1018</v>
      </c>
      <c r="D31" s="108" t="s">
        <v>5099</v>
      </c>
      <c r="E31" s="108" t="s">
        <v>2548</v>
      </c>
      <c r="F31" s="114" t="s">
        <v>694</v>
      </c>
      <c r="G31" s="213" t="s">
        <v>1145</v>
      </c>
      <c r="H31" s="115" t="s">
        <v>2582</v>
      </c>
      <c r="I31" s="213">
        <v>11675000</v>
      </c>
      <c r="J31" s="109">
        <v>4.7210000000000001</v>
      </c>
      <c r="K31" s="109" t="s">
        <v>696</v>
      </c>
      <c r="L31" s="115">
        <v>1</v>
      </c>
      <c r="M31" s="115">
        <v>100</v>
      </c>
      <c r="N31" s="115">
        <v>100</v>
      </c>
      <c r="O31" s="214">
        <v>0.35407499999999997</v>
      </c>
      <c r="P31" s="115">
        <v>6.9400000000000003E-2</v>
      </c>
      <c r="Q31" s="769">
        <v>2.4417476544699999</v>
      </c>
      <c r="R31" s="216"/>
      <c r="S31" s="216">
        <v>2.4417476544699999</v>
      </c>
      <c r="T31" s="216">
        <v>26</v>
      </c>
      <c r="U31" s="216">
        <v>4.657</v>
      </c>
      <c r="V31" s="115">
        <v>3.3563854507199999</v>
      </c>
      <c r="W31" s="109"/>
      <c r="X31" s="109">
        <v>217.08702069424999</v>
      </c>
      <c r="Y31" s="109" t="s">
        <v>2027</v>
      </c>
      <c r="Z31" s="109">
        <v>21.35259995158837</v>
      </c>
      <c r="AA31" s="109">
        <v>36.747470486849679</v>
      </c>
      <c r="AB31" s="109" t="s">
        <v>3978</v>
      </c>
      <c r="AC31" s="109" t="s">
        <v>1663</v>
      </c>
      <c r="AD31" s="765" t="s">
        <v>251</v>
      </c>
      <c r="AE31" s="765" t="s">
        <v>10</v>
      </c>
      <c r="AF31" s="765"/>
      <c r="AG31" s="765"/>
      <c r="AH31" s="109" t="s">
        <v>522</v>
      </c>
      <c r="AJ31" s="2" t="s">
        <v>1544</v>
      </c>
      <c r="AL31" s="2" t="s">
        <v>680</v>
      </c>
      <c r="AM31" s="2" t="s">
        <v>1668</v>
      </c>
      <c r="AN31" s="2" t="s">
        <v>952</v>
      </c>
      <c r="AO31" s="2">
        <v>1</v>
      </c>
      <c r="AP31" s="2" t="s">
        <v>4673</v>
      </c>
      <c r="AQ31" s="2" t="s">
        <v>4469</v>
      </c>
      <c r="AR31" s="2" t="s">
        <v>4638</v>
      </c>
      <c r="AT31" s="765"/>
      <c r="AU31" s="765"/>
      <c r="AV31" s="765"/>
      <c r="AW31" s="765"/>
    </row>
    <row r="32" spans="1:49" x14ac:dyDescent="0.25">
      <c r="A32" s="508" t="s">
        <v>1673</v>
      </c>
      <c r="B32" s="108" t="s">
        <v>528</v>
      </c>
      <c r="C32" s="108" t="s">
        <v>1018</v>
      </c>
      <c r="D32" s="108" t="s">
        <v>5100</v>
      </c>
      <c r="E32" s="108" t="s">
        <v>1674</v>
      </c>
      <c r="F32" s="114" t="s">
        <v>694</v>
      </c>
      <c r="G32" s="213" t="s">
        <v>1642</v>
      </c>
      <c r="H32" s="109" t="s">
        <v>1675</v>
      </c>
      <c r="I32" s="116">
        <v>64561201.369999997</v>
      </c>
      <c r="J32" s="109">
        <v>2.62</v>
      </c>
      <c r="K32" s="109" t="s">
        <v>696</v>
      </c>
      <c r="L32" s="109">
        <v>0.1901711431</v>
      </c>
      <c r="M32" s="115">
        <v>100</v>
      </c>
      <c r="N32" s="115">
        <v>100</v>
      </c>
      <c r="O32" s="115">
        <v>0.19650000000000001</v>
      </c>
      <c r="P32" s="115">
        <v>6.9400000000000003E-2</v>
      </c>
      <c r="Q32" s="770">
        <v>0.99759264991999996</v>
      </c>
      <c r="R32" s="216"/>
      <c r="S32" s="216">
        <v>0.99759264991999996</v>
      </c>
      <c r="T32" s="216">
        <v>26</v>
      </c>
      <c r="U32" s="216">
        <v>2.4119999999999999</v>
      </c>
      <c r="V32" s="115">
        <v>-5.0034208122399999</v>
      </c>
      <c r="W32" s="115"/>
      <c r="X32" s="115">
        <v>65.43292443192</v>
      </c>
      <c r="Y32" s="115" t="s">
        <v>1542</v>
      </c>
      <c r="Z32" s="115">
        <v>28.056423695184151</v>
      </c>
      <c r="AA32" s="109">
        <v>43.239582393143841</v>
      </c>
      <c r="AB32" s="109" t="s">
        <v>1353</v>
      </c>
      <c r="AC32" s="109" t="s">
        <v>2923</v>
      </c>
      <c r="AD32" s="765" t="s">
        <v>1246</v>
      </c>
      <c r="AE32" s="765" t="s">
        <v>7</v>
      </c>
      <c r="AF32" s="765" t="s">
        <v>7</v>
      </c>
      <c r="AG32" s="765"/>
      <c r="AH32" s="109"/>
      <c r="AJ32" s="2" t="s">
        <v>7</v>
      </c>
      <c r="AL32" s="2" t="s">
        <v>680</v>
      </c>
      <c r="AM32" s="2" t="s">
        <v>1668</v>
      </c>
      <c r="AN32" s="2" t="s">
        <v>952</v>
      </c>
      <c r="AO32" s="2">
        <v>0.20176085499999999</v>
      </c>
      <c r="AP32" s="2" t="s">
        <v>4673</v>
      </c>
      <c r="AQ32" s="2" t="s">
        <v>4469</v>
      </c>
      <c r="AR32" s="2" t="s">
        <v>4638</v>
      </c>
      <c r="AT32" s="765"/>
      <c r="AU32" s="765"/>
      <c r="AV32" s="765"/>
      <c r="AW32" s="765"/>
    </row>
    <row r="33" spans="1:49" x14ac:dyDescent="0.25">
      <c r="A33" s="23" t="s">
        <v>1676</v>
      </c>
      <c r="B33" s="108" t="s">
        <v>528</v>
      </c>
      <c r="C33" s="108" t="s">
        <v>1018</v>
      </c>
      <c r="D33" s="108" t="s">
        <v>5100</v>
      </c>
      <c r="E33" s="108" t="s">
        <v>1677</v>
      </c>
      <c r="F33" s="114" t="s">
        <v>694</v>
      </c>
      <c r="G33" s="213" t="s">
        <v>1642</v>
      </c>
      <c r="H33" s="115" t="s">
        <v>1675</v>
      </c>
      <c r="I33" s="213">
        <v>7041294.0899999999</v>
      </c>
      <c r="J33" s="109">
        <v>2.8250000000000002</v>
      </c>
      <c r="K33" s="109" t="s">
        <v>696</v>
      </c>
      <c r="L33" s="115">
        <v>0.19017161160000001</v>
      </c>
      <c r="M33" s="115">
        <v>100</v>
      </c>
      <c r="N33" s="115">
        <v>100</v>
      </c>
      <c r="O33" s="214">
        <v>0.21187500000000001</v>
      </c>
      <c r="P33" s="115">
        <v>6.9400000000000003E-2</v>
      </c>
      <c r="Q33" s="769">
        <v>1.0009705470000001</v>
      </c>
      <c r="R33" s="216"/>
      <c r="S33" s="216">
        <v>1.0009705470000001</v>
      </c>
      <c r="T33" s="216">
        <v>27</v>
      </c>
      <c r="U33" s="216">
        <v>2.601</v>
      </c>
      <c r="V33" s="115">
        <v>-4.18662337618</v>
      </c>
      <c r="W33" s="109"/>
      <c r="X33" s="109">
        <v>83.548960615159999</v>
      </c>
      <c r="Y33" s="109" t="s">
        <v>1542</v>
      </c>
      <c r="Z33" s="109">
        <v>28.056423695184151</v>
      </c>
      <c r="AA33" s="109">
        <v>43.239582393143841</v>
      </c>
      <c r="AB33" s="109" t="s">
        <v>1353</v>
      </c>
      <c r="AC33" s="109" t="s">
        <v>2923</v>
      </c>
      <c r="AD33" s="765" t="s">
        <v>1246</v>
      </c>
      <c r="AE33" s="765" t="s">
        <v>7</v>
      </c>
      <c r="AF33" s="765" t="s">
        <v>15</v>
      </c>
      <c r="AG33" s="765"/>
      <c r="AH33" s="109"/>
      <c r="AJ33" s="2" t="s">
        <v>7</v>
      </c>
      <c r="AL33" s="2" t="s">
        <v>680</v>
      </c>
      <c r="AM33" s="2" t="s">
        <v>1668</v>
      </c>
      <c r="AN33" s="2" t="s">
        <v>952</v>
      </c>
      <c r="AO33" s="2">
        <v>0.20176135100000001</v>
      </c>
      <c r="AP33" s="2" t="s">
        <v>4673</v>
      </c>
      <c r="AQ33" s="2" t="s">
        <v>4469</v>
      </c>
      <c r="AR33" s="2" t="s">
        <v>4638</v>
      </c>
      <c r="AT33" s="765"/>
      <c r="AU33" s="765"/>
      <c r="AV33" s="765"/>
      <c r="AW33" s="765"/>
    </row>
    <row r="34" spans="1:49" x14ac:dyDescent="0.25">
      <c r="A34" s="23" t="s">
        <v>1678</v>
      </c>
      <c r="B34" s="108" t="s">
        <v>528</v>
      </c>
      <c r="C34" s="108" t="s">
        <v>1018</v>
      </c>
      <c r="D34" s="108" t="s">
        <v>5100</v>
      </c>
      <c r="E34" s="108" t="s">
        <v>1679</v>
      </c>
      <c r="F34" s="114" t="s">
        <v>694</v>
      </c>
      <c r="G34" s="213" t="s">
        <v>1642</v>
      </c>
      <c r="H34" s="115" t="s">
        <v>1675</v>
      </c>
      <c r="I34" s="213">
        <v>13978754.460000001</v>
      </c>
      <c r="J34" s="109">
        <v>2.927</v>
      </c>
      <c r="K34" s="109" t="s">
        <v>696</v>
      </c>
      <c r="L34" s="115">
        <v>0.19017161129999999</v>
      </c>
      <c r="M34" s="115">
        <v>100</v>
      </c>
      <c r="N34" s="115">
        <v>100</v>
      </c>
      <c r="O34" s="214">
        <v>0.219525</v>
      </c>
      <c r="P34" s="115">
        <v>6.9400000000000003E-2</v>
      </c>
      <c r="Q34" s="769">
        <v>0.99795960848999998</v>
      </c>
      <c r="R34" s="216"/>
      <c r="S34" s="216">
        <v>0.99795960848999998</v>
      </c>
      <c r="T34" s="216">
        <v>27</v>
      </c>
      <c r="U34" s="216">
        <v>2.6949999999999998</v>
      </c>
      <c r="V34" s="115">
        <v>-3.7803063854999999</v>
      </c>
      <c r="W34" s="109"/>
      <c r="X34" s="109">
        <v>92.853697714640006</v>
      </c>
      <c r="Y34" s="109" t="s">
        <v>1542</v>
      </c>
      <c r="Z34" s="109">
        <v>28.056423695184151</v>
      </c>
      <c r="AA34" s="109">
        <v>43.239582393143841</v>
      </c>
      <c r="AB34" s="109" t="s">
        <v>1353</v>
      </c>
      <c r="AC34" s="109" t="s">
        <v>2923</v>
      </c>
      <c r="AD34" s="765" t="s">
        <v>1246</v>
      </c>
      <c r="AE34" s="765" t="s">
        <v>8</v>
      </c>
      <c r="AF34" s="765" t="s">
        <v>8</v>
      </c>
      <c r="AG34" s="765"/>
      <c r="AH34" s="109"/>
      <c r="AJ34" s="2" t="s">
        <v>8</v>
      </c>
      <c r="AL34" s="2" t="s">
        <v>680</v>
      </c>
      <c r="AM34" s="2" t="s">
        <v>1668</v>
      </c>
      <c r="AN34" s="2" t="s">
        <v>952</v>
      </c>
      <c r="AO34" s="2">
        <v>0.20176135100000001</v>
      </c>
      <c r="AP34" s="2" t="s">
        <v>4673</v>
      </c>
      <c r="AQ34" s="2" t="s">
        <v>4469</v>
      </c>
      <c r="AR34" s="2" t="s">
        <v>4638</v>
      </c>
      <c r="AT34" s="765"/>
      <c r="AU34" s="765"/>
      <c r="AV34" s="765"/>
      <c r="AW34" s="765"/>
    </row>
    <row r="35" spans="1:49" x14ac:dyDescent="0.25">
      <c r="A35" s="23" t="s">
        <v>2040</v>
      </c>
      <c r="B35" s="108" t="s">
        <v>528</v>
      </c>
      <c r="C35" s="108" t="s">
        <v>1018</v>
      </c>
      <c r="D35" s="108" t="s">
        <v>2218</v>
      </c>
      <c r="E35" s="108" t="s">
        <v>2041</v>
      </c>
      <c r="F35" s="114" t="s">
        <v>694</v>
      </c>
      <c r="G35" s="213" t="s">
        <v>2017</v>
      </c>
      <c r="H35" s="115" t="s">
        <v>2043</v>
      </c>
      <c r="I35" s="213">
        <v>16433000</v>
      </c>
      <c r="J35" s="109">
        <v>4.5</v>
      </c>
      <c r="K35" s="109" t="s">
        <v>696</v>
      </c>
      <c r="L35" s="115">
        <v>1</v>
      </c>
      <c r="M35" s="115">
        <v>99.956542999999996</v>
      </c>
      <c r="N35" s="115">
        <v>99.984252999999995</v>
      </c>
      <c r="O35" s="214">
        <v>0.33750000000000002</v>
      </c>
      <c r="P35" s="115">
        <v>1.1528</v>
      </c>
      <c r="Q35" s="769">
        <v>5.7901015921600001</v>
      </c>
      <c r="R35" s="216"/>
      <c r="S35" s="216">
        <v>5.7901015921600001</v>
      </c>
      <c r="T35" s="216">
        <v>27</v>
      </c>
      <c r="U35" s="216">
        <v>4.4089999999999998</v>
      </c>
      <c r="V35" s="115">
        <v>256.38231544872002</v>
      </c>
      <c r="W35" s="109"/>
      <c r="X35" s="109">
        <v>190.8806341881</v>
      </c>
      <c r="Y35" s="109" t="s">
        <v>2027</v>
      </c>
      <c r="Z35" s="109">
        <v>49.390493772728931</v>
      </c>
      <c r="AA35" s="109">
        <v>48.115820267771028</v>
      </c>
      <c r="AB35" s="109" t="s">
        <v>1893</v>
      </c>
      <c r="AC35" s="109" t="s">
        <v>3978</v>
      </c>
      <c r="AD35" s="765" t="s">
        <v>253</v>
      </c>
      <c r="AE35" s="765" t="s">
        <v>10</v>
      </c>
      <c r="AF35" s="765"/>
      <c r="AG35" s="765"/>
      <c r="AH35" s="109" t="s">
        <v>10</v>
      </c>
      <c r="AL35" s="2" t="s">
        <v>680</v>
      </c>
      <c r="AM35" s="2" t="s">
        <v>1668</v>
      </c>
      <c r="AN35" s="2" t="s">
        <v>952</v>
      </c>
      <c r="AO35" s="2">
        <v>1</v>
      </c>
      <c r="AP35" s="2" t="s">
        <v>4673</v>
      </c>
      <c r="AQ35" s="2" t="s">
        <v>4469</v>
      </c>
      <c r="AR35" s="2" t="s">
        <v>4638</v>
      </c>
      <c r="AT35" s="765"/>
      <c r="AU35" s="765"/>
      <c r="AV35" s="765"/>
      <c r="AW35" s="765"/>
    </row>
    <row r="36" spans="1:49" x14ac:dyDescent="0.25">
      <c r="A36" s="23" t="s">
        <v>2034</v>
      </c>
      <c r="B36" s="108" t="s">
        <v>528</v>
      </c>
      <c r="C36" s="108" t="s">
        <v>1018</v>
      </c>
      <c r="D36" s="108" t="s">
        <v>2218</v>
      </c>
      <c r="E36" s="108" t="s">
        <v>2035</v>
      </c>
      <c r="F36" s="114" t="s">
        <v>694</v>
      </c>
      <c r="G36" s="213" t="s">
        <v>2017</v>
      </c>
      <c r="H36" s="115" t="s">
        <v>2043</v>
      </c>
      <c r="I36" s="213">
        <v>68032176.859999999</v>
      </c>
      <c r="J36" s="109">
        <v>2.5310000000000001</v>
      </c>
      <c r="K36" s="109" t="s">
        <v>696</v>
      </c>
      <c r="L36" s="115">
        <v>0.32775060750000001</v>
      </c>
      <c r="M36" s="115">
        <v>99.497726</v>
      </c>
      <c r="N36" s="115">
        <v>99.518803000000005</v>
      </c>
      <c r="O36" s="214">
        <v>0.18982499999999999</v>
      </c>
      <c r="P36" s="115">
        <v>0.65620000000000001</v>
      </c>
      <c r="Q36" s="769">
        <v>2.2993016908800001</v>
      </c>
      <c r="R36" s="216"/>
      <c r="S36" s="216">
        <v>2.2993016908800001</v>
      </c>
      <c r="T36" s="216">
        <v>27</v>
      </c>
      <c r="U36" s="216">
        <v>3.024</v>
      </c>
      <c r="V36" s="115">
        <v>188.16265421256</v>
      </c>
      <c r="W36" s="109"/>
      <c r="X36" s="109">
        <v>35.684275621810002</v>
      </c>
      <c r="Y36" s="109" t="s">
        <v>2036</v>
      </c>
      <c r="Z36" s="109">
        <v>49.390493772728931</v>
      </c>
      <c r="AA36" s="109">
        <v>48.115820267771028</v>
      </c>
      <c r="AB36" s="109" t="s">
        <v>1893</v>
      </c>
      <c r="AC36" s="109" t="s">
        <v>3978</v>
      </c>
      <c r="AD36" s="765" t="s">
        <v>253</v>
      </c>
      <c r="AE36" s="765" t="s">
        <v>7</v>
      </c>
      <c r="AF36" s="765"/>
      <c r="AG36" s="765"/>
      <c r="AH36" s="109" t="s">
        <v>7</v>
      </c>
      <c r="AL36" s="2" t="s">
        <v>680</v>
      </c>
      <c r="AM36" s="2" t="s">
        <v>1668</v>
      </c>
      <c r="AN36" s="2" t="s">
        <v>952</v>
      </c>
      <c r="AO36" s="2">
        <v>0.35557163600000002</v>
      </c>
      <c r="AP36" s="2" t="s">
        <v>4673</v>
      </c>
      <c r="AQ36" s="2" t="s">
        <v>4469</v>
      </c>
      <c r="AR36" s="2" t="s">
        <v>4638</v>
      </c>
      <c r="AT36" s="765"/>
      <c r="AU36" s="765"/>
      <c r="AV36" s="765"/>
      <c r="AW36" s="765"/>
    </row>
    <row r="37" spans="1:49" x14ac:dyDescent="0.25">
      <c r="A37" s="23" t="s">
        <v>2037</v>
      </c>
      <c r="B37" s="108" t="s">
        <v>528</v>
      </c>
      <c r="C37" s="108" t="s">
        <v>1018</v>
      </c>
      <c r="D37" s="108" t="s">
        <v>2218</v>
      </c>
      <c r="E37" s="108" t="s">
        <v>2038</v>
      </c>
      <c r="F37" s="114" t="s">
        <v>694</v>
      </c>
      <c r="G37" s="213" t="s">
        <v>2017</v>
      </c>
      <c r="H37" s="115" t="s">
        <v>2043</v>
      </c>
      <c r="I37" s="213">
        <v>18765697.690000001</v>
      </c>
      <c r="J37" s="109">
        <v>3.3490000000000002</v>
      </c>
      <c r="K37" s="109" t="s">
        <v>696</v>
      </c>
      <c r="L37" s="115">
        <v>0.32775076310000001</v>
      </c>
      <c r="M37" s="115">
        <v>99.817122999999995</v>
      </c>
      <c r="N37" s="115">
        <v>99.838181000000006</v>
      </c>
      <c r="O37" s="214">
        <v>0.25117499999999998</v>
      </c>
      <c r="P37" s="115">
        <v>0.65620000000000001</v>
      </c>
      <c r="Q37" s="769">
        <v>2.14044463805</v>
      </c>
      <c r="R37" s="216"/>
      <c r="S37" s="216">
        <v>2.14044463805</v>
      </c>
      <c r="T37" s="216">
        <v>26</v>
      </c>
      <c r="U37" s="216">
        <v>3.3140000000000001</v>
      </c>
      <c r="V37" s="115">
        <v>212.44319186314999</v>
      </c>
      <c r="W37" s="109"/>
      <c r="X37" s="109">
        <v>97.546080385790006</v>
      </c>
      <c r="Y37" s="109" t="s">
        <v>2039</v>
      </c>
      <c r="Z37" s="109">
        <v>49.390493772728931</v>
      </c>
      <c r="AA37" s="109">
        <v>48.115820267771028</v>
      </c>
      <c r="AB37" s="109" t="s">
        <v>1893</v>
      </c>
      <c r="AC37" s="109" t="s">
        <v>3978</v>
      </c>
      <c r="AD37" s="765" t="s">
        <v>253</v>
      </c>
      <c r="AE37" s="765" t="s">
        <v>7</v>
      </c>
      <c r="AF37" s="765"/>
      <c r="AG37" s="765"/>
      <c r="AH37" s="109" t="s">
        <v>7</v>
      </c>
      <c r="AL37" s="2" t="s">
        <v>680</v>
      </c>
      <c r="AM37" s="2" t="s">
        <v>1668</v>
      </c>
      <c r="AN37" s="2" t="s">
        <v>952</v>
      </c>
      <c r="AO37" s="2">
        <v>0.35557180399999999</v>
      </c>
      <c r="AP37" s="2" t="s">
        <v>4673</v>
      </c>
      <c r="AQ37" s="2" t="s">
        <v>4469</v>
      </c>
      <c r="AR37" s="2" t="s">
        <v>4638</v>
      </c>
      <c r="AT37" s="765"/>
      <c r="AU37" s="765"/>
      <c r="AV37" s="765"/>
      <c r="AW37" s="765"/>
    </row>
    <row r="38" spans="1:49" x14ac:dyDescent="0.25">
      <c r="A38" s="23" t="s">
        <v>2298</v>
      </c>
      <c r="B38" s="108" t="s">
        <v>527</v>
      </c>
      <c r="C38" s="108" t="s">
        <v>1018</v>
      </c>
      <c r="D38" s="108" t="s">
        <v>2924</v>
      </c>
      <c r="E38" s="108" t="s">
        <v>2361</v>
      </c>
      <c r="F38" s="114" t="s">
        <v>694</v>
      </c>
      <c r="G38" s="213" t="s">
        <v>2282</v>
      </c>
      <c r="H38" s="115" t="s">
        <v>2117</v>
      </c>
      <c r="I38" s="213">
        <v>77298987.989999995</v>
      </c>
      <c r="J38" s="109">
        <v>2.0680000000000001</v>
      </c>
      <c r="K38" s="109" t="s">
        <v>696</v>
      </c>
      <c r="L38" s="115">
        <v>0.64867735209999999</v>
      </c>
      <c r="M38" s="115">
        <v>0</v>
      </c>
      <c r="N38" s="115">
        <v>0</v>
      </c>
      <c r="O38" s="214">
        <v>0.15509999999999999</v>
      </c>
      <c r="P38" s="115">
        <v>2.9817999999999998</v>
      </c>
      <c r="Q38" s="769"/>
      <c r="R38" s="216"/>
      <c r="S38" s="216">
        <v>2.9817999999999998</v>
      </c>
      <c r="T38" s="216">
        <v>26</v>
      </c>
      <c r="U38" s="216"/>
      <c r="V38" s="115"/>
      <c r="W38" s="109"/>
      <c r="X38" s="109"/>
      <c r="Y38" s="109" t="s">
        <v>730</v>
      </c>
      <c r="Z38" s="109">
        <v>9.2999930063029534</v>
      </c>
      <c r="AA38" s="109">
        <v>17.797733054238801</v>
      </c>
      <c r="AB38" s="109" t="s">
        <v>4640</v>
      </c>
      <c r="AC38" s="109" t="s">
        <v>1304</v>
      </c>
      <c r="AD38" s="765" t="s">
        <v>246</v>
      </c>
      <c r="AE38" s="765" t="s">
        <v>7</v>
      </c>
      <c r="AF38" s="765"/>
      <c r="AG38" s="765"/>
      <c r="AH38" s="109"/>
      <c r="AJ38" s="2" t="s">
        <v>7</v>
      </c>
      <c r="AL38" s="2" t="s">
        <v>680</v>
      </c>
      <c r="AM38" s="2" t="s">
        <v>2896</v>
      </c>
      <c r="AN38" s="2" t="s">
        <v>952</v>
      </c>
      <c r="AO38" s="2">
        <v>0.65931551300000002</v>
      </c>
      <c r="AP38" s="2" t="s">
        <v>4673</v>
      </c>
      <c r="AQ38" s="2" t="s">
        <v>4469</v>
      </c>
      <c r="AR38" s="2" t="s">
        <v>4638</v>
      </c>
      <c r="AT38" s="765"/>
      <c r="AU38" s="765"/>
      <c r="AV38" s="765"/>
      <c r="AW38" s="765"/>
    </row>
    <row r="39" spans="1:49" x14ac:dyDescent="0.25">
      <c r="A39" s="23" t="s">
        <v>2297</v>
      </c>
      <c r="B39" s="108" t="s">
        <v>527</v>
      </c>
      <c r="C39" s="108" t="s">
        <v>1018</v>
      </c>
      <c r="D39" s="108" t="s">
        <v>2924</v>
      </c>
      <c r="E39" s="108" t="s">
        <v>2362</v>
      </c>
      <c r="F39" s="114" t="s">
        <v>694</v>
      </c>
      <c r="G39" s="213" t="s">
        <v>2282</v>
      </c>
      <c r="H39" s="115" t="s">
        <v>2117</v>
      </c>
      <c r="I39" s="213">
        <v>4513000</v>
      </c>
      <c r="J39" s="109">
        <v>2.7320000000000002</v>
      </c>
      <c r="K39" s="109" t="s">
        <v>696</v>
      </c>
      <c r="L39" s="115">
        <v>1</v>
      </c>
      <c r="M39" s="115">
        <v>0</v>
      </c>
      <c r="N39" s="115">
        <v>0</v>
      </c>
      <c r="O39" s="214">
        <v>0.2049</v>
      </c>
      <c r="P39" s="115">
        <v>7.0536000000000003</v>
      </c>
      <c r="Q39" s="769"/>
      <c r="R39" s="216"/>
      <c r="S39" s="216">
        <v>7.0536000000000003</v>
      </c>
      <c r="T39" s="216">
        <v>26</v>
      </c>
      <c r="U39" s="216"/>
      <c r="V39" s="115"/>
      <c r="W39" s="109"/>
      <c r="X39" s="109"/>
      <c r="Y39" s="109" t="s">
        <v>730</v>
      </c>
      <c r="Z39" s="109">
        <v>9.2999930063029534</v>
      </c>
      <c r="AA39" s="109">
        <v>17.797733054238801</v>
      </c>
      <c r="AB39" s="109" t="s">
        <v>4640</v>
      </c>
      <c r="AC39" s="109" t="s">
        <v>1304</v>
      </c>
      <c r="AD39" s="765" t="s">
        <v>246</v>
      </c>
      <c r="AE39" s="765" t="s">
        <v>8</v>
      </c>
      <c r="AF39" s="765"/>
      <c r="AG39" s="765"/>
      <c r="AH39" s="109"/>
      <c r="AJ39" s="2" t="s">
        <v>8</v>
      </c>
      <c r="AL39" s="2" t="s">
        <v>680</v>
      </c>
      <c r="AM39" s="2" t="s">
        <v>2896</v>
      </c>
      <c r="AN39" s="2" t="s">
        <v>952</v>
      </c>
      <c r="AO39" s="2">
        <v>1</v>
      </c>
      <c r="AP39" s="2" t="s">
        <v>4673</v>
      </c>
      <c r="AQ39" s="2" t="s">
        <v>4469</v>
      </c>
      <c r="AR39" s="2" t="s">
        <v>4638</v>
      </c>
      <c r="AT39" s="765"/>
      <c r="AU39" s="765"/>
      <c r="AV39" s="765"/>
      <c r="AW39" s="765"/>
    </row>
    <row r="40" spans="1:49" x14ac:dyDescent="0.25">
      <c r="A40" s="23" t="s">
        <v>2296</v>
      </c>
      <c r="B40" s="108" t="s">
        <v>527</v>
      </c>
      <c r="C40" s="108" t="s">
        <v>1018</v>
      </c>
      <c r="D40" s="108" t="s">
        <v>2924</v>
      </c>
      <c r="E40" s="108" t="s">
        <v>2363</v>
      </c>
      <c r="F40" s="114" t="s">
        <v>694</v>
      </c>
      <c r="G40" s="213" t="s">
        <v>2282</v>
      </c>
      <c r="H40" s="115" t="s">
        <v>2117</v>
      </c>
      <c r="I40" s="213">
        <v>5643000</v>
      </c>
      <c r="J40" s="109">
        <v>3.0710000000000002</v>
      </c>
      <c r="K40" s="109" t="s">
        <v>696</v>
      </c>
      <c r="L40" s="115">
        <v>1</v>
      </c>
      <c r="M40" s="115">
        <v>0</v>
      </c>
      <c r="N40" s="115">
        <v>0</v>
      </c>
      <c r="O40" s="214">
        <v>0.230325</v>
      </c>
      <c r="P40" s="115">
        <v>7.7276999999999996</v>
      </c>
      <c r="Q40" s="769"/>
      <c r="R40" s="216"/>
      <c r="S40" s="216">
        <v>7.7276999999999996</v>
      </c>
      <c r="T40" s="216">
        <v>27</v>
      </c>
      <c r="U40" s="216"/>
      <c r="V40" s="115"/>
      <c r="W40" s="109"/>
      <c r="X40" s="109"/>
      <c r="Y40" s="109" t="s">
        <v>730</v>
      </c>
      <c r="Z40" s="109">
        <v>9.2999930063029534</v>
      </c>
      <c r="AA40" s="109">
        <v>17.797733054238801</v>
      </c>
      <c r="AB40" s="109" t="s">
        <v>4640</v>
      </c>
      <c r="AC40" s="109" t="s">
        <v>1304</v>
      </c>
      <c r="AD40" s="765" t="s">
        <v>246</v>
      </c>
      <c r="AE40" s="765" t="s">
        <v>9</v>
      </c>
      <c r="AF40" s="765"/>
      <c r="AG40" s="765"/>
      <c r="AH40" s="109"/>
      <c r="AJ40" s="2" t="s">
        <v>9</v>
      </c>
      <c r="AL40" s="2" t="s">
        <v>680</v>
      </c>
      <c r="AM40" s="2" t="s">
        <v>2896</v>
      </c>
      <c r="AN40" s="2" t="s">
        <v>952</v>
      </c>
      <c r="AO40" s="2">
        <v>1</v>
      </c>
      <c r="AP40" s="2" t="s">
        <v>4673</v>
      </c>
      <c r="AQ40" s="2" t="s">
        <v>4469</v>
      </c>
      <c r="AR40" s="2" t="s">
        <v>4638</v>
      </c>
      <c r="AT40" s="765"/>
      <c r="AU40" s="765"/>
      <c r="AV40" s="765"/>
      <c r="AW40" s="765"/>
    </row>
    <row r="41" spans="1:49" x14ac:dyDescent="0.25">
      <c r="A41" s="23" t="s">
        <v>3640</v>
      </c>
      <c r="B41" s="108" t="s">
        <v>529</v>
      </c>
      <c r="C41" s="108" t="s">
        <v>3661</v>
      </c>
      <c r="D41" s="108" t="s">
        <v>1683</v>
      </c>
      <c r="E41" s="108" t="s">
        <v>3662</v>
      </c>
      <c r="F41" s="114" t="s">
        <v>698</v>
      </c>
      <c r="G41" s="213" t="s">
        <v>2222</v>
      </c>
      <c r="H41" s="115" t="s">
        <v>3663</v>
      </c>
      <c r="I41" s="213">
        <v>26987000</v>
      </c>
      <c r="J41" s="109">
        <v>3.3156400000000001</v>
      </c>
      <c r="K41" s="109" t="s">
        <v>695</v>
      </c>
      <c r="L41" s="115">
        <v>1</v>
      </c>
      <c r="M41" s="115">
        <v>0</v>
      </c>
      <c r="N41" s="115">
        <v>0</v>
      </c>
      <c r="O41" s="214">
        <v>0.119731</v>
      </c>
      <c r="P41" s="115">
        <v>2.5958000000000001</v>
      </c>
      <c r="Q41" s="769"/>
      <c r="R41" s="216"/>
      <c r="S41" s="216">
        <v>2.5958000000000001</v>
      </c>
      <c r="T41" s="216">
        <v>12</v>
      </c>
      <c r="U41" s="216"/>
      <c r="V41" s="115"/>
      <c r="W41" s="109">
        <v>301.44799999999998</v>
      </c>
      <c r="X41" s="109"/>
      <c r="Y41" s="109" t="s">
        <v>532</v>
      </c>
      <c r="Z41" s="109"/>
      <c r="AA41" s="109"/>
      <c r="AB41" s="109"/>
      <c r="AC41" s="109"/>
      <c r="AD41" s="765"/>
      <c r="AE41" s="765" t="s">
        <v>10</v>
      </c>
      <c r="AF41" s="765"/>
      <c r="AG41" s="765" t="s">
        <v>522</v>
      </c>
      <c r="AH41" s="109"/>
      <c r="AJ41" s="2" t="s">
        <v>1971</v>
      </c>
      <c r="AL41" s="2" t="s">
        <v>680</v>
      </c>
      <c r="AM41" s="2" t="s">
        <v>1656</v>
      </c>
      <c r="AN41" s="2" t="s">
        <v>952</v>
      </c>
      <c r="AO41" s="2">
        <v>1</v>
      </c>
      <c r="AP41" s="2" t="s">
        <v>4468</v>
      </c>
      <c r="AQ41" s="2" t="s">
        <v>4396</v>
      </c>
      <c r="AR41" s="2" t="s">
        <v>4671</v>
      </c>
      <c r="AT41" s="765"/>
      <c r="AU41" s="765"/>
      <c r="AV41" s="765"/>
      <c r="AW41" s="765"/>
    </row>
    <row r="42" spans="1:49" x14ac:dyDescent="0.25">
      <c r="A42" s="23" t="s">
        <v>5058</v>
      </c>
      <c r="B42" s="108" t="s">
        <v>529</v>
      </c>
      <c r="C42" s="108" t="s">
        <v>3661</v>
      </c>
      <c r="D42" s="108" t="s">
        <v>1683</v>
      </c>
      <c r="E42" s="108" t="s">
        <v>5101</v>
      </c>
      <c r="F42" s="114" t="s">
        <v>698</v>
      </c>
      <c r="G42" s="213" t="s">
        <v>5102</v>
      </c>
      <c r="H42" s="115" t="s">
        <v>4804</v>
      </c>
      <c r="I42" s="213">
        <v>447450000</v>
      </c>
      <c r="J42" s="109">
        <v>1.3665700000000001</v>
      </c>
      <c r="K42" s="109" t="s">
        <v>695</v>
      </c>
      <c r="L42" s="115">
        <v>1</v>
      </c>
      <c r="M42" s="115">
        <v>0</v>
      </c>
      <c r="N42" s="115">
        <v>0</v>
      </c>
      <c r="O42" s="214">
        <v>4.9348000000000003E-2</v>
      </c>
      <c r="P42" s="115">
        <v>2.6747999999999998</v>
      </c>
      <c r="Q42" s="769"/>
      <c r="R42" s="216"/>
      <c r="S42" s="216">
        <v>2.6747999999999998</v>
      </c>
      <c r="T42" s="216">
        <v>13</v>
      </c>
      <c r="U42" s="216"/>
      <c r="V42" s="115"/>
      <c r="W42" s="109">
        <v>97</v>
      </c>
      <c r="X42" s="109"/>
      <c r="Y42" s="109" t="s">
        <v>531</v>
      </c>
      <c r="Z42" s="109"/>
      <c r="AA42" s="109"/>
      <c r="AB42" s="109"/>
      <c r="AC42" s="109"/>
      <c r="AD42" s="765"/>
      <c r="AE42" s="765" t="s">
        <v>7</v>
      </c>
      <c r="AF42" s="765"/>
      <c r="AG42" s="765" t="s">
        <v>1062</v>
      </c>
      <c r="AH42" s="109"/>
      <c r="AJ42" s="2" t="s">
        <v>7</v>
      </c>
      <c r="AL42" s="2" t="s">
        <v>680</v>
      </c>
      <c r="AM42" s="2" t="s">
        <v>1656</v>
      </c>
      <c r="AN42" s="2" t="s">
        <v>952</v>
      </c>
      <c r="AO42" s="2">
        <v>1</v>
      </c>
      <c r="AP42" s="2" t="s">
        <v>4675</v>
      </c>
      <c r="AQ42" s="2" t="s">
        <v>4396</v>
      </c>
      <c r="AR42" s="2" t="s">
        <v>4671</v>
      </c>
      <c r="AT42" s="765"/>
      <c r="AU42" s="765"/>
      <c r="AV42" s="765"/>
      <c r="AW42" s="765"/>
    </row>
    <row r="43" spans="1:49" x14ac:dyDescent="0.25">
      <c r="A43" s="23" t="s">
        <v>2432</v>
      </c>
      <c r="B43" s="108" t="s">
        <v>656</v>
      </c>
      <c r="C43" s="108" t="s">
        <v>2433</v>
      </c>
      <c r="D43" s="108" t="s">
        <v>2434</v>
      </c>
      <c r="E43" s="108" t="s">
        <v>2433</v>
      </c>
      <c r="F43" s="114" t="s">
        <v>699</v>
      </c>
      <c r="G43" s="213" t="s">
        <v>2435</v>
      </c>
      <c r="H43" s="115" t="s">
        <v>2436</v>
      </c>
      <c r="I43" s="213">
        <v>45000000</v>
      </c>
      <c r="J43" s="109">
        <v>6.75</v>
      </c>
      <c r="K43" s="109" t="s">
        <v>696</v>
      </c>
      <c r="L43" s="115">
        <v>1</v>
      </c>
      <c r="M43" s="115">
        <v>85.58</v>
      </c>
      <c r="N43" s="115">
        <v>86.08</v>
      </c>
      <c r="O43" s="214">
        <v>3.3374999999999999</v>
      </c>
      <c r="P43" s="115"/>
      <c r="Q43" s="769">
        <v>2.9832479574822708</v>
      </c>
      <c r="R43" s="216">
        <v>2.971051514058666</v>
      </c>
      <c r="S43" s="216">
        <v>2.9832479574822708</v>
      </c>
      <c r="T43" s="216">
        <v>0</v>
      </c>
      <c r="U43" s="216">
        <v>11.90779113938482</v>
      </c>
      <c r="V43" s="115"/>
      <c r="W43" s="109"/>
      <c r="X43" s="109">
        <v>893.71633716411975</v>
      </c>
      <c r="Y43" s="109"/>
      <c r="Z43" s="109"/>
      <c r="AA43" s="109"/>
      <c r="AB43" s="109"/>
      <c r="AC43" s="109"/>
      <c r="AD43" s="765"/>
      <c r="AE43" s="765" t="s">
        <v>9</v>
      </c>
      <c r="AF43" s="765"/>
      <c r="AG43" s="765"/>
      <c r="AH43" s="109"/>
      <c r="AK43" s="2" t="s">
        <v>9</v>
      </c>
      <c r="AL43" s="2" t="s">
        <v>680</v>
      </c>
      <c r="AM43" s="2" t="s">
        <v>812</v>
      </c>
      <c r="AN43" s="2" t="s">
        <v>952</v>
      </c>
      <c r="AT43" s="765"/>
      <c r="AU43" s="765"/>
      <c r="AV43" s="765"/>
      <c r="AW43" s="765"/>
    </row>
    <row r="44" spans="1:49" x14ac:dyDescent="0.25">
      <c r="A44" s="23" t="s">
        <v>1034</v>
      </c>
      <c r="B44" s="108" t="s">
        <v>529</v>
      </c>
      <c r="C44" s="108" t="s">
        <v>1035</v>
      </c>
      <c r="D44" s="108" t="s">
        <v>530</v>
      </c>
      <c r="E44" s="108" t="s">
        <v>1036</v>
      </c>
      <c r="F44" s="114" t="s">
        <v>698</v>
      </c>
      <c r="G44" s="213" t="s">
        <v>1107</v>
      </c>
      <c r="H44" s="115" t="s">
        <v>1108</v>
      </c>
      <c r="I44" s="213">
        <v>39250000</v>
      </c>
      <c r="J44" s="109">
        <v>3.7577099999999999</v>
      </c>
      <c r="K44" s="109" t="s">
        <v>695</v>
      </c>
      <c r="L44" s="115">
        <v>1</v>
      </c>
      <c r="M44" s="115">
        <v>0</v>
      </c>
      <c r="N44" s="115">
        <v>0</v>
      </c>
      <c r="O44" s="214">
        <v>0.64716099999999999</v>
      </c>
      <c r="P44" s="115">
        <v>1.7476</v>
      </c>
      <c r="Q44" s="769"/>
      <c r="R44" s="216"/>
      <c r="S44" s="216">
        <v>1.7476</v>
      </c>
      <c r="T44" s="216">
        <v>62</v>
      </c>
      <c r="U44" s="216"/>
      <c r="V44" s="115"/>
      <c r="W44" s="109">
        <v>350</v>
      </c>
      <c r="X44" s="109"/>
      <c r="Y44" s="109" t="s">
        <v>532</v>
      </c>
      <c r="Z44" s="109"/>
      <c r="AA44" s="109"/>
      <c r="AB44" s="109"/>
      <c r="AC44" s="109"/>
      <c r="AD44" s="765"/>
      <c r="AE44" s="765" t="s">
        <v>9</v>
      </c>
      <c r="AF44" s="765" t="s">
        <v>17</v>
      </c>
      <c r="AG44" s="765"/>
      <c r="AH44" s="109" t="s">
        <v>522</v>
      </c>
      <c r="AL44" s="2" t="s">
        <v>680</v>
      </c>
      <c r="AM44" s="2" t="s">
        <v>711</v>
      </c>
      <c r="AN44" s="2" t="s">
        <v>952</v>
      </c>
      <c r="AO44" s="2">
        <v>1</v>
      </c>
      <c r="AP44" s="2" t="s">
        <v>4641</v>
      </c>
      <c r="AQ44" s="2" t="s">
        <v>3861</v>
      </c>
      <c r="AR44" s="2" t="s">
        <v>4638</v>
      </c>
      <c r="AT44" s="765"/>
      <c r="AU44" s="765"/>
      <c r="AV44" s="765"/>
      <c r="AW44" s="765"/>
    </row>
    <row r="45" spans="1:49" x14ac:dyDescent="0.25">
      <c r="A45" s="23" t="s">
        <v>1746</v>
      </c>
      <c r="B45" s="108" t="s">
        <v>656</v>
      </c>
      <c r="C45" s="108" t="s">
        <v>1747</v>
      </c>
      <c r="D45" s="108" t="s">
        <v>541</v>
      </c>
      <c r="E45" s="108" t="s">
        <v>1747</v>
      </c>
      <c r="F45" s="114" t="s">
        <v>699</v>
      </c>
      <c r="G45" s="213" t="s">
        <v>1748</v>
      </c>
      <c r="H45" s="115" t="s">
        <v>1749</v>
      </c>
      <c r="I45" s="213">
        <v>22000000</v>
      </c>
      <c r="J45" s="109">
        <v>5</v>
      </c>
      <c r="K45" s="109" t="s">
        <v>696</v>
      </c>
      <c r="L45" s="115">
        <v>1</v>
      </c>
      <c r="M45" s="115">
        <v>87.775000000000006</v>
      </c>
      <c r="N45" s="115">
        <v>88.247</v>
      </c>
      <c r="O45" s="214">
        <v>1.2222219999999999</v>
      </c>
      <c r="P45" s="115"/>
      <c r="Q45" s="769">
        <v>2.3564389016210399</v>
      </c>
      <c r="R45" s="216">
        <v>2.4363973346383272</v>
      </c>
      <c r="S45" s="216">
        <v>2.3564389016210399</v>
      </c>
      <c r="T45" s="216">
        <v>87</v>
      </c>
      <c r="U45" s="216">
        <v>6.3717592201183662</v>
      </c>
      <c r="V45" s="115"/>
      <c r="W45" s="109">
        <v>359.5</v>
      </c>
      <c r="X45" s="109">
        <v>515.66829920671921</v>
      </c>
      <c r="Y45" s="109"/>
      <c r="Z45" s="109"/>
      <c r="AA45" s="109"/>
      <c r="AB45" s="109"/>
      <c r="AC45" s="109"/>
      <c r="AD45" s="765"/>
      <c r="AE45" s="765" t="s">
        <v>10</v>
      </c>
      <c r="AF45" s="765"/>
      <c r="AG45" s="765"/>
      <c r="AH45" s="109"/>
      <c r="AI45" s="2" t="s">
        <v>20</v>
      </c>
      <c r="AL45" s="2" t="s">
        <v>680</v>
      </c>
      <c r="AM45" s="2" t="s">
        <v>812</v>
      </c>
      <c r="AN45" s="2" t="s">
        <v>952</v>
      </c>
      <c r="AT45" s="765"/>
      <c r="AU45" s="765"/>
      <c r="AV45" s="765"/>
      <c r="AW45" s="765"/>
    </row>
    <row r="46" spans="1:49" x14ac:dyDescent="0.25">
      <c r="A46" s="23" t="s">
        <v>1593</v>
      </c>
      <c r="B46" s="108" t="s">
        <v>769</v>
      </c>
      <c r="C46" s="108" t="s">
        <v>1594</v>
      </c>
      <c r="D46" s="108" t="s">
        <v>2335</v>
      </c>
      <c r="E46" s="108" t="s">
        <v>1595</v>
      </c>
      <c r="F46" s="114" t="s">
        <v>698</v>
      </c>
      <c r="G46" s="213" t="s">
        <v>1596</v>
      </c>
      <c r="H46" s="115" t="s">
        <v>1597</v>
      </c>
      <c r="I46" s="213">
        <v>62400000</v>
      </c>
      <c r="J46" s="109">
        <v>3.55</v>
      </c>
      <c r="K46" s="109" t="s">
        <v>696</v>
      </c>
      <c r="L46" s="115">
        <v>1</v>
      </c>
      <c r="M46" s="115">
        <v>99.521850999999998</v>
      </c>
      <c r="N46" s="115">
        <v>99.622501</v>
      </c>
      <c r="O46" s="214">
        <v>7.8889000000000001E-2</v>
      </c>
      <c r="P46" s="115">
        <v>2.2639</v>
      </c>
      <c r="Q46" s="769">
        <v>2.1609109757199998</v>
      </c>
      <c r="R46" s="216"/>
      <c r="S46" s="216">
        <v>2.1609109757199998</v>
      </c>
      <c r="T46" s="216">
        <v>8</v>
      </c>
      <c r="U46" s="216">
        <v>3.8</v>
      </c>
      <c r="V46" s="115">
        <v>138.06136018486001</v>
      </c>
      <c r="W46" s="109"/>
      <c r="X46" s="109">
        <v>128.50965283148</v>
      </c>
      <c r="Y46" s="109" t="s">
        <v>663</v>
      </c>
      <c r="Z46" s="109"/>
      <c r="AA46" s="109"/>
      <c r="AB46" s="109"/>
      <c r="AC46" s="109"/>
      <c r="AD46" s="765"/>
      <c r="AE46" s="765" t="s">
        <v>9</v>
      </c>
      <c r="AF46" s="765"/>
      <c r="AG46" s="765" t="s">
        <v>2425</v>
      </c>
      <c r="AH46" s="109" t="s">
        <v>9</v>
      </c>
      <c r="AJ46" s="2" t="s">
        <v>2085</v>
      </c>
      <c r="AL46" s="2" t="s">
        <v>680</v>
      </c>
      <c r="AM46" s="2" t="s">
        <v>1664</v>
      </c>
      <c r="AN46" s="2" t="s">
        <v>952</v>
      </c>
      <c r="AO46" s="2">
        <v>1</v>
      </c>
      <c r="AP46" s="2" t="s">
        <v>4673</v>
      </c>
      <c r="AQ46" s="2" t="s">
        <v>4668</v>
      </c>
      <c r="AR46" s="2" t="s">
        <v>3969</v>
      </c>
      <c r="AT46" s="765"/>
      <c r="AU46" s="765"/>
      <c r="AV46" s="765"/>
      <c r="AW46" s="765"/>
    </row>
    <row r="47" spans="1:49" x14ac:dyDescent="0.25">
      <c r="A47" s="23" t="s">
        <v>4407</v>
      </c>
      <c r="B47" s="108" t="s">
        <v>769</v>
      </c>
      <c r="C47" s="108" t="s">
        <v>1594</v>
      </c>
      <c r="D47" s="108" t="s">
        <v>2335</v>
      </c>
      <c r="E47" s="108" t="s">
        <v>4408</v>
      </c>
      <c r="F47" s="114" t="s">
        <v>698</v>
      </c>
      <c r="G47" s="213" t="s">
        <v>1596</v>
      </c>
      <c r="H47" s="115" t="s">
        <v>1597</v>
      </c>
      <c r="I47" s="213">
        <v>52000000</v>
      </c>
      <c r="J47" s="109">
        <v>4.24</v>
      </c>
      <c r="K47" s="109" t="s">
        <v>696</v>
      </c>
      <c r="L47" s="115">
        <v>1</v>
      </c>
      <c r="M47" s="115">
        <v>99.703086999999996</v>
      </c>
      <c r="N47" s="115">
        <v>99.846930999999998</v>
      </c>
      <c r="O47" s="214">
        <v>9.4222E-2</v>
      </c>
      <c r="P47" s="115">
        <v>2.2639</v>
      </c>
      <c r="Q47" s="769">
        <v>2.1446562122900001</v>
      </c>
      <c r="R47" s="216"/>
      <c r="S47" s="216">
        <v>2.1446562122900001</v>
      </c>
      <c r="T47" s="216">
        <v>7</v>
      </c>
      <c r="U47" s="216">
        <v>4.4180000000000001</v>
      </c>
      <c r="V47" s="115">
        <v>199.82805874032999</v>
      </c>
      <c r="W47" s="109"/>
      <c r="X47" s="109">
        <v>185.18239932609001</v>
      </c>
      <c r="Y47" s="109" t="s">
        <v>663</v>
      </c>
      <c r="Z47" s="109"/>
      <c r="AA47" s="109"/>
      <c r="AB47" s="109"/>
      <c r="AC47" s="109"/>
      <c r="AD47" s="765"/>
      <c r="AE47" s="765" t="s">
        <v>10</v>
      </c>
      <c r="AF47" s="765"/>
      <c r="AG47" s="765" t="s">
        <v>1065</v>
      </c>
      <c r="AH47" s="109" t="s">
        <v>10</v>
      </c>
      <c r="AJ47" s="2" t="s">
        <v>10</v>
      </c>
      <c r="AL47" s="2" t="s">
        <v>680</v>
      </c>
      <c r="AM47" s="2" t="s">
        <v>1664</v>
      </c>
      <c r="AN47" s="2" t="s">
        <v>952</v>
      </c>
      <c r="AO47" s="2">
        <v>1</v>
      </c>
      <c r="AP47" s="2" t="s">
        <v>4673</v>
      </c>
      <c r="AQ47" s="2" t="s">
        <v>4668</v>
      </c>
      <c r="AR47" s="2" t="s">
        <v>3969</v>
      </c>
      <c r="AT47" s="765"/>
      <c r="AU47" s="765"/>
      <c r="AV47" s="765"/>
      <c r="AW47" s="765"/>
    </row>
    <row r="48" spans="1:49" x14ac:dyDescent="0.25">
      <c r="A48" s="23" t="s">
        <v>4621</v>
      </c>
      <c r="B48" s="108" t="s">
        <v>527</v>
      </c>
      <c r="C48" s="108" t="s">
        <v>3943</v>
      </c>
      <c r="D48" s="108" t="s">
        <v>4642</v>
      </c>
      <c r="E48" s="108" t="s">
        <v>4643</v>
      </c>
      <c r="F48" s="114" t="s">
        <v>694</v>
      </c>
      <c r="G48" s="213" t="s">
        <v>4644</v>
      </c>
      <c r="H48" s="115" t="s">
        <v>4645</v>
      </c>
      <c r="I48" s="213">
        <v>54815000</v>
      </c>
      <c r="J48" s="109">
        <v>4.4290000000000003</v>
      </c>
      <c r="K48" s="109" t="s">
        <v>695</v>
      </c>
      <c r="L48" s="115">
        <v>1</v>
      </c>
      <c r="M48" s="115">
        <v>98.684464000000006</v>
      </c>
      <c r="N48" s="115">
        <v>98.852847999999994</v>
      </c>
      <c r="O48" s="214">
        <v>0.15993599999999999</v>
      </c>
      <c r="P48" s="115">
        <v>1.7917000000000001</v>
      </c>
      <c r="Q48" s="769">
        <v>4.2999999999999997E-2</v>
      </c>
      <c r="R48" s="216"/>
      <c r="S48" s="216">
        <v>4.2999999999999997E-2</v>
      </c>
      <c r="T48" s="216">
        <v>12</v>
      </c>
      <c r="U48" s="216">
        <v>5.2460000000000004</v>
      </c>
      <c r="V48" s="115">
        <v>300.386178567385</v>
      </c>
      <c r="W48" s="109">
        <v>412.7</v>
      </c>
      <c r="X48" s="109">
        <v>478.4</v>
      </c>
      <c r="Y48" s="109" t="s">
        <v>3960</v>
      </c>
      <c r="Z48" s="109">
        <v>0</v>
      </c>
      <c r="AA48" s="109"/>
      <c r="AB48" s="109"/>
      <c r="AC48" s="109"/>
      <c r="AD48" s="765"/>
      <c r="AE48" s="765" t="s">
        <v>13</v>
      </c>
      <c r="AF48" s="765"/>
      <c r="AG48" s="765" t="s">
        <v>2796</v>
      </c>
      <c r="AH48" s="109"/>
      <c r="AL48" s="2" t="s">
        <v>680</v>
      </c>
      <c r="AM48" s="2" t="s">
        <v>2976</v>
      </c>
      <c r="AN48" s="2" t="s">
        <v>952</v>
      </c>
      <c r="AO48" s="2">
        <v>1</v>
      </c>
      <c r="AP48" s="2" t="s">
        <v>4673</v>
      </c>
      <c r="AQ48" s="2" t="s">
        <v>4396</v>
      </c>
      <c r="AR48" s="2" t="s">
        <v>4671</v>
      </c>
      <c r="AT48" s="765"/>
      <c r="AU48" s="765"/>
      <c r="AV48" s="765"/>
      <c r="AW48" s="765"/>
    </row>
    <row r="49" spans="1:49" x14ac:dyDescent="0.25">
      <c r="A49" s="23" t="s">
        <v>3068</v>
      </c>
      <c r="B49" s="108" t="s">
        <v>527</v>
      </c>
      <c r="C49" s="108" t="s">
        <v>3069</v>
      </c>
      <c r="D49" s="108" t="s">
        <v>3073</v>
      </c>
      <c r="E49" s="108" t="s">
        <v>3070</v>
      </c>
      <c r="F49" s="114" t="s">
        <v>694</v>
      </c>
      <c r="G49" s="213" t="s">
        <v>3071</v>
      </c>
      <c r="H49" s="115" t="s">
        <v>3072</v>
      </c>
      <c r="I49" s="213">
        <v>212040000</v>
      </c>
      <c r="J49" s="109">
        <v>2.8340000000000001</v>
      </c>
      <c r="K49" s="109" t="s">
        <v>695</v>
      </c>
      <c r="L49" s="115">
        <v>1</v>
      </c>
      <c r="M49" s="115">
        <v>94.467606000000004</v>
      </c>
      <c r="N49" s="115">
        <v>94.573227000000003</v>
      </c>
      <c r="O49" s="214">
        <v>0.102339</v>
      </c>
      <c r="P49" s="115">
        <v>2.9582999999999999</v>
      </c>
      <c r="Q49" s="769">
        <v>2.5999999999999999E-2</v>
      </c>
      <c r="R49" s="216"/>
      <c r="S49" s="216">
        <v>2.5999999999999999E-2</v>
      </c>
      <c r="T49" s="216">
        <v>13</v>
      </c>
      <c r="U49" s="216">
        <v>5.0190000000000001</v>
      </c>
      <c r="V49" s="115">
        <v>243.85056449489841</v>
      </c>
      <c r="W49" s="109">
        <v>243.7</v>
      </c>
      <c r="X49" s="109">
        <v>862.8</v>
      </c>
      <c r="Y49" s="109" t="s">
        <v>1980</v>
      </c>
      <c r="Z49" s="109">
        <v>0</v>
      </c>
      <c r="AA49" s="109">
        <v>0</v>
      </c>
      <c r="AB49" s="109"/>
      <c r="AC49" s="109"/>
      <c r="AD49" s="765"/>
      <c r="AE49" s="765" t="s">
        <v>13</v>
      </c>
      <c r="AF49" s="765"/>
      <c r="AG49" s="765" t="s">
        <v>2796</v>
      </c>
      <c r="AH49" s="109"/>
      <c r="AL49" s="2" t="s">
        <v>680</v>
      </c>
      <c r="AM49" s="2" t="s">
        <v>2976</v>
      </c>
      <c r="AN49" s="2" t="s">
        <v>952</v>
      </c>
      <c r="AO49" s="2">
        <v>1</v>
      </c>
      <c r="AP49" s="2" t="s">
        <v>4675</v>
      </c>
      <c r="AQ49" s="2" t="s">
        <v>4396</v>
      </c>
      <c r="AR49" s="2" t="s">
        <v>4671</v>
      </c>
      <c r="AT49" s="765"/>
      <c r="AU49" s="765"/>
      <c r="AV49" s="765"/>
      <c r="AW49" s="765"/>
    </row>
    <row r="50" spans="1:49" x14ac:dyDescent="0.25">
      <c r="A50" s="23" t="s">
        <v>3175</v>
      </c>
      <c r="B50" s="108" t="s">
        <v>529</v>
      </c>
      <c r="C50" s="108" t="s">
        <v>3177</v>
      </c>
      <c r="D50" s="108" t="s">
        <v>530</v>
      </c>
      <c r="E50" s="108" t="s">
        <v>3178</v>
      </c>
      <c r="F50" s="114" t="s">
        <v>698</v>
      </c>
      <c r="G50" s="213" t="s">
        <v>3179</v>
      </c>
      <c r="H50" s="115" t="s">
        <v>3180</v>
      </c>
      <c r="I50" s="213">
        <v>18250000</v>
      </c>
      <c r="J50" s="109">
        <v>3.7989999999999999</v>
      </c>
      <c r="K50" s="109" t="s">
        <v>695</v>
      </c>
      <c r="L50" s="115">
        <v>1</v>
      </c>
      <c r="M50" s="115">
        <v>0</v>
      </c>
      <c r="N50" s="115">
        <v>0</v>
      </c>
      <c r="O50" s="214">
        <v>0.59095600000000004</v>
      </c>
      <c r="P50" s="115">
        <v>1.2501</v>
      </c>
      <c r="Q50" s="769"/>
      <c r="R50" s="216"/>
      <c r="S50" s="216">
        <v>1.2501</v>
      </c>
      <c r="T50" s="216">
        <v>56</v>
      </c>
      <c r="U50" s="216"/>
      <c r="V50" s="115"/>
      <c r="W50" s="109">
        <v>350</v>
      </c>
      <c r="X50" s="109"/>
      <c r="Y50" s="109" t="s">
        <v>992</v>
      </c>
      <c r="Z50" s="109"/>
      <c r="AA50" s="109"/>
      <c r="AB50" s="109"/>
      <c r="AC50" s="109"/>
      <c r="AD50" s="765"/>
      <c r="AE50" s="765" t="s">
        <v>13</v>
      </c>
      <c r="AF50" s="765" t="s">
        <v>21</v>
      </c>
      <c r="AG50" s="765"/>
      <c r="AH50" s="109"/>
      <c r="AL50" s="2" t="s">
        <v>680</v>
      </c>
      <c r="AM50" s="2" t="s">
        <v>711</v>
      </c>
      <c r="AN50" s="2" t="s">
        <v>952</v>
      </c>
      <c r="AO50" s="2">
        <v>1</v>
      </c>
      <c r="AP50" s="2" t="s">
        <v>4646</v>
      </c>
      <c r="AQ50" s="2" t="s">
        <v>3887</v>
      </c>
      <c r="AR50" s="2" t="s">
        <v>4647</v>
      </c>
      <c r="AT50" s="765"/>
      <c r="AU50" s="765"/>
      <c r="AV50" s="765"/>
      <c r="AW50" s="765"/>
    </row>
    <row r="51" spans="1:49" x14ac:dyDescent="0.25">
      <c r="A51" s="23" t="s">
        <v>3639</v>
      </c>
      <c r="B51" s="108" t="s">
        <v>529</v>
      </c>
      <c r="C51" s="108" t="s">
        <v>3664</v>
      </c>
      <c r="D51" s="108" t="s">
        <v>1683</v>
      </c>
      <c r="E51" s="108" t="s">
        <v>3665</v>
      </c>
      <c r="F51" s="114" t="s">
        <v>698</v>
      </c>
      <c r="G51" s="213" t="s">
        <v>3666</v>
      </c>
      <c r="H51" s="115" t="s">
        <v>3667</v>
      </c>
      <c r="I51" s="213">
        <v>57531000</v>
      </c>
      <c r="J51" s="109">
        <v>3.1465700000000001</v>
      </c>
      <c r="K51" s="109" t="s">
        <v>695</v>
      </c>
      <c r="L51" s="115">
        <v>1</v>
      </c>
      <c r="M51" s="115">
        <v>0</v>
      </c>
      <c r="N51" s="115">
        <v>0</v>
      </c>
      <c r="O51" s="214">
        <v>0.113626</v>
      </c>
      <c r="P51" s="115">
        <v>0.59360000000000002</v>
      </c>
      <c r="Q51" s="769"/>
      <c r="R51" s="216"/>
      <c r="S51" s="216">
        <v>0.59360000000000002</v>
      </c>
      <c r="T51" s="216">
        <v>12</v>
      </c>
      <c r="U51" s="216"/>
      <c r="V51" s="115"/>
      <c r="W51" s="109">
        <v>275</v>
      </c>
      <c r="X51" s="109"/>
      <c r="Y51" s="109" t="s">
        <v>532</v>
      </c>
      <c r="Z51" s="109"/>
      <c r="AA51" s="109"/>
      <c r="AB51" s="109"/>
      <c r="AC51" s="109"/>
      <c r="AD51" s="765"/>
      <c r="AE51" s="765" t="s">
        <v>10</v>
      </c>
      <c r="AF51" s="765"/>
      <c r="AG51" s="765" t="s">
        <v>522</v>
      </c>
      <c r="AH51" s="109"/>
      <c r="AI51" s="2" t="s">
        <v>10</v>
      </c>
      <c r="AL51" s="2" t="s">
        <v>680</v>
      </c>
      <c r="AM51" s="2" t="s">
        <v>1656</v>
      </c>
      <c r="AN51" s="2" t="s">
        <v>952</v>
      </c>
      <c r="AO51" s="2">
        <v>1</v>
      </c>
      <c r="AP51" s="2" t="s">
        <v>4396</v>
      </c>
      <c r="AQ51" s="2" t="s">
        <v>4396</v>
      </c>
      <c r="AR51" s="2" t="s">
        <v>4671</v>
      </c>
      <c r="AT51" s="765"/>
      <c r="AU51" s="765"/>
      <c r="AV51" s="765"/>
      <c r="AW51" s="765"/>
    </row>
    <row r="52" spans="1:49" x14ac:dyDescent="0.25">
      <c r="A52" s="23" t="s">
        <v>3977</v>
      </c>
      <c r="B52" s="108" t="s">
        <v>527</v>
      </c>
      <c r="C52" s="108" t="s">
        <v>3979</v>
      </c>
      <c r="D52" s="108" t="s">
        <v>4782</v>
      </c>
      <c r="E52" s="108" t="s">
        <v>3980</v>
      </c>
      <c r="F52" s="114" t="s">
        <v>694</v>
      </c>
      <c r="G52" s="213" t="s">
        <v>3981</v>
      </c>
      <c r="H52" s="115" t="s">
        <v>3672</v>
      </c>
      <c r="I52" s="213">
        <v>22800000</v>
      </c>
      <c r="J52" s="109">
        <v>5.3970000000000002</v>
      </c>
      <c r="K52" s="109" t="s">
        <v>695</v>
      </c>
      <c r="L52" s="115">
        <v>1</v>
      </c>
      <c r="M52" s="115">
        <v>97.814132999999998</v>
      </c>
      <c r="N52" s="115">
        <v>97.932975999999996</v>
      </c>
      <c r="O52" s="214">
        <v>0.19489200000000001</v>
      </c>
      <c r="P52" s="115">
        <v>1.2082999999999999</v>
      </c>
      <c r="Q52" s="769">
        <v>0.05</v>
      </c>
      <c r="R52" s="216"/>
      <c r="S52" s="216">
        <v>0.05</v>
      </c>
      <c r="T52" s="216">
        <v>13</v>
      </c>
      <c r="U52" s="216">
        <v>7.4219999999999997</v>
      </c>
      <c r="V52" s="115">
        <v>559.86069222871345</v>
      </c>
      <c r="W52" s="109">
        <v>500</v>
      </c>
      <c r="X52" s="109">
        <v>709.3</v>
      </c>
      <c r="Y52" s="109" t="s">
        <v>1861</v>
      </c>
      <c r="Z52" s="109">
        <v>0</v>
      </c>
      <c r="AA52" s="109">
        <v>0</v>
      </c>
      <c r="AB52" s="109"/>
      <c r="AC52" s="109"/>
      <c r="AD52" s="765"/>
      <c r="AE52" s="765" t="s">
        <v>10</v>
      </c>
      <c r="AF52" s="765"/>
      <c r="AG52" s="765" t="s">
        <v>1901</v>
      </c>
      <c r="AH52" s="109"/>
      <c r="AL52" s="2" t="s">
        <v>680</v>
      </c>
      <c r="AM52" s="2" t="s">
        <v>2976</v>
      </c>
      <c r="AN52" s="2" t="s">
        <v>952</v>
      </c>
      <c r="AO52" s="2">
        <v>1</v>
      </c>
      <c r="AP52" s="2" t="s">
        <v>4675</v>
      </c>
      <c r="AQ52" s="2" t="s">
        <v>4396</v>
      </c>
      <c r="AR52" s="2" t="s">
        <v>4671</v>
      </c>
      <c r="AT52" s="765"/>
      <c r="AU52" s="765"/>
      <c r="AV52" s="765"/>
      <c r="AW52" s="765"/>
    </row>
    <row r="53" spans="1:49" x14ac:dyDescent="0.25">
      <c r="A53" s="23" t="s">
        <v>3669</v>
      </c>
      <c r="B53" s="108" t="s">
        <v>527</v>
      </c>
      <c r="C53" s="108" t="s">
        <v>3313</v>
      </c>
      <c r="D53" s="108" t="s">
        <v>5103</v>
      </c>
      <c r="E53" s="108" t="s">
        <v>3670</v>
      </c>
      <c r="F53" s="114" t="s">
        <v>694</v>
      </c>
      <c r="G53" s="213" t="s">
        <v>3671</v>
      </c>
      <c r="H53" s="115" t="s">
        <v>3672</v>
      </c>
      <c r="I53" s="213">
        <v>641300000</v>
      </c>
      <c r="J53" s="109">
        <v>1.0669999999999999</v>
      </c>
      <c r="K53" s="109" t="s">
        <v>695</v>
      </c>
      <c r="L53" s="115">
        <v>1</v>
      </c>
      <c r="M53" s="115">
        <v>97.842033000000001</v>
      </c>
      <c r="N53" s="115">
        <v>97.944130000000001</v>
      </c>
      <c r="O53" s="214">
        <v>3.8531000000000003E-2</v>
      </c>
      <c r="P53" s="115">
        <v>1.2082999999999999</v>
      </c>
      <c r="Q53" s="769">
        <v>4.5999999999999999E-2</v>
      </c>
      <c r="R53" s="216"/>
      <c r="S53" s="216">
        <v>4.5999999999999999E-2</v>
      </c>
      <c r="T53" s="216">
        <v>13</v>
      </c>
      <c r="U53" s="216">
        <v>2.923</v>
      </c>
      <c r="V53" s="115">
        <v>109.9996902061704</v>
      </c>
      <c r="W53" s="109">
        <v>67</v>
      </c>
      <c r="X53" s="109">
        <v>258.8</v>
      </c>
      <c r="Y53" s="109" t="s">
        <v>3673</v>
      </c>
      <c r="Z53" s="109">
        <v>0</v>
      </c>
      <c r="AA53" s="109">
        <v>0</v>
      </c>
      <c r="AB53" s="109"/>
      <c r="AC53" s="109"/>
      <c r="AD53" s="765"/>
      <c r="AE53" s="765" t="s">
        <v>7</v>
      </c>
      <c r="AF53" s="765"/>
      <c r="AG53" s="765"/>
      <c r="AH53" s="109" t="s">
        <v>7</v>
      </c>
      <c r="AI53" s="2" t="s">
        <v>7</v>
      </c>
      <c r="AL53" s="2" t="s">
        <v>680</v>
      </c>
      <c r="AM53" s="2" t="s">
        <v>1921</v>
      </c>
      <c r="AN53" s="2" t="s">
        <v>952</v>
      </c>
      <c r="AO53" s="2">
        <v>1</v>
      </c>
      <c r="AP53" s="2" t="s">
        <v>4675</v>
      </c>
      <c r="AQ53" s="2" t="s">
        <v>4396</v>
      </c>
      <c r="AR53" s="2" t="s">
        <v>4671</v>
      </c>
      <c r="AT53" s="765"/>
      <c r="AU53" s="765"/>
      <c r="AV53" s="765"/>
      <c r="AW53" s="765"/>
    </row>
    <row r="54" spans="1:49" x14ac:dyDescent="0.25">
      <c r="A54" s="23" t="s">
        <v>3674</v>
      </c>
      <c r="B54" s="108" t="s">
        <v>527</v>
      </c>
      <c r="C54" s="108" t="s">
        <v>3313</v>
      </c>
      <c r="D54" s="108" t="s">
        <v>5103</v>
      </c>
      <c r="E54" s="108" t="s">
        <v>3675</v>
      </c>
      <c r="F54" s="114" t="s">
        <v>694</v>
      </c>
      <c r="G54" s="213" t="s">
        <v>3671</v>
      </c>
      <c r="H54" s="115" t="s">
        <v>3672</v>
      </c>
      <c r="I54" s="213">
        <v>71900000</v>
      </c>
      <c r="J54" s="109">
        <v>1.2669999999999999</v>
      </c>
      <c r="K54" s="109" t="s">
        <v>695</v>
      </c>
      <c r="L54" s="115">
        <v>1</v>
      </c>
      <c r="M54" s="115">
        <v>97.100059999999999</v>
      </c>
      <c r="N54" s="115">
        <v>97.200908999999996</v>
      </c>
      <c r="O54" s="214">
        <v>4.5753000000000002E-2</v>
      </c>
      <c r="P54" s="115">
        <v>1.2082999999999999</v>
      </c>
      <c r="Q54" s="769">
        <v>4.2000000000000003E-2</v>
      </c>
      <c r="R54" s="216"/>
      <c r="S54" s="216">
        <v>4.2000000000000003E-2</v>
      </c>
      <c r="T54" s="216">
        <v>12</v>
      </c>
      <c r="U54" s="216">
        <v>3.7629999999999999</v>
      </c>
      <c r="V54" s="115">
        <v>194.03883444442911</v>
      </c>
      <c r="W54" s="109">
        <v>87</v>
      </c>
      <c r="X54" s="109">
        <v>344.1</v>
      </c>
      <c r="Y54" s="109" t="s">
        <v>1861</v>
      </c>
      <c r="Z54" s="109">
        <v>0</v>
      </c>
      <c r="AA54" s="109">
        <v>0</v>
      </c>
      <c r="AB54" s="109"/>
      <c r="AC54" s="109"/>
      <c r="AD54" s="765"/>
      <c r="AE54" s="765" t="s">
        <v>8</v>
      </c>
      <c r="AF54" s="765"/>
      <c r="AG54" s="765"/>
      <c r="AH54" s="109" t="s">
        <v>16</v>
      </c>
      <c r="AI54" s="2" t="s">
        <v>8</v>
      </c>
      <c r="AL54" s="2" t="s">
        <v>680</v>
      </c>
      <c r="AM54" s="2" t="s">
        <v>1921</v>
      </c>
      <c r="AN54" s="2" t="s">
        <v>952</v>
      </c>
      <c r="AO54" s="2">
        <v>1</v>
      </c>
      <c r="AP54" s="2" t="s">
        <v>4675</v>
      </c>
      <c r="AQ54" s="2" t="s">
        <v>4396</v>
      </c>
      <c r="AR54" s="2" t="s">
        <v>4671</v>
      </c>
      <c r="AT54" s="765"/>
      <c r="AU54" s="765"/>
      <c r="AV54" s="765"/>
      <c r="AW54" s="765"/>
    </row>
    <row r="55" spans="1:49" x14ac:dyDescent="0.25">
      <c r="A55" s="23" t="s">
        <v>3676</v>
      </c>
      <c r="B55" s="108" t="s">
        <v>527</v>
      </c>
      <c r="C55" s="108" t="s">
        <v>3313</v>
      </c>
      <c r="D55" s="108" t="s">
        <v>5103</v>
      </c>
      <c r="E55" s="108" t="s">
        <v>3677</v>
      </c>
      <c r="F55" s="114" t="s">
        <v>694</v>
      </c>
      <c r="G55" s="213" t="s">
        <v>3671</v>
      </c>
      <c r="H55" s="115" t="s">
        <v>3672</v>
      </c>
      <c r="I55" s="213">
        <v>68200000</v>
      </c>
      <c r="J55" s="109">
        <v>1.4970000000000001</v>
      </c>
      <c r="K55" s="109" t="s">
        <v>695</v>
      </c>
      <c r="L55" s="115">
        <v>1</v>
      </c>
      <c r="M55" s="115">
        <v>97.063193999999996</v>
      </c>
      <c r="N55" s="115">
        <v>97.163494</v>
      </c>
      <c r="O55" s="214">
        <v>5.4058000000000002E-2</v>
      </c>
      <c r="P55" s="115">
        <v>1.2082999999999999</v>
      </c>
      <c r="Q55" s="769">
        <v>4.2000000000000003E-2</v>
      </c>
      <c r="R55" s="216"/>
      <c r="S55" s="216">
        <v>4.2000000000000003E-2</v>
      </c>
      <c r="T55" s="216">
        <v>12</v>
      </c>
      <c r="U55" s="216">
        <v>4.0330000000000004</v>
      </c>
      <c r="V55" s="115">
        <v>220.96408379992371</v>
      </c>
      <c r="W55" s="109">
        <v>110</v>
      </c>
      <c r="X55" s="109">
        <v>371.4</v>
      </c>
      <c r="Y55" s="109" t="s">
        <v>1861</v>
      </c>
      <c r="Z55" s="109">
        <v>0</v>
      </c>
      <c r="AA55" s="109">
        <v>0</v>
      </c>
      <c r="AB55" s="109"/>
      <c r="AC55" s="109"/>
      <c r="AD55" s="765"/>
      <c r="AE55" s="765" t="s">
        <v>9</v>
      </c>
      <c r="AF55" s="765"/>
      <c r="AG55" s="765"/>
      <c r="AH55" s="109" t="s">
        <v>18</v>
      </c>
      <c r="AI55" s="2" t="s">
        <v>17</v>
      </c>
      <c r="AL55" s="2" t="s">
        <v>680</v>
      </c>
      <c r="AM55" s="2" t="s">
        <v>1921</v>
      </c>
      <c r="AN55" s="2" t="s">
        <v>952</v>
      </c>
      <c r="AO55" s="2">
        <v>1</v>
      </c>
      <c r="AP55" s="2" t="s">
        <v>4675</v>
      </c>
      <c r="AQ55" s="2" t="s">
        <v>4396</v>
      </c>
      <c r="AR55" s="2" t="s">
        <v>4671</v>
      </c>
      <c r="AT55" s="765"/>
      <c r="AU55" s="765"/>
      <c r="AV55" s="765"/>
      <c r="AW55" s="765"/>
    </row>
    <row r="56" spans="1:49" x14ac:dyDescent="0.25">
      <c r="A56" s="23" t="s">
        <v>3678</v>
      </c>
      <c r="B56" s="108" t="s">
        <v>527</v>
      </c>
      <c r="C56" s="108" t="s">
        <v>3313</v>
      </c>
      <c r="D56" s="108" t="s">
        <v>5103</v>
      </c>
      <c r="E56" s="108" t="s">
        <v>3679</v>
      </c>
      <c r="F56" s="114" t="s">
        <v>694</v>
      </c>
      <c r="G56" s="213" t="s">
        <v>3671</v>
      </c>
      <c r="H56" s="115" t="s">
        <v>3672</v>
      </c>
      <c r="I56" s="213">
        <v>92100000</v>
      </c>
      <c r="J56" s="109">
        <v>1.7969999999999999</v>
      </c>
      <c r="K56" s="109" t="s">
        <v>695</v>
      </c>
      <c r="L56" s="115">
        <v>1</v>
      </c>
      <c r="M56" s="115">
        <v>97.579987000000003</v>
      </c>
      <c r="N56" s="115">
        <v>97.708279000000005</v>
      </c>
      <c r="O56" s="214">
        <v>6.4892000000000005E-2</v>
      </c>
      <c r="P56" s="115">
        <v>1.2082999999999999</v>
      </c>
      <c r="Q56" s="769">
        <v>4.5999999999999999E-2</v>
      </c>
      <c r="R56" s="216"/>
      <c r="S56" s="216">
        <v>4.5999999999999999E-2</v>
      </c>
      <c r="T56" s="216">
        <v>13</v>
      </c>
      <c r="U56" s="216">
        <v>3.8969999999999998</v>
      </c>
      <c r="V56" s="115">
        <v>207.3635715632935</v>
      </c>
      <c r="W56" s="109">
        <v>140</v>
      </c>
      <c r="X56" s="109">
        <v>352.5</v>
      </c>
      <c r="Y56" s="109" t="s">
        <v>1861</v>
      </c>
      <c r="Z56" s="109">
        <v>0</v>
      </c>
      <c r="AA56" s="109">
        <v>0</v>
      </c>
      <c r="AB56" s="109"/>
      <c r="AC56" s="109"/>
      <c r="AD56" s="765"/>
      <c r="AE56" s="765" t="s">
        <v>10</v>
      </c>
      <c r="AF56" s="765"/>
      <c r="AG56" s="765"/>
      <c r="AH56" s="109" t="s">
        <v>20</v>
      </c>
      <c r="AI56" s="2" t="s">
        <v>19</v>
      </c>
      <c r="AL56" s="2" t="s">
        <v>680</v>
      </c>
      <c r="AM56" s="2" t="s">
        <v>1921</v>
      </c>
      <c r="AN56" s="2" t="s">
        <v>952</v>
      </c>
      <c r="AO56" s="2">
        <v>1</v>
      </c>
      <c r="AP56" s="2" t="s">
        <v>4675</v>
      </c>
      <c r="AQ56" s="2" t="s">
        <v>4396</v>
      </c>
      <c r="AR56" s="2" t="s">
        <v>4671</v>
      </c>
      <c r="AT56" s="765"/>
      <c r="AU56" s="765"/>
      <c r="AV56" s="765"/>
      <c r="AW56" s="765"/>
    </row>
    <row r="57" spans="1:49" x14ac:dyDescent="0.25">
      <c r="A57" s="23" t="s">
        <v>3680</v>
      </c>
      <c r="B57" s="108" t="s">
        <v>527</v>
      </c>
      <c r="C57" s="108" t="s">
        <v>3313</v>
      </c>
      <c r="D57" s="108" t="s">
        <v>5103</v>
      </c>
      <c r="E57" s="108" t="s">
        <v>3681</v>
      </c>
      <c r="F57" s="114" t="s">
        <v>694</v>
      </c>
      <c r="G57" s="213" t="s">
        <v>3671</v>
      </c>
      <c r="H57" s="115" t="s">
        <v>3672</v>
      </c>
      <c r="I57" s="213">
        <v>141177000</v>
      </c>
      <c r="J57" s="109">
        <v>2.7469999999999999</v>
      </c>
      <c r="K57" s="109" t="s">
        <v>695</v>
      </c>
      <c r="L57" s="115">
        <v>1</v>
      </c>
      <c r="M57" s="115">
        <v>97.011612</v>
      </c>
      <c r="N57" s="115">
        <v>97.163867999999994</v>
      </c>
      <c r="O57" s="214">
        <v>9.9196999999999994E-2</v>
      </c>
      <c r="P57" s="115">
        <v>1.2082999999999999</v>
      </c>
      <c r="Q57" s="769">
        <v>4.2999999999999997E-2</v>
      </c>
      <c r="R57" s="216"/>
      <c r="S57" s="216">
        <v>4.2999999999999997E-2</v>
      </c>
      <c r="T57" s="216">
        <v>13</v>
      </c>
      <c r="U57" s="216">
        <v>5.3730000000000002</v>
      </c>
      <c r="V57" s="115">
        <v>354.96700610557832</v>
      </c>
      <c r="W57" s="109">
        <v>235</v>
      </c>
      <c r="X57" s="109">
        <v>497.3</v>
      </c>
      <c r="Y57" s="109" t="s">
        <v>1861</v>
      </c>
      <c r="Z57" s="109">
        <v>0</v>
      </c>
      <c r="AA57" s="109">
        <v>0</v>
      </c>
      <c r="AB57" s="109"/>
      <c r="AC57" s="109"/>
      <c r="AD57" s="765"/>
      <c r="AE57" s="765" t="s">
        <v>13</v>
      </c>
      <c r="AF57" s="765"/>
      <c r="AG57" s="765"/>
      <c r="AH57" s="109" t="s">
        <v>522</v>
      </c>
      <c r="AI57" s="2" t="s">
        <v>5</v>
      </c>
      <c r="AL57" s="2" t="s">
        <v>680</v>
      </c>
      <c r="AM57" s="2" t="s">
        <v>1921</v>
      </c>
      <c r="AN57" s="2" t="s">
        <v>952</v>
      </c>
      <c r="AO57" s="2">
        <v>1</v>
      </c>
      <c r="AP57" s="2" t="s">
        <v>4675</v>
      </c>
      <c r="AQ57" s="2" t="s">
        <v>4396</v>
      </c>
      <c r="AR57" s="2" t="s">
        <v>4671</v>
      </c>
      <c r="AT57" s="765"/>
      <c r="AU57" s="765"/>
      <c r="AV57" s="765"/>
      <c r="AW57" s="765"/>
    </row>
    <row r="58" spans="1:49" x14ac:dyDescent="0.25">
      <c r="A58" s="23" t="s">
        <v>4584</v>
      </c>
      <c r="B58" s="108" t="s">
        <v>527</v>
      </c>
      <c r="C58" s="108" t="s">
        <v>3313</v>
      </c>
      <c r="D58" s="108" t="s">
        <v>4642</v>
      </c>
      <c r="E58" s="108" t="s">
        <v>4648</v>
      </c>
      <c r="F58" s="114" t="s">
        <v>694</v>
      </c>
      <c r="G58" s="213" t="s">
        <v>4649</v>
      </c>
      <c r="H58" s="115" t="s">
        <v>2596</v>
      </c>
      <c r="I58" s="213">
        <v>203400000</v>
      </c>
      <c r="J58" s="109">
        <v>2.5680000000000001</v>
      </c>
      <c r="K58" s="109" t="s">
        <v>695</v>
      </c>
      <c r="L58" s="115">
        <v>1</v>
      </c>
      <c r="M58" s="115">
        <v>96.46875</v>
      </c>
      <c r="N58" s="115">
        <v>96.602692000000005</v>
      </c>
      <c r="O58" s="214">
        <v>9.2732999999999996E-2</v>
      </c>
      <c r="P58" s="115">
        <v>1.5417000000000001</v>
      </c>
      <c r="Q58" s="769">
        <v>3.4000000000000002E-2</v>
      </c>
      <c r="R58" s="216"/>
      <c r="S58" s="216">
        <v>3.4000000000000002E-2</v>
      </c>
      <c r="T58" s="216">
        <v>12</v>
      </c>
      <c r="U58" s="216">
        <v>5.0129999999999999</v>
      </c>
      <c r="V58" s="115">
        <v>295.07054743954052</v>
      </c>
      <c r="W58" s="109">
        <v>217.1</v>
      </c>
      <c r="X58" s="109">
        <v>466.5</v>
      </c>
      <c r="Y58" s="109" t="s">
        <v>1861</v>
      </c>
      <c r="Z58" s="109">
        <v>0</v>
      </c>
      <c r="AA58" s="109"/>
      <c r="AB58" s="109"/>
      <c r="AC58" s="109"/>
      <c r="AD58" s="765"/>
      <c r="AE58" s="765" t="s">
        <v>10</v>
      </c>
      <c r="AF58" s="765"/>
      <c r="AG58" s="765"/>
      <c r="AH58" s="109" t="s">
        <v>522</v>
      </c>
      <c r="AJ58" s="2" t="s">
        <v>1971</v>
      </c>
      <c r="AL58" s="2" t="s">
        <v>680</v>
      </c>
      <c r="AM58" s="2" t="s">
        <v>2976</v>
      </c>
      <c r="AN58" s="2" t="s">
        <v>952</v>
      </c>
      <c r="AO58" s="2">
        <v>1</v>
      </c>
      <c r="AP58" s="2" t="s">
        <v>4675</v>
      </c>
      <c r="AQ58" s="2" t="s">
        <v>4396</v>
      </c>
      <c r="AR58" s="2" t="s">
        <v>4671</v>
      </c>
      <c r="AT58" s="765"/>
      <c r="AU58" s="765"/>
      <c r="AV58" s="765"/>
      <c r="AW58" s="765"/>
    </row>
    <row r="59" spans="1:49" x14ac:dyDescent="0.25">
      <c r="A59" s="23" t="s">
        <v>3594</v>
      </c>
      <c r="B59" s="108" t="s">
        <v>527</v>
      </c>
      <c r="C59" s="108" t="s">
        <v>3313</v>
      </c>
      <c r="D59" s="108" t="s">
        <v>5103</v>
      </c>
      <c r="E59" s="108" t="s">
        <v>3683</v>
      </c>
      <c r="F59" s="114" t="s">
        <v>694</v>
      </c>
      <c r="G59" s="213" t="s">
        <v>3684</v>
      </c>
      <c r="H59" s="115" t="s">
        <v>1514</v>
      </c>
      <c r="I59" s="213">
        <v>170942000</v>
      </c>
      <c r="J59" s="109">
        <v>3.2465700000000002</v>
      </c>
      <c r="K59" s="109" t="s">
        <v>695</v>
      </c>
      <c r="L59" s="115">
        <v>1</v>
      </c>
      <c r="M59" s="115">
        <v>96.521834999999996</v>
      </c>
      <c r="N59" s="115">
        <v>96.679946999999999</v>
      </c>
      <c r="O59" s="214">
        <v>0.11723699999999999</v>
      </c>
      <c r="P59" s="115">
        <v>1.4582999999999999</v>
      </c>
      <c r="Q59" s="769">
        <v>3.5999999999999997E-2</v>
      </c>
      <c r="R59" s="216"/>
      <c r="S59" s="216">
        <v>3.5999999999999997E-2</v>
      </c>
      <c r="T59" s="216">
        <v>12</v>
      </c>
      <c r="U59" s="216">
        <v>5.8139999999999992</v>
      </c>
      <c r="V59" s="115">
        <v>381.15653677021299</v>
      </c>
      <c r="W59" s="109">
        <v>285</v>
      </c>
      <c r="X59" s="109">
        <v>544.9</v>
      </c>
      <c r="Y59" s="109" t="s">
        <v>1861</v>
      </c>
      <c r="Z59" s="109">
        <v>0</v>
      </c>
      <c r="AA59" s="109">
        <v>0</v>
      </c>
      <c r="AB59" s="109"/>
      <c r="AC59" s="109"/>
      <c r="AD59" s="765"/>
      <c r="AE59" s="765" t="s">
        <v>13</v>
      </c>
      <c r="AF59" s="765" t="s">
        <v>522</v>
      </c>
      <c r="AG59" s="765"/>
      <c r="AH59" s="109"/>
      <c r="AJ59" s="2" t="s">
        <v>13</v>
      </c>
      <c r="AL59" s="2" t="s">
        <v>680</v>
      </c>
      <c r="AM59" s="2" t="s">
        <v>2976</v>
      </c>
      <c r="AN59" s="2" t="s">
        <v>952</v>
      </c>
      <c r="AO59" s="2">
        <v>1</v>
      </c>
      <c r="AP59" s="2" t="s">
        <v>4675</v>
      </c>
      <c r="AQ59" s="2" t="s">
        <v>4396</v>
      </c>
      <c r="AR59" s="2" t="s">
        <v>4671</v>
      </c>
      <c r="AT59" s="765"/>
      <c r="AU59" s="765"/>
      <c r="AV59" s="765"/>
      <c r="AW59" s="765"/>
    </row>
    <row r="60" spans="1:49" x14ac:dyDescent="0.25">
      <c r="A60" s="23" t="s">
        <v>4632</v>
      </c>
      <c r="B60" s="108" t="s">
        <v>527</v>
      </c>
      <c r="C60" s="108" t="s">
        <v>3313</v>
      </c>
      <c r="D60" s="108" t="s">
        <v>5104</v>
      </c>
      <c r="E60" s="108" t="s">
        <v>4650</v>
      </c>
      <c r="F60" s="114" t="s">
        <v>694</v>
      </c>
      <c r="G60" s="213" t="s">
        <v>4651</v>
      </c>
      <c r="H60" s="115" t="s">
        <v>4908</v>
      </c>
      <c r="I60" s="213">
        <v>292144000</v>
      </c>
      <c r="J60" s="109">
        <v>1.7911600000000001</v>
      </c>
      <c r="K60" s="109" t="s">
        <v>695</v>
      </c>
      <c r="L60" s="115">
        <v>1</v>
      </c>
      <c r="M60" s="115">
        <v>98.803466999999998</v>
      </c>
      <c r="N60" s="115">
        <v>98.918621000000002</v>
      </c>
      <c r="O60" s="214">
        <v>6.4681000000000002E-2</v>
      </c>
      <c r="P60" s="115">
        <v>1.7917000000000001</v>
      </c>
      <c r="Q60" s="769">
        <v>0.04</v>
      </c>
      <c r="R60" s="216"/>
      <c r="S60" s="216">
        <v>0.04</v>
      </c>
      <c r="T60" s="216">
        <v>12</v>
      </c>
      <c r="U60" s="216">
        <v>2.4790000000000001</v>
      </c>
      <c r="V60" s="115">
        <v>23.63965196917497</v>
      </c>
      <c r="W60" s="109">
        <v>149</v>
      </c>
      <c r="X60" s="109">
        <v>205.3</v>
      </c>
      <c r="Y60" s="109" t="s">
        <v>1861</v>
      </c>
      <c r="Z60" s="109">
        <v>0</v>
      </c>
      <c r="AA60" s="109"/>
      <c r="AB60" s="109"/>
      <c r="AC60" s="109"/>
      <c r="AD60" s="765"/>
      <c r="AE60" s="765" t="s">
        <v>7</v>
      </c>
      <c r="AF60" s="765"/>
      <c r="AG60" s="765" t="s">
        <v>522</v>
      </c>
      <c r="AH60" s="109"/>
      <c r="AJ60" s="2" t="s">
        <v>7</v>
      </c>
      <c r="AL60" s="2" t="s">
        <v>680</v>
      </c>
      <c r="AM60" s="2" t="s">
        <v>2976</v>
      </c>
      <c r="AN60" s="2" t="s">
        <v>952</v>
      </c>
      <c r="AO60" s="2">
        <v>1</v>
      </c>
      <c r="AP60" s="2" t="s">
        <v>4675</v>
      </c>
      <c r="AQ60" s="2" t="s">
        <v>4396</v>
      </c>
      <c r="AR60" s="2" t="s">
        <v>4671</v>
      </c>
      <c r="AT60" s="765"/>
      <c r="AU60" s="765"/>
      <c r="AV60" s="765"/>
      <c r="AW60" s="765"/>
    </row>
    <row r="61" spans="1:49" x14ac:dyDescent="0.25">
      <c r="A61" s="23" t="s">
        <v>2132</v>
      </c>
      <c r="B61" s="108" t="s">
        <v>540</v>
      </c>
      <c r="C61" s="108" t="s">
        <v>2134</v>
      </c>
      <c r="D61" s="108" t="s">
        <v>539</v>
      </c>
      <c r="E61" s="108" t="s">
        <v>2134</v>
      </c>
      <c r="F61" s="114" t="s">
        <v>699</v>
      </c>
      <c r="G61" s="213" t="s">
        <v>2135</v>
      </c>
      <c r="H61" s="115" t="s">
        <v>2136</v>
      </c>
      <c r="I61" s="213">
        <v>100000000</v>
      </c>
      <c r="J61" s="109">
        <v>4.75</v>
      </c>
      <c r="K61" s="109" t="s">
        <v>696</v>
      </c>
      <c r="L61" s="115">
        <v>1</v>
      </c>
      <c r="M61" s="115">
        <v>102.54300000000001</v>
      </c>
      <c r="N61" s="115">
        <v>103.04300000000001</v>
      </c>
      <c r="O61" s="214">
        <v>0.17152800000000001</v>
      </c>
      <c r="P61" s="115"/>
      <c r="Q61" s="769">
        <v>3.0757618518688972</v>
      </c>
      <c r="R61" s="216">
        <v>3.0260930943094109</v>
      </c>
      <c r="S61" s="216">
        <v>3.0757618518688972</v>
      </c>
      <c r="T61" s="216">
        <v>12</v>
      </c>
      <c r="U61" s="216">
        <v>3.938289462191642</v>
      </c>
      <c r="V61" s="115"/>
      <c r="W61" s="109"/>
      <c r="X61" s="109">
        <v>101.1120155479563</v>
      </c>
      <c r="Y61" s="109"/>
      <c r="Z61" s="109"/>
      <c r="AA61" s="109"/>
      <c r="AB61" s="109"/>
      <c r="AC61" s="109"/>
      <c r="AD61" s="765"/>
      <c r="AE61" s="765" t="s">
        <v>10</v>
      </c>
      <c r="AF61" s="765"/>
      <c r="AG61" s="765"/>
      <c r="AH61" s="109"/>
      <c r="AI61" s="2" t="s">
        <v>10</v>
      </c>
      <c r="AL61" s="2" t="s">
        <v>680</v>
      </c>
      <c r="AM61" s="2" t="s">
        <v>811</v>
      </c>
      <c r="AN61" s="2" t="s">
        <v>952</v>
      </c>
      <c r="AT61" s="765"/>
      <c r="AU61" s="765"/>
      <c r="AV61" s="765"/>
      <c r="AW61" s="765"/>
    </row>
    <row r="62" spans="1:49" x14ac:dyDescent="0.25">
      <c r="A62" s="23" t="s">
        <v>2437</v>
      </c>
      <c r="B62" s="108" t="s">
        <v>656</v>
      </c>
      <c r="C62" s="108" t="s">
        <v>2438</v>
      </c>
      <c r="D62" s="108" t="s">
        <v>541</v>
      </c>
      <c r="E62" s="108" t="s">
        <v>2438</v>
      </c>
      <c r="F62" s="114" t="s">
        <v>699</v>
      </c>
      <c r="G62" s="213" t="s">
        <v>2439</v>
      </c>
      <c r="H62" s="115" t="s">
        <v>2431</v>
      </c>
      <c r="I62" s="213">
        <v>60000000</v>
      </c>
      <c r="J62" s="109">
        <v>6</v>
      </c>
      <c r="K62" s="109" t="s">
        <v>696</v>
      </c>
      <c r="L62" s="115">
        <v>1</v>
      </c>
      <c r="M62" s="115">
        <v>112.944</v>
      </c>
      <c r="N62" s="115">
        <v>113.41200000000001</v>
      </c>
      <c r="O62" s="214">
        <v>1.7166669999999999</v>
      </c>
      <c r="P62" s="115"/>
      <c r="Q62" s="769">
        <v>2.9298369603628691</v>
      </c>
      <c r="R62" s="216">
        <v>2.914943103286777</v>
      </c>
      <c r="S62" s="216">
        <v>2.9298369603628691</v>
      </c>
      <c r="T62" s="216">
        <v>103</v>
      </c>
      <c r="U62" s="216">
        <v>4.2095536931212099</v>
      </c>
      <c r="V62" s="115"/>
      <c r="W62" s="109">
        <v>586</v>
      </c>
      <c r="X62" s="109">
        <v>-89.368388619852823</v>
      </c>
      <c r="Y62" s="109"/>
      <c r="Z62" s="109"/>
      <c r="AA62" s="109"/>
      <c r="AB62" s="109"/>
      <c r="AC62" s="109"/>
      <c r="AD62" s="765"/>
      <c r="AE62" s="765" t="s">
        <v>10</v>
      </c>
      <c r="AF62" s="765"/>
      <c r="AG62" s="765"/>
      <c r="AH62" s="109"/>
      <c r="AI62" s="2" t="s">
        <v>20</v>
      </c>
      <c r="AL62" s="2" t="s">
        <v>680</v>
      </c>
      <c r="AM62" s="2" t="s">
        <v>812</v>
      </c>
      <c r="AN62" s="2" t="s">
        <v>952</v>
      </c>
      <c r="AT62" s="765"/>
      <c r="AU62" s="765"/>
      <c r="AV62" s="765"/>
      <c r="AW62" s="765"/>
    </row>
    <row r="63" spans="1:49" x14ac:dyDescent="0.25">
      <c r="A63" s="23" t="s">
        <v>2050</v>
      </c>
      <c r="B63" s="108" t="s">
        <v>540</v>
      </c>
      <c r="C63" s="108" t="s">
        <v>2051</v>
      </c>
      <c r="D63" s="108" t="s">
        <v>539</v>
      </c>
      <c r="E63" s="108" t="s">
        <v>2051</v>
      </c>
      <c r="F63" s="114" t="s">
        <v>699</v>
      </c>
      <c r="G63" s="213" t="s">
        <v>2052</v>
      </c>
      <c r="H63" s="115" t="s">
        <v>1144</v>
      </c>
      <c r="I63" s="213">
        <v>175000000</v>
      </c>
      <c r="J63" s="109">
        <v>5.25</v>
      </c>
      <c r="K63" s="109" t="s">
        <v>696</v>
      </c>
      <c r="L63" s="115">
        <v>1</v>
      </c>
      <c r="M63" s="115">
        <v>101.54300000000001</v>
      </c>
      <c r="N63" s="115">
        <v>101.905</v>
      </c>
      <c r="O63" s="214">
        <v>2.3770829999999998</v>
      </c>
      <c r="P63" s="115"/>
      <c r="Q63" s="769">
        <v>2.6556184938288139</v>
      </c>
      <c r="R63" s="216">
        <v>2.5162426311592681</v>
      </c>
      <c r="S63" s="216">
        <v>2.6556184938288139</v>
      </c>
      <c r="T63" s="216">
        <v>162</v>
      </c>
      <c r="U63" s="216">
        <v>4.6988383523514674</v>
      </c>
      <c r="V63" s="115"/>
      <c r="W63" s="109"/>
      <c r="X63" s="109">
        <v>178.45471267856959</v>
      </c>
      <c r="Y63" s="109"/>
      <c r="Z63" s="109"/>
      <c r="AA63" s="109"/>
      <c r="AB63" s="109"/>
      <c r="AC63" s="109"/>
      <c r="AD63" s="765"/>
      <c r="AE63" s="765" t="s">
        <v>9</v>
      </c>
      <c r="AF63" s="765"/>
      <c r="AG63" s="765"/>
      <c r="AH63" s="109"/>
      <c r="AI63" s="2" t="s">
        <v>10</v>
      </c>
      <c r="AK63" s="2" t="s">
        <v>18</v>
      </c>
      <c r="AL63" s="2" t="s">
        <v>680</v>
      </c>
      <c r="AM63" s="2" t="s">
        <v>811</v>
      </c>
      <c r="AN63" s="2" t="s">
        <v>952</v>
      </c>
      <c r="AT63" s="765"/>
      <c r="AU63" s="765"/>
      <c r="AV63" s="765"/>
      <c r="AW63" s="765"/>
    </row>
    <row r="64" spans="1:49" x14ac:dyDescent="0.25">
      <c r="A64" s="23" t="s">
        <v>2440</v>
      </c>
      <c r="B64" s="108" t="s">
        <v>538</v>
      </c>
      <c r="C64" s="108" t="s">
        <v>2051</v>
      </c>
      <c r="D64" s="108" t="s">
        <v>541</v>
      </c>
      <c r="E64" s="108" t="s">
        <v>2051</v>
      </c>
      <c r="F64" s="114" t="s">
        <v>699</v>
      </c>
      <c r="G64" s="213" t="s">
        <v>2441</v>
      </c>
      <c r="H64" s="115" t="s">
        <v>2442</v>
      </c>
      <c r="I64" s="213">
        <v>85000000</v>
      </c>
      <c r="J64" s="109">
        <v>4.375</v>
      </c>
      <c r="K64" s="109" t="s">
        <v>696</v>
      </c>
      <c r="L64" s="115">
        <v>1</v>
      </c>
      <c r="M64" s="115">
        <v>101.405</v>
      </c>
      <c r="N64" s="115">
        <v>101.768</v>
      </c>
      <c r="O64" s="214">
        <v>1.798611</v>
      </c>
      <c r="P64" s="115"/>
      <c r="Q64" s="769">
        <v>3.2533500834649849</v>
      </c>
      <c r="R64" s="216">
        <v>3.2373073982947909</v>
      </c>
      <c r="S64" s="216">
        <v>3.2533500834649849</v>
      </c>
      <c r="T64" s="216">
        <v>147</v>
      </c>
      <c r="U64" s="216">
        <v>4.2387044242796508</v>
      </c>
      <c r="V64" s="115"/>
      <c r="W64" s="109">
        <v>419.5</v>
      </c>
      <c r="X64" s="109">
        <v>128.8077748998717</v>
      </c>
      <c r="Y64" s="109"/>
      <c r="Z64" s="109"/>
      <c r="AA64" s="109"/>
      <c r="AB64" s="109"/>
      <c r="AC64" s="109"/>
      <c r="AD64" s="765"/>
      <c r="AE64" s="765" t="s">
        <v>10</v>
      </c>
      <c r="AF64" s="765"/>
      <c r="AG64" s="765"/>
      <c r="AH64" s="109"/>
      <c r="AI64" s="2" t="s">
        <v>20</v>
      </c>
      <c r="AL64" s="2" t="s">
        <v>680</v>
      </c>
      <c r="AM64" s="2" t="s">
        <v>812</v>
      </c>
      <c r="AN64" s="2" t="s">
        <v>952</v>
      </c>
      <c r="AT64" s="765"/>
      <c r="AU64" s="765"/>
      <c r="AV64" s="765"/>
      <c r="AW64" s="765"/>
    </row>
    <row r="65" spans="1:49" x14ac:dyDescent="0.25">
      <c r="A65" s="23" t="s">
        <v>3999</v>
      </c>
      <c r="B65" s="108" t="s">
        <v>527</v>
      </c>
      <c r="C65" s="108" t="s">
        <v>2675</v>
      </c>
      <c r="D65" s="108" t="s">
        <v>2676</v>
      </c>
      <c r="E65" s="108" t="s">
        <v>4000</v>
      </c>
      <c r="F65" s="114" t="s">
        <v>694</v>
      </c>
      <c r="G65" s="213" t="s">
        <v>1399</v>
      </c>
      <c r="H65" s="115" t="s">
        <v>2677</v>
      </c>
      <c r="I65" s="213">
        <v>19325000</v>
      </c>
      <c r="J65" s="109">
        <v>3.5920000000000001</v>
      </c>
      <c r="K65" s="109" t="s">
        <v>696</v>
      </c>
      <c r="L65" s="115">
        <v>1</v>
      </c>
      <c r="M65" s="115">
        <v>0</v>
      </c>
      <c r="N65" s="115">
        <v>0</v>
      </c>
      <c r="O65" s="214">
        <v>0.26939999999999997</v>
      </c>
      <c r="P65" s="115">
        <v>6.6249999999999991</v>
      </c>
      <c r="Q65" s="769"/>
      <c r="R65" s="216"/>
      <c r="S65" s="216">
        <v>6.6249999999999991</v>
      </c>
      <c r="T65" s="216">
        <v>26</v>
      </c>
      <c r="U65" s="216"/>
      <c r="V65" s="115"/>
      <c r="W65" s="109"/>
      <c r="X65" s="109"/>
      <c r="Y65" s="109" t="s">
        <v>663</v>
      </c>
      <c r="Z65" s="109">
        <v>0</v>
      </c>
      <c r="AA65" s="109">
        <v>5.6033963574321</v>
      </c>
      <c r="AB65" s="109"/>
      <c r="AC65" s="109"/>
      <c r="AD65" s="765"/>
      <c r="AE65" s="765" t="s">
        <v>13</v>
      </c>
      <c r="AF65" s="765"/>
      <c r="AG65" s="765" t="s">
        <v>522</v>
      </c>
      <c r="AH65" s="109" t="s">
        <v>5</v>
      </c>
      <c r="AI65" s="2" t="s">
        <v>13</v>
      </c>
      <c r="AL65" s="2" t="s">
        <v>680</v>
      </c>
      <c r="AM65" s="2" t="s">
        <v>1885</v>
      </c>
      <c r="AN65" s="2" t="s">
        <v>952</v>
      </c>
      <c r="AO65" s="2">
        <v>1</v>
      </c>
      <c r="AP65" s="2" t="s">
        <v>4673</v>
      </c>
      <c r="AQ65" s="2" t="s">
        <v>4396</v>
      </c>
      <c r="AR65" s="2" t="s">
        <v>4671</v>
      </c>
      <c r="AT65" s="765"/>
      <c r="AU65" s="765"/>
      <c r="AV65" s="765"/>
      <c r="AW65" s="765"/>
    </row>
    <row r="66" spans="1:49" x14ac:dyDescent="0.25">
      <c r="A66" s="23" t="s">
        <v>3546</v>
      </c>
      <c r="B66" s="108" t="s">
        <v>527</v>
      </c>
      <c r="C66" s="108" t="s">
        <v>3552</v>
      </c>
      <c r="D66" s="108" t="s">
        <v>2862</v>
      </c>
      <c r="E66" s="108" t="s">
        <v>3553</v>
      </c>
      <c r="F66" s="114" t="s">
        <v>694</v>
      </c>
      <c r="G66" s="213" t="s">
        <v>1915</v>
      </c>
      <c r="H66" s="115" t="s">
        <v>3554</v>
      </c>
      <c r="I66" s="213">
        <v>39879000</v>
      </c>
      <c r="J66" s="109">
        <v>3.1669999999999998</v>
      </c>
      <c r="K66" s="109" t="s">
        <v>696</v>
      </c>
      <c r="L66" s="115">
        <v>1</v>
      </c>
      <c r="M66" s="115">
        <v>75.563147999999998</v>
      </c>
      <c r="N66" s="115">
        <v>75.912788000000006</v>
      </c>
      <c r="O66" s="214">
        <v>0.23752499999999999</v>
      </c>
      <c r="P66" s="115">
        <v>3.4582999999999999</v>
      </c>
      <c r="Q66" s="769">
        <v>3.2170000000000001</v>
      </c>
      <c r="R66" s="216"/>
      <c r="S66" s="216">
        <v>3.2170000000000001</v>
      </c>
      <c r="T66" s="216">
        <v>27</v>
      </c>
      <c r="U66" s="216">
        <v>12.048999999999999</v>
      </c>
      <c r="V66" s="115">
        <v>946.06367652942038</v>
      </c>
      <c r="W66" s="109"/>
      <c r="X66" s="109">
        <v>903.4</v>
      </c>
      <c r="Y66" s="109" t="s">
        <v>663</v>
      </c>
      <c r="Z66" s="109">
        <v>0</v>
      </c>
      <c r="AA66" s="109">
        <v>1.29602422677827</v>
      </c>
      <c r="AB66" s="109"/>
      <c r="AC66" s="109"/>
      <c r="AD66" s="765"/>
      <c r="AE66" s="765" t="s">
        <v>10</v>
      </c>
      <c r="AF66" s="765"/>
      <c r="AG66" s="765" t="s">
        <v>522</v>
      </c>
      <c r="AH66" s="109" t="s">
        <v>22</v>
      </c>
      <c r="AI66" s="2" t="s">
        <v>13</v>
      </c>
      <c r="AJ66" s="2" t="s">
        <v>1971</v>
      </c>
      <c r="AL66" s="2" t="s">
        <v>680</v>
      </c>
      <c r="AM66" s="2" t="s">
        <v>1885</v>
      </c>
      <c r="AN66" s="2" t="s">
        <v>952</v>
      </c>
      <c r="AO66" s="2">
        <v>1</v>
      </c>
      <c r="AP66" s="2" t="s">
        <v>4673</v>
      </c>
      <c r="AQ66" s="2" t="s">
        <v>4396</v>
      </c>
      <c r="AR66" s="2" t="s">
        <v>4671</v>
      </c>
      <c r="AT66" s="765"/>
      <c r="AU66" s="765"/>
      <c r="AV66" s="765"/>
      <c r="AW66" s="765"/>
    </row>
    <row r="67" spans="1:49" x14ac:dyDescent="0.25">
      <c r="A67" s="23" t="s">
        <v>4001</v>
      </c>
      <c r="B67" s="108" t="s">
        <v>527</v>
      </c>
      <c r="C67" s="108" t="s">
        <v>2675</v>
      </c>
      <c r="D67" s="108" t="s">
        <v>2676</v>
      </c>
      <c r="E67" s="108" t="s">
        <v>4002</v>
      </c>
      <c r="F67" s="114" t="s">
        <v>694</v>
      </c>
      <c r="G67" s="213" t="s">
        <v>1145</v>
      </c>
      <c r="H67" s="115" t="s">
        <v>4003</v>
      </c>
      <c r="I67" s="213">
        <v>41485000</v>
      </c>
      <c r="J67" s="109">
        <v>3</v>
      </c>
      <c r="K67" s="109" t="s">
        <v>696</v>
      </c>
      <c r="L67" s="115">
        <v>1</v>
      </c>
      <c r="M67" s="115">
        <v>77.161713000000006</v>
      </c>
      <c r="N67" s="115">
        <v>77.586876000000004</v>
      </c>
      <c r="O67" s="214">
        <v>0.22500000000000001</v>
      </c>
      <c r="P67" s="115">
        <v>6.3315000000000001</v>
      </c>
      <c r="Q67" s="769">
        <v>5.609</v>
      </c>
      <c r="R67" s="216"/>
      <c r="S67" s="216">
        <v>5.609</v>
      </c>
      <c r="T67" s="216">
        <v>26</v>
      </c>
      <c r="U67" s="216">
        <v>7.641</v>
      </c>
      <c r="V67" s="115">
        <v>505.25593336902438</v>
      </c>
      <c r="W67" s="109"/>
      <c r="X67" s="109">
        <v>479</v>
      </c>
      <c r="Y67" s="109" t="s">
        <v>663</v>
      </c>
      <c r="Z67" s="109">
        <v>0</v>
      </c>
      <c r="AA67" s="109">
        <v>0</v>
      </c>
      <c r="AB67" s="109"/>
      <c r="AC67" s="109"/>
      <c r="AD67" s="765"/>
      <c r="AE67" s="765" t="s">
        <v>10</v>
      </c>
      <c r="AF67" s="765" t="s">
        <v>522</v>
      </c>
      <c r="AG67" s="765"/>
      <c r="AH67" s="109" t="s">
        <v>20</v>
      </c>
      <c r="AJ67" s="2" t="s">
        <v>1971</v>
      </c>
      <c r="AL67" s="2" t="s">
        <v>680</v>
      </c>
      <c r="AM67" s="2" t="s">
        <v>1885</v>
      </c>
      <c r="AN67" s="2" t="s">
        <v>952</v>
      </c>
      <c r="AO67" s="2">
        <v>1</v>
      </c>
      <c r="AP67" s="2" t="s">
        <v>4673</v>
      </c>
      <c r="AQ67" s="2" t="s">
        <v>4396</v>
      </c>
      <c r="AR67" s="2" t="s">
        <v>4671</v>
      </c>
      <c r="AT67" s="765"/>
      <c r="AU67" s="765"/>
      <c r="AV67" s="765"/>
      <c r="AW67" s="765"/>
    </row>
    <row r="68" spans="1:49" x14ac:dyDescent="0.25">
      <c r="A68" s="23" t="s">
        <v>4586</v>
      </c>
      <c r="B68" s="108" t="s">
        <v>527</v>
      </c>
      <c r="C68" s="108" t="s">
        <v>2675</v>
      </c>
      <c r="D68" s="108" t="s">
        <v>4652</v>
      </c>
      <c r="E68" s="108" t="s">
        <v>4653</v>
      </c>
      <c r="F68" s="114" t="s">
        <v>694</v>
      </c>
      <c r="G68" s="213" t="s">
        <v>4654</v>
      </c>
      <c r="H68" s="115" t="s">
        <v>4655</v>
      </c>
      <c r="I68" s="213">
        <v>23572000</v>
      </c>
      <c r="J68" s="109">
        <v>2.5</v>
      </c>
      <c r="K68" s="109" t="s">
        <v>696</v>
      </c>
      <c r="L68" s="115">
        <v>1</v>
      </c>
      <c r="M68" s="115">
        <v>70.355582999999996</v>
      </c>
      <c r="N68" s="115">
        <v>70.926452999999995</v>
      </c>
      <c r="O68" s="214">
        <v>0.1875</v>
      </c>
      <c r="P68" s="115">
        <v>9.625</v>
      </c>
      <c r="Q68" s="769">
        <v>8.1750000000000007</v>
      </c>
      <c r="R68" s="216"/>
      <c r="S68" s="216">
        <v>8.1750000000000007</v>
      </c>
      <c r="T68" s="216">
        <v>26</v>
      </c>
      <c r="U68" s="216">
        <v>6.7610000000000001</v>
      </c>
      <c r="V68" s="115">
        <v>426.27640932122989</v>
      </c>
      <c r="W68" s="109"/>
      <c r="X68" s="109">
        <v>400.8</v>
      </c>
      <c r="Y68" s="109" t="s">
        <v>687</v>
      </c>
      <c r="Z68" s="109">
        <v>0</v>
      </c>
      <c r="AA68" s="109"/>
      <c r="AB68" s="109"/>
      <c r="AC68" s="109"/>
      <c r="AD68" s="765"/>
      <c r="AE68" s="765" t="s">
        <v>10</v>
      </c>
      <c r="AF68" s="765"/>
      <c r="AG68" s="765" t="s">
        <v>522</v>
      </c>
      <c r="AH68" s="109" t="s">
        <v>20</v>
      </c>
      <c r="AI68" s="2" t="s">
        <v>20</v>
      </c>
      <c r="AL68" s="2" t="s">
        <v>680</v>
      </c>
      <c r="AM68" s="2" t="s">
        <v>1885</v>
      </c>
      <c r="AN68" s="2" t="s">
        <v>952</v>
      </c>
      <c r="AO68" s="2">
        <v>1</v>
      </c>
      <c r="AP68" s="2" t="s">
        <v>4673</v>
      </c>
      <c r="AQ68" s="2" t="s">
        <v>4396</v>
      </c>
      <c r="AR68" s="2" t="s">
        <v>4671</v>
      </c>
      <c r="AT68" s="765"/>
      <c r="AU68" s="765"/>
      <c r="AV68" s="765"/>
      <c r="AW68" s="765"/>
    </row>
    <row r="69" spans="1:49" x14ac:dyDescent="0.25">
      <c r="A69" s="23" t="s">
        <v>4570</v>
      </c>
      <c r="B69" s="108" t="s">
        <v>527</v>
      </c>
      <c r="C69" s="108" t="s">
        <v>2675</v>
      </c>
      <c r="D69" s="108" t="s">
        <v>4656</v>
      </c>
      <c r="E69" s="108" t="s">
        <v>4657</v>
      </c>
      <c r="F69" s="114" t="s">
        <v>694</v>
      </c>
      <c r="G69" s="213" t="s">
        <v>4658</v>
      </c>
      <c r="H69" s="115" t="s">
        <v>4003</v>
      </c>
      <c r="I69" s="213">
        <v>23201000</v>
      </c>
      <c r="J69" s="109">
        <v>3</v>
      </c>
      <c r="K69" s="109" t="s">
        <v>696</v>
      </c>
      <c r="L69" s="115">
        <v>1</v>
      </c>
      <c r="M69" s="115">
        <v>72.500152999999997</v>
      </c>
      <c r="N69" s="115">
        <v>72.949528000000001</v>
      </c>
      <c r="O69" s="214">
        <v>0.22500000000000001</v>
      </c>
      <c r="P69" s="115">
        <v>7.2917000000000014</v>
      </c>
      <c r="Q69" s="769">
        <v>6.3120000000000003</v>
      </c>
      <c r="R69" s="216"/>
      <c r="S69" s="216">
        <v>6.3120000000000003</v>
      </c>
      <c r="T69" s="216">
        <v>26</v>
      </c>
      <c r="U69" s="216">
        <v>8.0960000000000001</v>
      </c>
      <c r="V69" s="115">
        <v>552.35440640131162</v>
      </c>
      <c r="W69" s="109"/>
      <c r="X69" s="109">
        <v>525.29999999999995</v>
      </c>
      <c r="Y69" s="109" t="s">
        <v>663</v>
      </c>
      <c r="Z69" s="109">
        <v>0</v>
      </c>
      <c r="AA69" s="109">
        <v>0</v>
      </c>
      <c r="AB69" s="109"/>
      <c r="AC69" s="109"/>
      <c r="AD69" s="765"/>
      <c r="AE69" s="765" t="s">
        <v>10</v>
      </c>
      <c r="AF69" s="765" t="s">
        <v>522</v>
      </c>
      <c r="AG69" s="765"/>
      <c r="AH69" s="109" t="s">
        <v>20</v>
      </c>
      <c r="AI69" s="2" t="s">
        <v>20</v>
      </c>
      <c r="AL69" s="2" t="s">
        <v>680</v>
      </c>
      <c r="AM69" s="2" t="s">
        <v>1885</v>
      </c>
      <c r="AN69" s="2" t="s">
        <v>952</v>
      </c>
      <c r="AO69" s="2">
        <v>1</v>
      </c>
      <c r="AP69" s="2" t="s">
        <v>4673</v>
      </c>
      <c r="AQ69" s="2" t="s">
        <v>4396</v>
      </c>
      <c r="AR69" s="2" t="s">
        <v>4671</v>
      </c>
      <c r="AT69" s="765"/>
      <c r="AU69" s="765"/>
      <c r="AV69" s="765"/>
      <c r="AW69" s="765"/>
    </row>
    <row r="70" spans="1:49" x14ac:dyDescent="0.25">
      <c r="A70" s="23" t="s">
        <v>4004</v>
      </c>
      <c r="B70" s="108" t="s">
        <v>527</v>
      </c>
      <c r="C70" s="108" t="s">
        <v>2675</v>
      </c>
      <c r="D70" s="108" t="s">
        <v>4005</v>
      </c>
      <c r="E70" s="108" t="s">
        <v>4006</v>
      </c>
      <c r="F70" s="114" t="s">
        <v>694</v>
      </c>
      <c r="G70" s="213" t="s">
        <v>1133</v>
      </c>
      <c r="H70" s="115" t="s">
        <v>4007</v>
      </c>
      <c r="I70" s="213">
        <v>37455000</v>
      </c>
      <c r="J70" s="109">
        <v>3</v>
      </c>
      <c r="K70" s="109" t="s">
        <v>696</v>
      </c>
      <c r="L70" s="115">
        <v>1</v>
      </c>
      <c r="M70" s="115">
        <v>81.758026000000001</v>
      </c>
      <c r="N70" s="115">
        <v>82.199107999999995</v>
      </c>
      <c r="O70" s="214">
        <v>0.22500000000000001</v>
      </c>
      <c r="P70" s="115">
        <v>6.1249999999999991</v>
      </c>
      <c r="Q70" s="769">
        <v>5.4690000000000003</v>
      </c>
      <c r="R70" s="216"/>
      <c r="S70" s="216">
        <v>5.4690000000000003</v>
      </c>
      <c r="T70" s="216">
        <v>26</v>
      </c>
      <c r="U70" s="216">
        <v>6.6980000000000004</v>
      </c>
      <c r="V70" s="115">
        <v>410.90071365389872</v>
      </c>
      <c r="W70" s="109"/>
      <c r="X70" s="109">
        <v>385.8</v>
      </c>
      <c r="Y70" s="109" t="s">
        <v>663</v>
      </c>
      <c r="Z70" s="109">
        <v>0</v>
      </c>
      <c r="AA70" s="109">
        <v>0</v>
      </c>
      <c r="AB70" s="109"/>
      <c r="AC70" s="109"/>
      <c r="AD70" s="765"/>
      <c r="AE70" s="765" t="s">
        <v>10</v>
      </c>
      <c r="AF70" s="765" t="s">
        <v>522</v>
      </c>
      <c r="AG70" s="765"/>
      <c r="AH70" s="109" t="s">
        <v>20</v>
      </c>
      <c r="AI70" s="2" t="s">
        <v>20</v>
      </c>
      <c r="AL70" s="2" t="s">
        <v>680</v>
      </c>
      <c r="AM70" s="2" t="s">
        <v>1885</v>
      </c>
      <c r="AN70" s="2" t="s">
        <v>952</v>
      </c>
      <c r="AO70" s="2">
        <v>1</v>
      </c>
      <c r="AP70" s="2" t="s">
        <v>4673</v>
      </c>
      <c r="AQ70" s="2" t="s">
        <v>4396</v>
      </c>
      <c r="AR70" s="2" t="s">
        <v>4671</v>
      </c>
      <c r="AT70" s="765"/>
      <c r="AU70" s="765"/>
      <c r="AV70" s="765"/>
      <c r="AW70" s="765"/>
    </row>
    <row r="71" spans="1:49" x14ac:dyDescent="0.25">
      <c r="A71" s="23" t="s">
        <v>1772</v>
      </c>
      <c r="B71" s="108" t="s">
        <v>538</v>
      </c>
      <c r="C71" s="108" t="s">
        <v>1750</v>
      </c>
      <c r="D71" s="108" t="s">
        <v>541</v>
      </c>
      <c r="E71" s="108" t="s">
        <v>1750</v>
      </c>
      <c r="F71" s="114" t="s">
        <v>699</v>
      </c>
      <c r="G71" s="213" t="s">
        <v>1773</v>
      </c>
      <c r="H71" s="115" t="s">
        <v>1751</v>
      </c>
      <c r="I71" s="213">
        <v>40000000</v>
      </c>
      <c r="J71" s="109">
        <v>4.625</v>
      </c>
      <c r="K71" s="109" t="s">
        <v>696</v>
      </c>
      <c r="L71" s="115">
        <v>1</v>
      </c>
      <c r="M71" s="115">
        <v>99.423000000000002</v>
      </c>
      <c r="N71" s="115">
        <v>99.772999999999996</v>
      </c>
      <c r="O71" s="214">
        <v>1.503125</v>
      </c>
      <c r="P71" s="115"/>
      <c r="Q71" s="769">
        <v>2.4634919789164949</v>
      </c>
      <c r="R71" s="216">
        <v>2.4470310326413172</v>
      </c>
      <c r="S71" s="216">
        <v>2.4634919789164949</v>
      </c>
      <c r="T71" s="216">
        <v>117</v>
      </c>
      <c r="U71" s="216">
        <v>4.0533452673170443</v>
      </c>
      <c r="V71" s="115"/>
      <c r="W71" s="109">
        <v>327</v>
      </c>
      <c r="X71" s="109">
        <v>215.0696122110881</v>
      </c>
      <c r="Y71" s="109"/>
      <c r="Z71" s="109"/>
      <c r="AA71" s="109"/>
      <c r="AB71" s="109"/>
      <c r="AC71" s="109"/>
      <c r="AD71" s="765"/>
      <c r="AE71" s="765" t="s">
        <v>10</v>
      </c>
      <c r="AF71" s="765"/>
      <c r="AG71" s="765"/>
      <c r="AH71" s="109"/>
      <c r="AI71" s="2" t="s">
        <v>20</v>
      </c>
      <c r="AL71" s="2" t="s">
        <v>680</v>
      </c>
      <c r="AM71" s="2" t="s">
        <v>812</v>
      </c>
      <c r="AN71" s="2" t="s">
        <v>952</v>
      </c>
      <c r="AT71" s="765"/>
      <c r="AU71" s="765"/>
      <c r="AV71" s="765"/>
      <c r="AW71" s="765"/>
    </row>
    <row r="72" spans="1:49" x14ac:dyDescent="0.25">
      <c r="A72" s="23" t="s">
        <v>2527</v>
      </c>
      <c r="B72" s="108" t="s">
        <v>540</v>
      </c>
      <c r="C72" s="108" t="s">
        <v>2528</v>
      </c>
      <c r="D72" s="108" t="s">
        <v>541</v>
      </c>
      <c r="E72" s="108" t="s">
        <v>2528</v>
      </c>
      <c r="F72" s="114" t="s">
        <v>699</v>
      </c>
      <c r="G72" s="213" t="s">
        <v>2531</v>
      </c>
      <c r="H72" s="115" t="s">
        <v>2476</v>
      </c>
      <c r="I72" s="213">
        <v>65000000</v>
      </c>
      <c r="J72" s="109">
        <v>5.25</v>
      </c>
      <c r="K72" s="109" t="s">
        <v>696</v>
      </c>
      <c r="L72" s="115">
        <v>1</v>
      </c>
      <c r="M72" s="115">
        <v>102.224</v>
      </c>
      <c r="N72" s="115">
        <v>102.6435</v>
      </c>
      <c r="O72" s="214">
        <v>0.189583</v>
      </c>
      <c r="P72" s="115"/>
      <c r="Q72" s="769">
        <v>3.1529291143950151</v>
      </c>
      <c r="R72" s="216">
        <v>3.1356992514408679</v>
      </c>
      <c r="S72" s="216">
        <v>3.1529291143950151</v>
      </c>
      <c r="T72" s="216">
        <v>12</v>
      </c>
      <c r="U72" s="216">
        <v>5.0341067694618937</v>
      </c>
      <c r="V72" s="115"/>
      <c r="W72" s="109">
        <v>521</v>
      </c>
      <c r="X72" s="109">
        <v>184.10944634534789</v>
      </c>
      <c r="Y72" s="109"/>
      <c r="Z72" s="109"/>
      <c r="AA72" s="109"/>
      <c r="AB72" s="109"/>
      <c r="AC72" s="109"/>
      <c r="AD72" s="765"/>
      <c r="AE72" s="765" t="s">
        <v>10</v>
      </c>
      <c r="AF72" s="765"/>
      <c r="AG72" s="765"/>
      <c r="AH72" s="109"/>
      <c r="AK72" s="2" t="s">
        <v>10</v>
      </c>
      <c r="AL72" s="2" t="s">
        <v>680</v>
      </c>
      <c r="AM72" s="2" t="s">
        <v>812</v>
      </c>
      <c r="AN72" s="2" t="s">
        <v>952</v>
      </c>
      <c r="AT72" s="765"/>
      <c r="AU72" s="765"/>
      <c r="AV72" s="765"/>
      <c r="AW72" s="765"/>
    </row>
    <row r="73" spans="1:49" x14ac:dyDescent="0.25">
      <c r="A73" s="23" t="s">
        <v>3601</v>
      </c>
      <c r="B73" s="108" t="s">
        <v>528</v>
      </c>
      <c r="C73" s="108" t="s">
        <v>3687</v>
      </c>
      <c r="D73" s="108" t="s">
        <v>3736</v>
      </c>
      <c r="E73" s="108" t="s">
        <v>3689</v>
      </c>
      <c r="F73" s="114" t="s">
        <v>694</v>
      </c>
      <c r="G73" s="213" t="s">
        <v>3222</v>
      </c>
      <c r="H73" s="115" t="s">
        <v>3690</v>
      </c>
      <c r="I73" s="213">
        <v>32921317.77</v>
      </c>
      <c r="J73" s="109">
        <v>2.5</v>
      </c>
      <c r="K73" s="109" t="s">
        <v>696</v>
      </c>
      <c r="L73" s="115">
        <v>0.91187208180000001</v>
      </c>
      <c r="M73" s="115">
        <v>90.324280000000002</v>
      </c>
      <c r="N73" s="115">
        <v>90.349281000000005</v>
      </c>
      <c r="O73" s="214">
        <v>0.1875</v>
      </c>
      <c r="P73" s="115">
        <v>4.8552999999999997</v>
      </c>
      <c r="Q73" s="769">
        <v>9.1483562628600001</v>
      </c>
      <c r="R73" s="216"/>
      <c r="S73" s="216">
        <v>9.1483562628600001</v>
      </c>
      <c r="T73" s="216">
        <v>26</v>
      </c>
      <c r="U73" s="216">
        <v>4.9509999999999996</v>
      </c>
      <c r="V73" s="115">
        <v>235.21074037802001</v>
      </c>
      <c r="W73" s="109"/>
      <c r="X73" s="109">
        <v>117.70128403987999</v>
      </c>
      <c r="Y73" s="109" t="s">
        <v>3691</v>
      </c>
      <c r="Z73" s="109">
        <v>13.194397559224949</v>
      </c>
      <c r="AA73" s="109">
        <v>11.574064146005449</v>
      </c>
      <c r="AB73" s="109" t="s">
        <v>3421</v>
      </c>
      <c r="AC73" s="109" t="s">
        <v>3692</v>
      </c>
      <c r="AD73" s="765" t="s">
        <v>4459</v>
      </c>
      <c r="AE73" s="765" t="s">
        <v>7</v>
      </c>
      <c r="AF73" s="765"/>
      <c r="AG73" s="765" t="s">
        <v>1628</v>
      </c>
      <c r="AH73" s="109"/>
      <c r="AI73" s="2" t="s">
        <v>7</v>
      </c>
      <c r="AL73" s="2" t="s">
        <v>680</v>
      </c>
      <c r="AM73" s="2" t="s">
        <v>709</v>
      </c>
      <c r="AN73" s="2" t="s">
        <v>952</v>
      </c>
      <c r="AO73" s="2">
        <v>0.92498299100000003</v>
      </c>
      <c r="AP73" s="2" t="s">
        <v>4673</v>
      </c>
      <c r="AQ73" s="2" t="s">
        <v>4469</v>
      </c>
      <c r="AR73" s="2" t="s">
        <v>4638</v>
      </c>
      <c r="AT73" s="765"/>
      <c r="AU73" s="765"/>
      <c r="AV73" s="765"/>
      <c r="AW73" s="765"/>
    </row>
    <row r="74" spans="1:49" x14ac:dyDescent="0.25">
      <c r="A74" s="23" t="s">
        <v>3300</v>
      </c>
      <c r="B74" s="108" t="s">
        <v>528</v>
      </c>
      <c r="C74" s="108" t="s">
        <v>3315</v>
      </c>
      <c r="D74" s="108" t="s">
        <v>3693</v>
      </c>
      <c r="E74" s="108" t="s">
        <v>3316</v>
      </c>
      <c r="F74" s="114" t="s">
        <v>694</v>
      </c>
      <c r="G74" s="213" t="s">
        <v>1163</v>
      </c>
      <c r="H74" s="115" t="s">
        <v>3317</v>
      </c>
      <c r="I74" s="213">
        <v>3120978.87</v>
      </c>
      <c r="J74" s="109">
        <v>3.2321849999999999</v>
      </c>
      <c r="K74" s="109" t="s">
        <v>695</v>
      </c>
      <c r="L74" s="115">
        <v>2.08286458E-2</v>
      </c>
      <c r="M74" s="115">
        <v>99.569916000000006</v>
      </c>
      <c r="N74" s="115">
        <v>99.817867000000007</v>
      </c>
      <c r="O74" s="214">
        <v>0.24241399999999999</v>
      </c>
      <c r="P74" s="115">
        <v>6.9400000000000003E-2</v>
      </c>
      <c r="Q74" s="769">
        <v>1.3973642160399999</v>
      </c>
      <c r="R74" s="216"/>
      <c r="S74" s="216">
        <v>1.3973642160399999</v>
      </c>
      <c r="T74" s="216">
        <v>27</v>
      </c>
      <c r="U74" s="216">
        <v>4.4130000000000003</v>
      </c>
      <c r="V74" s="115">
        <v>191.77067018945999</v>
      </c>
      <c r="W74" s="109"/>
      <c r="X74" s="109">
        <v>212.88390511674001</v>
      </c>
      <c r="Y74" s="109" t="s">
        <v>3318</v>
      </c>
      <c r="Z74" s="109">
        <v>0.26174692710310138</v>
      </c>
      <c r="AA74" s="109">
        <v>12.964557030358449</v>
      </c>
      <c r="AB74" s="109" t="s">
        <v>242</v>
      </c>
      <c r="AC74" s="109" t="s">
        <v>3888</v>
      </c>
      <c r="AD74" s="765" t="s">
        <v>3889</v>
      </c>
      <c r="AE74" s="765" t="s">
        <v>13</v>
      </c>
      <c r="AF74" s="765" t="s">
        <v>5</v>
      </c>
      <c r="AG74" s="765" t="s">
        <v>1066</v>
      </c>
      <c r="AH74" s="109"/>
      <c r="AL74" s="2" t="s">
        <v>680</v>
      </c>
      <c r="AM74" s="2" t="s">
        <v>813</v>
      </c>
      <c r="AN74" s="2" t="s">
        <v>952</v>
      </c>
      <c r="AO74" s="2">
        <v>2.0919050000000002E-2</v>
      </c>
      <c r="AP74" s="2" t="s">
        <v>4673</v>
      </c>
      <c r="AQ74" s="2" t="s">
        <v>4469</v>
      </c>
      <c r="AR74" s="2" t="s">
        <v>4638</v>
      </c>
      <c r="AT74" s="765"/>
      <c r="AU74" s="765"/>
      <c r="AV74" s="765"/>
      <c r="AW74" s="765"/>
    </row>
    <row r="75" spans="1:49" x14ac:dyDescent="0.25">
      <c r="A75" s="23" t="s">
        <v>4008</v>
      </c>
      <c r="B75" s="108" t="s">
        <v>527</v>
      </c>
      <c r="C75" s="108" t="s">
        <v>4009</v>
      </c>
      <c r="D75" s="108" t="s">
        <v>4010</v>
      </c>
      <c r="E75" s="108" t="s">
        <v>4011</v>
      </c>
      <c r="F75" s="114" t="s">
        <v>694</v>
      </c>
      <c r="G75" s="213" t="s">
        <v>4012</v>
      </c>
      <c r="H75" s="115" t="s">
        <v>4013</v>
      </c>
      <c r="I75" s="213">
        <v>23279850.48</v>
      </c>
      <c r="J75" s="109">
        <v>6.0466189999999997</v>
      </c>
      <c r="K75" s="109" t="s">
        <v>696</v>
      </c>
      <c r="L75" s="115">
        <v>0.92944665950000005</v>
      </c>
      <c r="M75" s="115">
        <v>68.346283</v>
      </c>
      <c r="N75" s="115">
        <v>68.434921000000003</v>
      </c>
      <c r="O75" s="214">
        <v>0.45349600000000001</v>
      </c>
      <c r="P75" s="115">
        <v>1.1972</v>
      </c>
      <c r="Q75" s="769">
        <v>1.194</v>
      </c>
      <c r="R75" s="216"/>
      <c r="S75" s="216">
        <v>1.194</v>
      </c>
      <c r="T75" s="216">
        <v>26</v>
      </c>
      <c r="U75" s="216">
        <v>47.286000000000001</v>
      </c>
      <c r="V75" s="115">
        <v>4547.055880620871</v>
      </c>
      <c r="W75" s="109"/>
      <c r="X75" s="109">
        <v>4388.8</v>
      </c>
      <c r="Y75" s="109" t="s">
        <v>1874</v>
      </c>
      <c r="Z75" s="109">
        <v>0</v>
      </c>
      <c r="AA75" s="109">
        <v>0</v>
      </c>
      <c r="AB75" s="109"/>
      <c r="AC75" s="109"/>
      <c r="AD75" s="765"/>
      <c r="AE75" s="765" t="s">
        <v>522</v>
      </c>
      <c r="AF75" s="765" t="s">
        <v>522</v>
      </c>
      <c r="AG75" s="765"/>
      <c r="AH75" s="109" t="s">
        <v>11</v>
      </c>
      <c r="AJ75" s="2" t="s">
        <v>4659</v>
      </c>
      <c r="AL75" s="2" t="s">
        <v>680</v>
      </c>
      <c r="AM75" s="2" t="s">
        <v>1885</v>
      </c>
      <c r="AN75" s="2" t="s">
        <v>952</v>
      </c>
      <c r="AO75" s="2">
        <v>0.92944665900000001</v>
      </c>
      <c r="AP75" s="2" t="s">
        <v>4673</v>
      </c>
      <c r="AQ75" s="2" t="s">
        <v>5105</v>
      </c>
      <c r="AR75" s="2" t="s">
        <v>4646</v>
      </c>
      <c r="AT75" s="765"/>
      <c r="AU75" s="765"/>
      <c r="AV75" s="765"/>
      <c r="AW75" s="765"/>
    </row>
    <row r="76" spans="1:49" x14ac:dyDescent="0.25">
      <c r="A76" s="23" t="s">
        <v>1947</v>
      </c>
      <c r="B76" s="108" t="s">
        <v>656</v>
      </c>
      <c r="C76" s="108" t="s">
        <v>1948</v>
      </c>
      <c r="D76" s="108" t="s">
        <v>539</v>
      </c>
      <c r="E76" s="108" t="s">
        <v>1948</v>
      </c>
      <c r="F76" s="114" t="s">
        <v>699</v>
      </c>
      <c r="G76" s="213" t="s">
        <v>1687</v>
      </c>
      <c r="H76" s="115" t="s">
        <v>1949</v>
      </c>
      <c r="I76" s="213">
        <v>100000000</v>
      </c>
      <c r="J76" s="109">
        <v>4.8499999999999996</v>
      </c>
      <c r="K76" s="109" t="s">
        <v>696</v>
      </c>
      <c r="L76" s="115">
        <v>1</v>
      </c>
      <c r="M76" s="115">
        <v>100.045</v>
      </c>
      <c r="N76" s="115">
        <v>100.23399999999999</v>
      </c>
      <c r="O76" s="214">
        <v>1.3876390000000001</v>
      </c>
      <c r="P76" s="115"/>
      <c r="Q76" s="769">
        <v>2.4929281643367829</v>
      </c>
      <c r="R76" s="216">
        <v>2.4776462406948578</v>
      </c>
      <c r="S76" s="216">
        <v>2.4929281643367829</v>
      </c>
      <c r="T76" s="216">
        <v>103</v>
      </c>
      <c r="U76" s="216">
        <v>4.8292720983305468</v>
      </c>
      <c r="V76" s="115"/>
      <c r="W76" s="109"/>
      <c r="X76" s="109">
        <v>215.44040645578119</v>
      </c>
      <c r="Y76" s="109"/>
      <c r="Z76" s="109"/>
      <c r="AA76" s="109"/>
      <c r="AB76" s="109"/>
      <c r="AC76" s="109"/>
      <c r="AD76" s="765"/>
      <c r="AE76" s="765" t="s">
        <v>10</v>
      </c>
      <c r="AF76" s="765"/>
      <c r="AG76" s="765"/>
      <c r="AH76" s="109"/>
      <c r="AI76" s="2" t="s">
        <v>20</v>
      </c>
      <c r="AK76" s="2" t="s">
        <v>19</v>
      </c>
      <c r="AL76" s="2" t="s">
        <v>680</v>
      </c>
      <c r="AM76" s="2" t="s">
        <v>811</v>
      </c>
      <c r="AN76" s="2" t="s">
        <v>952</v>
      </c>
      <c r="AT76" s="765"/>
      <c r="AU76" s="765"/>
      <c r="AV76" s="765"/>
      <c r="AW76" s="765"/>
    </row>
    <row r="77" spans="1:49" x14ac:dyDescent="0.25">
      <c r="A77" s="23" t="s">
        <v>2443</v>
      </c>
      <c r="B77" s="108" t="s">
        <v>540</v>
      </c>
      <c r="C77" s="108" t="s">
        <v>2444</v>
      </c>
      <c r="D77" s="108" t="s">
        <v>541</v>
      </c>
      <c r="E77" s="108" t="s">
        <v>2444</v>
      </c>
      <c r="F77" s="114" t="s">
        <v>699</v>
      </c>
      <c r="G77" s="213" t="s">
        <v>2187</v>
      </c>
      <c r="H77" s="115" t="s">
        <v>2188</v>
      </c>
      <c r="I77" s="213">
        <v>75000000</v>
      </c>
      <c r="J77" s="109">
        <v>6</v>
      </c>
      <c r="K77" s="109" t="s">
        <v>696</v>
      </c>
      <c r="L77" s="115">
        <v>1</v>
      </c>
      <c r="M77" s="115">
        <v>104.974</v>
      </c>
      <c r="N77" s="115">
        <v>105.39400000000001</v>
      </c>
      <c r="O77" s="214">
        <v>1.45</v>
      </c>
      <c r="P77" s="115"/>
      <c r="Q77" s="769">
        <v>2.9243272038149901</v>
      </c>
      <c r="R77" s="216">
        <v>2.9097507897891441</v>
      </c>
      <c r="S77" s="216">
        <v>2.9243272038149901</v>
      </c>
      <c r="T77" s="216">
        <v>87</v>
      </c>
      <c r="U77" s="216">
        <v>5.3506523642030883</v>
      </c>
      <c r="V77" s="115"/>
      <c r="W77" s="109">
        <v>588</v>
      </c>
      <c r="X77" s="109">
        <v>163.0317014623584</v>
      </c>
      <c r="Y77" s="109"/>
      <c r="Z77" s="109"/>
      <c r="AA77" s="109"/>
      <c r="AB77" s="109"/>
      <c r="AC77" s="109"/>
      <c r="AD77" s="765"/>
      <c r="AE77" s="765" t="s">
        <v>10</v>
      </c>
      <c r="AF77" s="765"/>
      <c r="AG77" s="765"/>
      <c r="AH77" s="109"/>
      <c r="AI77" s="2" t="s">
        <v>20</v>
      </c>
      <c r="AL77" s="2" t="s">
        <v>680</v>
      </c>
      <c r="AM77" s="2" t="s">
        <v>812</v>
      </c>
      <c r="AN77" s="2" t="s">
        <v>952</v>
      </c>
      <c r="AT77" s="765"/>
      <c r="AU77" s="765"/>
      <c r="AV77" s="765"/>
      <c r="AW77" s="765"/>
    </row>
    <row r="78" spans="1:49" x14ac:dyDescent="0.25">
      <c r="A78" s="23" t="s">
        <v>3571</v>
      </c>
      <c r="B78" s="108" t="s">
        <v>529</v>
      </c>
      <c r="C78" s="108" t="s">
        <v>3572</v>
      </c>
      <c r="D78" s="108" t="s">
        <v>530</v>
      </c>
      <c r="E78" s="108" t="s">
        <v>3573</v>
      </c>
      <c r="F78" s="114" t="s">
        <v>698</v>
      </c>
      <c r="G78" s="213" t="s">
        <v>3694</v>
      </c>
      <c r="H78" s="115" t="s">
        <v>2076</v>
      </c>
      <c r="I78" s="213">
        <v>76700000</v>
      </c>
      <c r="J78" s="109">
        <v>3.7412899999999998</v>
      </c>
      <c r="K78" s="109" t="s">
        <v>695</v>
      </c>
      <c r="L78" s="115">
        <v>1</v>
      </c>
      <c r="M78" s="115">
        <v>0</v>
      </c>
      <c r="N78" s="115">
        <v>0</v>
      </c>
      <c r="O78" s="214">
        <v>0.71708099999999997</v>
      </c>
      <c r="P78" s="115">
        <v>8.1434999999999995</v>
      </c>
      <c r="Q78" s="769"/>
      <c r="R78" s="216"/>
      <c r="S78" s="216">
        <v>8.1434999999999995</v>
      </c>
      <c r="T78" s="216">
        <v>68</v>
      </c>
      <c r="U78" s="216"/>
      <c r="V78" s="115"/>
      <c r="W78" s="109">
        <v>350</v>
      </c>
      <c r="X78" s="109"/>
      <c r="Y78" s="109" t="s">
        <v>993</v>
      </c>
      <c r="Z78" s="109"/>
      <c r="AA78" s="109"/>
      <c r="AB78" s="109"/>
      <c r="AC78" s="109"/>
      <c r="AD78" s="765"/>
      <c r="AE78" s="765" t="s">
        <v>10</v>
      </c>
      <c r="AF78" s="765"/>
      <c r="AG78" s="765" t="s">
        <v>1901</v>
      </c>
      <c r="AH78" s="109"/>
      <c r="AL78" s="2" t="s">
        <v>680</v>
      </c>
      <c r="AM78" s="2" t="s">
        <v>711</v>
      </c>
      <c r="AN78" s="2" t="s">
        <v>952</v>
      </c>
      <c r="AO78" s="2">
        <v>1</v>
      </c>
      <c r="AP78" s="2" t="s">
        <v>4660</v>
      </c>
      <c r="AQ78" s="2" t="s">
        <v>3194</v>
      </c>
      <c r="AR78" s="2" t="s">
        <v>4661</v>
      </c>
      <c r="AT78" s="765"/>
      <c r="AU78" s="765"/>
      <c r="AV78" s="765"/>
      <c r="AW78" s="765"/>
    </row>
    <row r="79" spans="1:49" x14ac:dyDescent="0.25">
      <c r="A79" s="23" t="s">
        <v>4810</v>
      </c>
      <c r="B79" s="108" t="s">
        <v>529</v>
      </c>
      <c r="C79" s="108" t="s">
        <v>4814</v>
      </c>
      <c r="D79" s="108" t="s">
        <v>530</v>
      </c>
      <c r="E79" s="108" t="s">
        <v>4815</v>
      </c>
      <c r="F79" s="114" t="s">
        <v>698</v>
      </c>
      <c r="G79" s="213" t="s">
        <v>3745</v>
      </c>
      <c r="H79" s="115" t="s">
        <v>4816</v>
      </c>
      <c r="I79" s="213">
        <v>36100000</v>
      </c>
      <c r="J79" s="109">
        <v>2.9540000000000002</v>
      </c>
      <c r="K79" s="109" t="s">
        <v>695</v>
      </c>
      <c r="L79" s="115">
        <v>1</v>
      </c>
      <c r="M79" s="115">
        <v>0</v>
      </c>
      <c r="N79" s="115">
        <v>0</v>
      </c>
      <c r="O79" s="214">
        <v>0.54977200000000004</v>
      </c>
      <c r="P79" s="115">
        <v>3.1324000000000001</v>
      </c>
      <c r="Q79" s="769"/>
      <c r="R79" s="216"/>
      <c r="S79" s="216">
        <v>3.1324000000000001</v>
      </c>
      <c r="T79" s="216">
        <v>67</v>
      </c>
      <c r="U79" s="216"/>
      <c r="V79" s="115"/>
      <c r="W79" s="109">
        <v>270</v>
      </c>
      <c r="X79" s="109"/>
      <c r="Y79" s="109" t="s">
        <v>532</v>
      </c>
      <c r="Z79" s="109"/>
      <c r="AA79" s="109"/>
      <c r="AB79" s="109"/>
      <c r="AC79" s="109"/>
      <c r="AD79" s="765"/>
      <c r="AE79" s="765" t="s">
        <v>9</v>
      </c>
      <c r="AF79" s="765" t="s">
        <v>9</v>
      </c>
      <c r="AG79" s="765" t="s">
        <v>522</v>
      </c>
      <c r="AH79" s="109"/>
      <c r="AL79" s="2" t="s">
        <v>680</v>
      </c>
      <c r="AM79" s="2" t="s">
        <v>711</v>
      </c>
      <c r="AN79" s="2" t="s">
        <v>952</v>
      </c>
      <c r="AO79" s="2">
        <v>1</v>
      </c>
      <c r="AP79" s="2" t="s">
        <v>4791</v>
      </c>
      <c r="AQ79" s="2" t="s">
        <v>3404</v>
      </c>
      <c r="AR79" s="2" t="s">
        <v>3969</v>
      </c>
      <c r="AT79" s="765"/>
      <c r="AU79" s="765"/>
      <c r="AV79" s="765"/>
      <c r="AW79" s="765"/>
    </row>
    <row r="80" spans="1:49" x14ac:dyDescent="0.25">
      <c r="A80" s="23" t="s">
        <v>4550</v>
      </c>
      <c r="B80" s="108" t="s">
        <v>527</v>
      </c>
      <c r="C80" s="108" t="s">
        <v>4551</v>
      </c>
      <c r="D80" s="108" t="s">
        <v>2411</v>
      </c>
      <c r="E80" s="108" t="s">
        <v>4552</v>
      </c>
      <c r="F80" s="114" t="s">
        <v>694</v>
      </c>
      <c r="G80" s="213" t="s">
        <v>1138</v>
      </c>
      <c r="H80" s="115" t="s">
        <v>4662</v>
      </c>
      <c r="I80" s="213">
        <v>14240000</v>
      </c>
      <c r="J80" s="109">
        <v>4.1226000000000003</v>
      </c>
      <c r="K80" s="109" t="s">
        <v>696</v>
      </c>
      <c r="L80" s="115">
        <v>1</v>
      </c>
      <c r="M80" s="115">
        <v>0</v>
      </c>
      <c r="N80" s="115">
        <v>0</v>
      </c>
      <c r="O80" s="214">
        <v>0.309195</v>
      </c>
      <c r="P80" s="115">
        <v>2.0417000000000001</v>
      </c>
      <c r="Q80" s="769"/>
      <c r="R80" s="216"/>
      <c r="S80" s="216">
        <v>2.0417000000000001</v>
      </c>
      <c r="T80" s="216">
        <v>27</v>
      </c>
      <c r="U80" s="216"/>
      <c r="V80" s="115"/>
      <c r="W80" s="109"/>
      <c r="X80" s="109"/>
      <c r="Y80" s="109" t="s">
        <v>4553</v>
      </c>
      <c r="Z80" s="109">
        <v>0</v>
      </c>
      <c r="AA80" s="109">
        <v>0</v>
      </c>
      <c r="AB80" s="109"/>
      <c r="AC80" s="109"/>
      <c r="AD80" s="765"/>
      <c r="AE80" s="765" t="s">
        <v>13</v>
      </c>
      <c r="AF80" s="765" t="s">
        <v>5</v>
      </c>
      <c r="AG80" s="765"/>
      <c r="AH80" s="109"/>
      <c r="AL80" s="2" t="s">
        <v>680</v>
      </c>
      <c r="AM80" s="2" t="s">
        <v>1885</v>
      </c>
      <c r="AN80" s="2" t="s">
        <v>952</v>
      </c>
      <c r="AO80" s="2">
        <v>1</v>
      </c>
      <c r="AP80" s="2" t="s">
        <v>4673</v>
      </c>
      <c r="AQ80" s="2" t="s">
        <v>4396</v>
      </c>
      <c r="AR80" s="2" t="s">
        <v>4671</v>
      </c>
      <c r="AT80" s="765"/>
      <c r="AU80" s="765"/>
      <c r="AV80" s="765"/>
      <c r="AW80" s="765"/>
    </row>
    <row r="81" spans="1:49" x14ac:dyDescent="0.25">
      <c r="A81" s="23" t="s">
        <v>2650</v>
      </c>
      <c r="B81" s="108" t="s">
        <v>529</v>
      </c>
      <c r="C81" s="108" t="s">
        <v>2652</v>
      </c>
      <c r="D81" s="108" t="s">
        <v>1683</v>
      </c>
      <c r="E81" s="108" t="s">
        <v>2653</v>
      </c>
      <c r="F81" s="114" t="s">
        <v>698</v>
      </c>
      <c r="G81" s="213" t="s">
        <v>2654</v>
      </c>
      <c r="H81" s="115" t="s">
        <v>2655</v>
      </c>
      <c r="I81" s="213">
        <v>28479000</v>
      </c>
      <c r="J81" s="109">
        <v>3.1644800000000002</v>
      </c>
      <c r="K81" s="109" t="s">
        <v>695</v>
      </c>
      <c r="L81" s="115">
        <v>1</v>
      </c>
      <c r="M81" s="115">
        <v>0</v>
      </c>
      <c r="N81" s="115">
        <v>0</v>
      </c>
      <c r="O81" s="214">
        <v>0.10548299999999999</v>
      </c>
      <c r="P81" s="115">
        <v>2.4611000000000001</v>
      </c>
      <c r="Q81" s="769"/>
      <c r="R81" s="216"/>
      <c r="S81" s="216">
        <v>2.4611000000000001</v>
      </c>
      <c r="T81" s="216">
        <v>12</v>
      </c>
      <c r="U81" s="216"/>
      <c r="V81" s="115"/>
      <c r="W81" s="109">
        <v>311.44799999999998</v>
      </c>
      <c r="X81" s="109"/>
      <c r="Y81" s="109" t="s">
        <v>532</v>
      </c>
      <c r="Z81" s="109"/>
      <c r="AA81" s="109"/>
      <c r="AB81" s="109"/>
      <c r="AC81" s="109"/>
      <c r="AD81" s="765"/>
      <c r="AE81" s="765" t="s">
        <v>10</v>
      </c>
      <c r="AF81" s="765"/>
      <c r="AG81" s="765" t="s">
        <v>522</v>
      </c>
      <c r="AH81" s="109"/>
      <c r="AI81" s="2" t="s">
        <v>10</v>
      </c>
      <c r="AL81" s="2" t="s">
        <v>680</v>
      </c>
      <c r="AM81" s="2" t="s">
        <v>1656</v>
      </c>
      <c r="AN81" s="2" t="s">
        <v>952</v>
      </c>
      <c r="AO81" s="2">
        <v>1</v>
      </c>
      <c r="AP81" s="2" t="s">
        <v>4661</v>
      </c>
      <c r="AQ81" s="2" t="s">
        <v>4663</v>
      </c>
      <c r="AR81" s="2" t="s">
        <v>4661</v>
      </c>
      <c r="AT81" s="765"/>
      <c r="AU81" s="765"/>
      <c r="AV81" s="765"/>
      <c r="AW81" s="765"/>
    </row>
    <row r="82" spans="1:49" x14ac:dyDescent="0.25">
      <c r="A82" s="23" t="s">
        <v>2152</v>
      </c>
      <c r="B82" s="108" t="s">
        <v>528</v>
      </c>
      <c r="C82" s="108" t="s">
        <v>1918</v>
      </c>
      <c r="D82" s="108" t="s">
        <v>2121</v>
      </c>
      <c r="E82" s="108" t="s">
        <v>2153</v>
      </c>
      <c r="F82" s="114" t="s">
        <v>694</v>
      </c>
      <c r="G82" s="213" t="s">
        <v>1279</v>
      </c>
      <c r="H82" s="115" t="s">
        <v>2158</v>
      </c>
      <c r="I82" s="213">
        <v>9485231.1199999992</v>
      </c>
      <c r="J82" s="109">
        <v>4.7266750000000002</v>
      </c>
      <c r="K82" s="109" t="s">
        <v>696</v>
      </c>
      <c r="L82" s="115">
        <v>0.92992461959999995</v>
      </c>
      <c r="M82" s="115">
        <v>102.06310999999999</v>
      </c>
      <c r="N82" s="115">
        <v>102.145664</v>
      </c>
      <c r="O82" s="214">
        <v>0.35450100000000001</v>
      </c>
      <c r="P82" s="115">
        <v>1.6135999999999999</v>
      </c>
      <c r="Q82" s="769">
        <v>4.9034749986900001</v>
      </c>
      <c r="R82" s="216"/>
      <c r="S82" s="216">
        <v>4.9034749986900001</v>
      </c>
      <c r="T82" s="216">
        <v>27</v>
      </c>
      <c r="U82" s="216">
        <v>3.7650000000000001</v>
      </c>
      <c r="V82" s="115">
        <v>109.11115179759</v>
      </c>
      <c r="W82" s="109"/>
      <c r="X82" s="109">
        <v>162.54422166913</v>
      </c>
      <c r="Y82" s="109" t="s">
        <v>1908</v>
      </c>
      <c r="Z82" s="109">
        <v>39.426475206764579</v>
      </c>
      <c r="AA82" s="109">
        <v>40.190732659371697</v>
      </c>
      <c r="AB82" s="109" t="s">
        <v>3485</v>
      </c>
      <c r="AC82" s="109" t="s">
        <v>248</v>
      </c>
      <c r="AD82" s="765" t="s">
        <v>246</v>
      </c>
      <c r="AE82" s="765" t="s">
        <v>7</v>
      </c>
      <c r="AF82" s="765"/>
      <c r="AG82" s="765" t="s">
        <v>1062</v>
      </c>
      <c r="AH82" s="109"/>
      <c r="AJ82" s="2" t="s">
        <v>1543</v>
      </c>
      <c r="AL82" s="2" t="s">
        <v>680</v>
      </c>
      <c r="AM82" s="2" t="s">
        <v>709</v>
      </c>
      <c r="AN82" s="2" t="s">
        <v>952</v>
      </c>
      <c r="AO82" s="2">
        <v>0.93189340399999998</v>
      </c>
      <c r="AP82" s="2" t="s">
        <v>4673</v>
      </c>
      <c r="AQ82" s="2" t="s">
        <v>4469</v>
      </c>
      <c r="AR82" s="2" t="s">
        <v>4638</v>
      </c>
      <c r="AT82" s="765"/>
      <c r="AU82" s="765"/>
      <c r="AV82" s="765"/>
      <c r="AW82" s="765"/>
    </row>
    <row r="83" spans="1:49" x14ac:dyDescent="0.25">
      <c r="A83" s="23" t="s">
        <v>2154</v>
      </c>
      <c r="B83" s="108" t="s">
        <v>528</v>
      </c>
      <c r="C83" s="108" t="s">
        <v>1918</v>
      </c>
      <c r="D83" s="108" t="s">
        <v>2121</v>
      </c>
      <c r="E83" s="108" t="s">
        <v>2155</v>
      </c>
      <c r="F83" s="114" t="s">
        <v>694</v>
      </c>
      <c r="G83" s="213" t="s">
        <v>1279</v>
      </c>
      <c r="H83" s="115" t="s">
        <v>2158</v>
      </c>
      <c r="I83" s="213">
        <v>10623458.85</v>
      </c>
      <c r="J83" s="109">
        <v>4.7266750000000002</v>
      </c>
      <c r="K83" s="109" t="s">
        <v>696</v>
      </c>
      <c r="L83" s="115">
        <v>0.92992461920000002</v>
      </c>
      <c r="M83" s="115">
        <v>101.826942</v>
      </c>
      <c r="N83" s="115">
        <v>101.90926</v>
      </c>
      <c r="O83" s="214">
        <v>0.35450100000000001</v>
      </c>
      <c r="P83" s="115">
        <v>1.6135999999999999</v>
      </c>
      <c r="Q83" s="769">
        <v>4.9492209447800004</v>
      </c>
      <c r="R83" s="216"/>
      <c r="S83" s="216">
        <v>4.9492209447800004</v>
      </c>
      <c r="T83" s="216">
        <v>27</v>
      </c>
      <c r="U83" s="216">
        <v>3.8540000000000001</v>
      </c>
      <c r="V83" s="115">
        <v>124.18276173559001</v>
      </c>
      <c r="W83" s="109"/>
      <c r="X83" s="109">
        <v>166.60362424675</v>
      </c>
      <c r="Y83" s="109" t="s">
        <v>1908</v>
      </c>
      <c r="Z83" s="109">
        <v>39.426475206764579</v>
      </c>
      <c r="AA83" s="109">
        <v>40.190732659371697</v>
      </c>
      <c r="AB83" s="109" t="s">
        <v>3485</v>
      </c>
      <c r="AC83" s="109" t="s">
        <v>248</v>
      </c>
      <c r="AD83" s="765" t="s">
        <v>246</v>
      </c>
      <c r="AE83" s="765" t="s">
        <v>7</v>
      </c>
      <c r="AF83" s="765"/>
      <c r="AG83" s="765" t="s">
        <v>1062</v>
      </c>
      <c r="AH83" s="109"/>
      <c r="AJ83" s="2" t="s">
        <v>8</v>
      </c>
      <c r="AL83" s="2" t="s">
        <v>680</v>
      </c>
      <c r="AM83" s="2" t="s">
        <v>709</v>
      </c>
      <c r="AN83" s="2" t="s">
        <v>952</v>
      </c>
      <c r="AO83" s="2">
        <v>0.93189340399999998</v>
      </c>
      <c r="AP83" s="2" t="s">
        <v>4673</v>
      </c>
      <c r="AQ83" s="2" t="s">
        <v>4469</v>
      </c>
      <c r="AR83" s="2" t="s">
        <v>4638</v>
      </c>
      <c r="AT83" s="765"/>
      <c r="AU83" s="765"/>
      <c r="AV83" s="765"/>
      <c r="AW83" s="765"/>
    </row>
    <row r="84" spans="1:49" x14ac:dyDescent="0.25">
      <c r="A84" s="23" t="s">
        <v>1917</v>
      </c>
      <c r="B84" s="108" t="s">
        <v>528</v>
      </c>
      <c r="C84" s="108" t="s">
        <v>1918</v>
      </c>
      <c r="D84" s="108" t="s">
        <v>1740</v>
      </c>
      <c r="E84" s="108" t="s">
        <v>1919</v>
      </c>
      <c r="F84" s="114" t="s">
        <v>694</v>
      </c>
      <c r="G84" s="213" t="s">
        <v>1129</v>
      </c>
      <c r="H84" s="115" t="s">
        <v>1920</v>
      </c>
      <c r="I84" s="213">
        <v>3456605.66</v>
      </c>
      <c r="J84" s="109">
        <v>3.6883180000000002</v>
      </c>
      <c r="K84" s="109" t="s">
        <v>696</v>
      </c>
      <c r="L84" s="115">
        <v>0.90963306840000002</v>
      </c>
      <c r="M84" s="115">
        <v>98.042068</v>
      </c>
      <c r="N84" s="115">
        <v>98.179481999999993</v>
      </c>
      <c r="O84" s="214">
        <v>0.27662399999999998</v>
      </c>
      <c r="P84" s="115">
        <v>6.3773</v>
      </c>
      <c r="Q84" s="769">
        <v>5.0706407464799996</v>
      </c>
      <c r="R84" s="216"/>
      <c r="S84" s="216">
        <v>5.0706407464799996</v>
      </c>
      <c r="T84" s="216">
        <v>26</v>
      </c>
      <c r="U84" s="216">
        <v>3.98</v>
      </c>
      <c r="V84" s="115">
        <v>139.1402714088</v>
      </c>
      <c r="W84" s="109"/>
      <c r="X84" s="109">
        <v>115.40220252524</v>
      </c>
      <c r="Y84" s="109" t="s">
        <v>1908</v>
      </c>
      <c r="Z84" s="109">
        <v>11.05642303805662</v>
      </c>
      <c r="AA84" s="109">
        <v>39.00738134792784</v>
      </c>
      <c r="AB84" s="109" t="s">
        <v>3511</v>
      </c>
      <c r="AC84" s="109" t="s">
        <v>3890</v>
      </c>
      <c r="AD84" s="765" t="s">
        <v>2379</v>
      </c>
      <c r="AE84" s="765" t="s">
        <v>9</v>
      </c>
      <c r="AF84" s="765"/>
      <c r="AG84" s="765" t="s">
        <v>1064</v>
      </c>
      <c r="AH84" s="109"/>
      <c r="AJ84" s="2" t="s">
        <v>9</v>
      </c>
      <c r="AL84" s="2" t="s">
        <v>680</v>
      </c>
      <c r="AM84" s="2" t="s">
        <v>709</v>
      </c>
      <c r="AN84" s="2" t="s">
        <v>952</v>
      </c>
      <c r="AO84" s="2">
        <v>0.91166385299999997</v>
      </c>
      <c r="AP84" s="2" t="s">
        <v>4673</v>
      </c>
      <c r="AQ84" s="2" t="s">
        <v>4469</v>
      </c>
      <c r="AR84" s="2" t="s">
        <v>4638</v>
      </c>
      <c r="AT84" s="765"/>
      <c r="AU84" s="765"/>
      <c r="AV84" s="765"/>
      <c r="AW84" s="765"/>
    </row>
    <row r="85" spans="1:49" x14ac:dyDescent="0.25">
      <c r="A85" s="23" t="s">
        <v>3637</v>
      </c>
      <c r="B85" s="108" t="s">
        <v>2245</v>
      </c>
      <c r="C85" s="108" t="s">
        <v>1918</v>
      </c>
      <c r="D85" s="108" t="s">
        <v>3688</v>
      </c>
      <c r="E85" s="108" t="s">
        <v>3695</v>
      </c>
      <c r="F85" s="114" t="s">
        <v>694</v>
      </c>
      <c r="G85" s="213" t="s">
        <v>3222</v>
      </c>
      <c r="H85" s="115" t="s">
        <v>2860</v>
      </c>
      <c r="I85" s="213">
        <v>340852094.19999999</v>
      </c>
      <c r="J85" s="109">
        <v>0.5</v>
      </c>
      <c r="K85" s="109" t="s">
        <v>696</v>
      </c>
      <c r="L85" s="115">
        <v>0.9225483511</v>
      </c>
      <c r="M85" s="115">
        <v>0</v>
      </c>
      <c r="N85" s="115">
        <v>0</v>
      </c>
      <c r="O85" s="214">
        <v>3.7499999999999999E-2</v>
      </c>
      <c r="P85" s="115">
        <v>9.3947000000000003</v>
      </c>
      <c r="Q85" s="769"/>
      <c r="R85" s="216"/>
      <c r="S85" s="216">
        <v>9.3947000000000003</v>
      </c>
      <c r="T85" s="216">
        <v>26</v>
      </c>
      <c r="U85" s="216"/>
      <c r="V85" s="115"/>
      <c r="W85" s="109"/>
      <c r="X85" s="109"/>
      <c r="Y85" s="109" t="s">
        <v>3696</v>
      </c>
      <c r="Z85" s="109">
        <v>6.5518402508973228</v>
      </c>
      <c r="AA85" s="109">
        <v>10.00405736812815</v>
      </c>
      <c r="AB85" s="109" t="s">
        <v>2935</v>
      </c>
      <c r="AC85" s="109" t="s">
        <v>237</v>
      </c>
      <c r="AD85" s="765" t="s">
        <v>3204</v>
      </c>
      <c r="AE85" s="765" t="s">
        <v>7</v>
      </c>
      <c r="AF85" s="765"/>
      <c r="AG85" s="765" t="s">
        <v>1062</v>
      </c>
      <c r="AH85" s="109"/>
      <c r="AI85" s="2" t="s">
        <v>7</v>
      </c>
      <c r="AL85" s="2" t="s">
        <v>680</v>
      </c>
      <c r="AM85" s="2" t="s">
        <v>3423</v>
      </c>
      <c r="AN85" s="2" t="s">
        <v>952</v>
      </c>
      <c r="AO85" s="2">
        <v>0.92974135899999999</v>
      </c>
      <c r="AP85" s="2" t="s">
        <v>4673</v>
      </c>
      <c r="AQ85" s="2" t="s">
        <v>4469</v>
      </c>
      <c r="AR85" s="2" t="s">
        <v>4638</v>
      </c>
      <c r="AT85" s="765"/>
      <c r="AU85" s="765"/>
      <c r="AV85" s="765"/>
      <c r="AW85" s="765"/>
    </row>
    <row r="86" spans="1:49" x14ac:dyDescent="0.25">
      <c r="A86" s="23" t="s">
        <v>4842</v>
      </c>
      <c r="B86" s="108" t="s">
        <v>2245</v>
      </c>
      <c r="C86" s="108" t="s">
        <v>1918</v>
      </c>
      <c r="D86" s="108" t="s">
        <v>3688</v>
      </c>
      <c r="E86" s="108" t="s">
        <v>4843</v>
      </c>
      <c r="F86" s="114" t="s">
        <v>694</v>
      </c>
      <c r="G86" s="213" t="s">
        <v>3222</v>
      </c>
      <c r="H86" s="115" t="s">
        <v>2860</v>
      </c>
      <c r="I86" s="213">
        <v>32881468.329999998</v>
      </c>
      <c r="J86" s="109">
        <v>0.5</v>
      </c>
      <c r="K86" s="109" t="s">
        <v>696</v>
      </c>
      <c r="L86" s="115">
        <v>0.9225483511</v>
      </c>
      <c r="M86" s="115">
        <v>0</v>
      </c>
      <c r="N86" s="115">
        <v>0</v>
      </c>
      <c r="O86" s="214">
        <v>3.7499999999999999E-2</v>
      </c>
      <c r="P86" s="115">
        <v>9.3947000000000003</v>
      </c>
      <c r="Q86" s="769"/>
      <c r="R86" s="216"/>
      <c r="S86" s="216">
        <v>9.3947000000000003</v>
      </c>
      <c r="T86" s="216">
        <v>26</v>
      </c>
      <c r="U86" s="216"/>
      <c r="V86" s="115"/>
      <c r="W86" s="109"/>
      <c r="X86" s="109"/>
      <c r="Y86" s="109" t="s">
        <v>727</v>
      </c>
      <c r="Z86" s="109">
        <v>6.5518402508973228</v>
      </c>
      <c r="AA86" s="109">
        <v>10.00405736812815</v>
      </c>
      <c r="AB86" s="109" t="s">
        <v>2935</v>
      </c>
      <c r="AC86" s="109" t="s">
        <v>237</v>
      </c>
      <c r="AD86" s="765" t="s">
        <v>3204</v>
      </c>
      <c r="AE86" s="765" t="s">
        <v>7</v>
      </c>
      <c r="AF86" s="765"/>
      <c r="AG86" s="765" t="s">
        <v>1628</v>
      </c>
      <c r="AH86" s="109"/>
      <c r="AI86" s="2" t="s">
        <v>7</v>
      </c>
      <c r="AL86" s="2" t="s">
        <v>680</v>
      </c>
      <c r="AM86" s="2" t="s">
        <v>3423</v>
      </c>
      <c r="AN86" s="2" t="s">
        <v>952</v>
      </c>
      <c r="AO86" s="2">
        <v>0.92974135899999999</v>
      </c>
      <c r="AP86" s="2" t="s">
        <v>4673</v>
      </c>
      <c r="AQ86" s="2" t="s">
        <v>4469</v>
      </c>
      <c r="AR86" s="2" t="s">
        <v>4638</v>
      </c>
      <c r="AT86" s="765"/>
      <c r="AU86" s="765"/>
      <c r="AV86" s="765"/>
      <c r="AW86" s="765"/>
    </row>
    <row r="87" spans="1:49" x14ac:dyDescent="0.25">
      <c r="A87" s="23" t="s">
        <v>3455</v>
      </c>
      <c r="B87" s="108" t="s">
        <v>527</v>
      </c>
      <c r="C87" s="108" t="s">
        <v>1870</v>
      </c>
      <c r="D87" s="108" t="s">
        <v>3314</v>
      </c>
      <c r="E87" s="108" t="s">
        <v>3461</v>
      </c>
      <c r="F87" s="114" t="s">
        <v>694</v>
      </c>
      <c r="G87" s="213" t="s">
        <v>1306</v>
      </c>
      <c r="H87" s="115" t="s">
        <v>3462</v>
      </c>
      <c r="I87" s="213">
        <v>83740000</v>
      </c>
      <c r="J87" s="109">
        <v>4.7125269999999997</v>
      </c>
      <c r="K87" s="109" t="s">
        <v>696</v>
      </c>
      <c r="L87" s="115">
        <v>1</v>
      </c>
      <c r="M87" s="115">
        <v>79.724281000000005</v>
      </c>
      <c r="N87" s="115">
        <v>79.965359000000007</v>
      </c>
      <c r="O87" s="214">
        <v>0.353439</v>
      </c>
      <c r="P87" s="115">
        <v>2.2778</v>
      </c>
      <c r="Q87" s="769">
        <v>2.1269999999999998</v>
      </c>
      <c r="R87" s="216"/>
      <c r="S87" s="216">
        <v>2.1269999999999998</v>
      </c>
      <c r="T87" s="216">
        <v>26</v>
      </c>
      <c r="U87" s="216">
        <v>15.815</v>
      </c>
      <c r="V87" s="115">
        <v>1339.3935464288279</v>
      </c>
      <c r="W87" s="109"/>
      <c r="X87" s="109">
        <v>1289.4000000000001</v>
      </c>
      <c r="Y87" s="109" t="s">
        <v>1874</v>
      </c>
      <c r="Z87" s="109">
        <v>0</v>
      </c>
      <c r="AA87" s="109">
        <v>3.4686203197842318E-2</v>
      </c>
      <c r="AB87" s="109"/>
      <c r="AC87" s="109"/>
      <c r="AD87" s="765"/>
      <c r="AE87" s="765" t="s">
        <v>10</v>
      </c>
      <c r="AF87" s="765"/>
      <c r="AG87" s="765" t="s">
        <v>522</v>
      </c>
      <c r="AH87" s="109" t="s">
        <v>522</v>
      </c>
      <c r="AI87" s="2" t="s">
        <v>20</v>
      </c>
      <c r="AJ87" s="2" t="s">
        <v>1971</v>
      </c>
      <c r="AL87" s="2" t="s">
        <v>680</v>
      </c>
      <c r="AM87" s="2" t="s">
        <v>1921</v>
      </c>
      <c r="AN87" s="2" t="s">
        <v>952</v>
      </c>
      <c r="AO87" s="2">
        <v>1</v>
      </c>
      <c r="AP87" s="2" t="s">
        <v>4673</v>
      </c>
      <c r="AQ87" s="2" t="s">
        <v>5106</v>
      </c>
      <c r="AR87" s="2" t="s">
        <v>4787</v>
      </c>
      <c r="AT87" s="765"/>
      <c r="AU87" s="765"/>
      <c r="AV87" s="765"/>
      <c r="AW87" s="765"/>
    </row>
    <row r="88" spans="1:49" x14ac:dyDescent="0.25">
      <c r="A88" s="23" t="s">
        <v>3454</v>
      </c>
      <c r="B88" s="108" t="s">
        <v>527</v>
      </c>
      <c r="C88" s="108" t="s">
        <v>1870</v>
      </c>
      <c r="D88" s="108" t="s">
        <v>3463</v>
      </c>
      <c r="E88" s="108" t="s">
        <v>3464</v>
      </c>
      <c r="F88" s="114" t="s">
        <v>694</v>
      </c>
      <c r="G88" s="213" t="s">
        <v>3465</v>
      </c>
      <c r="H88" s="115" t="s">
        <v>3466</v>
      </c>
      <c r="I88" s="213">
        <v>75690000</v>
      </c>
      <c r="J88" s="109">
        <v>5.0109440000000003</v>
      </c>
      <c r="K88" s="109" t="s">
        <v>696</v>
      </c>
      <c r="L88" s="115">
        <v>1</v>
      </c>
      <c r="M88" s="115">
        <v>96.231696999999997</v>
      </c>
      <c r="N88" s="115">
        <v>96.404480000000007</v>
      </c>
      <c r="O88" s="214">
        <v>0.37582100000000002</v>
      </c>
      <c r="P88" s="115">
        <v>1.8754999999999999</v>
      </c>
      <c r="Q88" s="769">
        <v>1.778</v>
      </c>
      <c r="R88" s="216"/>
      <c r="S88" s="216">
        <v>1.778</v>
      </c>
      <c r="T88" s="216">
        <v>27</v>
      </c>
      <c r="U88" s="216">
        <v>7.2750000000000004</v>
      </c>
      <c r="V88" s="115">
        <v>497.19697721499818</v>
      </c>
      <c r="W88" s="109"/>
      <c r="X88" s="109">
        <v>471.3</v>
      </c>
      <c r="Y88" s="109" t="s">
        <v>1874</v>
      </c>
      <c r="Z88" s="109">
        <v>0</v>
      </c>
      <c r="AA88" s="109">
        <v>2.447179375173258</v>
      </c>
      <c r="AB88" s="109"/>
      <c r="AC88" s="109"/>
      <c r="AD88" s="765"/>
      <c r="AE88" s="765" t="s">
        <v>10</v>
      </c>
      <c r="AF88" s="765"/>
      <c r="AG88" s="765" t="s">
        <v>522</v>
      </c>
      <c r="AH88" s="109"/>
      <c r="AI88" s="2" t="s">
        <v>20</v>
      </c>
      <c r="AJ88" s="2" t="s">
        <v>1971</v>
      </c>
      <c r="AL88" s="2" t="s">
        <v>680</v>
      </c>
      <c r="AM88" s="2" t="s">
        <v>1921</v>
      </c>
      <c r="AN88" s="2" t="s">
        <v>952</v>
      </c>
      <c r="AO88" s="2">
        <v>1</v>
      </c>
      <c r="AP88" s="2" t="s">
        <v>4673</v>
      </c>
      <c r="AQ88" s="2" t="s">
        <v>5106</v>
      </c>
      <c r="AR88" s="2" t="s">
        <v>4787</v>
      </c>
      <c r="AT88" s="765"/>
      <c r="AU88" s="765"/>
      <c r="AV88" s="765"/>
      <c r="AW88" s="765"/>
    </row>
    <row r="89" spans="1:49" x14ac:dyDescent="0.25">
      <c r="A89" s="23" t="s">
        <v>3453</v>
      </c>
      <c r="B89" s="108" t="s">
        <v>527</v>
      </c>
      <c r="C89" s="108" t="s">
        <v>1870</v>
      </c>
      <c r="D89" s="108" t="s">
        <v>2411</v>
      </c>
      <c r="E89" s="108" t="s">
        <v>3467</v>
      </c>
      <c r="F89" s="114" t="s">
        <v>694</v>
      </c>
      <c r="G89" s="213" t="s">
        <v>3355</v>
      </c>
      <c r="H89" s="115" t="s">
        <v>3356</v>
      </c>
      <c r="I89" s="213">
        <v>63361000</v>
      </c>
      <c r="J89" s="109">
        <v>4.7676939999999997</v>
      </c>
      <c r="K89" s="109" t="s">
        <v>696</v>
      </c>
      <c r="L89" s="115">
        <v>1</v>
      </c>
      <c r="M89" s="115">
        <v>94.883430000000004</v>
      </c>
      <c r="N89" s="115">
        <v>95.074946999999995</v>
      </c>
      <c r="O89" s="214">
        <v>0.35757699999999998</v>
      </c>
      <c r="P89" s="115">
        <v>2.1779999999999999</v>
      </c>
      <c r="Q89" s="769">
        <v>2.052</v>
      </c>
      <c r="R89" s="216"/>
      <c r="S89" s="216">
        <v>2.052</v>
      </c>
      <c r="T89" s="216">
        <v>27</v>
      </c>
      <c r="U89" s="216">
        <v>7.4390000000000009</v>
      </c>
      <c r="V89" s="115">
        <v>504.17380153929099</v>
      </c>
      <c r="W89" s="109"/>
      <c r="X89" s="109">
        <v>475.5</v>
      </c>
      <c r="Y89" s="109" t="s">
        <v>1874</v>
      </c>
      <c r="Z89" s="109">
        <v>0</v>
      </c>
      <c r="AA89" s="109">
        <v>0</v>
      </c>
      <c r="AB89" s="109"/>
      <c r="AC89" s="109"/>
      <c r="AD89" s="765"/>
      <c r="AE89" s="765" t="s">
        <v>10</v>
      </c>
      <c r="AF89" s="765"/>
      <c r="AG89" s="765" t="s">
        <v>522</v>
      </c>
      <c r="AH89" s="109"/>
      <c r="AI89" s="2" t="s">
        <v>20</v>
      </c>
      <c r="AJ89" s="2" t="s">
        <v>1971</v>
      </c>
      <c r="AL89" s="2" t="s">
        <v>680</v>
      </c>
      <c r="AM89" s="2" t="s">
        <v>1921</v>
      </c>
      <c r="AN89" s="2" t="s">
        <v>952</v>
      </c>
      <c r="AO89" s="2">
        <v>1</v>
      </c>
      <c r="AP89" s="2" t="s">
        <v>4673</v>
      </c>
      <c r="AQ89" s="2" t="s">
        <v>5106</v>
      </c>
      <c r="AR89" s="2" t="s">
        <v>4787</v>
      </c>
      <c r="AT89" s="765"/>
      <c r="AU89" s="765"/>
      <c r="AV89" s="765"/>
      <c r="AW89" s="765"/>
    </row>
    <row r="90" spans="1:49" x14ac:dyDescent="0.25">
      <c r="A90" s="23" t="s">
        <v>3137</v>
      </c>
      <c r="B90" s="108" t="s">
        <v>527</v>
      </c>
      <c r="C90" s="108" t="s">
        <v>1870</v>
      </c>
      <c r="D90" s="108" t="s">
        <v>4005</v>
      </c>
      <c r="E90" s="108" t="s">
        <v>3182</v>
      </c>
      <c r="F90" s="114" t="s">
        <v>694</v>
      </c>
      <c r="G90" s="213" t="s">
        <v>1256</v>
      </c>
      <c r="H90" s="115" t="s">
        <v>3183</v>
      </c>
      <c r="I90" s="213">
        <v>15000000</v>
      </c>
      <c r="J90" s="109">
        <v>3.25</v>
      </c>
      <c r="K90" s="109" t="s">
        <v>696</v>
      </c>
      <c r="L90" s="115">
        <v>1</v>
      </c>
      <c r="M90" s="115">
        <v>0</v>
      </c>
      <c r="N90" s="115">
        <v>0</v>
      </c>
      <c r="O90" s="214">
        <v>0.24374999999999999</v>
      </c>
      <c r="P90" s="115">
        <v>3.4443999999999999</v>
      </c>
      <c r="Q90" s="769"/>
      <c r="R90" s="216"/>
      <c r="S90" s="216">
        <v>3.4443999999999999</v>
      </c>
      <c r="T90" s="216">
        <v>26</v>
      </c>
      <c r="U90" s="216"/>
      <c r="V90" s="115"/>
      <c r="W90" s="109"/>
      <c r="X90" s="109"/>
      <c r="Y90" s="109" t="s">
        <v>663</v>
      </c>
      <c r="Z90" s="109">
        <v>0</v>
      </c>
      <c r="AA90" s="109">
        <v>0.83059629579405048</v>
      </c>
      <c r="AB90" s="109"/>
      <c r="AC90" s="109"/>
      <c r="AD90" s="765"/>
      <c r="AE90" s="765" t="s">
        <v>13</v>
      </c>
      <c r="AF90" s="765"/>
      <c r="AG90" s="765" t="s">
        <v>522</v>
      </c>
      <c r="AH90" s="109" t="s">
        <v>21</v>
      </c>
      <c r="AI90" s="2" t="s">
        <v>21</v>
      </c>
      <c r="AL90" s="2" t="s">
        <v>680</v>
      </c>
      <c r="AM90" s="2" t="s">
        <v>1885</v>
      </c>
      <c r="AN90" s="2" t="s">
        <v>952</v>
      </c>
      <c r="AO90" s="2">
        <v>1</v>
      </c>
      <c r="AP90" s="2" t="s">
        <v>4673</v>
      </c>
      <c r="AQ90" s="2" t="s">
        <v>5106</v>
      </c>
      <c r="AR90" s="2" t="s">
        <v>4787</v>
      </c>
      <c r="AT90" s="765"/>
      <c r="AU90" s="765"/>
      <c r="AV90" s="765"/>
      <c r="AW90" s="765"/>
    </row>
    <row r="91" spans="1:49" x14ac:dyDescent="0.25">
      <c r="A91" s="23" t="s">
        <v>4620</v>
      </c>
      <c r="B91" s="108" t="s">
        <v>527</v>
      </c>
      <c r="C91" s="108" t="s">
        <v>1870</v>
      </c>
      <c r="D91" s="108" t="s">
        <v>4005</v>
      </c>
      <c r="E91" s="108" t="s">
        <v>4664</v>
      </c>
      <c r="F91" s="114" t="s">
        <v>694</v>
      </c>
      <c r="G91" s="213" t="s">
        <v>1256</v>
      </c>
      <c r="H91" s="115" t="s">
        <v>3183</v>
      </c>
      <c r="I91" s="213">
        <v>61363000</v>
      </c>
      <c r="J91" s="109">
        <v>3.4784229999999998</v>
      </c>
      <c r="K91" s="109" t="s">
        <v>696</v>
      </c>
      <c r="L91" s="115">
        <v>1</v>
      </c>
      <c r="M91" s="115">
        <v>89.990913000000006</v>
      </c>
      <c r="N91" s="115">
        <v>90.202927000000003</v>
      </c>
      <c r="O91" s="214">
        <v>0.260882</v>
      </c>
      <c r="P91" s="115">
        <v>3.4443999999999999</v>
      </c>
      <c r="Q91" s="769">
        <v>3.2050000000000001</v>
      </c>
      <c r="R91" s="216"/>
      <c r="S91" s="216">
        <v>3.2050000000000001</v>
      </c>
      <c r="T91" s="216">
        <v>27</v>
      </c>
      <c r="U91" s="216">
        <v>6.8810000000000002</v>
      </c>
      <c r="V91" s="115">
        <v>429.57203361766608</v>
      </c>
      <c r="W91" s="109"/>
      <c r="X91" s="109">
        <v>409.1</v>
      </c>
      <c r="Y91" s="109" t="s">
        <v>1874</v>
      </c>
      <c r="Z91" s="109">
        <v>0</v>
      </c>
      <c r="AA91" s="109">
        <v>0.83059629579405048</v>
      </c>
      <c r="AB91" s="109"/>
      <c r="AC91" s="109"/>
      <c r="AD91" s="765"/>
      <c r="AE91" s="765" t="s">
        <v>10</v>
      </c>
      <c r="AF91" s="765"/>
      <c r="AG91" s="765" t="s">
        <v>522</v>
      </c>
      <c r="AH91" s="109" t="s">
        <v>20</v>
      </c>
      <c r="AI91" s="2" t="s">
        <v>20</v>
      </c>
      <c r="AJ91" s="2" t="s">
        <v>1971</v>
      </c>
      <c r="AL91" s="2" t="s">
        <v>680</v>
      </c>
      <c r="AM91" s="2" t="s">
        <v>1885</v>
      </c>
      <c r="AN91" s="2" t="s">
        <v>952</v>
      </c>
      <c r="AO91" s="2">
        <v>1</v>
      </c>
      <c r="AP91" s="2" t="s">
        <v>4673</v>
      </c>
      <c r="AQ91" s="2" t="s">
        <v>5106</v>
      </c>
      <c r="AR91" s="2" t="s">
        <v>4787</v>
      </c>
      <c r="AT91" s="765"/>
      <c r="AU91" s="765"/>
      <c r="AV91" s="765"/>
      <c r="AW91" s="765"/>
    </row>
    <row r="92" spans="1:49" x14ac:dyDescent="0.25">
      <c r="A92" s="23" t="s">
        <v>2421</v>
      </c>
      <c r="B92" s="108" t="s">
        <v>527</v>
      </c>
      <c r="C92" s="108" t="s">
        <v>1870</v>
      </c>
      <c r="D92" s="108" t="s">
        <v>2878</v>
      </c>
      <c r="E92" s="108" t="s">
        <v>2422</v>
      </c>
      <c r="F92" s="114" t="s">
        <v>694</v>
      </c>
      <c r="G92" s="213" t="s">
        <v>2423</v>
      </c>
      <c r="H92" s="115" t="s">
        <v>2424</v>
      </c>
      <c r="I92" s="213">
        <v>44611510.380000003</v>
      </c>
      <c r="J92" s="109">
        <v>5.7544779999999998</v>
      </c>
      <c r="K92" s="109" t="s">
        <v>696</v>
      </c>
      <c r="L92" s="115">
        <v>0.99196207459999997</v>
      </c>
      <c r="M92" s="115">
        <v>97.192535000000007</v>
      </c>
      <c r="N92" s="115">
        <v>97.257671000000002</v>
      </c>
      <c r="O92" s="214">
        <v>0.43158600000000003</v>
      </c>
      <c r="P92" s="115">
        <v>1.4450000000000001</v>
      </c>
      <c r="Q92" s="769">
        <v>1.375</v>
      </c>
      <c r="R92" s="216"/>
      <c r="S92" s="216">
        <v>1.375</v>
      </c>
      <c r="T92" s="216">
        <v>27</v>
      </c>
      <c r="U92" s="216">
        <v>7.9640000000000004</v>
      </c>
      <c r="V92" s="115">
        <v>597.07982156050332</v>
      </c>
      <c r="W92" s="109"/>
      <c r="X92" s="109">
        <v>579.4</v>
      </c>
      <c r="Y92" s="109" t="s">
        <v>1874</v>
      </c>
      <c r="Z92" s="109">
        <v>10.113779948485661</v>
      </c>
      <c r="AA92" s="109">
        <v>3.641846064393861</v>
      </c>
      <c r="AB92" s="109"/>
      <c r="AC92" s="109"/>
      <c r="AD92" s="765"/>
      <c r="AE92" s="765" t="s">
        <v>9</v>
      </c>
      <c r="AF92" s="765"/>
      <c r="AG92" s="765" t="s">
        <v>1598</v>
      </c>
      <c r="AH92" s="109" t="s">
        <v>13</v>
      </c>
      <c r="AL92" s="2" t="s">
        <v>680</v>
      </c>
      <c r="AM92" s="2" t="s">
        <v>1885</v>
      </c>
      <c r="AN92" s="2" t="s">
        <v>952</v>
      </c>
      <c r="AO92" s="2">
        <v>1</v>
      </c>
      <c r="AP92" s="2" t="s">
        <v>4673</v>
      </c>
      <c r="AQ92" s="2" t="s">
        <v>5106</v>
      </c>
      <c r="AR92" s="2" t="s">
        <v>4787</v>
      </c>
      <c r="AT92" s="765"/>
      <c r="AU92" s="765"/>
      <c r="AV92" s="765"/>
      <c r="AW92" s="765"/>
    </row>
    <row r="93" spans="1:49" x14ac:dyDescent="0.25">
      <c r="A93" s="23" t="s">
        <v>1869</v>
      </c>
      <c r="B93" s="108" t="s">
        <v>527</v>
      </c>
      <c r="C93" s="108" t="s">
        <v>1870</v>
      </c>
      <c r="D93" s="108" t="s">
        <v>1625</v>
      </c>
      <c r="E93" s="108" t="s">
        <v>1872</v>
      </c>
      <c r="F93" s="114" t="s">
        <v>694</v>
      </c>
      <c r="G93" s="213" t="s">
        <v>1322</v>
      </c>
      <c r="H93" s="115" t="s">
        <v>1873</v>
      </c>
      <c r="I93" s="213">
        <v>45280000</v>
      </c>
      <c r="J93" s="109">
        <v>4.2776259999999997</v>
      </c>
      <c r="K93" s="109" t="s">
        <v>696</v>
      </c>
      <c r="L93" s="115">
        <v>1</v>
      </c>
      <c r="M93" s="115">
        <v>94.598975999999993</v>
      </c>
      <c r="N93" s="115">
        <v>94.655620999999996</v>
      </c>
      <c r="O93" s="214">
        <v>0.320822</v>
      </c>
      <c r="P93" s="115">
        <v>1.2778</v>
      </c>
      <c r="Q93" s="769">
        <v>1.2370000000000001</v>
      </c>
      <c r="R93" s="216"/>
      <c r="S93" s="216">
        <v>1.2370000000000001</v>
      </c>
      <c r="T93" s="216">
        <v>26</v>
      </c>
      <c r="U93" s="216">
        <v>8.927999999999999</v>
      </c>
      <c r="V93" s="115">
        <v>705.53599305658611</v>
      </c>
      <c r="W93" s="109"/>
      <c r="X93" s="109">
        <v>689.8</v>
      </c>
      <c r="Y93" s="109" t="s">
        <v>1874</v>
      </c>
      <c r="Z93" s="109">
        <v>39.614321998753212</v>
      </c>
      <c r="AA93" s="109">
        <v>10.83694168755177</v>
      </c>
      <c r="AB93" s="109"/>
      <c r="AC93" s="109"/>
      <c r="AD93" s="765"/>
      <c r="AE93" s="765" t="s">
        <v>9</v>
      </c>
      <c r="AF93" s="765" t="s">
        <v>13</v>
      </c>
      <c r="AG93" s="765"/>
      <c r="AH93" s="109" t="s">
        <v>18</v>
      </c>
      <c r="AI93" s="2" t="s">
        <v>20</v>
      </c>
      <c r="AL93" s="2" t="s">
        <v>680</v>
      </c>
      <c r="AM93" s="2" t="s">
        <v>1885</v>
      </c>
      <c r="AN93" s="2" t="s">
        <v>952</v>
      </c>
      <c r="AO93" s="2">
        <v>1</v>
      </c>
      <c r="AP93" s="2" t="s">
        <v>4673</v>
      </c>
      <c r="AQ93" s="2" t="s">
        <v>5106</v>
      </c>
      <c r="AR93" s="2" t="s">
        <v>4787</v>
      </c>
      <c r="AT93" s="765"/>
      <c r="AU93" s="765"/>
      <c r="AV93" s="765"/>
      <c r="AW93" s="765"/>
    </row>
    <row r="94" spans="1:49" x14ac:dyDescent="0.25">
      <c r="A94" s="23" t="s">
        <v>2445</v>
      </c>
      <c r="B94" s="108" t="s">
        <v>656</v>
      </c>
      <c r="C94" s="108" t="s">
        <v>2446</v>
      </c>
      <c r="D94" s="108" t="s">
        <v>541</v>
      </c>
      <c r="E94" s="108" t="s">
        <v>2446</v>
      </c>
      <c r="F94" s="114" t="s">
        <v>699</v>
      </c>
      <c r="G94" s="213" t="s">
        <v>2447</v>
      </c>
      <c r="H94" s="115" t="s">
        <v>2133</v>
      </c>
      <c r="I94" s="213">
        <v>106000000</v>
      </c>
      <c r="J94" s="109">
        <v>6.5</v>
      </c>
      <c r="K94" s="109" t="s">
        <v>696</v>
      </c>
      <c r="L94" s="115">
        <v>1</v>
      </c>
      <c r="M94" s="115">
        <v>105.77800000000001</v>
      </c>
      <c r="N94" s="115">
        <v>106.146</v>
      </c>
      <c r="O94" s="214">
        <v>0.48749999999999999</v>
      </c>
      <c r="P94" s="115"/>
      <c r="Q94" s="769">
        <v>3.065263304062531</v>
      </c>
      <c r="R94" s="216">
        <v>3.047702007911794</v>
      </c>
      <c r="S94" s="216">
        <v>3.065263304062531</v>
      </c>
      <c r="T94" s="216">
        <v>27</v>
      </c>
      <c r="U94" s="216">
        <v>5.7301256114362769</v>
      </c>
      <c r="V94" s="115"/>
      <c r="W94" s="109">
        <v>638</v>
      </c>
      <c r="X94" s="109">
        <v>198.1792514280433</v>
      </c>
      <c r="Y94" s="109"/>
      <c r="Z94" s="109"/>
      <c r="AA94" s="109"/>
      <c r="AB94" s="109"/>
      <c r="AC94" s="109"/>
      <c r="AD94" s="765"/>
      <c r="AE94" s="765" t="s">
        <v>10</v>
      </c>
      <c r="AF94" s="765"/>
      <c r="AG94" s="765"/>
      <c r="AH94" s="109"/>
      <c r="AI94" s="2" t="s">
        <v>20</v>
      </c>
      <c r="AL94" s="2" t="s">
        <v>680</v>
      </c>
      <c r="AM94" s="2" t="s">
        <v>812</v>
      </c>
      <c r="AN94" s="2" t="s">
        <v>952</v>
      </c>
      <c r="AT94" s="765"/>
      <c r="AU94" s="765"/>
      <c r="AV94" s="765"/>
      <c r="AW94" s="765"/>
    </row>
    <row r="95" spans="1:49" x14ac:dyDescent="0.25">
      <c r="A95" s="23" t="s">
        <v>2008</v>
      </c>
      <c r="B95" s="108" t="s">
        <v>527</v>
      </c>
      <c r="C95" s="108" t="s">
        <v>1870</v>
      </c>
      <c r="D95" s="108" t="s">
        <v>3912</v>
      </c>
      <c r="E95" s="108" t="s">
        <v>2009</v>
      </c>
      <c r="F95" s="114" t="s">
        <v>694</v>
      </c>
      <c r="G95" s="213" t="s">
        <v>2010</v>
      </c>
      <c r="H95" s="115" t="s">
        <v>2011</v>
      </c>
      <c r="I95" s="213">
        <v>70961190.650000006</v>
      </c>
      <c r="J95" s="109">
        <v>4.3965699999999996</v>
      </c>
      <c r="K95" s="109" t="s">
        <v>695</v>
      </c>
      <c r="L95" s="115">
        <v>0.94349484319999999</v>
      </c>
      <c r="M95" s="115">
        <v>0</v>
      </c>
      <c r="N95" s="115">
        <v>0</v>
      </c>
      <c r="O95" s="214">
        <v>0.15876499999999999</v>
      </c>
      <c r="P95" s="115">
        <v>0.375</v>
      </c>
      <c r="Q95" s="769"/>
      <c r="R95" s="216"/>
      <c r="S95" s="216">
        <v>0.375</v>
      </c>
      <c r="T95" s="216">
        <v>13</v>
      </c>
      <c r="U95" s="216"/>
      <c r="V95" s="115"/>
      <c r="W95" s="109">
        <v>400</v>
      </c>
      <c r="X95" s="109"/>
      <c r="Y95" s="109" t="s">
        <v>2012</v>
      </c>
      <c r="Z95" s="109">
        <v>4.9414469600068571</v>
      </c>
      <c r="AA95" s="109">
        <v>9.0872343419517438</v>
      </c>
      <c r="AB95" s="109"/>
      <c r="AC95" s="109"/>
      <c r="AD95" s="765"/>
      <c r="AE95" s="765" t="s">
        <v>10</v>
      </c>
      <c r="AF95" s="765" t="s">
        <v>20</v>
      </c>
      <c r="AG95" s="765"/>
      <c r="AH95" s="109"/>
      <c r="AI95" s="2" t="s">
        <v>522</v>
      </c>
      <c r="AL95" s="2" t="s">
        <v>680</v>
      </c>
      <c r="AM95" s="2" t="s">
        <v>1921</v>
      </c>
      <c r="AN95" s="2" t="s">
        <v>952</v>
      </c>
      <c r="AO95" s="2">
        <v>0.947487737</v>
      </c>
      <c r="AP95" s="2" t="s">
        <v>4673</v>
      </c>
      <c r="AQ95" s="2" t="s">
        <v>4396</v>
      </c>
      <c r="AR95" s="2" t="s">
        <v>4671</v>
      </c>
      <c r="AT95" s="765"/>
      <c r="AU95" s="765"/>
      <c r="AV95" s="765"/>
      <c r="AW95" s="765"/>
    </row>
    <row r="96" spans="1:49" x14ac:dyDescent="0.25">
      <c r="A96" s="23" t="s">
        <v>4802</v>
      </c>
      <c r="B96" s="108" t="s">
        <v>527</v>
      </c>
      <c r="C96" s="108" t="s">
        <v>1962</v>
      </c>
      <c r="D96" s="108" t="s">
        <v>3314</v>
      </c>
      <c r="E96" s="108" t="s">
        <v>4803</v>
      </c>
      <c r="F96" s="114" t="s">
        <v>694</v>
      </c>
      <c r="G96" s="213" t="s">
        <v>4817</v>
      </c>
      <c r="H96" s="115" t="s">
        <v>4804</v>
      </c>
      <c r="I96" s="213">
        <v>38170000</v>
      </c>
      <c r="J96" s="109">
        <v>5.3970000000000002</v>
      </c>
      <c r="K96" s="109" t="s">
        <v>695</v>
      </c>
      <c r="L96" s="115">
        <v>1</v>
      </c>
      <c r="M96" s="115">
        <v>99.428664999999995</v>
      </c>
      <c r="N96" s="115">
        <v>99.469757000000001</v>
      </c>
      <c r="O96" s="214">
        <v>0.19489200000000001</v>
      </c>
      <c r="P96" s="115">
        <v>0.70829999999999993</v>
      </c>
      <c r="Q96" s="769">
        <v>4.1000000000000002E-2</v>
      </c>
      <c r="R96" s="216"/>
      <c r="S96" s="216">
        <v>4.1000000000000002E-2</v>
      </c>
      <c r="T96" s="216">
        <v>13</v>
      </c>
      <c r="U96" s="216">
        <v>6.3339999999999996</v>
      </c>
      <c r="V96" s="115">
        <v>503.25900845970438</v>
      </c>
      <c r="W96" s="109">
        <v>500</v>
      </c>
      <c r="X96" s="109">
        <v>607.29999999999995</v>
      </c>
      <c r="Y96" s="109" t="s">
        <v>3960</v>
      </c>
      <c r="Z96" s="109">
        <v>0</v>
      </c>
      <c r="AA96" s="109">
        <v>0</v>
      </c>
      <c r="AB96" s="109"/>
      <c r="AC96" s="109"/>
      <c r="AD96" s="765"/>
      <c r="AE96" s="765" t="s">
        <v>8</v>
      </c>
      <c r="AF96" s="765"/>
      <c r="AG96" s="765"/>
      <c r="AH96" s="109"/>
      <c r="AJ96" s="2" t="s">
        <v>2545</v>
      </c>
      <c r="AL96" s="2" t="s">
        <v>680</v>
      </c>
      <c r="AM96" s="2" t="s">
        <v>2976</v>
      </c>
      <c r="AN96" s="2" t="s">
        <v>952</v>
      </c>
      <c r="AO96" s="2">
        <v>1</v>
      </c>
      <c r="AP96" s="2" t="s">
        <v>4675</v>
      </c>
      <c r="AQ96" s="2" t="s">
        <v>4396</v>
      </c>
      <c r="AR96" s="2" t="s">
        <v>4671</v>
      </c>
      <c r="AT96" s="765"/>
      <c r="AU96" s="765"/>
      <c r="AV96" s="765"/>
      <c r="AW96" s="765"/>
    </row>
    <row r="97" spans="1:49" x14ac:dyDescent="0.25">
      <c r="A97" s="23" t="s">
        <v>4446</v>
      </c>
      <c r="B97" s="108" t="s">
        <v>527</v>
      </c>
      <c r="C97" s="108" t="s">
        <v>4460</v>
      </c>
      <c r="D97" s="108" t="s">
        <v>5107</v>
      </c>
      <c r="E97" s="108" t="s">
        <v>4461</v>
      </c>
      <c r="F97" s="114" t="s">
        <v>694</v>
      </c>
      <c r="G97" s="213" t="s">
        <v>4462</v>
      </c>
      <c r="H97" s="115" t="s">
        <v>4463</v>
      </c>
      <c r="I97" s="213">
        <v>18760000</v>
      </c>
      <c r="J97" s="109">
        <v>3.8098320000000001</v>
      </c>
      <c r="K97" s="109" t="s">
        <v>695</v>
      </c>
      <c r="L97" s="115">
        <v>0.8</v>
      </c>
      <c r="M97" s="115">
        <v>96.280906999999999</v>
      </c>
      <c r="N97" s="115">
        <v>96.401084999999995</v>
      </c>
      <c r="O97" s="214">
        <v>0.137577</v>
      </c>
      <c r="P97" s="115">
        <v>0.375</v>
      </c>
      <c r="Q97" s="769">
        <v>3.7999999999999999E-2</v>
      </c>
      <c r="R97" s="216"/>
      <c r="S97" s="216">
        <v>3.7999999999999999E-2</v>
      </c>
      <c r="T97" s="216">
        <v>12</v>
      </c>
      <c r="U97" s="216">
        <v>14.276</v>
      </c>
      <c r="V97" s="115">
        <v>1347.7481898537719</v>
      </c>
      <c r="W97" s="109">
        <v>341.32600000000002</v>
      </c>
      <c r="X97" s="109">
        <v>1348.8</v>
      </c>
      <c r="Y97" s="109" t="s">
        <v>4464</v>
      </c>
      <c r="Z97" s="109">
        <v>0</v>
      </c>
      <c r="AA97" s="109">
        <v>22.89314182838806</v>
      </c>
      <c r="AB97" s="109"/>
      <c r="AC97" s="109"/>
      <c r="AD97" s="765"/>
      <c r="AE97" s="765" t="s">
        <v>13</v>
      </c>
      <c r="AF97" s="765" t="s">
        <v>522</v>
      </c>
      <c r="AG97" s="765"/>
      <c r="AH97" s="109"/>
      <c r="AJ97" s="2" t="s">
        <v>3272</v>
      </c>
      <c r="AL97" s="2" t="s">
        <v>680</v>
      </c>
      <c r="AM97" s="2" t="s">
        <v>2976</v>
      </c>
      <c r="AN97" s="2" t="s">
        <v>952</v>
      </c>
      <c r="AO97" s="2">
        <v>0.8</v>
      </c>
      <c r="AP97" s="2" t="s">
        <v>4675</v>
      </c>
      <c r="AQ97" s="2" t="s">
        <v>4396</v>
      </c>
      <c r="AR97" s="2" t="s">
        <v>4671</v>
      </c>
      <c r="AT97" s="765"/>
      <c r="AU97" s="765"/>
      <c r="AV97" s="765"/>
      <c r="AW97" s="765"/>
    </row>
    <row r="98" spans="1:49" x14ac:dyDescent="0.25">
      <c r="A98" s="23" t="s">
        <v>3574</v>
      </c>
      <c r="B98" s="108" t="s">
        <v>528</v>
      </c>
      <c r="C98" s="108" t="s">
        <v>1962</v>
      </c>
      <c r="D98" s="108" t="s">
        <v>3575</v>
      </c>
      <c r="E98" s="108" t="s">
        <v>3576</v>
      </c>
      <c r="F98" s="114" t="s">
        <v>694</v>
      </c>
      <c r="G98" s="213" t="s">
        <v>3330</v>
      </c>
      <c r="H98" s="115" t="s">
        <v>3698</v>
      </c>
      <c r="I98" s="213">
        <v>182327166.5</v>
      </c>
      <c r="J98" s="109">
        <v>2.5</v>
      </c>
      <c r="K98" s="109" t="s">
        <v>696</v>
      </c>
      <c r="L98" s="115">
        <v>0.917106372</v>
      </c>
      <c r="M98" s="115">
        <v>91.201697999999993</v>
      </c>
      <c r="N98" s="115">
        <v>91.226699999999994</v>
      </c>
      <c r="O98" s="214">
        <v>0.1875</v>
      </c>
      <c r="P98" s="115">
        <v>7.399</v>
      </c>
      <c r="Q98" s="769">
        <v>8.4202641482399994</v>
      </c>
      <c r="R98" s="216"/>
      <c r="S98" s="216">
        <v>8.4202641482399994</v>
      </c>
      <c r="T98" s="216">
        <v>26</v>
      </c>
      <c r="U98" s="216">
        <v>4.0039999999999996</v>
      </c>
      <c r="V98" s="115">
        <v>143.48707036741999</v>
      </c>
      <c r="W98" s="109"/>
      <c r="X98" s="109">
        <v>108.82919067735</v>
      </c>
      <c r="Y98" s="109" t="s">
        <v>2124</v>
      </c>
      <c r="Z98" s="109">
        <v>8.9396461461370595</v>
      </c>
      <c r="AA98" s="109">
        <v>11.6198468965465</v>
      </c>
      <c r="AB98" s="109" t="s">
        <v>2803</v>
      </c>
      <c r="AC98" s="109" t="s">
        <v>1202</v>
      </c>
      <c r="AD98" s="765" t="s">
        <v>1589</v>
      </c>
      <c r="AE98" s="765" t="s">
        <v>7</v>
      </c>
      <c r="AF98" s="765" t="s">
        <v>7</v>
      </c>
      <c r="AG98" s="765"/>
      <c r="AH98" s="109"/>
      <c r="AI98" s="2" t="s">
        <v>7</v>
      </c>
      <c r="AL98" s="2" t="s">
        <v>680</v>
      </c>
      <c r="AM98" s="2" t="s">
        <v>709</v>
      </c>
      <c r="AN98" s="2" t="s">
        <v>952</v>
      </c>
      <c r="AO98" s="2">
        <v>0.92702462500000005</v>
      </c>
      <c r="AP98" s="2" t="s">
        <v>4673</v>
      </c>
      <c r="AQ98" s="2" t="s">
        <v>4469</v>
      </c>
      <c r="AR98" s="2" t="s">
        <v>4638</v>
      </c>
      <c r="AT98" s="765"/>
      <c r="AU98" s="765"/>
      <c r="AV98" s="765"/>
      <c r="AW98" s="765"/>
    </row>
    <row r="99" spans="1:49" x14ac:dyDescent="0.25">
      <c r="A99" s="23" t="s">
        <v>2448</v>
      </c>
      <c r="B99" s="108" t="s">
        <v>526</v>
      </c>
      <c r="C99" s="108" t="s">
        <v>2449</v>
      </c>
      <c r="D99" s="108" t="s">
        <v>3944</v>
      </c>
      <c r="E99" s="108" t="s">
        <v>2450</v>
      </c>
      <c r="F99" s="114" t="s">
        <v>698</v>
      </c>
      <c r="G99" s="213" t="s">
        <v>2451</v>
      </c>
      <c r="H99" s="115" t="s">
        <v>1964</v>
      </c>
      <c r="I99" s="213">
        <v>15640972.32</v>
      </c>
      <c r="J99" s="109">
        <v>0.64656999999999998</v>
      </c>
      <c r="K99" s="109" t="s">
        <v>695</v>
      </c>
      <c r="L99" s="115">
        <v>2.08546298E-2</v>
      </c>
      <c r="M99" s="115">
        <v>0</v>
      </c>
      <c r="N99" s="115">
        <v>0</v>
      </c>
      <c r="O99" s="214">
        <v>2.3348000000000001E-2</v>
      </c>
      <c r="P99" s="115">
        <v>2.6122000000000001</v>
      </c>
      <c r="Q99" s="769"/>
      <c r="R99" s="216"/>
      <c r="S99" s="216">
        <v>2.6122000000000001</v>
      </c>
      <c r="T99" s="216">
        <v>13</v>
      </c>
      <c r="U99" s="216"/>
      <c r="V99" s="115"/>
      <c r="W99" s="109">
        <v>25</v>
      </c>
      <c r="X99" s="109"/>
      <c r="Y99" s="109" t="s">
        <v>2452</v>
      </c>
      <c r="Z99" s="109"/>
      <c r="AA99" s="109"/>
      <c r="AB99" s="109"/>
      <c r="AC99" s="109"/>
      <c r="AD99" s="765"/>
      <c r="AE99" s="765" t="s">
        <v>8</v>
      </c>
      <c r="AF99" s="765" t="s">
        <v>8</v>
      </c>
      <c r="AG99" s="765" t="s">
        <v>1064</v>
      </c>
      <c r="AH99" s="109"/>
      <c r="AL99" s="2" t="s">
        <v>680</v>
      </c>
      <c r="AM99" s="2" t="s">
        <v>813</v>
      </c>
      <c r="AN99" s="2" t="s">
        <v>952</v>
      </c>
      <c r="AO99" s="2">
        <v>2.2055468000000002E-2</v>
      </c>
      <c r="AP99" s="2" t="s">
        <v>4675</v>
      </c>
      <c r="AQ99" s="2" t="s">
        <v>4396</v>
      </c>
      <c r="AR99" s="2" t="s">
        <v>4671</v>
      </c>
      <c r="AT99" s="765"/>
      <c r="AU99" s="765"/>
      <c r="AV99" s="765"/>
      <c r="AW99" s="765"/>
    </row>
    <row r="100" spans="1:49" x14ac:dyDescent="0.25">
      <c r="A100" s="23" t="s">
        <v>2508</v>
      </c>
      <c r="B100" s="108" t="s">
        <v>526</v>
      </c>
      <c r="C100" s="108" t="s">
        <v>2449</v>
      </c>
      <c r="D100" s="108" t="s">
        <v>2509</v>
      </c>
      <c r="E100" s="108" t="s">
        <v>2510</v>
      </c>
      <c r="F100" s="114" t="s">
        <v>698</v>
      </c>
      <c r="G100" s="213" t="s">
        <v>2583</v>
      </c>
      <c r="H100" s="115" t="s">
        <v>2511</v>
      </c>
      <c r="I100" s="213">
        <v>16830714.559999999</v>
      </c>
      <c r="J100" s="109">
        <v>0.54657</v>
      </c>
      <c r="K100" s="109" t="s">
        <v>695</v>
      </c>
      <c r="L100" s="115">
        <v>5.2472999399999998E-2</v>
      </c>
      <c r="M100" s="115">
        <v>0</v>
      </c>
      <c r="N100" s="115">
        <v>0</v>
      </c>
      <c r="O100" s="214">
        <v>1.9737000000000001E-2</v>
      </c>
      <c r="P100" s="115">
        <v>2.39</v>
      </c>
      <c r="Q100" s="769"/>
      <c r="R100" s="216"/>
      <c r="S100" s="216">
        <v>2.39</v>
      </c>
      <c r="T100" s="216">
        <v>12</v>
      </c>
      <c r="U100" s="216"/>
      <c r="V100" s="115"/>
      <c r="W100" s="109">
        <v>15</v>
      </c>
      <c r="X100" s="109"/>
      <c r="Y100" s="109" t="s">
        <v>2455</v>
      </c>
      <c r="Z100" s="109"/>
      <c r="AA100" s="109"/>
      <c r="AB100" s="109"/>
      <c r="AC100" s="109"/>
      <c r="AD100" s="765"/>
      <c r="AE100" s="765" t="s">
        <v>8</v>
      </c>
      <c r="AF100" s="765" t="s">
        <v>8</v>
      </c>
      <c r="AG100" s="765" t="s">
        <v>2425</v>
      </c>
      <c r="AH100" s="109"/>
      <c r="AL100" s="2" t="s">
        <v>680</v>
      </c>
      <c r="AM100" s="2" t="s">
        <v>813</v>
      </c>
      <c r="AN100" s="2" t="s">
        <v>952</v>
      </c>
      <c r="AO100" s="2">
        <v>5.3215209999999999E-2</v>
      </c>
      <c r="AP100" s="2" t="s">
        <v>4675</v>
      </c>
      <c r="AQ100" s="2" t="s">
        <v>3946</v>
      </c>
      <c r="AR100" s="2" t="s">
        <v>4671</v>
      </c>
      <c r="AT100" s="765"/>
      <c r="AU100" s="765"/>
      <c r="AV100" s="765"/>
      <c r="AW100" s="765"/>
    </row>
    <row r="101" spans="1:49" x14ac:dyDescent="0.25">
      <c r="A101" s="23" t="s">
        <v>2507</v>
      </c>
      <c r="B101" s="108" t="s">
        <v>526</v>
      </c>
      <c r="C101" s="108" t="s">
        <v>2449</v>
      </c>
      <c r="D101" s="108" t="s">
        <v>3699</v>
      </c>
      <c r="E101" s="108" t="s">
        <v>2512</v>
      </c>
      <c r="F101" s="114" t="s">
        <v>698</v>
      </c>
      <c r="G101" s="213" t="s">
        <v>2513</v>
      </c>
      <c r="H101" s="115" t="s">
        <v>2584</v>
      </c>
      <c r="I101" s="213">
        <v>41679771.030000001</v>
      </c>
      <c r="J101" s="109">
        <v>0.53656999999999999</v>
      </c>
      <c r="K101" s="109" t="s">
        <v>695</v>
      </c>
      <c r="L101" s="115">
        <v>2.4232424999999998E-2</v>
      </c>
      <c r="M101" s="115">
        <v>0</v>
      </c>
      <c r="N101" s="115">
        <v>0</v>
      </c>
      <c r="O101" s="214">
        <v>1.9376000000000001E-2</v>
      </c>
      <c r="P101" s="115">
        <v>1.6220000000000001</v>
      </c>
      <c r="Q101" s="769"/>
      <c r="R101" s="216"/>
      <c r="S101" s="216">
        <v>1.6220000000000001</v>
      </c>
      <c r="T101" s="216">
        <v>12</v>
      </c>
      <c r="U101" s="216"/>
      <c r="V101" s="115"/>
      <c r="W101" s="109">
        <v>14</v>
      </c>
      <c r="X101" s="109"/>
      <c r="Y101" s="109" t="s">
        <v>2455</v>
      </c>
      <c r="Z101" s="109"/>
      <c r="AA101" s="109"/>
      <c r="AB101" s="109"/>
      <c r="AC101" s="109"/>
      <c r="AD101" s="765"/>
      <c r="AE101" s="765" t="s">
        <v>8</v>
      </c>
      <c r="AF101" s="765" t="s">
        <v>8</v>
      </c>
      <c r="AG101" s="765" t="s">
        <v>2425</v>
      </c>
      <c r="AH101" s="109"/>
      <c r="AL101" s="2" t="s">
        <v>680</v>
      </c>
      <c r="AM101" s="2" t="s">
        <v>813</v>
      </c>
      <c r="AN101" s="2" t="s">
        <v>952</v>
      </c>
      <c r="AO101" s="2">
        <v>2.4836057000000002E-2</v>
      </c>
      <c r="AP101" s="2" t="s">
        <v>4675</v>
      </c>
      <c r="AQ101" s="2" t="s">
        <v>4396</v>
      </c>
      <c r="AR101" s="2" t="s">
        <v>4671</v>
      </c>
      <c r="AT101" s="765"/>
      <c r="AU101" s="765"/>
      <c r="AV101" s="765"/>
      <c r="AW101" s="765"/>
    </row>
    <row r="102" spans="1:49" x14ac:dyDescent="0.25">
      <c r="A102" s="23" t="s">
        <v>2453</v>
      </c>
      <c r="B102" s="108" t="s">
        <v>526</v>
      </c>
      <c r="C102" s="108" t="s">
        <v>2449</v>
      </c>
      <c r="D102" s="108" t="s">
        <v>2798</v>
      </c>
      <c r="E102" s="108" t="s">
        <v>2454</v>
      </c>
      <c r="F102" s="114" t="s">
        <v>698</v>
      </c>
      <c r="G102" s="213" t="s">
        <v>2585</v>
      </c>
      <c r="H102" s="115" t="s">
        <v>2586</v>
      </c>
      <c r="I102" s="213">
        <v>33359014.079999998</v>
      </c>
      <c r="J102" s="109">
        <v>0.55657000000000001</v>
      </c>
      <c r="K102" s="109" t="s">
        <v>695</v>
      </c>
      <c r="L102" s="115">
        <v>3.7065571200000001E-2</v>
      </c>
      <c r="M102" s="115">
        <v>0</v>
      </c>
      <c r="N102" s="115">
        <v>0</v>
      </c>
      <c r="O102" s="214">
        <v>2.0098000000000001E-2</v>
      </c>
      <c r="P102" s="115">
        <v>1.679</v>
      </c>
      <c r="Q102" s="769"/>
      <c r="R102" s="216"/>
      <c r="S102" s="216">
        <v>1.679</v>
      </c>
      <c r="T102" s="216">
        <v>13</v>
      </c>
      <c r="U102" s="216"/>
      <c r="V102" s="115"/>
      <c r="W102" s="109">
        <v>16</v>
      </c>
      <c r="X102" s="109"/>
      <c r="Y102" s="109" t="s">
        <v>2455</v>
      </c>
      <c r="Z102" s="109"/>
      <c r="AA102" s="109"/>
      <c r="AB102" s="109"/>
      <c r="AC102" s="109"/>
      <c r="AD102" s="765"/>
      <c r="AE102" s="765" t="s">
        <v>8</v>
      </c>
      <c r="AF102" s="765" t="s">
        <v>8</v>
      </c>
      <c r="AG102" s="765" t="s">
        <v>1064</v>
      </c>
      <c r="AH102" s="109"/>
      <c r="AL102" s="2" t="s">
        <v>680</v>
      </c>
      <c r="AM102" s="2" t="s">
        <v>813</v>
      </c>
      <c r="AN102" s="2" t="s">
        <v>952</v>
      </c>
      <c r="AO102" s="2">
        <v>3.7664931999999998E-2</v>
      </c>
      <c r="AP102" s="2" t="s">
        <v>4675</v>
      </c>
      <c r="AQ102" s="2" t="s">
        <v>4396</v>
      </c>
      <c r="AR102" s="2" t="s">
        <v>4671</v>
      </c>
      <c r="AT102" s="765"/>
      <c r="AU102" s="765"/>
      <c r="AV102" s="765"/>
      <c r="AW102" s="765"/>
    </row>
    <row r="103" spans="1:49" x14ac:dyDescent="0.25">
      <c r="A103" s="23" t="s">
        <v>4435</v>
      </c>
      <c r="B103" s="108" t="s">
        <v>540</v>
      </c>
      <c r="C103" s="108" t="s">
        <v>4465</v>
      </c>
      <c r="D103" s="108" t="s">
        <v>541</v>
      </c>
      <c r="E103" s="108" t="s">
        <v>4465</v>
      </c>
      <c r="F103" s="114" t="s">
        <v>699</v>
      </c>
      <c r="G103" s="213" t="s">
        <v>4466</v>
      </c>
      <c r="H103" s="115" t="s">
        <v>4467</v>
      </c>
      <c r="I103" s="213">
        <v>85000000</v>
      </c>
      <c r="J103" s="109">
        <v>4.75</v>
      </c>
      <c r="K103" s="109" t="s">
        <v>696</v>
      </c>
      <c r="L103" s="115">
        <v>1</v>
      </c>
      <c r="M103" s="115">
        <v>101.65300000000001</v>
      </c>
      <c r="N103" s="115">
        <v>101.75</v>
      </c>
      <c r="O103" s="214">
        <v>1.161111</v>
      </c>
      <c r="P103" s="115"/>
      <c r="Q103" s="769">
        <v>2.1111916612818291</v>
      </c>
      <c r="R103" s="216">
        <v>2.096763458072525</v>
      </c>
      <c r="S103" s="216">
        <v>2.1111916612818291</v>
      </c>
      <c r="T103" s="216">
        <v>87</v>
      </c>
      <c r="U103" s="216">
        <v>4.0119344589222861</v>
      </c>
      <c r="V103" s="115"/>
      <c r="W103" s="109">
        <v>303</v>
      </c>
      <c r="X103" s="109">
        <v>151.25778226967191</v>
      </c>
      <c r="Y103" s="109"/>
      <c r="Z103" s="109"/>
      <c r="AA103" s="109"/>
      <c r="AB103" s="109"/>
      <c r="AC103" s="109"/>
      <c r="AD103" s="765"/>
      <c r="AE103" s="765" t="s">
        <v>10</v>
      </c>
      <c r="AF103" s="765" t="s">
        <v>20</v>
      </c>
      <c r="AG103" s="765"/>
      <c r="AH103" s="109"/>
      <c r="AI103" s="2" t="s">
        <v>19</v>
      </c>
      <c r="AK103" s="2" t="s">
        <v>522</v>
      </c>
      <c r="AL103" s="2" t="s">
        <v>680</v>
      </c>
      <c r="AM103" s="2" t="s">
        <v>812</v>
      </c>
      <c r="AN103" s="2" t="s">
        <v>952</v>
      </c>
      <c r="AT103" s="765"/>
      <c r="AU103" s="765"/>
      <c r="AV103" s="765"/>
      <c r="AW103" s="765"/>
    </row>
    <row r="104" spans="1:49" x14ac:dyDescent="0.25">
      <c r="A104" s="23" t="s">
        <v>2456</v>
      </c>
      <c r="B104" s="108" t="s">
        <v>540</v>
      </c>
      <c r="C104" s="108" t="s">
        <v>2457</v>
      </c>
      <c r="D104" s="108" t="s">
        <v>541</v>
      </c>
      <c r="E104" s="108" t="s">
        <v>2457</v>
      </c>
      <c r="F104" s="114" t="s">
        <v>699</v>
      </c>
      <c r="G104" s="213" t="s">
        <v>2458</v>
      </c>
      <c r="H104" s="115" t="s">
        <v>2075</v>
      </c>
      <c r="I104" s="213">
        <v>27400000</v>
      </c>
      <c r="J104" s="109">
        <v>5.25</v>
      </c>
      <c r="K104" s="109" t="s">
        <v>696</v>
      </c>
      <c r="L104" s="115">
        <v>1</v>
      </c>
      <c r="M104" s="115">
        <v>0</v>
      </c>
      <c r="N104" s="115">
        <v>0</v>
      </c>
      <c r="O104" s="214">
        <v>1.2833330000000001</v>
      </c>
      <c r="P104" s="115"/>
      <c r="Q104" s="769"/>
      <c r="R104" s="216"/>
      <c r="S104" s="216">
        <v>8.2602739726027394</v>
      </c>
      <c r="T104" s="216">
        <v>87</v>
      </c>
      <c r="U104" s="216"/>
      <c r="V104" s="115"/>
      <c r="W104" s="109">
        <v>513</v>
      </c>
      <c r="X104" s="109"/>
      <c r="Y104" s="109"/>
      <c r="Z104" s="109"/>
      <c r="AA104" s="109"/>
      <c r="AB104" s="109"/>
      <c r="AC104" s="109"/>
      <c r="AD104" s="765"/>
      <c r="AE104" s="765" t="s">
        <v>9</v>
      </c>
      <c r="AF104" s="765"/>
      <c r="AG104" s="765"/>
      <c r="AH104" s="109"/>
      <c r="AK104" s="2" t="s">
        <v>18</v>
      </c>
      <c r="AL104" s="2" t="s">
        <v>680</v>
      </c>
      <c r="AM104" s="2" t="s">
        <v>812</v>
      </c>
      <c r="AN104" s="2" t="s">
        <v>952</v>
      </c>
      <c r="AT104" s="765"/>
      <c r="AU104" s="765"/>
      <c r="AV104" s="765"/>
      <c r="AW104" s="765"/>
    </row>
    <row r="105" spans="1:49" x14ac:dyDescent="0.25">
      <c r="A105" s="23" t="s">
        <v>3150</v>
      </c>
      <c r="B105" s="108" t="s">
        <v>769</v>
      </c>
      <c r="C105" s="108" t="s">
        <v>3184</v>
      </c>
      <c r="D105" s="108" t="s">
        <v>3945</v>
      </c>
      <c r="E105" s="108" t="s">
        <v>3185</v>
      </c>
      <c r="F105" s="114" t="s">
        <v>698</v>
      </c>
      <c r="G105" s="213" t="s">
        <v>3186</v>
      </c>
      <c r="H105" s="115" t="s">
        <v>2904</v>
      </c>
      <c r="I105" s="213">
        <v>38540000</v>
      </c>
      <c r="J105" s="109">
        <v>5.01</v>
      </c>
      <c r="K105" s="109" t="s">
        <v>696</v>
      </c>
      <c r="L105" s="115">
        <v>1</v>
      </c>
      <c r="M105" s="115">
        <v>101.747421</v>
      </c>
      <c r="N105" s="115">
        <v>101.904247</v>
      </c>
      <c r="O105" s="214">
        <v>0.18091699999999999</v>
      </c>
      <c r="P105" s="115">
        <v>1.5009999999999999</v>
      </c>
      <c r="Q105" s="769">
        <v>1.6495889883399999</v>
      </c>
      <c r="R105" s="216"/>
      <c r="S105" s="216">
        <v>1.6495889883399999</v>
      </c>
      <c r="T105" s="216">
        <v>13</v>
      </c>
      <c r="U105" s="216">
        <v>3.84</v>
      </c>
      <c r="V105" s="115">
        <v>180.7308947766</v>
      </c>
      <c r="W105" s="109"/>
      <c r="X105" s="109">
        <v>157.65264166002001</v>
      </c>
      <c r="Y105" s="109" t="s">
        <v>663</v>
      </c>
      <c r="Z105" s="109">
        <v>26.602678943117638</v>
      </c>
      <c r="AA105" s="109">
        <v>29.582967609980411</v>
      </c>
      <c r="AB105" s="109"/>
      <c r="AC105" s="109"/>
      <c r="AD105" s="765"/>
      <c r="AE105" s="765" t="s">
        <v>8</v>
      </c>
      <c r="AF105" s="765"/>
      <c r="AG105" s="765" t="s">
        <v>1063</v>
      </c>
      <c r="AH105" s="109"/>
      <c r="AI105" s="2" t="s">
        <v>10</v>
      </c>
      <c r="AL105" s="2" t="s">
        <v>680</v>
      </c>
      <c r="AM105" s="2" t="s">
        <v>1664</v>
      </c>
      <c r="AN105" s="2" t="s">
        <v>952</v>
      </c>
      <c r="AO105" s="2">
        <v>1</v>
      </c>
      <c r="AP105" s="2" t="s">
        <v>4675</v>
      </c>
      <c r="AQ105" s="2" t="s">
        <v>4396</v>
      </c>
      <c r="AR105" s="2" t="s">
        <v>4671</v>
      </c>
      <c r="AT105" s="765"/>
      <c r="AU105" s="765"/>
      <c r="AV105" s="765"/>
      <c r="AW105" s="765"/>
    </row>
    <row r="106" spans="1:49" x14ac:dyDescent="0.25">
      <c r="A106" s="23" t="s">
        <v>3534</v>
      </c>
      <c r="B106" s="108" t="s">
        <v>529</v>
      </c>
      <c r="C106" s="108" t="s">
        <v>3187</v>
      </c>
      <c r="D106" s="108" t="s">
        <v>530</v>
      </c>
      <c r="E106" s="108" t="s">
        <v>3555</v>
      </c>
      <c r="F106" s="114" t="s">
        <v>698</v>
      </c>
      <c r="G106" s="213" t="s">
        <v>3556</v>
      </c>
      <c r="H106" s="115" t="s">
        <v>1848</v>
      </c>
      <c r="I106" s="213">
        <v>38500000</v>
      </c>
      <c r="J106" s="109">
        <v>7.0388599999999997</v>
      </c>
      <c r="K106" s="109" t="s">
        <v>695</v>
      </c>
      <c r="L106" s="115">
        <v>1</v>
      </c>
      <c r="M106" s="115">
        <v>0</v>
      </c>
      <c r="N106" s="115">
        <v>0</v>
      </c>
      <c r="O106" s="214">
        <v>1.2318</v>
      </c>
      <c r="P106" s="115">
        <v>6.0050999999999997</v>
      </c>
      <c r="Q106" s="769"/>
      <c r="R106" s="216"/>
      <c r="S106" s="216">
        <v>6.0050999999999997</v>
      </c>
      <c r="T106" s="216">
        <v>62</v>
      </c>
      <c r="U106" s="216"/>
      <c r="V106" s="115"/>
      <c r="W106" s="109">
        <v>678</v>
      </c>
      <c r="X106" s="109"/>
      <c r="Y106" s="109" t="s">
        <v>993</v>
      </c>
      <c r="Z106" s="109"/>
      <c r="AA106" s="109"/>
      <c r="AB106" s="109"/>
      <c r="AC106" s="109"/>
      <c r="AD106" s="765"/>
      <c r="AE106" s="765" t="s">
        <v>13</v>
      </c>
      <c r="AF106" s="765"/>
      <c r="AG106" s="765" t="s">
        <v>2796</v>
      </c>
      <c r="AH106" s="109" t="s">
        <v>522</v>
      </c>
      <c r="AL106" s="2" t="s">
        <v>680</v>
      </c>
      <c r="AM106" s="2" t="s">
        <v>711</v>
      </c>
      <c r="AN106" s="2" t="s">
        <v>952</v>
      </c>
      <c r="AO106" s="2">
        <v>1</v>
      </c>
      <c r="AP106" s="2" t="s">
        <v>4665</v>
      </c>
      <c r="AQ106" s="2" t="s">
        <v>3700</v>
      </c>
      <c r="AR106" s="2" t="s">
        <v>4666</v>
      </c>
      <c r="AT106" s="765"/>
      <c r="AU106" s="765"/>
      <c r="AV106" s="765"/>
      <c r="AW106" s="765"/>
    </row>
    <row r="107" spans="1:49" x14ac:dyDescent="0.25">
      <c r="A107" s="23" t="s">
        <v>3174</v>
      </c>
      <c r="B107" s="108" t="s">
        <v>529</v>
      </c>
      <c r="C107" s="108" t="s">
        <v>3187</v>
      </c>
      <c r="D107" s="108" t="s">
        <v>530</v>
      </c>
      <c r="E107" s="108" t="s">
        <v>3188</v>
      </c>
      <c r="F107" s="114" t="s">
        <v>698</v>
      </c>
      <c r="G107" s="213" t="s">
        <v>3189</v>
      </c>
      <c r="H107" s="115" t="s">
        <v>3190</v>
      </c>
      <c r="I107" s="213">
        <v>23250000</v>
      </c>
      <c r="J107" s="109">
        <v>3.7412899999999998</v>
      </c>
      <c r="K107" s="109" t="s">
        <v>695</v>
      </c>
      <c r="L107" s="115">
        <v>1</v>
      </c>
      <c r="M107" s="115">
        <v>0</v>
      </c>
      <c r="N107" s="115">
        <v>0</v>
      </c>
      <c r="O107" s="214">
        <v>0.71708099999999997</v>
      </c>
      <c r="P107" s="115">
        <v>1.9795</v>
      </c>
      <c r="Q107" s="769"/>
      <c r="R107" s="216"/>
      <c r="S107" s="216">
        <v>1.9795</v>
      </c>
      <c r="T107" s="216">
        <v>68</v>
      </c>
      <c r="U107" s="216"/>
      <c r="V107" s="115"/>
      <c r="W107" s="109">
        <v>350</v>
      </c>
      <c r="X107" s="109"/>
      <c r="Y107" s="109" t="s">
        <v>532</v>
      </c>
      <c r="Z107" s="109"/>
      <c r="AA107" s="109"/>
      <c r="AB107" s="109"/>
      <c r="AC107" s="109"/>
      <c r="AD107" s="765"/>
      <c r="AE107" s="765" t="s">
        <v>10</v>
      </c>
      <c r="AF107" s="765" t="s">
        <v>10</v>
      </c>
      <c r="AG107" s="765" t="s">
        <v>522</v>
      </c>
      <c r="AH107" s="109"/>
      <c r="AL107" s="2" t="s">
        <v>680</v>
      </c>
      <c r="AM107" s="2" t="s">
        <v>711</v>
      </c>
      <c r="AN107" s="2" t="s">
        <v>952</v>
      </c>
      <c r="AO107" s="2">
        <v>1</v>
      </c>
      <c r="AP107" s="2" t="s">
        <v>4667</v>
      </c>
      <c r="AQ107" s="2" t="s">
        <v>3194</v>
      </c>
      <c r="AR107" s="2" t="s">
        <v>4661</v>
      </c>
      <c r="AT107" s="765"/>
      <c r="AU107" s="765"/>
      <c r="AV107" s="765"/>
      <c r="AW107" s="765"/>
    </row>
    <row r="108" spans="1:49" x14ac:dyDescent="0.25">
      <c r="A108" s="23" t="s">
        <v>3173</v>
      </c>
      <c r="B108" s="108" t="s">
        <v>656</v>
      </c>
      <c r="C108" s="108" t="s">
        <v>3191</v>
      </c>
      <c r="D108" s="108" t="s">
        <v>539</v>
      </c>
      <c r="E108" s="108" t="s">
        <v>3191</v>
      </c>
      <c r="F108" s="114" t="s">
        <v>699</v>
      </c>
      <c r="G108" s="213" t="s">
        <v>3192</v>
      </c>
      <c r="H108" s="115" t="s">
        <v>3193</v>
      </c>
      <c r="I108" s="213">
        <v>600000000</v>
      </c>
      <c r="J108" s="109">
        <v>4.375</v>
      </c>
      <c r="K108" s="109" t="s">
        <v>696</v>
      </c>
      <c r="L108" s="115">
        <v>1</v>
      </c>
      <c r="M108" s="115">
        <v>81.453999999999994</v>
      </c>
      <c r="N108" s="115">
        <v>81.744500000000002</v>
      </c>
      <c r="O108" s="214">
        <v>0.80208299999999999</v>
      </c>
      <c r="P108" s="115"/>
      <c r="Q108" s="769">
        <v>7.2087218692351334</v>
      </c>
      <c r="R108" s="216">
        <v>7.2154472880695062</v>
      </c>
      <c r="S108" s="216">
        <v>7.2087218692351334</v>
      </c>
      <c r="T108" s="216">
        <v>65</v>
      </c>
      <c r="U108" s="216">
        <v>7.1337545979709809</v>
      </c>
      <c r="V108" s="115"/>
      <c r="W108" s="109"/>
      <c r="X108" s="109">
        <v>452.51668128534499</v>
      </c>
      <c r="Y108" s="109"/>
      <c r="Z108" s="109"/>
      <c r="AA108" s="109"/>
      <c r="AB108" s="109"/>
      <c r="AC108" s="109"/>
      <c r="AD108" s="765"/>
      <c r="AE108" s="765" t="s">
        <v>10</v>
      </c>
      <c r="AF108" s="765"/>
      <c r="AG108" s="765" t="s">
        <v>2682</v>
      </c>
      <c r="AH108" s="109" t="s">
        <v>20</v>
      </c>
      <c r="AL108" s="2" t="s">
        <v>680</v>
      </c>
      <c r="AM108" s="2" t="s">
        <v>811</v>
      </c>
      <c r="AN108" s="2" t="s">
        <v>952</v>
      </c>
      <c r="AT108" s="765"/>
      <c r="AU108" s="765"/>
      <c r="AV108" s="765"/>
      <c r="AW108" s="765"/>
    </row>
    <row r="109" spans="1:49" x14ac:dyDescent="0.25">
      <c r="A109" s="23" t="s">
        <v>2706</v>
      </c>
      <c r="B109" s="108" t="s">
        <v>2707</v>
      </c>
      <c r="C109" s="108" t="s">
        <v>2708</v>
      </c>
      <c r="D109" s="108" t="s">
        <v>2709</v>
      </c>
      <c r="E109" s="108" t="s">
        <v>2710</v>
      </c>
      <c r="F109" s="114" t="s">
        <v>698</v>
      </c>
      <c r="G109" s="213" t="s">
        <v>2711</v>
      </c>
      <c r="H109" s="115" t="s">
        <v>1123</v>
      </c>
      <c r="I109" s="213">
        <v>33774641.359999999</v>
      </c>
      <c r="J109" s="109">
        <v>1.2657099999999999</v>
      </c>
      <c r="K109" s="109" t="s">
        <v>695</v>
      </c>
      <c r="L109" s="115">
        <v>0.37527379290000001</v>
      </c>
      <c r="M109" s="115">
        <v>92.147102000000004</v>
      </c>
      <c r="N109" s="115">
        <v>92.424048999999997</v>
      </c>
      <c r="O109" s="214">
        <v>1.0548E-2</v>
      </c>
      <c r="P109" s="115">
        <v>10.2416</v>
      </c>
      <c r="Q109" s="769">
        <v>-0.25906435894000002</v>
      </c>
      <c r="R109" s="216"/>
      <c r="S109" s="216">
        <v>-0.25906435894000002</v>
      </c>
      <c r="T109" s="216">
        <v>3</v>
      </c>
      <c r="U109" s="216">
        <v>2.1680000000000001</v>
      </c>
      <c r="V109" s="115">
        <v>-33.142698428209997</v>
      </c>
      <c r="W109" s="109">
        <v>30</v>
      </c>
      <c r="X109" s="109">
        <v>115.57585236314</v>
      </c>
      <c r="Y109" s="109" t="s">
        <v>1861</v>
      </c>
      <c r="Z109" s="109"/>
      <c r="AA109" s="109"/>
      <c r="AB109" s="109"/>
      <c r="AC109" s="109"/>
      <c r="AD109" s="765"/>
      <c r="AE109" s="765" t="s">
        <v>8</v>
      </c>
      <c r="AF109" s="765" t="s">
        <v>8</v>
      </c>
      <c r="AG109" s="765" t="s">
        <v>2425</v>
      </c>
      <c r="AH109" s="109"/>
      <c r="AL109" s="2" t="s">
        <v>680</v>
      </c>
      <c r="AM109" s="2" t="s">
        <v>2898</v>
      </c>
      <c r="AN109" s="2" t="s">
        <v>952</v>
      </c>
      <c r="AO109" s="2">
        <v>0.39016182500000002</v>
      </c>
      <c r="AP109" s="2" t="s">
        <v>5108</v>
      </c>
      <c r="AQ109" s="2" t="s">
        <v>3701</v>
      </c>
      <c r="AR109" s="2" t="s">
        <v>5109</v>
      </c>
      <c r="AT109" s="765"/>
      <c r="AU109" s="765"/>
      <c r="AV109" s="765"/>
      <c r="AW109" s="765"/>
    </row>
    <row r="110" spans="1:49" x14ac:dyDescent="0.25">
      <c r="A110" s="23" t="s">
        <v>2459</v>
      </c>
      <c r="B110" s="108" t="s">
        <v>656</v>
      </c>
      <c r="C110" s="108" t="s">
        <v>2460</v>
      </c>
      <c r="D110" s="108" t="s">
        <v>539</v>
      </c>
      <c r="E110" s="108" t="s">
        <v>2460</v>
      </c>
      <c r="F110" s="114" t="s">
        <v>2461</v>
      </c>
      <c r="G110" s="213" t="s">
        <v>2462</v>
      </c>
      <c r="H110" s="115" t="s">
        <v>2463</v>
      </c>
      <c r="I110" s="213">
        <v>50000000</v>
      </c>
      <c r="J110" s="109">
        <v>6</v>
      </c>
      <c r="K110" s="109" t="s">
        <v>696</v>
      </c>
      <c r="L110" s="115">
        <v>1</v>
      </c>
      <c r="M110" s="115">
        <v>94.082999999999998</v>
      </c>
      <c r="N110" s="115">
        <v>94.582999999999998</v>
      </c>
      <c r="O110" s="214">
        <v>2.7166670000000002</v>
      </c>
      <c r="P110" s="115"/>
      <c r="Q110" s="769">
        <v>3.0312987548194439</v>
      </c>
      <c r="R110" s="216">
        <v>3.0246437767576322</v>
      </c>
      <c r="S110" s="216">
        <v>3.0312987548194439</v>
      </c>
      <c r="T110" s="216">
        <v>163</v>
      </c>
      <c r="U110" s="216">
        <v>7.9481348559993208</v>
      </c>
      <c r="V110" s="115"/>
      <c r="W110" s="109"/>
      <c r="X110" s="109">
        <v>502.22761422809708</v>
      </c>
      <c r="Y110" s="109"/>
      <c r="Z110" s="109"/>
      <c r="AA110" s="109"/>
      <c r="AB110" s="109"/>
      <c r="AC110" s="109"/>
      <c r="AD110" s="765"/>
      <c r="AE110" s="765" t="s">
        <v>9</v>
      </c>
      <c r="AF110" s="765"/>
      <c r="AG110" s="765"/>
      <c r="AH110" s="109"/>
      <c r="AK110" s="2" t="s">
        <v>9</v>
      </c>
      <c r="AL110" s="2" t="s">
        <v>680</v>
      </c>
      <c r="AM110" s="2" t="s">
        <v>812</v>
      </c>
      <c r="AN110" s="2" t="s">
        <v>952</v>
      </c>
      <c r="AT110" s="765"/>
      <c r="AU110" s="765"/>
      <c r="AV110" s="765"/>
      <c r="AW110" s="765"/>
    </row>
    <row r="111" spans="1:49" x14ac:dyDescent="0.25">
      <c r="A111" s="23" t="s">
        <v>4542</v>
      </c>
      <c r="B111" s="108" t="s">
        <v>526</v>
      </c>
      <c r="C111" s="108" t="s">
        <v>4543</v>
      </c>
      <c r="D111" s="108" t="s">
        <v>2098</v>
      </c>
      <c r="E111" s="108" t="s">
        <v>4544</v>
      </c>
      <c r="F111" s="114" t="s">
        <v>698</v>
      </c>
      <c r="G111" s="213" t="s">
        <v>4487</v>
      </c>
      <c r="H111" s="115" t="s">
        <v>4545</v>
      </c>
      <c r="I111" s="213">
        <v>64500000</v>
      </c>
      <c r="J111" s="109">
        <v>5.99</v>
      </c>
      <c r="K111" s="109" t="s">
        <v>696</v>
      </c>
      <c r="L111" s="115">
        <v>1</v>
      </c>
      <c r="M111" s="115">
        <v>0</v>
      </c>
      <c r="N111" s="115">
        <v>0</v>
      </c>
      <c r="O111" s="214">
        <v>4.9917000000000003E-2</v>
      </c>
      <c r="P111" s="115">
        <v>4.7361000000000004</v>
      </c>
      <c r="Q111" s="769"/>
      <c r="R111" s="216"/>
      <c r="S111" s="216">
        <v>4.7361000000000004</v>
      </c>
      <c r="T111" s="216">
        <v>3</v>
      </c>
      <c r="U111" s="216"/>
      <c r="V111" s="115"/>
      <c r="W111" s="109"/>
      <c r="X111" s="109"/>
      <c r="Y111" s="109"/>
      <c r="Z111" s="109"/>
      <c r="AA111" s="109"/>
      <c r="AB111" s="109"/>
      <c r="AC111" s="109"/>
      <c r="AD111" s="765"/>
      <c r="AE111" s="765" t="s">
        <v>13</v>
      </c>
      <c r="AF111" s="765"/>
      <c r="AG111" s="765"/>
      <c r="AH111" s="109"/>
      <c r="AI111" s="2" t="s">
        <v>5</v>
      </c>
      <c r="AL111" s="2" t="s">
        <v>680</v>
      </c>
      <c r="AM111" s="2" t="s">
        <v>710</v>
      </c>
      <c r="AN111" s="2" t="s">
        <v>952</v>
      </c>
      <c r="AO111" s="2">
        <v>1</v>
      </c>
      <c r="AP111" s="2" t="s">
        <v>4791</v>
      </c>
      <c r="AQ111" s="2" t="s">
        <v>4469</v>
      </c>
      <c r="AR111" s="2" t="s">
        <v>4638</v>
      </c>
      <c r="AT111" s="765"/>
      <c r="AU111" s="765"/>
      <c r="AV111" s="765"/>
      <c r="AW111" s="765"/>
    </row>
    <row r="112" spans="1:49" x14ac:dyDescent="0.25">
      <c r="A112" s="23" t="s">
        <v>3299</v>
      </c>
      <c r="B112" s="108" t="s">
        <v>527</v>
      </c>
      <c r="C112" s="108" t="s">
        <v>3319</v>
      </c>
      <c r="D112" s="108" t="s">
        <v>2676</v>
      </c>
      <c r="E112" s="108" t="s">
        <v>3320</v>
      </c>
      <c r="F112" s="114" t="s">
        <v>694</v>
      </c>
      <c r="G112" s="213" t="s">
        <v>1818</v>
      </c>
      <c r="H112" s="115" t="s">
        <v>3321</v>
      </c>
      <c r="I112" s="213">
        <v>11844000</v>
      </c>
      <c r="J112" s="109">
        <v>4.4969279999999996</v>
      </c>
      <c r="K112" s="109" t="s">
        <v>696</v>
      </c>
      <c r="L112" s="115">
        <v>1</v>
      </c>
      <c r="M112" s="115">
        <v>0</v>
      </c>
      <c r="N112" s="115">
        <v>0</v>
      </c>
      <c r="O112" s="214">
        <v>0.33727000000000001</v>
      </c>
      <c r="P112" s="115">
        <v>2.4028</v>
      </c>
      <c r="Q112" s="769"/>
      <c r="R112" s="216"/>
      <c r="S112" s="216">
        <v>2.4028</v>
      </c>
      <c r="T112" s="216">
        <v>26</v>
      </c>
      <c r="U112" s="216"/>
      <c r="V112" s="115"/>
      <c r="W112" s="109"/>
      <c r="X112" s="109"/>
      <c r="Y112" s="109" t="s">
        <v>1874</v>
      </c>
      <c r="Z112" s="109">
        <v>0.23585457612788069</v>
      </c>
      <c r="AA112" s="109">
        <v>8.9103737755756978</v>
      </c>
      <c r="AB112" s="109"/>
      <c r="AC112" s="109"/>
      <c r="AD112" s="765"/>
      <c r="AE112" s="765" t="s">
        <v>10</v>
      </c>
      <c r="AF112" s="765"/>
      <c r="AG112" s="765" t="s">
        <v>1901</v>
      </c>
      <c r="AH112" s="109"/>
      <c r="AL112" s="2" t="s">
        <v>680</v>
      </c>
      <c r="AM112" s="2" t="s">
        <v>1885</v>
      </c>
      <c r="AN112" s="2" t="s">
        <v>952</v>
      </c>
      <c r="AO112" s="2">
        <v>1</v>
      </c>
      <c r="AP112" s="2" t="s">
        <v>4673</v>
      </c>
      <c r="AQ112" s="2" t="s">
        <v>4668</v>
      </c>
      <c r="AR112" s="2" t="s">
        <v>3969</v>
      </c>
      <c r="AT112" s="765"/>
      <c r="AU112" s="765"/>
      <c r="AV112" s="765"/>
      <c r="AW112" s="765"/>
    </row>
    <row r="113" spans="1:49" x14ac:dyDescent="0.25">
      <c r="A113" s="23" t="s">
        <v>2018</v>
      </c>
      <c r="B113" s="108" t="s">
        <v>528</v>
      </c>
      <c r="C113" s="108" t="s">
        <v>2019</v>
      </c>
      <c r="D113" s="108" t="s">
        <v>4669</v>
      </c>
      <c r="E113" s="108" t="s">
        <v>2020</v>
      </c>
      <c r="F113" s="114" t="s">
        <v>694</v>
      </c>
      <c r="G113" s="213" t="s">
        <v>2017</v>
      </c>
      <c r="H113" s="115" t="s">
        <v>2021</v>
      </c>
      <c r="I113" s="213">
        <v>14163000</v>
      </c>
      <c r="J113" s="109">
        <v>5.25</v>
      </c>
      <c r="K113" s="109" t="s">
        <v>696</v>
      </c>
      <c r="L113" s="115">
        <v>1</v>
      </c>
      <c r="M113" s="115">
        <v>100.12333700000001</v>
      </c>
      <c r="N113" s="115">
        <v>100.133301</v>
      </c>
      <c r="O113" s="214">
        <v>0.39374999999999999</v>
      </c>
      <c r="P113" s="115">
        <v>0.2361</v>
      </c>
      <c r="Q113" s="769">
        <v>3.6333192673500001</v>
      </c>
      <c r="R113" s="216"/>
      <c r="S113" s="216">
        <v>3.6333192673500001</v>
      </c>
      <c r="T113" s="216">
        <v>26</v>
      </c>
      <c r="U113" s="216">
        <v>4.9729999999999999</v>
      </c>
      <c r="V113" s="115">
        <v>290.05207066982001</v>
      </c>
      <c r="W113" s="109"/>
      <c r="X113" s="109">
        <v>225.35697452591</v>
      </c>
      <c r="Y113" s="109" t="s">
        <v>1728</v>
      </c>
      <c r="Z113" s="109">
        <v>56.545341742988683</v>
      </c>
      <c r="AA113" s="109">
        <v>53.872317453703857</v>
      </c>
      <c r="AB113" s="109" t="s">
        <v>3511</v>
      </c>
      <c r="AC113" s="109" t="s">
        <v>2387</v>
      </c>
      <c r="AD113" s="765" t="s">
        <v>2598</v>
      </c>
      <c r="AE113" s="765" t="s">
        <v>9</v>
      </c>
      <c r="AF113" s="765"/>
      <c r="AG113" s="765"/>
      <c r="AH113" s="109" t="s">
        <v>9</v>
      </c>
      <c r="AL113" s="2" t="s">
        <v>680</v>
      </c>
      <c r="AM113" s="2" t="s">
        <v>1668</v>
      </c>
      <c r="AN113" s="2" t="s">
        <v>952</v>
      </c>
      <c r="AO113" s="2">
        <v>1</v>
      </c>
      <c r="AP113" s="2" t="s">
        <v>4673</v>
      </c>
      <c r="AQ113" s="2" t="s">
        <v>4469</v>
      </c>
      <c r="AR113" s="2" t="s">
        <v>4638</v>
      </c>
      <c r="AT113" s="765"/>
      <c r="AU113" s="765"/>
      <c r="AV113" s="765"/>
      <c r="AW113" s="765"/>
    </row>
    <row r="114" spans="1:49" x14ac:dyDescent="0.25">
      <c r="A114" s="23" t="s">
        <v>655</v>
      </c>
      <c r="B114" s="108" t="s">
        <v>540</v>
      </c>
      <c r="C114" s="108" t="s">
        <v>1158</v>
      </c>
      <c r="D114" s="108" t="s">
        <v>541</v>
      </c>
      <c r="E114" s="108" t="s">
        <v>1158</v>
      </c>
      <c r="F114" s="114" t="s">
        <v>699</v>
      </c>
      <c r="G114" s="213" t="s">
        <v>1159</v>
      </c>
      <c r="H114" s="115" t="s">
        <v>1160</v>
      </c>
      <c r="I114" s="213">
        <v>75000000</v>
      </c>
      <c r="J114" s="109">
        <v>5.2</v>
      </c>
      <c r="K114" s="109" t="s">
        <v>696</v>
      </c>
      <c r="L114" s="115">
        <v>1</v>
      </c>
      <c r="M114" s="115">
        <v>98.331000000000003</v>
      </c>
      <c r="N114" s="115">
        <v>99.4435</v>
      </c>
      <c r="O114" s="214">
        <v>0.82333299999999998</v>
      </c>
      <c r="P114" s="115"/>
      <c r="Q114" s="769">
        <v>0.76200335685505138</v>
      </c>
      <c r="R114" s="216">
        <v>0.79987709252308592</v>
      </c>
      <c r="S114" s="216">
        <v>0.76200335685505138</v>
      </c>
      <c r="T114" s="216">
        <v>56</v>
      </c>
      <c r="U114" s="216">
        <v>4.3857354608477728</v>
      </c>
      <c r="V114" s="115"/>
      <c r="W114" s="109">
        <v>284</v>
      </c>
      <c r="X114" s="109">
        <v>292.4638719557862</v>
      </c>
      <c r="Y114" s="109"/>
      <c r="Z114" s="109"/>
      <c r="AA114" s="109"/>
      <c r="AB114" s="109"/>
      <c r="AC114" s="109"/>
      <c r="AD114" s="765"/>
      <c r="AE114" s="765" t="s">
        <v>10</v>
      </c>
      <c r="AF114" s="765"/>
      <c r="AG114" s="765"/>
      <c r="AH114" s="109"/>
      <c r="AI114" s="2" t="s">
        <v>20</v>
      </c>
      <c r="AL114" s="2" t="s">
        <v>680</v>
      </c>
      <c r="AM114" s="2" t="s">
        <v>812</v>
      </c>
      <c r="AN114" s="2" t="s">
        <v>952</v>
      </c>
      <c r="AT114" s="765"/>
      <c r="AU114" s="765"/>
      <c r="AV114" s="765"/>
      <c r="AW114" s="765"/>
    </row>
    <row r="115" spans="1:49" x14ac:dyDescent="0.25">
      <c r="A115" s="23" t="s">
        <v>4434</v>
      </c>
      <c r="B115" s="108" t="s">
        <v>540</v>
      </c>
      <c r="C115" s="108" t="s">
        <v>1158</v>
      </c>
      <c r="D115" s="108" t="s">
        <v>541</v>
      </c>
      <c r="E115" s="108" t="s">
        <v>1158</v>
      </c>
      <c r="F115" s="114" t="s">
        <v>699</v>
      </c>
      <c r="G115" s="213" t="s">
        <v>4470</v>
      </c>
      <c r="H115" s="115" t="s">
        <v>2431</v>
      </c>
      <c r="I115" s="213">
        <v>75000000</v>
      </c>
      <c r="J115" s="109">
        <v>5.75</v>
      </c>
      <c r="K115" s="109" t="s">
        <v>696</v>
      </c>
      <c r="L115" s="115">
        <v>1</v>
      </c>
      <c r="M115" s="115">
        <v>102.836</v>
      </c>
      <c r="N115" s="115">
        <v>104.288</v>
      </c>
      <c r="O115" s="214">
        <v>1.6451389999999999</v>
      </c>
      <c r="P115" s="115"/>
      <c r="Q115" s="769">
        <v>2.8822523207118089</v>
      </c>
      <c r="R115" s="216">
        <v>2.8738503600776908</v>
      </c>
      <c r="S115" s="216">
        <v>2.8822523207118089</v>
      </c>
      <c r="T115" s="216">
        <v>103</v>
      </c>
      <c r="U115" s="216">
        <v>5.4076582906325266</v>
      </c>
      <c r="V115" s="115"/>
      <c r="W115" s="109">
        <v>560.5</v>
      </c>
      <c r="X115" s="109">
        <v>138.70739653480629</v>
      </c>
      <c r="Y115" s="109"/>
      <c r="Z115" s="109"/>
      <c r="AA115" s="109"/>
      <c r="AB115" s="109"/>
      <c r="AC115" s="109"/>
      <c r="AD115" s="765"/>
      <c r="AE115" s="765" t="s">
        <v>10</v>
      </c>
      <c r="AF115" s="765"/>
      <c r="AG115" s="765"/>
      <c r="AH115" s="109"/>
      <c r="AI115" s="2" t="s">
        <v>20</v>
      </c>
      <c r="AL115" s="2" t="s">
        <v>680</v>
      </c>
      <c r="AM115" s="2" t="s">
        <v>812</v>
      </c>
      <c r="AN115" s="2" t="s">
        <v>952</v>
      </c>
      <c r="AT115" s="765"/>
      <c r="AU115" s="765"/>
      <c r="AV115" s="765"/>
      <c r="AW115" s="765"/>
    </row>
    <row r="116" spans="1:49" x14ac:dyDescent="0.25">
      <c r="A116" s="23" t="s">
        <v>2890</v>
      </c>
      <c r="B116" s="108" t="s">
        <v>526</v>
      </c>
      <c r="C116" s="108" t="s">
        <v>2901</v>
      </c>
      <c r="D116" s="108" t="s">
        <v>2899</v>
      </c>
      <c r="E116" s="108" t="s">
        <v>2902</v>
      </c>
      <c r="F116" s="114" t="s">
        <v>698</v>
      </c>
      <c r="G116" s="213" t="s">
        <v>2903</v>
      </c>
      <c r="H116" s="115" t="s">
        <v>2904</v>
      </c>
      <c r="I116" s="213">
        <v>20920614.030000001</v>
      </c>
      <c r="J116" s="109">
        <v>5.26</v>
      </c>
      <c r="K116" s="109" t="s">
        <v>696</v>
      </c>
      <c r="L116" s="115">
        <v>0.4787325865</v>
      </c>
      <c r="M116" s="115">
        <v>0</v>
      </c>
      <c r="N116" s="115">
        <v>0</v>
      </c>
      <c r="O116" s="214">
        <v>0.189944</v>
      </c>
      <c r="P116" s="115">
        <v>0.55900000000000005</v>
      </c>
      <c r="Q116" s="769"/>
      <c r="R116" s="216"/>
      <c r="S116" s="216">
        <v>0.55900000000000005</v>
      </c>
      <c r="T116" s="216">
        <v>12</v>
      </c>
      <c r="U116" s="216"/>
      <c r="V116" s="115"/>
      <c r="W116" s="109"/>
      <c r="X116" s="109"/>
      <c r="Y116" s="109" t="s">
        <v>663</v>
      </c>
      <c r="Z116" s="109"/>
      <c r="AA116" s="109"/>
      <c r="AB116" s="109"/>
      <c r="AC116" s="109"/>
      <c r="AD116" s="765"/>
      <c r="AE116" s="765" t="s">
        <v>10</v>
      </c>
      <c r="AF116" s="765"/>
      <c r="AG116" s="765"/>
      <c r="AH116" s="109"/>
      <c r="AI116" s="2" t="s">
        <v>10</v>
      </c>
      <c r="AL116" s="2" t="s">
        <v>680</v>
      </c>
      <c r="AM116" s="2" t="s">
        <v>710</v>
      </c>
      <c r="AN116" s="2" t="s">
        <v>952</v>
      </c>
      <c r="AO116" s="2">
        <v>0.53800005699999998</v>
      </c>
      <c r="AP116" s="2" t="s">
        <v>4675</v>
      </c>
      <c r="AQ116" s="2" t="s">
        <v>4396</v>
      </c>
      <c r="AR116" s="2" t="s">
        <v>4671</v>
      </c>
      <c r="AT116" s="765"/>
      <c r="AU116" s="765"/>
      <c r="AV116" s="765"/>
      <c r="AW116" s="765"/>
    </row>
    <row r="117" spans="1:49" x14ac:dyDescent="0.25">
      <c r="A117" s="23" t="s">
        <v>1645</v>
      </c>
      <c r="B117" s="108" t="s">
        <v>656</v>
      </c>
      <c r="C117" s="108" t="s">
        <v>1646</v>
      </c>
      <c r="D117" s="108" t="s">
        <v>539</v>
      </c>
      <c r="E117" s="108" t="s">
        <v>1646</v>
      </c>
      <c r="F117" s="114" t="s">
        <v>699</v>
      </c>
      <c r="G117" s="213" t="s">
        <v>1651</v>
      </c>
      <c r="H117" s="115" t="s">
        <v>1652</v>
      </c>
      <c r="I117" s="213">
        <v>78000000</v>
      </c>
      <c r="J117" s="109">
        <v>7.25</v>
      </c>
      <c r="K117" s="109" t="s">
        <v>696</v>
      </c>
      <c r="L117" s="115">
        <v>1</v>
      </c>
      <c r="M117" s="115">
        <v>103.127</v>
      </c>
      <c r="N117" s="115">
        <v>103.627</v>
      </c>
      <c r="O117" s="214">
        <v>2.8597220000000001</v>
      </c>
      <c r="P117" s="115"/>
      <c r="Q117" s="769">
        <v>1.8927331151153131</v>
      </c>
      <c r="R117" s="216">
        <v>1.8843080573520581</v>
      </c>
      <c r="S117" s="216">
        <v>1.8927331151153131</v>
      </c>
      <c r="T117" s="216">
        <v>141</v>
      </c>
      <c r="U117" s="216">
        <v>5.6458968375060454</v>
      </c>
      <c r="V117" s="115"/>
      <c r="W117" s="109"/>
      <c r="X117" s="109">
        <v>275.24421065857098</v>
      </c>
      <c r="Y117" s="109"/>
      <c r="Z117" s="109"/>
      <c r="AA117" s="109"/>
      <c r="AB117" s="109"/>
      <c r="AC117" s="109"/>
      <c r="AD117" s="765"/>
      <c r="AE117" s="765" t="s">
        <v>10</v>
      </c>
      <c r="AF117" s="765"/>
      <c r="AG117" s="765"/>
      <c r="AH117" s="109"/>
      <c r="AI117" s="2" t="s">
        <v>20</v>
      </c>
      <c r="AK117" s="2" t="s">
        <v>522</v>
      </c>
      <c r="AL117" s="2" t="s">
        <v>680</v>
      </c>
      <c r="AM117" s="2" t="s">
        <v>811</v>
      </c>
      <c r="AN117" s="2" t="s">
        <v>952</v>
      </c>
      <c r="AT117" s="765"/>
      <c r="AU117" s="765"/>
      <c r="AV117" s="765"/>
      <c r="AW117" s="765"/>
    </row>
    <row r="118" spans="1:49" x14ac:dyDescent="0.25">
      <c r="A118" s="23" t="s">
        <v>5057</v>
      </c>
      <c r="B118" s="108" t="s">
        <v>529</v>
      </c>
      <c r="C118" s="108" t="s">
        <v>5110</v>
      </c>
      <c r="D118" s="108" t="s">
        <v>530</v>
      </c>
      <c r="E118" s="108" t="s">
        <v>5111</v>
      </c>
      <c r="F118" s="114" t="s">
        <v>698</v>
      </c>
      <c r="G118" s="213" t="s">
        <v>5112</v>
      </c>
      <c r="H118" s="115" t="s">
        <v>5113</v>
      </c>
      <c r="I118" s="213">
        <v>22000000</v>
      </c>
      <c r="J118" s="109">
        <v>3.984</v>
      </c>
      <c r="K118" s="109" t="s">
        <v>695</v>
      </c>
      <c r="L118" s="115">
        <v>1</v>
      </c>
      <c r="M118" s="115">
        <v>0</v>
      </c>
      <c r="N118" s="115">
        <v>0</v>
      </c>
      <c r="O118" s="214">
        <v>0.74146699999999999</v>
      </c>
      <c r="P118" s="115">
        <v>5.6626000000000003</v>
      </c>
      <c r="Q118" s="769"/>
      <c r="R118" s="216"/>
      <c r="S118" s="216">
        <v>5.6626000000000003</v>
      </c>
      <c r="T118" s="216">
        <v>67</v>
      </c>
      <c r="U118" s="216"/>
      <c r="V118" s="115"/>
      <c r="W118" s="109">
        <v>373</v>
      </c>
      <c r="X118" s="109"/>
      <c r="Y118" s="109" t="s">
        <v>532</v>
      </c>
      <c r="Z118" s="109"/>
      <c r="AA118" s="109"/>
      <c r="AB118" s="109"/>
      <c r="AC118" s="109"/>
      <c r="AD118" s="765"/>
      <c r="AE118" s="765" t="s">
        <v>13</v>
      </c>
      <c r="AF118" s="765"/>
      <c r="AG118" s="765" t="s">
        <v>2682</v>
      </c>
      <c r="AH118" s="109" t="s">
        <v>522</v>
      </c>
      <c r="AL118" s="2" t="s">
        <v>680</v>
      </c>
      <c r="AM118" s="2" t="s">
        <v>711</v>
      </c>
      <c r="AN118" s="2" t="s">
        <v>952</v>
      </c>
      <c r="AO118" s="2">
        <v>1</v>
      </c>
      <c r="AP118" s="2" t="s">
        <v>4791</v>
      </c>
      <c r="AQ118" s="2" t="s">
        <v>3404</v>
      </c>
      <c r="AR118" s="2" t="s">
        <v>3969</v>
      </c>
      <c r="AT118" s="765"/>
      <c r="AU118" s="765"/>
      <c r="AV118" s="765"/>
      <c r="AW118" s="765"/>
    </row>
    <row r="119" spans="1:49" x14ac:dyDescent="0.25">
      <c r="A119" s="23" t="s">
        <v>2464</v>
      </c>
      <c r="B119" s="108" t="s">
        <v>656</v>
      </c>
      <c r="C119" s="108" t="s">
        <v>2465</v>
      </c>
      <c r="D119" s="108" t="s">
        <v>541</v>
      </c>
      <c r="E119" s="108" t="s">
        <v>2465</v>
      </c>
      <c r="F119" s="114" t="s">
        <v>699</v>
      </c>
      <c r="G119" s="213" t="s">
        <v>2466</v>
      </c>
      <c r="H119" s="115" t="s">
        <v>2467</v>
      </c>
      <c r="I119" s="213">
        <v>110000000</v>
      </c>
      <c r="J119" s="109">
        <v>6.125</v>
      </c>
      <c r="K119" s="109" t="s">
        <v>696</v>
      </c>
      <c r="L119" s="115">
        <v>1</v>
      </c>
      <c r="M119" s="115">
        <v>109.245</v>
      </c>
      <c r="N119" s="115">
        <v>109.666</v>
      </c>
      <c r="O119" s="214">
        <v>1.5652779999999999</v>
      </c>
      <c r="P119" s="115"/>
      <c r="Q119" s="769">
        <v>2.0978671253147159</v>
      </c>
      <c r="R119" s="216">
        <v>2.085202717962559</v>
      </c>
      <c r="S119" s="216">
        <v>2.0978671253147159</v>
      </c>
      <c r="T119" s="216">
        <v>91</v>
      </c>
      <c r="U119" s="216">
        <v>3.550695333000617</v>
      </c>
      <c r="V119" s="115"/>
      <c r="W119" s="109">
        <v>344.3</v>
      </c>
      <c r="X119" s="109">
        <v>-83.775979977488987</v>
      </c>
      <c r="Y119" s="109"/>
      <c r="Z119" s="109"/>
      <c r="AA119" s="109"/>
      <c r="AB119" s="109"/>
      <c r="AC119" s="109"/>
      <c r="AD119" s="765"/>
      <c r="AE119" s="765" t="s">
        <v>10</v>
      </c>
      <c r="AF119" s="765"/>
      <c r="AG119" s="765"/>
      <c r="AH119" s="109"/>
      <c r="AI119" s="2" t="s">
        <v>10</v>
      </c>
      <c r="AL119" s="2" t="s">
        <v>680</v>
      </c>
      <c r="AM119" s="2" t="s">
        <v>812</v>
      </c>
      <c r="AN119" s="2" t="s">
        <v>952</v>
      </c>
      <c r="AT119" s="765"/>
      <c r="AU119" s="765"/>
      <c r="AV119" s="765"/>
      <c r="AW119" s="765"/>
    </row>
    <row r="120" spans="1:49" x14ac:dyDescent="0.25">
      <c r="A120" s="23" t="s">
        <v>3452</v>
      </c>
      <c r="B120" s="108" t="s">
        <v>529</v>
      </c>
      <c r="C120" s="108" t="s">
        <v>3468</v>
      </c>
      <c r="D120" s="108" t="s">
        <v>530</v>
      </c>
      <c r="E120" s="108" t="s">
        <v>3469</v>
      </c>
      <c r="F120" s="114" t="s">
        <v>698</v>
      </c>
      <c r="G120" s="213" t="s">
        <v>3470</v>
      </c>
      <c r="H120" s="115" t="s">
        <v>3471</v>
      </c>
      <c r="I120" s="213">
        <v>0</v>
      </c>
      <c r="J120" s="109">
        <v>3.8761299999999999</v>
      </c>
      <c r="K120" s="109" t="s">
        <v>695</v>
      </c>
      <c r="L120" s="115">
        <v>0</v>
      </c>
      <c r="M120" s="115">
        <v>0</v>
      </c>
      <c r="N120" s="115">
        <v>0</v>
      </c>
      <c r="O120" s="214">
        <v>0</v>
      </c>
      <c r="P120" s="115"/>
      <c r="Q120" s="769"/>
      <c r="R120" s="216"/>
      <c r="S120" s="216">
        <v>4.8027397260273972</v>
      </c>
      <c r="T120" s="216">
        <v>71</v>
      </c>
      <c r="U120" s="216"/>
      <c r="V120" s="115"/>
      <c r="W120" s="109">
        <v>375</v>
      </c>
      <c r="X120" s="109"/>
      <c r="Y120" s="109" t="s">
        <v>992</v>
      </c>
      <c r="Z120" s="109"/>
      <c r="AA120" s="109"/>
      <c r="AB120" s="109"/>
      <c r="AC120" s="109"/>
      <c r="AD120" s="765"/>
      <c r="AE120" s="765" t="s">
        <v>522</v>
      </c>
      <c r="AF120" s="765"/>
      <c r="AG120" s="765" t="s">
        <v>1066</v>
      </c>
      <c r="AH120" s="109" t="s">
        <v>522</v>
      </c>
      <c r="AL120" s="2" t="s">
        <v>680</v>
      </c>
      <c r="AM120" s="2" t="s">
        <v>711</v>
      </c>
      <c r="AN120" s="2" t="s">
        <v>952</v>
      </c>
      <c r="AO120" s="2">
        <v>1</v>
      </c>
      <c r="AP120" s="2" t="s">
        <v>4670</v>
      </c>
      <c r="AQ120" s="2" t="s">
        <v>3181</v>
      </c>
      <c r="AR120" s="2" t="s">
        <v>4671</v>
      </c>
      <c r="AT120" s="765"/>
      <c r="AU120" s="765"/>
      <c r="AV120" s="765"/>
      <c r="AW120" s="765"/>
    </row>
    <row r="121" spans="1:49" x14ac:dyDescent="0.25">
      <c r="A121" s="23" t="s">
        <v>2506</v>
      </c>
      <c r="B121" s="108" t="s">
        <v>526</v>
      </c>
      <c r="C121" s="108" t="s">
        <v>2449</v>
      </c>
      <c r="D121" s="108" t="s">
        <v>3699</v>
      </c>
      <c r="E121" s="108" t="s">
        <v>2514</v>
      </c>
      <c r="F121" s="114" t="s">
        <v>698</v>
      </c>
      <c r="G121" s="213" t="s">
        <v>2587</v>
      </c>
      <c r="H121" s="115" t="s">
        <v>2588</v>
      </c>
      <c r="I121" s="213">
        <v>32209369.420000002</v>
      </c>
      <c r="J121" s="109">
        <v>0.53656999999999999</v>
      </c>
      <c r="K121" s="109" t="s">
        <v>695</v>
      </c>
      <c r="L121" s="115">
        <v>2.30396062E-2</v>
      </c>
      <c r="M121" s="115">
        <v>0</v>
      </c>
      <c r="N121" s="115">
        <v>0</v>
      </c>
      <c r="O121" s="214">
        <v>1.9376000000000001E-2</v>
      </c>
      <c r="P121" s="115">
        <v>1.5863</v>
      </c>
      <c r="Q121" s="769"/>
      <c r="R121" s="216"/>
      <c r="S121" s="216">
        <v>1.5863</v>
      </c>
      <c r="T121" s="216">
        <v>12</v>
      </c>
      <c r="U121" s="216"/>
      <c r="V121" s="115"/>
      <c r="W121" s="109">
        <v>14</v>
      </c>
      <c r="X121" s="109"/>
      <c r="Y121" s="109" t="s">
        <v>2455</v>
      </c>
      <c r="Z121" s="109"/>
      <c r="AA121" s="109"/>
      <c r="AB121" s="109"/>
      <c r="AC121" s="109"/>
      <c r="AD121" s="765"/>
      <c r="AE121" s="765" t="s">
        <v>8</v>
      </c>
      <c r="AF121" s="765" t="s">
        <v>8</v>
      </c>
      <c r="AG121" s="765" t="s">
        <v>2425</v>
      </c>
      <c r="AH121" s="109"/>
      <c r="AL121" s="2" t="s">
        <v>680</v>
      </c>
      <c r="AM121" s="2" t="s">
        <v>813</v>
      </c>
      <c r="AN121" s="2" t="s">
        <v>952</v>
      </c>
      <c r="AO121" s="2">
        <v>2.3451122000000001E-2</v>
      </c>
      <c r="AP121" s="2" t="s">
        <v>4675</v>
      </c>
      <c r="AQ121" s="2" t="s">
        <v>4396</v>
      </c>
      <c r="AR121" s="2" t="s">
        <v>4671</v>
      </c>
      <c r="AT121" s="765"/>
      <c r="AU121" s="765"/>
      <c r="AV121" s="765"/>
      <c r="AW121" s="765"/>
    </row>
    <row r="122" spans="1:49" x14ac:dyDescent="0.25">
      <c r="A122" s="23" t="s">
        <v>2973</v>
      </c>
      <c r="B122" s="108" t="s">
        <v>527</v>
      </c>
      <c r="C122" s="108" t="s">
        <v>2974</v>
      </c>
      <c r="D122" s="108" t="s">
        <v>2231</v>
      </c>
      <c r="E122" s="108" t="s">
        <v>2975</v>
      </c>
      <c r="F122" s="114" t="s">
        <v>694</v>
      </c>
      <c r="G122" s="213" t="s">
        <v>2804</v>
      </c>
      <c r="H122" s="115" t="s">
        <v>3075</v>
      </c>
      <c r="I122" s="213">
        <v>25830000</v>
      </c>
      <c r="J122" s="109">
        <v>4.9344999999999999</v>
      </c>
      <c r="K122" s="109" t="s">
        <v>696</v>
      </c>
      <c r="L122" s="115">
        <v>1</v>
      </c>
      <c r="M122" s="115">
        <v>95.932830999999993</v>
      </c>
      <c r="N122" s="115">
        <v>95.994658999999999</v>
      </c>
      <c r="O122" s="214">
        <v>0.37008799999999997</v>
      </c>
      <c r="P122" s="115">
        <v>1.7778</v>
      </c>
      <c r="Q122" s="769">
        <v>1.6910000000000001</v>
      </c>
      <c r="R122" s="216"/>
      <c r="S122" s="216">
        <v>1.6910000000000001</v>
      </c>
      <c r="T122" s="216">
        <v>27</v>
      </c>
      <c r="U122" s="216">
        <v>7.5</v>
      </c>
      <c r="V122" s="115">
        <v>526.74900686231331</v>
      </c>
      <c r="W122" s="109"/>
      <c r="X122" s="109">
        <v>513.5</v>
      </c>
      <c r="Y122" s="109" t="s">
        <v>1874</v>
      </c>
      <c r="Z122" s="109">
        <v>0</v>
      </c>
      <c r="AA122" s="109">
        <v>0</v>
      </c>
      <c r="AB122" s="109"/>
      <c r="AC122" s="109"/>
      <c r="AD122" s="765"/>
      <c r="AE122" s="765" t="s">
        <v>13</v>
      </c>
      <c r="AF122" s="765" t="s">
        <v>5</v>
      </c>
      <c r="AG122" s="765"/>
      <c r="AH122" s="109" t="s">
        <v>522</v>
      </c>
      <c r="AI122" s="2" t="s">
        <v>522</v>
      </c>
      <c r="AL122" s="2" t="s">
        <v>680</v>
      </c>
      <c r="AM122" s="2" t="s">
        <v>2976</v>
      </c>
      <c r="AN122" s="2" t="s">
        <v>952</v>
      </c>
      <c r="AO122" s="2">
        <v>1</v>
      </c>
      <c r="AP122" s="2" t="s">
        <v>4673</v>
      </c>
      <c r="AQ122" s="2" t="s">
        <v>5106</v>
      </c>
      <c r="AR122" s="2" t="s">
        <v>4787</v>
      </c>
      <c r="AT122" s="765"/>
      <c r="AU122" s="765"/>
      <c r="AV122" s="765"/>
      <c r="AW122" s="765"/>
    </row>
    <row r="123" spans="1:49" x14ac:dyDescent="0.25">
      <c r="A123" s="23" t="s">
        <v>3880</v>
      </c>
      <c r="B123" s="108" t="s">
        <v>526</v>
      </c>
      <c r="C123" s="108" t="s">
        <v>3891</v>
      </c>
      <c r="D123" s="108" t="s">
        <v>2098</v>
      </c>
      <c r="E123" s="108" t="s">
        <v>3892</v>
      </c>
      <c r="F123" s="114" t="s">
        <v>698</v>
      </c>
      <c r="G123" s="213" t="s">
        <v>3893</v>
      </c>
      <c r="H123" s="115" t="s">
        <v>3827</v>
      </c>
      <c r="I123" s="213">
        <v>21800000</v>
      </c>
      <c r="J123" s="109">
        <v>2.79</v>
      </c>
      <c r="K123" s="109" t="s">
        <v>696</v>
      </c>
      <c r="L123" s="115">
        <v>1</v>
      </c>
      <c r="M123" s="115">
        <v>91.442406000000005</v>
      </c>
      <c r="N123" s="115">
        <v>91.730018999999999</v>
      </c>
      <c r="O123" s="214">
        <v>2.325E-2</v>
      </c>
      <c r="P123" s="115">
        <v>4.5693999999999999</v>
      </c>
      <c r="Q123" s="769">
        <v>4.2435438245499997</v>
      </c>
      <c r="R123" s="216"/>
      <c r="S123" s="216">
        <v>4.2435438245499997</v>
      </c>
      <c r="T123" s="216">
        <v>3</v>
      </c>
      <c r="U123" s="216">
        <v>4.9329999999999998</v>
      </c>
      <c r="V123" s="115">
        <v>233.61858439969001</v>
      </c>
      <c r="W123" s="109"/>
      <c r="X123" s="109">
        <v>218.27460948548</v>
      </c>
      <c r="Y123" s="109" t="s">
        <v>663</v>
      </c>
      <c r="Z123" s="109"/>
      <c r="AA123" s="109"/>
      <c r="AB123" s="109"/>
      <c r="AC123" s="109"/>
      <c r="AD123" s="765"/>
      <c r="AE123" s="765" t="s">
        <v>10</v>
      </c>
      <c r="AF123" s="765"/>
      <c r="AG123" s="765"/>
      <c r="AH123" s="109"/>
      <c r="AI123" s="2" t="s">
        <v>10</v>
      </c>
      <c r="AL123" s="2" t="s">
        <v>680</v>
      </c>
      <c r="AM123" s="2" t="s">
        <v>710</v>
      </c>
      <c r="AN123" s="2" t="s">
        <v>952</v>
      </c>
      <c r="AO123" s="2">
        <v>1</v>
      </c>
      <c r="AP123" s="2" t="s">
        <v>4673</v>
      </c>
      <c r="AQ123" s="2" t="s">
        <v>4469</v>
      </c>
      <c r="AR123" s="2" t="s">
        <v>4638</v>
      </c>
      <c r="AT123" s="765"/>
      <c r="AU123" s="765"/>
      <c r="AV123" s="765"/>
      <c r="AW123" s="765"/>
    </row>
    <row r="124" spans="1:49" x14ac:dyDescent="0.25">
      <c r="A124" s="23" t="s">
        <v>2952</v>
      </c>
      <c r="B124" s="108" t="s">
        <v>529</v>
      </c>
      <c r="C124" s="108" t="s">
        <v>2953</v>
      </c>
      <c r="D124" s="108" t="s">
        <v>530</v>
      </c>
      <c r="E124" s="108" t="s">
        <v>2954</v>
      </c>
      <c r="F124" s="114" t="s">
        <v>698</v>
      </c>
      <c r="G124" s="213" t="s">
        <v>2955</v>
      </c>
      <c r="H124" s="115" t="s">
        <v>1576</v>
      </c>
      <c r="I124" s="213">
        <v>19740000</v>
      </c>
      <c r="J124" s="109">
        <v>3.4039999999999999</v>
      </c>
      <c r="K124" s="109" t="s">
        <v>695</v>
      </c>
      <c r="L124" s="115">
        <v>1</v>
      </c>
      <c r="M124" s="115">
        <v>0</v>
      </c>
      <c r="N124" s="115">
        <v>0</v>
      </c>
      <c r="O124" s="214">
        <v>0.63352200000000003</v>
      </c>
      <c r="P124" s="115">
        <v>3.2652000000000001</v>
      </c>
      <c r="Q124" s="769"/>
      <c r="R124" s="216"/>
      <c r="S124" s="216">
        <v>3.2652000000000001</v>
      </c>
      <c r="T124" s="216">
        <v>67</v>
      </c>
      <c r="U124" s="216"/>
      <c r="V124" s="115"/>
      <c r="W124" s="109">
        <v>315</v>
      </c>
      <c r="X124" s="109"/>
      <c r="Y124" s="109" t="s">
        <v>993</v>
      </c>
      <c r="Z124" s="109"/>
      <c r="AA124" s="109"/>
      <c r="AB124" s="109"/>
      <c r="AC124" s="109"/>
      <c r="AD124" s="765"/>
      <c r="AE124" s="765" t="s">
        <v>10</v>
      </c>
      <c r="AF124" s="765"/>
      <c r="AG124" s="765" t="s">
        <v>1735</v>
      </c>
      <c r="AH124" s="109" t="s">
        <v>522</v>
      </c>
      <c r="AL124" s="2" t="s">
        <v>680</v>
      </c>
      <c r="AM124" s="2" t="s">
        <v>711</v>
      </c>
      <c r="AN124" s="2" t="s">
        <v>952</v>
      </c>
      <c r="AO124" s="2">
        <v>1</v>
      </c>
      <c r="AP124" s="2" t="s">
        <v>4672</v>
      </c>
      <c r="AQ124" s="2" t="s">
        <v>3404</v>
      </c>
      <c r="AR124" s="2" t="s">
        <v>3969</v>
      </c>
      <c r="AT124" s="765"/>
      <c r="AU124" s="765"/>
      <c r="AV124" s="765"/>
      <c r="AW124" s="765"/>
    </row>
    <row r="125" spans="1:49" x14ac:dyDescent="0.25">
      <c r="A125" s="23" t="s">
        <v>2090</v>
      </c>
      <c r="B125" s="108" t="s">
        <v>526</v>
      </c>
      <c r="C125" s="108" t="s">
        <v>2091</v>
      </c>
      <c r="D125" s="108" t="s">
        <v>2092</v>
      </c>
      <c r="E125" s="108" t="s">
        <v>2093</v>
      </c>
      <c r="F125" s="114" t="s">
        <v>698</v>
      </c>
      <c r="G125" s="213" t="s">
        <v>2094</v>
      </c>
      <c r="H125" s="115" t="s">
        <v>2095</v>
      </c>
      <c r="I125" s="213">
        <v>26003808.350000001</v>
      </c>
      <c r="J125" s="109">
        <v>3.53</v>
      </c>
      <c r="K125" s="109" t="s">
        <v>696</v>
      </c>
      <c r="L125" s="115">
        <v>0.30751902019999999</v>
      </c>
      <c r="M125" s="115">
        <v>99.601585</v>
      </c>
      <c r="N125" s="115">
        <v>99.667323999999994</v>
      </c>
      <c r="O125" s="214">
        <v>7.8444E-2</v>
      </c>
      <c r="P125" s="115">
        <v>1.6446000000000001</v>
      </c>
      <c r="Q125" s="769">
        <v>1.3888884828100001</v>
      </c>
      <c r="R125" s="216"/>
      <c r="S125" s="216">
        <v>1.3888884828100001</v>
      </c>
      <c r="T125" s="216">
        <v>7</v>
      </c>
      <c r="U125" s="216">
        <v>3.8149999999999999</v>
      </c>
      <c r="V125" s="115">
        <v>167.84036236052</v>
      </c>
      <c r="W125" s="109"/>
      <c r="X125" s="109">
        <v>153.85698238480001</v>
      </c>
      <c r="Y125" s="109" t="s">
        <v>663</v>
      </c>
      <c r="Z125" s="109">
        <v>28.475375310602988</v>
      </c>
      <c r="AA125" s="109">
        <v>35.005287064929448</v>
      </c>
      <c r="AB125" s="109"/>
      <c r="AC125" s="109"/>
      <c r="AD125" s="765"/>
      <c r="AE125" s="765" t="s">
        <v>9</v>
      </c>
      <c r="AF125" s="765" t="s">
        <v>9</v>
      </c>
      <c r="AG125" s="765"/>
      <c r="AH125" s="109"/>
      <c r="AL125" s="2" t="s">
        <v>680</v>
      </c>
      <c r="AM125" s="2" t="s">
        <v>2905</v>
      </c>
      <c r="AN125" s="2" t="s">
        <v>952</v>
      </c>
      <c r="AO125" s="2">
        <v>0.32194772100000002</v>
      </c>
      <c r="AP125" s="2" t="s">
        <v>4730</v>
      </c>
      <c r="AQ125" s="2" t="s">
        <v>4668</v>
      </c>
      <c r="AR125" s="2" t="s">
        <v>3969</v>
      </c>
      <c r="AT125" s="765"/>
      <c r="AU125" s="765"/>
      <c r="AV125" s="765"/>
      <c r="AW125" s="765"/>
    </row>
    <row r="126" spans="1:49" x14ac:dyDescent="0.25">
      <c r="A126" s="23" t="s">
        <v>3583</v>
      </c>
      <c r="B126" s="108" t="s">
        <v>526</v>
      </c>
      <c r="C126" s="108" t="s">
        <v>3702</v>
      </c>
      <c r="D126" s="108" t="s">
        <v>2098</v>
      </c>
      <c r="E126" s="108" t="s">
        <v>3703</v>
      </c>
      <c r="F126" s="114" t="s">
        <v>698</v>
      </c>
      <c r="G126" s="213" t="s">
        <v>3684</v>
      </c>
      <c r="H126" s="115" t="s">
        <v>3704</v>
      </c>
      <c r="I126" s="213">
        <v>448875000</v>
      </c>
      <c r="J126" s="109">
        <v>2.7909999999999999</v>
      </c>
      <c r="K126" s="109" t="s">
        <v>696</v>
      </c>
      <c r="L126" s="115">
        <v>0.99750000000000005</v>
      </c>
      <c r="M126" s="115">
        <v>89.431304999999995</v>
      </c>
      <c r="N126" s="115">
        <v>89.607078999999999</v>
      </c>
      <c r="O126" s="214">
        <v>0.52718900000000002</v>
      </c>
      <c r="P126" s="115">
        <v>3.4897999999999998</v>
      </c>
      <c r="Q126" s="769">
        <v>5.6787868788400004</v>
      </c>
      <c r="R126" s="216"/>
      <c r="S126" s="216">
        <v>5.6787868788400004</v>
      </c>
      <c r="T126" s="216">
        <v>68</v>
      </c>
      <c r="U126" s="216">
        <v>4.766</v>
      </c>
      <c r="V126" s="115">
        <v>370.56522544155001</v>
      </c>
      <c r="W126" s="109"/>
      <c r="X126" s="109">
        <v>209.1167238875</v>
      </c>
      <c r="Y126" s="109" t="s">
        <v>662</v>
      </c>
      <c r="Z126" s="109"/>
      <c r="AA126" s="109"/>
      <c r="AB126" s="109"/>
      <c r="AC126" s="109"/>
      <c r="AD126" s="765"/>
      <c r="AE126" s="765" t="s">
        <v>10</v>
      </c>
      <c r="AF126" s="765" t="s">
        <v>20</v>
      </c>
      <c r="AG126" s="765"/>
      <c r="AH126" s="109"/>
      <c r="AI126" s="2" t="s">
        <v>10</v>
      </c>
      <c r="AL126" s="2" t="s">
        <v>680</v>
      </c>
      <c r="AM126" s="2" t="s">
        <v>2897</v>
      </c>
      <c r="AN126" s="2" t="s">
        <v>952</v>
      </c>
      <c r="AO126" s="2">
        <v>1</v>
      </c>
      <c r="AP126" s="2" t="s">
        <v>4673</v>
      </c>
      <c r="AQ126" s="2" t="s">
        <v>3404</v>
      </c>
      <c r="AR126" s="2" t="s">
        <v>3969</v>
      </c>
      <c r="AT126" s="765"/>
      <c r="AU126" s="765"/>
      <c r="AV126" s="765"/>
      <c r="AW126" s="765"/>
    </row>
    <row r="127" spans="1:49" x14ac:dyDescent="0.25">
      <c r="A127" s="23" t="s">
        <v>3451</v>
      </c>
      <c r="B127" s="108" t="s">
        <v>529</v>
      </c>
      <c r="C127" s="108" t="s">
        <v>3472</v>
      </c>
      <c r="D127" s="108" t="s">
        <v>530</v>
      </c>
      <c r="E127" s="108" t="s">
        <v>3473</v>
      </c>
      <c r="F127" s="114" t="s">
        <v>698</v>
      </c>
      <c r="G127" s="213" t="s">
        <v>3474</v>
      </c>
      <c r="H127" s="115" t="s">
        <v>1963</v>
      </c>
      <c r="I127" s="213">
        <v>19920000</v>
      </c>
      <c r="J127" s="109">
        <v>7.04129</v>
      </c>
      <c r="K127" s="109" t="s">
        <v>695</v>
      </c>
      <c r="L127" s="115">
        <v>1</v>
      </c>
      <c r="M127" s="115">
        <v>0</v>
      </c>
      <c r="N127" s="115">
        <v>0</v>
      </c>
      <c r="O127" s="214">
        <v>1.3495809999999999</v>
      </c>
      <c r="P127" s="115">
        <v>6.5427</v>
      </c>
      <c r="Q127" s="769"/>
      <c r="R127" s="216"/>
      <c r="S127" s="216">
        <v>6.5427</v>
      </c>
      <c r="T127" s="216">
        <v>69</v>
      </c>
      <c r="U127" s="216"/>
      <c r="V127" s="115"/>
      <c r="W127" s="109">
        <v>680</v>
      </c>
      <c r="X127" s="109"/>
      <c r="Y127" s="109" t="s">
        <v>993</v>
      </c>
      <c r="Z127" s="109"/>
      <c r="AA127" s="109"/>
      <c r="AB127" s="109"/>
      <c r="AC127" s="109"/>
      <c r="AD127" s="765"/>
      <c r="AE127" s="765" t="s">
        <v>13</v>
      </c>
      <c r="AF127" s="765"/>
      <c r="AG127" s="765" t="s">
        <v>2796</v>
      </c>
      <c r="AH127" s="109"/>
      <c r="AL127" s="2" t="s">
        <v>680</v>
      </c>
      <c r="AM127" s="2" t="s">
        <v>711</v>
      </c>
      <c r="AN127" s="2" t="s">
        <v>952</v>
      </c>
      <c r="AO127" s="2">
        <v>1</v>
      </c>
      <c r="AP127" s="2" t="s">
        <v>4673</v>
      </c>
      <c r="AQ127" s="2" t="s">
        <v>3194</v>
      </c>
      <c r="AR127" s="2" t="s">
        <v>4671</v>
      </c>
      <c r="AT127" s="765"/>
      <c r="AU127" s="765"/>
      <c r="AV127" s="765"/>
      <c r="AW127" s="765"/>
    </row>
    <row r="128" spans="1:49" x14ac:dyDescent="0.25">
      <c r="A128" s="23" t="s">
        <v>2846</v>
      </c>
      <c r="B128" s="108" t="s">
        <v>529</v>
      </c>
      <c r="C128" s="108" t="s">
        <v>2031</v>
      </c>
      <c r="D128" s="108" t="s">
        <v>530</v>
      </c>
      <c r="E128" s="108" t="s">
        <v>2847</v>
      </c>
      <c r="F128" s="114" t="s">
        <v>698</v>
      </c>
      <c r="G128" s="213" t="s">
        <v>2848</v>
      </c>
      <c r="H128" s="115" t="s">
        <v>2849</v>
      </c>
      <c r="I128" s="213">
        <v>37500000</v>
      </c>
      <c r="J128" s="109">
        <v>4.1564300000000003</v>
      </c>
      <c r="K128" s="109" t="s">
        <v>695</v>
      </c>
      <c r="L128" s="115">
        <v>1</v>
      </c>
      <c r="M128" s="115">
        <v>0</v>
      </c>
      <c r="N128" s="115">
        <v>0</v>
      </c>
      <c r="O128" s="214">
        <v>0.47337099999999999</v>
      </c>
      <c r="P128" s="115">
        <v>2.6861000000000002</v>
      </c>
      <c r="Q128" s="769"/>
      <c r="R128" s="216"/>
      <c r="S128" s="216">
        <v>2.6861000000000002</v>
      </c>
      <c r="T128" s="216">
        <v>41</v>
      </c>
      <c r="U128" s="216"/>
      <c r="V128" s="115"/>
      <c r="W128" s="109">
        <v>365</v>
      </c>
      <c r="X128" s="109"/>
      <c r="Y128" s="109" t="s">
        <v>532</v>
      </c>
      <c r="Z128" s="109"/>
      <c r="AA128" s="109"/>
      <c r="AB128" s="109"/>
      <c r="AC128" s="109"/>
      <c r="AD128" s="765"/>
      <c r="AE128" s="765" t="s">
        <v>10</v>
      </c>
      <c r="AF128" s="765"/>
      <c r="AG128" s="765" t="s">
        <v>1901</v>
      </c>
      <c r="AH128" s="109"/>
      <c r="AL128" s="2" t="s">
        <v>680</v>
      </c>
      <c r="AM128" s="2" t="s">
        <v>711</v>
      </c>
      <c r="AN128" s="2" t="s">
        <v>952</v>
      </c>
      <c r="AO128" s="2">
        <v>1</v>
      </c>
      <c r="AP128" s="2" t="s">
        <v>4638</v>
      </c>
      <c r="AQ128" s="2" t="s">
        <v>3946</v>
      </c>
      <c r="AR128" s="2" t="s">
        <v>4674</v>
      </c>
      <c r="AT128" s="765"/>
      <c r="AU128" s="765"/>
      <c r="AV128" s="765"/>
      <c r="AW128" s="765"/>
    </row>
    <row r="129" spans="1:49" x14ac:dyDescent="0.25">
      <c r="A129" s="23" t="s">
        <v>3285</v>
      </c>
      <c r="B129" s="108" t="s">
        <v>529</v>
      </c>
      <c r="C129" s="108" t="s">
        <v>2031</v>
      </c>
      <c r="D129" s="108" t="s">
        <v>530</v>
      </c>
      <c r="E129" s="108" t="s">
        <v>3322</v>
      </c>
      <c r="F129" s="114" t="s">
        <v>698</v>
      </c>
      <c r="G129" s="213" t="s">
        <v>3323</v>
      </c>
      <c r="H129" s="115" t="s">
        <v>3276</v>
      </c>
      <c r="I129" s="213">
        <v>44450000</v>
      </c>
      <c r="J129" s="109">
        <v>8.7412899999999993</v>
      </c>
      <c r="K129" s="109" t="s">
        <v>695</v>
      </c>
      <c r="L129" s="115">
        <v>1</v>
      </c>
      <c r="M129" s="115">
        <v>0</v>
      </c>
      <c r="N129" s="115">
        <v>0</v>
      </c>
      <c r="O129" s="214">
        <v>1.675414</v>
      </c>
      <c r="P129" s="115">
        <v>3.4828000000000001</v>
      </c>
      <c r="Q129" s="769"/>
      <c r="R129" s="216"/>
      <c r="S129" s="216">
        <v>3.4828000000000001</v>
      </c>
      <c r="T129" s="216">
        <v>68</v>
      </c>
      <c r="U129" s="216"/>
      <c r="V129" s="115"/>
      <c r="W129" s="109">
        <v>850</v>
      </c>
      <c r="X129" s="109"/>
      <c r="Y129" s="109" t="s">
        <v>3324</v>
      </c>
      <c r="Z129" s="109"/>
      <c r="AA129" s="109"/>
      <c r="AB129" s="109"/>
      <c r="AC129" s="109"/>
      <c r="AD129" s="765"/>
      <c r="AE129" s="765" t="s">
        <v>13</v>
      </c>
      <c r="AF129" s="765"/>
      <c r="AG129" s="765" t="s">
        <v>2796</v>
      </c>
      <c r="AH129" s="109"/>
      <c r="AI129" s="2" t="s">
        <v>522</v>
      </c>
      <c r="AL129" s="2" t="s">
        <v>680</v>
      </c>
      <c r="AM129" s="2" t="s">
        <v>711</v>
      </c>
      <c r="AN129" s="2" t="s">
        <v>952</v>
      </c>
      <c r="AO129" s="2">
        <v>1</v>
      </c>
      <c r="AP129" s="2" t="s">
        <v>4675</v>
      </c>
      <c r="AQ129" s="2" t="s">
        <v>3194</v>
      </c>
      <c r="AR129" s="2" t="s">
        <v>4671</v>
      </c>
      <c r="AT129" s="765"/>
      <c r="AU129" s="765"/>
      <c r="AV129" s="765"/>
      <c r="AW129" s="765"/>
    </row>
    <row r="130" spans="1:49" x14ac:dyDescent="0.25">
      <c r="A130" s="23" t="s">
        <v>3298</v>
      </c>
      <c r="B130" s="108" t="s">
        <v>656</v>
      </c>
      <c r="C130" s="108" t="s">
        <v>3325</v>
      </c>
      <c r="D130" s="108" t="s">
        <v>2434</v>
      </c>
      <c r="E130" s="108" t="s">
        <v>3325</v>
      </c>
      <c r="F130" s="114" t="s">
        <v>3224</v>
      </c>
      <c r="G130" s="213" t="s">
        <v>3326</v>
      </c>
      <c r="H130" s="115" t="s">
        <v>3327</v>
      </c>
      <c r="I130" s="213">
        <v>710000000</v>
      </c>
      <c r="J130" s="109">
        <v>5.375</v>
      </c>
      <c r="K130" s="109" t="s">
        <v>696</v>
      </c>
      <c r="L130" s="115">
        <v>1</v>
      </c>
      <c r="M130" s="115">
        <v>72.915000000000006</v>
      </c>
      <c r="N130" s="115">
        <v>73.0715</v>
      </c>
      <c r="O130" s="214">
        <v>1.3138890000000001</v>
      </c>
      <c r="P130" s="115"/>
      <c r="Q130" s="769">
        <v>6.3564302963359003</v>
      </c>
      <c r="R130" s="216">
        <v>6.355332168799209</v>
      </c>
      <c r="S130" s="216">
        <v>6.3564302963359003</v>
      </c>
      <c r="T130" s="216">
        <v>0</v>
      </c>
      <c r="U130" s="216">
        <v>10.067931592978489</v>
      </c>
      <c r="V130" s="115"/>
      <c r="W130" s="109"/>
      <c r="X130" s="109">
        <v>759.86385997284526</v>
      </c>
      <c r="Y130" s="109"/>
      <c r="Z130" s="109"/>
      <c r="AA130" s="109"/>
      <c r="AB130" s="109"/>
      <c r="AC130" s="109"/>
      <c r="AD130" s="765"/>
      <c r="AE130" s="765" t="s">
        <v>10</v>
      </c>
      <c r="AF130" s="765" t="s">
        <v>20</v>
      </c>
      <c r="AG130" s="765" t="s">
        <v>2796</v>
      </c>
      <c r="AH130" s="109"/>
      <c r="AL130" s="2" t="s">
        <v>680</v>
      </c>
      <c r="AM130" s="2" t="s">
        <v>2917</v>
      </c>
      <c r="AN130" s="2" t="s">
        <v>952</v>
      </c>
      <c r="AT130" s="765"/>
      <c r="AU130" s="765"/>
      <c r="AV130" s="765"/>
      <c r="AW130" s="765"/>
    </row>
    <row r="131" spans="1:49" x14ac:dyDescent="0.25">
      <c r="A131" s="23" t="s">
        <v>2201</v>
      </c>
      <c r="B131" s="108" t="s">
        <v>538</v>
      </c>
      <c r="C131" s="108" t="s">
        <v>2204</v>
      </c>
      <c r="D131" s="108" t="s">
        <v>541</v>
      </c>
      <c r="E131" s="108" t="s">
        <v>2204</v>
      </c>
      <c r="F131" s="114" t="s">
        <v>699</v>
      </c>
      <c r="G131" s="213" t="s">
        <v>2205</v>
      </c>
      <c r="H131" s="115" t="s">
        <v>2075</v>
      </c>
      <c r="I131" s="213">
        <v>60000000</v>
      </c>
      <c r="J131" s="109">
        <v>7</v>
      </c>
      <c r="K131" s="109" t="s">
        <v>696</v>
      </c>
      <c r="L131" s="115">
        <v>1</v>
      </c>
      <c r="M131" s="115">
        <v>0</v>
      </c>
      <c r="N131" s="115">
        <v>0</v>
      </c>
      <c r="O131" s="214">
        <v>1.711111</v>
      </c>
      <c r="P131" s="115"/>
      <c r="Q131" s="769"/>
      <c r="R131" s="216"/>
      <c r="S131" s="216">
        <v>8.2602739726027394</v>
      </c>
      <c r="T131" s="216">
        <v>87</v>
      </c>
      <c r="U131" s="216"/>
      <c r="V131" s="115"/>
      <c r="W131" s="109">
        <v>688</v>
      </c>
      <c r="X131" s="109"/>
      <c r="Y131" s="109"/>
      <c r="Z131" s="109"/>
      <c r="AA131" s="109"/>
      <c r="AB131" s="109"/>
      <c r="AC131" s="109"/>
      <c r="AD131" s="765"/>
      <c r="AE131" s="765" t="s">
        <v>10</v>
      </c>
      <c r="AF131" s="765"/>
      <c r="AG131" s="765"/>
      <c r="AH131" s="109"/>
      <c r="AK131" s="2" t="s">
        <v>10</v>
      </c>
      <c r="AL131" s="2" t="s">
        <v>680</v>
      </c>
      <c r="AM131" s="2" t="s">
        <v>812</v>
      </c>
      <c r="AN131" s="2" t="s">
        <v>952</v>
      </c>
      <c r="AT131" s="765"/>
      <c r="AU131" s="765"/>
      <c r="AV131" s="765"/>
      <c r="AW131" s="765"/>
    </row>
    <row r="132" spans="1:49" x14ac:dyDescent="0.25">
      <c r="A132" s="23" t="s">
        <v>2525</v>
      </c>
      <c r="B132" s="108" t="s">
        <v>538</v>
      </c>
      <c r="C132" s="108" t="s">
        <v>2526</v>
      </c>
      <c r="D132" s="108" t="s">
        <v>541</v>
      </c>
      <c r="E132" s="108" t="s">
        <v>2526</v>
      </c>
      <c r="F132" s="114" t="s">
        <v>699</v>
      </c>
      <c r="G132" s="213" t="s">
        <v>2532</v>
      </c>
      <c r="H132" s="115" t="s">
        <v>2533</v>
      </c>
      <c r="I132" s="213">
        <v>20000000</v>
      </c>
      <c r="J132" s="109">
        <v>6</v>
      </c>
      <c r="K132" s="109" t="s">
        <v>696</v>
      </c>
      <c r="L132" s="115">
        <v>1</v>
      </c>
      <c r="M132" s="115">
        <v>0</v>
      </c>
      <c r="N132" s="115">
        <v>0</v>
      </c>
      <c r="O132" s="214">
        <v>1.2166669999999999</v>
      </c>
      <c r="P132" s="115"/>
      <c r="Q132" s="769"/>
      <c r="R132" s="216"/>
      <c r="S132" s="216">
        <v>8.3013698630136989</v>
      </c>
      <c r="T132" s="216">
        <v>73</v>
      </c>
      <c r="U132" s="216"/>
      <c r="V132" s="115"/>
      <c r="W132" s="109">
        <v>590</v>
      </c>
      <c r="X132" s="109"/>
      <c r="Y132" s="109"/>
      <c r="Z132" s="109"/>
      <c r="AA132" s="109"/>
      <c r="AB132" s="109"/>
      <c r="AC132" s="109"/>
      <c r="AD132" s="765"/>
      <c r="AE132" s="765" t="s">
        <v>10</v>
      </c>
      <c r="AF132" s="765"/>
      <c r="AG132" s="765"/>
      <c r="AH132" s="109"/>
      <c r="AK132" s="2" t="s">
        <v>10</v>
      </c>
      <c r="AL132" s="2" t="s">
        <v>680</v>
      </c>
      <c r="AM132" s="2" t="s">
        <v>812</v>
      </c>
      <c r="AN132" s="2" t="s">
        <v>952</v>
      </c>
      <c r="AT132" s="765"/>
      <c r="AU132" s="765"/>
      <c r="AV132" s="765"/>
      <c r="AW132" s="765"/>
    </row>
    <row r="133" spans="1:49" x14ac:dyDescent="0.25">
      <c r="A133" s="23" t="s">
        <v>3076</v>
      </c>
      <c r="B133" s="108" t="s">
        <v>527</v>
      </c>
      <c r="C133" s="108" t="s">
        <v>3077</v>
      </c>
      <c r="D133" s="108" t="s">
        <v>5114</v>
      </c>
      <c r="E133" s="108" t="s">
        <v>3078</v>
      </c>
      <c r="F133" s="114" t="s">
        <v>694</v>
      </c>
      <c r="G133" s="213" t="s">
        <v>3062</v>
      </c>
      <c r="H133" s="115" t="s">
        <v>3079</v>
      </c>
      <c r="I133" s="213">
        <v>385626656.86000001</v>
      </c>
      <c r="J133" s="109">
        <v>3.2469999999999999</v>
      </c>
      <c r="K133" s="109" t="s">
        <v>695</v>
      </c>
      <c r="L133" s="115">
        <v>0.99388313620000002</v>
      </c>
      <c r="M133" s="115">
        <v>98.324066000000002</v>
      </c>
      <c r="N133" s="115">
        <v>98.451667999999998</v>
      </c>
      <c r="O133" s="214">
        <v>0.117253</v>
      </c>
      <c r="P133" s="115">
        <v>1.2917000000000001</v>
      </c>
      <c r="Q133" s="769">
        <v>5.2999999999999999E-2</v>
      </c>
      <c r="R133" s="216"/>
      <c r="S133" s="216">
        <v>5.2999999999999999E-2</v>
      </c>
      <c r="T133" s="216">
        <v>12</v>
      </c>
      <c r="U133" s="216">
        <v>4.6579999999999986</v>
      </c>
      <c r="V133" s="115">
        <v>277.47973115206833</v>
      </c>
      <c r="W133" s="109">
        <v>285</v>
      </c>
      <c r="X133" s="109">
        <v>429.6</v>
      </c>
      <c r="Y133" s="109" t="s">
        <v>531</v>
      </c>
      <c r="Z133" s="109">
        <v>0</v>
      </c>
      <c r="AA133" s="109">
        <v>0.18916588286254091</v>
      </c>
      <c r="AB133" s="109"/>
      <c r="AC133" s="109"/>
      <c r="AD133" s="765"/>
      <c r="AE133" s="765" t="s">
        <v>10</v>
      </c>
      <c r="AF133" s="765"/>
      <c r="AG133" s="765" t="s">
        <v>522</v>
      </c>
      <c r="AH133" s="109" t="s">
        <v>522</v>
      </c>
      <c r="AI133" s="2" t="s">
        <v>20</v>
      </c>
      <c r="AL133" s="2" t="s">
        <v>680</v>
      </c>
      <c r="AM133" s="2" t="s">
        <v>2976</v>
      </c>
      <c r="AN133" s="2" t="s">
        <v>952</v>
      </c>
      <c r="AO133" s="2">
        <v>0.993883136</v>
      </c>
      <c r="AP133" s="2" t="s">
        <v>4673</v>
      </c>
      <c r="AQ133" s="2" t="s">
        <v>4396</v>
      </c>
      <c r="AR133" s="2" t="s">
        <v>4671</v>
      </c>
      <c r="AT133" s="765"/>
      <c r="AU133" s="765"/>
      <c r="AV133" s="765"/>
      <c r="AW133" s="765"/>
    </row>
    <row r="134" spans="1:49" x14ac:dyDescent="0.25">
      <c r="A134" s="23" t="s">
        <v>3080</v>
      </c>
      <c r="B134" s="108" t="s">
        <v>527</v>
      </c>
      <c r="C134" s="108" t="s">
        <v>3077</v>
      </c>
      <c r="D134" s="108" t="s">
        <v>5114</v>
      </c>
      <c r="E134" s="108" t="s">
        <v>3081</v>
      </c>
      <c r="F134" s="114" t="s">
        <v>694</v>
      </c>
      <c r="G134" s="213" t="s">
        <v>3062</v>
      </c>
      <c r="H134" s="115" t="s">
        <v>3079</v>
      </c>
      <c r="I134" s="213">
        <v>620978183.67999995</v>
      </c>
      <c r="J134" s="109">
        <v>4.0970000000000004</v>
      </c>
      <c r="K134" s="109" t="s">
        <v>695</v>
      </c>
      <c r="L134" s="115">
        <v>0.99388313650000004</v>
      </c>
      <c r="M134" s="115">
        <v>97.082168999999993</v>
      </c>
      <c r="N134" s="115">
        <v>97.232792000000003</v>
      </c>
      <c r="O134" s="214">
        <v>0.147947</v>
      </c>
      <c r="P134" s="115">
        <v>1.2917000000000001</v>
      </c>
      <c r="Q134" s="769">
        <v>4.5999999999999999E-2</v>
      </c>
      <c r="R134" s="216"/>
      <c r="S134" s="216">
        <v>4.5999999999999999E-2</v>
      </c>
      <c r="T134" s="216">
        <v>13</v>
      </c>
      <c r="U134" s="216">
        <v>6.5590000000000002</v>
      </c>
      <c r="V134" s="115">
        <v>467.53500318140129</v>
      </c>
      <c r="W134" s="109">
        <v>370</v>
      </c>
      <c r="X134" s="109">
        <v>617.79999999999995</v>
      </c>
      <c r="Y134" s="109" t="s">
        <v>531</v>
      </c>
      <c r="Z134" s="109">
        <v>0</v>
      </c>
      <c r="AA134" s="109">
        <v>0.18916588286254091</v>
      </c>
      <c r="AB134" s="109"/>
      <c r="AC134" s="109"/>
      <c r="AD134" s="765"/>
      <c r="AE134" s="765" t="s">
        <v>13</v>
      </c>
      <c r="AF134" s="765"/>
      <c r="AG134" s="765" t="s">
        <v>522</v>
      </c>
      <c r="AH134" s="109" t="s">
        <v>522</v>
      </c>
      <c r="AI134" s="2" t="s">
        <v>5</v>
      </c>
      <c r="AL134" s="2" t="s">
        <v>680</v>
      </c>
      <c r="AM134" s="2" t="s">
        <v>2976</v>
      </c>
      <c r="AN134" s="2" t="s">
        <v>952</v>
      </c>
      <c r="AO134" s="2">
        <v>0.993883136</v>
      </c>
      <c r="AP134" s="2" t="s">
        <v>4673</v>
      </c>
      <c r="AQ134" s="2" t="s">
        <v>4396</v>
      </c>
      <c r="AR134" s="2" t="s">
        <v>4671</v>
      </c>
      <c r="AT134" s="765"/>
      <c r="AU134" s="765"/>
      <c r="AV134" s="765"/>
      <c r="AW134" s="765"/>
    </row>
    <row r="135" spans="1:49" x14ac:dyDescent="0.25">
      <c r="A135" s="23" t="s">
        <v>3593</v>
      </c>
      <c r="B135" s="108" t="s">
        <v>1643</v>
      </c>
      <c r="C135" s="108" t="s">
        <v>3707</v>
      </c>
      <c r="D135" s="108" t="s">
        <v>3708</v>
      </c>
      <c r="E135" s="108" t="s">
        <v>3709</v>
      </c>
      <c r="F135" s="114" t="s">
        <v>694</v>
      </c>
      <c r="G135" s="213" t="s">
        <v>1926</v>
      </c>
      <c r="H135" s="115" t="s">
        <v>3229</v>
      </c>
      <c r="I135" s="213">
        <v>237292313</v>
      </c>
      <c r="J135" s="109">
        <v>0.1</v>
      </c>
      <c r="K135" s="109" t="s">
        <v>696</v>
      </c>
      <c r="L135" s="115">
        <v>1</v>
      </c>
      <c r="M135" s="115">
        <v>0.57340899999999995</v>
      </c>
      <c r="N135" s="115">
        <v>0.57535400000000003</v>
      </c>
      <c r="O135" s="214">
        <v>7.4999999999999997E-3</v>
      </c>
      <c r="P135" s="115">
        <v>6.2206000000000001</v>
      </c>
      <c r="Q135" s="769">
        <v>3.12</v>
      </c>
      <c r="R135" s="216"/>
      <c r="S135" s="216">
        <v>3.12</v>
      </c>
      <c r="T135" s="216">
        <v>26</v>
      </c>
      <c r="U135" s="216">
        <v>2.319</v>
      </c>
      <c r="V135" s="115">
        <v>-26.962216361931681</v>
      </c>
      <c r="W135" s="109"/>
      <c r="X135" s="109">
        <v>68.7</v>
      </c>
      <c r="Y135" s="109" t="s">
        <v>164</v>
      </c>
      <c r="Z135" s="109">
        <v>0</v>
      </c>
      <c r="AA135" s="109">
        <v>0</v>
      </c>
      <c r="AB135" s="109"/>
      <c r="AC135" s="109"/>
      <c r="AD135" s="765"/>
      <c r="AE135" s="765" t="s">
        <v>10</v>
      </c>
      <c r="AF135" s="765"/>
      <c r="AG135" s="765"/>
      <c r="AH135" s="109" t="s">
        <v>522</v>
      </c>
      <c r="AJ135" s="2" t="s">
        <v>1544</v>
      </c>
      <c r="AL135" s="2" t="s">
        <v>680</v>
      </c>
      <c r="AM135" s="2" t="s">
        <v>2295</v>
      </c>
      <c r="AN135" s="2" t="s">
        <v>952</v>
      </c>
      <c r="AO135" s="2">
        <v>1</v>
      </c>
      <c r="AP135" s="2" t="s">
        <v>4673</v>
      </c>
      <c r="AQ135" s="2" t="s">
        <v>4469</v>
      </c>
      <c r="AR135" s="2" t="s">
        <v>4638</v>
      </c>
      <c r="AT135" s="765"/>
      <c r="AU135" s="765"/>
      <c r="AV135" s="765"/>
      <c r="AW135" s="765"/>
    </row>
    <row r="136" spans="1:49" x14ac:dyDescent="0.25">
      <c r="A136" s="23" t="s">
        <v>1681</v>
      </c>
      <c r="B136" s="108" t="s">
        <v>529</v>
      </c>
      <c r="C136" s="108" t="s">
        <v>1682</v>
      </c>
      <c r="D136" s="108" t="s">
        <v>1683</v>
      </c>
      <c r="E136" s="108" t="s">
        <v>1684</v>
      </c>
      <c r="F136" s="114" t="s">
        <v>698</v>
      </c>
      <c r="G136" s="213" t="s">
        <v>1687</v>
      </c>
      <c r="H136" s="115" t="s">
        <v>1685</v>
      </c>
      <c r="I136" s="213">
        <v>161661626.37</v>
      </c>
      <c r="J136" s="109">
        <v>1.6305700000000001</v>
      </c>
      <c r="K136" s="109" t="s">
        <v>695</v>
      </c>
      <c r="L136" s="115">
        <v>0.7190170051</v>
      </c>
      <c r="M136" s="115">
        <v>0</v>
      </c>
      <c r="N136" s="115">
        <v>0</v>
      </c>
      <c r="O136" s="214">
        <v>5.4351999999999998E-2</v>
      </c>
      <c r="P136" s="115">
        <v>0.50239999999999996</v>
      </c>
      <c r="Q136" s="769"/>
      <c r="R136" s="216"/>
      <c r="S136" s="216">
        <v>0.50239999999999996</v>
      </c>
      <c r="T136" s="216">
        <v>11</v>
      </c>
      <c r="U136" s="216"/>
      <c r="V136" s="115"/>
      <c r="W136" s="109">
        <v>120</v>
      </c>
      <c r="X136" s="109"/>
      <c r="Y136" s="109" t="s">
        <v>1686</v>
      </c>
      <c r="Z136" s="109"/>
      <c r="AA136" s="109"/>
      <c r="AB136" s="109"/>
      <c r="AC136" s="109"/>
      <c r="AD136" s="765"/>
      <c r="AE136" s="765" t="s">
        <v>7</v>
      </c>
      <c r="AF136" s="765"/>
      <c r="AG136" s="765" t="s">
        <v>1062</v>
      </c>
      <c r="AH136" s="109"/>
      <c r="AI136" s="2" t="s">
        <v>7</v>
      </c>
      <c r="AL136" s="2" t="s">
        <v>680</v>
      </c>
      <c r="AM136" s="2" t="s">
        <v>1656</v>
      </c>
      <c r="AN136" s="2" t="s">
        <v>952</v>
      </c>
      <c r="AO136" s="2">
        <v>0.85365748900000005</v>
      </c>
      <c r="AP136" s="2" t="s">
        <v>4660</v>
      </c>
      <c r="AQ136" s="2" t="s">
        <v>4676</v>
      </c>
      <c r="AR136" s="2" t="s">
        <v>4661</v>
      </c>
      <c r="AT136" s="765"/>
      <c r="AU136" s="765"/>
      <c r="AV136" s="765"/>
      <c r="AW136" s="765"/>
    </row>
    <row r="137" spans="1:49" x14ac:dyDescent="0.25">
      <c r="A137" s="23" t="s">
        <v>2612</v>
      </c>
      <c r="B137" s="108" t="s">
        <v>1643</v>
      </c>
      <c r="C137" s="108" t="s">
        <v>2613</v>
      </c>
      <c r="D137" s="108" t="s">
        <v>2291</v>
      </c>
      <c r="E137" s="108" t="s">
        <v>2614</v>
      </c>
      <c r="F137" s="114" t="s">
        <v>694</v>
      </c>
      <c r="G137" s="213" t="s">
        <v>2380</v>
      </c>
      <c r="H137" s="115" t="s">
        <v>2620</v>
      </c>
      <c r="I137" s="213">
        <v>333527368.50999999</v>
      </c>
      <c r="J137" s="109">
        <v>0.95222899999999999</v>
      </c>
      <c r="K137" s="109" t="s">
        <v>696</v>
      </c>
      <c r="L137" s="115">
        <v>0.87241934129999998</v>
      </c>
      <c r="M137" s="115">
        <v>0</v>
      </c>
      <c r="N137" s="115">
        <v>0</v>
      </c>
      <c r="O137" s="214">
        <v>7.1416999999999994E-2</v>
      </c>
      <c r="P137" s="115">
        <v>4.9170999999999996</v>
      </c>
      <c r="Q137" s="769"/>
      <c r="R137" s="216"/>
      <c r="S137" s="216">
        <v>4.9170999999999996</v>
      </c>
      <c r="T137" s="216">
        <v>27</v>
      </c>
      <c r="U137" s="216"/>
      <c r="V137" s="115"/>
      <c r="W137" s="109"/>
      <c r="X137" s="109"/>
      <c r="Y137" s="109" t="s">
        <v>727</v>
      </c>
      <c r="Z137" s="109">
        <v>8.5838068331078219</v>
      </c>
      <c r="AA137" s="109">
        <v>11.1657313565227</v>
      </c>
      <c r="AB137" s="109"/>
      <c r="AC137" s="109"/>
      <c r="AD137" s="765"/>
      <c r="AE137" s="765" t="s">
        <v>674</v>
      </c>
      <c r="AF137" s="765"/>
      <c r="AG137" s="765"/>
      <c r="AH137" s="109"/>
      <c r="AL137" s="2" t="s">
        <v>680</v>
      </c>
      <c r="AM137" s="2" t="s">
        <v>2295</v>
      </c>
      <c r="AN137" s="2" t="s">
        <v>952</v>
      </c>
      <c r="AO137" s="2">
        <v>0.879799471</v>
      </c>
      <c r="AP137" s="2" t="s">
        <v>4673</v>
      </c>
      <c r="AQ137" s="2" t="s">
        <v>4469</v>
      </c>
      <c r="AR137" s="2" t="s">
        <v>4638</v>
      </c>
      <c r="AT137" s="765"/>
      <c r="AU137" s="765"/>
      <c r="AV137" s="765"/>
      <c r="AW137" s="765"/>
    </row>
    <row r="138" spans="1:49" x14ac:dyDescent="0.25">
      <c r="A138" s="23" t="s">
        <v>2406</v>
      </c>
      <c r="B138" s="108" t="s">
        <v>684</v>
      </c>
      <c r="C138" s="108" t="s">
        <v>1739</v>
      </c>
      <c r="D138" s="108" t="s">
        <v>1731</v>
      </c>
      <c r="E138" s="108" t="s">
        <v>2407</v>
      </c>
      <c r="F138" s="114" t="s">
        <v>694</v>
      </c>
      <c r="G138" s="213" t="s">
        <v>2408</v>
      </c>
      <c r="H138" s="115" t="s">
        <v>1867</v>
      </c>
      <c r="I138" s="213">
        <v>46569158.590000004</v>
      </c>
      <c r="J138" s="109">
        <v>3.3565700000000001</v>
      </c>
      <c r="K138" s="109" t="s">
        <v>695</v>
      </c>
      <c r="L138" s="115">
        <v>0.16205577779999999</v>
      </c>
      <c r="M138" s="115">
        <v>100.175163</v>
      </c>
      <c r="N138" s="115">
        <v>100.212242</v>
      </c>
      <c r="O138" s="214">
        <v>2.7970999999999999E-2</v>
      </c>
      <c r="P138" s="115">
        <v>0.88580000000000003</v>
      </c>
      <c r="Q138" s="769">
        <v>7.5457684819999996E-2</v>
      </c>
      <c r="R138" s="216"/>
      <c r="S138" s="216">
        <v>7.5457684819999996E-2</v>
      </c>
      <c r="T138" s="216">
        <v>2</v>
      </c>
      <c r="U138" s="216">
        <v>3.169</v>
      </c>
      <c r="V138" s="115">
        <v>167.71631638602</v>
      </c>
      <c r="W138" s="109">
        <v>290</v>
      </c>
      <c r="X138" s="109">
        <v>287.26560050404998</v>
      </c>
      <c r="Y138" s="109" t="s">
        <v>532</v>
      </c>
      <c r="Z138" s="109">
        <v>19.003361860741752</v>
      </c>
      <c r="AA138" s="109">
        <v>26.604760968233691</v>
      </c>
      <c r="AB138" s="109" t="s">
        <v>253</v>
      </c>
      <c r="AC138" s="109" t="s">
        <v>247</v>
      </c>
      <c r="AD138" s="765" t="s">
        <v>2057</v>
      </c>
      <c r="AE138" s="765" t="s">
        <v>7</v>
      </c>
      <c r="AF138" s="765"/>
      <c r="AG138" s="765"/>
      <c r="AH138" s="109" t="s">
        <v>7</v>
      </c>
      <c r="AL138" s="2" t="s">
        <v>680</v>
      </c>
      <c r="AM138" s="2" t="s">
        <v>1736</v>
      </c>
      <c r="AN138" s="2" t="s">
        <v>952</v>
      </c>
      <c r="AO138" s="2">
        <v>0.170541845</v>
      </c>
      <c r="AP138" s="2" t="s">
        <v>4637</v>
      </c>
      <c r="AQ138" s="2" t="s">
        <v>4469</v>
      </c>
      <c r="AR138" s="2" t="s">
        <v>4638</v>
      </c>
      <c r="AT138" s="765"/>
      <c r="AU138" s="765"/>
      <c r="AV138" s="765"/>
      <c r="AW138" s="765"/>
    </row>
    <row r="139" spans="1:49" x14ac:dyDescent="0.25">
      <c r="A139" s="23" t="s">
        <v>1161</v>
      </c>
      <c r="B139" s="108" t="s">
        <v>148</v>
      </c>
      <c r="C139" s="108" t="s">
        <v>145</v>
      </c>
      <c r="D139" s="108" t="s">
        <v>149</v>
      </c>
      <c r="E139" s="108" t="s">
        <v>1162</v>
      </c>
      <c r="F139" s="114" t="s">
        <v>694</v>
      </c>
      <c r="G139" s="213" t="s">
        <v>1163</v>
      </c>
      <c r="H139" s="115" t="s">
        <v>1164</v>
      </c>
      <c r="I139" s="213">
        <v>937077.07</v>
      </c>
      <c r="J139" s="109">
        <v>8</v>
      </c>
      <c r="K139" s="109" t="s">
        <v>696</v>
      </c>
      <c r="L139" s="115">
        <v>2.0191830000000001E-2</v>
      </c>
      <c r="M139" s="115">
        <v>113.04079400000001</v>
      </c>
      <c r="N139" s="115">
        <v>113.142357</v>
      </c>
      <c r="O139" s="214">
        <v>0.6</v>
      </c>
      <c r="P139" s="115">
        <v>2.7082999999999999</v>
      </c>
      <c r="Q139" s="769">
        <v>2.2375079058299998</v>
      </c>
      <c r="R139" s="216"/>
      <c r="S139" s="216">
        <v>2.2375079058299998</v>
      </c>
      <c r="T139" s="216">
        <v>26</v>
      </c>
      <c r="U139" s="216">
        <v>2.7959999999999998</v>
      </c>
      <c r="V139" s="115">
        <v>27.179284582179999</v>
      </c>
      <c r="W139" s="109"/>
      <c r="X139" s="109">
        <v>12.230551685089999</v>
      </c>
      <c r="Y139" s="109"/>
      <c r="Z139" s="109">
        <v>7.1544663142747993</v>
      </c>
      <c r="AA139" s="109">
        <v>8.5436276352697345</v>
      </c>
      <c r="AB139" s="109" t="s">
        <v>2552</v>
      </c>
      <c r="AC139" s="109" t="s">
        <v>4677</v>
      </c>
      <c r="AD139" s="765" t="s">
        <v>2626</v>
      </c>
      <c r="AE139" s="765" t="s">
        <v>625</v>
      </c>
      <c r="AF139" s="765"/>
      <c r="AG139" s="765"/>
      <c r="AH139" s="109"/>
      <c r="AL139" s="2" t="s">
        <v>679</v>
      </c>
      <c r="AM139" s="2" t="s">
        <v>706</v>
      </c>
      <c r="AN139" s="2" t="s">
        <v>952</v>
      </c>
      <c r="AO139" s="2">
        <v>2.0482920000000002E-2</v>
      </c>
      <c r="AP139" s="2" t="s">
        <v>4673</v>
      </c>
      <c r="AQ139" s="2" t="s">
        <v>4396</v>
      </c>
      <c r="AR139" s="2" t="s">
        <v>4844</v>
      </c>
      <c r="AT139" s="765"/>
      <c r="AU139" s="765"/>
      <c r="AV139" s="765"/>
      <c r="AW139" s="765"/>
    </row>
    <row r="140" spans="1:49" x14ac:dyDescent="0.25">
      <c r="A140" s="23" t="s">
        <v>1165</v>
      </c>
      <c r="B140" s="108" t="s">
        <v>148</v>
      </c>
      <c r="C140" s="108" t="s">
        <v>145</v>
      </c>
      <c r="D140" s="108" t="s">
        <v>149</v>
      </c>
      <c r="E140" s="108" t="s">
        <v>1166</v>
      </c>
      <c r="F140" s="114" t="s">
        <v>694</v>
      </c>
      <c r="G140" s="213" t="s">
        <v>1167</v>
      </c>
      <c r="H140" s="115" t="s">
        <v>1168</v>
      </c>
      <c r="I140" s="213">
        <v>2045841.21</v>
      </c>
      <c r="J140" s="109">
        <v>7.5</v>
      </c>
      <c r="K140" s="109" t="s">
        <v>696</v>
      </c>
      <c r="L140" s="115">
        <v>3.6629349999999998E-2</v>
      </c>
      <c r="M140" s="115">
        <v>117.246078</v>
      </c>
      <c r="N140" s="115">
        <v>117.339828</v>
      </c>
      <c r="O140" s="214">
        <v>0.5625</v>
      </c>
      <c r="P140" s="115">
        <v>3.0991</v>
      </c>
      <c r="Q140" s="769">
        <v>3.2851831442299999</v>
      </c>
      <c r="R140" s="216"/>
      <c r="S140" s="216">
        <v>3.2851831442299999</v>
      </c>
      <c r="T140" s="216">
        <v>27</v>
      </c>
      <c r="U140" s="216">
        <v>1.6220000000000001</v>
      </c>
      <c r="V140" s="115">
        <v>-96.459806967549994</v>
      </c>
      <c r="W140" s="109"/>
      <c r="X140" s="109">
        <v>8.7710727431300004</v>
      </c>
      <c r="Y140" s="109"/>
      <c r="Z140" s="109">
        <v>0.84721241370743217</v>
      </c>
      <c r="AA140" s="109">
        <v>12.83796442010868</v>
      </c>
      <c r="AB140" s="109" t="s">
        <v>1169</v>
      </c>
      <c r="AC140" s="109"/>
      <c r="AD140" s="765"/>
      <c r="AE140" s="765" t="s">
        <v>625</v>
      </c>
      <c r="AF140" s="765"/>
      <c r="AG140" s="765"/>
      <c r="AH140" s="109"/>
      <c r="AL140" s="2" t="s">
        <v>679</v>
      </c>
      <c r="AM140" s="2" t="s">
        <v>706</v>
      </c>
      <c r="AN140" s="2" t="s">
        <v>952</v>
      </c>
      <c r="AO140" s="2">
        <v>3.6893049999999997E-2</v>
      </c>
      <c r="AP140" s="2" t="s">
        <v>4673</v>
      </c>
      <c r="AQ140" s="2" t="s">
        <v>4396</v>
      </c>
      <c r="AR140" s="2" t="s">
        <v>4844</v>
      </c>
      <c r="AT140" s="765"/>
      <c r="AU140" s="765"/>
      <c r="AV140" s="765"/>
      <c r="AW140" s="765"/>
    </row>
    <row r="141" spans="1:49" x14ac:dyDescent="0.25">
      <c r="A141" s="23" t="s">
        <v>1170</v>
      </c>
      <c r="B141" s="108" t="s">
        <v>144</v>
      </c>
      <c r="C141" s="108" t="s">
        <v>145</v>
      </c>
      <c r="D141" s="108" t="s">
        <v>1171</v>
      </c>
      <c r="E141" s="108" t="s">
        <v>1172</v>
      </c>
      <c r="F141" s="114" t="s">
        <v>694</v>
      </c>
      <c r="G141" s="213" t="s">
        <v>1173</v>
      </c>
      <c r="H141" s="115" t="s">
        <v>1174</v>
      </c>
      <c r="I141" s="213">
        <v>328268.13</v>
      </c>
      <c r="J141" s="109">
        <v>2.2050000000000001</v>
      </c>
      <c r="K141" s="109" t="s">
        <v>695</v>
      </c>
      <c r="L141" s="115">
        <v>4.083738E-2</v>
      </c>
      <c r="M141" s="115">
        <v>100.20031</v>
      </c>
      <c r="N141" s="115">
        <v>100.21856699999999</v>
      </c>
      <c r="O141" s="214">
        <v>0.16537499999999999</v>
      </c>
      <c r="P141" s="115">
        <v>0.91149999999999998</v>
      </c>
      <c r="Q141" s="769">
        <v>0.74932306783000002</v>
      </c>
      <c r="R141" s="216"/>
      <c r="S141" s="216">
        <v>0.74932306783000002</v>
      </c>
      <c r="T141" s="216">
        <v>26</v>
      </c>
      <c r="U141" s="216">
        <v>2.4830000000000001</v>
      </c>
      <c r="V141" s="115">
        <v>91.985082561949994</v>
      </c>
      <c r="W141" s="109">
        <v>199.6</v>
      </c>
      <c r="X141" s="109">
        <v>72.750912501269994</v>
      </c>
      <c r="Y141" s="109"/>
      <c r="Z141" s="109">
        <v>4.3408086843801152</v>
      </c>
      <c r="AA141" s="109">
        <v>11.630475301930471</v>
      </c>
      <c r="AB141" s="109" t="s">
        <v>4512</v>
      </c>
      <c r="AC141" s="109" t="s">
        <v>4909</v>
      </c>
      <c r="AD141" s="765" t="s">
        <v>2598</v>
      </c>
      <c r="AE141" s="765" t="s">
        <v>625</v>
      </c>
      <c r="AF141" s="765"/>
      <c r="AG141" s="765"/>
      <c r="AH141" s="109"/>
      <c r="AL141" s="2" t="s">
        <v>679</v>
      </c>
      <c r="AM141" s="2" t="s">
        <v>705</v>
      </c>
      <c r="AN141" s="2" t="s">
        <v>952</v>
      </c>
      <c r="AO141" s="2">
        <v>4.2803420000000002E-2</v>
      </c>
      <c r="AP141" s="2" t="s">
        <v>4673</v>
      </c>
      <c r="AQ141" s="2" t="s">
        <v>4671</v>
      </c>
      <c r="AR141" s="2" t="s">
        <v>5115</v>
      </c>
      <c r="AT141" s="765"/>
      <c r="AU141" s="765"/>
      <c r="AV141" s="765"/>
      <c r="AW141" s="765"/>
    </row>
    <row r="142" spans="1:49" x14ac:dyDescent="0.25">
      <c r="A142" s="23" t="s">
        <v>1175</v>
      </c>
      <c r="B142" s="108" t="s">
        <v>148</v>
      </c>
      <c r="C142" s="108" t="s">
        <v>145</v>
      </c>
      <c r="D142" s="108" t="s">
        <v>149</v>
      </c>
      <c r="E142" s="108" t="s">
        <v>1176</v>
      </c>
      <c r="F142" s="114" t="s">
        <v>694</v>
      </c>
      <c r="G142" s="213" t="s">
        <v>1177</v>
      </c>
      <c r="H142" s="115" t="s">
        <v>1178</v>
      </c>
      <c r="I142" s="213">
        <v>1270143.3600000001</v>
      </c>
      <c r="J142" s="109">
        <v>6</v>
      </c>
      <c r="K142" s="109" t="s">
        <v>696</v>
      </c>
      <c r="L142" s="115">
        <v>9.9460499999999997E-3</v>
      </c>
      <c r="M142" s="115">
        <v>110.739594</v>
      </c>
      <c r="N142" s="115">
        <v>110.755062</v>
      </c>
      <c r="O142" s="214">
        <v>0.45</v>
      </c>
      <c r="P142" s="115">
        <v>4.3895999999999997</v>
      </c>
      <c r="Q142" s="769">
        <v>3.5510173834500001</v>
      </c>
      <c r="R142" s="216"/>
      <c r="S142" s="216">
        <v>3.5510173834500001</v>
      </c>
      <c r="T142" s="216">
        <v>27</v>
      </c>
      <c r="U142" s="216">
        <v>3.2280000000000002</v>
      </c>
      <c r="V142" s="115">
        <v>63.228858527420002</v>
      </c>
      <c r="W142" s="109"/>
      <c r="X142" s="109">
        <v>63.743202291529997</v>
      </c>
      <c r="Y142" s="109"/>
      <c r="Z142" s="109">
        <v>0.17155234023041871</v>
      </c>
      <c r="AA142" s="109">
        <v>34.250774397048808</v>
      </c>
      <c r="AB142" s="109" t="s">
        <v>4678</v>
      </c>
      <c r="AC142" s="109" t="s">
        <v>2923</v>
      </c>
      <c r="AD142" s="765" t="s">
        <v>3360</v>
      </c>
      <c r="AE142" s="765" t="s">
        <v>625</v>
      </c>
      <c r="AF142" s="765"/>
      <c r="AG142" s="765"/>
      <c r="AH142" s="109"/>
      <c r="AL142" s="2" t="s">
        <v>679</v>
      </c>
      <c r="AM142" s="2" t="s">
        <v>706</v>
      </c>
      <c r="AN142" s="2" t="s">
        <v>952</v>
      </c>
      <c r="AO142" s="2">
        <v>9.9833400000000003E-3</v>
      </c>
      <c r="AP142" s="2" t="s">
        <v>4673</v>
      </c>
      <c r="AQ142" s="2" t="s">
        <v>4396</v>
      </c>
      <c r="AR142" s="2" t="s">
        <v>4844</v>
      </c>
      <c r="AT142" s="765"/>
      <c r="AU142" s="765"/>
      <c r="AV142" s="765"/>
      <c r="AW142" s="765"/>
    </row>
    <row r="143" spans="1:49" x14ac:dyDescent="0.25">
      <c r="A143" s="23" t="s">
        <v>1179</v>
      </c>
      <c r="B143" s="108" t="s">
        <v>148</v>
      </c>
      <c r="C143" s="108" t="s">
        <v>145</v>
      </c>
      <c r="D143" s="108" t="s">
        <v>149</v>
      </c>
      <c r="E143" s="108" t="s">
        <v>1180</v>
      </c>
      <c r="F143" s="114" t="s">
        <v>694</v>
      </c>
      <c r="G143" s="213" t="s">
        <v>1181</v>
      </c>
      <c r="H143" s="115" t="s">
        <v>1182</v>
      </c>
      <c r="I143" s="213">
        <v>2191401.06</v>
      </c>
      <c r="J143" s="109">
        <v>6.5</v>
      </c>
      <c r="K143" s="109" t="s">
        <v>696</v>
      </c>
      <c r="L143" s="115">
        <v>2.1497860000000001E-2</v>
      </c>
      <c r="M143" s="115">
        <v>112.30555</v>
      </c>
      <c r="N143" s="115">
        <v>112.383675</v>
      </c>
      <c r="O143" s="214">
        <v>0.48749999999999999</v>
      </c>
      <c r="P143" s="115">
        <v>4.3079000000000001</v>
      </c>
      <c r="Q143" s="769">
        <v>3.57494501615</v>
      </c>
      <c r="R143" s="216"/>
      <c r="S143" s="216">
        <v>3.57494501615</v>
      </c>
      <c r="T143" s="216">
        <v>26</v>
      </c>
      <c r="U143" s="216">
        <v>3.2679999999999998</v>
      </c>
      <c r="V143" s="115">
        <v>67.322521374999994</v>
      </c>
      <c r="W143" s="109"/>
      <c r="X143" s="109">
        <v>70.639228256389998</v>
      </c>
      <c r="Y143" s="109"/>
      <c r="Z143" s="109">
        <v>0.97291197985158728</v>
      </c>
      <c r="AA143" s="109">
        <v>10.41969788222136</v>
      </c>
      <c r="AB143" s="109" t="s">
        <v>1183</v>
      </c>
      <c r="AC143" s="109" t="s">
        <v>248</v>
      </c>
      <c r="AD143" s="765" t="s">
        <v>3952</v>
      </c>
      <c r="AE143" s="765" t="s">
        <v>625</v>
      </c>
      <c r="AF143" s="765"/>
      <c r="AG143" s="765"/>
      <c r="AH143" s="109"/>
      <c r="AL143" s="2" t="s">
        <v>679</v>
      </c>
      <c r="AM143" s="2" t="s">
        <v>706</v>
      </c>
      <c r="AN143" s="2" t="s">
        <v>952</v>
      </c>
      <c r="AO143" s="2">
        <v>2.1591800000000001E-2</v>
      </c>
      <c r="AP143" s="2" t="s">
        <v>4673</v>
      </c>
      <c r="AQ143" s="2" t="s">
        <v>4396</v>
      </c>
      <c r="AR143" s="2" t="s">
        <v>4844</v>
      </c>
      <c r="AT143" s="765"/>
      <c r="AU143" s="765"/>
      <c r="AV143" s="765"/>
      <c r="AW143" s="765"/>
    </row>
    <row r="144" spans="1:49" x14ac:dyDescent="0.25">
      <c r="A144" s="23" t="s">
        <v>1184</v>
      </c>
      <c r="B144" s="108" t="s">
        <v>148</v>
      </c>
      <c r="C144" s="108" t="s">
        <v>145</v>
      </c>
      <c r="D144" s="108" t="s">
        <v>149</v>
      </c>
      <c r="E144" s="108" t="s">
        <v>1185</v>
      </c>
      <c r="F144" s="114" t="s">
        <v>694</v>
      </c>
      <c r="G144" s="213" t="s">
        <v>1186</v>
      </c>
      <c r="H144" s="115" t="s">
        <v>1187</v>
      </c>
      <c r="I144" s="213">
        <v>11957341.359999999</v>
      </c>
      <c r="J144" s="109">
        <v>7</v>
      </c>
      <c r="K144" s="109" t="s">
        <v>696</v>
      </c>
      <c r="L144" s="115">
        <v>1.557708E-2</v>
      </c>
      <c r="M144" s="115">
        <v>113.794235</v>
      </c>
      <c r="N144" s="115">
        <v>113.880173</v>
      </c>
      <c r="O144" s="214">
        <v>0.52500000000000002</v>
      </c>
      <c r="P144" s="115">
        <v>4.1284999999999998</v>
      </c>
      <c r="Q144" s="769">
        <v>3.42377231604</v>
      </c>
      <c r="R144" s="216"/>
      <c r="S144" s="216">
        <v>3.42377231604</v>
      </c>
      <c r="T144" s="216">
        <v>27</v>
      </c>
      <c r="U144" s="216">
        <v>3.238</v>
      </c>
      <c r="V144" s="115">
        <v>64.390305189879996</v>
      </c>
      <c r="W144" s="109"/>
      <c r="X144" s="109">
        <v>71.497018221559998</v>
      </c>
      <c r="Y144" s="109"/>
      <c r="Z144" s="109">
        <v>3.1534395993679132</v>
      </c>
      <c r="AA144" s="109">
        <v>22.914650912899461</v>
      </c>
      <c r="AB144" s="109" t="s">
        <v>3922</v>
      </c>
      <c r="AC144" s="109" t="s">
        <v>1515</v>
      </c>
      <c r="AD144" s="765" t="s">
        <v>1957</v>
      </c>
      <c r="AE144" s="765" t="s">
        <v>625</v>
      </c>
      <c r="AF144" s="765"/>
      <c r="AG144" s="765"/>
      <c r="AH144" s="109"/>
      <c r="AL144" s="2" t="s">
        <v>679</v>
      </c>
      <c r="AM144" s="2" t="s">
        <v>706</v>
      </c>
      <c r="AN144" s="2" t="s">
        <v>952</v>
      </c>
      <c r="AO144" s="2">
        <v>1.5676579999999999E-2</v>
      </c>
      <c r="AP144" s="2" t="s">
        <v>4673</v>
      </c>
      <c r="AQ144" s="2" t="s">
        <v>4396</v>
      </c>
      <c r="AR144" s="2" t="s">
        <v>4844</v>
      </c>
      <c r="AT144" s="765"/>
      <c r="AU144" s="765"/>
      <c r="AV144" s="765"/>
      <c r="AW144" s="765"/>
    </row>
    <row r="145" spans="1:49" x14ac:dyDescent="0.25">
      <c r="A145" s="23" t="s">
        <v>1188</v>
      </c>
      <c r="B145" s="108" t="s">
        <v>148</v>
      </c>
      <c r="C145" s="108" t="s">
        <v>145</v>
      </c>
      <c r="D145" s="108" t="s">
        <v>149</v>
      </c>
      <c r="E145" s="108" t="s">
        <v>1189</v>
      </c>
      <c r="F145" s="114" t="s">
        <v>694</v>
      </c>
      <c r="G145" s="213" t="s">
        <v>1190</v>
      </c>
      <c r="H145" s="115" t="s">
        <v>1191</v>
      </c>
      <c r="I145" s="213">
        <v>35233360</v>
      </c>
      <c r="J145" s="109">
        <v>5.5</v>
      </c>
      <c r="K145" s="109" t="s">
        <v>696</v>
      </c>
      <c r="L145" s="115">
        <v>1.7616679999999999E-2</v>
      </c>
      <c r="M145" s="115">
        <v>109.375298</v>
      </c>
      <c r="N145" s="115">
        <v>109.398735</v>
      </c>
      <c r="O145" s="214">
        <v>0.41249999999999998</v>
      </c>
      <c r="P145" s="115">
        <v>4.4489999999999998</v>
      </c>
      <c r="Q145" s="769">
        <v>3.6814480501400002</v>
      </c>
      <c r="R145" s="216"/>
      <c r="S145" s="216">
        <v>3.6814480501400002</v>
      </c>
      <c r="T145" s="216">
        <v>27</v>
      </c>
      <c r="U145" s="216">
        <v>3.113</v>
      </c>
      <c r="V145" s="115">
        <v>51.673674218050003</v>
      </c>
      <c r="W145" s="109"/>
      <c r="X145" s="109">
        <v>52.677660491940003</v>
      </c>
      <c r="Y145" s="109"/>
      <c r="Z145" s="109">
        <v>20.38246105270181</v>
      </c>
      <c r="AA145" s="109">
        <v>22.08654552565498</v>
      </c>
      <c r="AB145" s="109" t="s">
        <v>245</v>
      </c>
      <c r="AC145" s="109" t="s">
        <v>1383</v>
      </c>
      <c r="AD145" s="765" t="s">
        <v>252</v>
      </c>
      <c r="AE145" s="765" t="s">
        <v>625</v>
      </c>
      <c r="AF145" s="765"/>
      <c r="AG145" s="765"/>
      <c r="AH145" s="109"/>
      <c r="AL145" s="2" t="s">
        <v>679</v>
      </c>
      <c r="AM145" s="2" t="s">
        <v>706</v>
      </c>
      <c r="AN145" s="2" t="s">
        <v>952</v>
      </c>
      <c r="AO145" s="2">
        <v>1.8014820000000001E-2</v>
      </c>
      <c r="AP145" s="2" t="s">
        <v>4673</v>
      </c>
      <c r="AQ145" s="2" t="s">
        <v>4396</v>
      </c>
      <c r="AR145" s="2" t="s">
        <v>4844</v>
      </c>
      <c r="AT145" s="765"/>
      <c r="AU145" s="765"/>
      <c r="AV145" s="765"/>
      <c r="AW145" s="765"/>
    </row>
    <row r="146" spans="1:49" x14ac:dyDescent="0.25">
      <c r="A146" s="23" t="s">
        <v>1193</v>
      </c>
      <c r="B146" s="108" t="s">
        <v>147</v>
      </c>
      <c r="C146" s="108" t="s">
        <v>145</v>
      </c>
      <c r="D146" s="108" t="s">
        <v>793</v>
      </c>
      <c r="E146" s="108" t="s">
        <v>1194</v>
      </c>
      <c r="F146" s="114" t="s">
        <v>694</v>
      </c>
      <c r="G146" s="213" t="s">
        <v>1195</v>
      </c>
      <c r="H146" s="115" t="s">
        <v>1196</v>
      </c>
      <c r="I146" s="213">
        <v>233465.71</v>
      </c>
      <c r="J146" s="109">
        <v>5.5</v>
      </c>
      <c r="K146" s="109" t="s">
        <v>696</v>
      </c>
      <c r="L146" s="115">
        <v>4.3119400000000002E-3</v>
      </c>
      <c r="M146" s="115">
        <v>101.80849499999999</v>
      </c>
      <c r="N146" s="115">
        <v>101.83914900000001</v>
      </c>
      <c r="O146" s="214">
        <v>0.41249999999999998</v>
      </c>
      <c r="P146" s="115">
        <v>0.4506</v>
      </c>
      <c r="Q146" s="769">
        <v>0.43299239469</v>
      </c>
      <c r="R146" s="216"/>
      <c r="S146" s="216">
        <v>0.43299239469</v>
      </c>
      <c r="T146" s="216">
        <v>27</v>
      </c>
      <c r="U146" s="216">
        <v>0.999</v>
      </c>
      <c r="V146" s="115">
        <v>5.6522207311799999</v>
      </c>
      <c r="W146" s="109"/>
      <c r="X146" s="109">
        <v>-51.40515172576</v>
      </c>
      <c r="Y146" s="109"/>
      <c r="Z146" s="109">
        <v>36.965575039924317</v>
      </c>
      <c r="AA146" s="109">
        <v>24.635474439114059</v>
      </c>
      <c r="AB146" s="109" t="s">
        <v>4519</v>
      </c>
      <c r="AC146" s="109" t="s">
        <v>4910</v>
      </c>
      <c r="AD146" s="765" t="s">
        <v>4514</v>
      </c>
      <c r="AE146" s="765" t="s">
        <v>625</v>
      </c>
      <c r="AF146" s="765"/>
      <c r="AG146" s="765"/>
      <c r="AH146" s="109"/>
      <c r="AL146" s="2" t="s">
        <v>679</v>
      </c>
      <c r="AM146" s="2" t="s">
        <v>706</v>
      </c>
      <c r="AN146" s="2" t="s">
        <v>952</v>
      </c>
      <c r="AO146" s="2">
        <v>4.8426299999999997E-3</v>
      </c>
      <c r="AP146" s="2" t="s">
        <v>4673</v>
      </c>
      <c r="AQ146" s="2" t="s">
        <v>4396</v>
      </c>
      <c r="AR146" s="2" t="s">
        <v>4844</v>
      </c>
      <c r="AT146" s="765"/>
      <c r="AU146" s="765"/>
      <c r="AV146" s="765"/>
      <c r="AW146" s="765"/>
    </row>
    <row r="147" spans="1:49" x14ac:dyDescent="0.25">
      <c r="A147" s="23" t="s">
        <v>848</v>
      </c>
      <c r="B147" s="108" t="s">
        <v>148</v>
      </c>
      <c r="C147" s="108" t="s">
        <v>145</v>
      </c>
      <c r="D147" s="108" t="s">
        <v>149</v>
      </c>
      <c r="E147" s="108" t="s">
        <v>1198</v>
      </c>
      <c r="F147" s="114" t="s">
        <v>694</v>
      </c>
      <c r="G147" s="213" t="s">
        <v>1199</v>
      </c>
      <c r="H147" s="115" t="s">
        <v>1200</v>
      </c>
      <c r="I147" s="213">
        <v>76179844.189999998</v>
      </c>
      <c r="J147" s="109">
        <v>3.5</v>
      </c>
      <c r="K147" s="109" t="s">
        <v>696</v>
      </c>
      <c r="L147" s="115">
        <v>0.10932076</v>
      </c>
      <c r="M147" s="115">
        <v>100.29465500000001</v>
      </c>
      <c r="N147" s="115">
        <v>100.32590500000001</v>
      </c>
      <c r="O147" s="214">
        <v>0.26250000000000001</v>
      </c>
      <c r="P147" s="115">
        <v>7.0530999999999997</v>
      </c>
      <c r="Q147" s="769">
        <v>4.60325668718</v>
      </c>
      <c r="R147" s="216"/>
      <c r="S147" s="216">
        <v>4.60325668718</v>
      </c>
      <c r="T147" s="216">
        <v>26</v>
      </c>
      <c r="U147" s="216">
        <v>3.4510000000000001</v>
      </c>
      <c r="V147" s="115">
        <v>87.033999997850003</v>
      </c>
      <c r="W147" s="109"/>
      <c r="X147" s="109">
        <v>33.412371360830001</v>
      </c>
      <c r="Y147" s="109"/>
      <c r="Z147" s="109">
        <v>20.081174043711631</v>
      </c>
      <c r="AA147" s="109">
        <v>42.313913766882067</v>
      </c>
      <c r="AB147" s="109" t="s">
        <v>236</v>
      </c>
      <c r="AC147" s="109" t="s">
        <v>250</v>
      </c>
      <c r="AD147" s="765" t="s">
        <v>253</v>
      </c>
      <c r="AE147" s="765" t="s">
        <v>625</v>
      </c>
      <c r="AF147" s="765"/>
      <c r="AG147" s="765"/>
      <c r="AH147" s="109"/>
      <c r="AL147" s="2" t="s">
        <v>679</v>
      </c>
      <c r="AM147" s="2" t="s">
        <v>706</v>
      </c>
      <c r="AN147" s="2" t="s">
        <v>952</v>
      </c>
      <c r="AO147" s="2">
        <v>0.11157303</v>
      </c>
      <c r="AP147" s="2" t="s">
        <v>4673</v>
      </c>
      <c r="AQ147" s="2" t="s">
        <v>4396</v>
      </c>
      <c r="AR147" s="2" t="s">
        <v>4844</v>
      </c>
      <c r="AT147" s="765"/>
      <c r="AU147" s="765"/>
      <c r="AV147" s="765"/>
      <c r="AW147" s="765"/>
    </row>
    <row r="148" spans="1:49" x14ac:dyDescent="0.25">
      <c r="A148" s="23" t="s">
        <v>841</v>
      </c>
      <c r="B148" s="108" t="s">
        <v>148</v>
      </c>
      <c r="C148" s="108" t="s">
        <v>145</v>
      </c>
      <c r="D148" s="108" t="s">
        <v>149</v>
      </c>
      <c r="E148" s="108" t="s">
        <v>1201</v>
      </c>
      <c r="F148" s="114" t="s">
        <v>694</v>
      </c>
      <c r="G148" s="213" t="s">
        <v>1136</v>
      </c>
      <c r="H148" s="115" t="s">
        <v>1137</v>
      </c>
      <c r="I148" s="213">
        <v>396620388.44</v>
      </c>
      <c r="J148" s="109">
        <v>4</v>
      </c>
      <c r="K148" s="109" t="s">
        <v>696</v>
      </c>
      <c r="L148" s="115">
        <v>0.11262577999999999</v>
      </c>
      <c r="M148" s="115">
        <v>101.76992</v>
      </c>
      <c r="N148" s="115">
        <v>101.791691</v>
      </c>
      <c r="O148" s="214">
        <v>0.3</v>
      </c>
      <c r="P148" s="115">
        <v>6.4108999999999998</v>
      </c>
      <c r="Q148" s="769">
        <v>4.0766796423800002</v>
      </c>
      <c r="R148" s="216"/>
      <c r="S148" s="216">
        <v>4.0766796423800002</v>
      </c>
      <c r="T148" s="216">
        <v>27</v>
      </c>
      <c r="U148" s="216">
        <v>3.6640000000000001</v>
      </c>
      <c r="V148" s="115">
        <v>107.60358620892001</v>
      </c>
      <c r="W148" s="109"/>
      <c r="X148" s="109">
        <v>47.431805421679996</v>
      </c>
      <c r="Y148" s="109"/>
      <c r="Z148" s="109">
        <v>35.805316655698192</v>
      </c>
      <c r="AA148" s="109">
        <v>43.775377706764033</v>
      </c>
      <c r="AB148" s="109" t="s">
        <v>236</v>
      </c>
      <c r="AC148" s="109" t="s">
        <v>237</v>
      </c>
      <c r="AD148" s="765" t="s">
        <v>246</v>
      </c>
      <c r="AE148" s="765" t="s">
        <v>625</v>
      </c>
      <c r="AF148" s="765"/>
      <c r="AG148" s="765"/>
      <c r="AH148" s="109"/>
      <c r="AL148" s="2" t="s">
        <v>679</v>
      </c>
      <c r="AM148" s="2" t="s">
        <v>706</v>
      </c>
      <c r="AN148" s="2" t="s">
        <v>952</v>
      </c>
      <c r="AO148" s="2">
        <v>0.11704421</v>
      </c>
      <c r="AP148" s="2" t="s">
        <v>4673</v>
      </c>
      <c r="AQ148" s="2" t="s">
        <v>4396</v>
      </c>
      <c r="AR148" s="2" t="s">
        <v>4844</v>
      </c>
      <c r="AT148" s="765"/>
      <c r="AU148" s="765"/>
      <c r="AV148" s="765"/>
      <c r="AW148" s="765"/>
    </row>
    <row r="149" spans="1:49" x14ac:dyDescent="0.25">
      <c r="A149" s="23" t="s">
        <v>893</v>
      </c>
      <c r="B149" s="108" t="s">
        <v>148</v>
      </c>
      <c r="C149" s="108" t="s">
        <v>145</v>
      </c>
      <c r="D149" s="108" t="s">
        <v>149</v>
      </c>
      <c r="E149" s="108" t="s">
        <v>1203</v>
      </c>
      <c r="F149" s="114" t="s">
        <v>694</v>
      </c>
      <c r="G149" s="213" t="s">
        <v>1106</v>
      </c>
      <c r="H149" s="115" t="s">
        <v>1139</v>
      </c>
      <c r="I149" s="213">
        <v>437885341.00999999</v>
      </c>
      <c r="J149" s="109">
        <v>4</v>
      </c>
      <c r="K149" s="109" t="s">
        <v>696</v>
      </c>
      <c r="L149" s="115">
        <v>0.12494094</v>
      </c>
      <c r="M149" s="115">
        <v>101.623322</v>
      </c>
      <c r="N149" s="115">
        <v>101.64509200000001</v>
      </c>
      <c r="O149" s="214">
        <v>0.3</v>
      </c>
      <c r="P149" s="115">
        <v>6.407</v>
      </c>
      <c r="Q149" s="769">
        <v>4.07010060045</v>
      </c>
      <c r="R149" s="216"/>
      <c r="S149" s="216">
        <v>4.07010060045</v>
      </c>
      <c r="T149" s="216">
        <v>27</v>
      </c>
      <c r="U149" s="216">
        <v>3.6920000000000002</v>
      </c>
      <c r="V149" s="115">
        <v>110.34761871747</v>
      </c>
      <c r="W149" s="109"/>
      <c r="X149" s="109">
        <v>50.45970692113</v>
      </c>
      <c r="Y149" s="109"/>
      <c r="Z149" s="109">
        <v>38.422565151647461</v>
      </c>
      <c r="AA149" s="109">
        <v>42.080088076229693</v>
      </c>
      <c r="AB149" s="109" t="s">
        <v>236</v>
      </c>
      <c r="AC149" s="109" t="s">
        <v>244</v>
      </c>
      <c r="AD149" s="765" t="s">
        <v>253</v>
      </c>
      <c r="AE149" s="765" t="s">
        <v>625</v>
      </c>
      <c r="AF149" s="765"/>
      <c r="AG149" s="765"/>
      <c r="AH149" s="109"/>
      <c r="AL149" s="2" t="s">
        <v>679</v>
      </c>
      <c r="AM149" s="2" t="s">
        <v>706</v>
      </c>
      <c r="AN149" s="2" t="s">
        <v>952</v>
      </c>
      <c r="AO149" s="2">
        <v>0.13029584</v>
      </c>
      <c r="AP149" s="2" t="s">
        <v>4673</v>
      </c>
      <c r="AQ149" s="2" t="s">
        <v>4396</v>
      </c>
      <c r="AR149" s="2" t="s">
        <v>4844</v>
      </c>
      <c r="AT149" s="765"/>
      <c r="AU149" s="765"/>
      <c r="AV149" s="765"/>
      <c r="AW149" s="765"/>
    </row>
    <row r="150" spans="1:49" x14ac:dyDescent="0.25">
      <c r="A150" s="23" t="s">
        <v>892</v>
      </c>
      <c r="B150" s="108" t="s">
        <v>148</v>
      </c>
      <c r="C150" s="108" t="s">
        <v>145</v>
      </c>
      <c r="D150" s="108" t="s">
        <v>149</v>
      </c>
      <c r="E150" s="108" t="s">
        <v>1204</v>
      </c>
      <c r="F150" s="114" t="s">
        <v>694</v>
      </c>
      <c r="G150" s="213" t="s">
        <v>1138</v>
      </c>
      <c r="H150" s="115" t="s">
        <v>1205</v>
      </c>
      <c r="I150" s="213">
        <v>829446957.22000003</v>
      </c>
      <c r="J150" s="109">
        <v>3.5</v>
      </c>
      <c r="K150" s="109" t="s">
        <v>696</v>
      </c>
      <c r="L150" s="115">
        <v>0.13243622999999999</v>
      </c>
      <c r="M150" s="115">
        <v>99.658348000000004</v>
      </c>
      <c r="N150" s="115">
        <v>99.689598000000004</v>
      </c>
      <c r="O150" s="214">
        <v>0.26250000000000001</v>
      </c>
      <c r="P150" s="115">
        <v>7.1420000000000003</v>
      </c>
      <c r="Q150" s="769">
        <v>4.6458042545599998</v>
      </c>
      <c r="R150" s="216"/>
      <c r="S150" s="216">
        <v>4.6458042545599998</v>
      </c>
      <c r="T150" s="216">
        <v>26</v>
      </c>
      <c r="U150" s="216">
        <v>3.5609999999999999</v>
      </c>
      <c r="V150" s="115">
        <v>98.395709916629997</v>
      </c>
      <c r="W150" s="109"/>
      <c r="X150" s="109">
        <v>43.388567182469998</v>
      </c>
      <c r="Y150" s="109"/>
      <c r="Z150" s="109">
        <v>30.95096649416185</v>
      </c>
      <c r="AA150" s="109">
        <v>41.101429694875378</v>
      </c>
      <c r="AB150" s="109" t="s">
        <v>239</v>
      </c>
      <c r="AC150" s="109" t="s">
        <v>250</v>
      </c>
      <c r="AD150" s="765" t="s">
        <v>253</v>
      </c>
      <c r="AE150" s="765" t="s">
        <v>625</v>
      </c>
      <c r="AF150" s="765"/>
      <c r="AG150" s="765"/>
      <c r="AH150" s="109"/>
      <c r="AL150" s="2" t="s">
        <v>679</v>
      </c>
      <c r="AM150" s="2" t="s">
        <v>706</v>
      </c>
      <c r="AN150" s="2" t="s">
        <v>952</v>
      </c>
      <c r="AO150" s="2">
        <v>0.13681055</v>
      </c>
      <c r="AP150" s="2" t="s">
        <v>4673</v>
      </c>
      <c r="AQ150" s="2" t="s">
        <v>4396</v>
      </c>
      <c r="AR150" s="2" t="s">
        <v>4844</v>
      </c>
      <c r="AT150" s="765"/>
      <c r="AU150" s="765"/>
      <c r="AV150" s="765"/>
      <c r="AW150" s="765"/>
    </row>
    <row r="151" spans="1:49" x14ac:dyDescent="0.25">
      <c r="A151" s="23" t="s">
        <v>1206</v>
      </c>
      <c r="B151" s="108" t="s">
        <v>147</v>
      </c>
      <c r="C151" s="108" t="s">
        <v>145</v>
      </c>
      <c r="D151" s="108" t="s">
        <v>793</v>
      </c>
      <c r="E151" s="108" t="s">
        <v>1207</v>
      </c>
      <c r="F151" s="114" t="s">
        <v>694</v>
      </c>
      <c r="G151" s="213" t="s">
        <v>1208</v>
      </c>
      <c r="H151" s="115" t="s">
        <v>1209</v>
      </c>
      <c r="I151" s="213">
        <v>0</v>
      </c>
      <c r="J151" s="109">
        <v>5</v>
      </c>
      <c r="K151" s="109" t="s">
        <v>696</v>
      </c>
      <c r="L151" s="115">
        <v>0</v>
      </c>
      <c r="M151" s="115">
        <v>0</v>
      </c>
      <c r="N151" s="115">
        <v>0</v>
      </c>
      <c r="O151" s="214">
        <v>0</v>
      </c>
      <c r="P151" s="115"/>
      <c r="Q151" s="769"/>
      <c r="R151" s="216"/>
      <c r="S151" s="216">
        <v>-0.32328767123287672</v>
      </c>
      <c r="T151" s="216">
        <v>0</v>
      </c>
      <c r="U151" s="216"/>
      <c r="V151" s="115"/>
      <c r="W151" s="109"/>
      <c r="X151" s="109"/>
      <c r="Y151" s="109"/>
      <c r="Z151" s="109">
        <v>0</v>
      </c>
      <c r="AA151" s="109">
        <v>63.731352246869193</v>
      </c>
      <c r="AB151" s="109" t="s">
        <v>3947</v>
      </c>
      <c r="AC151" s="109" t="s">
        <v>3948</v>
      </c>
      <c r="AD151" s="765" t="s">
        <v>2859</v>
      </c>
      <c r="AE151" s="765" t="s">
        <v>625</v>
      </c>
      <c r="AF151" s="765"/>
      <c r="AG151" s="765"/>
      <c r="AH151" s="109"/>
      <c r="AL151" s="2" t="s">
        <v>679</v>
      </c>
      <c r="AM151" s="2" t="s">
        <v>706</v>
      </c>
      <c r="AN151" s="2" t="s">
        <v>952</v>
      </c>
      <c r="AO151" s="2">
        <v>5.2349999999999999E-5</v>
      </c>
      <c r="AP151" s="2" t="s">
        <v>4673</v>
      </c>
      <c r="AQ151" s="2" t="s">
        <v>3519</v>
      </c>
      <c r="AR151" s="2" t="s">
        <v>4844</v>
      </c>
      <c r="AT151" s="765"/>
      <c r="AU151" s="765"/>
      <c r="AV151" s="765"/>
      <c r="AW151" s="765"/>
    </row>
    <row r="152" spans="1:49" x14ac:dyDescent="0.25">
      <c r="A152" s="23" t="s">
        <v>1211</v>
      </c>
      <c r="B152" s="108" t="s">
        <v>147</v>
      </c>
      <c r="C152" s="108" t="s">
        <v>145</v>
      </c>
      <c r="D152" s="108" t="s">
        <v>793</v>
      </c>
      <c r="E152" s="108" t="s">
        <v>1212</v>
      </c>
      <c r="F152" s="114" t="s">
        <v>694</v>
      </c>
      <c r="G152" s="213" t="s">
        <v>1213</v>
      </c>
      <c r="H152" s="115" t="s">
        <v>1214</v>
      </c>
      <c r="I152" s="213">
        <v>48507.69</v>
      </c>
      <c r="J152" s="109">
        <v>6.5</v>
      </c>
      <c r="K152" s="109" t="s">
        <v>696</v>
      </c>
      <c r="L152" s="115">
        <v>4.0171900000000003E-3</v>
      </c>
      <c r="M152" s="115">
        <v>100.66920500000001</v>
      </c>
      <c r="N152" s="115">
        <v>100.693645</v>
      </c>
      <c r="O152" s="214">
        <v>0.48749999999999999</v>
      </c>
      <c r="P152" s="115">
        <v>0.23430000000000001</v>
      </c>
      <c r="Q152" s="769">
        <v>0.23073407457</v>
      </c>
      <c r="R152" s="216"/>
      <c r="S152" s="216">
        <v>0.23073407457</v>
      </c>
      <c r="T152" s="216">
        <v>27</v>
      </c>
      <c r="U152" s="216">
        <v>2.56</v>
      </c>
      <c r="V152" s="115">
        <v>203.81616567556</v>
      </c>
      <c r="W152" s="109"/>
      <c r="X152" s="109">
        <v>145.87340585748001</v>
      </c>
      <c r="Y152" s="109"/>
      <c r="Z152" s="109">
        <v>8.5703012812780148</v>
      </c>
      <c r="AA152" s="109">
        <v>14.14258466904367</v>
      </c>
      <c r="AB152" s="109" t="s">
        <v>4679</v>
      </c>
      <c r="AC152" s="109" t="s">
        <v>4680</v>
      </c>
      <c r="AD152" s="765" t="s">
        <v>4911</v>
      </c>
      <c r="AE152" s="765" t="s">
        <v>625</v>
      </c>
      <c r="AF152" s="765"/>
      <c r="AG152" s="765"/>
      <c r="AH152" s="109"/>
      <c r="AL152" s="2" t="s">
        <v>679</v>
      </c>
      <c r="AM152" s="2" t="s">
        <v>706</v>
      </c>
      <c r="AN152" s="2" t="s">
        <v>952</v>
      </c>
      <c r="AO152" s="2">
        <v>4.7080899999999998E-3</v>
      </c>
      <c r="AP152" s="2" t="s">
        <v>4673</v>
      </c>
      <c r="AQ152" s="2" t="s">
        <v>4396</v>
      </c>
      <c r="AR152" s="2" t="s">
        <v>4844</v>
      </c>
      <c r="AT152" s="765"/>
      <c r="AU152" s="765"/>
      <c r="AV152" s="765"/>
      <c r="AW152" s="765"/>
    </row>
    <row r="153" spans="1:49" x14ac:dyDescent="0.25">
      <c r="A153" s="23" t="s">
        <v>1215</v>
      </c>
      <c r="B153" s="108" t="s">
        <v>147</v>
      </c>
      <c r="C153" s="108" t="s">
        <v>145</v>
      </c>
      <c r="D153" s="108" t="s">
        <v>793</v>
      </c>
      <c r="E153" s="108" t="s">
        <v>1216</v>
      </c>
      <c r="F153" s="114" t="s">
        <v>694</v>
      </c>
      <c r="G153" s="213" t="s">
        <v>1217</v>
      </c>
      <c r="H153" s="115" t="s">
        <v>1218</v>
      </c>
      <c r="I153" s="213">
        <v>40246.050000000003</v>
      </c>
      <c r="J153" s="109">
        <v>6</v>
      </c>
      <c r="K153" s="109" t="s">
        <v>696</v>
      </c>
      <c r="L153" s="115">
        <v>9.2178499999999997E-3</v>
      </c>
      <c r="M153" s="115">
        <v>101.849091</v>
      </c>
      <c r="N153" s="115">
        <v>101.870216</v>
      </c>
      <c r="O153" s="214">
        <v>0.45</v>
      </c>
      <c r="P153" s="115">
        <v>0.53639999999999999</v>
      </c>
      <c r="Q153" s="769">
        <v>0.54251155714999999</v>
      </c>
      <c r="R153" s="216"/>
      <c r="S153" s="216">
        <v>0.54251155714999999</v>
      </c>
      <c r="T153" s="216">
        <v>27</v>
      </c>
      <c r="U153" s="216">
        <v>2.0939999999999999</v>
      </c>
      <c r="V153" s="115">
        <v>101.67638422361</v>
      </c>
      <c r="W153" s="109"/>
      <c r="X153" s="109">
        <v>66.256543117310002</v>
      </c>
      <c r="Y153" s="109"/>
      <c r="Z153" s="109">
        <v>82.800538168701877</v>
      </c>
      <c r="AA153" s="109">
        <v>55.515368962956011</v>
      </c>
      <c r="AB153" s="109" t="s">
        <v>4912</v>
      </c>
      <c r="AC153" s="109" t="s">
        <v>4913</v>
      </c>
      <c r="AD153" s="765" t="s">
        <v>1154</v>
      </c>
      <c r="AE153" s="765" t="s">
        <v>625</v>
      </c>
      <c r="AF153" s="765"/>
      <c r="AG153" s="765"/>
      <c r="AH153" s="109"/>
      <c r="AL153" s="2" t="s">
        <v>679</v>
      </c>
      <c r="AM153" s="2" t="s">
        <v>706</v>
      </c>
      <c r="AN153" s="2" t="s">
        <v>952</v>
      </c>
      <c r="AO153" s="2">
        <v>1.1407199999999999E-2</v>
      </c>
      <c r="AP153" s="2" t="s">
        <v>4673</v>
      </c>
      <c r="AQ153" s="2" t="s">
        <v>4396</v>
      </c>
      <c r="AR153" s="2" t="s">
        <v>4844</v>
      </c>
      <c r="AT153" s="765"/>
      <c r="AU153" s="765"/>
      <c r="AV153" s="765"/>
      <c r="AW153" s="765"/>
    </row>
    <row r="154" spans="1:49" x14ac:dyDescent="0.25">
      <c r="A154" s="23" t="s">
        <v>1220</v>
      </c>
      <c r="B154" s="108" t="s">
        <v>147</v>
      </c>
      <c r="C154" s="108" t="s">
        <v>145</v>
      </c>
      <c r="D154" s="108" t="s">
        <v>793</v>
      </c>
      <c r="E154" s="108" t="s">
        <v>1221</v>
      </c>
      <c r="F154" s="114" t="s">
        <v>694</v>
      </c>
      <c r="G154" s="213" t="s">
        <v>1222</v>
      </c>
      <c r="H154" s="115" t="s">
        <v>1223</v>
      </c>
      <c r="I154" s="213">
        <v>78587.600000000006</v>
      </c>
      <c r="J154" s="109">
        <v>4.5</v>
      </c>
      <c r="K154" s="109" t="s">
        <v>696</v>
      </c>
      <c r="L154" s="115">
        <v>1.8407E-3</v>
      </c>
      <c r="M154" s="115">
        <v>101.506989</v>
      </c>
      <c r="N154" s="115">
        <v>101.527412</v>
      </c>
      <c r="O154" s="214">
        <v>0.33750000000000002</v>
      </c>
      <c r="P154" s="115">
        <v>0.81110000000000004</v>
      </c>
      <c r="Q154" s="769">
        <v>0.78703314931000001</v>
      </c>
      <c r="R154" s="216"/>
      <c r="S154" s="216">
        <v>0.78703314931000001</v>
      </c>
      <c r="T154" s="216">
        <v>27</v>
      </c>
      <c r="U154" s="216">
        <v>2.4079999999999999</v>
      </c>
      <c r="V154" s="115">
        <v>97.536807320340003</v>
      </c>
      <c r="W154" s="109"/>
      <c r="X154" s="109">
        <v>52.735014824209998</v>
      </c>
      <c r="Y154" s="109"/>
      <c r="Z154" s="109">
        <v>9.123968845559105E-4</v>
      </c>
      <c r="AA154" s="109">
        <v>56.267546892921402</v>
      </c>
      <c r="AB154" s="109" t="s">
        <v>3710</v>
      </c>
      <c r="AC154" s="109" t="s">
        <v>3711</v>
      </c>
      <c r="AD154" s="765"/>
      <c r="AE154" s="765" t="s">
        <v>625</v>
      </c>
      <c r="AF154" s="765"/>
      <c r="AG154" s="765"/>
      <c r="AH154" s="109"/>
      <c r="AL154" s="2" t="s">
        <v>679</v>
      </c>
      <c r="AM154" s="2" t="s">
        <v>706</v>
      </c>
      <c r="AN154" s="2" t="s">
        <v>952</v>
      </c>
      <c r="AO154" s="2">
        <v>1.92005E-3</v>
      </c>
      <c r="AP154" s="2" t="s">
        <v>4673</v>
      </c>
      <c r="AQ154" s="2" t="s">
        <v>4396</v>
      </c>
      <c r="AR154" s="2" t="s">
        <v>4844</v>
      </c>
      <c r="AT154" s="765"/>
      <c r="AU154" s="765"/>
      <c r="AV154" s="765"/>
      <c r="AW154" s="765"/>
    </row>
    <row r="155" spans="1:49" x14ac:dyDescent="0.25">
      <c r="A155" s="23" t="s">
        <v>1224</v>
      </c>
      <c r="B155" s="108" t="s">
        <v>147</v>
      </c>
      <c r="C155" s="108" t="s">
        <v>145</v>
      </c>
      <c r="D155" s="108" t="s">
        <v>793</v>
      </c>
      <c r="E155" s="108" t="s">
        <v>1225</v>
      </c>
      <c r="F155" s="114" t="s">
        <v>694</v>
      </c>
      <c r="G155" s="213" t="s">
        <v>1226</v>
      </c>
      <c r="H155" s="115" t="s">
        <v>1227</v>
      </c>
      <c r="I155" s="213">
        <v>402655.3</v>
      </c>
      <c r="J155" s="109">
        <v>4</v>
      </c>
      <c r="K155" s="109" t="s">
        <v>696</v>
      </c>
      <c r="L155" s="115">
        <v>2.1378769999999998E-2</v>
      </c>
      <c r="M155" s="115">
        <v>102.684273</v>
      </c>
      <c r="N155" s="115">
        <v>102.700935</v>
      </c>
      <c r="O155" s="214">
        <v>0.3</v>
      </c>
      <c r="P155" s="115">
        <v>1.23</v>
      </c>
      <c r="Q155" s="769">
        <v>1.1693742359699999</v>
      </c>
      <c r="R155" s="216"/>
      <c r="S155" s="216">
        <v>1.1693742359699999</v>
      </c>
      <c r="T155" s="216">
        <v>26</v>
      </c>
      <c r="U155" s="216">
        <v>1.6619999999999999</v>
      </c>
      <c r="V155" s="115">
        <v>-17.467711095879999</v>
      </c>
      <c r="W155" s="109"/>
      <c r="X155" s="109">
        <v>-52.7125902939</v>
      </c>
      <c r="Y155" s="109"/>
      <c r="Z155" s="109">
        <v>78.626984441939157</v>
      </c>
      <c r="AA155" s="109">
        <v>57.417270449216261</v>
      </c>
      <c r="AB155" s="109" t="s">
        <v>4723</v>
      </c>
      <c r="AC155" s="109" t="s">
        <v>4914</v>
      </c>
      <c r="AD155" s="765" t="s">
        <v>4915</v>
      </c>
      <c r="AE155" s="765" t="s">
        <v>625</v>
      </c>
      <c r="AF155" s="765"/>
      <c r="AG155" s="765"/>
      <c r="AH155" s="109"/>
      <c r="AL155" s="2" t="s">
        <v>679</v>
      </c>
      <c r="AM155" s="2" t="s">
        <v>706</v>
      </c>
      <c r="AN155" s="2" t="s">
        <v>952</v>
      </c>
      <c r="AO155" s="2">
        <v>2.4961589999999999E-2</v>
      </c>
      <c r="AP155" s="2" t="s">
        <v>4673</v>
      </c>
      <c r="AQ155" s="2" t="s">
        <v>4396</v>
      </c>
      <c r="AR155" s="2" t="s">
        <v>4844</v>
      </c>
      <c r="AT155" s="765"/>
      <c r="AU155" s="765"/>
      <c r="AV155" s="765"/>
      <c r="AW155" s="765"/>
    </row>
    <row r="156" spans="1:49" x14ac:dyDescent="0.25">
      <c r="A156" s="23" t="s">
        <v>1228</v>
      </c>
      <c r="B156" s="108" t="s">
        <v>147</v>
      </c>
      <c r="C156" s="108" t="s">
        <v>145</v>
      </c>
      <c r="D156" s="108" t="s">
        <v>793</v>
      </c>
      <c r="E156" s="108" t="s">
        <v>1229</v>
      </c>
      <c r="F156" s="114" t="s">
        <v>694</v>
      </c>
      <c r="G156" s="213" t="s">
        <v>1230</v>
      </c>
      <c r="H156" s="115" t="s">
        <v>1231</v>
      </c>
      <c r="I156" s="213">
        <v>38635451.649999999</v>
      </c>
      <c r="J156" s="109">
        <v>3.5</v>
      </c>
      <c r="K156" s="109" t="s">
        <v>696</v>
      </c>
      <c r="L156" s="115">
        <v>2.3942979999999999E-2</v>
      </c>
      <c r="M156" s="115">
        <v>101.779015</v>
      </c>
      <c r="N156" s="115">
        <v>101.803139</v>
      </c>
      <c r="O156" s="214">
        <v>0.26250000000000001</v>
      </c>
      <c r="P156" s="115">
        <v>1.3708</v>
      </c>
      <c r="Q156" s="769">
        <v>1.2698159061600001</v>
      </c>
      <c r="R156" s="216"/>
      <c r="S156" s="216">
        <v>1.2698159061600001</v>
      </c>
      <c r="T156" s="216">
        <v>26</v>
      </c>
      <c r="U156" s="216">
        <v>2.0830000000000002</v>
      </c>
      <c r="V156" s="115">
        <v>14.420818336609999</v>
      </c>
      <c r="W156" s="109"/>
      <c r="X156" s="109">
        <v>-21.92666690763</v>
      </c>
      <c r="Y156" s="109"/>
      <c r="Z156" s="109">
        <v>16.182493536123719</v>
      </c>
      <c r="AA156" s="109">
        <v>19.511176493680981</v>
      </c>
      <c r="AB156" s="109" t="s">
        <v>239</v>
      </c>
      <c r="AC156" s="109" t="s">
        <v>2428</v>
      </c>
      <c r="AD156" s="765" t="s">
        <v>1202</v>
      </c>
      <c r="AE156" s="765" t="s">
        <v>625</v>
      </c>
      <c r="AF156" s="765"/>
      <c r="AG156" s="765"/>
      <c r="AH156" s="109"/>
      <c r="AL156" s="2" t="s">
        <v>679</v>
      </c>
      <c r="AM156" s="2" t="s">
        <v>706</v>
      </c>
      <c r="AN156" s="2" t="s">
        <v>952</v>
      </c>
      <c r="AO156" s="2">
        <v>2.4895130000000001E-2</v>
      </c>
      <c r="AP156" s="2" t="s">
        <v>4673</v>
      </c>
      <c r="AQ156" s="2" t="s">
        <v>4396</v>
      </c>
      <c r="AR156" s="2" t="s">
        <v>4844</v>
      </c>
      <c r="AT156" s="765"/>
      <c r="AU156" s="765"/>
      <c r="AV156" s="765"/>
      <c r="AW156" s="765"/>
    </row>
    <row r="157" spans="1:49" x14ac:dyDescent="0.25">
      <c r="A157" s="23" t="s">
        <v>1232</v>
      </c>
      <c r="B157" s="108" t="s">
        <v>147</v>
      </c>
      <c r="C157" s="108" t="s">
        <v>145</v>
      </c>
      <c r="D157" s="108" t="s">
        <v>793</v>
      </c>
      <c r="E157" s="108" t="s">
        <v>1233</v>
      </c>
      <c r="F157" s="114" t="s">
        <v>694</v>
      </c>
      <c r="G157" s="213" t="s">
        <v>1234</v>
      </c>
      <c r="H157" s="115" t="s">
        <v>1235</v>
      </c>
      <c r="I157" s="213">
        <v>1570369.37</v>
      </c>
      <c r="J157" s="109">
        <v>3</v>
      </c>
      <c r="K157" s="109" t="s">
        <v>696</v>
      </c>
      <c r="L157" s="115">
        <v>0.12222474</v>
      </c>
      <c r="M157" s="115">
        <v>100.382019</v>
      </c>
      <c r="N157" s="115">
        <v>100.402546</v>
      </c>
      <c r="O157" s="214">
        <v>0.22500000000000001</v>
      </c>
      <c r="P157" s="115">
        <v>2.0154000000000001</v>
      </c>
      <c r="Q157" s="769">
        <v>1.9225903954500001</v>
      </c>
      <c r="R157" s="216"/>
      <c r="S157" s="216">
        <v>1.9225903954500001</v>
      </c>
      <c r="T157" s="216">
        <v>26</v>
      </c>
      <c r="U157" s="216">
        <v>2.758</v>
      </c>
      <c r="V157" s="115">
        <v>39.663304911239997</v>
      </c>
      <c r="W157" s="109"/>
      <c r="X157" s="109">
        <v>30.340484343210001</v>
      </c>
      <c r="Y157" s="109"/>
      <c r="Z157" s="109">
        <v>1.7133698151298391</v>
      </c>
      <c r="AA157" s="109">
        <v>24.867005688631082</v>
      </c>
      <c r="AB157" s="109" t="s">
        <v>4681</v>
      </c>
      <c r="AC157" s="109" t="s">
        <v>241</v>
      </c>
      <c r="AD157" s="765" t="s">
        <v>246</v>
      </c>
      <c r="AE157" s="765" t="s">
        <v>625</v>
      </c>
      <c r="AF157" s="765"/>
      <c r="AG157" s="765"/>
      <c r="AH157" s="109"/>
      <c r="AL157" s="2" t="s">
        <v>679</v>
      </c>
      <c r="AM157" s="2" t="s">
        <v>706</v>
      </c>
      <c r="AN157" s="2" t="s">
        <v>952</v>
      </c>
      <c r="AO157" s="2">
        <v>0.12429598</v>
      </c>
      <c r="AP157" s="2" t="s">
        <v>4673</v>
      </c>
      <c r="AQ157" s="2" t="s">
        <v>4396</v>
      </c>
      <c r="AR157" s="2" t="s">
        <v>4844</v>
      </c>
      <c r="AT157" s="765"/>
      <c r="AU157" s="765"/>
      <c r="AV157" s="765"/>
      <c r="AW157" s="765"/>
    </row>
    <row r="158" spans="1:49" x14ac:dyDescent="0.25">
      <c r="A158" s="23" t="s">
        <v>1236</v>
      </c>
      <c r="B158" s="108" t="s">
        <v>147</v>
      </c>
      <c r="C158" s="108" t="s">
        <v>145</v>
      </c>
      <c r="D158" s="108" t="s">
        <v>793</v>
      </c>
      <c r="E158" s="108" t="s">
        <v>1237</v>
      </c>
      <c r="F158" s="114" t="s">
        <v>694</v>
      </c>
      <c r="G158" s="213" t="s">
        <v>1238</v>
      </c>
      <c r="H158" s="115" t="s">
        <v>1239</v>
      </c>
      <c r="I158" s="213">
        <v>166585.24</v>
      </c>
      <c r="J158" s="109">
        <v>2.5</v>
      </c>
      <c r="K158" s="109" t="s">
        <v>696</v>
      </c>
      <c r="L158" s="115">
        <v>8.5944480000000004E-2</v>
      </c>
      <c r="M158" s="115">
        <v>98.635413999999997</v>
      </c>
      <c r="N158" s="115">
        <v>98.666663999999997</v>
      </c>
      <c r="O158" s="214">
        <v>0.1875</v>
      </c>
      <c r="P158" s="115">
        <v>2.0169000000000001</v>
      </c>
      <c r="Q158" s="769">
        <v>1.90406004717</v>
      </c>
      <c r="R158" s="216"/>
      <c r="S158" s="216">
        <v>1.90406004717</v>
      </c>
      <c r="T158" s="216">
        <v>26</v>
      </c>
      <c r="U158" s="216">
        <v>3.1789999999999998</v>
      </c>
      <c r="V158" s="115">
        <v>81.714874848180003</v>
      </c>
      <c r="W158" s="109"/>
      <c r="X158" s="109">
        <v>73.525573611179993</v>
      </c>
      <c r="Y158" s="109"/>
      <c r="Z158" s="109">
        <v>94.052008277558556</v>
      </c>
      <c r="AA158" s="109">
        <v>40.442801198385759</v>
      </c>
      <c r="AB158" s="109" t="s">
        <v>4916</v>
      </c>
      <c r="AC158" s="109" t="s">
        <v>3717</v>
      </c>
      <c r="AD158" s="765" t="s">
        <v>4917</v>
      </c>
      <c r="AE158" s="765" t="s">
        <v>625</v>
      </c>
      <c r="AF158" s="765"/>
      <c r="AG158" s="765"/>
      <c r="AH158" s="109"/>
      <c r="AL158" s="2" t="s">
        <v>679</v>
      </c>
      <c r="AM158" s="2" t="s">
        <v>706</v>
      </c>
      <c r="AN158" s="2" t="s">
        <v>952</v>
      </c>
      <c r="AO158" s="2">
        <v>0.11044601</v>
      </c>
      <c r="AP158" s="2" t="s">
        <v>4673</v>
      </c>
      <c r="AQ158" s="2" t="s">
        <v>4396</v>
      </c>
      <c r="AR158" s="2" t="s">
        <v>4844</v>
      </c>
      <c r="AT158" s="765"/>
      <c r="AU158" s="765"/>
      <c r="AV158" s="765"/>
      <c r="AW158" s="765"/>
    </row>
    <row r="159" spans="1:49" x14ac:dyDescent="0.25">
      <c r="A159" s="23" t="s">
        <v>792</v>
      </c>
      <c r="B159" s="108" t="s">
        <v>147</v>
      </c>
      <c r="C159" s="108" t="s">
        <v>145</v>
      </c>
      <c r="D159" s="108" t="s">
        <v>793</v>
      </c>
      <c r="E159" s="108" t="s">
        <v>1240</v>
      </c>
      <c r="F159" s="114" t="s">
        <v>694</v>
      </c>
      <c r="G159" s="213" t="s">
        <v>1129</v>
      </c>
      <c r="H159" s="115" t="s">
        <v>1241</v>
      </c>
      <c r="I159" s="213">
        <v>2593948.1</v>
      </c>
      <c r="J159" s="109">
        <v>4</v>
      </c>
      <c r="K159" s="109" t="s">
        <v>696</v>
      </c>
      <c r="L159" s="115">
        <v>0.50730832000000003</v>
      </c>
      <c r="M159" s="115">
        <v>104.66690800000001</v>
      </c>
      <c r="N159" s="115">
        <v>104.71378300000001</v>
      </c>
      <c r="O159" s="214">
        <v>0.3</v>
      </c>
      <c r="P159" s="115">
        <v>3.4123000000000001</v>
      </c>
      <c r="Q159" s="769">
        <v>3.05718434417</v>
      </c>
      <c r="R159" s="216"/>
      <c r="S159" s="216">
        <v>3.05718434417</v>
      </c>
      <c r="T159" s="216">
        <v>26</v>
      </c>
      <c r="U159" s="216">
        <v>2.5019999999999998</v>
      </c>
      <c r="V159" s="115">
        <v>-8.6858549041799993</v>
      </c>
      <c r="W159" s="109"/>
      <c r="X159" s="109">
        <v>-8.3808208826699992</v>
      </c>
      <c r="Y159" s="109"/>
      <c r="Z159" s="109">
        <v>39.578065951290753</v>
      </c>
      <c r="AA159" s="109">
        <v>22.42785354903895</v>
      </c>
      <c r="AB159" s="109" t="s">
        <v>243</v>
      </c>
      <c r="AC159" s="109" t="s">
        <v>4735</v>
      </c>
      <c r="AD159" s="765" t="s">
        <v>1304</v>
      </c>
      <c r="AE159" s="765" t="s">
        <v>625</v>
      </c>
      <c r="AF159" s="765"/>
      <c r="AG159" s="765"/>
      <c r="AH159" s="109"/>
      <c r="AL159" s="2" t="s">
        <v>679</v>
      </c>
      <c r="AM159" s="2" t="s">
        <v>706</v>
      </c>
      <c r="AN159" s="2" t="s">
        <v>952</v>
      </c>
      <c r="AO159" s="2">
        <v>0.53241260999999995</v>
      </c>
      <c r="AP159" s="2" t="s">
        <v>4673</v>
      </c>
      <c r="AQ159" s="2" t="s">
        <v>4396</v>
      </c>
      <c r="AR159" s="2" t="s">
        <v>4844</v>
      </c>
      <c r="AT159" s="765"/>
      <c r="AU159" s="765"/>
      <c r="AV159" s="765"/>
      <c r="AW159" s="765"/>
    </row>
    <row r="160" spans="1:49" x14ac:dyDescent="0.25">
      <c r="A160" s="23" t="s">
        <v>2599</v>
      </c>
      <c r="B160" s="108" t="s">
        <v>540</v>
      </c>
      <c r="C160" s="108" t="s">
        <v>2549</v>
      </c>
      <c r="D160" s="108" t="s">
        <v>954</v>
      </c>
      <c r="E160" s="108" t="s">
        <v>2549</v>
      </c>
      <c r="F160" s="114" t="s">
        <v>697</v>
      </c>
      <c r="G160" s="213" t="s">
        <v>2600</v>
      </c>
      <c r="H160" s="115" t="s">
        <v>2601</v>
      </c>
      <c r="I160" s="213">
        <v>15000000</v>
      </c>
      <c r="J160" s="109">
        <v>2.35</v>
      </c>
      <c r="K160" s="109" t="s">
        <v>696</v>
      </c>
      <c r="L160" s="115">
        <v>1</v>
      </c>
      <c r="M160" s="115">
        <v>98.391000000000005</v>
      </c>
      <c r="N160" s="115">
        <v>98.458500000000001</v>
      </c>
      <c r="O160" s="214">
        <v>1.0444439999999999</v>
      </c>
      <c r="P160" s="115"/>
      <c r="Q160" s="769">
        <v>4.1982717150200326</v>
      </c>
      <c r="R160" s="216">
        <v>6.7980075440986001</v>
      </c>
      <c r="S160" s="216">
        <v>4.1982717150200326</v>
      </c>
      <c r="T160" s="216">
        <v>159</v>
      </c>
      <c r="U160" s="216">
        <v>2.5857787125242822</v>
      </c>
      <c r="V160" s="115"/>
      <c r="W160" s="109"/>
      <c r="X160" s="109">
        <v>-60.534914092272402</v>
      </c>
      <c r="Y160" s="109"/>
      <c r="Z160" s="109"/>
      <c r="AA160" s="109"/>
      <c r="AB160" s="109"/>
      <c r="AC160" s="109"/>
      <c r="AD160" s="765"/>
      <c r="AE160" s="765" t="s">
        <v>7</v>
      </c>
      <c r="AF160" s="765" t="s">
        <v>15</v>
      </c>
      <c r="AG160" s="765" t="s">
        <v>1062</v>
      </c>
      <c r="AH160" s="109"/>
      <c r="AL160" s="2" t="s">
        <v>680</v>
      </c>
      <c r="AM160" s="2" t="s">
        <v>2602</v>
      </c>
      <c r="AN160" s="2" t="s">
        <v>952</v>
      </c>
      <c r="AT160" s="765"/>
      <c r="AU160" s="765"/>
      <c r="AV160" s="765"/>
      <c r="AW160" s="765"/>
    </row>
    <row r="161" spans="1:49" x14ac:dyDescent="0.25">
      <c r="A161" s="23" t="s">
        <v>2603</v>
      </c>
      <c r="B161" s="108" t="s">
        <v>540</v>
      </c>
      <c r="C161" s="108" t="s">
        <v>2549</v>
      </c>
      <c r="D161" s="108" t="s">
        <v>954</v>
      </c>
      <c r="E161" s="108" t="s">
        <v>2549</v>
      </c>
      <c r="F161" s="114" t="s">
        <v>697</v>
      </c>
      <c r="G161" s="213" t="s">
        <v>2604</v>
      </c>
      <c r="H161" s="115" t="s">
        <v>2605</v>
      </c>
      <c r="I161" s="213">
        <v>50000000</v>
      </c>
      <c r="J161" s="109">
        <v>0.98</v>
      </c>
      <c r="K161" s="109" t="s">
        <v>696</v>
      </c>
      <c r="L161" s="115">
        <v>1</v>
      </c>
      <c r="M161" s="115">
        <v>93.477000000000004</v>
      </c>
      <c r="N161" s="115">
        <v>93.543000000000006</v>
      </c>
      <c r="O161" s="214">
        <v>0.111611</v>
      </c>
      <c r="P161" s="115"/>
      <c r="Q161" s="769">
        <v>5.4650330511070901</v>
      </c>
      <c r="R161" s="216">
        <v>6.1250524219643641</v>
      </c>
      <c r="S161" s="216">
        <v>5.4650330511070901</v>
      </c>
      <c r="T161" s="216">
        <v>41</v>
      </c>
      <c r="U161" s="216">
        <v>2.0763055309167102</v>
      </c>
      <c r="V161" s="115"/>
      <c r="W161" s="109"/>
      <c r="X161" s="109">
        <v>-71.966702680816041</v>
      </c>
      <c r="Y161" s="109"/>
      <c r="Z161" s="109"/>
      <c r="AA161" s="109"/>
      <c r="AB161" s="109"/>
      <c r="AC161" s="109"/>
      <c r="AD161" s="765"/>
      <c r="AE161" s="765" t="s">
        <v>7</v>
      </c>
      <c r="AF161" s="765" t="s">
        <v>15</v>
      </c>
      <c r="AG161" s="765" t="s">
        <v>1062</v>
      </c>
      <c r="AH161" s="109"/>
      <c r="AL161" s="2" t="s">
        <v>680</v>
      </c>
      <c r="AM161" s="2" t="s">
        <v>2602</v>
      </c>
      <c r="AN161" s="2" t="s">
        <v>952</v>
      </c>
      <c r="AT161" s="765"/>
      <c r="AU161" s="765"/>
      <c r="AV161" s="765"/>
      <c r="AW161" s="765"/>
    </row>
    <row r="162" spans="1:49" x14ac:dyDescent="0.25">
      <c r="A162" s="23" t="s">
        <v>2606</v>
      </c>
      <c r="B162" s="108" t="s">
        <v>540</v>
      </c>
      <c r="C162" s="108" t="s">
        <v>2549</v>
      </c>
      <c r="D162" s="108" t="s">
        <v>954</v>
      </c>
      <c r="E162" s="108" t="s">
        <v>2549</v>
      </c>
      <c r="F162" s="114" t="s">
        <v>697</v>
      </c>
      <c r="G162" s="213" t="s">
        <v>2581</v>
      </c>
      <c r="H162" s="115" t="s">
        <v>2607</v>
      </c>
      <c r="I162" s="213">
        <v>100000000</v>
      </c>
      <c r="J162" s="109">
        <v>1</v>
      </c>
      <c r="K162" s="109" t="s">
        <v>696</v>
      </c>
      <c r="L162" s="115">
        <v>1</v>
      </c>
      <c r="M162" s="115">
        <v>92.394999999999996</v>
      </c>
      <c r="N162" s="115">
        <v>92.462500000000006</v>
      </c>
      <c r="O162" s="214">
        <v>9.1666999999999998E-2</v>
      </c>
      <c r="P162" s="115"/>
      <c r="Q162" s="769">
        <v>6.5943247352929557</v>
      </c>
      <c r="R162" s="216">
        <v>8.31324085943778</v>
      </c>
      <c r="S162" s="216">
        <v>6.5943247352929557</v>
      </c>
      <c r="T162" s="216">
        <v>33</v>
      </c>
      <c r="U162" s="216">
        <v>2.491636818507327</v>
      </c>
      <c r="V162" s="115"/>
      <c r="W162" s="109"/>
      <c r="X162" s="109">
        <v>-40.194698039769648</v>
      </c>
      <c r="Y162" s="109"/>
      <c r="Z162" s="109"/>
      <c r="AA162" s="109"/>
      <c r="AB162" s="109"/>
      <c r="AC162" s="109"/>
      <c r="AD162" s="765"/>
      <c r="AE162" s="765" t="s">
        <v>7</v>
      </c>
      <c r="AF162" s="765" t="s">
        <v>15</v>
      </c>
      <c r="AG162" s="765" t="s">
        <v>1062</v>
      </c>
      <c r="AH162" s="109"/>
      <c r="AL162" s="2" t="s">
        <v>680</v>
      </c>
      <c r="AM162" s="2" t="s">
        <v>2602</v>
      </c>
      <c r="AN162" s="2" t="s">
        <v>952</v>
      </c>
      <c r="AT162" s="765"/>
      <c r="AU162" s="765"/>
      <c r="AV162" s="765"/>
      <c r="AW162" s="765"/>
    </row>
    <row r="163" spans="1:49" x14ac:dyDescent="0.25">
      <c r="A163" s="23" t="s">
        <v>5046</v>
      </c>
      <c r="B163" s="108" t="s">
        <v>148</v>
      </c>
      <c r="C163" s="108" t="s">
        <v>145</v>
      </c>
      <c r="D163" s="108" t="s">
        <v>153</v>
      </c>
      <c r="E163" s="108" t="s">
        <v>5116</v>
      </c>
      <c r="F163" s="114" t="s">
        <v>694</v>
      </c>
      <c r="G163" s="213" t="s">
        <v>2635</v>
      </c>
      <c r="H163" s="115" t="s">
        <v>1205</v>
      </c>
      <c r="I163" s="213">
        <v>1311075.72</v>
      </c>
      <c r="J163" s="109">
        <v>4.5</v>
      </c>
      <c r="K163" s="109" t="s">
        <v>696</v>
      </c>
      <c r="L163" s="115">
        <v>0.43136558000000003</v>
      </c>
      <c r="M163" s="115">
        <v>105.353577</v>
      </c>
      <c r="N163" s="115">
        <v>105.400452</v>
      </c>
      <c r="O163" s="214">
        <v>0.33750000000000002</v>
      </c>
      <c r="P163" s="115">
        <v>5.3925999999999998</v>
      </c>
      <c r="Q163" s="769">
        <v>4.5937662232500003</v>
      </c>
      <c r="R163" s="216"/>
      <c r="S163" s="216">
        <v>4.5937662232500003</v>
      </c>
      <c r="T163" s="216">
        <v>27</v>
      </c>
      <c r="U163" s="216">
        <v>3.302</v>
      </c>
      <c r="V163" s="115">
        <v>70.610897765499999</v>
      </c>
      <c r="W163" s="109"/>
      <c r="X163" s="109">
        <v>57.846576830399997</v>
      </c>
      <c r="Y163" s="109"/>
      <c r="Z163" s="109">
        <v>2.1163288523031838</v>
      </c>
      <c r="AA163" s="109">
        <v>23.85471781546698</v>
      </c>
      <c r="AB163" s="109" t="s">
        <v>5117</v>
      </c>
      <c r="AC163" s="109" t="s">
        <v>2386</v>
      </c>
      <c r="AD163" s="765" t="s">
        <v>5118</v>
      </c>
      <c r="AE163" s="765" t="s">
        <v>625</v>
      </c>
      <c r="AF163" s="765"/>
      <c r="AG163" s="765"/>
      <c r="AH163" s="109"/>
      <c r="AL163" s="2" t="s">
        <v>679</v>
      </c>
      <c r="AM163" s="2" t="s">
        <v>706</v>
      </c>
      <c r="AN163" s="2" t="s">
        <v>952</v>
      </c>
      <c r="AO163" s="2">
        <v>0.43274053000000001</v>
      </c>
      <c r="AP163" s="2" t="s">
        <v>4673</v>
      </c>
      <c r="AQ163" s="2" t="s">
        <v>4469</v>
      </c>
      <c r="AR163" s="2" t="s">
        <v>4756</v>
      </c>
      <c r="AT163" s="765"/>
      <c r="AU163" s="765"/>
      <c r="AV163" s="765"/>
      <c r="AW163" s="765"/>
    </row>
    <row r="164" spans="1:49" x14ac:dyDescent="0.25">
      <c r="A164" s="23" t="s">
        <v>2736</v>
      </c>
      <c r="B164" s="108" t="s">
        <v>163</v>
      </c>
      <c r="C164" s="108" t="s">
        <v>2737</v>
      </c>
      <c r="D164" s="108" t="s">
        <v>2738</v>
      </c>
      <c r="E164" s="108" t="s">
        <v>2739</v>
      </c>
      <c r="F164" s="114" t="s">
        <v>694</v>
      </c>
      <c r="G164" s="213" t="s">
        <v>2740</v>
      </c>
      <c r="H164" s="115" t="s">
        <v>2741</v>
      </c>
      <c r="I164" s="213">
        <v>19856270.07</v>
      </c>
      <c r="J164" s="109">
        <v>5.5534299999999996</v>
      </c>
      <c r="K164" s="109" t="s">
        <v>695</v>
      </c>
      <c r="L164" s="115">
        <v>0.24058668999999999</v>
      </c>
      <c r="M164" s="115">
        <v>15.400235</v>
      </c>
      <c r="N164" s="115">
        <v>15.555793</v>
      </c>
      <c r="O164" s="214">
        <v>0.200541</v>
      </c>
      <c r="P164" s="115">
        <v>5.0853000000000002</v>
      </c>
      <c r="Q164" s="769">
        <v>16.78258572204</v>
      </c>
      <c r="R164" s="216"/>
      <c r="S164" s="216">
        <v>16.78258572204</v>
      </c>
      <c r="T164" s="216">
        <v>13</v>
      </c>
      <c r="U164" s="216">
        <v>17.731000000000002</v>
      </c>
      <c r="V164" s="115">
        <v>1513.2407996997099</v>
      </c>
      <c r="W164" s="109">
        <v>595</v>
      </c>
      <c r="X164" s="109">
        <v>11.4186899994</v>
      </c>
      <c r="Y164" s="109" t="s">
        <v>2374</v>
      </c>
      <c r="Z164" s="109">
        <v>20.6916925419</v>
      </c>
      <c r="AA164" s="109">
        <v>25.991293293599998</v>
      </c>
      <c r="AB164" s="109" t="s">
        <v>1353</v>
      </c>
      <c r="AC164" s="109" t="s">
        <v>1219</v>
      </c>
      <c r="AD164" s="765" t="s">
        <v>3329</v>
      </c>
      <c r="AE164" s="765" t="s">
        <v>674</v>
      </c>
      <c r="AF164" s="765"/>
      <c r="AG164" s="765"/>
      <c r="AH164" s="109"/>
      <c r="AL164" s="2" t="s">
        <v>679</v>
      </c>
      <c r="AM164" s="2" t="s">
        <v>814</v>
      </c>
      <c r="AN164" s="2" t="s">
        <v>952</v>
      </c>
      <c r="AO164" s="2">
        <v>0.24590153000000001</v>
      </c>
      <c r="AP164" s="2" t="s">
        <v>4673</v>
      </c>
      <c r="AQ164" s="2" t="s">
        <v>4396</v>
      </c>
      <c r="AR164" s="2" t="s">
        <v>4671</v>
      </c>
      <c r="AT164" s="765"/>
      <c r="AU164" s="765"/>
      <c r="AV164" s="765"/>
      <c r="AW164" s="765"/>
    </row>
    <row r="165" spans="1:49" x14ac:dyDescent="0.25">
      <c r="A165" s="23" t="s">
        <v>2742</v>
      </c>
      <c r="B165" s="108" t="s">
        <v>163</v>
      </c>
      <c r="C165" s="108" t="s">
        <v>2737</v>
      </c>
      <c r="D165" s="108" t="s">
        <v>2743</v>
      </c>
      <c r="E165" s="108" t="s">
        <v>2744</v>
      </c>
      <c r="F165" s="114" t="s">
        <v>694</v>
      </c>
      <c r="G165" s="213" t="s">
        <v>2745</v>
      </c>
      <c r="H165" s="115" t="s">
        <v>2746</v>
      </c>
      <c r="I165" s="213">
        <v>13348119.4</v>
      </c>
      <c r="J165" s="109">
        <v>5.5534299999999996</v>
      </c>
      <c r="K165" s="109" t="s">
        <v>695</v>
      </c>
      <c r="L165" s="115">
        <v>0.28451684999999999</v>
      </c>
      <c r="M165" s="115">
        <v>15.01155</v>
      </c>
      <c r="N165" s="115">
        <v>15.163182000000001</v>
      </c>
      <c r="O165" s="214">
        <v>0.200541</v>
      </c>
      <c r="P165" s="115">
        <v>5.4627999999999997</v>
      </c>
      <c r="Q165" s="769">
        <v>15.84000389607</v>
      </c>
      <c r="R165" s="216"/>
      <c r="S165" s="216">
        <v>15.84000389607</v>
      </c>
      <c r="T165" s="216">
        <v>13</v>
      </c>
      <c r="U165" s="216">
        <v>20.457000000000001</v>
      </c>
      <c r="V165" s="115">
        <v>1786.16449946541</v>
      </c>
      <c r="W165" s="109">
        <v>595</v>
      </c>
      <c r="X165" s="109">
        <v>20.582144095330001</v>
      </c>
      <c r="Y165" s="109" t="s">
        <v>2374</v>
      </c>
      <c r="Z165" s="109">
        <v>36.231708626200003</v>
      </c>
      <c r="AA165" s="109">
        <v>27.3989811583</v>
      </c>
      <c r="AB165" s="109" t="s">
        <v>3712</v>
      </c>
      <c r="AC165" s="109" t="s">
        <v>242</v>
      </c>
      <c r="AD165" s="765" t="s">
        <v>2725</v>
      </c>
      <c r="AE165" s="765" t="s">
        <v>674</v>
      </c>
      <c r="AF165" s="765"/>
      <c r="AG165" s="765"/>
      <c r="AH165" s="109"/>
      <c r="AL165" s="2" t="s">
        <v>679</v>
      </c>
      <c r="AM165" s="2" t="s">
        <v>814</v>
      </c>
      <c r="AN165" s="2" t="s">
        <v>952</v>
      </c>
      <c r="AO165" s="2">
        <v>0.29616826000000002</v>
      </c>
      <c r="AP165" s="2" t="s">
        <v>4673</v>
      </c>
      <c r="AQ165" s="2" t="s">
        <v>4396</v>
      </c>
      <c r="AR165" s="2" t="s">
        <v>4671</v>
      </c>
      <c r="AT165" s="765"/>
      <c r="AU165" s="765"/>
      <c r="AV165" s="765"/>
      <c r="AW165" s="765"/>
    </row>
    <row r="166" spans="1:49" x14ac:dyDescent="0.25">
      <c r="A166" s="23" t="s">
        <v>2747</v>
      </c>
      <c r="B166" s="108" t="s">
        <v>163</v>
      </c>
      <c r="C166" s="108" t="s">
        <v>2737</v>
      </c>
      <c r="D166" s="108" t="s">
        <v>2738</v>
      </c>
      <c r="E166" s="108" t="s">
        <v>2748</v>
      </c>
      <c r="F166" s="114" t="s">
        <v>694</v>
      </c>
      <c r="G166" s="213" t="s">
        <v>2749</v>
      </c>
      <c r="H166" s="115" t="s">
        <v>2750</v>
      </c>
      <c r="I166" s="213">
        <v>30743905.43</v>
      </c>
      <c r="J166" s="109">
        <v>5.5834299999999999</v>
      </c>
      <c r="K166" s="109" t="s">
        <v>695</v>
      </c>
      <c r="L166" s="115">
        <v>0.27004781999999999</v>
      </c>
      <c r="M166" s="115">
        <v>14.575278000000001</v>
      </c>
      <c r="N166" s="115">
        <v>14.722503</v>
      </c>
      <c r="O166" s="214">
        <v>0.201624</v>
      </c>
      <c r="P166" s="115">
        <v>5.1246</v>
      </c>
      <c r="Q166" s="769">
        <v>14.72966162396</v>
      </c>
      <c r="R166" s="216"/>
      <c r="S166" s="216">
        <v>14.72966162396</v>
      </c>
      <c r="T166" s="216">
        <v>13</v>
      </c>
      <c r="U166" s="216">
        <v>20.332999999999998</v>
      </c>
      <c r="V166" s="115">
        <v>1773.4742755274101</v>
      </c>
      <c r="W166" s="109">
        <v>598</v>
      </c>
      <c r="X166" s="109">
        <v>-29.745517500599998</v>
      </c>
      <c r="Y166" s="109" t="s">
        <v>2374</v>
      </c>
      <c r="Z166" s="109">
        <v>30.149310957800001</v>
      </c>
      <c r="AA166" s="109">
        <v>25.0984358137</v>
      </c>
      <c r="AB166" s="109" t="s">
        <v>2387</v>
      </c>
      <c r="AC166" s="109" t="s">
        <v>236</v>
      </c>
      <c r="AD166" s="765" t="s">
        <v>2724</v>
      </c>
      <c r="AE166" s="765" t="s">
        <v>674</v>
      </c>
      <c r="AF166" s="765"/>
      <c r="AG166" s="765"/>
      <c r="AH166" s="109"/>
      <c r="AL166" s="2" t="s">
        <v>679</v>
      </c>
      <c r="AM166" s="2" t="s">
        <v>814</v>
      </c>
      <c r="AN166" s="2" t="s">
        <v>952</v>
      </c>
      <c r="AO166" s="2">
        <v>0.27892611</v>
      </c>
      <c r="AP166" s="2" t="s">
        <v>4673</v>
      </c>
      <c r="AQ166" s="2" t="s">
        <v>4396</v>
      </c>
      <c r="AR166" s="2" t="s">
        <v>4671</v>
      </c>
      <c r="AT166" s="765"/>
      <c r="AU166" s="765"/>
      <c r="AV166" s="765"/>
      <c r="AW166" s="765"/>
    </row>
    <row r="167" spans="1:49" x14ac:dyDescent="0.25">
      <c r="A167" s="23" t="s">
        <v>2751</v>
      </c>
      <c r="B167" s="108" t="s">
        <v>163</v>
      </c>
      <c r="C167" s="108" t="s">
        <v>2737</v>
      </c>
      <c r="D167" s="108" t="s">
        <v>2738</v>
      </c>
      <c r="E167" s="108" t="s">
        <v>2752</v>
      </c>
      <c r="F167" s="114" t="s">
        <v>694</v>
      </c>
      <c r="G167" s="213" t="s">
        <v>2753</v>
      </c>
      <c r="H167" s="115" t="s">
        <v>2754</v>
      </c>
      <c r="I167" s="213">
        <v>18822421.210000001</v>
      </c>
      <c r="J167" s="109">
        <v>5.6534300000000002</v>
      </c>
      <c r="K167" s="109" t="s">
        <v>695</v>
      </c>
      <c r="L167" s="115">
        <v>0.26421794999999998</v>
      </c>
      <c r="M167" s="115">
        <v>15.791193</v>
      </c>
      <c r="N167" s="115">
        <v>15.950699999999999</v>
      </c>
      <c r="O167" s="214">
        <v>0.204152</v>
      </c>
      <c r="P167" s="115">
        <v>5.0727000000000002</v>
      </c>
      <c r="Q167" s="769">
        <v>16.67459606113</v>
      </c>
      <c r="R167" s="216"/>
      <c r="S167" s="216">
        <v>16.67459606113</v>
      </c>
      <c r="T167" s="216">
        <v>13</v>
      </c>
      <c r="U167" s="216">
        <v>17.414999999999999</v>
      </c>
      <c r="V167" s="115">
        <v>1481.6366715394799</v>
      </c>
      <c r="W167" s="109">
        <v>605</v>
      </c>
      <c r="X167" s="109">
        <v>17.62176652786</v>
      </c>
      <c r="Y167" s="109" t="s">
        <v>2374</v>
      </c>
      <c r="Z167" s="109">
        <v>6.1427571403999996</v>
      </c>
      <c r="AA167" s="109">
        <v>27.961703721300001</v>
      </c>
      <c r="AB167" s="109" t="s">
        <v>238</v>
      </c>
      <c r="AC167" s="109" t="s">
        <v>2609</v>
      </c>
      <c r="AD167" s="765" t="s">
        <v>1798</v>
      </c>
      <c r="AE167" s="765" t="s">
        <v>674</v>
      </c>
      <c r="AF167" s="765"/>
      <c r="AG167" s="765"/>
      <c r="AH167" s="109"/>
      <c r="AL167" s="2" t="s">
        <v>679</v>
      </c>
      <c r="AM167" s="2" t="s">
        <v>814</v>
      </c>
      <c r="AN167" s="2" t="s">
        <v>952</v>
      </c>
      <c r="AO167" s="2">
        <v>0.26629586</v>
      </c>
      <c r="AP167" s="2" t="s">
        <v>4673</v>
      </c>
      <c r="AQ167" s="2" t="s">
        <v>4396</v>
      </c>
      <c r="AR167" s="2" t="s">
        <v>4671</v>
      </c>
      <c r="AT167" s="765"/>
      <c r="AU167" s="765"/>
      <c r="AV167" s="765"/>
      <c r="AW167" s="765"/>
    </row>
    <row r="168" spans="1:49" x14ac:dyDescent="0.25">
      <c r="A168" s="23" t="s">
        <v>2755</v>
      </c>
      <c r="B168" s="108" t="s">
        <v>163</v>
      </c>
      <c r="C168" s="108" t="s">
        <v>2737</v>
      </c>
      <c r="D168" s="108" t="s">
        <v>2738</v>
      </c>
      <c r="E168" s="108" t="s">
        <v>2756</v>
      </c>
      <c r="F168" s="114" t="s">
        <v>694</v>
      </c>
      <c r="G168" s="213" t="s">
        <v>2096</v>
      </c>
      <c r="H168" s="115" t="s">
        <v>2757</v>
      </c>
      <c r="I168" s="213">
        <v>31353326.260000002</v>
      </c>
      <c r="J168" s="109">
        <v>5.6534300000000002</v>
      </c>
      <c r="K168" s="109" t="s">
        <v>695</v>
      </c>
      <c r="L168" s="115">
        <v>0.28923768999999999</v>
      </c>
      <c r="M168" s="115">
        <v>14.948708999999999</v>
      </c>
      <c r="N168" s="115">
        <v>15.099705</v>
      </c>
      <c r="O168" s="214">
        <v>0.204152</v>
      </c>
      <c r="P168" s="115">
        <v>5.1467999999999998</v>
      </c>
      <c r="Q168" s="769">
        <v>14.30213508594</v>
      </c>
      <c r="R168" s="216"/>
      <c r="S168" s="216">
        <v>14.30213508594</v>
      </c>
      <c r="T168" s="216">
        <v>13</v>
      </c>
      <c r="U168" s="216">
        <v>19.875</v>
      </c>
      <c r="V168" s="115">
        <v>1727.7073340433201</v>
      </c>
      <c r="W168" s="109">
        <v>605</v>
      </c>
      <c r="X168" s="109">
        <v>-27.563526221059998</v>
      </c>
      <c r="Y168" s="109" t="s">
        <v>2374</v>
      </c>
      <c r="Z168" s="109">
        <v>36.252213560199998</v>
      </c>
      <c r="AA168" s="109">
        <v>33.974985393099999</v>
      </c>
      <c r="AB168" s="109" t="s">
        <v>4918</v>
      </c>
      <c r="AC168" s="109" t="s">
        <v>1318</v>
      </c>
      <c r="AD168" s="765" t="s">
        <v>3329</v>
      </c>
      <c r="AE168" s="765" t="s">
        <v>674</v>
      </c>
      <c r="AF168" s="765"/>
      <c r="AG168" s="765"/>
      <c r="AH168" s="109"/>
      <c r="AL168" s="2" t="s">
        <v>679</v>
      </c>
      <c r="AM168" s="2" t="s">
        <v>814</v>
      </c>
      <c r="AN168" s="2" t="s">
        <v>952</v>
      </c>
      <c r="AO168" s="2">
        <v>0.30101987000000002</v>
      </c>
      <c r="AP168" s="2" t="s">
        <v>4673</v>
      </c>
      <c r="AQ168" s="2" t="s">
        <v>4396</v>
      </c>
      <c r="AR168" s="2" t="s">
        <v>4671</v>
      </c>
      <c r="AT168" s="765"/>
      <c r="AU168" s="765"/>
      <c r="AV168" s="765"/>
      <c r="AW168" s="765"/>
    </row>
    <row r="169" spans="1:49" x14ac:dyDescent="0.25">
      <c r="A169" s="23" t="s">
        <v>1242</v>
      </c>
      <c r="B169" s="108" t="s">
        <v>144</v>
      </c>
      <c r="C169" s="108" t="s">
        <v>145</v>
      </c>
      <c r="D169" s="108" t="s">
        <v>1171</v>
      </c>
      <c r="E169" s="108" t="s">
        <v>1243</v>
      </c>
      <c r="F169" s="114" t="s">
        <v>694</v>
      </c>
      <c r="G169" s="213" t="s">
        <v>1244</v>
      </c>
      <c r="H169" s="115" t="s">
        <v>1245</v>
      </c>
      <c r="I169" s="213">
        <v>1537699.19</v>
      </c>
      <c r="J169" s="109">
        <v>1.88</v>
      </c>
      <c r="K169" s="109" t="s">
        <v>695</v>
      </c>
      <c r="L169" s="115">
        <v>7.3559749999999993E-2</v>
      </c>
      <c r="M169" s="115">
        <v>105.061172</v>
      </c>
      <c r="N169" s="115">
        <v>105.155457</v>
      </c>
      <c r="O169" s="214">
        <v>0.14099999999999999</v>
      </c>
      <c r="P169" s="115">
        <v>3.6326000000000001</v>
      </c>
      <c r="Q169" s="769">
        <v>1.21797524403</v>
      </c>
      <c r="R169" s="216"/>
      <c r="S169" s="216">
        <v>1.21797524403</v>
      </c>
      <c r="T169" s="216">
        <v>26</v>
      </c>
      <c r="U169" s="216">
        <v>2.0419999999999998</v>
      </c>
      <c r="V169" s="115">
        <v>-54.852983846210002</v>
      </c>
      <c r="W169" s="109">
        <v>163</v>
      </c>
      <c r="X169" s="109">
        <v>-0.99462888816999995</v>
      </c>
      <c r="Y169" s="109"/>
      <c r="Z169" s="109">
        <v>12.08189623158508</v>
      </c>
      <c r="AA169" s="109">
        <v>21.786708503051411</v>
      </c>
      <c r="AB169" s="109" t="s">
        <v>4516</v>
      </c>
      <c r="AC169" s="109" t="s">
        <v>4517</v>
      </c>
      <c r="AD169" s="765" t="s">
        <v>4919</v>
      </c>
      <c r="AE169" s="765" t="s">
        <v>625</v>
      </c>
      <c r="AF169" s="765"/>
      <c r="AG169" s="765"/>
      <c r="AH169" s="109"/>
      <c r="AL169" s="2" t="s">
        <v>679</v>
      </c>
      <c r="AM169" s="2" t="s">
        <v>705</v>
      </c>
      <c r="AN169" s="2" t="s">
        <v>952</v>
      </c>
      <c r="AO169" s="2">
        <v>7.4558330000000006E-2</v>
      </c>
      <c r="AP169" s="2" t="s">
        <v>4673</v>
      </c>
      <c r="AQ169" s="2" t="s">
        <v>4671</v>
      </c>
      <c r="AR169" s="2" t="s">
        <v>5115</v>
      </c>
      <c r="AT169" s="765"/>
      <c r="AU169" s="765"/>
      <c r="AV169" s="765"/>
      <c r="AW169" s="765"/>
    </row>
    <row r="170" spans="1:49" x14ac:dyDescent="0.25">
      <c r="A170" s="23" t="s">
        <v>4619</v>
      </c>
      <c r="B170" s="108" t="s">
        <v>148</v>
      </c>
      <c r="C170" s="108" t="s">
        <v>145</v>
      </c>
      <c r="D170" s="108" t="s">
        <v>149</v>
      </c>
      <c r="E170" s="108" t="s">
        <v>4682</v>
      </c>
      <c r="F170" s="114" t="s">
        <v>694</v>
      </c>
      <c r="G170" s="213" t="s">
        <v>4683</v>
      </c>
      <c r="H170" s="115" t="s">
        <v>4684</v>
      </c>
      <c r="I170" s="213">
        <v>4911706.71</v>
      </c>
      <c r="J170" s="109">
        <v>3.5</v>
      </c>
      <c r="K170" s="109" t="s">
        <v>696</v>
      </c>
      <c r="L170" s="115">
        <v>0.30898473999999998</v>
      </c>
      <c r="M170" s="115">
        <v>102.049149</v>
      </c>
      <c r="N170" s="115">
        <v>102.096024</v>
      </c>
      <c r="O170" s="214">
        <v>0.26250000000000001</v>
      </c>
      <c r="P170" s="115">
        <v>5.9833999999999996</v>
      </c>
      <c r="Q170" s="769">
        <v>4.7275885311800003</v>
      </c>
      <c r="R170" s="216"/>
      <c r="S170" s="216">
        <v>4.7275885311800003</v>
      </c>
      <c r="T170" s="216">
        <v>26</v>
      </c>
      <c r="U170" s="216">
        <v>3.0979999999999999</v>
      </c>
      <c r="V170" s="115">
        <v>50.65548842578</v>
      </c>
      <c r="W170" s="109"/>
      <c r="X170" s="109">
        <v>39.311165783050001</v>
      </c>
      <c r="Y170" s="109"/>
      <c r="Z170" s="109">
        <v>1.072061398939939</v>
      </c>
      <c r="AA170" s="109">
        <v>20.553995571732759</v>
      </c>
      <c r="AB170" s="109" t="s">
        <v>257</v>
      </c>
      <c r="AC170" s="109" t="s">
        <v>251</v>
      </c>
      <c r="AD170" s="765" t="s">
        <v>2393</v>
      </c>
      <c r="AE170" s="765" t="s">
        <v>625</v>
      </c>
      <c r="AF170" s="765"/>
      <c r="AG170" s="765"/>
      <c r="AH170" s="109"/>
      <c r="AL170" s="2" t="s">
        <v>679</v>
      </c>
      <c r="AM170" s="2" t="s">
        <v>706</v>
      </c>
      <c r="AN170" s="2" t="s">
        <v>952</v>
      </c>
      <c r="AO170" s="2">
        <v>0.31013653000000002</v>
      </c>
      <c r="AP170" s="2" t="s">
        <v>4673</v>
      </c>
      <c r="AQ170" s="2" t="s">
        <v>4396</v>
      </c>
      <c r="AR170" s="2" t="s">
        <v>4844</v>
      </c>
      <c r="AT170" s="765"/>
      <c r="AU170" s="765"/>
      <c r="AV170" s="765"/>
      <c r="AW170" s="765"/>
    </row>
    <row r="171" spans="1:49" x14ac:dyDescent="0.25">
      <c r="A171" s="23" t="s">
        <v>604</v>
      </c>
      <c r="B171" s="108" t="s">
        <v>148</v>
      </c>
      <c r="C171" s="108" t="s">
        <v>145</v>
      </c>
      <c r="D171" s="108" t="s">
        <v>149</v>
      </c>
      <c r="E171" s="108" t="s">
        <v>1247</v>
      </c>
      <c r="F171" s="114" t="s">
        <v>694</v>
      </c>
      <c r="G171" s="213" t="s">
        <v>1248</v>
      </c>
      <c r="H171" s="115" t="s">
        <v>1249</v>
      </c>
      <c r="I171" s="213">
        <v>17853527.379999999</v>
      </c>
      <c r="J171" s="109">
        <v>4.5</v>
      </c>
      <c r="K171" s="109" t="s">
        <v>696</v>
      </c>
      <c r="L171" s="115">
        <v>0.42986691999999999</v>
      </c>
      <c r="M171" s="115">
        <v>104.825935</v>
      </c>
      <c r="N171" s="115">
        <v>104.87281</v>
      </c>
      <c r="O171" s="214">
        <v>0.33750000000000002</v>
      </c>
      <c r="P171" s="115">
        <v>5.8764000000000003</v>
      </c>
      <c r="Q171" s="769">
        <v>4.6752983726800004</v>
      </c>
      <c r="R171" s="216"/>
      <c r="S171" s="216">
        <v>4.6752983726800004</v>
      </c>
      <c r="T171" s="216">
        <v>27</v>
      </c>
      <c r="U171" s="216">
        <v>3.5169999999999999</v>
      </c>
      <c r="V171" s="115">
        <v>92.474833703870004</v>
      </c>
      <c r="W171" s="109"/>
      <c r="X171" s="109">
        <v>63.482012113110002</v>
      </c>
      <c r="Y171" s="109"/>
      <c r="Z171" s="109">
        <v>20.280744441014392</v>
      </c>
      <c r="AA171" s="109">
        <v>19.171094151084201</v>
      </c>
      <c r="AB171" s="109" t="s">
        <v>256</v>
      </c>
      <c r="AC171" s="109"/>
      <c r="AD171" s="765"/>
      <c r="AE171" s="765" t="s">
        <v>625</v>
      </c>
      <c r="AF171" s="765"/>
      <c r="AG171" s="765"/>
      <c r="AH171" s="109"/>
      <c r="AL171" s="2" t="s">
        <v>679</v>
      </c>
      <c r="AM171" s="2" t="s">
        <v>706</v>
      </c>
      <c r="AN171" s="2" t="s">
        <v>952</v>
      </c>
      <c r="AO171" s="2">
        <v>0.43883284</v>
      </c>
      <c r="AP171" s="2" t="s">
        <v>4673</v>
      </c>
      <c r="AQ171" s="2" t="s">
        <v>4396</v>
      </c>
      <c r="AR171" s="2" t="s">
        <v>4844</v>
      </c>
      <c r="AT171" s="765"/>
      <c r="AU171" s="765"/>
      <c r="AV171" s="765"/>
      <c r="AW171" s="765"/>
    </row>
    <row r="172" spans="1:49" x14ac:dyDescent="0.25">
      <c r="A172" s="23" t="s">
        <v>259</v>
      </c>
      <c r="B172" s="108" t="s">
        <v>148</v>
      </c>
      <c r="C172" s="108" t="s">
        <v>145</v>
      </c>
      <c r="D172" s="108" t="s">
        <v>149</v>
      </c>
      <c r="E172" s="108" t="s">
        <v>1250</v>
      </c>
      <c r="F172" s="114" t="s">
        <v>694</v>
      </c>
      <c r="G172" s="213" t="s">
        <v>1127</v>
      </c>
      <c r="H172" s="115" t="s">
        <v>1119</v>
      </c>
      <c r="I172" s="213">
        <v>2332360.5299999998</v>
      </c>
      <c r="J172" s="109">
        <v>4</v>
      </c>
      <c r="K172" s="109" t="s">
        <v>696</v>
      </c>
      <c r="L172" s="115">
        <v>0.57804553000000003</v>
      </c>
      <c r="M172" s="115">
        <v>103.058609</v>
      </c>
      <c r="N172" s="115">
        <v>103.105484</v>
      </c>
      <c r="O172" s="214">
        <v>0.3</v>
      </c>
      <c r="P172" s="115">
        <v>5.7285000000000004</v>
      </c>
      <c r="Q172" s="769">
        <v>5.3075759224299999</v>
      </c>
      <c r="R172" s="216"/>
      <c r="S172" s="216">
        <v>5.3075759224299999</v>
      </c>
      <c r="T172" s="216">
        <v>27</v>
      </c>
      <c r="U172" s="216">
        <v>3.367</v>
      </c>
      <c r="V172" s="115">
        <v>77.372333098750005</v>
      </c>
      <c r="W172" s="109"/>
      <c r="X172" s="109">
        <v>58.748001132479999</v>
      </c>
      <c r="Y172" s="109"/>
      <c r="Z172" s="109">
        <v>1.7828531538659489</v>
      </c>
      <c r="AA172" s="109">
        <v>0.46274559868378923</v>
      </c>
      <c r="AB172" s="109" t="s">
        <v>256</v>
      </c>
      <c r="AC172" s="109"/>
      <c r="AD172" s="765"/>
      <c r="AE172" s="765" t="s">
        <v>625</v>
      </c>
      <c r="AF172" s="765"/>
      <c r="AG172" s="765"/>
      <c r="AH172" s="109"/>
      <c r="AL172" s="2" t="s">
        <v>679</v>
      </c>
      <c r="AM172" s="2" t="s">
        <v>706</v>
      </c>
      <c r="AN172" s="2" t="s">
        <v>952</v>
      </c>
      <c r="AO172" s="2">
        <v>0.58012810999999997</v>
      </c>
      <c r="AP172" s="2" t="s">
        <v>4673</v>
      </c>
      <c r="AQ172" s="2" t="s">
        <v>4396</v>
      </c>
      <c r="AR172" s="2" t="s">
        <v>4844</v>
      </c>
      <c r="AT172" s="765"/>
      <c r="AU172" s="765"/>
      <c r="AV172" s="765"/>
      <c r="AW172" s="765"/>
    </row>
    <row r="173" spans="1:49" x14ac:dyDescent="0.25">
      <c r="A173" s="23" t="s">
        <v>594</v>
      </c>
      <c r="B173" s="108" t="s">
        <v>148</v>
      </c>
      <c r="C173" s="108" t="s">
        <v>145</v>
      </c>
      <c r="D173" s="108" t="s">
        <v>149</v>
      </c>
      <c r="E173" s="108" t="s">
        <v>1251</v>
      </c>
      <c r="F173" s="114" t="s">
        <v>694</v>
      </c>
      <c r="G173" s="213" t="s">
        <v>1252</v>
      </c>
      <c r="H173" s="115" t="s">
        <v>1253</v>
      </c>
      <c r="I173" s="213">
        <v>12656796.59</v>
      </c>
      <c r="J173" s="109">
        <v>4</v>
      </c>
      <c r="K173" s="109" t="s">
        <v>696</v>
      </c>
      <c r="L173" s="115">
        <v>0.24551888999999999</v>
      </c>
      <c r="M173" s="115">
        <v>103.061081</v>
      </c>
      <c r="N173" s="115">
        <v>103.107956</v>
      </c>
      <c r="O173" s="214">
        <v>0.3</v>
      </c>
      <c r="P173" s="115">
        <v>5.7263000000000002</v>
      </c>
      <c r="Q173" s="769">
        <v>4.4114304660399997</v>
      </c>
      <c r="R173" s="216"/>
      <c r="S173" s="216">
        <v>4.4114304660399997</v>
      </c>
      <c r="T173" s="216">
        <v>27</v>
      </c>
      <c r="U173" s="216">
        <v>3.3660000000000001</v>
      </c>
      <c r="V173" s="115">
        <v>77.282710196270003</v>
      </c>
      <c r="W173" s="109"/>
      <c r="X173" s="109">
        <v>51.476435613779998</v>
      </c>
      <c r="Y173" s="109"/>
      <c r="Z173" s="109">
        <v>22.933660639048849</v>
      </c>
      <c r="AA173" s="109">
        <v>25.53036407212247</v>
      </c>
      <c r="AB173" s="109" t="s">
        <v>240</v>
      </c>
      <c r="AC173" s="109" t="s">
        <v>244</v>
      </c>
      <c r="AD173" s="765" t="s">
        <v>255</v>
      </c>
      <c r="AE173" s="765" t="s">
        <v>625</v>
      </c>
      <c r="AF173" s="765"/>
      <c r="AG173" s="765"/>
      <c r="AH173" s="109"/>
      <c r="AL173" s="2" t="s">
        <v>679</v>
      </c>
      <c r="AM173" s="2" t="s">
        <v>706</v>
      </c>
      <c r="AN173" s="2" t="s">
        <v>952</v>
      </c>
      <c r="AO173" s="2">
        <v>0.25144161999999998</v>
      </c>
      <c r="AP173" s="2" t="s">
        <v>4673</v>
      </c>
      <c r="AQ173" s="2" t="s">
        <v>4396</v>
      </c>
      <c r="AR173" s="2" t="s">
        <v>4844</v>
      </c>
      <c r="AT173" s="765"/>
      <c r="AU173" s="765"/>
      <c r="AV173" s="765"/>
      <c r="AW173" s="765"/>
    </row>
    <row r="174" spans="1:49" x14ac:dyDescent="0.25">
      <c r="A174" s="23" t="s">
        <v>260</v>
      </c>
      <c r="B174" s="108" t="s">
        <v>148</v>
      </c>
      <c r="C174" s="108" t="s">
        <v>145</v>
      </c>
      <c r="D174" s="108" t="s">
        <v>149</v>
      </c>
      <c r="E174" s="108" t="s">
        <v>1255</v>
      </c>
      <c r="F174" s="114" t="s">
        <v>694</v>
      </c>
      <c r="G174" s="213" t="s">
        <v>1256</v>
      </c>
      <c r="H174" s="115" t="s">
        <v>1257</v>
      </c>
      <c r="I174" s="213">
        <v>0</v>
      </c>
      <c r="J174" s="109">
        <v>4.5</v>
      </c>
      <c r="K174" s="109" t="s">
        <v>696</v>
      </c>
      <c r="L174" s="115">
        <v>0</v>
      </c>
      <c r="M174" s="115">
        <v>0</v>
      </c>
      <c r="N174" s="115">
        <v>0</v>
      </c>
      <c r="O174" s="214">
        <v>0</v>
      </c>
      <c r="P174" s="115"/>
      <c r="Q174" s="769"/>
      <c r="R174" s="216"/>
      <c r="S174" s="216">
        <v>23.526027397260279</v>
      </c>
      <c r="T174" s="216">
        <v>0</v>
      </c>
      <c r="U174" s="216"/>
      <c r="V174" s="115"/>
      <c r="W174" s="109"/>
      <c r="X174" s="109"/>
      <c r="Y174" s="109"/>
      <c r="Z174" s="109">
        <v>100</v>
      </c>
      <c r="AA174" s="109">
        <v>100</v>
      </c>
      <c r="AB174" s="109" t="s">
        <v>2608</v>
      </c>
      <c r="AC174" s="109"/>
      <c r="AD174" s="765"/>
      <c r="AE174" s="765" t="s">
        <v>625</v>
      </c>
      <c r="AF174" s="765"/>
      <c r="AG174" s="765"/>
      <c r="AH174" s="109"/>
      <c r="AL174" s="2" t="s">
        <v>679</v>
      </c>
      <c r="AM174" s="2" t="s">
        <v>706</v>
      </c>
      <c r="AN174" s="2" t="s">
        <v>952</v>
      </c>
      <c r="AO174" s="2">
        <v>0.13598822999999999</v>
      </c>
      <c r="AP174" s="2" t="s">
        <v>4673</v>
      </c>
      <c r="AQ174" s="2" t="s">
        <v>2636</v>
      </c>
      <c r="AR174" s="2" t="s">
        <v>4844</v>
      </c>
      <c r="AT174" s="765"/>
      <c r="AU174" s="765"/>
      <c r="AV174" s="765"/>
      <c r="AW174" s="765"/>
    </row>
    <row r="175" spans="1:49" x14ac:dyDescent="0.25">
      <c r="A175" s="23" t="s">
        <v>523</v>
      </c>
      <c r="B175" s="108" t="s">
        <v>148</v>
      </c>
      <c r="C175" s="108" t="s">
        <v>145</v>
      </c>
      <c r="D175" s="108" t="s">
        <v>149</v>
      </c>
      <c r="E175" s="108" t="s">
        <v>1258</v>
      </c>
      <c r="F175" s="114" t="s">
        <v>694</v>
      </c>
      <c r="G175" s="213" t="s">
        <v>1259</v>
      </c>
      <c r="H175" s="115" t="s">
        <v>1260</v>
      </c>
      <c r="I175" s="213">
        <v>9689292.7400000002</v>
      </c>
      <c r="J175" s="109">
        <v>3.5</v>
      </c>
      <c r="K175" s="109" t="s">
        <v>696</v>
      </c>
      <c r="L175" s="115">
        <v>0.13093521</v>
      </c>
      <c r="M175" s="115">
        <v>100.775429</v>
      </c>
      <c r="N175" s="115">
        <v>100.822304</v>
      </c>
      <c r="O175" s="214">
        <v>0.26250000000000001</v>
      </c>
      <c r="P175" s="115">
        <v>6.5594999999999999</v>
      </c>
      <c r="Q175" s="769">
        <v>4.5089116011700003</v>
      </c>
      <c r="R175" s="216"/>
      <c r="S175" s="216">
        <v>4.5089116011700003</v>
      </c>
      <c r="T175" s="216">
        <v>26</v>
      </c>
      <c r="U175" s="216">
        <v>3.3580000000000001</v>
      </c>
      <c r="V175" s="115">
        <v>77.104805447390007</v>
      </c>
      <c r="W175" s="109"/>
      <c r="X175" s="109">
        <v>34.707304100240002</v>
      </c>
      <c r="Y175" s="109"/>
      <c r="Z175" s="109">
        <v>7.684955672144234</v>
      </c>
      <c r="AA175" s="109">
        <v>35.945245080511476</v>
      </c>
      <c r="AB175" s="109" t="s">
        <v>1893</v>
      </c>
      <c r="AC175" s="109" t="s">
        <v>1261</v>
      </c>
      <c r="AD175" s="765" t="s">
        <v>3560</v>
      </c>
      <c r="AE175" s="765" t="s">
        <v>625</v>
      </c>
      <c r="AF175" s="765"/>
      <c r="AG175" s="765"/>
      <c r="AH175" s="109"/>
      <c r="AL175" s="2" t="s">
        <v>679</v>
      </c>
      <c r="AM175" s="2" t="s">
        <v>706</v>
      </c>
      <c r="AN175" s="2" t="s">
        <v>952</v>
      </c>
      <c r="AO175" s="2">
        <v>0.13210156000000001</v>
      </c>
      <c r="AP175" s="2" t="s">
        <v>4673</v>
      </c>
      <c r="AQ175" s="2" t="s">
        <v>4396</v>
      </c>
      <c r="AR175" s="2" t="s">
        <v>4844</v>
      </c>
      <c r="AT175" s="765"/>
      <c r="AU175" s="765"/>
      <c r="AV175" s="765"/>
      <c r="AW175" s="765"/>
    </row>
    <row r="176" spans="1:49" x14ac:dyDescent="0.25">
      <c r="A176" s="23" t="s">
        <v>4577</v>
      </c>
      <c r="B176" s="108" t="s">
        <v>148</v>
      </c>
      <c r="C176" s="108" t="s">
        <v>145</v>
      </c>
      <c r="D176" s="108" t="s">
        <v>149</v>
      </c>
      <c r="E176" s="108" t="s">
        <v>4685</v>
      </c>
      <c r="F176" s="114" t="s">
        <v>694</v>
      </c>
      <c r="G176" s="213" t="s">
        <v>1138</v>
      </c>
      <c r="H176" s="115" t="s">
        <v>1139</v>
      </c>
      <c r="I176" s="213">
        <v>1059208.18</v>
      </c>
      <c r="J176" s="109">
        <v>4</v>
      </c>
      <c r="K176" s="109" t="s">
        <v>696</v>
      </c>
      <c r="L176" s="115">
        <v>0.75143903999999995</v>
      </c>
      <c r="M176" s="115">
        <v>103.254814</v>
      </c>
      <c r="N176" s="115">
        <v>103.301689</v>
      </c>
      <c r="O176" s="214">
        <v>0.3</v>
      </c>
      <c r="P176" s="115">
        <v>6.4489999999999998</v>
      </c>
      <c r="Q176" s="769">
        <v>4.5914835511999996</v>
      </c>
      <c r="R176" s="216"/>
      <c r="S176" s="216">
        <v>4.5914835511999996</v>
      </c>
      <c r="T176" s="216">
        <v>27</v>
      </c>
      <c r="U176" s="216">
        <v>3.391</v>
      </c>
      <c r="V176" s="115">
        <v>80.321520258190006</v>
      </c>
      <c r="W176" s="109"/>
      <c r="X176" s="109">
        <v>44.595052302200003</v>
      </c>
      <c r="Y176" s="109"/>
      <c r="Z176" s="109">
        <v>7.3253456897570679E-3</v>
      </c>
      <c r="AA176" s="109">
        <v>15.781939762177039</v>
      </c>
      <c r="AB176" s="109" t="s">
        <v>4686</v>
      </c>
      <c r="AC176" s="109" t="s">
        <v>4687</v>
      </c>
      <c r="AD176" s="765" t="s">
        <v>4688</v>
      </c>
      <c r="AE176" s="765" t="s">
        <v>625</v>
      </c>
      <c r="AF176" s="765"/>
      <c r="AG176" s="765"/>
      <c r="AH176" s="109"/>
      <c r="AL176" s="2" t="s">
        <v>679</v>
      </c>
      <c r="AM176" s="2" t="s">
        <v>706</v>
      </c>
      <c r="AN176" s="2" t="s">
        <v>952</v>
      </c>
      <c r="AO176" s="2">
        <v>0.75259922999999995</v>
      </c>
      <c r="AP176" s="2" t="s">
        <v>4673</v>
      </c>
      <c r="AQ176" s="2" t="s">
        <v>4396</v>
      </c>
      <c r="AR176" s="2" t="s">
        <v>4844</v>
      </c>
      <c r="AT176" s="765"/>
      <c r="AU176" s="765"/>
      <c r="AV176" s="765"/>
      <c r="AW176" s="765"/>
    </row>
    <row r="177" spans="1:49" x14ac:dyDescent="0.25">
      <c r="A177" s="23" t="s">
        <v>5020</v>
      </c>
      <c r="B177" s="108" t="s">
        <v>148</v>
      </c>
      <c r="C177" s="108" t="s">
        <v>145</v>
      </c>
      <c r="D177" s="108" t="s">
        <v>149</v>
      </c>
      <c r="E177" s="108" t="s">
        <v>5119</v>
      </c>
      <c r="F177" s="114" t="s">
        <v>694</v>
      </c>
      <c r="G177" s="213" t="s">
        <v>1138</v>
      </c>
      <c r="H177" s="115" t="s">
        <v>1139</v>
      </c>
      <c r="I177" s="213">
        <v>1058155.54</v>
      </c>
      <c r="J177" s="109">
        <v>5</v>
      </c>
      <c r="K177" s="109" t="s">
        <v>696</v>
      </c>
      <c r="L177" s="115">
        <v>0.56473123000000003</v>
      </c>
      <c r="M177" s="115">
        <v>107.38205000000001</v>
      </c>
      <c r="N177" s="115">
        <v>107.42892500000001</v>
      </c>
      <c r="O177" s="214">
        <v>0.375</v>
      </c>
      <c r="P177" s="115">
        <v>5.0464000000000002</v>
      </c>
      <c r="Q177" s="769">
        <v>3.90816514626</v>
      </c>
      <c r="R177" s="216"/>
      <c r="S177" s="216">
        <v>3.90816514626</v>
      </c>
      <c r="T177" s="216">
        <v>26</v>
      </c>
      <c r="U177" s="216">
        <v>3.2879999999999998</v>
      </c>
      <c r="V177" s="115">
        <v>68.910747436389997</v>
      </c>
      <c r="W177" s="109"/>
      <c r="X177" s="109">
        <v>50.857409337999997</v>
      </c>
      <c r="Y177" s="109"/>
      <c r="Z177" s="109">
        <v>4.9564830060078169E-2</v>
      </c>
      <c r="AA177" s="109">
        <v>4.3274014143124262E-2</v>
      </c>
      <c r="AB177" s="109" t="s">
        <v>4984</v>
      </c>
      <c r="AC177" s="109" t="s">
        <v>2610</v>
      </c>
      <c r="AD177" s="765" t="s">
        <v>5120</v>
      </c>
      <c r="AE177" s="765" t="s">
        <v>625</v>
      </c>
      <c r="AF177" s="765"/>
      <c r="AG177" s="765"/>
      <c r="AH177" s="109"/>
      <c r="AL177" s="2" t="s">
        <v>679</v>
      </c>
      <c r="AM177" s="2" t="s">
        <v>706</v>
      </c>
      <c r="AN177" s="2" t="s">
        <v>952</v>
      </c>
      <c r="AO177" s="2">
        <v>0.56551125999999996</v>
      </c>
      <c r="AP177" s="2" t="s">
        <v>4673</v>
      </c>
      <c r="AQ177" s="2" t="s">
        <v>4396</v>
      </c>
      <c r="AR177" s="2" t="s">
        <v>4844</v>
      </c>
      <c r="AT177" s="765"/>
      <c r="AU177" s="765"/>
      <c r="AV177" s="765"/>
      <c r="AW177" s="765"/>
    </row>
    <row r="178" spans="1:49" x14ac:dyDescent="0.25">
      <c r="A178" s="23" t="s">
        <v>794</v>
      </c>
      <c r="B178" s="108" t="s">
        <v>148</v>
      </c>
      <c r="C178" s="108" t="s">
        <v>145</v>
      </c>
      <c r="D178" s="108" t="s">
        <v>149</v>
      </c>
      <c r="E178" s="108" t="s">
        <v>1262</v>
      </c>
      <c r="F178" s="114" t="s">
        <v>694</v>
      </c>
      <c r="G178" s="213" t="s">
        <v>1263</v>
      </c>
      <c r="H178" s="115" t="s">
        <v>1264</v>
      </c>
      <c r="I178" s="213">
        <v>836956.86</v>
      </c>
      <c r="J178" s="109">
        <v>4.5</v>
      </c>
      <c r="K178" s="109" t="s">
        <v>696</v>
      </c>
      <c r="L178" s="115">
        <v>0.58850648999999999</v>
      </c>
      <c r="M178" s="115">
        <v>105.91306299999999</v>
      </c>
      <c r="N178" s="115">
        <v>105.95993799999999</v>
      </c>
      <c r="O178" s="214">
        <v>0.33750000000000002</v>
      </c>
      <c r="P178" s="115">
        <v>5.8121</v>
      </c>
      <c r="Q178" s="769">
        <v>4.5195564416599998</v>
      </c>
      <c r="R178" s="216"/>
      <c r="S178" s="216">
        <v>4.5195564416599998</v>
      </c>
      <c r="T178" s="216">
        <v>27</v>
      </c>
      <c r="U178" s="216">
        <v>3.2959999999999998</v>
      </c>
      <c r="V178" s="115">
        <v>70.323444599769999</v>
      </c>
      <c r="W178" s="109"/>
      <c r="X178" s="109">
        <v>51.985744606040001</v>
      </c>
      <c r="Y178" s="109"/>
      <c r="Z178" s="109">
        <v>0.81300861168431826</v>
      </c>
      <c r="AA178" s="109">
        <v>0.89291753262344953</v>
      </c>
      <c r="AB178" s="109" t="s">
        <v>3331</v>
      </c>
      <c r="AC178" s="109" t="s">
        <v>2721</v>
      </c>
      <c r="AD178" s="765" t="s">
        <v>3332</v>
      </c>
      <c r="AE178" s="765" t="s">
        <v>625</v>
      </c>
      <c r="AF178" s="765"/>
      <c r="AG178" s="765"/>
      <c r="AH178" s="109"/>
      <c r="AL178" s="2" t="s">
        <v>679</v>
      </c>
      <c r="AM178" s="2" t="s">
        <v>706</v>
      </c>
      <c r="AN178" s="2" t="s">
        <v>952</v>
      </c>
      <c r="AO178" s="2">
        <v>0.58998998999999996</v>
      </c>
      <c r="AP178" s="2" t="s">
        <v>4673</v>
      </c>
      <c r="AQ178" s="2" t="s">
        <v>4396</v>
      </c>
      <c r="AR178" s="2" t="s">
        <v>4844</v>
      </c>
      <c r="AT178" s="765"/>
      <c r="AU178" s="765"/>
      <c r="AV178" s="765"/>
      <c r="AW178" s="765"/>
    </row>
    <row r="179" spans="1:49" x14ac:dyDescent="0.25">
      <c r="A179" s="23" t="s">
        <v>261</v>
      </c>
      <c r="B179" s="108" t="s">
        <v>148</v>
      </c>
      <c r="C179" s="108" t="s">
        <v>145</v>
      </c>
      <c r="D179" s="108" t="s">
        <v>149</v>
      </c>
      <c r="E179" s="108" t="s">
        <v>1265</v>
      </c>
      <c r="F179" s="114" t="s">
        <v>694</v>
      </c>
      <c r="G179" s="213" t="s">
        <v>1266</v>
      </c>
      <c r="H179" s="115" t="s">
        <v>1267</v>
      </c>
      <c r="I179" s="213">
        <v>843825.75</v>
      </c>
      <c r="J179" s="109">
        <v>4.5</v>
      </c>
      <c r="K179" s="109" t="s">
        <v>696</v>
      </c>
      <c r="L179" s="115">
        <v>0.23850110999999999</v>
      </c>
      <c r="M179" s="115">
        <v>104.424133</v>
      </c>
      <c r="N179" s="115">
        <v>104.471008</v>
      </c>
      <c r="O179" s="214">
        <v>0.33750000000000002</v>
      </c>
      <c r="P179" s="115">
        <v>5.8857999999999997</v>
      </c>
      <c r="Q179" s="769">
        <v>4.2612754765299998</v>
      </c>
      <c r="R179" s="216"/>
      <c r="S179" s="216">
        <v>4.2612754765299998</v>
      </c>
      <c r="T179" s="216">
        <v>27</v>
      </c>
      <c r="U179" s="216">
        <v>3.597</v>
      </c>
      <c r="V179" s="115">
        <v>100.51806669493</v>
      </c>
      <c r="W179" s="109"/>
      <c r="X179" s="109">
        <v>64.495192925690006</v>
      </c>
      <c r="Y179" s="109"/>
      <c r="Z179" s="109">
        <v>1.423220627118083E-2</v>
      </c>
      <c r="AA179" s="109">
        <v>61.130740820573017</v>
      </c>
      <c r="AB179" s="109" t="s">
        <v>1663</v>
      </c>
      <c r="AC179" s="109" t="s">
        <v>4518</v>
      </c>
      <c r="AD179" s="765" t="s">
        <v>3331</v>
      </c>
      <c r="AE179" s="765" t="s">
        <v>625</v>
      </c>
      <c r="AF179" s="765"/>
      <c r="AG179" s="765"/>
      <c r="AH179" s="109"/>
      <c r="AL179" s="2" t="s">
        <v>679</v>
      </c>
      <c r="AM179" s="2" t="s">
        <v>706</v>
      </c>
      <c r="AN179" s="2" t="s">
        <v>952</v>
      </c>
      <c r="AO179" s="2">
        <v>0.23891251999999999</v>
      </c>
      <c r="AP179" s="2" t="s">
        <v>4673</v>
      </c>
      <c r="AQ179" s="2" t="s">
        <v>4396</v>
      </c>
      <c r="AR179" s="2" t="s">
        <v>4844</v>
      </c>
      <c r="AT179" s="765"/>
      <c r="AU179" s="765"/>
      <c r="AV179" s="765"/>
      <c r="AW179" s="765"/>
    </row>
    <row r="180" spans="1:49" x14ac:dyDescent="0.25">
      <c r="A180" s="23" t="s">
        <v>262</v>
      </c>
      <c r="B180" s="108" t="s">
        <v>148</v>
      </c>
      <c r="C180" s="108" t="s">
        <v>145</v>
      </c>
      <c r="D180" s="108" t="s">
        <v>149</v>
      </c>
      <c r="E180" s="108" t="s">
        <v>1269</v>
      </c>
      <c r="F180" s="114" t="s">
        <v>694</v>
      </c>
      <c r="G180" s="213" t="s">
        <v>1248</v>
      </c>
      <c r="H180" s="115" t="s">
        <v>1249</v>
      </c>
      <c r="I180" s="213">
        <v>625127.31000000006</v>
      </c>
      <c r="J180" s="109">
        <v>5</v>
      </c>
      <c r="K180" s="109" t="s">
        <v>696</v>
      </c>
      <c r="L180" s="115">
        <v>0.25360052</v>
      </c>
      <c r="M180" s="115">
        <v>106.020668</v>
      </c>
      <c r="N180" s="115">
        <v>106.067543</v>
      </c>
      <c r="O180" s="214">
        <v>0.375</v>
      </c>
      <c r="P180" s="115">
        <v>5.1863000000000001</v>
      </c>
      <c r="Q180" s="769">
        <v>3.9685249362300001</v>
      </c>
      <c r="R180" s="216"/>
      <c r="S180" s="216">
        <v>3.9685249362300001</v>
      </c>
      <c r="T180" s="216">
        <v>26</v>
      </c>
      <c r="U180" s="216">
        <v>3.63</v>
      </c>
      <c r="V180" s="115">
        <v>103.20734887236</v>
      </c>
      <c r="W180" s="109"/>
      <c r="X180" s="109">
        <v>82.032017449820003</v>
      </c>
      <c r="Y180" s="109"/>
      <c r="Z180" s="109">
        <v>94.025208924677329</v>
      </c>
      <c r="AA180" s="109">
        <v>59.147223708554378</v>
      </c>
      <c r="AB180" s="109" t="s">
        <v>4920</v>
      </c>
      <c r="AC180" s="109" t="s">
        <v>4921</v>
      </c>
      <c r="AD180" s="765"/>
      <c r="AE180" s="765" t="s">
        <v>625</v>
      </c>
      <c r="AF180" s="765"/>
      <c r="AG180" s="765"/>
      <c r="AH180" s="109"/>
      <c r="AL180" s="2" t="s">
        <v>679</v>
      </c>
      <c r="AM180" s="2" t="s">
        <v>706</v>
      </c>
      <c r="AN180" s="2" t="s">
        <v>952</v>
      </c>
      <c r="AO180" s="2">
        <v>0.32135902</v>
      </c>
      <c r="AP180" s="2" t="s">
        <v>4673</v>
      </c>
      <c r="AQ180" s="2" t="s">
        <v>4396</v>
      </c>
      <c r="AR180" s="2" t="s">
        <v>4844</v>
      </c>
      <c r="AT180" s="765"/>
      <c r="AU180" s="765"/>
      <c r="AV180" s="765"/>
      <c r="AW180" s="765"/>
    </row>
    <row r="181" spans="1:49" x14ac:dyDescent="0.25">
      <c r="A181" s="23" t="s">
        <v>807</v>
      </c>
      <c r="B181" s="108" t="s">
        <v>148</v>
      </c>
      <c r="C181" s="108" t="s">
        <v>145</v>
      </c>
      <c r="D181" s="108" t="s">
        <v>149</v>
      </c>
      <c r="E181" s="108" t="s">
        <v>1270</v>
      </c>
      <c r="F181" s="114" t="s">
        <v>694</v>
      </c>
      <c r="G181" s="213" t="s">
        <v>1135</v>
      </c>
      <c r="H181" s="115" t="s">
        <v>1271</v>
      </c>
      <c r="I181" s="213">
        <v>883832077.49000001</v>
      </c>
      <c r="J181" s="109">
        <v>4.5</v>
      </c>
      <c r="K181" s="109" t="s">
        <v>696</v>
      </c>
      <c r="L181" s="115">
        <v>0.35340856999999998</v>
      </c>
      <c r="M181" s="115">
        <v>104.939201</v>
      </c>
      <c r="N181" s="115">
        <v>104.986076</v>
      </c>
      <c r="O181" s="214">
        <v>0.33750000000000002</v>
      </c>
      <c r="P181" s="115">
        <v>5.4680999999999997</v>
      </c>
      <c r="Q181" s="769">
        <v>4.1495734559099997</v>
      </c>
      <c r="R181" s="216"/>
      <c r="S181" s="216">
        <v>4.1495734559099997</v>
      </c>
      <c r="T181" s="216">
        <v>27</v>
      </c>
      <c r="U181" s="216">
        <v>3.4289999999999998</v>
      </c>
      <c r="V181" s="115">
        <v>83.341536564449996</v>
      </c>
      <c r="W181" s="109"/>
      <c r="X181" s="109">
        <v>57.48203651387</v>
      </c>
      <c r="Y181" s="109"/>
      <c r="Z181" s="109">
        <v>27.004355174701189</v>
      </c>
      <c r="AA181" s="109">
        <v>30.50409089061101</v>
      </c>
      <c r="AB181" s="109" t="s">
        <v>1268</v>
      </c>
      <c r="AC181" s="109" t="s">
        <v>257</v>
      </c>
      <c r="AD181" s="765" t="s">
        <v>2857</v>
      </c>
      <c r="AE181" s="765" t="s">
        <v>625</v>
      </c>
      <c r="AF181" s="765"/>
      <c r="AG181" s="765"/>
      <c r="AH181" s="109"/>
      <c r="AL181" s="2" t="s">
        <v>679</v>
      </c>
      <c r="AM181" s="2" t="s">
        <v>706</v>
      </c>
      <c r="AN181" s="2" t="s">
        <v>952</v>
      </c>
      <c r="AO181" s="2">
        <v>0.36340454999999999</v>
      </c>
      <c r="AP181" s="2" t="s">
        <v>4673</v>
      </c>
      <c r="AQ181" s="2" t="s">
        <v>4396</v>
      </c>
      <c r="AR181" s="2" t="s">
        <v>4844</v>
      </c>
      <c r="AT181" s="765"/>
      <c r="AU181" s="765"/>
      <c r="AV181" s="765"/>
      <c r="AW181" s="765"/>
    </row>
    <row r="182" spans="1:49" x14ac:dyDescent="0.25">
      <c r="A182" s="23" t="s">
        <v>548</v>
      </c>
      <c r="B182" s="108" t="s">
        <v>148</v>
      </c>
      <c r="C182" s="108" t="s">
        <v>145</v>
      </c>
      <c r="D182" s="108" t="s">
        <v>149</v>
      </c>
      <c r="E182" s="108" t="s">
        <v>1272</v>
      </c>
      <c r="F182" s="114" t="s">
        <v>694</v>
      </c>
      <c r="G182" s="213" t="s">
        <v>1197</v>
      </c>
      <c r="H182" s="115" t="s">
        <v>1273</v>
      </c>
      <c r="I182" s="213">
        <v>4939778.28</v>
      </c>
      <c r="J182" s="109">
        <v>4</v>
      </c>
      <c r="K182" s="109" t="s">
        <v>696</v>
      </c>
      <c r="L182" s="115">
        <v>0.26319036000000001</v>
      </c>
      <c r="M182" s="115">
        <v>102.23041499999999</v>
      </c>
      <c r="N182" s="115">
        <v>102.26166499999999</v>
      </c>
      <c r="O182" s="214">
        <v>0.3</v>
      </c>
      <c r="P182" s="115">
        <v>6.2283999999999997</v>
      </c>
      <c r="Q182" s="769">
        <v>4.2630968724500002</v>
      </c>
      <c r="R182" s="216"/>
      <c r="S182" s="216">
        <v>4.2630968724500002</v>
      </c>
      <c r="T182" s="216">
        <v>27</v>
      </c>
      <c r="U182" s="216">
        <v>3.5680000000000001</v>
      </c>
      <c r="V182" s="115">
        <v>97.808977750590003</v>
      </c>
      <c r="W182" s="109"/>
      <c r="X182" s="109">
        <v>47.051908486919999</v>
      </c>
      <c r="Y182" s="109"/>
      <c r="Z182" s="109">
        <v>0.38846212901527682</v>
      </c>
      <c r="AA182" s="109">
        <v>18.623866871037681</v>
      </c>
      <c r="AB182" s="109" t="s">
        <v>3421</v>
      </c>
      <c r="AC182" s="109" t="s">
        <v>1802</v>
      </c>
      <c r="AD182" s="765" t="s">
        <v>4519</v>
      </c>
      <c r="AE182" s="765" t="s">
        <v>625</v>
      </c>
      <c r="AF182" s="765"/>
      <c r="AG182" s="765"/>
      <c r="AH182" s="109"/>
      <c r="AL182" s="2" t="s">
        <v>679</v>
      </c>
      <c r="AM182" s="2" t="s">
        <v>706</v>
      </c>
      <c r="AN182" s="2" t="s">
        <v>952</v>
      </c>
      <c r="AO182" s="2">
        <v>0.26374409999999998</v>
      </c>
      <c r="AP182" s="2" t="s">
        <v>4673</v>
      </c>
      <c r="AQ182" s="2" t="s">
        <v>4396</v>
      </c>
      <c r="AR182" s="2" t="s">
        <v>4844</v>
      </c>
      <c r="AT182" s="765"/>
      <c r="AU182" s="765"/>
      <c r="AV182" s="765"/>
      <c r="AW182" s="765"/>
    </row>
    <row r="183" spans="1:49" x14ac:dyDescent="0.25">
      <c r="A183" s="23" t="s">
        <v>589</v>
      </c>
      <c r="B183" s="108" t="s">
        <v>148</v>
      </c>
      <c r="C183" s="108" t="s">
        <v>145</v>
      </c>
      <c r="D183" s="108" t="s">
        <v>149</v>
      </c>
      <c r="E183" s="108" t="s">
        <v>1274</v>
      </c>
      <c r="F183" s="114" t="s">
        <v>694</v>
      </c>
      <c r="G183" s="213" t="s">
        <v>1115</v>
      </c>
      <c r="H183" s="115" t="s">
        <v>1117</v>
      </c>
      <c r="I183" s="213">
        <v>1081362.03</v>
      </c>
      <c r="J183" s="109">
        <v>4.5</v>
      </c>
      <c r="K183" s="109" t="s">
        <v>696</v>
      </c>
      <c r="L183" s="115">
        <v>0.23797271</v>
      </c>
      <c r="M183" s="115">
        <v>104.344307</v>
      </c>
      <c r="N183" s="115">
        <v>104.391182</v>
      </c>
      <c r="O183" s="214">
        <v>0.33750000000000002</v>
      </c>
      <c r="P183" s="115">
        <v>5.4977999999999998</v>
      </c>
      <c r="Q183" s="769">
        <v>4.3749664694300003</v>
      </c>
      <c r="R183" s="216"/>
      <c r="S183" s="216">
        <v>4.3749664694300003</v>
      </c>
      <c r="T183" s="216">
        <v>27</v>
      </c>
      <c r="U183" s="216">
        <v>3.5569999999999999</v>
      </c>
      <c r="V183" s="115">
        <v>96.195565783890004</v>
      </c>
      <c r="W183" s="109"/>
      <c r="X183" s="109">
        <v>68.545426776309995</v>
      </c>
      <c r="Y183" s="109"/>
      <c r="Z183" s="109">
        <v>1.718059024246998</v>
      </c>
      <c r="AA183" s="109">
        <v>42.892925695703191</v>
      </c>
      <c r="AB183" s="109" t="s">
        <v>4520</v>
      </c>
      <c r="AC183" s="109" t="s">
        <v>4521</v>
      </c>
      <c r="AD183" s="765" t="s">
        <v>4032</v>
      </c>
      <c r="AE183" s="765" t="s">
        <v>625</v>
      </c>
      <c r="AF183" s="765"/>
      <c r="AG183" s="765"/>
      <c r="AH183" s="109"/>
      <c r="AL183" s="2" t="s">
        <v>679</v>
      </c>
      <c r="AM183" s="2" t="s">
        <v>706</v>
      </c>
      <c r="AN183" s="2" t="s">
        <v>952</v>
      </c>
      <c r="AO183" s="2">
        <v>0.23869668999999999</v>
      </c>
      <c r="AP183" s="2" t="s">
        <v>4673</v>
      </c>
      <c r="AQ183" s="2" t="s">
        <v>4396</v>
      </c>
      <c r="AR183" s="2" t="s">
        <v>4844</v>
      </c>
      <c r="AT183" s="765"/>
      <c r="AU183" s="765"/>
      <c r="AV183" s="765"/>
      <c r="AW183" s="765"/>
    </row>
    <row r="184" spans="1:49" x14ac:dyDescent="0.25">
      <c r="A184" s="23" t="s">
        <v>805</v>
      </c>
      <c r="B184" s="108" t="s">
        <v>148</v>
      </c>
      <c r="C184" s="108" t="s">
        <v>145</v>
      </c>
      <c r="D184" s="108" t="s">
        <v>149</v>
      </c>
      <c r="E184" s="108" t="s">
        <v>1275</v>
      </c>
      <c r="F184" s="114" t="s">
        <v>694</v>
      </c>
      <c r="G184" s="213" t="s">
        <v>1276</v>
      </c>
      <c r="H184" s="115" t="s">
        <v>1277</v>
      </c>
      <c r="I184" s="213">
        <v>14698337.119999999</v>
      </c>
      <c r="J184" s="109">
        <v>4</v>
      </c>
      <c r="K184" s="109" t="s">
        <v>696</v>
      </c>
      <c r="L184" s="115">
        <v>0.26145515000000003</v>
      </c>
      <c r="M184" s="115">
        <v>102.96519499999999</v>
      </c>
      <c r="N184" s="115">
        <v>103.01206999999999</v>
      </c>
      <c r="O184" s="214">
        <v>0.3</v>
      </c>
      <c r="P184" s="115">
        <v>6.2920999999999996</v>
      </c>
      <c r="Q184" s="769">
        <v>4.5340376135499998</v>
      </c>
      <c r="R184" s="216"/>
      <c r="S184" s="216">
        <v>4.5340376135499998</v>
      </c>
      <c r="T184" s="216">
        <v>27</v>
      </c>
      <c r="U184" s="216">
        <v>3.4329999999999998</v>
      </c>
      <c r="V184" s="115">
        <v>84.382065029139994</v>
      </c>
      <c r="W184" s="109"/>
      <c r="X184" s="109">
        <v>39.914321560689999</v>
      </c>
      <c r="Y184" s="109"/>
      <c r="Z184" s="109">
        <v>29.26439809212852</v>
      </c>
      <c r="AA184" s="109">
        <v>31.329704721750989</v>
      </c>
      <c r="AB184" s="109" t="s">
        <v>256</v>
      </c>
      <c r="AC184" s="109"/>
      <c r="AD184" s="765"/>
      <c r="AE184" s="765" t="s">
        <v>625</v>
      </c>
      <c r="AF184" s="765"/>
      <c r="AG184" s="765"/>
      <c r="AH184" s="109"/>
      <c r="AL184" s="2" t="s">
        <v>679</v>
      </c>
      <c r="AM184" s="2" t="s">
        <v>706</v>
      </c>
      <c r="AN184" s="2" t="s">
        <v>952</v>
      </c>
      <c r="AO184" s="2">
        <v>0.26957185</v>
      </c>
      <c r="AP184" s="2" t="s">
        <v>4673</v>
      </c>
      <c r="AQ184" s="2" t="s">
        <v>4396</v>
      </c>
      <c r="AR184" s="2" t="s">
        <v>4844</v>
      </c>
      <c r="AT184" s="765"/>
      <c r="AU184" s="765"/>
      <c r="AV184" s="765"/>
      <c r="AW184" s="765"/>
    </row>
    <row r="185" spans="1:49" x14ac:dyDescent="0.25">
      <c r="A185" s="23" t="s">
        <v>795</v>
      </c>
      <c r="B185" s="108" t="s">
        <v>148</v>
      </c>
      <c r="C185" s="108" t="s">
        <v>145</v>
      </c>
      <c r="D185" s="108" t="s">
        <v>149</v>
      </c>
      <c r="E185" s="108" t="s">
        <v>1278</v>
      </c>
      <c r="F185" s="114" t="s">
        <v>694</v>
      </c>
      <c r="G185" s="213" t="s">
        <v>1279</v>
      </c>
      <c r="H185" s="115" t="s">
        <v>1280</v>
      </c>
      <c r="I185" s="213">
        <v>22110204.809999999</v>
      </c>
      <c r="J185" s="109">
        <v>4.5</v>
      </c>
      <c r="K185" s="109" t="s">
        <v>696</v>
      </c>
      <c r="L185" s="115">
        <v>0.32434880999999999</v>
      </c>
      <c r="M185" s="115">
        <v>104.68058000000001</v>
      </c>
      <c r="N185" s="115">
        <v>104.72745500000001</v>
      </c>
      <c r="O185" s="214">
        <v>0.33750000000000002</v>
      </c>
      <c r="P185" s="115">
        <v>5.4983000000000004</v>
      </c>
      <c r="Q185" s="769">
        <v>3.8354151534000001</v>
      </c>
      <c r="R185" s="216"/>
      <c r="S185" s="216">
        <v>3.8354151534000001</v>
      </c>
      <c r="T185" s="216">
        <v>27</v>
      </c>
      <c r="U185" s="216">
        <v>3.4870000000000001</v>
      </c>
      <c r="V185" s="115">
        <v>89.188370431999999</v>
      </c>
      <c r="W185" s="109"/>
      <c r="X185" s="109">
        <v>50.717639557410003</v>
      </c>
      <c r="Y185" s="109"/>
      <c r="Z185" s="109">
        <v>8.211596840070035</v>
      </c>
      <c r="AA185" s="109">
        <v>27.593342382991601</v>
      </c>
      <c r="AB185" s="109" t="s">
        <v>2721</v>
      </c>
      <c r="AC185" s="109" t="s">
        <v>247</v>
      </c>
      <c r="AD185" s="765" t="s">
        <v>249</v>
      </c>
      <c r="AE185" s="765" t="s">
        <v>625</v>
      </c>
      <c r="AF185" s="765"/>
      <c r="AG185" s="765"/>
      <c r="AH185" s="109"/>
      <c r="AL185" s="2" t="s">
        <v>679</v>
      </c>
      <c r="AM185" s="2" t="s">
        <v>706</v>
      </c>
      <c r="AN185" s="2" t="s">
        <v>952</v>
      </c>
      <c r="AO185" s="2">
        <v>0.32720154000000001</v>
      </c>
      <c r="AP185" s="2" t="s">
        <v>4673</v>
      </c>
      <c r="AQ185" s="2" t="s">
        <v>4396</v>
      </c>
      <c r="AR185" s="2" t="s">
        <v>4844</v>
      </c>
      <c r="AT185" s="765"/>
      <c r="AU185" s="765"/>
      <c r="AV185" s="765"/>
      <c r="AW185" s="765"/>
    </row>
    <row r="186" spans="1:49" x14ac:dyDescent="0.25">
      <c r="A186" s="23" t="s">
        <v>901</v>
      </c>
      <c r="B186" s="108" t="s">
        <v>148</v>
      </c>
      <c r="C186" s="108" t="s">
        <v>145</v>
      </c>
      <c r="D186" s="108" t="s">
        <v>149</v>
      </c>
      <c r="E186" s="108" t="s">
        <v>1282</v>
      </c>
      <c r="F186" s="114" t="s">
        <v>694</v>
      </c>
      <c r="G186" s="213" t="s">
        <v>1252</v>
      </c>
      <c r="H186" s="115" t="s">
        <v>1283</v>
      </c>
      <c r="I186" s="213">
        <v>167508479.28999999</v>
      </c>
      <c r="J186" s="109">
        <v>3.5</v>
      </c>
      <c r="K186" s="109" t="s">
        <v>696</v>
      </c>
      <c r="L186" s="115">
        <v>0.27608440000000001</v>
      </c>
      <c r="M186" s="115">
        <v>101.142754</v>
      </c>
      <c r="N186" s="115">
        <v>101.189629</v>
      </c>
      <c r="O186" s="214">
        <v>0.26250000000000001</v>
      </c>
      <c r="P186" s="115">
        <v>6.3070000000000004</v>
      </c>
      <c r="Q186" s="769">
        <v>4.5979556544499998</v>
      </c>
      <c r="R186" s="216"/>
      <c r="S186" s="216">
        <v>4.5979556544499998</v>
      </c>
      <c r="T186" s="216">
        <v>26</v>
      </c>
      <c r="U186" s="216">
        <v>3.2839999999999998</v>
      </c>
      <c r="V186" s="115">
        <v>69.493921261699995</v>
      </c>
      <c r="W186" s="109"/>
      <c r="X186" s="109">
        <v>45.577561917520001</v>
      </c>
      <c r="Y186" s="109"/>
      <c r="Z186" s="109">
        <v>15.56392823441948</v>
      </c>
      <c r="AA186" s="109">
        <v>20.21630613479315</v>
      </c>
      <c r="AB186" s="109" t="s">
        <v>1284</v>
      </c>
      <c r="AC186" s="109" t="s">
        <v>1957</v>
      </c>
      <c r="AD186" s="765" t="s">
        <v>1285</v>
      </c>
      <c r="AE186" s="765" t="s">
        <v>625</v>
      </c>
      <c r="AF186" s="765"/>
      <c r="AG186" s="765"/>
      <c r="AH186" s="109"/>
      <c r="AL186" s="2" t="s">
        <v>679</v>
      </c>
      <c r="AM186" s="2" t="s">
        <v>706</v>
      </c>
      <c r="AN186" s="2" t="s">
        <v>952</v>
      </c>
      <c r="AO186" s="2">
        <v>0.28068509000000003</v>
      </c>
      <c r="AP186" s="2" t="s">
        <v>4673</v>
      </c>
      <c r="AQ186" s="2" t="s">
        <v>4396</v>
      </c>
      <c r="AR186" s="2" t="s">
        <v>4844</v>
      </c>
      <c r="AT186" s="765"/>
      <c r="AU186" s="765"/>
      <c r="AV186" s="765"/>
      <c r="AW186" s="765"/>
    </row>
    <row r="187" spans="1:49" x14ac:dyDescent="0.25">
      <c r="A187" s="23" t="s">
        <v>4611</v>
      </c>
      <c r="B187" s="108" t="s">
        <v>148</v>
      </c>
      <c r="C187" s="108" t="s">
        <v>145</v>
      </c>
      <c r="D187" s="108" t="s">
        <v>153</v>
      </c>
      <c r="E187" s="108" t="s">
        <v>4689</v>
      </c>
      <c r="F187" s="114" t="s">
        <v>694</v>
      </c>
      <c r="G187" s="213" t="s">
        <v>2017</v>
      </c>
      <c r="H187" s="115" t="s">
        <v>4690</v>
      </c>
      <c r="I187" s="213">
        <v>2266971.0699999998</v>
      </c>
      <c r="J187" s="109">
        <v>3.5</v>
      </c>
      <c r="K187" s="109" t="s">
        <v>696</v>
      </c>
      <c r="L187" s="115">
        <v>0.58561721</v>
      </c>
      <c r="M187" s="115">
        <v>99.885643000000002</v>
      </c>
      <c r="N187" s="115">
        <v>99.916893000000002</v>
      </c>
      <c r="O187" s="214">
        <v>0.26250000000000001</v>
      </c>
      <c r="P187" s="115">
        <v>6.8691000000000004</v>
      </c>
      <c r="Q187" s="769">
        <v>6.0214891551700003</v>
      </c>
      <c r="R187" s="216"/>
      <c r="S187" s="216">
        <v>6.0214891551700003</v>
      </c>
      <c r="T187" s="216">
        <v>26</v>
      </c>
      <c r="U187" s="216">
        <v>3.504</v>
      </c>
      <c r="V187" s="115">
        <v>91.972500043010001</v>
      </c>
      <c r="W187" s="109"/>
      <c r="X187" s="109">
        <v>43.472487650989997</v>
      </c>
      <c r="Y187" s="109"/>
      <c r="Z187" s="109">
        <v>0.26811789231524502</v>
      </c>
      <c r="AA187" s="109">
        <v>41.300391541862723</v>
      </c>
      <c r="AB187" s="109" t="s">
        <v>256</v>
      </c>
      <c r="AC187" s="109"/>
      <c r="AD187" s="765"/>
      <c r="AE187" s="765" t="s">
        <v>625</v>
      </c>
      <c r="AF187" s="765"/>
      <c r="AG187" s="765"/>
      <c r="AH187" s="109"/>
      <c r="AL187" s="2" t="s">
        <v>679</v>
      </c>
      <c r="AM187" s="2" t="s">
        <v>706</v>
      </c>
      <c r="AN187" s="2" t="s">
        <v>952</v>
      </c>
      <c r="AO187" s="2">
        <v>0.58670445000000004</v>
      </c>
      <c r="AP187" s="2" t="s">
        <v>4673</v>
      </c>
      <c r="AQ187" s="2" t="s">
        <v>4469</v>
      </c>
      <c r="AR187" s="2" t="s">
        <v>4756</v>
      </c>
      <c r="AT187" s="765"/>
      <c r="AU187" s="765"/>
      <c r="AV187" s="765"/>
      <c r="AW187" s="765"/>
    </row>
    <row r="188" spans="1:49" x14ac:dyDescent="0.25">
      <c r="A188" s="23" t="s">
        <v>3297</v>
      </c>
      <c r="B188" s="108" t="s">
        <v>148</v>
      </c>
      <c r="C188" s="108" t="s">
        <v>145</v>
      </c>
      <c r="D188" s="108" t="s">
        <v>153</v>
      </c>
      <c r="E188" s="108" t="s">
        <v>3333</v>
      </c>
      <c r="F188" s="114" t="s">
        <v>694</v>
      </c>
      <c r="G188" s="213" t="s">
        <v>3330</v>
      </c>
      <c r="H188" s="115" t="s">
        <v>3334</v>
      </c>
      <c r="I188" s="213">
        <v>1829602.14</v>
      </c>
      <c r="J188" s="109">
        <v>3</v>
      </c>
      <c r="K188" s="109" t="s">
        <v>696</v>
      </c>
      <c r="L188" s="115">
        <v>0.98957589999999995</v>
      </c>
      <c r="M188" s="115">
        <v>96.970344999999995</v>
      </c>
      <c r="N188" s="115">
        <v>96.989127999999994</v>
      </c>
      <c r="O188" s="214">
        <v>0.22500000000000001</v>
      </c>
      <c r="P188" s="115">
        <v>8.5096000000000007</v>
      </c>
      <c r="Q188" s="769">
        <v>5.7103413658399997</v>
      </c>
      <c r="R188" s="216"/>
      <c r="S188" s="216">
        <v>5.7103413658399997</v>
      </c>
      <c r="T188" s="216">
        <v>27</v>
      </c>
      <c r="U188" s="216">
        <v>3.4380000000000002</v>
      </c>
      <c r="V188" s="115">
        <v>90.36196305272</v>
      </c>
      <c r="W188" s="109"/>
      <c r="X188" s="109">
        <v>38.060459226299997</v>
      </c>
      <c r="Y188" s="109"/>
      <c r="Z188" s="109">
        <v>2.7115736178906499E-2</v>
      </c>
      <c r="AA188" s="109">
        <v>2.3486520295767921E-2</v>
      </c>
      <c r="AB188" s="109" t="s">
        <v>3335</v>
      </c>
      <c r="AC188" s="109" t="s">
        <v>3336</v>
      </c>
      <c r="AD188" s="765" t="s">
        <v>3337</v>
      </c>
      <c r="AE188" s="765" t="s">
        <v>625</v>
      </c>
      <c r="AF188" s="765"/>
      <c r="AG188" s="765"/>
      <c r="AH188" s="109"/>
      <c r="AL188" s="2" t="s">
        <v>679</v>
      </c>
      <c r="AM188" s="2" t="s">
        <v>706</v>
      </c>
      <c r="AN188" s="2" t="s">
        <v>952</v>
      </c>
      <c r="AO188" s="2">
        <v>0.99108514000000003</v>
      </c>
      <c r="AP188" s="2" t="s">
        <v>4673</v>
      </c>
      <c r="AQ188" s="2" t="s">
        <v>4469</v>
      </c>
      <c r="AR188" s="2" t="s">
        <v>4756</v>
      </c>
      <c r="AT188" s="765"/>
      <c r="AU188" s="765"/>
      <c r="AV188" s="765"/>
      <c r="AW188" s="765"/>
    </row>
    <row r="189" spans="1:49" x14ac:dyDescent="0.25">
      <c r="A189" s="23" t="s">
        <v>4618</v>
      </c>
      <c r="B189" s="108" t="s">
        <v>148</v>
      </c>
      <c r="C189" s="108" t="s">
        <v>145</v>
      </c>
      <c r="D189" s="108" t="s">
        <v>153</v>
      </c>
      <c r="E189" s="108" t="s">
        <v>4691</v>
      </c>
      <c r="F189" s="114" t="s">
        <v>694</v>
      </c>
      <c r="G189" s="213" t="s">
        <v>4654</v>
      </c>
      <c r="H189" s="115" t="s">
        <v>4055</v>
      </c>
      <c r="I189" s="213">
        <v>4869600.97</v>
      </c>
      <c r="J189" s="109">
        <v>2.5</v>
      </c>
      <c r="K189" s="109" t="s">
        <v>696</v>
      </c>
      <c r="L189" s="115">
        <v>0.98931230999999997</v>
      </c>
      <c r="M189" s="115">
        <v>94.808944999999994</v>
      </c>
      <c r="N189" s="115">
        <v>94.840194999999994</v>
      </c>
      <c r="O189" s="214">
        <v>0.1875</v>
      </c>
      <c r="P189" s="115">
        <v>9.2522000000000002</v>
      </c>
      <c r="Q189" s="769">
        <v>6.4425736330100003</v>
      </c>
      <c r="R189" s="216"/>
      <c r="S189" s="216">
        <v>6.4425736330100003</v>
      </c>
      <c r="T189" s="216">
        <v>27</v>
      </c>
      <c r="U189" s="216">
        <v>3.194</v>
      </c>
      <c r="V189" s="115">
        <v>68.340000955440004</v>
      </c>
      <c r="W189" s="109"/>
      <c r="X189" s="109">
        <v>44.950261475700003</v>
      </c>
      <c r="Y189" s="109"/>
      <c r="Z189" s="109">
        <v>0.94173026746782185</v>
      </c>
      <c r="AA189" s="109"/>
      <c r="AB189" s="109" t="s">
        <v>4692</v>
      </c>
      <c r="AC189" s="109" t="s">
        <v>2609</v>
      </c>
      <c r="AD189" s="765" t="s">
        <v>1776</v>
      </c>
      <c r="AE189" s="765" t="s">
        <v>625</v>
      </c>
      <c r="AF189" s="765"/>
      <c r="AG189" s="765"/>
      <c r="AH189" s="109"/>
      <c r="AL189" s="2" t="s">
        <v>679</v>
      </c>
      <c r="AM189" s="2" t="s">
        <v>706</v>
      </c>
      <c r="AN189" s="2" t="s">
        <v>952</v>
      </c>
      <c r="AO189" s="2">
        <v>0.99180204000000005</v>
      </c>
      <c r="AP189" s="2" t="s">
        <v>4673</v>
      </c>
      <c r="AQ189" s="2" t="s">
        <v>4469</v>
      </c>
      <c r="AR189" s="2" t="s">
        <v>4756</v>
      </c>
      <c r="AT189" s="765"/>
      <c r="AU189" s="765"/>
      <c r="AV189" s="765"/>
      <c r="AW189" s="765"/>
    </row>
    <row r="190" spans="1:49" x14ac:dyDescent="0.25">
      <c r="A190" s="23" t="s">
        <v>5056</v>
      </c>
      <c r="B190" s="108" t="s">
        <v>148</v>
      </c>
      <c r="C190" s="108" t="s">
        <v>145</v>
      </c>
      <c r="D190" s="108" t="s">
        <v>153</v>
      </c>
      <c r="E190" s="108" t="s">
        <v>5121</v>
      </c>
      <c r="F190" s="114" t="s">
        <v>694</v>
      </c>
      <c r="G190" s="213" t="s">
        <v>1209</v>
      </c>
      <c r="H190" s="115" t="s">
        <v>5122</v>
      </c>
      <c r="I190" s="213">
        <v>1908119.58</v>
      </c>
      <c r="J190" s="109">
        <v>2.5</v>
      </c>
      <c r="K190" s="109" t="s">
        <v>696</v>
      </c>
      <c r="L190" s="115">
        <v>0.99037691000000005</v>
      </c>
      <c r="M190" s="115">
        <v>94.589264</v>
      </c>
      <c r="N190" s="115">
        <v>94.617812999999998</v>
      </c>
      <c r="O190" s="214">
        <v>0.1875</v>
      </c>
      <c r="P190" s="115">
        <v>9.3298000000000005</v>
      </c>
      <c r="Q190" s="769">
        <v>6.7354726340399997</v>
      </c>
      <c r="R190" s="216"/>
      <c r="S190" s="216">
        <v>6.7354726340399997</v>
      </c>
      <c r="T190" s="216">
        <v>27</v>
      </c>
      <c r="U190" s="216">
        <v>3.2189999999999999</v>
      </c>
      <c r="V190" s="115">
        <v>71.144508204049998</v>
      </c>
      <c r="W190" s="109"/>
      <c r="X190" s="109">
        <v>32.670340100659999</v>
      </c>
      <c r="Y190" s="109"/>
      <c r="Z190" s="109">
        <v>0.53627321390490312</v>
      </c>
      <c r="AA190" s="109"/>
      <c r="AB190" s="109" t="s">
        <v>4918</v>
      </c>
      <c r="AC190" s="109" t="s">
        <v>3706</v>
      </c>
      <c r="AD190" s="765" t="s">
        <v>4027</v>
      </c>
      <c r="AE190" s="765" t="s">
        <v>625</v>
      </c>
      <c r="AF190" s="765"/>
      <c r="AG190" s="765"/>
      <c r="AH190" s="109"/>
      <c r="AL190" s="2" t="s">
        <v>679</v>
      </c>
      <c r="AM190" s="2" t="s">
        <v>706</v>
      </c>
      <c r="AN190" s="2" t="s">
        <v>952</v>
      </c>
      <c r="AO190" s="2">
        <v>0.99250157999999999</v>
      </c>
      <c r="AP190" s="2" t="s">
        <v>4673</v>
      </c>
      <c r="AQ190" s="2" t="s">
        <v>4469</v>
      </c>
      <c r="AR190" s="2" t="s">
        <v>4756</v>
      </c>
      <c r="AT190" s="765"/>
      <c r="AU190" s="765"/>
      <c r="AV190" s="765"/>
      <c r="AW190" s="765"/>
    </row>
    <row r="191" spans="1:49" x14ac:dyDescent="0.25">
      <c r="A191" s="23" t="s">
        <v>5045</v>
      </c>
      <c r="B191" s="108" t="s">
        <v>148</v>
      </c>
      <c r="C191" s="108" t="s">
        <v>145</v>
      </c>
      <c r="D191" s="108" t="s">
        <v>153</v>
      </c>
      <c r="E191" s="108" t="s">
        <v>5123</v>
      </c>
      <c r="F191" s="114" t="s">
        <v>694</v>
      </c>
      <c r="G191" s="213" t="s">
        <v>1209</v>
      </c>
      <c r="H191" s="115" t="s">
        <v>4712</v>
      </c>
      <c r="I191" s="213">
        <v>208782433.68000001</v>
      </c>
      <c r="J191" s="109">
        <v>2</v>
      </c>
      <c r="K191" s="109" t="s">
        <v>696</v>
      </c>
      <c r="L191" s="115">
        <v>0.98272219000000005</v>
      </c>
      <c r="M191" s="115">
        <v>91.821090999999996</v>
      </c>
      <c r="N191" s="115">
        <v>91.847667999999999</v>
      </c>
      <c r="O191" s="214">
        <v>0.15</v>
      </c>
      <c r="P191" s="115">
        <v>9.9307999999999996</v>
      </c>
      <c r="Q191" s="769">
        <v>6.9869571326999997</v>
      </c>
      <c r="R191" s="216"/>
      <c r="S191" s="216">
        <v>6.9869571326999997</v>
      </c>
      <c r="T191" s="216">
        <v>26</v>
      </c>
      <c r="U191" s="216">
        <v>3.0230000000000001</v>
      </c>
      <c r="V191" s="115">
        <v>53.176059917849997</v>
      </c>
      <c r="W191" s="109"/>
      <c r="X191" s="109">
        <v>10.34096056505</v>
      </c>
      <c r="Y191" s="109"/>
      <c r="Z191" s="109">
        <v>2.432963974243274</v>
      </c>
      <c r="AA191" s="109"/>
      <c r="AB191" s="109" t="s">
        <v>2399</v>
      </c>
      <c r="AC191" s="109" t="s">
        <v>243</v>
      </c>
      <c r="AD191" s="765" t="s">
        <v>2057</v>
      </c>
      <c r="AE191" s="765" t="s">
        <v>625</v>
      </c>
      <c r="AF191" s="765"/>
      <c r="AG191" s="765"/>
      <c r="AH191" s="109"/>
      <c r="AL191" s="2" t="s">
        <v>679</v>
      </c>
      <c r="AM191" s="2" t="s">
        <v>706</v>
      </c>
      <c r="AN191" s="2" t="s">
        <v>952</v>
      </c>
      <c r="AO191" s="2">
        <v>0.98647030999999996</v>
      </c>
      <c r="AP191" s="2" t="s">
        <v>4673</v>
      </c>
      <c r="AQ191" s="2" t="s">
        <v>4469</v>
      </c>
      <c r="AR191" s="2" t="s">
        <v>4756</v>
      </c>
      <c r="AT191" s="765"/>
      <c r="AU191" s="765"/>
      <c r="AV191" s="765"/>
      <c r="AW191" s="765"/>
    </row>
    <row r="192" spans="1:49" x14ac:dyDescent="0.25">
      <c r="A192" s="23" t="s">
        <v>4053</v>
      </c>
      <c r="B192" s="108" t="s">
        <v>148</v>
      </c>
      <c r="C192" s="108" t="s">
        <v>145</v>
      </c>
      <c r="D192" s="108" t="s">
        <v>153</v>
      </c>
      <c r="E192" s="108" t="s">
        <v>4054</v>
      </c>
      <c r="F192" s="114" t="s">
        <v>694</v>
      </c>
      <c r="G192" s="213" t="s">
        <v>3685</v>
      </c>
      <c r="H192" s="115" t="s">
        <v>4055</v>
      </c>
      <c r="I192" s="213">
        <v>79703468.75</v>
      </c>
      <c r="J192" s="109">
        <v>2.5</v>
      </c>
      <c r="K192" s="109" t="s">
        <v>696</v>
      </c>
      <c r="L192" s="115">
        <v>0.97462165999999995</v>
      </c>
      <c r="M192" s="115">
        <v>94.753264999999999</v>
      </c>
      <c r="N192" s="115">
        <v>94.781818000000001</v>
      </c>
      <c r="O192" s="214">
        <v>0.1875</v>
      </c>
      <c r="P192" s="115">
        <v>9.1739999999999995</v>
      </c>
      <c r="Q192" s="769">
        <v>6.4225452008800001</v>
      </c>
      <c r="R192" s="216"/>
      <c r="S192" s="216">
        <v>6.4225452008800001</v>
      </c>
      <c r="T192" s="216">
        <v>27</v>
      </c>
      <c r="U192" s="216">
        <v>3.2069999999999999</v>
      </c>
      <c r="V192" s="115">
        <v>69.410320380130003</v>
      </c>
      <c r="W192" s="109"/>
      <c r="X192" s="109">
        <v>32.170378691240003</v>
      </c>
      <c r="Y192" s="109"/>
      <c r="Z192" s="109">
        <v>7.0026120143051322</v>
      </c>
      <c r="AA192" s="109"/>
      <c r="AB192" s="109" t="s">
        <v>2723</v>
      </c>
      <c r="AC192" s="109" t="s">
        <v>1202</v>
      </c>
      <c r="AD192" s="765" t="s">
        <v>249</v>
      </c>
      <c r="AE192" s="765" t="s">
        <v>625</v>
      </c>
      <c r="AF192" s="765"/>
      <c r="AG192" s="765"/>
      <c r="AH192" s="109"/>
      <c r="AL192" s="2" t="s">
        <v>679</v>
      </c>
      <c r="AM192" s="2" t="s">
        <v>706</v>
      </c>
      <c r="AN192" s="2" t="s">
        <v>952</v>
      </c>
      <c r="AO192" s="2">
        <v>0.98224405000000004</v>
      </c>
      <c r="AP192" s="2" t="s">
        <v>4673</v>
      </c>
      <c r="AQ192" s="2" t="s">
        <v>4469</v>
      </c>
      <c r="AR192" s="2" t="s">
        <v>4756</v>
      </c>
      <c r="AT192" s="765"/>
      <c r="AU192" s="765"/>
      <c r="AV192" s="765"/>
      <c r="AW192" s="765"/>
    </row>
    <row r="193" spans="1:49" x14ac:dyDescent="0.25">
      <c r="A193" s="23" t="s">
        <v>3060</v>
      </c>
      <c r="B193" s="108" t="s">
        <v>148</v>
      </c>
      <c r="C193" s="108" t="s">
        <v>145</v>
      </c>
      <c r="D193" s="108" t="s">
        <v>153</v>
      </c>
      <c r="E193" s="108" t="s">
        <v>3083</v>
      </c>
      <c r="F193" s="114" t="s">
        <v>694</v>
      </c>
      <c r="G193" s="213" t="s">
        <v>3084</v>
      </c>
      <c r="H193" s="115" t="s">
        <v>2860</v>
      </c>
      <c r="I193" s="213">
        <v>196531386.78</v>
      </c>
      <c r="J193" s="109">
        <v>3</v>
      </c>
      <c r="K193" s="109" t="s">
        <v>696</v>
      </c>
      <c r="L193" s="115">
        <v>0.96565033</v>
      </c>
      <c r="M193" s="115">
        <v>97.310867000000002</v>
      </c>
      <c r="N193" s="115">
        <v>97.342117000000002</v>
      </c>
      <c r="O193" s="214">
        <v>0.22500000000000001</v>
      </c>
      <c r="P193" s="115">
        <v>8.2751999999999999</v>
      </c>
      <c r="Q193" s="769">
        <v>6.7552761714800003</v>
      </c>
      <c r="R193" s="216"/>
      <c r="S193" s="216">
        <v>6.7552761714800003</v>
      </c>
      <c r="T193" s="216">
        <v>27</v>
      </c>
      <c r="U193" s="216">
        <v>3.395</v>
      </c>
      <c r="V193" s="115">
        <v>85.389095506480004</v>
      </c>
      <c r="W193" s="109"/>
      <c r="X193" s="109">
        <v>32.711094175569997</v>
      </c>
      <c r="Y193" s="109"/>
      <c r="Z193" s="109">
        <v>2.494826207443201</v>
      </c>
      <c r="AA193" s="109">
        <v>3.8585726366876849</v>
      </c>
      <c r="AB193" s="109" t="s">
        <v>256</v>
      </c>
      <c r="AC193" s="109"/>
      <c r="AD193" s="765"/>
      <c r="AE193" s="765" t="s">
        <v>625</v>
      </c>
      <c r="AF193" s="765"/>
      <c r="AG193" s="765"/>
      <c r="AH193" s="109"/>
      <c r="AL193" s="2" t="s">
        <v>679</v>
      </c>
      <c r="AM193" s="2" t="s">
        <v>706</v>
      </c>
      <c r="AN193" s="2" t="s">
        <v>952</v>
      </c>
      <c r="AO193" s="2">
        <v>0.96931177000000002</v>
      </c>
      <c r="AP193" s="2" t="s">
        <v>4673</v>
      </c>
      <c r="AQ193" s="2" t="s">
        <v>4469</v>
      </c>
      <c r="AR193" s="2" t="s">
        <v>4756</v>
      </c>
      <c r="AT193" s="765"/>
      <c r="AU193" s="765"/>
      <c r="AV193" s="765"/>
      <c r="AW193" s="765"/>
    </row>
    <row r="194" spans="1:49" x14ac:dyDescent="0.25">
      <c r="A194" s="23" t="s">
        <v>3623</v>
      </c>
      <c r="B194" s="108" t="s">
        <v>163</v>
      </c>
      <c r="C194" s="108" t="s">
        <v>150</v>
      </c>
      <c r="D194" s="108" t="s">
        <v>2233</v>
      </c>
      <c r="E194" s="108" t="s">
        <v>3713</v>
      </c>
      <c r="F194" s="114" t="s">
        <v>694</v>
      </c>
      <c r="G194" s="213" t="s">
        <v>2760</v>
      </c>
      <c r="H194" s="115" t="s">
        <v>2761</v>
      </c>
      <c r="I194" s="213">
        <v>9955425.8300000001</v>
      </c>
      <c r="J194" s="109">
        <v>6.0434299999999999</v>
      </c>
      <c r="K194" s="109" t="s">
        <v>695</v>
      </c>
      <c r="L194" s="115">
        <v>9.3871739999999995E-2</v>
      </c>
      <c r="M194" s="115">
        <v>16.084420999999999</v>
      </c>
      <c r="N194" s="115">
        <v>16.24689</v>
      </c>
      <c r="O194" s="214">
        <v>5.0361999999999997E-2</v>
      </c>
      <c r="P194" s="115">
        <v>5.0472000000000001</v>
      </c>
      <c r="Q194" s="769">
        <v>18.617528310130002</v>
      </c>
      <c r="R194" s="216"/>
      <c r="S194" s="216">
        <v>18.617528310130002</v>
      </c>
      <c r="T194" s="216">
        <v>3</v>
      </c>
      <c r="U194" s="216">
        <v>20.077999999999999</v>
      </c>
      <c r="V194" s="115">
        <v>1747.8828521001001</v>
      </c>
      <c r="W194" s="109">
        <v>650</v>
      </c>
      <c r="X194" s="109">
        <v>122.15749387856</v>
      </c>
      <c r="Y194" s="109" t="s">
        <v>726</v>
      </c>
      <c r="Z194" s="109">
        <v>21.206925664500002</v>
      </c>
      <c r="AA194" s="109">
        <v>29.757692723400002</v>
      </c>
      <c r="AB194" s="109" t="s">
        <v>2244</v>
      </c>
      <c r="AC194" s="109" t="s">
        <v>4519</v>
      </c>
      <c r="AD194" s="765" t="s">
        <v>830</v>
      </c>
      <c r="AE194" s="765" t="s">
        <v>674</v>
      </c>
      <c r="AF194" s="765"/>
      <c r="AG194" s="765"/>
      <c r="AH194" s="109"/>
      <c r="AL194" s="2" t="s">
        <v>679</v>
      </c>
      <c r="AM194" s="2" t="s">
        <v>814</v>
      </c>
      <c r="AN194" s="2" t="s">
        <v>952</v>
      </c>
      <c r="AO194" s="2">
        <v>9.6019190000000004E-2</v>
      </c>
      <c r="AP194" s="2" t="s">
        <v>4673</v>
      </c>
      <c r="AQ194" s="2" t="s">
        <v>4469</v>
      </c>
      <c r="AR194" s="2" t="s">
        <v>4638</v>
      </c>
      <c r="AT194" s="765"/>
      <c r="AU194" s="765"/>
      <c r="AV194" s="765"/>
      <c r="AW194" s="765"/>
    </row>
    <row r="195" spans="1:49" x14ac:dyDescent="0.25">
      <c r="A195" s="23" t="s">
        <v>2758</v>
      </c>
      <c r="B195" s="108" t="s">
        <v>163</v>
      </c>
      <c r="C195" s="108" t="s">
        <v>150</v>
      </c>
      <c r="D195" s="108" t="s">
        <v>545</v>
      </c>
      <c r="E195" s="108" t="s">
        <v>2759</v>
      </c>
      <c r="F195" s="114" t="s">
        <v>694</v>
      </c>
      <c r="G195" s="213" t="s">
        <v>2760</v>
      </c>
      <c r="H195" s="115" t="s">
        <v>2761</v>
      </c>
      <c r="I195" s="213">
        <v>9275455.5399999991</v>
      </c>
      <c r="J195" s="109">
        <v>6.0434299999999999</v>
      </c>
      <c r="K195" s="109" t="s">
        <v>695</v>
      </c>
      <c r="L195" s="115">
        <v>0.18817691</v>
      </c>
      <c r="M195" s="115">
        <v>17.833385</v>
      </c>
      <c r="N195" s="115">
        <v>18.01352</v>
      </c>
      <c r="O195" s="214">
        <v>5.0361999999999997E-2</v>
      </c>
      <c r="P195" s="115">
        <v>5.1363000000000003</v>
      </c>
      <c r="Q195" s="769">
        <v>20.71621591077</v>
      </c>
      <c r="R195" s="216"/>
      <c r="S195" s="216">
        <v>20.71621591077</v>
      </c>
      <c r="T195" s="216">
        <v>3</v>
      </c>
      <c r="U195" s="216">
        <v>16.587</v>
      </c>
      <c r="V195" s="115">
        <v>1398.8842090083799</v>
      </c>
      <c r="W195" s="109">
        <v>650</v>
      </c>
      <c r="X195" s="109">
        <v>33.969359480100003</v>
      </c>
      <c r="Y195" s="109" t="s">
        <v>726</v>
      </c>
      <c r="Z195" s="109">
        <v>9.6701759166999999</v>
      </c>
      <c r="AA195" s="109">
        <v>18.523001713700001</v>
      </c>
      <c r="AB195" s="109" t="s">
        <v>250</v>
      </c>
      <c r="AC195" s="109" t="s">
        <v>2403</v>
      </c>
      <c r="AD195" s="765" t="s">
        <v>1940</v>
      </c>
      <c r="AE195" s="765" t="s">
        <v>674</v>
      </c>
      <c r="AF195" s="765"/>
      <c r="AG195" s="765"/>
      <c r="AH195" s="109"/>
      <c r="AL195" s="2" t="s">
        <v>679</v>
      </c>
      <c r="AM195" s="2" t="s">
        <v>814</v>
      </c>
      <c r="AN195" s="2" t="s">
        <v>952</v>
      </c>
      <c r="AO195" s="2">
        <v>0.19035952</v>
      </c>
      <c r="AP195" s="2" t="s">
        <v>4673</v>
      </c>
      <c r="AQ195" s="2" t="s">
        <v>4469</v>
      </c>
      <c r="AR195" s="2" t="s">
        <v>4638</v>
      </c>
      <c r="AT195" s="765"/>
      <c r="AU195" s="765"/>
      <c r="AV195" s="765"/>
      <c r="AW195" s="765"/>
    </row>
    <row r="196" spans="1:49" x14ac:dyDescent="0.25">
      <c r="A196" s="23" t="s">
        <v>1058</v>
      </c>
      <c r="B196" s="108" t="s">
        <v>162</v>
      </c>
      <c r="C196" s="108" t="s">
        <v>150</v>
      </c>
      <c r="D196" s="108" t="s">
        <v>516</v>
      </c>
      <c r="E196" s="108" t="s">
        <v>1059</v>
      </c>
      <c r="F196" s="114" t="s">
        <v>694</v>
      </c>
      <c r="G196" s="213" t="s">
        <v>1120</v>
      </c>
      <c r="H196" s="115" t="s">
        <v>1121</v>
      </c>
      <c r="I196" s="213">
        <v>12913394.52</v>
      </c>
      <c r="J196" s="109">
        <v>0</v>
      </c>
      <c r="K196" s="109" t="s">
        <v>696</v>
      </c>
      <c r="L196" s="115">
        <v>0.24602841</v>
      </c>
      <c r="M196" s="115">
        <v>85.846176</v>
      </c>
      <c r="N196" s="115">
        <v>86.158676</v>
      </c>
      <c r="O196" s="214">
        <v>0</v>
      </c>
      <c r="P196" s="115">
        <v>5.5076999999999998</v>
      </c>
      <c r="Q196" s="769">
        <v>5.5611116877200004</v>
      </c>
      <c r="R196" s="216"/>
      <c r="S196" s="216">
        <v>5.5611116877200004</v>
      </c>
      <c r="T196" s="216">
        <v>30</v>
      </c>
      <c r="U196" s="216">
        <v>2.9369999999999998</v>
      </c>
      <c r="V196" s="115">
        <v>34.15043996611</v>
      </c>
      <c r="W196" s="109"/>
      <c r="X196" s="109">
        <v>24.274154852070001</v>
      </c>
      <c r="Y196" s="109" t="s">
        <v>1060</v>
      </c>
      <c r="Z196" s="109">
        <v>12.0108966822</v>
      </c>
      <c r="AA196" s="109">
        <v>16.382413292700001</v>
      </c>
      <c r="AB196" s="109" t="s">
        <v>1304</v>
      </c>
      <c r="AC196" s="109" t="s">
        <v>1202</v>
      </c>
      <c r="AD196" s="765" t="s">
        <v>246</v>
      </c>
      <c r="AE196" s="765" t="s">
        <v>674</v>
      </c>
      <c r="AF196" s="765"/>
      <c r="AG196" s="765"/>
      <c r="AH196" s="109"/>
      <c r="AL196" s="2" t="s">
        <v>679</v>
      </c>
      <c r="AM196" s="2" t="s">
        <v>708</v>
      </c>
      <c r="AN196" s="2" t="s">
        <v>952</v>
      </c>
      <c r="AO196" s="2">
        <v>0.24941015999999999</v>
      </c>
      <c r="AP196" s="2" t="s">
        <v>4673</v>
      </c>
      <c r="AQ196" s="2" t="s">
        <v>4469</v>
      </c>
      <c r="AR196" s="2" t="s">
        <v>4638</v>
      </c>
      <c r="AT196" s="765"/>
      <c r="AU196" s="765"/>
      <c r="AV196" s="765"/>
      <c r="AW196" s="765"/>
    </row>
    <row r="197" spans="1:49" x14ac:dyDescent="0.25">
      <c r="A197" s="23" t="s">
        <v>713</v>
      </c>
      <c r="B197" s="108" t="s">
        <v>163</v>
      </c>
      <c r="C197" s="108" t="s">
        <v>150</v>
      </c>
      <c r="D197" s="108" t="s">
        <v>715</v>
      </c>
      <c r="E197" s="108" t="s">
        <v>716</v>
      </c>
      <c r="F197" s="114" t="s">
        <v>694</v>
      </c>
      <c r="G197" s="213" t="s">
        <v>1122</v>
      </c>
      <c r="H197" s="115" t="s">
        <v>1123</v>
      </c>
      <c r="I197" s="213">
        <v>48367775.969999999</v>
      </c>
      <c r="J197" s="109">
        <v>5.5934299999999997</v>
      </c>
      <c r="K197" s="109" t="s">
        <v>695</v>
      </c>
      <c r="L197" s="115">
        <v>0.13099606</v>
      </c>
      <c r="M197" s="115">
        <v>14.174298</v>
      </c>
      <c r="N197" s="115">
        <v>14.317473</v>
      </c>
      <c r="O197" s="214">
        <v>4.6612000000000001E-2</v>
      </c>
      <c r="P197" s="115">
        <v>5.2683999999999997</v>
      </c>
      <c r="Q197" s="769">
        <v>15.179146262030001</v>
      </c>
      <c r="R197" s="216"/>
      <c r="S197" s="216">
        <v>15.179146262030001</v>
      </c>
      <c r="T197" s="216">
        <v>3</v>
      </c>
      <c r="U197" s="216">
        <v>23.22</v>
      </c>
      <c r="V197" s="115">
        <v>2062.2615836528998</v>
      </c>
      <c r="W197" s="109">
        <v>605</v>
      </c>
      <c r="X197" s="109">
        <v>115.71366750462001</v>
      </c>
      <c r="Y197" s="109" t="s">
        <v>714</v>
      </c>
      <c r="Z197" s="109">
        <v>18.449184759400001</v>
      </c>
      <c r="AA197" s="109">
        <v>28.6730135657</v>
      </c>
      <c r="AB197" s="109" t="s">
        <v>236</v>
      </c>
      <c r="AC197" s="109" t="s">
        <v>250</v>
      </c>
      <c r="AD197" s="765" t="s">
        <v>1798</v>
      </c>
      <c r="AE197" s="765" t="s">
        <v>674</v>
      </c>
      <c r="AF197" s="765"/>
      <c r="AG197" s="765"/>
      <c r="AH197" s="109"/>
      <c r="AL197" s="2" t="s">
        <v>679</v>
      </c>
      <c r="AM197" s="2" t="s">
        <v>814</v>
      </c>
      <c r="AN197" s="2" t="s">
        <v>952</v>
      </c>
      <c r="AO197" s="2">
        <v>0.13362278</v>
      </c>
      <c r="AP197" s="2" t="s">
        <v>4673</v>
      </c>
      <c r="AQ197" s="2" t="s">
        <v>4469</v>
      </c>
      <c r="AR197" s="2" t="s">
        <v>4638</v>
      </c>
      <c r="AT197" s="765"/>
      <c r="AU197" s="765"/>
      <c r="AV197" s="765"/>
      <c r="AW197" s="765"/>
    </row>
    <row r="198" spans="1:49" x14ac:dyDescent="0.25">
      <c r="A198" s="23" t="s">
        <v>5044</v>
      </c>
      <c r="B198" s="108" t="s">
        <v>163</v>
      </c>
      <c r="C198" s="108" t="s">
        <v>150</v>
      </c>
      <c r="D198" s="108" t="s">
        <v>545</v>
      </c>
      <c r="E198" s="108" t="s">
        <v>5124</v>
      </c>
      <c r="F198" s="114" t="s">
        <v>694</v>
      </c>
      <c r="G198" s="213" t="s">
        <v>5125</v>
      </c>
      <c r="H198" s="115" t="s">
        <v>5126</v>
      </c>
      <c r="I198" s="213">
        <v>53455083.219999999</v>
      </c>
      <c r="J198" s="109">
        <v>5.5434299999999999</v>
      </c>
      <c r="K198" s="109" t="s">
        <v>695</v>
      </c>
      <c r="L198" s="115">
        <v>0.17960908</v>
      </c>
      <c r="M198" s="115">
        <v>15.742297000000001</v>
      </c>
      <c r="N198" s="115">
        <v>15.90131</v>
      </c>
      <c r="O198" s="214">
        <v>4.6195E-2</v>
      </c>
      <c r="P198" s="115">
        <v>5.2511000000000001</v>
      </c>
      <c r="Q198" s="769">
        <v>22.018665839019999</v>
      </c>
      <c r="R198" s="216"/>
      <c r="S198" s="216">
        <v>22.018665839019999</v>
      </c>
      <c r="T198" s="216">
        <v>3</v>
      </c>
      <c r="U198" s="216">
        <v>18.478999999999999</v>
      </c>
      <c r="V198" s="115">
        <v>1588.162723575</v>
      </c>
      <c r="W198" s="109">
        <v>600</v>
      </c>
      <c r="X198" s="109">
        <v>49.7814738617</v>
      </c>
      <c r="Y198" s="109" t="s">
        <v>726</v>
      </c>
      <c r="Z198" s="109">
        <v>17.601733470799999</v>
      </c>
      <c r="AA198" s="109">
        <v>21.477042675700002</v>
      </c>
      <c r="AB198" s="109" t="s">
        <v>1254</v>
      </c>
      <c r="AC198" s="109" t="s">
        <v>253</v>
      </c>
      <c r="AD198" s="765" t="s">
        <v>249</v>
      </c>
      <c r="AE198" s="765" t="s">
        <v>674</v>
      </c>
      <c r="AF198" s="765"/>
      <c r="AG198" s="765"/>
      <c r="AH198" s="109"/>
      <c r="AL198" s="2" t="s">
        <v>679</v>
      </c>
      <c r="AM198" s="2" t="s">
        <v>814</v>
      </c>
      <c r="AN198" s="2" t="s">
        <v>952</v>
      </c>
      <c r="AO198" s="2">
        <v>0.18305418000000001</v>
      </c>
      <c r="AP198" s="2" t="s">
        <v>4673</v>
      </c>
      <c r="AQ198" s="2" t="s">
        <v>4469</v>
      </c>
      <c r="AR198" s="2" t="s">
        <v>4638</v>
      </c>
      <c r="AT198" s="765"/>
      <c r="AU198" s="765"/>
      <c r="AV198" s="765"/>
      <c r="AW198" s="765"/>
    </row>
    <row r="199" spans="1:49" x14ac:dyDescent="0.25">
      <c r="A199" s="23" t="s">
        <v>2762</v>
      </c>
      <c r="B199" s="108" t="s">
        <v>163</v>
      </c>
      <c r="C199" s="108" t="s">
        <v>150</v>
      </c>
      <c r="D199" s="108" t="s">
        <v>2763</v>
      </c>
      <c r="E199" s="108" t="s">
        <v>2764</v>
      </c>
      <c r="F199" s="114" t="s">
        <v>694</v>
      </c>
      <c r="G199" s="213" t="s">
        <v>2765</v>
      </c>
      <c r="H199" s="115" t="s">
        <v>1292</v>
      </c>
      <c r="I199" s="213">
        <v>10259551.33</v>
      </c>
      <c r="J199" s="109">
        <v>5.6934300000000002</v>
      </c>
      <c r="K199" s="109" t="s">
        <v>695</v>
      </c>
      <c r="L199" s="115">
        <v>0.21756191</v>
      </c>
      <c r="M199" s="115">
        <v>15.474779</v>
      </c>
      <c r="N199" s="115">
        <v>15.63109</v>
      </c>
      <c r="O199" s="214">
        <v>4.7445000000000001E-2</v>
      </c>
      <c r="P199" s="115">
        <v>5.4306000000000001</v>
      </c>
      <c r="Q199" s="769">
        <v>17.56908933411</v>
      </c>
      <c r="R199" s="216"/>
      <c r="S199" s="216">
        <v>17.56908933411</v>
      </c>
      <c r="T199" s="216">
        <v>2</v>
      </c>
      <c r="U199" s="216">
        <v>20.75</v>
      </c>
      <c r="V199" s="115">
        <v>1815.40666074615</v>
      </c>
      <c r="W199" s="109">
        <v>615</v>
      </c>
      <c r="X199" s="109">
        <v>117.39452988439</v>
      </c>
      <c r="Y199" s="109" t="s">
        <v>2766</v>
      </c>
      <c r="Z199" s="109">
        <v>44.803078854900001</v>
      </c>
      <c r="AA199" s="109">
        <v>33.1080342554</v>
      </c>
      <c r="AB199" s="109" t="s">
        <v>4694</v>
      </c>
      <c r="AC199" s="109" t="s">
        <v>1663</v>
      </c>
      <c r="AD199" s="765" t="s">
        <v>1798</v>
      </c>
      <c r="AE199" s="765" t="s">
        <v>674</v>
      </c>
      <c r="AF199" s="765"/>
      <c r="AG199" s="765"/>
      <c r="AH199" s="109"/>
      <c r="AL199" s="2" t="s">
        <v>679</v>
      </c>
      <c r="AM199" s="2" t="s">
        <v>814</v>
      </c>
      <c r="AN199" s="2" t="s">
        <v>952</v>
      </c>
      <c r="AO199" s="2">
        <v>0.22921426</v>
      </c>
      <c r="AP199" s="2" t="s">
        <v>4673</v>
      </c>
      <c r="AQ199" s="2" t="s">
        <v>4469</v>
      </c>
      <c r="AR199" s="2" t="s">
        <v>4638</v>
      </c>
      <c r="AT199" s="765"/>
      <c r="AU199" s="765"/>
      <c r="AV199" s="765"/>
      <c r="AW199" s="765"/>
    </row>
    <row r="200" spans="1:49" x14ac:dyDescent="0.25">
      <c r="A200" s="23" t="s">
        <v>2767</v>
      </c>
      <c r="B200" s="108" t="s">
        <v>163</v>
      </c>
      <c r="C200" s="108" t="s">
        <v>150</v>
      </c>
      <c r="D200" s="108" t="s">
        <v>2768</v>
      </c>
      <c r="E200" s="108" t="s">
        <v>2769</v>
      </c>
      <c r="F200" s="114" t="s">
        <v>694</v>
      </c>
      <c r="G200" s="213" t="s">
        <v>2770</v>
      </c>
      <c r="H200" s="115" t="s">
        <v>2771</v>
      </c>
      <c r="I200" s="213">
        <v>38382718.109999999</v>
      </c>
      <c r="J200" s="109">
        <v>5.4434300000000002</v>
      </c>
      <c r="K200" s="109" t="s">
        <v>695</v>
      </c>
      <c r="L200" s="115">
        <v>0.25893692000000001</v>
      </c>
      <c r="M200" s="115">
        <v>14.010118</v>
      </c>
      <c r="N200" s="115">
        <v>14.151635000000001</v>
      </c>
      <c r="O200" s="214">
        <v>4.5362E-2</v>
      </c>
      <c r="P200" s="115">
        <v>5.72</v>
      </c>
      <c r="Q200" s="769">
        <v>15.694415110990001</v>
      </c>
      <c r="R200" s="216"/>
      <c r="S200" s="216">
        <v>15.694415110990001</v>
      </c>
      <c r="T200" s="216">
        <v>2</v>
      </c>
      <c r="U200" s="216">
        <v>24.167999999999999</v>
      </c>
      <c r="V200" s="115">
        <v>2157.4255107151798</v>
      </c>
      <c r="W200" s="109">
        <v>590</v>
      </c>
      <c r="X200" s="109">
        <v>117.59815459063999</v>
      </c>
      <c r="Y200" s="109" t="s">
        <v>726</v>
      </c>
      <c r="Z200" s="109">
        <v>24.826918610900002</v>
      </c>
      <c r="AA200" s="109">
        <v>25.8424149702</v>
      </c>
      <c r="AB200" s="109" t="s">
        <v>1353</v>
      </c>
      <c r="AC200" s="109" t="s">
        <v>2923</v>
      </c>
      <c r="AD200" s="765" t="s">
        <v>2194</v>
      </c>
      <c r="AE200" s="765" t="s">
        <v>674</v>
      </c>
      <c r="AF200" s="765"/>
      <c r="AG200" s="765"/>
      <c r="AH200" s="109"/>
      <c r="AL200" s="2" t="s">
        <v>679</v>
      </c>
      <c r="AM200" s="2" t="s">
        <v>814</v>
      </c>
      <c r="AN200" s="2" t="s">
        <v>952</v>
      </c>
      <c r="AO200" s="2">
        <v>0.26587154000000002</v>
      </c>
      <c r="AP200" s="2" t="s">
        <v>4673</v>
      </c>
      <c r="AQ200" s="2" t="s">
        <v>4469</v>
      </c>
      <c r="AR200" s="2" t="s">
        <v>4638</v>
      </c>
      <c r="AT200" s="765"/>
      <c r="AU200" s="765"/>
      <c r="AV200" s="765"/>
      <c r="AW200" s="765"/>
    </row>
    <row r="201" spans="1:49" x14ac:dyDescent="0.25">
      <c r="A201" s="23" t="s">
        <v>2235</v>
      </c>
      <c r="B201" s="108" t="s">
        <v>163</v>
      </c>
      <c r="C201" s="108" t="s">
        <v>150</v>
      </c>
      <c r="D201" s="108" t="s">
        <v>2233</v>
      </c>
      <c r="E201" s="108" t="s">
        <v>2236</v>
      </c>
      <c r="F201" s="114" t="s">
        <v>694</v>
      </c>
      <c r="G201" s="213" t="s">
        <v>2239</v>
      </c>
      <c r="H201" s="115" t="s">
        <v>2237</v>
      </c>
      <c r="I201" s="213">
        <v>7641829.2999999998</v>
      </c>
      <c r="J201" s="109">
        <v>5.6434300000000004</v>
      </c>
      <c r="K201" s="109" t="s">
        <v>695</v>
      </c>
      <c r="L201" s="115">
        <v>0.14441849000000001</v>
      </c>
      <c r="M201" s="115">
        <v>14.245405</v>
      </c>
      <c r="N201" s="115">
        <v>14.389298</v>
      </c>
      <c r="O201" s="214">
        <v>4.7029000000000001E-2</v>
      </c>
      <c r="P201" s="115">
        <v>4.9916</v>
      </c>
      <c r="Q201" s="769">
        <v>20.918771376630001</v>
      </c>
      <c r="R201" s="216"/>
      <c r="S201" s="216">
        <v>20.918771376630001</v>
      </c>
      <c r="T201" s="216">
        <v>3</v>
      </c>
      <c r="U201" s="216">
        <v>22.193999999999999</v>
      </c>
      <c r="V201" s="115">
        <v>1959.5016403680399</v>
      </c>
      <c r="W201" s="109">
        <v>610</v>
      </c>
      <c r="X201" s="109">
        <v>312.87176590024001</v>
      </c>
      <c r="Y201" s="109" t="s">
        <v>726</v>
      </c>
      <c r="Z201" s="109">
        <v>37.8447177806</v>
      </c>
      <c r="AA201" s="109">
        <v>34.820425854699998</v>
      </c>
      <c r="AB201" s="109" t="s">
        <v>3086</v>
      </c>
      <c r="AC201" s="109" t="s">
        <v>1383</v>
      </c>
      <c r="AD201" s="765" t="s">
        <v>1798</v>
      </c>
      <c r="AE201" s="765" t="s">
        <v>674</v>
      </c>
      <c r="AF201" s="765"/>
      <c r="AG201" s="765"/>
      <c r="AH201" s="109"/>
      <c r="AL201" s="2" t="s">
        <v>679</v>
      </c>
      <c r="AM201" s="2" t="s">
        <v>814</v>
      </c>
      <c r="AN201" s="2" t="s">
        <v>952</v>
      </c>
      <c r="AO201" s="2">
        <v>0.15067806</v>
      </c>
      <c r="AP201" s="2" t="s">
        <v>4673</v>
      </c>
      <c r="AQ201" s="2" t="s">
        <v>4469</v>
      </c>
      <c r="AR201" s="2" t="s">
        <v>4638</v>
      </c>
      <c r="AT201" s="765"/>
      <c r="AU201" s="765"/>
      <c r="AV201" s="765"/>
      <c r="AW201" s="765"/>
    </row>
    <row r="202" spans="1:49" x14ac:dyDescent="0.25">
      <c r="A202" s="23" t="s">
        <v>2772</v>
      </c>
      <c r="B202" s="108" t="s">
        <v>163</v>
      </c>
      <c r="C202" s="108" t="s">
        <v>150</v>
      </c>
      <c r="D202" s="108" t="s">
        <v>2773</v>
      </c>
      <c r="E202" s="108" t="s">
        <v>2774</v>
      </c>
      <c r="F202" s="114" t="s">
        <v>694</v>
      </c>
      <c r="G202" s="213" t="s">
        <v>2775</v>
      </c>
      <c r="H202" s="115" t="s">
        <v>2776</v>
      </c>
      <c r="I202" s="213">
        <v>2949257.38</v>
      </c>
      <c r="J202" s="109">
        <v>5.5934299999999997</v>
      </c>
      <c r="K202" s="109" t="s">
        <v>695</v>
      </c>
      <c r="L202" s="115">
        <v>0.31880578999999998</v>
      </c>
      <c r="M202" s="115">
        <v>14.770426</v>
      </c>
      <c r="N202" s="115">
        <v>14.919622</v>
      </c>
      <c r="O202" s="214">
        <v>4.6612000000000001E-2</v>
      </c>
      <c r="P202" s="115">
        <v>4.8901000000000003</v>
      </c>
      <c r="Q202" s="769">
        <v>16.68300036175</v>
      </c>
      <c r="R202" s="216"/>
      <c r="S202" s="216">
        <v>16.68300036175</v>
      </c>
      <c r="T202" s="216">
        <v>3</v>
      </c>
      <c r="U202" s="216">
        <v>19.111999999999998</v>
      </c>
      <c r="V202" s="115">
        <v>1651.2379913530101</v>
      </c>
      <c r="W202" s="109">
        <v>605</v>
      </c>
      <c r="X202" s="109">
        <v>89.372332430390003</v>
      </c>
      <c r="Y202" s="109" t="s">
        <v>726</v>
      </c>
      <c r="Z202" s="109">
        <v>52.006576090300008</v>
      </c>
      <c r="AA202" s="109">
        <v>35.071245073500002</v>
      </c>
      <c r="AB202" s="109" t="s">
        <v>4922</v>
      </c>
      <c r="AC202" s="109" t="s">
        <v>3512</v>
      </c>
      <c r="AD202" s="765" t="s">
        <v>1348</v>
      </c>
      <c r="AE202" s="765" t="s">
        <v>674</v>
      </c>
      <c r="AF202" s="765"/>
      <c r="AG202" s="765"/>
      <c r="AH202" s="109"/>
      <c r="AL202" s="2" t="s">
        <v>679</v>
      </c>
      <c r="AM202" s="2" t="s">
        <v>814</v>
      </c>
      <c r="AN202" s="2" t="s">
        <v>952</v>
      </c>
      <c r="AO202" s="2">
        <v>0.33964359999999999</v>
      </c>
      <c r="AP202" s="2" t="s">
        <v>4673</v>
      </c>
      <c r="AQ202" s="2" t="s">
        <v>4469</v>
      </c>
      <c r="AR202" s="2" t="s">
        <v>4638</v>
      </c>
      <c r="AT202" s="765"/>
      <c r="AU202" s="765"/>
      <c r="AV202" s="765"/>
      <c r="AW202" s="765"/>
    </row>
    <row r="203" spans="1:49" x14ac:dyDescent="0.25">
      <c r="A203" s="23" t="s">
        <v>2777</v>
      </c>
      <c r="B203" s="108" t="s">
        <v>163</v>
      </c>
      <c r="C203" s="108" t="s">
        <v>150</v>
      </c>
      <c r="D203" s="108" t="s">
        <v>2773</v>
      </c>
      <c r="E203" s="108" t="s">
        <v>2778</v>
      </c>
      <c r="F203" s="114" t="s">
        <v>694</v>
      </c>
      <c r="G203" s="213" t="s">
        <v>2775</v>
      </c>
      <c r="H203" s="115" t="s">
        <v>2776</v>
      </c>
      <c r="I203" s="213">
        <v>6523007.4500000002</v>
      </c>
      <c r="J203" s="109">
        <v>5.6434300000000004</v>
      </c>
      <c r="K203" s="109" t="s">
        <v>695</v>
      </c>
      <c r="L203" s="115">
        <v>0.24256810000000001</v>
      </c>
      <c r="M203" s="115">
        <v>14.796832</v>
      </c>
      <c r="N203" s="115">
        <v>14.946294999999999</v>
      </c>
      <c r="O203" s="214">
        <v>4.7029000000000001E-2</v>
      </c>
      <c r="P203" s="115">
        <v>4.8110999999999997</v>
      </c>
      <c r="Q203" s="769">
        <v>17.120753849749999</v>
      </c>
      <c r="R203" s="216"/>
      <c r="S203" s="216">
        <v>17.120753849749999</v>
      </c>
      <c r="T203" s="216">
        <v>3</v>
      </c>
      <c r="U203" s="216">
        <v>19.12</v>
      </c>
      <c r="V203" s="115">
        <v>1652.09511018838</v>
      </c>
      <c r="W203" s="109">
        <v>610</v>
      </c>
      <c r="X203" s="109">
        <v>82.384155600450001</v>
      </c>
      <c r="Y203" s="109" t="s">
        <v>726</v>
      </c>
      <c r="Z203" s="109">
        <v>29.402718853900002</v>
      </c>
      <c r="AA203" s="109">
        <v>30.718892154100001</v>
      </c>
      <c r="AB203" s="109" t="s">
        <v>4923</v>
      </c>
      <c r="AC203" s="109" t="s">
        <v>1776</v>
      </c>
      <c r="AD203" s="765" t="s">
        <v>1798</v>
      </c>
      <c r="AE203" s="765" t="s">
        <v>674</v>
      </c>
      <c r="AF203" s="765"/>
      <c r="AG203" s="765"/>
      <c r="AH203" s="109"/>
      <c r="AL203" s="2" t="s">
        <v>679</v>
      </c>
      <c r="AM203" s="2" t="s">
        <v>814</v>
      </c>
      <c r="AN203" s="2" t="s">
        <v>952</v>
      </c>
      <c r="AO203" s="2">
        <v>0.25028474000000001</v>
      </c>
      <c r="AP203" s="2" t="s">
        <v>4673</v>
      </c>
      <c r="AQ203" s="2" t="s">
        <v>4469</v>
      </c>
      <c r="AR203" s="2" t="s">
        <v>4638</v>
      </c>
      <c r="AT203" s="765"/>
      <c r="AU203" s="765"/>
      <c r="AV203" s="765"/>
      <c r="AW203" s="765"/>
    </row>
    <row r="204" spans="1:49" x14ac:dyDescent="0.25">
      <c r="A204" s="23" t="s">
        <v>58</v>
      </c>
      <c r="B204" s="108" t="s">
        <v>163</v>
      </c>
      <c r="C204" s="108" t="s">
        <v>150</v>
      </c>
      <c r="D204" s="108" t="s">
        <v>516</v>
      </c>
      <c r="E204" s="108" t="s">
        <v>1286</v>
      </c>
      <c r="F204" s="114" t="s">
        <v>694</v>
      </c>
      <c r="G204" s="213" t="s">
        <v>1287</v>
      </c>
      <c r="H204" s="115" t="s">
        <v>1288</v>
      </c>
      <c r="I204" s="213">
        <v>7709635.54</v>
      </c>
      <c r="J204" s="109">
        <v>4</v>
      </c>
      <c r="K204" s="109" t="s">
        <v>696</v>
      </c>
      <c r="L204" s="115">
        <v>0.17005398999999999</v>
      </c>
      <c r="M204" s="115">
        <v>16.317415</v>
      </c>
      <c r="N204" s="115">
        <v>16.482237999999999</v>
      </c>
      <c r="O204" s="214">
        <v>0.3</v>
      </c>
      <c r="P204" s="115">
        <v>5.4143999999999997</v>
      </c>
      <c r="Q204" s="769">
        <v>-6.5427525657199999</v>
      </c>
      <c r="R204" s="216"/>
      <c r="S204" s="216">
        <v>-6.5427525657199999</v>
      </c>
      <c r="T204" s="216">
        <v>27</v>
      </c>
      <c r="U204" s="216">
        <v>6.6429999999999998</v>
      </c>
      <c r="V204" s="115">
        <v>404.71029845396998</v>
      </c>
      <c r="W204" s="109"/>
      <c r="X204" s="109">
        <v>136.65330495533999</v>
      </c>
      <c r="Y204" s="109" t="s">
        <v>164</v>
      </c>
      <c r="Z204" s="109">
        <v>23.603735025199999</v>
      </c>
      <c r="AA204" s="109">
        <v>26.259244843899999</v>
      </c>
      <c r="AB204" s="109" t="s">
        <v>242</v>
      </c>
      <c r="AC204" s="109" t="s">
        <v>1383</v>
      </c>
      <c r="AD204" s="765" t="s">
        <v>1344</v>
      </c>
      <c r="AE204" s="765" t="s">
        <v>674</v>
      </c>
      <c r="AF204" s="765"/>
      <c r="AG204" s="765"/>
      <c r="AH204" s="109"/>
      <c r="AL204" s="2" t="s">
        <v>679</v>
      </c>
      <c r="AM204" s="2" t="s">
        <v>810</v>
      </c>
      <c r="AN204" s="2" t="s">
        <v>952</v>
      </c>
      <c r="AO204" s="2">
        <v>0.17445807999999999</v>
      </c>
      <c r="AP204" s="2" t="s">
        <v>4673</v>
      </c>
      <c r="AQ204" s="2" t="s">
        <v>4469</v>
      </c>
      <c r="AR204" s="2" t="s">
        <v>4638</v>
      </c>
      <c r="AT204" s="765"/>
      <c r="AU204" s="765"/>
      <c r="AV204" s="765"/>
      <c r="AW204" s="765"/>
    </row>
    <row r="205" spans="1:49" x14ac:dyDescent="0.25">
      <c r="A205" s="23" t="s">
        <v>57</v>
      </c>
      <c r="B205" s="108" t="s">
        <v>162</v>
      </c>
      <c r="C205" s="108" t="s">
        <v>150</v>
      </c>
      <c r="D205" s="108" t="s">
        <v>1289</v>
      </c>
      <c r="E205" s="108" t="s">
        <v>1290</v>
      </c>
      <c r="F205" s="114" t="s">
        <v>694</v>
      </c>
      <c r="G205" s="213" t="s">
        <v>1291</v>
      </c>
      <c r="H205" s="115" t="s">
        <v>1292</v>
      </c>
      <c r="I205" s="213">
        <v>388418.39</v>
      </c>
      <c r="J205" s="109">
        <v>0</v>
      </c>
      <c r="K205" s="109" t="s">
        <v>696</v>
      </c>
      <c r="L205" s="115">
        <v>7.590682E-2</v>
      </c>
      <c r="M205" s="115">
        <v>0</v>
      </c>
      <c r="N205" s="115">
        <v>0</v>
      </c>
      <c r="O205" s="214">
        <v>0</v>
      </c>
      <c r="P205" s="115">
        <v>16.349299999999999</v>
      </c>
      <c r="Q205" s="769"/>
      <c r="R205" s="216"/>
      <c r="S205" s="216">
        <v>16.349299999999999</v>
      </c>
      <c r="T205" s="216">
        <v>6</v>
      </c>
      <c r="U205" s="216"/>
      <c r="V205" s="115"/>
      <c r="W205" s="109"/>
      <c r="X205" s="109"/>
      <c r="Y205" s="109" t="s">
        <v>1293</v>
      </c>
      <c r="Z205" s="109">
        <v>13.7369512875</v>
      </c>
      <c r="AA205" s="109">
        <v>27.0640811363</v>
      </c>
      <c r="AB205" s="109" t="s">
        <v>2809</v>
      </c>
      <c r="AC205" s="109" t="s">
        <v>2029</v>
      </c>
      <c r="AD205" s="765" t="s">
        <v>2033</v>
      </c>
      <c r="AE205" s="765" t="s">
        <v>674</v>
      </c>
      <c r="AF205" s="765"/>
      <c r="AG205" s="765"/>
      <c r="AH205" s="109"/>
      <c r="AL205" s="2" t="s">
        <v>679</v>
      </c>
      <c r="AM205" s="2" t="s">
        <v>708</v>
      </c>
      <c r="AN205" s="2" t="s">
        <v>952</v>
      </c>
      <c r="AO205" s="2">
        <v>7.590682E-2</v>
      </c>
      <c r="AP205" s="2" t="s">
        <v>4673</v>
      </c>
      <c r="AQ205" s="2" t="s">
        <v>4469</v>
      </c>
      <c r="AR205" s="2" t="s">
        <v>4638</v>
      </c>
      <c r="AT205" s="765"/>
      <c r="AU205" s="765"/>
      <c r="AV205" s="765"/>
      <c r="AW205" s="765"/>
    </row>
    <row r="206" spans="1:49" x14ac:dyDescent="0.25">
      <c r="A206" s="23" t="s">
        <v>59</v>
      </c>
      <c r="B206" s="108" t="s">
        <v>162</v>
      </c>
      <c r="C206" s="108" t="s">
        <v>150</v>
      </c>
      <c r="D206" s="108" t="s">
        <v>1289</v>
      </c>
      <c r="E206" s="108" t="s">
        <v>1294</v>
      </c>
      <c r="F206" s="114" t="s">
        <v>694</v>
      </c>
      <c r="G206" s="213" t="s">
        <v>1291</v>
      </c>
      <c r="H206" s="115" t="s">
        <v>1292</v>
      </c>
      <c r="I206" s="213">
        <v>335210.36</v>
      </c>
      <c r="J206" s="109">
        <v>0</v>
      </c>
      <c r="K206" s="109" t="s">
        <v>696</v>
      </c>
      <c r="L206" s="115">
        <v>7.590682E-2</v>
      </c>
      <c r="M206" s="115">
        <v>0</v>
      </c>
      <c r="N206" s="115">
        <v>0</v>
      </c>
      <c r="O206" s="214">
        <v>0</v>
      </c>
      <c r="P206" s="115">
        <v>16.349299999999999</v>
      </c>
      <c r="Q206" s="769"/>
      <c r="R206" s="216"/>
      <c r="S206" s="216">
        <v>16.349299999999999</v>
      </c>
      <c r="T206" s="216">
        <v>6</v>
      </c>
      <c r="U206" s="216"/>
      <c r="V206" s="115"/>
      <c r="W206" s="109"/>
      <c r="X206" s="109"/>
      <c r="Y206" s="109" t="s">
        <v>1293</v>
      </c>
      <c r="Z206" s="109">
        <v>13.7369512875</v>
      </c>
      <c r="AA206" s="109">
        <v>27.0640811363</v>
      </c>
      <c r="AB206" s="109" t="s">
        <v>2809</v>
      </c>
      <c r="AC206" s="109" t="s">
        <v>2029</v>
      </c>
      <c r="AD206" s="765" t="s">
        <v>2033</v>
      </c>
      <c r="AE206" s="765" t="s">
        <v>674</v>
      </c>
      <c r="AF206" s="765"/>
      <c r="AG206" s="765"/>
      <c r="AH206" s="109"/>
      <c r="AL206" s="2" t="s">
        <v>679</v>
      </c>
      <c r="AM206" s="2" t="s">
        <v>708</v>
      </c>
      <c r="AN206" s="2" t="s">
        <v>952</v>
      </c>
      <c r="AO206" s="2">
        <v>7.590682E-2</v>
      </c>
      <c r="AP206" s="2" t="s">
        <v>4673</v>
      </c>
      <c r="AQ206" s="2" t="s">
        <v>4469</v>
      </c>
      <c r="AR206" s="2" t="s">
        <v>4638</v>
      </c>
      <c r="AT206" s="765"/>
      <c r="AU206" s="765"/>
      <c r="AV206" s="765"/>
      <c r="AW206" s="765"/>
    </row>
    <row r="207" spans="1:49" x14ac:dyDescent="0.25">
      <c r="A207" s="23" t="s">
        <v>3171</v>
      </c>
      <c r="B207" s="108" t="s">
        <v>163</v>
      </c>
      <c r="C207" s="108" t="s">
        <v>150</v>
      </c>
      <c r="D207" s="108" t="s">
        <v>4924</v>
      </c>
      <c r="E207" s="108" t="s">
        <v>3195</v>
      </c>
      <c r="F207" s="114" t="s">
        <v>694</v>
      </c>
      <c r="G207" s="213" t="s">
        <v>2687</v>
      </c>
      <c r="H207" s="115" t="s">
        <v>3196</v>
      </c>
      <c r="I207" s="213">
        <v>28630072.190000001</v>
      </c>
      <c r="J207" s="109">
        <v>1.775231</v>
      </c>
      <c r="K207" s="109" t="s">
        <v>696</v>
      </c>
      <c r="L207" s="115">
        <v>0.18416500999999999</v>
      </c>
      <c r="M207" s="115">
        <v>0</v>
      </c>
      <c r="N207" s="115">
        <v>0</v>
      </c>
      <c r="O207" s="214">
        <v>0.13314200000000001</v>
      </c>
      <c r="P207" s="115">
        <v>3.0384000000000002</v>
      </c>
      <c r="Q207" s="769"/>
      <c r="R207" s="216"/>
      <c r="S207" s="216">
        <v>3.0384000000000002</v>
      </c>
      <c r="T207" s="216">
        <v>26</v>
      </c>
      <c r="U207" s="216"/>
      <c r="V207" s="115"/>
      <c r="W207" s="109"/>
      <c r="X207" s="109"/>
      <c r="Y207" s="109" t="s">
        <v>3197</v>
      </c>
      <c r="Z207" s="109">
        <v>9.5418514679999991</v>
      </c>
      <c r="AA207" s="109">
        <v>19.386150283500001</v>
      </c>
      <c r="AB207" s="109" t="s">
        <v>241</v>
      </c>
      <c r="AC207" s="109" t="s">
        <v>1798</v>
      </c>
      <c r="AD207" s="765" t="s">
        <v>246</v>
      </c>
      <c r="AE207" s="765" t="s">
        <v>674</v>
      </c>
      <c r="AF207" s="765"/>
      <c r="AG207" s="765"/>
      <c r="AH207" s="109"/>
      <c r="AL207" s="2" t="s">
        <v>679</v>
      </c>
      <c r="AM207" s="2" t="s">
        <v>810</v>
      </c>
      <c r="AN207" s="2" t="s">
        <v>952</v>
      </c>
      <c r="AO207" s="2">
        <v>0.18690387999999999</v>
      </c>
      <c r="AP207" s="2" t="s">
        <v>4673</v>
      </c>
      <c r="AQ207" s="2" t="s">
        <v>4469</v>
      </c>
      <c r="AR207" s="2" t="s">
        <v>4638</v>
      </c>
      <c r="AT207" s="765"/>
      <c r="AU207" s="765"/>
      <c r="AV207" s="765"/>
      <c r="AW207" s="765"/>
    </row>
    <row r="208" spans="1:49" x14ac:dyDescent="0.25">
      <c r="A208" s="23" t="s">
        <v>2779</v>
      </c>
      <c r="B208" s="108" t="s">
        <v>163</v>
      </c>
      <c r="C208" s="108" t="s">
        <v>150</v>
      </c>
      <c r="D208" s="108" t="s">
        <v>516</v>
      </c>
      <c r="E208" s="108" t="s">
        <v>2780</v>
      </c>
      <c r="F208" s="114" t="s">
        <v>694</v>
      </c>
      <c r="G208" s="213" t="s">
        <v>2781</v>
      </c>
      <c r="H208" s="115" t="s">
        <v>2782</v>
      </c>
      <c r="I208" s="213">
        <v>13976483.16</v>
      </c>
      <c r="J208" s="109">
        <v>5.6934300000000002</v>
      </c>
      <c r="K208" s="109" t="s">
        <v>695</v>
      </c>
      <c r="L208" s="115">
        <v>0.32559321000000002</v>
      </c>
      <c r="M208" s="115">
        <v>16.073924999999999</v>
      </c>
      <c r="N208" s="115">
        <v>16.236287999999998</v>
      </c>
      <c r="O208" s="214">
        <v>4.7445000000000001E-2</v>
      </c>
      <c r="P208" s="115">
        <v>6.1856999999999998</v>
      </c>
      <c r="Q208" s="769">
        <v>11.757724304510001</v>
      </c>
      <c r="R208" s="216"/>
      <c r="S208" s="216">
        <v>11.757724304510001</v>
      </c>
      <c r="T208" s="216">
        <v>2</v>
      </c>
      <c r="U208" s="216">
        <v>21.277999999999999</v>
      </c>
      <c r="V208" s="115">
        <v>1868.77357448987</v>
      </c>
      <c r="W208" s="109">
        <v>615</v>
      </c>
      <c r="X208" s="109">
        <v>131.05368151374</v>
      </c>
      <c r="Y208" s="109" t="s">
        <v>726</v>
      </c>
      <c r="Z208" s="109">
        <v>30.828429435699999</v>
      </c>
      <c r="AA208" s="109">
        <v>31.012696351199999</v>
      </c>
      <c r="AB208" s="109" t="s">
        <v>241</v>
      </c>
      <c r="AC208" s="109" t="s">
        <v>1210</v>
      </c>
      <c r="AD208" s="765" t="s">
        <v>254</v>
      </c>
      <c r="AE208" s="765" t="s">
        <v>674</v>
      </c>
      <c r="AF208" s="765"/>
      <c r="AG208" s="765"/>
      <c r="AH208" s="109"/>
      <c r="AL208" s="2" t="s">
        <v>679</v>
      </c>
      <c r="AM208" s="2" t="s">
        <v>814</v>
      </c>
      <c r="AN208" s="2" t="s">
        <v>952</v>
      </c>
      <c r="AO208" s="2">
        <v>0.33638138000000001</v>
      </c>
      <c r="AP208" s="2" t="s">
        <v>4673</v>
      </c>
      <c r="AQ208" s="2" t="s">
        <v>4469</v>
      </c>
      <c r="AR208" s="2" t="s">
        <v>4638</v>
      </c>
      <c r="AT208" s="765"/>
      <c r="AU208" s="765"/>
      <c r="AV208" s="765"/>
      <c r="AW208" s="765"/>
    </row>
    <row r="209" spans="1:49" x14ac:dyDescent="0.25">
      <c r="A209" s="23" t="s">
        <v>1074</v>
      </c>
      <c r="B209" s="108" t="s">
        <v>782</v>
      </c>
      <c r="C209" s="108" t="s">
        <v>150</v>
      </c>
      <c r="D209" s="108" t="s">
        <v>1049</v>
      </c>
      <c r="E209" s="108" t="s">
        <v>1075</v>
      </c>
      <c r="F209" s="114" t="s">
        <v>694</v>
      </c>
      <c r="G209" s="213" t="s">
        <v>1124</v>
      </c>
      <c r="H209" s="115" t="s">
        <v>1125</v>
      </c>
      <c r="I209" s="213">
        <v>2618075.25</v>
      </c>
      <c r="J209" s="109">
        <v>3</v>
      </c>
      <c r="K209" s="109" t="s">
        <v>696</v>
      </c>
      <c r="L209" s="115">
        <v>0.17453835000000001</v>
      </c>
      <c r="M209" s="115">
        <v>99.597335999999999</v>
      </c>
      <c r="N209" s="115">
        <v>99.620525000000001</v>
      </c>
      <c r="O209" s="214">
        <v>0.22500000000000001</v>
      </c>
      <c r="P209" s="115">
        <v>2.6042999999999998</v>
      </c>
      <c r="Q209" s="769">
        <v>1.9633924573499999</v>
      </c>
      <c r="R209" s="216"/>
      <c r="S209" s="216">
        <v>1.9633924573499999</v>
      </c>
      <c r="T209" s="216">
        <v>27</v>
      </c>
      <c r="U209" s="216">
        <v>3.0990000000000002</v>
      </c>
      <c r="V209" s="115">
        <v>59.89402373659</v>
      </c>
      <c r="W209" s="109"/>
      <c r="X209" s="109">
        <v>47.348684717460003</v>
      </c>
      <c r="Y209" s="109" t="s">
        <v>662</v>
      </c>
      <c r="Z209" s="109">
        <v>34.897486021399999</v>
      </c>
      <c r="AA209" s="109">
        <v>36.699870649600001</v>
      </c>
      <c r="AB209" s="109" t="s">
        <v>2238</v>
      </c>
      <c r="AC209" s="109" t="s">
        <v>250</v>
      </c>
      <c r="AD209" s="765" t="s">
        <v>4925</v>
      </c>
      <c r="AE209" s="765" t="s">
        <v>674</v>
      </c>
      <c r="AF209" s="765"/>
      <c r="AG209" s="765"/>
      <c r="AH209" s="109"/>
      <c r="AL209" s="2" t="s">
        <v>679</v>
      </c>
      <c r="AM209" s="2" t="s">
        <v>707</v>
      </c>
      <c r="AN209" s="2" t="s">
        <v>952</v>
      </c>
      <c r="AO209" s="2">
        <v>0.18649971000000001</v>
      </c>
      <c r="AP209" s="2" t="s">
        <v>4673</v>
      </c>
      <c r="AQ209" s="2" t="s">
        <v>4469</v>
      </c>
      <c r="AR209" s="2" t="s">
        <v>4638</v>
      </c>
      <c r="AT209" s="765"/>
      <c r="AU209" s="765"/>
      <c r="AV209" s="765"/>
      <c r="AW209" s="765"/>
    </row>
    <row r="210" spans="1:49" x14ac:dyDescent="0.25">
      <c r="A210" s="23" t="s">
        <v>676</v>
      </c>
      <c r="B210" s="108" t="s">
        <v>163</v>
      </c>
      <c r="C210" s="108" t="s">
        <v>150</v>
      </c>
      <c r="D210" s="108" t="s">
        <v>1295</v>
      </c>
      <c r="E210" s="108" t="s">
        <v>701</v>
      </c>
      <c r="F210" s="114" t="s">
        <v>694</v>
      </c>
      <c r="G210" s="213" t="s">
        <v>1124</v>
      </c>
      <c r="H210" s="115" t="s">
        <v>1296</v>
      </c>
      <c r="I210" s="213">
        <v>2524512.9700000002</v>
      </c>
      <c r="J210" s="109">
        <v>4</v>
      </c>
      <c r="K210" s="109" t="s">
        <v>696</v>
      </c>
      <c r="L210" s="115">
        <v>0.21273121</v>
      </c>
      <c r="M210" s="115">
        <v>0</v>
      </c>
      <c r="N210" s="115">
        <v>0</v>
      </c>
      <c r="O210" s="214">
        <v>0.3</v>
      </c>
      <c r="P210" s="115">
        <v>4.9458000000000002</v>
      </c>
      <c r="Q210" s="769"/>
      <c r="R210" s="216"/>
      <c r="S210" s="216">
        <v>4.9458000000000002</v>
      </c>
      <c r="T210" s="216">
        <v>27</v>
      </c>
      <c r="U210" s="216"/>
      <c r="V210" s="115"/>
      <c r="W210" s="109"/>
      <c r="X210" s="109"/>
      <c r="Y210" s="109" t="s">
        <v>778</v>
      </c>
      <c r="Z210" s="109">
        <v>55.117939537300003</v>
      </c>
      <c r="AA210" s="109">
        <v>40.700464117300001</v>
      </c>
      <c r="AB210" s="109" t="s">
        <v>2072</v>
      </c>
      <c r="AC210" s="109" t="s">
        <v>4880</v>
      </c>
      <c r="AD210" s="765" t="s">
        <v>3477</v>
      </c>
      <c r="AE210" s="765" t="s">
        <v>674</v>
      </c>
      <c r="AF210" s="765"/>
      <c r="AG210" s="765"/>
      <c r="AH210" s="109"/>
      <c r="AL210" s="2" t="s">
        <v>679</v>
      </c>
      <c r="AM210" s="2" t="s">
        <v>810</v>
      </c>
      <c r="AN210" s="2" t="s">
        <v>952</v>
      </c>
      <c r="AO210" s="2">
        <v>0.22836783999999999</v>
      </c>
      <c r="AP210" s="2" t="s">
        <v>4673</v>
      </c>
      <c r="AQ210" s="2" t="s">
        <v>4469</v>
      </c>
      <c r="AR210" s="2" t="s">
        <v>4638</v>
      </c>
      <c r="AT210" s="765"/>
      <c r="AU210" s="765"/>
      <c r="AV210" s="765"/>
      <c r="AW210" s="765"/>
    </row>
    <row r="211" spans="1:49" x14ac:dyDescent="0.25">
      <c r="A211" s="23" t="s">
        <v>2783</v>
      </c>
      <c r="B211" s="108" t="s">
        <v>163</v>
      </c>
      <c r="C211" s="108" t="s">
        <v>150</v>
      </c>
      <c r="D211" s="108" t="s">
        <v>516</v>
      </c>
      <c r="E211" s="108" t="s">
        <v>2784</v>
      </c>
      <c r="F211" s="114" t="s">
        <v>694</v>
      </c>
      <c r="G211" s="213" t="s">
        <v>2785</v>
      </c>
      <c r="H211" s="115" t="s">
        <v>1927</v>
      </c>
      <c r="I211" s="213">
        <v>9199860.2300000004</v>
      </c>
      <c r="J211" s="109">
        <v>5.6934300000000002</v>
      </c>
      <c r="K211" s="109" t="s">
        <v>695</v>
      </c>
      <c r="L211" s="115">
        <v>0.44426754000000002</v>
      </c>
      <c r="M211" s="115">
        <v>17.475121000000001</v>
      </c>
      <c r="N211" s="115">
        <v>17.651637000000001</v>
      </c>
      <c r="O211" s="214">
        <v>4.7445000000000001E-2</v>
      </c>
      <c r="P211" s="115">
        <v>6.0468999999999999</v>
      </c>
      <c r="Q211" s="769">
        <v>12.81504961978</v>
      </c>
      <c r="R211" s="216"/>
      <c r="S211" s="216">
        <v>12.81504961978</v>
      </c>
      <c r="T211" s="216">
        <v>2</v>
      </c>
      <c r="U211" s="216">
        <v>17.692</v>
      </c>
      <c r="V211" s="115">
        <v>1510.1146289809301</v>
      </c>
      <c r="W211" s="109">
        <v>615</v>
      </c>
      <c r="X211" s="109">
        <v>275.58191993651002</v>
      </c>
      <c r="Y211" s="109" t="s">
        <v>726</v>
      </c>
      <c r="Z211" s="109">
        <v>29.136692101600001</v>
      </c>
      <c r="AA211" s="109">
        <v>18.564738743900001</v>
      </c>
      <c r="AB211" s="109" t="s">
        <v>256</v>
      </c>
      <c r="AC211" s="109"/>
      <c r="AD211" s="765"/>
      <c r="AE211" s="765" t="s">
        <v>674</v>
      </c>
      <c r="AF211" s="765"/>
      <c r="AG211" s="765"/>
      <c r="AH211" s="109"/>
      <c r="AL211" s="2" t="s">
        <v>679</v>
      </c>
      <c r="AM211" s="2" t="s">
        <v>814</v>
      </c>
      <c r="AN211" s="2" t="s">
        <v>952</v>
      </c>
      <c r="AO211" s="2">
        <v>0.45806490999999999</v>
      </c>
      <c r="AP211" s="2" t="s">
        <v>4673</v>
      </c>
      <c r="AQ211" s="2" t="s">
        <v>4469</v>
      </c>
      <c r="AR211" s="2" t="s">
        <v>4638</v>
      </c>
      <c r="AT211" s="765"/>
      <c r="AU211" s="765"/>
      <c r="AV211" s="765"/>
      <c r="AW211" s="765"/>
    </row>
    <row r="212" spans="1:49" x14ac:dyDescent="0.25">
      <c r="A212" s="23" t="s">
        <v>2232</v>
      </c>
      <c r="B212" s="108" t="s">
        <v>163</v>
      </c>
      <c r="C212" s="108" t="s">
        <v>150</v>
      </c>
      <c r="D212" s="108" t="s">
        <v>2233</v>
      </c>
      <c r="E212" s="108" t="s">
        <v>2234</v>
      </c>
      <c r="F212" s="114" t="s">
        <v>694</v>
      </c>
      <c r="G212" s="213" t="s">
        <v>2240</v>
      </c>
      <c r="H212" s="115" t="s">
        <v>2241</v>
      </c>
      <c r="I212" s="213">
        <v>3304183.19</v>
      </c>
      <c r="J212" s="109">
        <v>5</v>
      </c>
      <c r="K212" s="109" t="s">
        <v>696</v>
      </c>
      <c r="L212" s="115">
        <v>0.64439175999999998</v>
      </c>
      <c r="M212" s="115">
        <v>18.908852</v>
      </c>
      <c r="N212" s="115">
        <v>19.09985</v>
      </c>
      <c r="O212" s="214">
        <v>0.375</v>
      </c>
      <c r="P212" s="115">
        <v>3.4018999999999999</v>
      </c>
      <c r="Q212" s="769">
        <v>-6.2979595614799999</v>
      </c>
      <c r="R212" s="216"/>
      <c r="S212" s="216">
        <v>-6.2979595614799999</v>
      </c>
      <c r="T212" s="216">
        <v>26</v>
      </c>
      <c r="U212" s="216">
        <v>-4.3840000000000003</v>
      </c>
      <c r="V212" s="115">
        <v>-697.22664406699005</v>
      </c>
      <c r="W212" s="109"/>
      <c r="X212" s="109">
        <v>-98.550785359949998</v>
      </c>
      <c r="Y212" s="109" t="s">
        <v>164</v>
      </c>
      <c r="Z212" s="109">
        <v>25.3869041512</v>
      </c>
      <c r="AA212" s="109">
        <v>20.929092927700001</v>
      </c>
      <c r="AB212" s="109" t="s">
        <v>244</v>
      </c>
      <c r="AC212" s="109" t="s">
        <v>253</v>
      </c>
      <c r="AD212" s="765" t="s">
        <v>1284</v>
      </c>
      <c r="AE212" s="765" t="s">
        <v>674</v>
      </c>
      <c r="AF212" s="765"/>
      <c r="AG212" s="765"/>
      <c r="AH212" s="109"/>
      <c r="AL212" s="2" t="s">
        <v>679</v>
      </c>
      <c r="AM212" s="2" t="s">
        <v>810</v>
      </c>
      <c r="AN212" s="2" t="s">
        <v>952</v>
      </c>
      <c r="AO212" s="2">
        <v>0.66380874000000001</v>
      </c>
      <c r="AP212" s="2" t="s">
        <v>4673</v>
      </c>
      <c r="AQ212" s="2" t="s">
        <v>4469</v>
      </c>
      <c r="AR212" s="2" t="s">
        <v>4638</v>
      </c>
      <c r="AT212" s="765"/>
      <c r="AU212" s="765"/>
      <c r="AV212" s="765"/>
      <c r="AW212" s="765"/>
    </row>
    <row r="213" spans="1:49" x14ac:dyDescent="0.25">
      <c r="A213" s="23" t="s">
        <v>3939</v>
      </c>
      <c r="B213" s="108" t="s">
        <v>163</v>
      </c>
      <c r="C213" s="108" t="s">
        <v>150</v>
      </c>
      <c r="D213" s="108" t="s">
        <v>545</v>
      </c>
      <c r="E213" s="108" t="s">
        <v>3950</v>
      </c>
      <c r="F213" s="114" t="s">
        <v>694</v>
      </c>
      <c r="G213" s="213" t="s">
        <v>3951</v>
      </c>
      <c r="H213" s="115" t="s">
        <v>3895</v>
      </c>
      <c r="I213" s="213">
        <v>19081962.870000001</v>
      </c>
      <c r="J213" s="109">
        <v>5.5934299999999997</v>
      </c>
      <c r="K213" s="109" t="s">
        <v>695</v>
      </c>
      <c r="L213" s="115">
        <v>0.43693880000000002</v>
      </c>
      <c r="M213" s="115">
        <v>15.139751</v>
      </c>
      <c r="N213" s="115">
        <v>15.292678</v>
      </c>
      <c r="O213" s="214">
        <v>4.6612000000000001E-2</v>
      </c>
      <c r="P213" s="115">
        <v>5.2889999999999997</v>
      </c>
      <c r="Q213" s="769">
        <v>15.42419689792</v>
      </c>
      <c r="R213" s="216"/>
      <c r="S213" s="216">
        <v>15.42419689792</v>
      </c>
      <c r="T213" s="216">
        <v>3</v>
      </c>
      <c r="U213" s="216">
        <v>19.498000000000001</v>
      </c>
      <c r="V213" s="115">
        <v>1690.08203638843</v>
      </c>
      <c r="W213" s="109">
        <v>605</v>
      </c>
      <c r="X213" s="109">
        <v>42.997532871339999</v>
      </c>
      <c r="Y213" s="109" t="s">
        <v>2766</v>
      </c>
      <c r="Z213" s="109">
        <v>34.3014936756</v>
      </c>
      <c r="AA213" s="109">
        <v>35.645619703500003</v>
      </c>
      <c r="AB213" s="109" t="s">
        <v>1219</v>
      </c>
      <c r="AC213" s="109" t="s">
        <v>251</v>
      </c>
      <c r="AD213" s="765" t="s">
        <v>1304</v>
      </c>
      <c r="AE213" s="765" t="s">
        <v>674</v>
      </c>
      <c r="AF213" s="765"/>
      <c r="AG213" s="765"/>
      <c r="AH213" s="109"/>
      <c r="AL213" s="2" t="s">
        <v>679</v>
      </c>
      <c r="AM213" s="2" t="s">
        <v>814</v>
      </c>
      <c r="AN213" s="2" t="s">
        <v>952</v>
      </c>
      <c r="AO213" s="2">
        <v>0.45319767999999999</v>
      </c>
      <c r="AP213" s="2" t="s">
        <v>4673</v>
      </c>
      <c r="AQ213" s="2" t="s">
        <v>4469</v>
      </c>
      <c r="AR213" s="2" t="s">
        <v>4638</v>
      </c>
      <c r="AT213" s="765"/>
      <c r="AU213" s="765"/>
      <c r="AV213" s="765"/>
      <c r="AW213" s="765"/>
    </row>
    <row r="214" spans="1:49" x14ac:dyDescent="0.25">
      <c r="A214" s="23" t="s">
        <v>5043</v>
      </c>
      <c r="B214" s="108" t="s">
        <v>163</v>
      </c>
      <c r="C214" s="108" t="s">
        <v>150</v>
      </c>
      <c r="D214" s="108" t="s">
        <v>545</v>
      </c>
      <c r="E214" s="108" t="s">
        <v>5127</v>
      </c>
      <c r="F214" s="114" t="s">
        <v>694</v>
      </c>
      <c r="G214" s="213" t="s">
        <v>2144</v>
      </c>
      <c r="H214" s="115" t="s">
        <v>5128</v>
      </c>
      <c r="I214" s="213">
        <v>28327790.949999999</v>
      </c>
      <c r="J214" s="109">
        <v>4.5</v>
      </c>
      <c r="K214" s="109" t="s">
        <v>696</v>
      </c>
      <c r="L214" s="115">
        <v>0.66191531000000003</v>
      </c>
      <c r="M214" s="115">
        <v>21.970032</v>
      </c>
      <c r="N214" s="115">
        <v>22.191952000000001</v>
      </c>
      <c r="O214" s="214">
        <v>0.33750000000000002</v>
      </c>
      <c r="P214" s="115">
        <v>5.2317</v>
      </c>
      <c r="Q214" s="769">
        <v>-10.55781140719</v>
      </c>
      <c r="R214" s="216"/>
      <c r="S214" s="216">
        <v>-10.55781140719</v>
      </c>
      <c r="T214" s="216">
        <v>27</v>
      </c>
      <c r="U214" s="216">
        <v>1.18</v>
      </c>
      <c r="V214" s="115">
        <v>-141.70728516489001</v>
      </c>
      <c r="W214" s="109"/>
      <c r="X214" s="109">
        <v>173.91068000318</v>
      </c>
      <c r="Y214" s="109" t="s">
        <v>164</v>
      </c>
      <c r="Z214" s="109">
        <v>36.015187151399999</v>
      </c>
      <c r="AA214" s="109">
        <v>31.095153956600001</v>
      </c>
      <c r="AB214" s="109" t="s">
        <v>256</v>
      </c>
      <c r="AC214" s="109" t="s">
        <v>5129</v>
      </c>
      <c r="AD214" s="765" t="s">
        <v>5130</v>
      </c>
      <c r="AE214" s="765" t="s">
        <v>674</v>
      </c>
      <c r="AF214" s="765"/>
      <c r="AG214" s="765"/>
      <c r="AH214" s="109"/>
      <c r="AL214" s="2" t="s">
        <v>679</v>
      </c>
      <c r="AM214" s="2" t="s">
        <v>810</v>
      </c>
      <c r="AN214" s="2" t="s">
        <v>952</v>
      </c>
      <c r="AO214" s="2">
        <v>0.68819642000000003</v>
      </c>
      <c r="AP214" s="2" t="s">
        <v>4673</v>
      </c>
      <c r="AQ214" s="2" t="s">
        <v>4469</v>
      </c>
      <c r="AR214" s="2" t="s">
        <v>4638</v>
      </c>
      <c r="AT214" s="765"/>
      <c r="AU214" s="765"/>
      <c r="AV214" s="765"/>
      <c r="AW214" s="765"/>
    </row>
    <row r="215" spans="1:49" x14ac:dyDescent="0.25">
      <c r="A215" s="23" t="s">
        <v>4926</v>
      </c>
      <c r="B215" s="108" t="s">
        <v>163</v>
      </c>
      <c r="C215" s="108" t="s">
        <v>150</v>
      </c>
      <c r="D215" s="108" t="s">
        <v>3213</v>
      </c>
      <c r="E215" s="108" t="s">
        <v>4927</v>
      </c>
      <c r="F215" s="114" t="s">
        <v>694</v>
      </c>
      <c r="G215" s="213" t="s">
        <v>2044</v>
      </c>
      <c r="H215" s="115" t="s">
        <v>1979</v>
      </c>
      <c r="I215" s="213">
        <v>47416972</v>
      </c>
      <c r="J215" s="109">
        <v>3.5</v>
      </c>
      <c r="K215" s="109" t="s">
        <v>696</v>
      </c>
      <c r="L215" s="115">
        <v>0.47416972000000002</v>
      </c>
      <c r="M215" s="115">
        <v>13.455171</v>
      </c>
      <c r="N215" s="115">
        <v>13.591082</v>
      </c>
      <c r="O215" s="214">
        <v>0.26250000000000001</v>
      </c>
      <c r="P215" s="115">
        <v>6.8303000000000003</v>
      </c>
      <c r="Q215" s="769">
        <v>-14.03923142633</v>
      </c>
      <c r="R215" s="216"/>
      <c r="S215" s="216">
        <v>-14.03923142633</v>
      </c>
      <c r="T215" s="216">
        <v>26</v>
      </c>
      <c r="U215" s="216">
        <v>12.009</v>
      </c>
      <c r="V215" s="115">
        <v>942.40061211537</v>
      </c>
      <c r="W215" s="109"/>
      <c r="X215" s="109">
        <v>501.56772289554999</v>
      </c>
      <c r="Y215" s="109" t="s">
        <v>164</v>
      </c>
      <c r="Z215" s="109">
        <v>31.831505390499998</v>
      </c>
      <c r="AA215" s="109">
        <v>42.646391647500003</v>
      </c>
      <c r="AB215" s="109" t="s">
        <v>4865</v>
      </c>
      <c r="AC215" s="109" t="s">
        <v>4699</v>
      </c>
      <c r="AD215" s="765" t="s">
        <v>4703</v>
      </c>
      <c r="AE215" s="765" t="s">
        <v>674</v>
      </c>
      <c r="AF215" s="765"/>
      <c r="AG215" s="765"/>
      <c r="AH215" s="109"/>
      <c r="AL215" s="2" t="s">
        <v>679</v>
      </c>
      <c r="AM215" s="2" t="s">
        <v>810</v>
      </c>
      <c r="AN215" s="2" t="s">
        <v>952</v>
      </c>
      <c r="AO215" s="2">
        <v>0.49032214000000002</v>
      </c>
      <c r="AP215" s="2" t="s">
        <v>4673</v>
      </c>
      <c r="AQ215" s="2" t="s">
        <v>4469</v>
      </c>
      <c r="AR215" s="2" t="s">
        <v>4638</v>
      </c>
      <c r="AT215" s="765"/>
      <c r="AU215" s="765"/>
      <c r="AV215" s="765"/>
      <c r="AW215" s="765"/>
    </row>
    <row r="216" spans="1:49" x14ac:dyDescent="0.25">
      <c r="A216" s="23" t="s">
        <v>2376</v>
      </c>
      <c r="B216" s="108" t="s">
        <v>163</v>
      </c>
      <c r="C216" s="108" t="s">
        <v>150</v>
      </c>
      <c r="D216" s="108" t="s">
        <v>1289</v>
      </c>
      <c r="E216" s="108" t="s">
        <v>2377</v>
      </c>
      <c r="F216" s="114" t="s">
        <v>694</v>
      </c>
      <c r="G216" s="213" t="s">
        <v>2184</v>
      </c>
      <c r="H216" s="115" t="s">
        <v>2378</v>
      </c>
      <c r="I216" s="213">
        <v>14156414.77</v>
      </c>
      <c r="J216" s="109">
        <v>3</v>
      </c>
      <c r="K216" s="109" t="s">
        <v>696</v>
      </c>
      <c r="L216" s="115">
        <v>0.47917460000000001</v>
      </c>
      <c r="M216" s="115">
        <v>0</v>
      </c>
      <c r="N216" s="115">
        <v>0</v>
      </c>
      <c r="O216" s="214">
        <v>0.22500000000000001</v>
      </c>
      <c r="P216" s="115">
        <v>4.6310000000000002</v>
      </c>
      <c r="Q216" s="769"/>
      <c r="R216" s="216"/>
      <c r="S216" s="216">
        <v>4.6310000000000002</v>
      </c>
      <c r="T216" s="216">
        <v>27</v>
      </c>
      <c r="U216" s="216"/>
      <c r="V216" s="115"/>
      <c r="W216" s="109"/>
      <c r="X216" s="109"/>
      <c r="Y216" s="109" t="s">
        <v>778</v>
      </c>
      <c r="Z216" s="109">
        <v>18.775267589999999</v>
      </c>
      <c r="AA216" s="109">
        <v>37.310553469199988</v>
      </c>
      <c r="AB216" s="109" t="s">
        <v>4928</v>
      </c>
      <c r="AC216" s="109" t="s">
        <v>2713</v>
      </c>
      <c r="AD216" s="765" t="s">
        <v>2856</v>
      </c>
      <c r="AE216" s="765" t="s">
        <v>674</v>
      </c>
      <c r="AF216" s="765"/>
      <c r="AG216" s="765"/>
      <c r="AH216" s="109"/>
      <c r="AL216" s="2" t="s">
        <v>679</v>
      </c>
      <c r="AM216" s="2" t="s">
        <v>810</v>
      </c>
      <c r="AN216" s="2" t="s">
        <v>952</v>
      </c>
      <c r="AO216" s="2">
        <v>0.49180101999999998</v>
      </c>
      <c r="AP216" s="2" t="s">
        <v>4673</v>
      </c>
      <c r="AQ216" s="2" t="s">
        <v>4469</v>
      </c>
      <c r="AR216" s="2" t="s">
        <v>4638</v>
      </c>
      <c r="AT216" s="765"/>
      <c r="AU216" s="765"/>
      <c r="AV216" s="765"/>
      <c r="AW216" s="765"/>
    </row>
    <row r="217" spans="1:49" x14ac:dyDescent="0.25">
      <c r="A217" s="23" t="s">
        <v>2560</v>
      </c>
      <c r="B217" s="108" t="s">
        <v>163</v>
      </c>
      <c r="C217" s="108" t="s">
        <v>150</v>
      </c>
      <c r="D217" s="108" t="s">
        <v>2561</v>
      </c>
      <c r="E217" s="108" t="s">
        <v>2562</v>
      </c>
      <c r="F217" s="114" t="s">
        <v>694</v>
      </c>
      <c r="G217" s="213" t="s">
        <v>2375</v>
      </c>
      <c r="H217" s="115" t="s">
        <v>2569</v>
      </c>
      <c r="I217" s="213">
        <v>5195757.38</v>
      </c>
      <c r="J217" s="109">
        <v>2</v>
      </c>
      <c r="K217" s="109" t="s">
        <v>696</v>
      </c>
      <c r="L217" s="115">
        <v>0.92369020000000002</v>
      </c>
      <c r="M217" s="115">
        <v>9.4732640000000004</v>
      </c>
      <c r="N217" s="115">
        <v>9.5689530000000005</v>
      </c>
      <c r="O217" s="214">
        <v>0.15</v>
      </c>
      <c r="P217" s="115">
        <v>7.6651999999999996</v>
      </c>
      <c r="Q217" s="769">
        <v>-4.8301427599600002</v>
      </c>
      <c r="R217" s="216"/>
      <c r="S217" s="216">
        <v>-4.8301427599600002</v>
      </c>
      <c r="T217" s="216">
        <v>26</v>
      </c>
      <c r="U217" s="216">
        <v>9.7840000000000007</v>
      </c>
      <c r="V217" s="115">
        <v>722.32706941653998</v>
      </c>
      <c r="W217" s="109"/>
      <c r="X217" s="109">
        <v>520.76175061882998</v>
      </c>
      <c r="Y217" s="109" t="s">
        <v>2392</v>
      </c>
      <c r="Z217" s="109">
        <v>5.4578313178000002</v>
      </c>
      <c r="AA217" s="109">
        <v>10.0463261428</v>
      </c>
      <c r="AB217" s="109" t="s">
        <v>3559</v>
      </c>
      <c r="AC217" s="109" t="s">
        <v>2563</v>
      </c>
      <c r="AD217" s="765" t="s">
        <v>2393</v>
      </c>
      <c r="AE217" s="765" t="s">
        <v>674</v>
      </c>
      <c r="AF217" s="765"/>
      <c r="AG217" s="765"/>
      <c r="AH217" s="109"/>
      <c r="AL217" s="2" t="s">
        <v>679</v>
      </c>
      <c r="AM217" s="2" t="s">
        <v>810</v>
      </c>
      <c r="AN217" s="2" t="s">
        <v>952</v>
      </c>
      <c r="AO217" s="2">
        <v>0.93065275999999997</v>
      </c>
      <c r="AP217" s="2" t="s">
        <v>4673</v>
      </c>
      <c r="AQ217" s="2" t="s">
        <v>4469</v>
      </c>
      <c r="AR217" s="2" t="s">
        <v>4638</v>
      </c>
      <c r="AT217" s="765"/>
      <c r="AU217" s="765"/>
      <c r="AV217" s="765"/>
      <c r="AW217" s="765"/>
    </row>
    <row r="218" spans="1:49" x14ac:dyDescent="0.25">
      <c r="A218" s="23" t="s">
        <v>3149</v>
      </c>
      <c r="B218" s="108" t="s">
        <v>163</v>
      </c>
      <c r="C218" s="108" t="s">
        <v>150</v>
      </c>
      <c r="D218" s="108" t="s">
        <v>3200</v>
      </c>
      <c r="E218" s="108" t="s">
        <v>3201</v>
      </c>
      <c r="F218" s="114" t="s">
        <v>694</v>
      </c>
      <c r="G218" s="213" t="s">
        <v>3202</v>
      </c>
      <c r="H218" s="115" t="s">
        <v>3203</v>
      </c>
      <c r="I218" s="213">
        <v>10816392.130000001</v>
      </c>
      <c r="J218" s="109">
        <v>3.601</v>
      </c>
      <c r="K218" s="109" t="s">
        <v>695</v>
      </c>
      <c r="L218" s="115">
        <v>0.50048568999999998</v>
      </c>
      <c r="M218" s="115">
        <v>0</v>
      </c>
      <c r="N218" s="115">
        <v>0</v>
      </c>
      <c r="O218" s="214">
        <v>3.0008E-2</v>
      </c>
      <c r="P218" s="115">
        <v>7.1711</v>
      </c>
      <c r="Q218" s="769"/>
      <c r="R218" s="216"/>
      <c r="S218" s="216">
        <v>7.1711</v>
      </c>
      <c r="T218" s="216">
        <v>2</v>
      </c>
      <c r="U218" s="216"/>
      <c r="V218" s="115"/>
      <c r="W218" s="109">
        <v>370</v>
      </c>
      <c r="X218" s="109"/>
      <c r="Y218" s="109" t="s">
        <v>2328</v>
      </c>
      <c r="Z218" s="109">
        <v>27.191739481500001</v>
      </c>
      <c r="AA218" s="109">
        <v>40.1349565441</v>
      </c>
      <c r="AB218" s="109" t="s">
        <v>4929</v>
      </c>
      <c r="AC218" s="109" t="s">
        <v>3339</v>
      </c>
      <c r="AD218" s="765" t="s">
        <v>2472</v>
      </c>
      <c r="AE218" s="765" t="s">
        <v>674</v>
      </c>
      <c r="AF218" s="765"/>
      <c r="AG218" s="765"/>
      <c r="AH218" s="109"/>
      <c r="AL218" s="2" t="s">
        <v>679</v>
      </c>
      <c r="AM218" s="2" t="s">
        <v>814</v>
      </c>
      <c r="AN218" s="2" t="s">
        <v>952</v>
      </c>
      <c r="AO218" s="2">
        <v>0.51486626000000002</v>
      </c>
      <c r="AP218" s="2" t="s">
        <v>4673</v>
      </c>
      <c r="AQ218" s="2" t="s">
        <v>4469</v>
      </c>
      <c r="AR218" s="2" t="s">
        <v>4638</v>
      </c>
      <c r="AT218" s="765"/>
      <c r="AU218" s="765"/>
      <c r="AV218" s="765"/>
      <c r="AW218" s="765"/>
    </row>
    <row r="219" spans="1:49" x14ac:dyDescent="0.25">
      <c r="A219" s="23" t="s">
        <v>3301</v>
      </c>
      <c r="B219" s="108" t="s">
        <v>163</v>
      </c>
      <c r="C219" s="108" t="s">
        <v>150</v>
      </c>
      <c r="D219" s="108" t="s">
        <v>3340</v>
      </c>
      <c r="E219" s="108" t="s">
        <v>3341</v>
      </c>
      <c r="F219" s="114" t="s">
        <v>694</v>
      </c>
      <c r="G219" s="213" t="s">
        <v>2832</v>
      </c>
      <c r="H219" s="115" t="s">
        <v>3342</v>
      </c>
      <c r="I219" s="213">
        <v>300664422.01999998</v>
      </c>
      <c r="J219" s="109">
        <v>3</v>
      </c>
      <c r="K219" s="109" t="s">
        <v>696</v>
      </c>
      <c r="L219" s="115">
        <v>0.68929856</v>
      </c>
      <c r="M219" s="115">
        <v>9.9572579999999995</v>
      </c>
      <c r="N219" s="115">
        <v>10.057836999999999</v>
      </c>
      <c r="O219" s="214">
        <v>0.22500000000000001</v>
      </c>
      <c r="P219" s="115">
        <v>4.7916999999999996</v>
      </c>
      <c r="Q219" s="769">
        <v>-4.0119395177900001</v>
      </c>
      <c r="R219" s="216"/>
      <c r="S219" s="216">
        <v>-4.0119395177900001</v>
      </c>
      <c r="T219" s="216">
        <v>27</v>
      </c>
      <c r="U219" s="216">
        <v>10.566000000000001</v>
      </c>
      <c r="V219" s="115">
        <v>796.70335841310998</v>
      </c>
      <c r="W219" s="109"/>
      <c r="X219" s="109">
        <v>627.77275978706996</v>
      </c>
      <c r="Y219" s="109" t="s">
        <v>2426</v>
      </c>
      <c r="Z219" s="109">
        <v>16.604821529599999</v>
      </c>
      <c r="AA219" s="109">
        <v>25.121931060800001</v>
      </c>
      <c r="AB219" s="109" t="s">
        <v>241</v>
      </c>
      <c r="AC219" s="109" t="s">
        <v>1565</v>
      </c>
      <c r="AD219" s="765" t="s">
        <v>252</v>
      </c>
      <c r="AE219" s="765" t="s">
        <v>674</v>
      </c>
      <c r="AF219" s="765"/>
      <c r="AG219" s="765"/>
      <c r="AH219" s="109"/>
      <c r="AL219" s="2" t="s">
        <v>679</v>
      </c>
      <c r="AM219" s="2" t="s">
        <v>810</v>
      </c>
      <c r="AN219" s="2" t="s">
        <v>952</v>
      </c>
      <c r="AO219" s="2">
        <v>0.70309968</v>
      </c>
      <c r="AP219" s="2" t="s">
        <v>4673</v>
      </c>
      <c r="AQ219" s="2" t="s">
        <v>4469</v>
      </c>
      <c r="AR219" s="2" t="s">
        <v>4638</v>
      </c>
      <c r="AT219" s="765"/>
      <c r="AU219" s="765"/>
      <c r="AV219" s="765"/>
      <c r="AW219" s="765"/>
    </row>
    <row r="220" spans="1:49" x14ac:dyDescent="0.25">
      <c r="A220" s="23" t="s">
        <v>2868</v>
      </c>
      <c r="B220" s="108" t="s">
        <v>163</v>
      </c>
      <c r="C220" s="108" t="s">
        <v>150</v>
      </c>
      <c r="D220" s="108" t="s">
        <v>516</v>
      </c>
      <c r="E220" s="108" t="s">
        <v>2869</v>
      </c>
      <c r="F220" s="114" t="s">
        <v>694</v>
      </c>
      <c r="G220" s="213" t="s">
        <v>2832</v>
      </c>
      <c r="H220" s="115" t="s">
        <v>2874</v>
      </c>
      <c r="I220" s="213">
        <v>47363948.640000001</v>
      </c>
      <c r="J220" s="109">
        <v>4</v>
      </c>
      <c r="K220" s="109" t="s">
        <v>696</v>
      </c>
      <c r="L220" s="115">
        <v>0.67163138</v>
      </c>
      <c r="M220" s="115">
        <v>12.517322999999999</v>
      </c>
      <c r="N220" s="115">
        <v>12.643761</v>
      </c>
      <c r="O220" s="214">
        <v>0.3</v>
      </c>
      <c r="P220" s="115">
        <v>6.3007999999999997</v>
      </c>
      <c r="Q220" s="769">
        <v>-12.078383414839999</v>
      </c>
      <c r="R220" s="216"/>
      <c r="S220" s="216">
        <v>-12.078383414839999</v>
      </c>
      <c r="T220" s="216">
        <v>27</v>
      </c>
      <c r="U220" s="216">
        <v>16.806999999999999</v>
      </c>
      <c r="V220" s="115">
        <v>1421.7779431183601</v>
      </c>
      <c r="W220" s="109"/>
      <c r="X220" s="109">
        <v>860.34153925541</v>
      </c>
      <c r="Y220" s="109" t="s">
        <v>778</v>
      </c>
      <c r="Z220" s="109">
        <v>25.8441806071</v>
      </c>
      <c r="AA220" s="109">
        <v>37.251723441999999</v>
      </c>
      <c r="AB220" s="109" t="s">
        <v>1210</v>
      </c>
      <c r="AC220" s="109" t="s">
        <v>1348</v>
      </c>
      <c r="AD220" s="765" t="s">
        <v>254</v>
      </c>
      <c r="AE220" s="765" t="s">
        <v>674</v>
      </c>
      <c r="AF220" s="765"/>
      <c r="AG220" s="765"/>
      <c r="AH220" s="109"/>
      <c r="AL220" s="2" t="s">
        <v>679</v>
      </c>
      <c r="AM220" s="2" t="s">
        <v>810</v>
      </c>
      <c r="AN220" s="2" t="s">
        <v>952</v>
      </c>
      <c r="AO220" s="2">
        <v>0.68963176000000004</v>
      </c>
      <c r="AP220" s="2" t="s">
        <v>4673</v>
      </c>
      <c r="AQ220" s="2" t="s">
        <v>4469</v>
      </c>
      <c r="AR220" s="2" t="s">
        <v>4638</v>
      </c>
      <c r="AT220" s="765"/>
      <c r="AU220" s="765"/>
      <c r="AV220" s="765"/>
      <c r="AW220" s="765"/>
    </row>
    <row r="221" spans="1:49" x14ac:dyDescent="0.25">
      <c r="A221" s="23" t="s">
        <v>3615</v>
      </c>
      <c r="B221" s="108" t="s">
        <v>163</v>
      </c>
      <c r="C221" s="108" t="s">
        <v>150</v>
      </c>
      <c r="D221" s="108" t="s">
        <v>2550</v>
      </c>
      <c r="E221" s="108" t="s">
        <v>3715</v>
      </c>
      <c r="F221" s="114" t="s">
        <v>694</v>
      </c>
      <c r="G221" s="213" t="s">
        <v>3249</v>
      </c>
      <c r="H221" s="115" t="s">
        <v>3690</v>
      </c>
      <c r="I221" s="213">
        <v>9137191.5299999993</v>
      </c>
      <c r="J221" s="109">
        <v>2.5</v>
      </c>
      <c r="K221" s="109" t="s">
        <v>696</v>
      </c>
      <c r="L221" s="115">
        <v>0.95793755000000003</v>
      </c>
      <c r="M221" s="115">
        <v>11.785602000000001</v>
      </c>
      <c r="N221" s="115">
        <v>11.904648</v>
      </c>
      <c r="O221" s="214">
        <v>0.1875</v>
      </c>
      <c r="P221" s="115">
        <v>7.8564999999999996</v>
      </c>
      <c r="Q221" s="769">
        <v>-7.6892185361500003</v>
      </c>
      <c r="R221" s="216"/>
      <c r="S221" s="216">
        <v>-7.6892185361500003</v>
      </c>
      <c r="T221" s="216">
        <v>27</v>
      </c>
      <c r="U221" s="216">
        <v>10.323</v>
      </c>
      <c r="V221" s="115">
        <v>776.83757975884998</v>
      </c>
      <c r="W221" s="109"/>
      <c r="X221" s="109">
        <v>531.19792517692997</v>
      </c>
      <c r="Y221" s="109" t="s">
        <v>2392</v>
      </c>
      <c r="Z221" s="109">
        <v>13.155076552300001</v>
      </c>
      <c r="AA221" s="109">
        <v>23.7707158881</v>
      </c>
      <c r="AB221" s="109" t="s">
        <v>4930</v>
      </c>
      <c r="AC221" s="109" t="s">
        <v>2856</v>
      </c>
      <c r="AD221" s="765" t="s">
        <v>3477</v>
      </c>
      <c r="AE221" s="765" t="s">
        <v>674</v>
      </c>
      <c r="AF221" s="765"/>
      <c r="AG221" s="765"/>
      <c r="AH221" s="109"/>
      <c r="AL221" s="2" t="s">
        <v>679</v>
      </c>
      <c r="AM221" s="2" t="s">
        <v>810</v>
      </c>
      <c r="AN221" s="2" t="s">
        <v>952</v>
      </c>
      <c r="AO221" s="2">
        <v>0.96351032999999997</v>
      </c>
      <c r="AP221" s="2" t="s">
        <v>4673</v>
      </c>
      <c r="AQ221" s="2" t="s">
        <v>4469</v>
      </c>
      <c r="AR221" s="2" t="s">
        <v>4638</v>
      </c>
      <c r="AT221" s="765"/>
      <c r="AU221" s="765"/>
      <c r="AV221" s="765"/>
      <c r="AW221" s="765"/>
    </row>
    <row r="222" spans="1:49" x14ac:dyDescent="0.25">
      <c r="A222" s="23" t="s">
        <v>1297</v>
      </c>
      <c r="B222" s="108" t="s">
        <v>147</v>
      </c>
      <c r="C222" s="108" t="s">
        <v>150</v>
      </c>
      <c r="D222" s="108" t="s">
        <v>151</v>
      </c>
      <c r="E222" s="108" t="s">
        <v>1298</v>
      </c>
      <c r="F222" s="114" t="s">
        <v>694</v>
      </c>
      <c r="G222" s="213" t="s">
        <v>1299</v>
      </c>
      <c r="H222" s="115" t="s">
        <v>1300</v>
      </c>
      <c r="I222" s="213">
        <v>52406.400000000001</v>
      </c>
      <c r="J222" s="109">
        <v>6.5</v>
      </c>
      <c r="K222" s="109" t="s">
        <v>696</v>
      </c>
      <c r="L222" s="115">
        <v>3.3466699999999999E-3</v>
      </c>
      <c r="M222" s="115">
        <v>100.70921300000001</v>
      </c>
      <c r="N222" s="115">
        <v>100.734402</v>
      </c>
      <c r="O222" s="214">
        <v>0.48749999999999999</v>
      </c>
      <c r="P222" s="115">
        <v>0.29570000000000002</v>
      </c>
      <c r="Q222" s="769">
        <v>0.28823249831999997</v>
      </c>
      <c r="R222" s="216"/>
      <c r="S222" s="216">
        <v>0.28823249831999997</v>
      </c>
      <c r="T222" s="216">
        <v>27</v>
      </c>
      <c r="U222" s="216">
        <v>2.6280000000000001</v>
      </c>
      <c r="V222" s="115">
        <v>198.45427020188001</v>
      </c>
      <c r="W222" s="109"/>
      <c r="X222" s="109">
        <v>142.41813108465999</v>
      </c>
      <c r="Y222" s="109"/>
      <c r="Z222" s="109">
        <v>29.380388433537611</v>
      </c>
      <c r="AA222" s="109">
        <v>31.726509202730309</v>
      </c>
      <c r="AB222" s="109" t="s">
        <v>2721</v>
      </c>
      <c r="AC222" s="109" t="s">
        <v>4695</v>
      </c>
      <c r="AD222" s="765" t="s">
        <v>1564</v>
      </c>
      <c r="AE222" s="765" t="s">
        <v>625</v>
      </c>
      <c r="AF222" s="765"/>
      <c r="AG222" s="765"/>
      <c r="AH222" s="109"/>
      <c r="AL222" s="2" t="s">
        <v>679</v>
      </c>
      <c r="AM222" s="2" t="s">
        <v>706</v>
      </c>
      <c r="AN222" s="2" t="s">
        <v>952</v>
      </c>
      <c r="AO222" s="2">
        <v>4.0070499999999998E-3</v>
      </c>
      <c r="AP222" s="2" t="s">
        <v>4673</v>
      </c>
      <c r="AQ222" s="2" t="s">
        <v>4469</v>
      </c>
      <c r="AR222" s="2" t="s">
        <v>4756</v>
      </c>
      <c r="AT222" s="765"/>
      <c r="AU222" s="765"/>
      <c r="AV222" s="765"/>
      <c r="AW222" s="765"/>
    </row>
    <row r="223" spans="1:49" x14ac:dyDescent="0.25">
      <c r="A223" s="23" t="s">
        <v>2786</v>
      </c>
      <c r="B223" s="108" t="s">
        <v>163</v>
      </c>
      <c r="C223" s="108" t="s">
        <v>145</v>
      </c>
      <c r="D223" s="108" t="s">
        <v>2787</v>
      </c>
      <c r="E223" s="108" t="s">
        <v>2788</v>
      </c>
      <c r="F223" s="114" t="s">
        <v>694</v>
      </c>
      <c r="G223" s="213" t="s">
        <v>2096</v>
      </c>
      <c r="H223" s="115" t="s">
        <v>2757</v>
      </c>
      <c r="I223" s="213">
        <v>27291878.719999999</v>
      </c>
      <c r="J223" s="109">
        <v>5.70343</v>
      </c>
      <c r="K223" s="109" t="s">
        <v>695</v>
      </c>
      <c r="L223" s="115">
        <v>0.21385834000000001</v>
      </c>
      <c r="M223" s="115">
        <v>16.024853</v>
      </c>
      <c r="N223" s="115">
        <v>16.186720000000001</v>
      </c>
      <c r="O223" s="214">
        <v>0.205957</v>
      </c>
      <c r="P223" s="115">
        <v>4.9481999999999999</v>
      </c>
      <c r="Q223" s="769">
        <v>20.253583512630001</v>
      </c>
      <c r="R223" s="216"/>
      <c r="S223" s="216">
        <v>20.253583512630001</v>
      </c>
      <c r="T223" s="216">
        <v>12</v>
      </c>
      <c r="U223" s="216">
        <v>17.009</v>
      </c>
      <c r="V223" s="115">
        <v>1440.9628903463299</v>
      </c>
      <c r="W223" s="109">
        <v>610</v>
      </c>
      <c r="X223" s="109">
        <v>-18.439239612489999</v>
      </c>
      <c r="Y223" s="109" t="s">
        <v>2374</v>
      </c>
      <c r="Z223" s="109">
        <v>11.312141503199999</v>
      </c>
      <c r="AA223" s="109">
        <v>17.779312369399999</v>
      </c>
      <c r="AB223" s="109" t="s">
        <v>2327</v>
      </c>
      <c r="AC223" s="109" t="s">
        <v>1404</v>
      </c>
      <c r="AD223" s="765" t="s">
        <v>252</v>
      </c>
      <c r="AE223" s="765" t="s">
        <v>674</v>
      </c>
      <c r="AF223" s="765"/>
      <c r="AG223" s="765"/>
      <c r="AH223" s="109"/>
      <c r="AL223" s="2" t="s">
        <v>679</v>
      </c>
      <c r="AM223" s="2" t="s">
        <v>814</v>
      </c>
      <c r="AN223" s="2" t="s">
        <v>952</v>
      </c>
      <c r="AO223" s="2">
        <v>0.21664702999999999</v>
      </c>
      <c r="AP223" s="2" t="s">
        <v>4673</v>
      </c>
      <c r="AQ223" s="2" t="s">
        <v>4396</v>
      </c>
      <c r="AR223" s="2" t="s">
        <v>4671</v>
      </c>
      <c r="AT223" s="765"/>
      <c r="AU223" s="765"/>
      <c r="AV223" s="765"/>
      <c r="AW223" s="765"/>
    </row>
    <row r="224" spans="1:49" x14ac:dyDescent="0.25">
      <c r="A224" s="23" t="s">
        <v>3169</v>
      </c>
      <c r="B224" s="108" t="s">
        <v>163</v>
      </c>
      <c r="C224" s="108" t="s">
        <v>145</v>
      </c>
      <c r="D224" s="108" t="s">
        <v>2792</v>
      </c>
      <c r="E224" s="108" t="s">
        <v>3205</v>
      </c>
      <c r="F224" s="114" t="s">
        <v>694</v>
      </c>
      <c r="G224" s="213" t="s">
        <v>3206</v>
      </c>
      <c r="H224" s="115" t="s">
        <v>3207</v>
      </c>
      <c r="I224" s="213">
        <v>8510119.6699999999</v>
      </c>
      <c r="J224" s="109">
        <v>5.7534299999999998</v>
      </c>
      <c r="K224" s="109" t="s">
        <v>695</v>
      </c>
      <c r="L224" s="115">
        <v>0.21173496999999999</v>
      </c>
      <c r="M224" s="115">
        <v>15.421628999999999</v>
      </c>
      <c r="N224" s="115">
        <v>15.577403</v>
      </c>
      <c r="O224" s="214">
        <v>0.207763</v>
      </c>
      <c r="P224" s="115">
        <v>5.3971999999999998</v>
      </c>
      <c r="Q224" s="769">
        <v>14.802270581009999</v>
      </c>
      <c r="R224" s="216"/>
      <c r="S224" s="216">
        <v>14.802270581009999</v>
      </c>
      <c r="T224" s="216">
        <v>13</v>
      </c>
      <c r="U224" s="216">
        <v>20.975000000000001</v>
      </c>
      <c r="V224" s="115">
        <v>1832.3615484327299</v>
      </c>
      <c r="W224" s="109">
        <v>615</v>
      </c>
      <c r="X224" s="109">
        <v>1.5377051621</v>
      </c>
      <c r="Y224" s="109" t="s">
        <v>1536</v>
      </c>
      <c r="Z224" s="109">
        <v>34.523179312099998</v>
      </c>
      <c r="AA224" s="109">
        <v>36.837781567199997</v>
      </c>
      <c r="AB224" s="109" t="s">
        <v>242</v>
      </c>
      <c r="AC224" s="109" t="s">
        <v>2252</v>
      </c>
      <c r="AD224" s="765" t="s">
        <v>246</v>
      </c>
      <c r="AE224" s="765" t="s">
        <v>674</v>
      </c>
      <c r="AF224" s="765"/>
      <c r="AG224" s="765"/>
      <c r="AH224" s="109"/>
      <c r="AL224" s="2" t="s">
        <v>679</v>
      </c>
      <c r="AM224" s="2" t="s">
        <v>814</v>
      </c>
      <c r="AN224" s="2" t="s">
        <v>952</v>
      </c>
      <c r="AO224" s="2">
        <v>0.21989159</v>
      </c>
      <c r="AP224" s="2" t="s">
        <v>4673</v>
      </c>
      <c r="AQ224" s="2" t="s">
        <v>4396</v>
      </c>
      <c r="AR224" s="2" t="s">
        <v>4671</v>
      </c>
      <c r="AT224" s="765"/>
      <c r="AU224" s="765"/>
      <c r="AV224" s="765"/>
      <c r="AW224" s="765"/>
    </row>
    <row r="225" spans="1:49" x14ac:dyDescent="0.25">
      <c r="A225" s="23" t="s">
        <v>2660</v>
      </c>
      <c r="B225" s="108" t="s">
        <v>163</v>
      </c>
      <c r="C225" s="108" t="s">
        <v>145</v>
      </c>
      <c r="D225" s="108" t="s">
        <v>2665</v>
      </c>
      <c r="E225" s="108" t="s">
        <v>2666</v>
      </c>
      <c r="F225" s="114" t="s">
        <v>694</v>
      </c>
      <c r="G225" s="213" t="s">
        <v>2258</v>
      </c>
      <c r="H225" s="115" t="s">
        <v>2551</v>
      </c>
      <c r="I225" s="213">
        <v>231996572.5</v>
      </c>
      <c r="J225" s="109">
        <v>2</v>
      </c>
      <c r="K225" s="109" t="s">
        <v>696</v>
      </c>
      <c r="L225" s="115">
        <v>0.92798628999999999</v>
      </c>
      <c r="M225" s="115">
        <v>12.996304</v>
      </c>
      <c r="N225" s="115">
        <v>13.127579000000001</v>
      </c>
      <c r="O225" s="214">
        <v>0.15</v>
      </c>
      <c r="P225" s="115">
        <v>9.1594999999999995</v>
      </c>
      <c r="Q225" s="769">
        <v>-2.6390597114999998</v>
      </c>
      <c r="R225" s="216"/>
      <c r="S225" s="216">
        <v>-2.6390597114999998</v>
      </c>
      <c r="T225" s="216">
        <v>26</v>
      </c>
      <c r="U225" s="216">
        <v>5.1520000000000001</v>
      </c>
      <c r="V225" s="115">
        <v>263.904470301</v>
      </c>
      <c r="W225" s="109"/>
      <c r="X225" s="109">
        <v>272.55400635162999</v>
      </c>
      <c r="Y225" s="109" t="s">
        <v>664</v>
      </c>
      <c r="Z225" s="109">
        <v>1.4709457719000001</v>
      </c>
      <c r="AA225" s="109">
        <v>3.8274441914000001</v>
      </c>
      <c r="AB225" s="109" t="s">
        <v>256</v>
      </c>
      <c r="AC225" s="109"/>
      <c r="AD225" s="765"/>
      <c r="AE225" s="765" t="s">
        <v>674</v>
      </c>
      <c r="AF225" s="765"/>
      <c r="AG225" s="765"/>
      <c r="AH225" s="109"/>
      <c r="AL225" s="2" t="s">
        <v>679</v>
      </c>
      <c r="AM225" s="2" t="s">
        <v>810</v>
      </c>
      <c r="AN225" s="2" t="s">
        <v>952</v>
      </c>
      <c r="AO225" s="2">
        <v>0.93091652000000003</v>
      </c>
      <c r="AP225" s="2" t="s">
        <v>4673</v>
      </c>
      <c r="AQ225" s="2" t="s">
        <v>4469</v>
      </c>
      <c r="AR225" s="2" t="s">
        <v>4638</v>
      </c>
      <c r="AT225" s="765"/>
      <c r="AU225" s="765"/>
      <c r="AV225" s="765"/>
      <c r="AW225" s="765"/>
    </row>
    <row r="226" spans="1:49" x14ac:dyDescent="0.25">
      <c r="A226" s="23" t="s">
        <v>2289</v>
      </c>
      <c r="B226" s="108" t="s">
        <v>1643</v>
      </c>
      <c r="C226" s="108" t="s">
        <v>2290</v>
      </c>
      <c r="D226" s="108" t="s">
        <v>2291</v>
      </c>
      <c r="E226" s="108" t="s">
        <v>2292</v>
      </c>
      <c r="F226" s="114" t="s">
        <v>694</v>
      </c>
      <c r="G226" s="213" t="s">
        <v>2282</v>
      </c>
      <c r="H226" s="115" t="s">
        <v>2293</v>
      </c>
      <c r="I226" s="213">
        <v>1090852328.3900001</v>
      </c>
      <c r="J226" s="109">
        <v>1.0385599999999999</v>
      </c>
      <c r="K226" s="109" t="s">
        <v>696</v>
      </c>
      <c r="L226" s="115">
        <v>0.99743551080000004</v>
      </c>
      <c r="M226" s="115">
        <v>7.2447150000000002</v>
      </c>
      <c r="N226" s="115">
        <v>7.2746810000000002</v>
      </c>
      <c r="O226" s="214">
        <v>7.7892000000000003E-2</v>
      </c>
      <c r="P226" s="115">
        <v>7.8443999999999994</v>
      </c>
      <c r="Q226" s="769">
        <v>3.8319999999999999</v>
      </c>
      <c r="R226" s="216"/>
      <c r="S226" s="216">
        <v>3.8319999999999999</v>
      </c>
      <c r="T226" s="216">
        <v>26</v>
      </c>
      <c r="U226" s="216">
        <v>3.0880000000000001</v>
      </c>
      <c r="V226" s="115">
        <v>53.275097680570482</v>
      </c>
      <c r="W226" s="109"/>
      <c r="X226" s="109">
        <v>98.1</v>
      </c>
      <c r="Y226" s="109" t="s">
        <v>2294</v>
      </c>
      <c r="Z226" s="109">
        <v>0</v>
      </c>
      <c r="AA226" s="109">
        <v>0</v>
      </c>
      <c r="AB226" s="109"/>
      <c r="AC226" s="109"/>
      <c r="AD226" s="765"/>
      <c r="AE226" s="765" t="s">
        <v>674</v>
      </c>
      <c r="AF226" s="765"/>
      <c r="AG226" s="765"/>
      <c r="AH226" s="109" t="s">
        <v>7</v>
      </c>
      <c r="AI226" s="2" t="s">
        <v>7</v>
      </c>
      <c r="AL226" s="2" t="s">
        <v>680</v>
      </c>
      <c r="AM226" s="2" t="s">
        <v>2295</v>
      </c>
      <c r="AN226" s="2" t="s">
        <v>952</v>
      </c>
      <c r="AO226" s="2">
        <v>0.99761542999999997</v>
      </c>
      <c r="AP226" s="2" t="s">
        <v>4673</v>
      </c>
      <c r="AQ226" s="2" t="s">
        <v>4469</v>
      </c>
      <c r="AR226" s="2" t="s">
        <v>4638</v>
      </c>
      <c r="AT226" s="765"/>
      <c r="AU226" s="765"/>
      <c r="AV226" s="765"/>
      <c r="AW226" s="765"/>
    </row>
    <row r="227" spans="1:49" x14ac:dyDescent="0.25">
      <c r="A227" s="23" t="s">
        <v>3168</v>
      </c>
      <c r="B227" s="108" t="s">
        <v>163</v>
      </c>
      <c r="C227" s="108" t="s">
        <v>145</v>
      </c>
      <c r="D227" s="108" t="s">
        <v>516</v>
      </c>
      <c r="E227" s="108" t="s">
        <v>3208</v>
      </c>
      <c r="F227" s="114" t="s">
        <v>694</v>
      </c>
      <c r="G227" s="213" t="s">
        <v>2282</v>
      </c>
      <c r="H227" s="115" t="s">
        <v>3209</v>
      </c>
      <c r="I227" s="213">
        <v>134017471.93000001</v>
      </c>
      <c r="J227" s="109">
        <v>4</v>
      </c>
      <c r="K227" s="109" t="s">
        <v>696</v>
      </c>
      <c r="L227" s="115">
        <v>0.59685394999999997</v>
      </c>
      <c r="M227" s="115">
        <v>16.327010999999999</v>
      </c>
      <c r="N227" s="115">
        <v>16.49193</v>
      </c>
      <c r="O227" s="214">
        <v>0.3</v>
      </c>
      <c r="P227" s="115">
        <v>6.3531000000000004</v>
      </c>
      <c r="Q227" s="769">
        <v>-7.1611907751699997</v>
      </c>
      <c r="R227" s="216"/>
      <c r="S227" s="216">
        <v>-7.1611907751699997</v>
      </c>
      <c r="T227" s="216">
        <v>27</v>
      </c>
      <c r="U227" s="216">
        <v>9.3520000000000003</v>
      </c>
      <c r="V227" s="115">
        <v>676.31267189434004</v>
      </c>
      <c r="W227" s="109"/>
      <c r="X227" s="109">
        <v>399.76699767571</v>
      </c>
      <c r="Y227" s="109" t="s">
        <v>664</v>
      </c>
      <c r="Z227" s="109">
        <v>20.942401408199999</v>
      </c>
      <c r="AA227" s="109">
        <v>26.3261718053</v>
      </c>
      <c r="AB227" s="109" t="s">
        <v>253</v>
      </c>
      <c r="AC227" s="109" t="s">
        <v>254</v>
      </c>
      <c r="AD227" s="765" t="s">
        <v>1281</v>
      </c>
      <c r="AE227" s="765" t="s">
        <v>674</v>
      </c>
      <c r="AF227" s="765"/>
      <c r="AG227" s="765"/>
      <c r="AH227" s="109"/>
      <c r="AL227" s="2" t="s">
        <v>679</v>
      </c>
      <c r="AM227" s="2" t="s">
        <v>810</v>
      </c>
      <c r="AN227" s="2" t="s">
        <v>952</v>
      </c>
      <c r="AO227" s="2">
        <v>0.60984090000000002</v>
      </c>
      <c r="AP227" s="2" t="s">
        <v>4673</v>
      </c>
      <c r="AQ227" s="2" t="s">
        <v>4469</v>
      </c>
      <c r="AR227" s="2" t="s">
        <v>4638</v>
      </c>
      <c r="AT227" s="765"/>
      <c r="AU227" s="765"/>
      <c r="AV227" s="765"/>
      <c r="AW227" s="765"/>
    </row>
    <row r="228" spans="1:49" x14ac:dyDescent="0.25">
      <c r="A228" s="23" t="s">
        <v>3167</v>
      </c>
      <c r="B228" s="108" t="s">
        <v>163</v>
      </c>
      <c r="C228" s="108" t="s">
        <v>145</v>
      </c>
      <c r="D228" s="108" t="s">
        <v>3210</v>
      </c>
      <c r="E228" s="108" t="s">
        <v>3211</v>
      </c>
      <c r="F228" s="114" t="s">
        <v>694</v>
      </c>
      <c r="G228" s="213" t="s">
        <v>2375</v>
      </c>
      <c r="H228" s="115" t="s">
        <v>2569</v>
      </c>
      <c r="I228" s="213">
        <v>23660154.559999999</v>
      </c>
      <c r="J228" s="109">
        <v>2.5</v>
      </c>
      <c r="K228" s="109" t="s">
        <v>696</v>
      </c>
      <c r="L228" s="115">
        <v>0.90139121</v>
      </c>
      <c r="M228" s="115">
        <v>13.132892</v>
      </c>
      <c r="N228" s="115">
        <v>13.265547</v>
      </c>
      <c r="O228" s="214">
        <v>0.1875</v>
      </c>
      <c r="P228" s="115">
        <v>7.4474</v>
      </c>
      <c r="Q228" s="769">
        <v>-6.3622542326199998</v>
      </c>
      <c r="R228" s="216"/>
      <c r="S228" s="216">
        <v>-6.3622542326199998</v>
      </c>
      <c r="T228" s="216">
        <v>27</v>
      </c>
      <c r="U228" s="216">
        <v>6.4359999999999999</v>
      </c>
      <c r="V228" s="115">
        <v>386.84837973368002</v>
      </c>
      <c r="W228" s="109"/>
      <c r="X228" s="109">
        <v>139.15864228357</v>
      </c>
      <c r="Y228" s="109" t="s">
        <v>3212</v>
      </c>
      <c r="Z228" s="109">
        <v>4.6433758802999998</v>
      </c>
      <c r="AA228" s="109">
        <v>11.9389663613</v>
      </c>
      <c r="AB228" s="109" t="s">
        <v>253</v>
      </c>
      <c r="AC228" s="109" t="s">
        <v>254</v>
      </c>
      <c r="AD228" s="765" t="s">
        <v>1940</v>
      </c>
      <c r="AE228" s="765" t="s">
        <v>674</v>
      </c>
      <c r="AF228" s="765"/>
      <c r="AG228" s="765"/>
      <c r="AH228" s="109"/>
      <c r="AL228" s="2" t="s">
        <v>679</v>
      </c>
      <c r="AM228" s="2" t="s">
        <v>810</v>
      </c>
      <c r="AN228" s="2" t="s">
        <v>952</v>
      </c>
      <c r="AO228" s="2">
        <v>0.90709852999999996</v>
      </c>
      <c r="AP228" s="2" t="s">
        <v>4673</v>
      </c>
      <c r="AQ228" s="2" t="s">
        <v>4469</v>
      </c>
      <c r="AR228" s="2" t="s">
        <v>4638</v>
      </c>
      <c r="AT228" s="765"/>
      <c r="AU228" s="765"/>
      <c r="AV228" s="765"/>
      <c r="AW228" s="765"/>
    </row>
    <row r="229" spans="1:49" x14ac:dyDescent="0.25">
      <c r="A229" s="23" t="s">
        <v>2789</v>
      </c>
      <c r="B229" s="108" t="s">
        <v>163</v>
      </c>
      <c r="C229" s="108" t="s">
        <v>145</v>
      </c>
      <c r="D229" s="108" t="s">
        <v>516</v>
      </c>
      <c r="E229" s="108" t="s">
        <v>2790</v>
      </c>
      <c r="F229" s="114" t="s">
        <v>694</v>
      </c>
      <c r="G229" s="213" t="s">
        <v>2375</v>
      </c>
      <c r="H229" s="115" t="s">
        <v>2569</v>
      </c>
      <c r="I229" s="213">
        <v>22706303.300000001</v>
      </c>
      <c r="J229" s="109">
        <v>4</v>
      </c>
      <c r="K229" s="109" t="s">
        <v>696</v>
      </c>
      <c r="L229" s="115">
        <v>0.76067344999999997</v>
      </c>
      <c r="M229" s="115">
        <v>20.398257999999998</v>
      </c>
      <c r="N229" s="115">
        <v>20.604301</v>
      </c>
      <c r="O229" s="214">
        <v>0.3</v>
      </c>
      <c r="P229" s="115">
        <v>6.0697999999999999</v>
      </c>
      <c r="Q229" s="769">
        <v>-6.6597315622900002</v>
      </c>
      <c r="R229" s="216"/>
      <c r="S229" s="216">
        <v>-6.6597315622900002</v>
      </c>
      <c r="T229" s="216">
        <v>27</v>
      </c>
      <c r="U229" s="216">
        <v>3.181</v>
      </c>
      <c r="V229" s="115">
        <v>59.041450050960002</v>
      </c>
      <c r="W229" s="109"/>
      <c r="X229" s="109">
        <v>76.478396846319995</v>
      </c>
      <c r="Y229" s="109" t="s">
        <v>664</v>
      </c>
      <c r="Z229" s="109">
        <v>28.6577250793</v>
      </c>
      <c r="AA229" s="109">
        <v>22.828496536399999</v>
      </c>
      <c r="AB229" s="109" t="s">
        <v>237</v>
      </c>
      <c r="AC229" s="109" t="s">
        <v>250</v>
      </c>
      <c r="AD229" s="765" t="s">
        <v>2714</v>
      </c>
      <c r="AE229" s="765" t="s">
        <v>674</v>
      </c>
      <c r="AF229" s="765"/>
      <c r="AG229" s="765"/>
      <c r="AH229" s="109"/>
      <c r="AL229" s="2" t="s">
        <v>679</v>
      </c>
      <c r="AM229" s="2" t="s">
        <v>810</v>
      </c>
      <c r="AN229" s="2" t="s">
        <v>952</v>
      </c>
      <c r="AO229" s="2">
        <v>0.78354330999999999</v>
      </c>
      <c r="AP229" s="2" t="s">
        <v>4673</v>
      </c>
      <c r="AQ229" s="2" t="s">
        <v>4469</v>
      </c>
      <c r="AR229" s="2" t="s">
        <v>4638</v>
      </c>
      <c r="AT229" s="765"/>
      <c r="AU229" s="765"/>
      <c r="AV229" s="765"/>
      <c r="AW229" s="765"/>
    </row>
    <row r="230" spans="1:49" x14ac:dyDescent="0.25">
      <c r="A230" s="23" t="s">
        <v>3166</v>
      </c>
      <c r="B230" s="108" t="s">
        <v>163</v>
      </c>
      <c r="C230" s="108" t="s">
        <v>145</v>
      </c>
      <c r="D230" s="108" t="s">
        <v>3213</v>
      </c>
      <c r="E230" s="108" t="s">
        <v>3214</v>
      </c>
      <c r="F230" s="114" t="s">
        <v>694</v>
      </c>
      <c r="G230" s="213" t="s">
        <v>2574</v>
      </c>
      <c r="H230" s="115" t="s">
        <v>2378</v>
      </c>
      <c r="I230" s="213">
        <v>80982044.040000007</v>
      </c>
      <c r="J230" s="109">
        <v>3.5</v>
      </c>
      <c r="K230" s="109" t="s">
        <v>696</v>
      </c>
      <c r="L230" s="115">
        <v>0.89129499000000001</v>
      </c>
      <c r="M230" s="115">
        <v>18.336939000000001</v>
      </c>
      <c r="N230" s="115">
        <v>18.522161000000001</v>
      </c>
      <c r="O230" s="214">
        <v>0.26250000000000001</v>
      </c>
      <c r="P230" s="115">
        <v>5.6456999999999997</v>
      </c>
      <c r="Q230" s="769">
        <v>-7.3263925815900004</v>
      </c>
      <c r="R230" s="216"/>
      <c r="S230" s="216">
        <v>-7.3263925815900004</v>
      </c>
      <c r="T230" s="216">
        <v>26</v>
      </c>
      <c r="U230" s="216">
        <v>1.3360000000000001</v>
      </c>
      <c r="V230" s="115">
        <v>-125.84091490222001</v>
      </c>
      <c r="W230" s="109"/>
      <c r="X230" s="109">
        <v>270.72509715605003</v>
      </c>
      <c r="Y230" s="109" t="s">
        <v>2559</v>
      </c>
      <c r="Z230" s="109">
        <v>6.2967819479999996</v>
      </c>
      <c r="AA230" s="109">
        <v>15.095762368300001</v>
      </c>
      <c r="AB230" s="109" t="s">
        <v>256</v>
      </c>
      <c r="AC230" s="109"/>
      <c r="AD230" s="765"/>
      <c r="AE230" s="765" t="s">
        <v>674</v>
      </c>
      <c r="AF230" s="765"/>
      <c r="AG230" s="765"/>
      <c r="AH230" s="109"/>
      <c r="AL230" s="2" t="s">
        <v>679</v>
      </c>
      <c r="AM230" s="2" t="s">
        <v>810</v>
      </c>
      <c r="AN230" s="2" t="s">
        <v>952</v>
      </c>
      <c r="AO230" s="2">
        <v>0.89823748999999997</v>
      </c>
      <c r="AP230" s="2" t="s">
        <v>4673</v>
      </c>
      <c r="AQ230" s="2" t="s">
        <v>4469</v>
      </c>
      <c r="AR230" s="2" t="s">
        <v>4638</v>
      </c>
      <c r="AT230" s="765"/>
      <c r="AU230" s="765"/>
      <c r="AV230" s="765"/>
      <c r="AW230" s="765"/>
    </row>
    <row r="231" spans="1:49" x14ac:dyDescent="0.25">
      <c r="A231" s="23" t="s">
        <v>4511</v>
      </c>
      <c r="B231" s="108" t="s">
        <v>163</v>
      </c>
      <c r="C231" s="108" t="s">
        <v>145</v>
      </c>
      <c r="D231" s="108" t="s">
        <v>516</v>
      </c>
      <c r="E231" s="108" t="s">
        <v>4523</v>
      </c>
      <c r="F231" s="114" t="s">
        <v>694</v>
      </c>
      <c r="G231" s="213" t="s">
        <v>2574</v>
      </c>
      <c r="H231" s="115" t="s">
        <v>4524</v>
      </c>
      <c r="I231" s="213">
        <v>17968779.300000001</v>
      </c>
      <c r="J231" s="109">
        <v>4</v>
      </c>
      <c r="K231" s="109" t="s">
        <v>696</v>
      </c>
      <c r="L231" s="115">
        <v>0.68540177000000002</v>
      </c>
      <c r="M231" s="115">
        <v>21.091940000000001</v>
      </c>
      <c r="N231" s="115">
        <v>21.30499</v>
      </c>
      <c r="O231" s="214">
        <v>0.3</v>
      </c>
      <c r="P231" s="115">
        <v>5.8678999999999997</v>
      </c>
      <c r="Q231" s="769">
        <v>-10.163577850699999</v>
      </c>
      <c r="R231" s="216"/>
      <c r="S231" s="216">
        <v>-10.163577850699999</v>
      </c>
      <c r="T231" s="216">
        <v>27</v>
      </c>
      <c r="U231" s="216">
        <v>1.843</v>
      </c>
      <c r="V231" s="115">
        <v>-74.909438166360005</v>
      </c>
      <c r="W231" s="109"/>
      <c r="X231" s="109">
        <v>237.71022650699001</v>
      </c>
      <c r="Y231" s="109" t="s">
        <v>664</v>
      </c>
      <c r="Z231" s="109">
        <v>9.9629067201999995</v>
      </c>
      <c r="AA231" s="109">
        <v>21.100035036000001</v>
      </c>
      <c r="AB231" s="109" t="s">
        <v>256</v>
      </c>
      <c r="AC231" s="109"/>
      <c r="AD231" s="765"/>
      <c r="AE231" s="765" t="s">
        <v>674</v>
      </c>
      <c r="AF231" s="765"/>
      <c r="AG231" s="765"/>
      <c r="AH231" s="109"/>
      <c r="AL231" s="2" t="s">
        <v>679</v>
      </c>
      <c r="AM231" s="2" t="s">
        <v>810</v>
      </c>
      <c r="AN231" s="2" t="s">
        <v>952</v>
      </c>
      <c r="AO231" s="2">
        <v>0.69243957</v>
      </c>
      <c r="AP231" s="2" t="s">
        <v>4673</v>
      </c>
      <c r="AQ231" s="2" t="s">
        <v>4469</v>
      </c>
      <c r="AR231" s="2" t="s">
        <v>4638</v>
      </c>
      <c r="AT231" s="765"/>
      <c r="AU231" s="765"/>
      <c r="AV231" s="765"/>
      <c r="AW231" s="765"/>
    </row>
    <row r="232" spans="1:49" x14ac:dyDescent="0.25">
      <c r="A232" s="23" t="s">
        <v>2791</v>
      </c>
      <c r="B232" s="108" t="s">
        <v>163</v>
      </c>
      <c r="C232" s="108" t="s">
        <v>145</v>
      </c>
      <c r="D232" s="108" t="s">
        <v>2792</v>
      </c>
      <c r="E232" s="108" t="s">
        <v>2793</v>
      </c>
      <c r="F232" s="114" t="s">
        <v>694</v>
      </c>
      <c r="G232" s="213" t="s">
        <v>2794</v>
      </c>
      <c r="H232" s="115" t="s">
        <v>2795</v>
      </c>
      <c r="I232" s="213">
        <v>22025000.690000001</v>
      </c>
      <c r="J232" s="109">
        <v>5.7534299999999998</v>
      </c>
      <c r="K232" s="109" t="s">
        <v>695</v>
      </c>
      <c r="L232" s="115">
        <v>0.30934104000000001</v>
      </c>
      <c r="M232" s="115">
        <v>16.378724999999999</v>
      </c>
      <c r="N232" s="115">
        <v>16.544167999999999</v>
      </c>
      <c r="O232" s="214">
        <v>0.207763</v>
      </c>
      <c r="P232" s="115">
        <v>6.1435000000000004</v>
      </c>
      <c r="Q232" s="769">
        <v>11.10372421123</v>
      </c>
      <c r="R232" s="216"/>
      <c r="S232" s="216">
        <v>11.10372421123</v>
      </c>
      <c r="T232" s="216">
        <v>13</v>
      </c>
      <c r="U232" s="216">
        <v>20.341000000000001</v>
      </c>
      <c r="V232" s="115">
        <v>1775.0802580920499</v>
      </c>
      <c r="W232" s="109">
        <v>615</v>
      </c>
      <c r="X232" s="109">
        <v>14.683610700239999</v>
      </c>
      <c r="Y232" s="109" t="s">
        <v>1536</v>
      </c>
      <c r="Z232" s="109">
        <v>29.155774761100002</v>
      </c>
      <c r="AA232" s="109">
        <v>31.8982941752</v>
      </c>
      <c r="AB232" s="109" t="s">
        <v>243</v>
      </c>
      <c r="AC232" s="109" t="s">
        <v>1254</v>
      </c>
      <c r="AD232" s="765" t="s">
        <v>249</v>
      </c>
      <c r="AE232" s="765" t="s">
        <v>674</v>
      </c>
      <c r="AF232" s="765"/>
      <c r="AG232" s="765"/>
      <c r="AH232" s="109"/>
      <c r="AL232" s="2" t="s">
        <v>679</v>
      </c>
      <c r="AM232" s="2" t="s">
        <v>814</v>
      </c>
      <c r="AN232" s="2" t="s">
        <v>952</v>
      </c>
      <c r="AO232" s="2">
        <v>0.31894971999999999</v>
      </c>
      <c r="AP232" s="2" t="s">
        <v>4673</v>
      </c>
      <c r="AQ232" s="2" t="s">
        <v>4396</v>
      </c>
      <c r="AR232" s="2" t="s">
        <v>4671</v>
      </c>
      <c r="AT232" s="765"/>
      <c r="AU232" s="765"/>
      <c r="AV232" s="765"/>
      <c r="AW232" s="765"/>
    </row>
    <row r="233" spans="1:49" x14ac:dyDescent="0.25">
      <c r="A233" s="23" t="s">
        <v>3165</v>
      </c>
      <c r="B233" s="108" t="s">
        <v>163</v>
      </c>
      <c r="C233" s="108" t="s">
        <v>145</v>
      </c>
      <c r="D233" s="108" t="s">
        <v>3215</v>
      </c>
      <c r="E233" s="108" t="s">
        <v>3216</v>
      </c>
      <c r="F233" s="114" t="s">
        <v>694</v>
      </c>
      <c r="G233" s="213" t="s">
        <v>3217</v>
      </c>
      <c r="H233" s="115" t="s">
        <v>3218</v>
      </c>
      <c r="I233" s="213">
        <v>9102428.6500000004</v>
      </c>
      <c r="J233" s="109">
        <v>5.4034300000000002</v>
      </c>
      <c r="K233" s="109" t="s">
        <v>695</v>
      </c>
      <c r="L233" s="115">
        <v>0.34466264000000002</v>
      </c>
      <c r="M233" s="115">
        <v>15.456037999999999</v>
      </c>
      <c r="N233" s="115">
        <v>15.612159</v>
      </c>
      <c r="O233" s="214">
        <v>0.19512399999999999</v>
      </c>
      <c r="P233" s="115">
        <v>4.9261999999999997</v>
      </c>
      <c r="Q233" s="769">
        <v>19.72033543129</v>
      </c>
      <c r="R233" s="216"/>
      <c r="S233" s="216">
        <v>19.72033543129</v>
      </c>
      <c r="T233" s="216">
        <v>13</v>
      </c>
      <c r="U233" s="216">
        <v>15.268000000000001</v>
      </c>
      <c r="V233" s="115">
        <v>1266.86312538466</v>
      </c>
      <c r="W233" s="109">
        <v>580</v>
      </c>
      <c r="X233" s="109">
        <v>-77.976146750919995</v>
      </c>
      <c r="Y233" s="109" t="s">
        <v>1536</v>
      </c>
      <c r="Z233" s="109">
        <v>33.873419574400003</v>
      </c>
      <c r="AA233" s="109">
        <v>35.677542613900002</v>
      </c>
      <c r="AB233" s="109" t="s">
        <v>3952</v>
      </c>
      <c r="AC233" s="109" t="s">
        <v>1202</v>
      </c>
      <c r="AD233" s="765" t="s">
        <v>246</v>
      </c>
      <c r="AE233" s="765" t="s">
        <v>674</v>
      </c>
      <c r="AF233" s="765"/>
      <c r="AG233" s="765"/>
      <c r="AH233" s="109"/>
      <c r="AL233" s="2" t="s">
        <v>679</v>
      </c>
      <c r="AM233" s="2" t="s">
        <v>814</v>
      </c>
      <c r="AN233" s="2" t="s">
        <v>952</v>
      </c>
      <c r="AO233" s="2">
        <v>0.35727342000000001</v>
      </c>
      <c r="AP233" s="2" t="s">
        <v>4673</v>
      </c>
      <c r="AQ233" s="2" t="s">
        <v>4396</v>
      </c>
      <c r="AR233" s="2" t="s">
        <v>4671</v>
      </c>
      <c r="AT233" s="765"/>
      <c r="AU233" s="765"/>
      <c r="AV233" s="765"/>
      <c r="AW233" s="765"/>
    </row>
    <row r="234" spans="1:49" x14ac:dyDescent="0.25">
      <c r="A234" s="23" t="s">
        <v>4560</v>
      </c>
      <c r="B234" s="108" t="s">
        <v>163</v>
      </c>
      <c r="C234" s="108" t="s">
        <v>145</v>
      </c>
      <c r="D234" s="108" t="s">
        <v>545</v>
      </c>
      <c r="E234" s="108" t="s">
        <v>4561</v>
      </c>
      <c r="F234" s="114" t="s">
        <v>694</v>
      </c>
      <c r="G234" s="213" t="s">
        <v>3248</v>
      </c>
      <c r="H234" s="115" t="s">
        <v>3209</v>
      </c>
      <c r="I234" s="213">
        <v>20603354.379999999</v>
      </c>
      <c r="J234" s="109">
        <v>4.5</v>
      </c>
      <c r="K234" s="109" t="s">
        <v>696</v>
      </c>
      <c r="L234" s="115">
        <v>0.62673581</v>
      </c>
      <c r="M234" s="115">
        <v>19.801428000000001</v>
      </c>
      <c r="N234" s="115">
        <v>20.001442999999998</v>
      </c>
      <c r="O234" s="214">
        <v>0.33750000000000002</v>
      </c>
      <c r="P234" s="115">
        <v>5.2690000000000001</v>
      </c>
      <c r="Q234" s="769">
        <v>-9.4979599096699996</v>
      </c>
      <c r="R234" s="216"/>
      <c r="S234" s="216">
        <v>-9.4979599096699996</v>
      </c>
      <c r="T234" s="216">
        <v>27</v>
      </c>
      <c r="U234" s="216">
        <v>3.6659999999999999</v>
      </c>
      <c r="V234" s="115">
        <v>106.85925632013</v>
      </c>
      <c r="W234" s="109"/>
      <c r="X234" s="109">
        <v>83.937210853600007</v>
      </c>
      <c r="Y234" s="109" t="s">
        <v>664</v>
      </c>
      <c r="Z234" s="109">
        <v>26.9137466444</v>
      </c>
      <c r="AA234" s="109">
        <v>32.239972620400003</v>
      </c>
      <c r="AB234" s="109" t="s">
        <v>251</v>
      </c>
      <c r="AC234" s="109" t="s">
        <v>257</v>
      </c>
      <c r="AD234" s="765" t="s">
        <v>4562</v>
      </c>
      <c r="AE234" s="765" t="s">
        <v>674</v>
      </c>
      <c r="AF234" s="765"/>
      <c r="AG234" s="765"/>
      <c r="AH234" s="109"/>
      <c r="AL234" s="2" t="s">
        <v>679</v>
      </c>
      <c r="AM234" s="2" t="s">
        <v>810</v>
      </c>
      <c r="AN234" s="2" t="s">
        <v>952</v>
      </c>
      <c r="AO234" s="2">
        <v>0.64434181000000001</v>
      </c>
      <c r="AP234" s="2" t="s">
        <v>4673</v>
      </c>
      <c r="AQ234" s="2" t="s">
        <v>4469</v>
      </c>
      <c r="AR234" s="2" t="s">
        <v>4638</v>
      </c>
      <c r="AT234" s="765"/>
      <c r="AU234" s="765"/>
      <c r="AV234" s="765"/>
      <c r="AW234" s="765"/>
    </row>
    <row r="235" spans="1:49" x14ac:dyDescent="0.25">
      <c r="A235" s="23" t="s">
        <v>1777</v>
      </c>
      <c r="B235" s="108" t="s">
        <v>684</v>
      </c>
      <c r="C235" s="108" t="s">
        <v>1729</v>
      </c>
      <c r="D235" s="108" t="s">
        <v>1922</v>
      </c>
      <c r="E235" s="108" t="s">
        <v>1778</v>
      </c>
      <c r="F235" s="114" t="s">
        <v>694</v>
      </c>
      <c r="G235" s="213" t="s">
        <v>1779</v>
      </c>
      <c r="H235" s="115" t="s">
        <v>1780</v>
      </c>
      <c r="I235" s="213">
        <v>42183896.07</v>
      </c>
      <c r="J235" s="109">
        <v>5.00657</v>
      </c>
      <c r="K235" s="109" t="s">
        <v>695</v>
      </c>
      <c r="L235" s="115">
        <v>0.1352047951</v>
      </c>
      <c r="M235" s="115">
        <v>101.244095</v>
      </c>
      <c r="N235" s="115">
        <v>101.27143100000001</v>
      </c>
      <c r="O235" s="214">
        <v>4.1721000000000001E-2</v>
      </c>
      <c r="P235" s="115">
        <v>0.60919999999999996</v>
      </c>
      <c r="Q235" s="769">
        <v>-3.435178933E-2</v>
      </c>
      <c r="R235" s="216"/>
      <c r="S235" s="216">
        <v>-3.435178933E-2</v>
      </c>
      <c r="T235" s="216">
        <v>2</v>
      </c>
      <c r="U235" s="216">
        <v>3.5369999999999999</v>
      </c>
      <c r="V235" s="115">
        <v>186.95794961358001</v>
      </c>
      <c r="W235" s="109">
        <v>455</v>
      </c>
      <c r="X235" s="109">
        <v>382.68179024693001</v>
      </c>
      <c r="Y235" s="109" t="s">
        <v>532</v>
      </c>
      <c r="Z235" s="109">
        <v>25.088671039188672</v>
      </c>
      <c r="AA235" s="109">
        <v>29.61151660300132</v>
      </c>
      <c r="AB235" s="109" t="s">
        <v>240</v>
      </c>
      <c r="AC235" s="109" t="s">
        <v>830</v>
      </c>
      <c r="AD235" s="765" t="s">
        <v>1202</v>
      </c>
      <c r="AE235" s="765" t="s">
        <v>7</v>
      </c>
      <c r="AF235" s="765"/>
      <c r="AG235" s="765" t="s">
        <v>522</v>
      </c>
      <c r="AH235" s="109" t="s">
        <v>7</v>
      </c>
      <c r="AL235" s="2" t="s">
        <v>680</v>
      </c>
      <c r="AM235" s="2" t="s">
        <v>1736</v>
      </c>
      <c r="AN235" s="2" t="s">
        <v>952</v>
      </c>
      <c r="AO235" s="2">
        <v>0.14200771000000001</v>
      </c>
      <c r="AP235" s="2" t="s">
        <v>4637</v>
      </c>
      <c r="AQ235" s="2" t="s">
        <v>4469</v>
      </c>
      <c r="AR235" s="2" t="s">
        <v>4638</v>
      </c>
      <c r="AT235" s="765"/>
      <c r="AU235" s="765"/>
      <c r="AV235" s="765"/>
      <c r="AW235" s="765"/>
    </row>
    <row r="236" spans="1:49" x14ac:dyDescent="0.25">
      <c r="A236" s="23" t="s">
        <v>2628</v>
      </c>
      <c r="B236" s="108" t="s">
        <v>684</v>
      </c>
      <c r="C236" s="108" t="s">
        <v>1729</v>
      </c>
      <c r="D236" s="108" t="s">
        <v>2629</v>
      </c>
      <c r="E236" s="108" t="s">
        <v>2630</v>
      </c>
      <c r="F236" s="114" t="s">
        <v>694</v>
      </c>
      <c r="G236" s="213" t="s">
        <v>2631</v>
      </c>
      <c r="H236" s="115" t="s">
        <v>2632</v>
      </c>
      <c r="I236" s="213">
        <v>92311085.079999998</v>
      </c>
      <c r="J236" s="109">
        <v>3.75657</v>
      </c>
      <c r="K236" s="109" t="s">
        <v>695</v>
      </c>
      <c r="L236" s="115">
        <v>0.26374595740000001</v>
      </c>
      <c r="M236" s="115">
        <v>101.244415</v>
      </c>
      <c r="N236" s="115">
        <v>101.274799</v>
      </c>
      <c r="O236" s="214">
        <v>3.1304999999999999E-2</v>
      </c>
      <c r="P236" s="115">
        <v>0.71079999999999999</v>
      </c>
      <c r="Q236" s="769">
        <v>-0.11276356468</v>
      </c>
      <c r="R236" s="216"/>
      <c r="S236" s="216">
        <v>-0.11276356468</v>
      </c>
      <c r="T236" s="216">
        <v>3</v>
      </c>
      <c r="U236" s="216">
        <v>2.02</v>
      </c>
      <c r="V236" s="115">
        <v>76.246431259049999</v>
      </c>
      <c r="W236" s="109">
        <v>330</v>
      </c>
      <c r="X236" s="109">
        <v>243.71911630724</v>
      </c>
      <c r="Y236" s="109" t="s">
        <v>532</v>
      </c>
      <c r="Z236" s="109">
        <v>14.232178249725211</v>
      </c>
      <c r="AA236" s="109">
        <v>21.990471947369681</v>
      </c>
      <c r="AB236" s="109" t="s">
        <v>236</v>
      </c>
      <c r="AC236" s="109" t="s">
        <v>1565</v>
      </c>
      <c r="AD236" s="765" t="s">
        <v>2611</v>
      </c>
      <c r="AE236" s="765" t="s">
        <v>7</v>
      </c>
      <c r="AF236" s="765"/>
      <c r="AG236" s="765" t="s">
        <v>1062</v>
      </c>
      <c r="AH236" s="109" t="s">
        <v>7</v>
      </c>
      <c r="AL236" s="2" t="s">
        <v>680</v>
      </c>
      <c r="AM236" s="2" t="s">
        <v>1736</v>
      </c>
      <c r="AN236" s="2" t="s">
        <v>952</v>
      </c>
      <c r="AO236" s="2">
        <v>0.28037667300000002</v>
      </c>
      <c r="AP236" s="2" t="s">
        <v>4637</v>
      </c>
      <c r="AQ236" s="2" t="s">
        <v>4469</v>
      </c>
      <c r="AR236" s="2" t="s">
        <v>4638</v>
      </c>
      <c r="AT236" s="765"/>
      <c r="AU236" s="765"/>
      <c r="AV236" s="765"/>
      <c r="AW236" s="765"/>
    </row>
    <row r="237" spans="1:49" x14ac:dyDescent="0.25">
      <c r="A237" s="23" t="s">
        <v>1730</v>
      </c>
      <c r="B237" s="108" t="s">
        <v>684</v>
      </c>
      <c r="C237" s="108" t="s">
        <v>1729</v>
      </c>
      <c r="D237" s="108" t="s">
        <v>1731</v>
      </c>
      <c r="E237" s="108" t="s">
        <v>1732</v>
      </c>
      <c r="F237" s="114" t="s">
        <v>694</v>
      </c>
      <c r="G237" s="213" t="s">
        <v>1733</v>
      </c>
      <c r="H237" s="115" t="s">
        <v>1734</v>
      </c>
      <c r="I237" s="213">
        <v>28652467.399999999</v>
      </c>
      <c r="J237" s="109">
        <v>3.7065700000000001</v>
      </c>
      <c r="K237" s="109" t="s">
        <v>695</v>
      </c>
      <c r="L237" s="115">
        <v>0.30160492</v>
      </c>
      <c r="M237" s="115">
        <v>100.03950500000001</v>
      </c>
      <c r="N237" s="115">
        <v>100.071236</v>
      </c>
      <c r="O237" s="214">
        <v>3.0887999999999999E-2</v>
      </c>
      <c r="P237" s="115">
        <v>0.82410000000000005</v>
      </c>
      <c r="Q237" s="769">
        <v>0.12358551962</v>
      </c>
      <c r="R237" s="216"/>
      <c r="S237" s="216">
        <v>0.12358551962</v>
      </c>
      <c r="T237" s="216">
        <v>3</v>
      </c>
      <c r="U237" s="216">
        <v>3.6760000000000002</v>
      </c>
      <c r="V237" s="115">
        <v>226.67845540937</v>
      </c>
      <c r="W237" s="109">
        <v>325</v>
      </c>
      <c r="X237" s="109">
        <v>331.48024415204998</v>
      </c>
      <c r="Y237" s="109" t="s">
        <v>532</v>
      </c>
      <c r="Z237" s="109">
        <v>16.514713484320339</v>
      </c>
      <c r="AA237" s="109">
        <v>24.319167660279419</v>
      </c>
      <c r="AB237" s="109" t="s">
        <v>255</v>
      </c>
      <c r="AC237" s="109" t="s">
        <v>2327</v>
      </c>
      <c r="AD237" s="765" t="s">
        <v>2379</v>
      </c>
      <c r="AE237" s="765" t="s">
        <v>7</v>
      </c>
      <c r="AF237" s="765"/>
      <c r="AG237" s="765" t="s">
        <v>1062</v>
      </c>
      <c r="AH237" s="109" t="s">
        <v>7</v>
      </c>
      <c r="AL237" s="2" t="s">
        <v>680</v>
      </c>
      <c r="AM237" s="2" t="s">
        <v>1736</v>
      </c>
      <c r="AN237" s="2" t="s">
        <v>952</v>
      </c>
      <c r="AO237" s="2">
        <v>0.32022100599999997</v>
      </c>
      <c r="AP237" s="2" t="s">
        <v>4637</v>
      </c>
      <c r="AQ237" s="2" t="s">
        <v>4469</v>
      </c>
      <c r="AR237" s="2" t="s">
        <v>4638</v>
      </c>
      <c r="AT237" s="765"/>
      <c r="AU237" s="765"/>
      <c r="AV237" s="765"/>
      <c r="AW237" s="765"/>
    </row>
    <row r="238" spans="1:49" x14ac:dyDescent="0.25">
      <c r="A238" s="23" t="s">
        <v>1781</v>
      </c>
      <c r="B238" s="108" t="s">
        <v>684</v>
      </c>
      <c r="C238" s="108" t="s">
        <v>1729</v>
      </c>
      <c r="D238" s="108" t="s">
        <v>1782</v>
      </c>
      <c r="E238" s="108" t="s">
        <v>1783</v>
      </c>
      <c r="F238" s="114" t="s">
        <v>694</v>
      </c>
      <c r="G238" s="213" t="s">
        <v>1784</v>
      </c>
      <c r="H238" s="115" t="s">
        <v>1785</v>
      </c>
      <c r="I238" s="213">
        <v>191764565.38999999</v>
      </c>
      <c r="J238" s="109">
        <v>6.00657</v>
      </c>
      <c r="K238" s="109" t="s">
        <v>695</v>
      </c>
      <c r="L238" s="115">
        <v>0.46935602850000002</v>
      </c>
      <c r="M238" s="115">
        <v>105.773758</v>
      </c>
      <c r="N238" s="115">
        <v>105.82758699999999</v>
      </c>
      <c r="O238" s="214">
        <v>5.0055000000000002E-2</v>
      </c>
      <c r="P238" s="115">
        <v>1.1797</v>
      </c>
      <c r="Q238" s="769">
        <v>-1.24827115176</v>
      </c>
      <c r="R238" s="216"/>
      <c r="S238" s="216">
        <v>-1.24827115176</v>
      </c>
      <c r="T238" s="216">
        <v>3</v>
      </c>
      <c r="U238" s="216">
        <v>1.143</v>
      </c>
      <c r="V238" s="115">
        <v>-62.095594043870001</v>
      </c>
      <c r="W238" s="109">
        <v>555</v>
      </c>
      <c r="X238" s="109">
        <v>311.37544592235997</v>
      </c>
      <c r="Y238" s="109" t="s">
        <v>532</v>
      </c>
      <c r="Z238" s="109">
        <v>18.780992212582682</v>
      </c>
      <c r="AA238" s="109">
        <v>26.484090336586821</v>
      </c>
      <c r="AB238" s="109" t="s">
        <v>1318</v>
      </c>
      <c r="AC238" s="109" t="s">
        <v>249</v>
      </c>
      <c r="AD238" s="765" t="s">
        <v>252</v>
      </c>
      <c r="AE238" s="765" t="s">
        <v>8</v>
      </c>
      <c r="AF238" s="765"/>
      <c r="AG238" s="765" t="s">
        <v>1638</v>
      </c>
      <c r="AH238" s="109" t="s">
        <v>8</v>
      </c>
      <c r="AL238" s="2" t="s">
        <v>680</v>
      </c>
      <c r="AM238" s="2" t="s">
        <v>1736</v>
      </c>
      <c r="AN238" s="2" t="s">
        <v>952</v>
      </c>
      <c r="AO238" s="2">
        <v>0.48865038599999999</v>
      </c>
      <c r="AP238" s="2" t="s">
        <v>4637</v>
      </c>
      <c r="AQ238" s="2" t="s">
        <v>4469</v>
      </c>
      <c r="AR238" s="2" t="s">
        <v>4638</v>
      </c>
      <c r="AT238" s="765"/>
      <c r="AU238" s="765"/>
      <c r="AV238" s="765"/>
      <c r="AW238" s="765"/>
    </row>
    <row r="239" spans="1:49" x14ac:dyDescent="0.25">
      <c r="A239" s="23" t="s">
        <v>3293</v>
      </c>
      <c r="B239" s="108" t="s">
        <v>163</v>
      </c>
      <c r="C239" s="108" t="s">
        <v>145</v>
      </c>
      <c r="D239" s="108" t="s">
        <v>3340</v>
      </c>
      <c r="E239" s="108" t="s">
        <v>3343</v>
      </c>
      <c r="F239" s="114" t="s">
        <v>694</v>
      </c>
      <c r="G239" s="213" t="s">
        <v>3222</v>
      </c>
      <c r="H239" s="115" t="s">
        <v>3344</v>
      </c>
      <c r="I239" s="213">
        <v>16607069.59</v>
      </c>
      <c r="J239" s="109">
        <v>3</v>
      </c>
      <c r="K239" s="109" t="s">
        <v>696</v>
      </c>
      <c r="L239" s="115">
        <v>0.75054533000000001</v>
      </c>
      <c r="M239" s="115">
        <v>12.529237</v>
      </c>
      <c r="N239" s="115">
        <v>12.655794999999999</v>
      </c>
      <c r="O239" s="214">
        <v>0.22500000000000001</v>
      </c>
      <c r="P239" s="115">
        <v>5.5449999999999999</v>
      </c>
      <c r="Q239" s="769">
        <v>-7.1799058889599996</v>
      </c>
      <c r="R239" s="216"/>
      <c r="S239" s="216">
        <v>-7.1799058889599996</v>
      </c>
      <c r="T239" s="216">
        <v>27</v>
      </c>
      <c r="U239" s="216">
        <v>6.6379999999999999</v>
      </c>
      <c r="V239" s="115">
        <v>404.26319743494003</v>
      </c>
      <c r="W239" s="109"/>
      <c r="X239" s="109">
        <v>147.38011675401</v>
      </c>
      <c r="Y239" s="109" t="s">
        <v>2426</v>
      </c>
      <c r="Z239" s="109">
        <v>23.3847456425</v>
      </c>
      <c r="AA239" s="109">
        <v>30.145065792400001</v>
      </c>
      <c r="AB239" s="109" t="s">
        <v>1254</v>
      </c>
      <c r="AC239" s="109" t="s">
        <v>253</v>
      </c>
      <c r="AD239" s="765" t="s">
        <v>1752</v>
      </c>
      <c r="AE239" s="765" t="s">
        <v>674</v>
      </c>
      <c r="AF239" s="765"/>
      <c r="AG239" s="765"/>
      <c r="AH239" s="109"/>
      <c r="AL239" s="2" t="s">
        <v>679</v>
      </c>
      <c r="AM239" s="2" t="s">
        <v>810</v>
      </c>
      <c r="AN239" s="2" t="s">
        <v>952</v>
      </c>
      <c r="AO239" s="2">
        <v>0.77025840000000001</v>
      </c>
      <c r="AP239" s="2" t="s">
        <v>4673</v>
      </c>
      <c r="AQ239" s="2" t="s">
        <v>4469</v>
      </c>
      <c r="AR239" s="2" t="s">
        <v>4638</v>
      </c>
      <c r="AT239" s="765"/>
      <c r="AU239" s="765"/>
      <c r="AV239" s="765"/>
      <c r="AW239" s="765"/>
    </row>
    <row r="240" spans="1:49" x14ac:dyDescent="0.25">
      <c r="A240" s="23" t="s">
        <v>1886</v>
      </c>
      <c r="B240" s="108" t="s">
        <v>144</v>
      </c>
      <c r="C240" s="108" t="s">
        <v>150</v>
      </c>
      <c r="D240" s="108" t="s">
        <v>152</v>
      </c>
      <c r="E240" s="108" t="s">
        <v>1887</v>
      </c>
      <c r="F240" s="114" t="s">
        <v>694</v>
      </c>
      <c r="G240" s="213" t="s">
        <v>1888</v>
      </c>
      <c r="H240" s="115" t="s">
        <v>1889</v>
      </c>
      <c r="I240" s="213">
        <v>301923.86</v>
      </c>
      <c r="J240" s="109">
        <v>1.96</v>
      </c>
      <c r="K240" s="109" t="s">
        <v>695</v>
      </c>
      <c r="L240" s="115">
        <v>5.2237770000000003E-2</v>
      </c>
      <c r="M240" s="115">
        <v>104.372444</v>
      </c>
      <c r="N240" s="115">
        <v>104.45917900000001</v>
      </c>
      <c r="O240" s="214">
        <v>0.14699999999999999</v>
      </c>
      <c r="P240" s="115">
        <v>10.9518</v>
      </c>
      <c r="Q240" s="769">
        <v>0.50437628619999997</v>
      </c>
      <c r="R240" s="216"/>
      <c r="S240" s="216">
        <v>0.50437628619999997</v>
      </c>
      <c r="T240" s="216">
        <v>27</v>
      </c>
      <c r="U240" s="216">
        <v>3.3849999999999998</v>
      </c>
      <c r="V240" s="115">
        <v>86.73203073917</v>
      </c>
      <c r="W240" s="109">
        <v>171</v>
      </c>
      <c r="X240" s="109">
        <v>-13.674486065350001</v>
      </c>
      <c r="Y240" s="109"/>
      <c r="Z240" s="109">
        <v>1.058635290651644E-4</v>
      </c>
      <c r="AA240" s="109">
        <v>3.4186607467123757E-5</v>
      </c>
      <c r="AB240" s="109" t="s">
        <v>1401</v>
      </c>
      <c r="AC240" s="109"/>
      <c r="AD240" s="765"/>
      <c r="AE240" s="765" t="s">
        <v>625</v>
      </c>
      <c r="AF240" s="765"/>
      <c r="AG240" s="765"/>
      <c r="AH240" s="109"/>
      <c r="AL240" s="2" t="s">
        <v>679</v>
      </c>
      <c r="AM240" s="2" t="s">
        <v>705</v>
      </c>
      <c r="AN240" s="2" t="s">
        <v>952</v>
      </c>
      <c r="AO240" s="2">
        <v>5.2413710000000002E-2</v>
      </c>
      <c r="AP240" s="2" t="s">
        <v>4673</v>
      </c>
      <c r="AQ240" s="2" t="s">
        <v>4469</v>
      </c>
      <c r="AR240" s="2" t="s">
        <v>4756</v>
      </c>
      <c r="AT240" s="765"/>
      <c r="AU240" s="765"/>
      <c r="AV240" s="765"/>
      <c r="AW240" s="765"/>
    </row>
    <row r="241" spans="1:49" x14ac:dyDescent="0.25">
      <c r="A241" s="23" t="s">
        <v>508</v>
      </c>
      <c r="B241" s="108" t="s">
        <v>148</v>
      </c>
      <c r="C241" s="108" t="s">
        <v>150</v>
      </c>
      <c r="D241" s="108" t="s">
        <v>153</v>
      </c>
      <c r="E241" s="108" t="s">
        <v>1302</v>
      </c>
      <c r="F241" s="114" t="s">
        <v>694</v>
      </c>
      <c r="G241" s="213" t="s">
        <v>1118</v>
      </c>
      <c r="H241" s="115" t="s">
        <v>1303</v>
      </c>
      <c r="I241" s="213">
        <v>14911432.1</v>
      </c>
      <c r="J241" s="109">
        <v>4</v>
      </c>
      <c r="K241" s="109" t="s">
        <v>696</v>
      </c>
      <c r="L241" s="115">
        <v>0.36776871999999999</v>
      </c>
      <c r="M241" s="115">
        <v>102.97641</v>
      </c>
      <c r="N241" s="115">
        <v>103.023285</v>
      </c>
      <c r="O241" s="214">
        <v>0.3</v>
      </c>
      <c r="P241" s="115">
        <v>6.3070000000000004</v>
      </c>
      <c r="Q241" s="769">
        <v>5.18627320524</v>
      </c>
      <c r="R241" s="216"/>
      <c r="S241" s="216">
        <v>5.18627320524</v>
      </c>
      <c r="T241" s="216">
        <v>27</v>
      </c>
      <c r="U241" s="216">
        <v>3.4140000000000001</v>
      </c>
      <c r="V241" s="115">
        <v>82.486412750100001</v>
      </c>
      <c r="W241" s="109"/>
      <c r="X241" s="109">
        <v>53.978659190720002</v>
      </c>
      <c r="Y241" s="109"/>
      <c r="Z241" s="109">
        <v>0.38844787434058059</v>
      </c>
      <c r="AA241" s="109">
        <v>24.327622313757271</v>
      </c>
      <c r="AB241" s="109" t="s">
        <v>256</v>
      </c>
      <c r="AC241" s="109"/>
      <c r="AD241" s="765"/>
      <c r="AE241" s="765" t="s">
        <v>625</v>
      </c>
      <c r="AF241" s="765"/>
      <c r="AG241" s="765"/>
      <c r="AH241" s="109"/>
      <c r="AL241" s="2" t="s">
        <v>679</v>
      </c>
      <c r="AM241" s="2" t="s">
        <v>706</v>
      </c>
      <c r="AN241" s="2" t="s">
        <v>952</v>
      </c>
      <c r="AO241" s="2">
        <v>0.36862911999999998</v>
      </c>
      <c r="AP241" s="2" t="s">
        <v>4673</v>
      </c>
      <c r="AQ241" s="2" t="s">
        <v>4469</v>
      </c>
      <c r="AR241" s="2" t="s">
        <v>4756</v>
      </c>
      <c r="AT241" s="765"/>
      <c r="AU241" s="765"/>
      <c r="AV241" s="765"/>
      <c r="AW241" s="765"/>
    </row>
    <row r="242" spans="1:49" x14ac:dyDescent="0.25">
      <c r="A242" s="23" t="s">
        <v>155</v>
      </c>
      <c r="B242" s="108" t="s">
        <v>148</v>
      </c>
      <c r="C242" s="108" t="s">
        <v>150</v>
      </c>
      <c r="D242" s="108" t="s">
        <v>153</v>
      </c>
      <c r="E242" s="108" t="s">
        <v>1305</v>
      </c>
      <c r="F242" s="114" t="s">
        <v>694</v>
      </c>
      <c r="G242" s="213" t="s">
        <v>1306</v>
      </c>
      <c r="H242" s="115" t="s">
        <v>1307</v>
      </c>
      <c r="I242" s="213">
        <v>8070119.4699999997</v>
      </c>
      <c r="J242" s="109">
        <v>4</v>
      </c>
      <c r="K242" s="109" t="s">
        <v>696</v>
      </c>
      <c r="L242" s="115">
        <v>0.26817851999999998</v>
      </c>
      <c r="M242" s="115">
        <v>103.707031</v>
      </c>
      <c r="N242" s="115">
        <v>103.753906</v>
      </c>
      <c r="O242" s="214">
        <v>0.3</v>
      </c>
      <c r="P242" s="115">
        <v>6.0168999999999997</v>
      </c>
      <c r="Q242" s="769">
        <v>4.5347866997899997</v>
      </c>
      <c r="R242" s="216"/>
      <c r="S242" s="216">
        <v>4.5347866997899997</v>
      </c>
      <c r="T242" s="216">
        <v>27</v>
      </c>
      <c r="U242" s="216">
        <v>3.2509999999999999</v>
      </c>
      <c r="V242" s="115">
        <v>65.977773809699997</v>
      </c>
      <c r="W242" s="109"/>
      <c r="X242" s="109">
        <v>45.979424786140001</v>
      </c>
      <c r="Y242" s="109"/>
      <c r="Z242" s="109">
        <v>23.20446211581309</v>
      </c>
      <c r="AA242" s="109">
        <v>24.970546465859439</v>
      </c>
      <c r="AB242" s="109" t="s">
        <v>250</v>
      </c>
      <c r="AC242" s="109" t="s">
        <v>4525</v>
      </c>
      <c r="AD242" s="765" t="s">
        <v>247</v>
      </c>
      <c r="AE242" s="765" t="s">
        <v>625</v>
      </c>
      <c r="AF242" s="765"/>
      <c r="AG242" s="765"/>
      <c r="AH242" s="109"/>
      <c r="AL242" s="2" t="s">
        <v>679</v>
      </c>
      <c r="AM242" s="2" t="s">
        <v>706</v>
      </c>
      <c r="AN242" s="2" t="s">
        <v>952</v>
      </c>
      <c r="AO242" s="2">
        <v>0.27479584000000001</v>
      </c>
      <c r="AP242" s="2" t="s">
        <v>4673</v>
      </c>
      <c r="AQ242" s="2" t="s">
        <v>4469</v>
      </c>
      <c r="AR242" s="2" t="s">
        <v>4756</v>
      </c>
      <c r="AT242" s="765"/>
      <c r="AU242" s="765"/>
      <c r="AV242" s="765"/>
      <c r="AW242" s="765"/>
    </row>
    <row r="243" spans="1:49" x14ac:dyDescent="0.25">
      <c r="A243" s="23" t="s">
        <v>989</v>
      </c>
      <c r="B243" s="108" t="s">
        <v>147</v>
      </c>
      <c r="C243" s="108" t="s">
        <v>150</v>
      </c>
      <c r="D243" s="108" t="s">
        <v>151</v>
      </c>
      <c r="E243" s="108" t="s">
        <v>1308</v>
      </c>
      <c r="F243" s="114" t="s">
        <v>694</v>
      </c>
      <c r="G243" s="213" t="s">
        <v>1244</v>
      </c>
      <c r="H243" s="115" t="s">
        <v>1309</v>
      </c>
      <c r="I243" s="213">
        <v>227488.2</v>
      </c>
      <c r="J243" s="109">
        <v>3.5</v>
      </c>
      <c r="K243" s="109" t="s">
        <v>696</v>
      </c>
      <c r="L243" s="115">
        <v>0.18527557</v>
      </c>
      <c r="M243" s="115">
        <v>101.905434</v>
      </c>
      <c r="N243" s="115">
        <v>101.936684</v>
      </c>
      <c r="O243" s="214">
        <v>0.26250000000000001</v>
      </c>
      <c r="P243" s="115">
        <v>2.7044999999999999</v>
      </c>
      <c r="Q243" s="769">
        <v>2.6890786040500001</v>
      </c>
      <c r="R243" s="216"/>
      <c r="S243" s="216">
        <v>2.6890786040500001</v>
      </c>
      <c r="T243" s="216">
        <v>26</v>
      </c>
      <c r="U243" s="216">
        <v>2.68</v>
      </c>
      <c r="V243" s="115">
        <v>15.617060210049999</v>
      </c>
      <c r="W243" s="109"/>
      <c r="X243" s="109">
        <v>17.842430877270001</v>
      </c>
      <c r="Y243" s="109"/>
      <c r="Z243" s="109">
        <v>-3.3752837638778573E-2</v>
      </c>
      <c r="AA243" s="109">
        <v>-3.1945615868766992E-2</v>
      </c>
      <c r="AB243" s="109" t="s">
        <v>3345</v>
      </c>
      <c r="AC243" s="109" t="s">
        <v>3226</v>
      </c>
      <c r="AD243" s="765" t="s">
        <v>2719</v>
      </c>
      <c r="AE243" s="765" t="s">
        <v>625</v>
      </c>
      <c r="AF243" s="765"/>
      <c r="AG243" s="765"/>
      <c r="AH243" s="109"/>
      <c r="AL243" s="2" t="s">
        <v>679</v>
      </c>
      <c r="AM243" s="2" t="s">
        <v>706</v>
      </c>
      <c r="AN243" s="2" t="s">
        <v>952</v>
      </c>
      <c r="AO243" s="2">
        <v>0.18709703</v>
      </c>
      <c r="AP243" s="2" t="s">
        <v>4673</v>
      </c>
      <c r="AQ243" s="2" t="s">
        <v>4469</v>
      </c>
      <c r="AR243" s="2" t="s">
        <v>4756</v>
      </c>
      <c r="AT243" s="765"/>
      <c r="AU243" s="765"/>
      <c r="AV243" s="765"/>
      <c r="AW243" s="765"/>
    </row>
    <row r="244" spans="1:49" x14ac:dyDescent="0.25">
      <c r="A244" s="23" t="s">
        <v>263</v>
      </c>
      <c r="B244" s="108" t="s">
        <v>148</v>
      </c>
      <c r="C244" s="108" t="s">
        <v>150</v>
      </c>
      <c r="D244" s="108" t="s">
        <v>153</v>
      </c>
      <c r="E244" s="108" t="s">
        <v>1310</v>
      </c>
      <c r="F244" s="114" t="s">
        <v>694</v>
      </c>
      <c r="G244" s="213" t="s">
        <v>1311</v>
      </c>
      <c r="H244" s="115" t="s">
        <v>1312</v>
      </c>
      <c r="I244" s="213">
        <v>10038049.199999999</v>
      </c>
      <c r="J244" s="109">
        <v>4.5</v>
      </c>
      <c r="K244" s="109" t="s">
        <v>696</v>
      </c>
      <c r="L244" s="115">
        <v>0.46934900000000002</v>
      </c>
      <c r="M244" s="115">
        <v>104.98680899999999</v>
      </c>
      <c r="N244" s="115">
        <v>105.03368399999999</v>
      </c>
      <c r="O244" s="214">
        <v>0.33750000000000002</v>
      </c>
      <c r="P244" s="115">
        <v>6.0133999999999999</v>
      </c>
      <c r="Q244" s="769">
        <v>4.53243863369</v>
      </c>
      <c r="R244" s="216"/>
      <c r="S244" s="216">
        <v>4.53243863369</v>
      </c>
      <c r="T244" s="216">
        <v>27</v>
      </c>
      <c r="U244" s="216">
        <v>3.484</v>
      </c>
      <c r="V244" s="115">
        <v>89.286522456170005</v>
      </c>
      <c r="W244" s="109"/>
      <c r="X244" s="109">
        <v>58.841754426430001</v>
      </c>
      <c r="Y244" s="109"/>
      <c r="Z244" s="109">
        <v>0.1262636530709349</v>
      </c>
      <c r="AA244" s="109">
        <v>13.81405807156248</v>
      </c>
      <c r="AB244" s="109" t="s">
        <v>256</v>
      </c>
      <c r="AC244" s="109"/>
      <c r="AD244" s="765"/>
      <c r="AE244" s="765" t="s">
        <v>625</v>
      </c>
      <c r="AF244" s="765"/>
      <c r="AG244" s="765"/>
      <c r="AH244" s="109"/>
      <c r="AL244" s="2" t="s">
        <v>679</v>
      </c>
      <c r="AM244" s="2" t="s">
        <v>706</v>
      </c>
      <c r="AN244" s="2" t="s">
        <v>952</v>
      </c>
      <c r="AO244" s="2">
        <v>0.47029714</v>
      </c>
      <c r="AP244" s="2" t="s">
        <v>4673</v>
      </c>
      <c r="AQ244" s="2" t="s">
        <v>4469</v>
      </c>
      <c r="AR244" s="2" t="s">
        <v>4756</v>
      </c>
      <c r="AT244" s="765"/>
      <c r="AU244" s="765"/>
      <c r="AV244" s="765"/>
      <c r="AW244" s="765"/>
    </row>
    <row r="245" spans="1:49" x14ac:dyDescent="0.25">
      <c r="A245" s="23" t="s">
        <v>270</v>
      </c>
      <c r="B245" s="108" t="s">
        <v>148</v>
      </c>
      <c r="C245" s="108" t="s">
        <v>150</v>
      </c>
      <c r="D245" s="108" t="s">
        <v>153</v>
      </c>
      <c r="E245" s="108" t="s">
        <v>1313</v>
      </c>
      <c r="F245" s="114" t="s">
        <v>694</v>
      </c>
      <c r="G245" s="213" t="s">
        <v>1314</v>
      </c>
      <c r="H245" s="115" t="s">
        <v>1315</v>
      </c>
      <c r="I245" s="213">
        <v>29351138.289999999</v>
      </c>
      <c r="J245" s="109">
        <v>4.5</v>
      </c>
      <c r="K245" s="109" t="s">
        <v>696</v>
      </c>
      <c r="L245" s="115">
        <v>0.22019501999999999</v>
      </c>
      <c r="M245" s="115">
        <v>104.27132400000001</v>
      </c>
      <c r="N245" s="115">
        <v>104.31819900000001</v>
      </c>
      <c r="O245" s="214">
        <v>0.33750000000000002</v>
      </c>
      <c r="P245" s="115">
        <v>5.2138</v>
      </c>
      <c r="Q245" s="769">
        <v>4.1953259990599996</v>
      </c>
      <c r="R245" s="216"/>
      <c r="S245" s="216">
        <v>4.1953259990599996</v>
      </c>
      <c r="T245" s="216">
        <v>27</v>
      </c>
      <c r="U245" s="216">
        <v>3.5019999999999998</v>
      </c>
      <c r="V245" s="115">
        <v>90.505390079029993</v>
      </c>
      <c r="W245" s="109"/>
      <c r="X245" s="109">
        <v>64.403693651029997</v>
      </c>
      <c r="Y245" s="109"/>
      <c r="Z245" s="109">
        <v>33.97422321709157</v>
      </c>
      <c r="AA245" s="109">
        <v>38.014335767323153</v>
      </c>
      <c r="AB245" s="109" t="s">
        <v>239</v>
      </c>
      <c r="AC245" s="109" t="s">
        <v>257</v>
      </c>
      <c r="AD245" s="765" t="s">
        <v>253</v>
      </c>
      <c r="AE245" s="765" t="s">
        <v>625</v>
      </c>
      <c r="AF245" s="765"/>
      <c r="AG245" s="765"/>
      <c r="AH245" s="109"/>
      <c r="AL245" s="2" t="s">
        <v>679</v>
      </c>
      <c r="AM245" s="2" t="s">
        <v>706</v>
      </c>
      <c r="AN245" s="2" t="s">
        <v>952</v>
      </c>
      <c r="AO245" s="2">
        <v>0.22834763</v>
      </c>
      <c r="AP245" s="2" t="s">
        <v>4673</v>
      </c>
      <c r="AQ245" s="2" t="s">
        <v>4469</v>
      </c>
      <c r="AR245" s="2" t="s">
        <v>4756</v>
      </c>
      <c r="AT245" s="765"/>
      <c r="AU245" s="765"/>
      <c r="AV245" s="765"/>
      <c r="AW245" s="765"/>
    </row>
    <row r="246" spans="1:49" x14ac:dyDescent="0.25">
      <c r="A246" s="23" t="s">
        <v>269</v>
      </c>
      <c r="B246" s="108" t="s">
        <v>148</v>
      </c>
      <c r="C246" s="108" t="s">
        <v>150</v>
      </c>
      <c r="D246" s="108" t="s">
        <v>153</v>
      </c>
      <c r="E246" s="108" t="s">
        <v>1316</v>
      </c>
      <c r="F246" s="114" t="s">
        <v>694</v>
      </c>
      <c r="G246" s="213" t="s">
        <v>1248</v>
      </c>
      <c r="H246" s="115" t="s">
        <v>1317</v>
      </c>
      <c r="I246" s="213">
        <v>83550604.609999999</v>
      </c>
      <c r="J246" s="109">
        <v>3.5</v>
      </c>
      <c r="K246" s="109" t="s">
        <v>696</v>
      </c>
      <c r="L246" s="115">
        <v>0.16713954</v>
      </c>
      <c r="M246" s="115">
        <v>99.728333000000006</v>
      </c>
      <c r="N246" s="115">
        <v>99.759583000000006</v>
      </c>
      <c r="O246" s="214">
        <v>0.26250000000000001</v>
      </c>
      <c r="P246" s="115">
        <v>6.9339000000000004</v>
      </c>
      <c r="Q246" s="769">
        <v>4.6229074099199998</v>
      </c>
      <c r="R246" s="216"/>
      <c r="S246" s="216">
        <v>4.6229074099199998</v>
      </c>
      <c r="T246" s="216">
        <v>26</v>
      </c>
      <c r="U246" s="216">
        <v>3.532</v>
      </c>
      <c r="V246" s="115">
        <v>94.846499775620003</v>
      </c>
      <c r="W246" s="109"/>
      <c r="X246" s="109">
        <v>47.556396027780004</v>
      </c>
      <c r="Y246" s="109"/>
      <c r="Z246" s="109">
        <v>27.819729878149101</v>
      </c>
      <c r="AA246" s="109">
        <v>36.938505248954293</v>
      </c>
      <c r="AB246" s="109" t="s">
        <v>236</v>
      </c>
      <c r="AC246" s="109" t="s">
        <v>246</v>
      </c>
      <c r="AD246" s="765" t="s">
        <v>1202</v>
      </c>
      <c r="AE246" s="765" t="s">
        <v>625</v>
      </c>
      <c r="AF246" s="765"/>
      <c r="AG246" s="765"/>
      <c r="AH246" s="109"/>
      <c r="AL246" s="2" t="s">
        <v>679</v>
      </c>
      <c r="AM246" s="2" t="s">
        <v>706</v>
      </c>
      <c r="AN246" s="2" t="s">
        <v>952</v>
      </c>
      <c r="AO246" s="2">
        <v>0.17208870000000001</v>
      </c>
      <c r="AP246" s="2" t="s">
        <v>4673</v>
      </c>
      <c r="AQ246" s="2" t="s">
        <v>4469</v>
      </c>
      <c r="AR246" s="2" t="s">
        <v>4756</v>
      </c>
      <c r="AT246" s="765"/>
      <c r="AU246" s="765"/>
      <c r="AV246" s="765"/>
      <c r="AW246" s="765"/>
    </row>
    <row r="247" spans="1:49" x14ac:dyDescent="0.25">
      <c r="A247" s="23" t="s">
        <v>689</v>
      </c>
      <c r="B247" s="108" t="s">
        <v>148</v>
      </c>
      <c r="C247" s="108" t="s">
        <v>150</v>
      </c>
      <c r="D247" s="108" t="s">
        <v>153</v>
      </c>
      <c r="E247" s="108" t="s">
        <v>1319</v>
      </c>
      <c r="F247" s="114" t="s">
        <v>694</v>
      </c>
      <c r="G247" s="213" t="s">
        <v>1314</v>
      </c>
      <c r="H247" s="115" t="s">
        <v>1315</v>
      </c>
      <c r="I247" s="213">
        <v>11987717.24</v>
      </c>
      <c r="J247" s="109">
        <v>4.5</v>
      </c>
      <c r="K247" s="109" t="s">
        <v>696</v>
      </c>
      <c r="L247" s="115">
        <v>0.41884821</v>
      </c>
      <c r="M247" s="115">
        <v>104.752342</v>
      </c>
      <c r="N247" s="115">
        <v>104.799217</v>
      </c>
      <c r="O247" s="214">
        <v>0.33750000000000002</v>
      </c>
      <c r="P247" s="115">
        <v>5.2552000000000003</v>
      </c>
      <c r="Q247" s="769">
        <v>4.8898836335800002</v>
      </c>
      <c r="R247" s="216"/>
      <c r="S247" s="216">
        <v>4.8898836335800002</v>
      </c>
      <c r="T247" s="216">
        <v>27</v>
      </c>
      <c r="U247" s="216">
        <v>3.4049999999999998</v>
      </c>
      <c r="V247" s="115">
        <v>80.811768808799997</v>
      </c>
      <c r="W247" s="109"/>
      <c r="X247" s="109">
        <v>65.202345737209995</v>
      </c>
      <c r="Y247" s="109"/>
      <c r="Z247" s="109">
        <v>63.468317848784167</v>
      </c>
      <c r="AA247" s="109">
        <v>21.094939980150851</v>
      </c>
      <c r="AB247" s="109" t="s">
        <v>256</v>
      </c>
      <c r="AC247" s="109"/>
      <c r="AD247" s="765"/>
      <c r="AE247" s="765" t="s">
        <v>625</v>
      </c>
      <c r="AF247" s="765"/>
      <c r="AG247" s="765"/>
      <c r="AH247" s="109"/>
      <c r="AL247" s="2" t="s">
        <v>679</v>
      </c>
      <c r="AM247" s="2" t="s">
        <v>706</v>
      </c>
      <c r="AN247" s="2" t="s">
        <v>952</v>
      </c>
      <c r="AO247" s="2">
        <v>0.45627986999999998</v>
      </c>
      <c r="AP247" s="2" t="s">
        <v>4673</v>
      </c>
      <c r="AQ247" s="2" t="s">
        <v>4469</v>
      </c>
      <c r="AR247" s="2" t="s">
        <v>4756</v>
      </c>
      <c r="AT247" s="765"/>
      <c r="AU247" s="765"/>
      <c r="AV247" s="765"/>
      <c r="AW247" s="765"/>
    </row>
    <row r="248" spans="1:49" x14ac:dyDescent="0.25">
      <c r="A248" s="23" t="s">
        <v>1320</v>
      </c>
      <c r="B248" s="108" t="s">
        <v>147</v>
      </c>
      <c r="C248" s="108" t="s">
        <v>150</v>
      </c>
      <c r="D248" s="108" t="s">
        <v>151</v>
      </c>
      <c r="E248" s="108" t="s">
        <v>1321</v>
      </c>
      <c r="F248" s="114" t="s">
        <v>694</v>
      </c>
      <c r="G248" s="213" t="s">
        <v>1322</v>
      </c>
      <c r="H248" s="115" t="s">
        <v>1151</v>
      </c>
      <c r="I248" s="213">
        <v>27947112.850000001</v>
      </c>
      <c r="J248" s="109">
        <v>3</v>
      </c>
      <c r="K248" s="109" t="s">
        <v>696</v>
      </c>
      <c r="L248" s="115">
        <v>0.10948012</v>
      </c>
      <c r="M248" s="115">
        <v>100.216515</v>
      </c>
      <c r="N248" s="115">
        <v>100.237041</v>
      </c>
      <c r="O248" s="214">
        <v>0.22500000000000001</v>
      </c>
      <c r="P248" s="115">
        <v>1.6338999999999999</v>
      </c>
      <c r="Q248" s="769">
        <v>1.5242289203599999</v>
      </c>
      <c r="R248" s="216"/>
      <c r="S248" s="216">
        <v>1.5242289203599999</v>
      </c>
      <c r="T248" s="216">
        <v>26</v>
      </c>
      <c r="U248" s="216">
        <v>2.7519999999999998</v>
      </c>
      <c r="V248" s="115">
        <v>62.35507869848</v>
      </c>
      <c r="W248" s="109"/>
      <c r="X248" s="109">
        <v>39.653955525560001</v>
      </c>
      <c r="Y248" s="109"/>
      <c r="Z248" s="109">
        <v>17.222664688548122</v>
      </c>
      <c r="AA248" s="109">
        <v>19.554225615403571</v>
      </c>
      <c r="AB248" s="109" t="s">
        <v>3479</v>
      </c>
      <c r="AC248" s="109" t="s">
        <v>1323</v>
      </c>
      <c r="AD248" s="765" t="s">
        <v>2203</v>
      </c>
      <c r="AE248" s="765" t="s">
        <v>625</v>
      </c>
      <c r="AF248" s="765"/>
      <c r="AG248" s="765"/>
      <c r="AH248" s="109"/>
      <c r="AL248" s="2" t="s">
        <v>679</v>
      </c>
      <c r="AM248" s="2" t="s">
        <v>706</v>
      </c>
      <c r="AN248" s="2" t="s">
        <v>952</v>
      </c>
      <c r="AO248" s="2">
        <v>0.11357689</v>
      </c>
      <c r="AP248" s="2" t="s">
        <v>4673</v>
      </c>
      <c r="AQ248" s="2" t="s">
        <v>4469</v>
      </c>
      <c r="AR248" s="2" t="s">
        <v>4756</v>
      </c>
      <c r="AT248" s="765"/>
      <c r="AU248" s="765"/>
      <c r="AV248" s="765"/>
      <c r="AW248" s="765"/>
    </row>
    <row r="249" spans="1:49" x14ac:dyDescent="0.25">
      <c r="A249" s="23" t="s">
        <v>1786</v>
      </c>
      <c r="B249" s="108" t="s">
        <v>148</v>
      </c>
      <c r="C249" s="108" t="s">
        <v>150</v>
      </c>
      <c r="D249" s="108" t="s">
        <v>153</v>
      </c>
      <c r="E249" s="108" t="s">
        <v>1787</v>
      </c>
      <c r="F249" s="114" t="s">
        <v>694</v>
      </c>
      <c r="G249" s="213" t="s">
        <v>1788</v>
      </c>
      <c r="H249" s="115" t="s">
        <v>1789</v>
      </c>
      <c r="I249" s="213">
        <v>2120261.3199999998</v>
      </c>
      <c r="J249" s="109">
        <v>4</v>
      </c>
      <c r="K249" s="109" t="s">
        <v>696</v>
      </c>
      <c r="L249" s="115">
        <v>0.17655807000000001</v>
      </c>
      <c r="M249" s="115">
        <v>103.248009</v>
      </c>
      <c r="N249" s="115">
        <v>103.294884</v>
      </c>
      <c r="O249" s="214">
        <v>0.3</v>
      </c>
      <c r="P249" s="115">
        <v>5.8330000000000002</v>
      </c>
      <c r="Q249" s="769">
        <v>4.23922372012</v>
      </c>
      <c r="R249" s="216"/>
      <c r="S249" s="216">
        <v>4.23922372012</v>
      </c>
      <c r="T249" s="216">
        <v>27</v>
      </c>
      <c r="U249" s="216">
        <v>3.3220000000000001</v>
      </c>
      <c r="V249" s="115">
        <v>72.905765184269995</v>
      </c>
      <c r="W249" s="109"/>
      <c r="X249" s="109">
        <v>50.944073189100003</v>
      </c>
      <c r="Y249" s="109"/>
      <c r="Z249" s="109">
        <v>39.300838920308387</v>
      </c>
      <c r="AA249" s="109">
        <v>20.375325813957271</v>
      </c>
      <c r="AB249" s="109" t="s">
        <v>3476</v>
      </c>
      <c r="AC249" s="109" t="s">
        <v>4696</v>
      </c>
      <c r="AD249" s="765" t="s">
        <v>830</v>
      </c>
      <c r="AE249" s="765" t="s">
        <v>625</v>
      </c>
      <c r="AF249" s="765"/>
      <c r="AG249" s="765"/>
      <c r="AH249" s="109"/>
      <c r="AL249" s="2" t="s">
        <v>679</v>
      </c>
      <c r="AM249" s="2" t="s">
        <v>706</v>
      </c>
      <c r="AN249" s="2" t="s">
        <v>952</v>
      </c>
      <c r="AO249" s="2">
        <v>0.18452386000000001</v>
      </c>
      <c r="AP249" s="2" t="s">
        <v>4673</v>
      </c>
      <c r="AQ249" s="2" t="s">
        <v>4469</v>
      </c>
      <c r="AR249" s="2" t="s">
        <v>4756</v>
      </c>
      <c r="AT249" s="765"/>
      <c r="AU249" s="765"/>
      <c r="AV249" s="765"/>
      <c r="AW249" s="765"/>
    </row>
    <row r="250" spans="1:49" x14ac:dyDescent="0.25">
      <c r="A250" s="23" t="s">
        <v>801</v>
      </c>
      <c r="B250" s="108" t="s">
        <v>148</v>
      </c>
      <c r="C250" s="108" t="s">
        <v>150</v>
      </c>
      <c r="D250" s="108" t="s">
        <v>153</v>
      </c>
      <c r="E250" s="108" t="s">
        <v>1324</v>
      </c>
      <c r="F250" s="114" t="s">
        <v>694</v>
      </c>
      <c r="G250" s="213" t="s">
        <v>1325</v>
      </c>
      <c r="H250" s="115" t="s">
        <v>1326</v>
      </c>
      <c r="I250" s="213">
        <v>950555.99</v>
      </c>
      <c r="J250" s="109">
        <v>4.5</v>
      </c>
      <c r="K250" s="109" t="s">
        <v>696</v>
      </c>
      <c r="L250" s="115">
        <v>0.14727849000000001</v>
      </c>
      <c r="M250" s="115">
        <v>106.034462</v>
      </c>
      <c r="N250" s="115">
        <v>106.081337</v>
      </c>
      <c r="O250" s="214">
        <v>0.33750000000000002</v>
      </c>
      <c r="P250" s="115">
        <v>5.6482999999999999</v>
      </c>
      <c r="Q250" s="769">
        <v>4.3093011744099998</v>
      </c>
      <c r="R250" s="216"/>
      <c r="S250" s="216">
        <v>4.3093011744099998</v>
      </c>
      <c r="T250" s="216">
        <v>27</v>
      </c>
      <c r="U250" s="216">
        <v>3.2250000000000001</v>
      </c>
      <c r="V250" s="115">
        <v>63.078161962679999</v>
      </c>
      <c r="W250" s="109"/>
      <c r="X250" s="109">
        <v>44.375501612550003</v>
      </c>
      <c r="Y250" s="109"/>
      <c r="Z250" s="109">
        <v>62.822992062043383</v>
      </c>
      <c r="AA250" s="109">
        <v>16.32192184989735</v>
      </c>
      <c r="AB250" s="109" t="s">
        <v>1726</v>
      </c>
      <c r="AC250" s="109" t="s">
        <v>2609</v>
      </c>
      <c r="AD250" s="765" t="s">
        <v>248</v>
      </c>
      <c r="AE250" s="765" t="s">
        <v>625</v>
      </c>
      <c r="AF250" s="765"/>
      <c r="AG250" s="765"/>
      <c r="AH250" s="109"/>
      <c r="AL250" s="2" t="s">
        <v>679</v>
      </c>
      <c r="AM250" s="2" t="s">
        <v>706</v>
      </c>
      <c r="AN250" s="2" t="s">
        <v>952</v>
      </c>
      <c r="AO250" s="2">
        <v>0.16030891</v>
      </c>
      <c r="AP250" s="2" t="s">
        <v>4673</v>
      </c>
      <c r="AQ250" s="2" t="s">
        <v>4469</v>
      </c>
      <c r="AR250" s="2" t="s">
        <v>4756</v>
      </c>
      <c r="AT250" s="765"/>
      <c r="AU250" s="765"/>
      <c r="AV250" s="765"/>
      <c r="AW250" s="765"/>
    </row>
    <row r="251" spans="1:49" x14ac:dyDescent="0.25">
      <c r="A251" s="23" t="s">
        <v>156</v>
      </c>
      <c r="B251" s="108" t="s">
        <v>148</v>
      </c>
      <c r="C251" s="108" t="s">
        <v>150</v>
      </c>
      <c r="D251" s="108" t="s">
        <v>153</v>
      </c>
      <c r="E251" s="108" t="s">
        <v>1327</v>
      </c>
      <c r="F251" s="114" t="s">
        <v>694</v>
      </c>
      <c r="G251" s="213" t="s">
        <v>1306</v>
      </c>
      <c r="H251" s="115" t="s">
        <v>1328</v>
      </c>
      <c r="I251" s="213">
        <v>162515.42000000001</v>
      </c>
      <c r="J251" s="109">
        <v>4</v>
      </c>
      <c r="K251" s="109" t="s">
        <v>696</v>
      </c>
      <c r="L251" s="115">
        <v>0.13909025999999999</v>
      </c>
      <c r="M251" s="115">
        <v>103.480812</v>
      </c>
      <c r="N251" s="115">
        <v>103.527687</v>
      </c>
      <c r="O251" s="214">
        <v>0.3</v>
      </c>
      <c r="P251" s="115">
        <v>5.5670999999999999</v>
      </c>
      <c r="Q251" s="769">
        <v>3.8019444896899999</v>
      </c>
      <c r="R251" s="216"/>
      <c r="S251" s="216">
        <v>3.8019444896899999</v>
      </c>
      <c r="T251" s="216">
        <v>27</v>
      </c>
      <c r="U251" s="216">
        <v>3.2469999999999999</v>
      </c>
      <c r="V251" s="115">
        <v>65.253573316930002</v>
      </c>
      <c r="W251" s="109"/>
      <c r="X251" s="109">
        <v>38.877987030950003</v>
      </c>
      <c r="Y251" s="109"/>
      <c r="Z251" s="109">
        <v>13.94631313008048</v>
      </c>
      <c r="AA251" s="109">
        <v>13.81678986969281</v>
      </c>
      <c r="AB251" s="109" t="s">
        <v>2253</v>
      </c>
      <c r="AC251" s="109"/>
      <c r="AD251" s="765"/>
      <c r="AE251" s="765" t="s">
        <v>625</v>
      </c>
      <c r="AF251" s="765"/>
      <c r="AG251" s="765"/>
      <c r="AH251" s="109"/>
      <c r="AL251" s="2" t="s">
        <v>679</v>
      </c>
      <c r="AM251" s="2" t="s">
        <v>706</v>
      </c>
      <c r="AN251" s="2" t="s">
        <v>952</v>
      </c>
      <c r="AO251" s="2">
        <v>0.14124956999999999</v>
      </c>
      <c r="AP251" s="2" t="s">
        <v>4673</v>
      </c>
      <c r="AQ251" s="2" t="s">
        <v>4469</v>
      </c>
      <c r="AR251" s="2" t="s">
        <v>4756</v>
      </c>
      <c r="AT251" s="765"/>
      <c r="AU251" s="765"/>
      <c r="AV251" s="765"/>
      <c r="AW251" s="765"/>
    </row>
    <row r="252" spans="1:49" x14ac:dyDescent="0.25">
      <c r="A252" s="23" t="s">
        <v>157</v>
      </c>
      <c r="B252" s="108" t="s">
        <v>148</v>
      </c>
      <c r="C252" s="108" t="s">
        <v>150</v>
      </c>
      <c r="D252" s="108" t="s">
        <v>153</v>
      </c>
      <c r="E252" s="108" t="s">
        <v>1329</v>
      </c>
      <c r="F252" s="114" t="s">
        <v>694</v>
      </c>
      <c r="G252" s="213" t="s">
        <v>1306</v>
      </c>
      <c r="H252" s="115" t="s">
        <v>1330</v>
      </c>
      <c r="I252" s="213">
        <v>159808.37</v>
      </c>
      <c r="J252" s="109">
        <v>4</v>
      </c>
      <c r="K252" s="109" t="s">
        <v>696</v>
      </c>
      <c r="L252" s="115">
        <v>0.11573314</v>
      </c>
      <c r="M252" s="115">
        <v>102.487144</v>
      </c>
      <c r="N252" s="115">
        <v>102.534019</v>
      </c>
      <c r="O252" s="214">
        <v>0.3</v>
      </c>
      <c r="P252" s="115">
        <v>5</v>
      </c>
      <c r="Q252" s="769">
        <v>3.6511196827200001</v>
      </c>
      <c r="R252" s="216"/>
      <c r="S252" s="216">
        <v>3.6511196827200001</v>
      </c>
      <c r="T252" s="216">
        <v>27</v>
      </c>
      <c r="U252" s="216">
        <v>3.3969999999999998</v>
      </c>
      <c r="V252" s="115">
        <v>79.800822536599995</v>
      </c>
      <c r="W252" s="109"/>
      <c r="X252" s="109">
        <v>64.076852680619993</v>
      </c>
      <c r="Y252" s="109"/>
      <c r="Z252" s="109">
        <v>18.30581928310621</v>
      </c>
      <c r="AA252" s="109">
        <v>84.12531619605295</v>
      </c>
      <c r="AB252" s="109" t="s">
        <v>4526</v>
      </c>
      <c r="AC252" s="109" t="s">
        <v>4527</v>
      </c>
      <c r="AD252" s="765"/>
      <c r="AE252" s="765" t="s">
        <v>625</v>
      </c>
      <c r="AF252" s="765"/>
      <c r="AG252" s="765"/>
      <c r="AH252" s="109"/>
      <c r="AL252" s="2" t="s">
        <v>679</v>
      </c>
      <c r="AM252" s="2" t="s">
        <v>706</v>
      </c>
      <c r="AN252" s="2" t="s">
        <v>952</v>
      </c>
      <c r="AO252" s="2">
        <v>0.11814458999999999</v>
      </c>
      <c r="AP252" s="2" t="s">
        <v>4673</v>
      </c>
      <c r="AQ252" s="2" t="s">
        <v>4469</v>
      </c>
      <c r="AR252" s="2" t="s">
        <v>4756</v>
      </c>
      <c r="AT252" s="765"/>
      <c r="AU252" s="765"/>
      <c r="AV252" s="765"/>
      <c r="AW252" s="765"/>
    </row>
    <row r="253" spans="1:49" x14ac:dyDescent="0.25">
      <c r="A253" s="23" t="s">
        <v>673</v>
      </c>
      <c r="B253" s="108" t="s">
        <v>163</v>
      </c>
      <c r="C253" s="108" t="s">
        <v>1692</v>
      </c>
      <c r="D253" s="108" t="s">
        <v>1010</v>
      </c>
      <c r="E253" s="108" t="s">
        <v>700</v>
      </c>
      <c r="F253" s="114" t="s">
        <v>694</v>
      </c>
      <c r="G253" s="213" t="s">
        <v>1130</v>
      </c>
      <c r="H253" s="115" t="s">
        <v>1126</v>
      </c>
      <c r="I253" s="213">
        <v>17954570.600000001</v>
      </c>
      <c r="J253" s="109">
        <v>4</v>
      </c>
      <c r="K253" s="109" t="s">
        <v>696</v>
      </c>
      <c r="L253" s="115">
        <v>0.26199782999999999</v>
      </c>
      <c r="M253" s="115">
        <v>16.382581999999999</v>
      </c>
      <c r="N253" s="115">
        <v>16.548062000000002</v>
      </c>
      <c r="O253" s="214">
        <v>0.3</v>
      </c>
      <c r="P253" s="115">
        <v>1.8963000000000001</v>
      </c>
      <c r="Q253" s="769">
        <v>-11.54343221229</v>
      </c>
      <c r="R253" s="216"/>
      <c r="S253" s="216">
        <v>-11.54343221229</v>
      </c>
      <c r="T253" s="216">
        <v>27</v>
      </c>
      <c r="U253" s="216">
        <v>-27.376999999999999</v>
      </c>
      <c r="V253" s="115">
        <v>-2969.5774146138901</v>
      </c>
      <c r="W253" s="109"/>
      <c r="X253" s="109">
        <v>206.9486140246</v>
      </c>
      <c r="Y253" s="109" t="s">
        <v>778</v>
      </c>
      <c r="Z253" s="109">
        <v>47.756786533923922</v>
      </c>
      <c r="AA253" s="109">
        <v>38.418431950893712</v>
      </c>
      <c r="AB253" s="109" t="s">
        <v>2238</v>
      </c>
      <c r="AC253" s="109" t="s">
        <v>242</v>
      </c>
      <c r="AD253" s="765" t="s">
        <v>246</v>
      </c>
      <c r="AE253" s="765" t="s">
        <v>674</v>
      </c>
      <c r="AF253" s="765"/>
      <c r="AG253" s="765"/>
      <c r="AH253" s="109"/>
      <c r="AL253" s="2" t="s">
        <v>679</v>
      </c>
      <c r="AM253" s="2" t="s">
        <v>810</v>
      </c>
      <c r="AN253" s="2" t="s">
        <v>952</v>
      </c>
      <c r="AO253" s="2">
        <v>0.27532326000000001</v>
      </c>
      <c r="AP253" s="2" t="s">
        <v>4673</v>
      </c>
      <c r="AQ253" s="2" t="s">
        <v>4469</v>
      </c>
      <c r="AR253" s="2" t="s">
        <v>4638</v>
      </c>
      <c r="AT253" s="765"/>
      <c r="AU253" s="765"/>
      <c r="AV253" s="765"/>
      <c r="AW253" s="765"/>
    </row>
    <row r="254" spans="1:49" x14ac:dyDescent="0.25">
      <c r="A254" s="23" t="s">
        <v>3163</v>
      </c>
      <c r="B254" s="108" t="s">
        <v>163</v>
      </c>
      <c r="C254" s="108" t="s">
        <v>1692</v>
      </c>
      <c r="D254" s="108" t="s">
        <v>3219</v>
      </c>
      <c r="E254" s="108" t="s">
        <v>3220</v>
      </c>
      <c r="F254" s="114" t="s">
        <v>694</v>
      </c>
      <c r="G254" s="213" t="s">
        <v>1248</v>
      </c>
      <c r="H254" s="115" t="s">
        <v>3221</v>
      </c>
      <c r="I254" s="213">
        <v>6885716.7300000004</v>
      </c>
      <c r="J254" s="109">
        <v>3.5</v>
      </c>
      <c r="K254" s="109" t="s">
        <v>696</v>
      </c>
      <c r="L254" s="115">
        <v>0.39129966999999999</v>
      </c>
      <c r="M254" s="115">
        <v>16.089041000000002</v>
      </c>
      <c r="N254" s="115">
        <v>16.251556000000001</v>
      </c>
      <c r="O254" s="214">
        <v>0.26250000000000001</v>
      </c>
      <c r="P254" s="115">
        <v>3.8633999999999999</v>
      </c>
      <c r="Q254" s="769">
        <v>-4.8819512344299998</v>
      </c>
      <c r="R254" s="216"/>
      <c r="S254" s="216">
        <v>-4.8819512344299998</v>
      </c>
      <c r="T254" s="216">
        <v>26</v>
      </c>
      <c r="U254" s="216">
        <v>-4.72</v>
      </c>
      <c r="V254" s="115">
        <v>-731.15445885112001</v>
      </c>
      <c r="W254" s="109"/>
      <c r="X254" s="109">
        <v>218.73059537520001</v>
      </c>
      <c r="Y254" s="109" t="s">
        <v>778</v>
      </c>
      <c r="Z254" s="109">
        <v>16.98515893468452</v>
      </c>
      <c r="AA254" s="109">
        <v>20.379087214538579</v>
      </c>
      <c r="AB254" s="109" t="s">
        <v>1348</v>
      </c>
      <c r="AC254" s="109" t="s">
        <v>1798</v>
      </c>
      <c r="AD254" s="765" t="s">
        <v>2713</v>
      </c>
      <c r="AE254" s="765" t="s">
        <v>674</v>
      </c>
      <c r="AF254" s="765"/>
      <c r="AG254" s="765"/>
      <c r="AH254" s="109"/>
      <c r="AL254" s="2" t="s">
        <v>679</v>
      </c>
      <c r="AM254" s="2" t="s">
        <v>810</v>
      </c>
      <c r="AN254" s="2" t="s">
        <v>952</v>
      </c>
      <c r="AO254" s="2">
        <v>0.39808613999999998</v>
      </c>
      <c r="AP254" s="2" t="s">
        <v>4673</v>
      </c>
      <c r="AQ254" s="2" t="s">
        <v>4469</v>
      </c>
      <c r="AR254" s="2" t="s">
        <v>4638</v>
      </c>
      <c r="AT254" s="765"/>
      <c r="AU254" s="765"/>
      <c r="AV254" s="765"/>
      <c r="AW254" s="765"/>
    </row>
    <row r="255" spans="1:49" x14ac:dyDescent="0.25">
      <c r="A255" s="23" t="s">
        <v>816</v>
      </c>
      <c r="B255" s="108" t="s">
        <v>144</v>
      </c>
      <c r="C255" s="108" t="s">
        <v>150</v>
      </c>
      <c r="D255" s="108" t="s">
        <v>152</v>
      </c>
      <c r="E255" s="108" t="s">
        <v>817</v>
      </c>
      <c r="F255" s="114" t="s">
        <v>694</v>
      </c>
      <c r="G255" s="213" t="s">
        <v>1131</v>
      </c>
      <c r="H255" s="115" t="s">
        <v>1132</v>
      </c>
      <c r="I255" s="213">
        <v>388390.54</v>
      </c>
      <c r="J255" s="109">
        <v>2.069</v>
      </c>
      <c r="K255" s="109" t="s">
        <v>695</v>
      </c>
      <c r="L255" s="115">
        <v>3.322845E-2</v>
      </c>
      <c r="M255" s="115">
        <v>103.721481</v>
      </c>
      <c r="N255" s="115">
        <v>103.795689</v>
      </c>
      <c r="O255" s="214">
        <v>0.15517500000000001</v>
      </c>
      <c r="P255" s="115">
        <v>7.343</v>
      </c>
      <c r="Q255" s="769">
        <v>1.0022544795099999</v>
      </c>
      <c r="R255" s="216"/>
      <c r="S255" s="216">
        <v>1.0022544795099999</v>
      </c>
      <c r="T255" s="216">
        <v>26</v>
      </c>
      <c r="U255" s="216">
        <v>3.3279999999999998</v>
      </c>
      <c r="V255" s="115">
        <v>75.675308433449999</v>
      </c>
      <c r="W255" s="109">
        <v>181.9</v>
      </c>
      <c r="X255" s="109">
        <v>50.99567165162</v>
      </c>
      <c r="Y255" s="109"/>
      <c r="Z255" s="109">
        <v>-2.7877191776326531E-3</v>
      </c>
      <c r="AA255" s="109">
        <v>-2.9077511598973871E-3</v>
      </c>
      <c r="AB255" s="109" t="s">
        <v>2242</v>
      </c>
      <c r="AC255" s="109" t="s">
        <v>2243</v>
      </c>
      <c r="AD255" s="765"/>
      <c r="AE255" s="765" t="s">
        <v>625</v>
      </c>
      <c r="AF255" s="765"/>
      <c r="AG255" s="765"/>
      <c r="AH255" s="109"/>
      <c r="AL255" s="2" t="s">
        <v>679</v>
      </c>
      <c r="AM255" s="2" t="s">
        <v>705</v>
      </c>
      <c r="AN255" s="2" t="s">
        <v>952</v>
      </c>
      <c r="AO255" s="2">
        <v>3.3401930000000003E-2</v>
      </c>
      <c r="AP255" s="2" t="s">
        <v>4673</v>
      </c>
      <c r="AQ255" s="2" t="s">
        <v>4469</v>
      </c>
      <c r="AR255" s="2" t="s">
        <v>4756</v>
      </c>
      <c r="AT255" s="765"/>
      <c r="AU255" s="765"/>
      <c r="AV255" s="765"/>
      <c r="AW255" s="765"/>
    </row>
    <row r="256" spans="1:49" x14ac:dyDescent="0.25">
      <c r="A256" s="23" t="s">
        <v>1331</v>
      </c>
      <c r="B256" s="108" t="s">
        <v>148</v>
      </c>
      <c r="C256" s="108" t="s">
        <v>150</v>
      </c>
      <c r="D256" s="108" t="s">
        <v>153</v>
      </c>
      <c r="E256" s="108" t="s">
        <v>1332</v>
      </c>
      <c r="F256" s="114" t="s">
        <v>694</v>
      </c>
      <c r="G256" s="213" t="s">
        <v>1333</v>
      </c>
      <c r="H256" s="115" t="s">
        <v>1334</v>
      </c>
      <c r="I256" s="213">
        <v>420369.71</v>
      </c>
      <c r="J256" s="109">
        <v>5.5</v>
      </c>
      <c r="K256" s="109" t="s">
        <v>696</v>
      </c>
      <c r="L256" s="115">
        <v>4.5002499999999999E-3</v>
      </c>
      <c r="M256" s="115">
        <v>108.072838</v>
      </c>
      <c r="N256" s="115">
        <v>108.09451300000001</v>
      </c>
      <c r="O256" s="214">
        <v>0.41249999999999998</v>
      </c>
      <c r="P256" s="115">
        <v>4.1508000000000003</v>
      </c>
      <c r="Q256" s="769">
        <v>3.3581552915900001</v>
      </c>
      <c r="R256" s="216"/>
      <c r="S256" s="216">
        <v>3.3581552915900001</v>
      </c>
      <c r="T256" s="216">
        <v>27</v>
      </c>
      <c r="U256" s="216">
        <v>3.2669999999999999</v>
      </c>
      <c r="V256" s="115">
        <v>67.343178274110002</v>
      </c>
      <c r="W256" s="109"/>
      <c r="X256" s="109">
        <v>61.697849702879999</v>
      </c>
      <c r="Y256" s="109"/>
      <c r="Z256" s="109">
        <v>0.37793823062240989</v>
      </c>
      <c r="AA256" s="109">
        <v>40.038488240604643</v>
      </c>
      <c r="AB256" s="109" t="s">
        <v>3714</v>
      </c>
      <c r="AC256" s="109" t="s">
        <v>3716</v>
      </c>
      <c r="AD256" s="765" t="s">
        <v>3717</v>
      </c>
      <c r="AE256" s="765" t="s">
        <v>625</v>
      </c>
      <c r="AF256" s="765"/>
      <c r="AG256" s="765"/>
      <c r="AH256" s="109"/>
      <c r="AL256" s="2" t="s">
        <v>679</v>
      </c>
      <c r="AM256" s="2" t="s">
        <v>706</v>
      </c>
      <c r="AN256" s="2" t="s">
        <v>952</v>
      </c>
      <c r="AO256" s="2">
        <v>4.5223700000000004E-3</v>
      </c>
      <c r="AP256" s="2" t="s">
        <v>4673</v>
      </c>
      <c r="AQ256" s="2" t="s">
        <v>4469</v>
      </c>
      <c r="AR256" s="2" t="s">
        <v>4756</v>
      </c>
      <c r="AT256" s="765"/>
      <c r="AU256" s="765"/>
      <c r="AV256" s="765"/>
      <c r="AW256" s="765"/>
    </row>
    <row r="257" spans="1:49" x14ac:dyDescent="0.25">
      <c r="A257" s="23" t="s">
        <v>503</v>
      </c>
      <c r="B257" s="108" t="s">
        <v>148</v>
      </c>
      <c r="C257" s="108" t="s">
        <v>150</v>
      </c>
      <c r="D257" s="108" t="s">
        <v>153</v>
      </c>
      <c r="E257" s="108" t="s">
        <v>1335</v>
      </c>
      <c r="F257" s="114" t="s">
        <v>694</v>
      </c>
      <c r="G257" s="213" t="s">
        <v>1336</v>
      </c>
      <c r="H257" s="115" t="s">
        <v>1337</v>
      </c>
      <c r="I257" s="213">
        <v>37487095.310000002</v>
      </c>
      <c r="J257" s="109">
        <v>3.5</v>
      </c>
      <c r="K257" s="109" t="s">
        <v>696</v>
      </c>
      <c r="L257" s="115">
        <v>0.22854056</v>
      </c>
      <c r="M257" s="115">
        <v>100.3078</v>
      </c>
      <c r="N257" s="115">
        <v>100.354675</v>
      </c>
      <c r="O257" s="214">
        <v>0.26250000000000001</v>
      </c>
      <c r="P257" s="115">
        <v>7.1193</v>
      </c>
      <c r="Q257" s="769">
        <v>4.6295832754699999</v>
      </c>
      <c r="R257" s="216"/>
      <c r="S257" s="216">
        <v>4.6295832754699999</v>
      </c>
      <c r="T257" s="216">
        <v>26</v>
      </c>
      <c r="U257" s="216">
        <v>3.4329999999999998</v>
      </c>
      <c r="V257" s="115">
        <v>85.446705322859998</v>
      </c>
      <c r="W257" s="109"/>
      <c r="X257" s="109">
        <v>41.152179604410001</v>
      </c>
      <c r="Y257" s="109"/>
      <c r="Z257" s="109">
        <v>44.994176921365117</v>
      </c>
      <c r="AA257" s="109">
        <v>33.267459748752827</v>
      </c>
      <c r="AB257" s="109" t="s">
        <v>4483</v>
      </c>
      <c r="AC257" s="109" t="s">
        <v>4931</v>
      </c>
      <c r="AD257" s="765" t="s">
        <v>252</v>
      </c>
      <c r="AE257" s="765" t="s">
        <v>625</v>
      </c>
      <c r="AF257" s="765"/>
      <c r="AG257" s="765"/>
      <c r="AH257" s="109"/>
      <c r="AL257" s="2" t="s">
        <v>679</v>
      </c>
      <c r="AM257" s="2" t="s">
        <v>706</v>
      </c>
      <c r="AN257" s="2" t="s">
        <v>952</v>
      </c>
      <c r="AO257" s="2">
        <v>0.24068906000000001</v>
      </c>
      <c r="AP257" s="2" t="s">
        <v>4673</v>
      </c>
      <c r="AQ257" s="2" t="s">
        <v>4469</v>
      </c>
      <c r="AR257" s="2" t="s">
        <v>4756</v>
      </c>
      <c r="AT257" s="765"/>
      <c r="AU257" s="765"/>
      <c r="AV257" s="765"/>
      <c r="AW257" s="765"/>
    </row>
    <row r="258" spans="1:49" x14ac:dyDescent="0.25">
      <c r="A258" s="23" t="s">
        <v>599</v>
      </c>
      <c r="B258" s="108" t="s">
        <v>148</v>
      </c>
      <c r="C258" s="108" t="s">
        <v>150</v>
      </c>
      <c r="D258" s="108" t="s">
        <v>153</v>
      </c>
      <c r="E258" s="108" t="s">
        <v>1338</v>
      </c>
      <c r="F258" s="114" t="s">
        <v>694</v>
      </c>
      <c r="G258" s="213" t="s">
        <v>1124</v>
      </c>
      <c r="H258" s="115" t="s">
        <v>1339</v>
      </c>
      <c r="I258" s="213">
        <v>447413.26</v>
      </c>
      <c r="J258" s="109">
        <v>3.5</v>
      </c>
      <c r="K258" s="109" t="s">
        <v>696</v>
      </c>
      <c r="L258" s="115">
        <v>0.15889897</v>
      </c>
      <c r="M258" s="115">
        <v>99.728333000000006</v>
      </c>
      <c r="N258" s="115">
        <v>99.759583000000006</v>
      </c>
      <c r="O258" s="214">
        <v>0.26250000000000001</v>
      </c>
      <c r="P258" s="115">
        <v>7.1818</v>
      </c>
      <c r="Q258" s="769">
        <v>4.4126655684199996</v>
      </c>
      <c r="R258" s="216"/>
      <c r="S258" s="216">
        <v>4.4126655684199996</v>
      </c>
      <c r="T258" s="216">
        <v>26</v>
      </c>
      <c r="U258" s="216">
        <v>3.532</v>
      </c>
      <c r="V258" s="115">
        <v>95.616340822340007</v>
      </c>
      <c r="W258" s="109"/>
      <c r="X258" s="109">
        <v>42.757534465580001</v>
      </c>
      <c r="Y258" s="109"/>
      <c r="Z258" s="109">
        <v>4.9743232488075328E-3</v>
      </c>
      <c r="AA258" s="109">
        <v>67.378826246944641</v>
      </c>
      <c r="AB258" s="109" t="s">
        <v>3718</v>
      </c>
      <c r="AC258" s="109" t="s">
        <v>3719</v>
      </c>
      <c r="AD258" s="765"/>
      <c r="AE258" s="765" t="s">
        <v>625</v>
      </c>
      <c r="AF258" s="765"/>
      <c r="AG258" s="765"/>
      <c r="AH258" s="109"/>
      <c r="AL258" s="2" t="s">
        <v>679</v>
      </c>
      <c r="AM258" s="2" t="s">
        <v>706</v>
      </c>
      <c r="AN258" s="2" t="s">
        <v>952</v>
      </c>
      <c r="AO258" s="2">
        <v>0.15918328000000001</v>
      </c>
      <c r="AP258" s="2" t="s">
        <v>4673</v>
      </c>
      <c r="AQ258" s="2" t="s">
        <v>4469</v>
      </c>
      <c r="AR258" s="2" t="s">
        <v>4756</v>
      </c>
      <c r="AT258" s="765"/>
      <c r="AU258" s="765"/>
      <c r="AV258" s="765"/>
      <c r="AW258" s="765"/>
    </row>
    <row r="259" spans="1:49" x14ac:dyDescent="0.25">
      <c r="A259" s="23" t="s">
        <v>211</v>
      </c>
      <c r="B259" s="108" t="s">
        <v>148</v>
      </c>
      <c r="C259" s="108" t="s">
        <v>150</v>
      </c>
      <c r="D259" s="108" t="s">
        <v>153</v>
      </c>
      <c r="E259" s="108" t="s">
        <v>1340</v>
      </c>
      <c r="F259" s="114" t="s">
        <v>694</v>
      </c>
      <c r="G259" s="213" t="s">
        <v>1248</v>
      </c>
      <c r="H259" s="115" t="s">
        <v>1249</v>
      </c>
      <c r="I259" s="213">
        <v>20796696.57</v>
      </c>
      <c r="J259" s="109">
        <v>3.5</v>
      </c>
      <c r="K259" s="109" t="s">
        <v>696</v>
      </c>
      <c r="L259" s="115">
        <v>0.20606986999999999</v>
      </c>
      <c r="M259" s="115">
        <v>99.728333000000006</v>
      </c>
      <c r="N259" s="115">
        <v>99.759583000000006</v>
      </c>
      <c r="O259" s="214">
        <v>0.26250000000000001</v>
      </c>
      <c r="P259" s="115">
        <v>7.1364000000000001</v>
      </c>
      <c r="Q259" s="769">
        <v>4.6547578597200001</v>
      </c>
      <c r="R259" s="216"/>
      <c r="S259" s="216">
        <v>4.6547578597200001</v>
      </c>
      <c r="T259" s="216">
        <v>26</v>
      </c>
      <c r="U259" s="216">
        <v>3.532</v>
      </c>
      <c r="V259" s="115">
        <v>95.473519895579997</v>
      </c>
      <c r="W259" s="109"/>
      <c r="X259" s="109">
        <v>46.08298566701</v>
      </c>
      <c r="Y259" s="109"/>
      <c r="Z259" s="109">
        <v>32.073978863194938</v>
      </c>
      <c r="AA259" s="109">
        <v>27.6777138375733</v>
      </c>
      <c r="AB259" s="109" t="s">
        <v>242</v>
      </c>
      <c r="AC259" s="109" t="s">
        <v>1268</v>
      </c>
      <c r="AD259" s="765" t="s">
        <v>3480</v>
      </c>
      <c r="AE259" s="765" t="s">
        <v>625</v>
      </c>
      <c r="AF259" s="765"/>
      <c r="AG259" s="765"/>
      <c r="AH259" s="109"/>
      <c r="AL259" s="2" t="s">
        <v>679</v>
      </c>
      <c r="AM259" s="2" t="s">
        <v>706</v>
      </c>
      <c r="AN259" s="2" t="s">
        <v>952</v>
      </c>
      <c r="AO259" s="2">
        <v>0.21324849000000001</v>
      </c>
      <c r="AP259" s="2" t="s">
        <v>4673</v>
      </c>
      <c r="AQ259" s="2" t="s">
        <v>4469</v>
      </c>
      <c r="AR259" s="2" t="s">
        <v>4756</v>
      </c>
      <c r="AT259" s="765"/>
      <c r="AU259" s="765"/>
      <c r="AV259" s="765"/>
      <c r="AW259" s="765"/>
    </row>
    <row r="260" spans="1:49" x14ac:dyDescent="0.25">
      <c r="A260" s="23" t="s">
        <v>598</v>
      </c>
      <c r="B260" s="108" t="s">
        <v>148</v>
      </c>
      <c r="C260" s="108" t="s">
        <v>150</v>
      </c>
      <c r="D260" s="108" t="s">
        <v>153</v>
      </c>
      <c r="E260" s="108" t="s">
        <v>1341</v>
      </c>
      <c r="F260" s="114" t="s">
        <v>694</v>
      </c>
      <c r="G260" s="213" t="s">
        <v>1128</v>
      </c>
      <c r="H260" s="115" t="s">
        <v>1342</v>
      </c>
      <c r="I260" s="213">
        <v>1122694.58</v>
      </c>
      <c r="J260" s="109">
        <v>3</v>
      </c>
      <c r="K260" s="109" t="s">
        <v>696</v>
      </c>
      <c r="L260" s="115">
        <v>0.35245841</v>
      </c>
      <c r="M260" s="115">
        <v>98.291306000000006</v>
      </c>
      <c r="N260" s="115">
        <v>98.338181000000006</v>
      </c>
      <c r="O260" s="214">
        <v>0.22500000000000001</v>
      </c>
      <c r="P260" s="115">
        <v>7.5537999999999998</v>
      </c>
      <c r="Q260" s="769">
        <v>5.2167054752700004</v>
      </c>
      <c r="R260" s="216"/>
      <c r="S260" s="216">
        <v>5.2167054752700004</v>
      </c>
      <c r="T260" s="216">
        <v>27</v>
      </c>
      <c r="U260" s="216">
        <v>3.2629999999999999</v>
      </c>
      <c r="V260" s="115">
        <v>69.847525688540003</v>
      </c>
      <c r="W260" s="109"/>
      <c r="X260" s="109">
        <v>33.862863063650003</v>
      </c>
      <c r="Y260" s="109"/>
      <c r="Z260" s="109">
        <v>1.0138837823040701</v>
      </c>
      <c r="AA260" s="109">
        <v>29.978670828572032</v>
      </c>
      <c r="AB260" s="109" t="s">
        <v>3338</v>
      </c>
      <c r="AC260" s="109" t="s">
        <v>3953</v>
      </c>
      <c r="AD260" s="765" t="s">
        <v>3954</v>
      </c>
      <c r="AE260" s="765" t="s">
        <v>625</v>
      </c>
      <c r="AF260" s="765"/>
      <c r="AG260" s="765"/>
      <c r="AH260" s="109"/>
      <c r="AL260" s="2" t="s">
        <v>679</v>
      </c>
      <c r="AM260" s="2" t="s">
        <v>706</v>
      </c>
      <c r="AN260" s="2" t="s">
        <v>952</v>
      </c>
      <c r="AO260" s="2">
        <v>0.35353161999999999</v>
      </c>
      <c r="AP260" s="2" t="s">
        <v>4673</v>
      </c>
      <c r="AQ260" s="2" t="s">
        <v>4469</v>
      </c>
      <c r="AR260" s="2" t="s">
        <v>4756</v>
      </c>
      <c r="AT260" s="765"/>
      <c r="AU260" s="765"/>
      <c r="AV260" s="765"/>
      <c r="AW260" s="765"/>
    </row>
    <row r="261" spans="1:49" x14ac:dyDescent="0.25">
      <c r="A261" s="23" t="s">
        <v>409</v>
      </c>
      <c r="B261" s="108" t="s">
        <v>148</v>
      </c>
      <c r="C261" s="108" t="s">
        <v>150</v>
      </c>
      <c r="D261" s="108" t="s">
        <v>153</v>
      </c>
      <c r="E261" s="108" t="s">
        <v>1343</v>
      </c>
      <c r="F261" s="114" t="s">
        <v>694</v>
      </c>
      <c r="G261" s="213" t="s">
        <v>1157</v>
      </c>
      <c r="H261" s="115" t="s">
        <v>1315</v>
      </c>
      <c r="I261" s="213">
        <v>215754912.69999999</v>
      </c>
      <c r="J261" s="109">
        <v>3.5</v>
      </c>
      <c r="K261" s="109" t="s">
        <v>696</v>
      </c>
      <c r="L261" s="115">
        <v>0.18092045000000001</v>
      </c>
      <c r="M261" s="115">
        <v>99.728333000000006</v>
      </c>
      <c r="N261" s="115">
        <v>99.759583000000006</v>
      </c>
      <c r="O261" s="214">
        <v>0.26250000000000001</v>
      </c>
      <c r="P261" s="115">
        <v>6.9206000000000003</v>
      </c>
      <c r="Q261" s="769">
        <v>4.6373852190699996</v>
      </c>
      <c r="R261" s="216"/>
      <c r="S261" s="216">
        <v>4.6373852190699996</v>
      </c>
      <c r="T261" s="216">
        <v>26</v>
      </c>
      <c r="U261" s="216">
        <v>3.532</v>
      </c>
      <c r="V261" s="115">
        <v>94.825147181250003</v>
      </c>
      <c r="W261" s="109"/>
      <c r="X261" s="109">
        <v>47.01289240373</v>
      </c>
      <c r="Y261" s="109"/>
      <c r="Z261" s="109">
        <v>23.61772851553329</v>
      </c>
      <c r="AA261" s="109">
        <v>35.629879952541351</v>
      </c>
      <c r="AB261" s="109" t="s">
        <v>245</v>
      </c>
      <c r="AC261" s="109" t="s">
        <v>237</v>
      </c>
      <c r="AD261" s="765" t="s">
        <v>246</v>
      </c>
      <c r="AE261" s="765" t="s">
        <v>625</v>
      </c>
      <c r="AF261" s="765"/>
      <c r="AG261" s="765"/>
      <c r="AH261" s="109"/>
      <c r="AL261" s="2" t="s">
        <v>679</v>
      </c>
      <c r="AM261" s="2" t="s">
        <v>706</v>
      </c>
      <c r="AN261" s="2" t="s">
        <v>952</v>
      </c>
      <c r="AO261" s="2">
        <v>0.18540419999999999</v>
      </c>
      <c r="AP261" s="2" t="s">
        <v>4673</v>
      </c>
      <c r="AQ261" s="2" t="s">
        <v>4469</v>
      </c>
      <c r="AR261" s="2" t="s">
        <v>4756</v>
      </c>
      <c r="AT261" s="765"/>
      <c r="AU261" s="765"/>
      <c r="AV261" s="765"/>
      <c r="AW261" s="765"/>
    </row>
    <row r="262" spans="1:49" x14ac:dyDescent="0.25">
      <c r="A262" s="23" t="s">
        <v>651</v>
      </c>
      <c r="B262" s="108" t="s">
        <v>148</v>
      </c>
      <c r="C262" s="108" t="s">
        <v>150</v>
      </c>
      <c r="D262" s="108" t="s">
        <v>153</v>
      </c>
      <c r="E262" s="108" t="s">
        <v>1345</v>
      </c>
      <c r="F262" s="114" t="s">
        <v>694</v>
      </c>
      <c r="G262" s="213" t="s">
        <v>1346</v>
      </c>
      <c r="H262" s="115" t="s">
        <v>1347</v>
      </c>
      <c r="I262" s="213">
        <v>11747025.640000001</v>
      </c>
      <c r="J262" s="109">
        <v>4.5</v>
      </c>
      <c r="K262" s="109" t="s">
        <v>696</v>
      </c>
      <c r="L262" s="115">
        <v>0.28845372000000002</v>
      </c>
      <c r="M262" s="115">
        <v>104.730186</v>
      </c>
      <c r="N262" s="115">
        <v>104.777061</v>
      </c>
      <c r="O262" s="214">
        <v>0.33750000000000002</v>
      </c>
      <c r="P262" s="115">
        <v>5.2125000000000004</v>
      </c>
      <c r="Q262" s="769">
        <v>4.1940041667600001</v>
      </c>
      <c r="R262" s="216"/>
      <c r="S262" s="216">
        <v>4.1940041667600001</v>
      </c>
      <c r="T262" s="216">
        <v>27</v>
      </c>
      <c r="U262" s="216">
        <v>3.403</v>
      </c>
      <c r="V262" s="115">
        <v>80.540501163680005</v>
      </c>
      <c r="W262" s="109"/>
      <c r="X262" s="109">
        <v>58.481738769769997</v>
      </c>
      <c r="Y262" s="109"/>
      <c r="Z262" s="109">
        <v>0.36004073229690681</v>
      </c>
      <c r="AA262" s="109">
        <v>29.279820834178391</v>
      </c>
      <c r="AB262" s="109" t="s">
        <v>1261</v>
      </c>
      <c r="AC262" s="109" t="s">
        <v>1219</v>
      </c>
      <c r="AD262" s="765" t="s">
        <v>2327</v>
      </c>
      <c r="AE262" s="765" t="s">
        <v>625</v>
      </c>
      <c r="AF262" s="765"/>
      <c r="AG262" s="765"/>
      <c r="AH262" s="109"/>
      <c r="AL262" s="2" t="s">
        <v>679</v>
      </c>
      <c r="AM262" s="2" t="s">
        <v>706</v>
      </c>
      <c r="AN262" s="2" t="s">
        <v>952</v>
      </c>
      <c r="AO262" s="2">
        <v>0.28904819999999998</v>
      </c>
      <c r="AP262" s="2" t="s">
        <v>4673</v>
      </c>
      <c r="AQ262" s="2" t="s">
        <v>4469</v>
      </c>
      <c r="AR262" s="2" t="s">
        <v>4756</v>
      </c>
      <c r="AT262" s="765"/>
      <c r="AU262" s="765"/>
      <c r="AV262" s="765"/>
      <c r="AW262" s="765"/>
    </row>
    <row r="263" spans="1:49" x14ac:dyDescent="0.25">
      <c r="A263" s="23" t="s">
        <v>391</v>
      </c>
      <c r="B263" s="108" t="s">
        <v>148</v>
      </c>
      <c r="C263" s="108" t="s">
        <v>150</v>
      </c>
      <c r="D263" s="108" t="s">
        <v>153</v>
      </c>
      <c r="E263" s="108" t="s">
        <v>1349</v>
      </c>
      <c r="F263" s="114" t="s">
        <v>694</v>
      </c>
      <c r="G263" s="213" t="s">
        <v>1314</v>
      </c>
      <c r="H263" s="115" t="s">
        <v>1315</v>
      </c>
      <c r="I263" s="213">
        <v>564692.43999999994</v>
      </c>
      <c r="J263" s="109">
        <v>3.5</v>
      </c>
      <c r="K263" s="109" t="s">
        <v>696</v>
      </c>
      <c r="L263" s="115">
        <v>0.10449964</v>
      </c>
      <c r="M263" s="115">
        <v>99.728333000000006</v>
      </c>
      <c r="N263" s="115">
        <v>99.759583000000006</v>
      </c>
      <c r="O263" s="214">
        <v>0.26250000000000001</v>
      </c>
      <c r="P263" s="115">
        <v>6.9448999999999996</v>
      </c>
      <c r="Q263" s="769">
        <v>4.8545241680200002</v>
      </c>
      <c r="R263" s="216"/>
      <c r="S263" s="216">
        <v>4.8545241680200002</v>
      </c>
      <c r="T263" s="216">
        <v>26</v>
      </c>
      <c r="U263" s="216">
        <v>3.532</v>
      </c>
      <c r="V263" s="115">
        <v>94.880766928759996</v>
      </c>
      <c r="W263" s="109"/>
      <c r="X263" s="109">
        <v>55.02754450119</v>
      </c>
      <c r="Y263" s="109"/>
      <c r="Z263" s="109">
        <v>6.7634145682304858E-2</v>
      </c>
      <c r="AA263" s="109">
        <v>2.5124567211842749E-2</v>
      </c>
      <c r="AB263" s="109" t="s">
        <v>2320</v>
      </c>
      <c r="AC263" s="109" t="s">
        <v>2321</v>
      </c>
      <c r="AD263" s="765"/>
      <c r="AE263" s="765" t="s">
        <v>625</v>
      </c>
      <c r="AF263" s="765"/>
      <c r="AG263" s="765"/>
      <c r="AH263" s="109"/>
      <c r="AL263" s="2" t="s">
        <v>679</v>
      </c>
      <c r="AM263" s="2" t="s">
        <v>706</v>
      </c>
      <c r="AN263" s="2" t="s">
        <v>952</v>
      </c>
      <c r="AO263" s="2">
        <v>0.10471535</v>
      </c>
      <c r="AP263" s="2" t="s">
        <v>4673</v>
      </c>
      <c r="AQ263" s="2" t="s">
        <v>4469</v>
      </c>
      <c r="AR263" s="2" t="s">
        <v>4756</v>
      </c>
      <c r="AT263" s="765"/>
      <c r="AU263" s="765"/>
      <c r="AV263" s="765"/>
      <c r="AW263" s="765"/>
    </row>
    <row r="264" spans="1:49" x14ac:dyDescent="0.25">
      <c r="A264" s="23" t="s">
        <v>390</v>
      </c>
      <c r="B264" s="108" t="s">
        <v>148</v>
      </c>
      <c r="C264" s="108" t="s">
        <v>150</v>
      </c>
      <c r="D264" s="108" t="s">
        <v>153</v>
      </c>
      <c r="E264" s="108" t="s">
        <v>1350</v>
      </c>
      <c r="F264" s="114" t="s">
        <v>694</v>
      </c>
      <c r="G264" s="213" t="s">
        <v>1314</v>
      </c>
      <c r="H264" s="115" t="s">
        <v>1315</v>
      </c>
      <c r="I264" s="213">
        <v>520305.08</v>
      </c>
      <c r="J264" s="109">
        <v>3.5</v>
      </c>
      <c r="K264" s="109" t="s">
        <v>696</v>
      </c>
      <c r="L264" s="115">
        <v>0.14466783</v>
      </c>
      <c r="M264" s="115">
        <v>99.728333000000006</v>
      </c>
      <c r="N264" s="115">
        <v>99.759583000000006</v>
      </c>
      <c r="O264" s="214">
        <v>0.26250000000000001</v>
      </c>
      <c r="P264" s="115">
        <v>7.0438999999999998</v>
      </c>
      <c r="Q264" s="769">
        <v>4.6995605702700001</v>
      </c>
      <c r="R264" s="216"/>
      <c r="S264" s="216">
        <v>4.6995605702700001</v>
      </c>
      <c r="T264" s="216">
        <v>26</v>
      </c>
      <c r="U264" s="216">
        <v>3.532</v>
      </c>
      <c r="V264" s="115">
        <v>95.188153860819995</v>
      </c>
      <c r="W264" s="109"/>
      <c r="X264" s="109">
        <v>49.412687300100004</v>
      </c>
      <c r="Y264" s="109"/>
      <c r="Z264" s="109">
        <v>0.1386450125613892</v>
      </c>
      <c r="AA264" s="109">
        <v>0.14399162327978221</v>
      </c>
      <c r="AB264" s="109" t="s">
        <v>3481</v>
      </c>
      <c r="AC264" s="109" t="s">
        <v>3482</v>
      </c>
      <c r="AD264" s="765"/>
      <c r="AE264" s="765" t="s">
        <v>625</v>
      </c>
      <c r="AF264" s="765"/>
      <c r="AG264" s="765"/>
      <c r="AH264" s="109"/>
      <c r="AL264" s="2" t="s">
        <v>679</v>
      </c>
      <c r="AM264" s="2" t="s">
        <v>706</v>
      </c>
      <c r="AN264" s="2" t="s">
        <v>952</v>
      </c>
      <c r="AO264" s="2">
        <v>0.14496333</v>
      </c>
      <c r="AP264" s="2" t="s">
        <v>4673</v>
      </c>
      <c r="AQ264" s="2" t="s">
        <v>4469</v>
      </c>
      <c r="AR264" s="2" t="s">
        <v>4756</v>
      </c>
      <c r="AT264" s="765"/>
      <c r="AU264" s="765"/>
      <c r="AV264" s="765"/>
      <c r="AW264" s="765"/>
    </row>
    <row r="265" spans="1:49" x14ac:dyDescent="0.25">
      <c r="A265" s="23" t="s">
        <v>395</v>
      </c>
      <c r="B265" s="108" t="s">
        <v>148</v>
      </c>
      <c r="C265" s="108" t="s">
        <v>150</v>
      </c>
      <c r="D265" s="108" t="s">
        <v>153</v>
      </c>
      <c r="E265" s="108" t="s">
        <v>1351</v>
      </c>
      <c r="F265" s="114" t="s">
        <v>694</v>
      </c>
      <c r="G265" s="213" t="s">
        <v>1314</v>
      </c>
      <c r="H265" s="115" t="s">
        <v>1315</v>
      </c>
      <c r="I265" s="213">
        <v>281321.32</v>
      </c>
      <c r="J265" s="109">
        <v>3.5</v>
      </c>
      <c r="K265" s="109" t="s">
        <v>696</v>
      </c>
      <c r="L265" s="115">
        <v>0.10093692999999999</v>
      </c>
      <c r="M265" s="115">
        <v>99.728333000000006</v>
      </c>
      <c r="N265" s="115">
        <v>99.759583000000006</v>
      </c>
      <c r="O265" s="214">
        <v>0.26250000000000001</v>
      </c>
      <c r="P265" s="115">
        <v>7.0606</v>
      </c>
      <c r="Q265" s="769">
        <v>4.4796125316099999</v>
      </c>
      <c r="R265" s="216"/>
      <c r="S265" s="216">
        <v>4.4796125316099999</v>
      </c>
      <c r="T265" s="216">
        <v>26</v>
      </c>
      <c r="U265" s="216">
        <v>3.532</v>
      </c>
      <c r="V265" s="115">
        <v>95.240045567129997</v>
      </c>
      <c r="W265" s="109"/>
      <c r="X265" s="109">
        <v>42.872519166620002</v>
      </c>
      <c r="Y265" s="109"/>
      <c r="Z265" s="109">
        <v>90.380723689063998</v>
      </c>
      <c r="AA265" s="109">
        <v>32.310484422471589</v>
      </c>
      <c r="AB265" s="109" t="s">
        <v>4932</v>
      </c>
      <c r="AC265" s="109"/>
      <c r="AD265" s="765"/>
      <c r="AE265" s="765" t="s">
        <v>625</v>
      </c>
      <c r="AF265" s="765"/>
      <c r="AG265" s="765"/>
      <c r="AH265" s="109"/>
      <c r="AL265" s="2" t="s">
        <v>679</v>
      </c>
      <c r="AM265" s="2" t="s">
        <v>706</v>
      </c>
      <c r="AN265" s="2" t="s">
        <v>952</v>
      </c>
      <c r="AO265" s="2">
        <v>0.12291866999999999</v>
      </c>
      <c r="AP265" s="2" t="s">
        <v>4673</v>
      </c>
      <c r="AQ265" s="2" t="s">
        <v>4469</v>
      </c>
      <c r="AR265" s="2" t="s">
        <v>4756</v>
      </c>
      <c r="AT265" s="765"/>
      <c r="AU265" s="765"/>
      <c r="AV265" s="765"/>
      <c r="AW265" s="765"/>
    </row>
    <row r="266" spans="1:49" x14ac:dyDescent="0.25">
      <c r="A266" s="23" t="s">
        <v>394</v>
      </c>
      <c r="B266" s="108" t="s">
        <v>148</v>
      </c>
      <c r="C266" s="108" t="s">
        <v>150</v>
      </c>
      <c r="D266" s="108" t="s">
        <v>153</v>
      </c>
      <c r="E266" s="108" t="s">
        <v>1352</v>
      </c>
      <c r="F266" s="114" t="s">
        <v>694</v>
      </c>
      <c r="G266" s="213" t="s">
        <v>1314</v>
      </c>
      <c r="H266" s="115" t="s">
        <v>1315</v>
      </c>
      <c r="I266" s="213">
        <v>636437.1</v>
      </c>
      <c r="J266" s="109">
        <v>3.5</v>
      </c>
      <c r="K266" s="109" t="s">
        <v>696</v>
      </c>
      <c r="L266" s="115">
        <v>7.3281299999999994E-2</v>
      </c>
      <c r="M266" s="115">
        <v>99.728333000000006</v>
      </c>
      <c r="N266" s="115">
        <v>99.759583000000006</v>
      </c>
      <c r="O266" s="214">
        <v>0.26250000000000001</v>
      </c>
      <c r="P266" s="115">
        <v>7.0368000000000004</v>
      </c>
      <c r="Q266" s="769">
        <v>4.5958825218500001</v>
      </c>
      <c r="R266" s="216"/>
      <c r="S266" s="216">
        <v>4.5958825218500001</v>
      </c>
      <c r="T266" s="216">
        <v>26</v>
      </c>
      <c r="U266" s="216">
        <v>3.532</v>
      </c>
      <c r="V266" s="115">
        <v>95.166215313769996</v>
      </c>
      <c r="W266" s="109"/>
      <c r="X266" s="109">
        <v>49.206084920179997</v>
      </c>
      <c r="Y266" s="109"/>
      <c r="Z266" s="109">
        <v>0.68641592317838507</v>
      </c>
      <c r="AA266" s="109">
        <v>64.677729805402123</v>
      </c>
      <c r="AB266" s="109" t="s">
        <v>4528</v>
      </c>
      <c r="AC266" s="109" t="s">
        <v>4529</v>
      </c>
      <c r="AD266" s="765"/>
      <c r="AE266" s="765" t="s">
        <v>625</v>
      </c>
      <c r="AF266" s="765"/>
      <c r="AG266" s="765"/>
      <c r="AH266" s="109"/>
      <c r="AL266" s="2" t="s">
        <v>679</v>
      </c>
      <c r="AM266" s="2" t="s">
        <v>706</v>
      </c>
      <c r="AN266" s="2" t="s">
        <v>952</v>
      </c>
      <c r="AO266" s="2">
        <v>7.3466450000000003E-2</v>
      </c>
      <c r="AP266" s="2" t="s">
        <v>4673</v>
      </c>
      <c r="AQ266" s="2" t="s">
        <v>4469</v>
      </c>
      <c r="AR266" s="2" t="s">
        <v>4756</v>
      </c>
      <c r="AT266" s="765"/>
      <c r="AU266" s="765"/>
      <c r="AV266" s="765"/>
      <c r="AW266" s="765"/>
    </row>
    <row r="267" spans="1:49" x14ac:dyDescent="0.25">
      <c r="A267" s="23" t="s">
        <v>393</v>
      </c>
      <c r="B267" s="108" t="s">
        <v>148</v>
      </c>
      <c r="C267" s="108" t="s">
        <v>150</v>
      </c>
      <c r="D267" s="108" t="s">
        <v>153</v>
      </c>
      <c r="E267" s="108" t="s">
        <v>1354</v>
      </c>
      <c r="F267" s="114" t="s">
        <v>694</v>
      </c>
      <c r="G267" s="213" t="s">
        <v>1314</v>
      </c>
      <c r="H267" s="115" t="s">
        <v>1315</v>
      </c>
      <c r="I267" s="213">
        <v>0</v>
      </c>
      <c r="J267" s="109">
        <v>3.5</v>
      </c>
      <c r="K267" s="109" t="s">
        <v>696</v>
      </c>
      <c r="L267" s="115">
        <v>0</v>
      </c>
      <c r="M267" s="115">
        <v>0</v>
      </c>
      <c r="N267" s="115">
        <v>0</v>
      </c>
      <c r="O267" s="214">
        <v>0</v>
      </c>
      <c r="P267" s="115"/>
      <c r="Q267" s="769"/>
      <c r="R267" s="216"/>
      <c r="S267" s="216">
        <v>25.19178082191781</v>
      </c>
      <c r="T267" s="216">
        <v>0</v>
      </c>
      <c r="U267" s="216"/>
      <c r="V267" s="115"/>
      <c r="W267" s="109"/>
      <c r="X267" s="109"/>
      <c r="Y267" s="109"/>
      <c r="Z267" s="109">
        <v>100</v>
      </c>
      <c r="AA267" s="109">
        <v>100</v>
      </c>
      <c r="AB267" s="109" t="s">
        <v>2396</v>
      </c>
      <c r="AC267" s="109"/>
      <c r="AD267" s="765"/>
      <c r="AE267" s="765" t="s">
        <v>625</v>
      </c>
      <c r="AF267" s="765"/>
      <c r="AG267" s="765"/>
      <c r="AH267" s="109"/>
      <c r="AL267" s="2" t="s">
        <v>679</v>
      </c>
      <c r="AM267" s="2" t="s">
        <v>706</v>
      </c>
      <c r="AN267" s="2" t="s">
        <v>952</v>
      </c>
      <c r="AO267" s="2">
        <v>0.11558801</v>
      </c>
      <c r="AP267" s="2" t="s">
        <v>4673</v>
      </c>
      <c r="AQ267" s="2" t="s">
        <v>2627</v>
      </c>
      <c r="AR267" s="2" t="s">
        <v>4756</v>
      </c>
      <c r="AT267" s="765"/>
      <c r="AU267" s="765"/>
      <c r="AV267" s="765"/>
      <c r="AW267" s="765"/>
    </row>
    <row r="268" spans="1:49" x14ac:dyDescent="0.25">
      <c r="A268" s="23" t="s">
        <v>392</v>
      </c>
      <c r="B268" s="108" t="s">
        <v>148</v>
      </c>
      <c r="C268" s="108" t="s">
        <v>150</v>
      </c>
      <c r="D268" s="108" t="s">
        <v>153</v>
      </c>
      <c r="E268" s="108" t="s">
        <v>1355</v>
      </c>
      <c r="F268" s="114" t="s">
        <v>694</v>
      </c>
      <c r="G268" s="213" t="s">
        <v>1157</v>
      </c>
      <c r="H268" s="115" t="s">
        <v>1315</v>
      </c>
      <c r="I268" s="213">
        <v>401580.03</v>
      </c>
      <c r="J268" s="109">
        <v>3.5</v>
      </c>
      <c r="K268" s="109" t="s">
        <v>696</v>
      </c>
      <c r="L268" s="115">
        <v>5.2120550000000002E-2</v>
      </c>
      <c r="M268" s="115">
        <v>99.728333000000006</v>
      </c>
      <c r="N268" s="115">
        <v>99.759583000000006</v>
      </c>
      <c r="O268" s="214">
        <v>0.26250000000000001</v>
      </c>
      <c r="P268" s="115">
        <v>6.9375</v>
      </c>
      <c r="Q268" s="769">
        <v>5.0950381341300002</v>
      </c>
      <c r="R268" s="216"/>
      <c r="S268" s="216">
        <v>5.0950381341300002</v>
      </c>
      <c r="T268" s="216">
        <v>26</v>
      </c>
      <c r="U268" s="216">
        <v>3.532</v>
      </c>
      <c r="V268" s="115">
        <v>94.857614903240005</v>
      </c>
      <c r="W268" s="109"/>
      <c r="X268" s="109">
        <v>58.059765725170003</v>
      </c>
      <c r="Y268" s="109"/>
      <c r="Z268" s="109">
        <v>0.4843654352120863</v>
      </c>
      <c r="AA268" s="109">
        <v>0.47508498135893079</v>
      </c>
      <c r="AB268" s="109" t="s">
        <v>3483</v>
      </c>
      <c r="AC268" s="109" t="s">
        <v>3484</v>
      </c>
      <c r="AD268" s="765"/>
      <c r="AE268" s="765" t="s">
        <v>625</v>
      </c>
      <c r="AF268" s="765"/>
      <c r="AG268" s="765"/>
      <c r="AH268" s="109"/>
      <c r="AL268" s="2" t="s">
        <v>679</v>
      </c>
      <c r="AM268" s="2" t="s">
        <v>706</v>
      </c>
      <c r="AN268" s="2" t="s">
        <v>952</v>
      </c>
      <c r="AO268" s="2">
        <v>5.224521E-2</v>
      </c>
      <c r="AP268" s="2" t="s">
        <v>4673</v>
      </c>
      <c r="AQ268" s="2" t="s">
        <v>4469</v>
      </c>
      <c r="AR268" s="2" t="s">
        <v>4756</v>
      </c>
      <c r="AT268" s="765"/>
      <c r="AU268" s="765"/>
      <c r="AV268" s="765"/>
      <c r="AW268" s="765"/>
    </row>
    <row r="269" spans="1:49" x14ac:dyDescent="0.25">
      <c r="A269" s="23" t="s">
        <v>511</v>
      </c>
      <c r="B269" s="108" t="s">
        <v>148</v>
      </c>
      <c r="C269" s="108" t="s">
        <v>150</v>
      </c>
      <c r="D269" s="108" t="s">
        <v>153</v>
      </c>
      <c r="E269" s="108" t="s">
        <v>1356</v>
      </c>
      <c r="F269" s="114" t="s">
        <v>694</v>
      </c>
      <c r="G269" s="213" t="s">
        <v>1314</v>
      </c>
      <c r="H269" s="115" t="s">
        <v>1317</v>
      </c>
      <c r="I269" s="213">
        <v>9128250.6899999995</v>
      </c>
      <c r="J269" s="109">
        <v>4</v>
      </c>
      <c r="K269" s="109" t="s">
        <v>696</v>
      </c>
      <c r="L269" s="115">
        <v>0.18301427000000001</v>
      </c>
      <c r="M269" s="115">
        <v>102.15280199999999</v>
      </c>
      <c r="N269" s="115">
        <v>102.18405199999999</v>
      </c>
      <c r="O269" s="214">
        <v>0.3</v>
      </c>
      <c r="P269" s="115">
        <v>6.2869999999999999</v>
      </c>
      <c r="Q269" s="769">
        <v>4.0160189760599998</v>
      </c>
      <c r="R269" s="216"/>
      <c r="S269" s="216">
        <v>4.0160189760599998</v>
      </c>
      <c r="T269" s="216">
        <v>27</v>
      </c>
      <c r="U269" s="216">
        <v>3.5649999999999999</v>
      </c>
      <c r="V269" s="115">
        <v>97.610248510440002</v>
      </c>
      <c r="W269" s="109"/>
      <c r="X269" s="109">
        <v>44.567455720460003</v>
      </c>
      <c r="Y269" s="109"/>
      <c r="Z269" s="109">
        <v>52.346895408136277</v>
      </c>
      <c r="AA269" s="109">
        <v>36.309975294353613</v>
      </c>
      <c r="AB269" s="109" t="s">
        <v>3086</v>
      </c>
      <c r="AC269" s="109" t="s">
        <v>2609</v>
      </c>
      <c r="AD269" s="765" t="s">
        <v>251</v>
      </c>
      <c r="AE269" s="765" t="s">
        <v>625</v>
      </c>
      <c r="AF269" s="765"/>
      <c r="AG269" s="765"/>
      <c r="AH269" s="109"/>
      <c r="AL269" s="2" t="s">
        <v>679</v>
      </c>
      <c r="AM269" s="2" t="s">
        <v>706</v>
      </c>
      <c r="AN269" s="2" t="s">
        <v>952</v>
      </c>
      <c r="AO269" s="2">
        <v>0.19502050000000001</v>
      </c>
      <c r="AP269" s="2" t="s">
        <v>4673</v>
      </c>
      <c r="AQ269" s="2" t="s">
        <v>4469</v>
      </c>
      <c r="AR269" s="2" t="s">
        <v>4756</v>
      </c>
      <c r="AT269" s="765"/>
      <c r="AU269" s="765"/>
      <c r="AV269" s="765"/>
      <c r="AW269" s="765"/>
    </row>
    <row r="270" spans="1:49" x14ac:dyDescent="0.25">
      <c r="A270" s="23" t="s">
        <v>563</v>
      </c>
      <c r="B270" s="108" t="s">
        <v>147</v>
      </c>
      <c r="C270" s="108" t="s">
        <v>150</v>
      </c>
      <c r="D270" s="108" t="s">
        <v>151</v>
      </c>
      <c r="E270" s="108" t="s">
        <v>1357</v>
      </c>
      <c r="F270" s="114" t="s">
        <v>694</v>
      </c>
      <c r="G270" s="213" t="s">
        <v>1358</v>
      </c>
      <c r="H270" s="115" t="s">
        <v>1359</v>
      </c>
      <c r="I270" s="213">
        <v>677328.67</v>
      </c>
      <c r="J270" s="109">
        <v>3</v>
      </c>
      <c r="K270" s="109" t="s">
        <v>696</v>
      </c>
      <c r="L270" s="115">
        <v>0.30496878999999999</v>
      </c>
      <c r="M270" s="115">
        <v>100.64778099999999</v>
      </c>
      <c r="N270" s="115">
        <v>100.67903099999999</v>
      </c>
      <c r="O270" s="214">
        <v>0.22500000000000001</v>
      </c>
      <c r="P270" s="115">
        <v>3.6987999999999999</v>
      </c>
      <c r="Q270" s="769">
        <v>3.7907193045100001</v>
      </c>
      <c r="R270" s="216"/>
      <c r="S270" s="216">
        <v>3.7907193045100001</v>
      </c>
      <c r="T270" s="216">
        <v>26</v>
      </c>
      <c r="U270" s="216">
        <v>2.7679999999999998</v>
      </c>
      <c r="V270" s="115">
        <v>17.749559297600001</v>
      </c>
      <c r="W270" s="109"/>
      <c r="X270" s="109">
        <v>19.810386708719999</v>
      </c>
      <c r="Y270" s="109"/>
      <c r="Z270" s="109">
        <v>1.561767732659591E-2</v>
      </c>
      <c r="AA270" s="109">
        <v>19.866822276828479</v>
      </c>
      <c r="AB270" s="109" t="s">
        <v>256</v>
      </c>
      <c r="AC270" s="109"/>
      <c r="AD270" s="765"/>
      <c r="AE270" s="765" t="s">
        <v>625</v>
      </c>
      <c r="AF270" s="765"/>
      <c r="AG270" s="765"/>
      <c r="AH270" s="109"/>
      <c r="AL270" s="2" t="s">
        <v>679</v>
      </c>
      <c r="AM270" s="2" t="s">
        <v>706</v>
      </c>
      <c r="AN270" s="2" t="s">
        <v>952</v>
      </c>
      <c r="AO270" s="2">
        <v>0.30697606</v>
      </c>
      <c r="AP270" s="2" t="s">
        <v>4673</v>
      </c>
      <c r="AQ270" s="2" t="s">
        <v>4469</v>
      </c>
      <c r="AR270" s="2" t="s">
        <v>4756</v>
      </c>
      <c r="AT270" s="765"/>
      <c r="AU270" s="765"/>
      <c r="AV270" s="765"/>
      <c r="AW270" s="765"/>
    </row>
    <row r="271" spans="1:49" x14ac:dyDescent="0.25">
      <c r="A271" s="23" t="s">
        <v>510</v>
      </c>
      <c r="B271" s="108" t="s">
        <v>148</v>
      </c>
      <c r="C271" s="108" t="s">
        <v>150</v>
      </c>
      <c r="D271" s="108" t="s">
        <v>153</v>
      </c>
      <c r="E271" s="108" t="s">
        <v>1360</v>
      </c>
      <c r="F271" s="114" t="s">
        <v>694</v>
      </c>
      <c r="G271" s="213" t="s">
        <v>1314</v>
      </c>
      <c r="H271" s="115" t="s">
        <v>1317</v>
      </c>
      <c r="I271" s="213">
        <v>1446066.77</v>
      </c>
      <c r="J271" s="109">
        <v>4</v>
      </c>
      <c r="K271" s="109" t="s">
        <v>696</v>
      </c>
      <c r="L271" s="115">
        <v>8.8501789999999997E-2</v>
      </c>
      <c r="M271" s="115">
        <v>102.15280199999999</v>
      </c>
      <c r="N271" s="115">
        <v>102.18405199999999</v>
      </c>
      <c r="O271" s="214">
        <v>0.3</v>
      </c>
      <c r="P271" s="115">
        <v>6.2950999999999997</v>
      </c>
      <c r="Q271" s="769">
        <v>4.2213575595100004</v>
      </c>
      <c r="R271" s="216"/>
      <c r="S271" s="216">
        <v>4.2213575595100004</v>
      </c>
      <c r="T271" s="216">
        <v>27</v>
      </c>
      <c r="U271" s="216">
        <v>3.5659999999999998</v>
      </c>
      <c r="V271" s="115">
        <v>97.650721637990003</v>
      </c>
      <c r="W271" s="109"/>
      <c r="X271" s="109">
        <v>47.357452810669997</v>
      </c>
      <c r="Y271" s="109"/>
      <c r="Z271" s="109">
        <v>2.4374559096007609E-2</v>
      </c>
      <c r="AA271" s="109">
        <v>45.051518696749362</v>
      </c>
      <c r="AB271" s="109" t="s">
        <v>4530</v>
      </c>
      <c r="AC271" s="109" t="s">
        <v>2430</v>
      </c>
      <c r="AD271" s="765" t="s">
        <v>4531</v>
      </c>
      <c r="AE271" s="765" t="s">
        <v>625</v>
      </c>
      <c r="AF271" s="765"/>
      <c r="AG271" s="765"/>
      <c r="AH271" s="109"/>
      <c r="AL271" s="2" t="s">
        <v>679</v>
      </c>
      <c r="AM271" s="2" t="s">
        <v>706</v>
      </c>
      <c r="AN271" s="2" t="s">
        <v>952</v>
      </c>
      <c r="AO271" s="2">
        <v>8.8661260000000006E-2</v>
      </c>
      <c r="AP271" s="2" t="s">
        <v>4673</v>
      </c>
      <c r="AQ271" s="2" t="s">
        <v>4469</v>
      </c>
      <c r="AR271" s="2" t="s">
        <v>4756</v>
      </c>
      <c r="AT271" s="765"/>
      <c r="AU271" s="765"/>
      <c r="AV271" s="765"/>
      <c r="AW271" s="765"/>
    </row>
    <row r="272" spans="1:49" x14ac:dyDescent="0.25">
      <c r="A272" s="23" t="s">
        <v>564</v>
      </c>
      <c r="B272" s="108" t="s">
        <v>147</v>
      </c>
      <c r="C272" s="108" t="s">
        <v>150</v>
      </c>
      <c r="D272" s="108" t="s">
        <v>151</v>
      </c>
      <c r="E272" s="108" t="s">
        <v>1361</v>
      </c>
      <c r="F272" s="114" t="s">
        <v>694</v>
      </c>
      <c r="G272" s="213" t="s">
        <v>1113</v>
      </c>
      <c r="H272" s="115" t="s">
        <v>1359</v>
      </c>
      <c r="I272" s="213">
        <v>897380</v>
      </c>
      <c r="J272" s="109">
        <v>3</v>
      </c>
      <c r="K272" s="109" t="s">
        <v>696</v>
      </c>
      <c r="L272" s="115">
        <v>0.73986313999999997</v>
      </c>
      <c r="M272" s="115">
        <v>100.64778099999999</v>
      </c>
      <c r="N272" s="115">
        <v>100.67903099999999</v>
      </c>
      <c r="O272" s="214">
        <v>0.22500000000000001</v>
      </c>
      <c r="P272" s="115">
        <v>3.6556999999999999</v>
      </c>
      <c r="Q272" s="769">
        <v>3.3206482402900002</v>
      </c>
      <c r="R272" s="216"/>
      <c r="S272" s="216">
        <v>3.3206482402900002</v>
      </c>
      <c r="T272" s="216">
        <v>26</v>
      </c>
      <c r="U272" s="216">
        <v>2.7650000000000001</v>
      </c>
      <c r="V272" s="115">
        <v>17.512658986400002</v>
      </c>
      <c r="W272" s="109"/>
      <c r="X272" s="109">
        <v>15.47195812683</v>
      </c>
      <c r="Y272" s="109"/>
      <c r="Z272" s="109">
        <v>0.29337888274966201</v>
      </c>
      <c r="AA272" s="109">
        <v>0.30313324132097419</v>
      </c>
      <c r="AB272" s="109" t="s">
        <v>256</v>
      </c>
      <c r="AC272" s="109"/>
      <c r="AD272" s="765"/>
      <c r="AE272" s="765" t="s">
        <v>625</v>
      </c>
      <c r="AF272" s="765"/>
      <c r="AG272" s="765"/>
      <c r="AH272" s="109"/>
      <c r="AL272" s="2" t="s">
        <v>679</v>
      </c>
      <c r="AM272" s="2" t="s">
        <v>706</v>
      </c>
      <c r="AN272" s="2" t="s">
        <v>952</v>
      </c>
      <c r="AO272" s="2">
        <v>0.74502146000000002</v>
      </c>
      <c r="AP272" s="2" t="s">
        <v>4673</v>
      </c>
      <c r="AQ272" s="2" t="s">
        <v>4469</v>
      </c>
      <c r="AR272" s="2" t="s">
        <v>4756</v>
      </c>
      <c r="AT272" s="765"/>
      <c r="AU272" s="765"/>
      <c r="AV272" s="765"/>
      <c r="AW272" s="765"/>
    </row>
    <row r="273" spans="1:49" x14ac:dyDescent="0.25">
      <c r="A273" s="23" t="s">
        <v>549</v>
      </c>
      <c r="B273" s="108" t="s">
        <v>148</v>
      </c>
      <c r="C273" s="108" t="s">
        <v>150</v>
      </c>
      <c r="D273" s="108" t="s">
        <v>153</v>
      </c>
      <c r="E273" s="108" t="s">
        <v>1362</v>
      </c>
      <c r="F273" s="114" t="s">
        <v>694</v>
      </c>
      <c r="G273" s="213" t="s">
        <v>1115</v>
      </c>
      <c r="H273" s="115" t="s">
        <v>1117</v>
      </c>
      <c r="I273" s="213">
        <v>4104859.2</v>
      </c>
      <c r="J273" s="109">
        <v>4</v>
      </c>
      <c r="K273" s="109" t="s">
        <v>696</v>
      </c>
      <c r="L273" s="115">
        <v>0.45531232999999999</v>
      </c>
      <c r="M273" s="115">
        <v>102.15280199999999</v>
      </c>
      <c r="N273" s="115">
        <v>102.18405199999999</v>
      </c>
      <c r="O273" s="214">
        <v>0.3</v>
      </c>
      <c r="P273" s="115">
        <v>6.2706</v>
      </c>
      <c r="Q273" s="769">
        <v>4.0994098042799996</v>
      </c>
      <c r="R273" s="216"/>
      <c r="S273" s="216">
        <v>4.0994098042799996</v>
      </c>
      <c r="T273" s="216">
        <v>27</v>
      </c>
      <c r="U273" s="216">
        <v>3.5640000000000001</v>
      </c>
      <c r="V273" s="115">
        <v>97.499966626079996</v>
      </c>
      <c r="W273" s="109"/>
      <c r="X273" s="109">
        <v>45.277642266640001</v>
      </c>
      <c r="Y273" s="109"/>
      <c r="Z273" s="109">
        <v>50.79901479450448</v>
      </c>
      <c r="AA273" s="109">
        <v>48.515887336422793</v>
      </c>
      <c r="AB273" s="109" t="s">
        <v>3723</v>
      </c>
      <c r="AC273" s="109" t="s">
        <v>1348</v>
      </c>
      <c r="AD273" s="765" t="s">
        <v>4933</v>
      </c>
      <c r="AE273" s="765" t="s">
        <v>625</v>
      </c>
      <c r="AF273" s="765"/>
      <c r="AG273" s="765"/>
      <c r="AH273" s="109"/>
      <c r="AL273" s="2" t="s">
        <v>679</v>
      </c>
      <c r="AM273" s="2" t="s">
        <v>706</v>
      </c>
      <c r="AN273" s="2" t="s">
        <v>952</v>
      </c>
      <c r="AO273" s="2">
        <v>0.48389703000000001</v>
      </c>
      <c r="AP273" s="2" t="s">
        <v>4673</v>
      </c>
      <c r="AQ273" s="2" t="s">
        <v>4469</v>
      </c>
      <c r="AR273" s="2" t="s">
        <v>4756</v>
      </c>
      <c r="AT273" s="765"/>
      <c r="AU273" s="765"/>
      <c r="AV273" s="765"/>
      <c r="AW273" s="765"/>
    </row>
    <row r="274" spans="1:49" x14ac:dyDescent="0.25">
      <c r="A274" s="23" t="s">
        <v>550</v>
      </c>
      <c r="B274" s="108" t="s">
        <v>148</v>
      </c>
      <c r="C274" s="108" t="s">
        <v>150</v>
      </c>
      <c r="D274" s="108" t="s">
        <v>153</v>
      </c>
      <c r="E274" s="108" t="s">
        <v>1363</v>
      </c>
      <c r="F274" s="114" t="s">
        <v>694</v>
      </c>
      <c r="G274" s="213" t="s">
        <v>1115</v>
      </c>
      <c r="H274" s="115" t="s">
        <v>1117</v>
      </c>
      <c r="I274" s="213">
        <v>487885.11</v>
      </c>
      <c r="J274" s="109">
        <v>4</v>
      </c>
      <c r="K274" s="109" t="s">
        <v>696</v>
      </c>
      <c r="L274" s="115">
        <v>0.16037256999999999</v>
      </c>
      <c r="M274" s="115">
        <v>102.54154200000001</v>
      </c>
      <c r="N274" s="115">
        <v>102.58841700000001</v>
      </c>
      <c r="O274" s="214">
        <v>0.3</v>
      </c>
      <c r="P274" s="115">
        <v>6.2976000000000001</v>
      </c>
      <c r="Q274" s="769">
        <v>4.68797192165</v>
      </c>
      <c r="R274" s="216"/>
      <c r="S274" s="216">
        <v>4.68797192165</v>
      </c>
      <c r="T274" s="216">
        <v>27</v>
      </c>
      <c r="U274" s="216">
        <v>3.4929999999999999</v>
      </c>
      <c r="V274" s="115">
        <v>90.346707837720004</v>
      </c>
      <c r="W274" s="109"/>
      <c r="X274" s="109">
        <v>59.976525236880001</v>
      </c>
      <c r="Y274" s="109"/>
      <c r="Z274" s="109">
        <v>0.25301867698319658</v>
      </c>
      <c r="AA274" s="109">
        <v>0.25413616825894492</v>
      </c>
      <c r="AB274" s="109" t="s">
        <v>2397</v>
      </c>
      <c r="AC274" s="109" t="s">
        <v>2720</v>
      </c>
      <c r="AD274" s="765" t="s">
        <v>2610</v>
      </c>
      <c r="AE274" s="765" t="s">
        <v>625</v>
      </c>
      <c r="AF274" s="765"/>
      <c r="AG274" s="765"/>
      <c r="AH274" s="109"/>
      <c r="AL274" s="2" t="s">
        <v>679</v>
      </c>
      <c r="AM274" s="2" t="s">
        <v>706</v>
      </c>
      <c r="AN274" s="2" t="s">
        <v>952</v>
      </c>
      <c r="AO274" s="2">
        <v>0.16069131</v>
      </c>
      <c r="AP274" s="2" t="s">
        <v>4673</v>
      </c>
      <c r="AQ274" s="2" t="s">
        <v>4469</v>
      </c>
      <c r="AR274" s="2" t="s">
        <v>4756</v>
      </c>
      <c r="AT274" s="765"/>
      <c r="AU274" s="765"/>
      <c r="AV274" s="765"/>
      <c r="AW274" s="765"/>
    </row>
    <row r="275" spans="1:49" x14ac:dyDescent="0.25">
      <c r="A275" s="23" t="s">
        <v>690</v>
      </c>
      <c r="B275" s="108" t="s">
        <v>148</v>
      </c>
      <c r="C275" s="108" t="s">
        <v>150</v>
      </c>
      <c r="D275" s="108" t="s">
        <v>153</v>
      </c>
      <c r="E275" s="108" t="s">
        <v>1364</v>
      </c>
      <c r="F275" s="114" t="s">
        <v>694</v>
      </c>
      <c r="G275" s="213" t="s">
        <v>1358</v>
      </c>
      <c r="H275" s="115" t="s">
        <v>1116</v>
      </c>
      <c r="I275" s="213">
        <v>16615384.119999999</v>
      </c>
      <c r="J275" s="109">
        <v>4</v>
      </c>
      <c r="K275" s="109" t="s">
        <v>696</v>
      </c>
      <c r="L275" s="115">
        <v>0.42759241999999997</v>
      </c>
      <c r="M275" s="115">
        <v>102.918266</v>
      </c>
      <c r="N275" s="115">
        <v>102.965141</v>
      </c>
      <c r="O275" s="214">
        <v>0.3</v>
      </c>
      <c r="P275" s="115">
        <v>6.2640000000000002</v>
      </c>
      <c r="Q275" s="769">
        <v>5.0586784149500001</v>
      </c>
      <c r="R275" s="216"/>
      <c r="S275" s="216">
        <v>5.0586784149500001</v>
      </c>
      <c r="T275" s="216">
        <v>27</v>
      </c>
      <c r="U275" s="216">
        <v>3.419</v>
      </c>
      <c r="V275" s="115">
        <v>83.012951332119997</v>
      </c>
      <c r="W275" s="109"/>
      <c r="X275" s="109">
        <v>48.383089332739999</v>
      </c>
      <c r="Y275" s="109"/>
      <c r="Z275" s="109">
        <v>36.17150069327031</v>
      </c>
      <c r="AA275" s="109">
        <v>26.727933941989381</v>
      </c>
      <c r="AB275" s="109" t="s">
        <v>256</v>
      </c>
      <c r="AC275" s="109"/>
      <c r="AD275" s="765"/>
      <c r="AE275" s="765" t="s">
        <v>625</v>
      </c>
      <c r="AF275" s="765"/>
      <c r="AG275" s="765"/>
      <c r="AH275" s="109"/>
      <c r="AL275" s="2" t="s">
        <v>679</v>
      </c>
      <c r="AM275" s="2" t="s">
        <v>706</v>
      </c>
      <c r="AN275" s="2" t="s">
        <v>952</v>
      </c>
      <c r="AO275" s="2">
        <v>0.44470198</v>
      </c>
      <c r="AP275" s="2" t="s">
        <v>4673</v>
      </c>
      <c r="AQ275" s="2" t="s">
        <v>4469</v>
      </c>
      <c r="AR275" s="2" t="s">
        <v>4756</v>
      </c>
      <c r="AT275" s="765"/>
      <c r="AU275" s="765"/>
      <c r="AV275" s="765"/>
      <c r="AW275" s="765"/>
    </row>
    <row r="276" spans="1:49" x14ac:dyDescent="0.25">
      <c r="A276" s="23" t="s">
        <v>790</v>
      </c>
      <c r="B276" s="108" t="s">
        <v>148</v>
      </c>
      <c r="C276" s="108" t="s">
        <v>150</v>
      </c>
      <c r="D276" s="108" t="s">
        <v>153</v>
      </c>
      <c r="E276" s="108" t="s">
        <v>1365</v>
      </c>
      <c r="F276" s="114" t="s">
        <v>694</v>
      </c>
      <c r="G276" s="213" t="s">
        <v>1197</v>
      </c>
      <c r="H276" s="115" t="s">
        <v>1273</v>
      </c>
      <c r="I276" s="213">
        <v>5123261.28</v>
      </c>
      <c r="J276" s="109">
        <v>4</v>
      </c>
      <c r="K276" s="109" t="s">
        <v>696</v>
      </c>
      <c r="L276" s="115">
        <v>0.23488223999999999</v>
      </c>
      <c r="M276" s="115">
        <v>102.802361</v>
      </c>
      <c r="N276" s="115">
        <v>102.849236</v>
      </c>
      <c r="O276" s="214">
        <v>0.3</v>
      </c>
      <c r="P276" s="115">
        <v>6.2686000000000002</v>
      </c>
      <c r="Q276" s="769">
        <v>4.4782991931699998</v>
      </c>
      <c r="R276" s="216"/>
      <c r="S276" s="216">
        <v>4.4782991931699998</v>
      </c>
      <c r="T276" s="216">
        <v>27</v>
      </c>
      <c r="U276" s="216">
        <v>3.4420000000000002</v>
      </c>
      <c r="V276" s="115">
        <v>85.232066096889994</v>
      </c>
      <c r="W276" s="109"/>
      <c r="X276" s="109">
        <v>52.928477869289999</v>
      </c>
      <c r="Y276" s="109"/>
      <c r="Z276" s="109">
        <v>5.6131906678447141E-2</v>
      </c>
      <c r="AA276" s="109">
        <v>42.149253547109943</v>
      </c>
      <c r="AB276" s="109" t="s">
        <v>250</v>
      </c>
      <c r="AC276" s="109" t="s">
        <v>237</v>
      </c>
      <c r="AD276" s="765" t="s">
        <v>4697</v>
      </c>
      <c r="AE276" s="765" t="s">
        <v>625</v>
      </c>
      <c r="AF276" s="765"/>
      <c r="AG276" s="765"/>
      <c r="AH276" s="109"/>
      <c r="AL276" s="2" t="s">
        <v>679</v>
      </c>
      <c r="AM276" s="2" t="s">
        <v>706</v>
      </c>
      <c r="AN276" s="2" t="s">
        <v>952</v>
      </c>
      <c r="AO276" s="2">
        <v>0.23531882000000001</v>
      </c>
      <c r="AP276" s="2" t="s">
        <v>4673</v>
      </c>
      <c r="AQ276" s="2" t="s">
        <v>4469</v>
      </c>
      <c r="AR276" s="2" t="s">
        <v>4756</v>
      </c>
      <c r="AT276" s="765"/>
      <c r="AU276" s="765"/>
      <c r="AV276" s="765"/>
      <c r="AW276" s="765"/>
    </row>
    <row r="277" spans="1:49" x14ac:dyDescent="0.25">
      <c r="A277" s="23" t="s">
        <v>551</v>
      </c>
      <c r="B277" s="108" t="s">
        <v>148</v>
      </c>
      <c r="C277" s="108" t="s">
        <v>150</v>
      </c>
      <c r="D277" s="108" t="s">
        <v>153</v>
      </c>
      <c r="E277" s="108" t="s">
        <v>1366</v>
      </c>
      <c r="F277" s="114" t="s">
        <v>694</v>
      </c>
      <c r="G277" s="213" t="s">
        <v>1113</v>
      </c>
      <c r="H277" s="115" t="s">
        <v>1114</v>
      </c>
      <c r="I277" s="213">
        <v>1250918.2</v>
      </c>
      <c r="J277" s="109">
        <v>4</v>
      </c>
      <c r="K277" s="109" t="s">
        <v>696</v>
      </c>
      <c r="L277" s="115">
        <v>0.23097570000000001</v>
      </c>
      <c r="M277" s="115">
        <v>102.15280199999999</v>
      </c>
      <c r="N277" s="115">
        <v>102.18405199999999</v>
      </c>
      <c r="O277" s="214">
        <v>0.3</v>
      </c>
      <c r="P277" s="115">
        <v>6.3403999999999998</v>
      </c>
      <c r="Q277" s="769">
        <v>4.60038304369</v>
      </c>
      <c r="R277" s="216"/>
      <c r="S277" s="216">
        <v>4.60038304369</v>
      </c>
      <c r="T277" s="216">
        <v>27</v>
      </c>
      <c r="U277" s="216">
        <v>3.5680000000000001</v>
      </c>
      <c r="V277" s="115">
        <v>97.945718469989998</v>
      </c>
      <c r="W277" s="109"/>
      <c r="X277" s="109">
        <v>62.031707824990001</v>
      </c>
      <c r="Y277" s="109"/>
      <c r="Z277" s="109">
        <v>4.1326849442302471E-2</v>
      </c>
      <c r="AA277" s="109">
        <v>71.062880556840383</v>
      </c>
      <c r="AB277" s="109" t="s">
        <v>1353</v>
      </c>
      <c r="AC277" s="109" t="s">
        <v>4698</v>
      </c>
      <c r="AD277" s="765" t="s">
        <v>4699</v>
      </c>
      <c r="AE277" s="765" t="s">
        <v>625</v>
      </c>
      <c r="AF277" s="765"/>
      <c r="AG277" s="765"/>
      <c r="AH277" s="109"/>
      <c r="AL277" s="2" t="s">
        <v>679</v>
      </c>
      <c r="AM277" s="2" t="s">
        <v>706</v>
      </c>
      <c r="AN277" s="2" t="s">
        <v>952</v>
      </c>
      <c r="AO277" s="2">
        <v>0.23138070999999999</v>
      </c>
      <c r="AP277" s="2" t="s">
        <v>4673</v>
      </c>
      <c r="AQ277" s="2" t="s">
        <v>4469</v>
      </c>
      <c r="AR277" s="2" t="s">
        <v>4756</v>
      </c>
      <c r="AT277" s="765"/>
      <c r="AU277" s="765"/>
      <c r="AV277" s="765"/>
      <c r="AW277" s="765"/>
    </row>
    <row r="278" spans="1:49" x14ac:dyDescent="0.25">
      <c r="A278" s="23" t="s">
        <v>552</v>
      </c>
      <c r="B278" s="108" t="s">
        <v>148</v>
      </c>
      <c r="C278" s="108" t="s">
        <v>150</v>
      </c>
      <c r="D278" s="108" t="s">
        <v>153</v>
      </c>
      <c r="E278" s="108" t="s">
        <v>1367</v>
      </c>
      <c r="F278" s="114" t="s">
        <v>694</v>
      </c>
      <c r="G278" s="213" t="s">
        <v>1113</v>
      </c>
      <c r="H278" s="115" t="s">
        <v>1114</v>
      </c>
      <c r="I278" s="213">
        <v>2799616.49</v>
      </c>
      <c r="J278" s="109">
        <v>4</v>
      </c>
      <c r="K278" s="109" t="s">
        <v>696</v>
      </c>
      <c r="L278" s="115">
        <v>0.21703053999999999</v>
      </c>
      <c r="M278" s="115">
        <v>102.15280199999999</v>
      </c>
      <c r="N278" s="115">
        <v>102.18405199999999</v>
      </c>
      <c r="O278" s="214">
        <v>0.3</v>
      </c>
      <c r="P278" s="115">
        <v>6.2979000000000003</v>
      </c>
      <c r="Q278" s="769">
        <v>4.2226093285899999</v>
      </c>
      <c r="R278" s="216"/>
      <c r="S278" s="216">
        <v>4.2226093285899999</v>
      </c>
      <c r="T278" s="216">
        <v>27</v>
      </c>
      <c r="U278" s="216">
        <v>3.5659999999999998</v>
      </c>
      <c r="V278" s="115">
        <v>97.681180432310001</v>
      </c>
      <c r="W278" s="109"/>
      <c r="X278" s="109">
        <v>46.896544724599998</v>
      </c>
      <c r="Y278" s="109"/>
      <c r="Z278" s="109">
        <v>54.874321242002921</v>
      </c>
      <c r="AA278" s="109">
        <v>12.55652247598908</v>
      </c>
      <c r="AB278" s="109" t="s">
        <v>4739</v>
      </c>
      <c r="AC278" s="109" t="s">
        <v>1268</v>
      </c>
      <c r="AD278" s="765" t="s">
        <v>4934</v>
      </c>
      <c r="AE278" s="765" t="s">
        <v>625</v>
      </c>
      <c r="AF278" s="765"/>
      <c r="AG278" s="765"/>
      <c r="AH278" s="109"/>
      <c r="AL278" s="2" t="s">
        <v>679</v>
      </c>
      <c r="AM278" s="2" t="s">
        <v>706</v>
      </c>
      <c r="AN278" s="2" t="s">
        <v>952</v>
      </c>
      <c r="AO278" s="2">
        <v>0.23231631</v>
      </c>
      <c r="AP278" s="2" t="s">
        <v>4673</v>
      </c>
      <c r="AQ278" s="2" t="s">
        <v>4469</v>
      </c>
      <c r="AR278" s="2" t="s">
        <v>4756</v>
      </c>
      <c r="AT278" s="765"/>
      <c r="AU278" s="765"/>
      <c r="AV278" s="765"/>
      <c r="AW278" s="765"/>
    </row>
    <row r="279" spans="1:49" x14ac:dyDescent="0.25">
      <c r="A279" s="23" t="s">
        <v>553</v>
      </c>
      <c r="B279" s="108" t="s">
        <v>148</v>
      </c>
      <c r="C279" s="108" t="s">
        <v>150</v>
      </c>
      <c r="D279" s="108" t="s">
        <v>153</v>
      </c>
      <c r="E279" s="108" t="s">
        <v>1368</v>
      </c>
      <c r="F279" s="114" t="s">
        <v>694</v>
      </c>
      <c r="G279" s="213" t="s">
        <v>1358</v>
      </c>
      <c r="H279" s="115" t="s">
        <v>1116</v>
      </c>
      <c r="I279" s="213">
        <v>671509.56</v>
      </c>
      <c r="J279" s="109">
        <v>4</v>
      </c>
      <c r="K279" s="109" t="s">
        <v>696</v>
      </c>
      <c r="L279" s="115">
        <v>0.33044111999999998</v>
      </c>
      <c r="M279" s="115">
        <v>102.198189</v>
      </c>
      <c r="N279" s="115">
        <v>102.229439</v>
      </c>
      <c r="O279" s="214">
        <v>0.3</v>
      </c>
      <c r="P279" s="115">
        <v>6.3282999999999996</v>
      </c>
      <c r="Q279" s="769">
        <v>4.9052097218000004</v>
      </c>
      <c r="R279" s="216"/>
      <c r="S279" s="216">
        <v>4.9052097218000004</v>
      </c>
      <c r="T279" s="216">
        <v>27</v>
      </c>
      <c r="U279" s="216">
        <v>3.5590000000000002</v>
      </c>
      <c r="V279" s="115">
        <v>97.001689365399997</v>
      </c>
      <c r="W279" s="109"/>
      <c r="X279" s="109">
        <v>70.520787177459994</v>
      </c>
      <c r="Y279" s="109"/>
      <c r="Z279" s="109">
        <v>6.0836162183885989E-2</v>
      </c>
      <c r="AA279" s="109">
        <v>46.404287504084962</v>
      </c>
      <c r="AB279" s="109" t="s">
        <v>3720</v>
      </c>
      <c r="AC279" s="109" t="s">
        <v>3721</v>
      </c>
      <c r="AD279" s="765" t="s">
        <v>3722</v>
      </c>
      <c r="AE279" s="765" t="s">
        <v>625</v>
      </c>
      <c r="AF279" s="765"/>
      <c r="AG279" s="765"/>
      <c r="AH279" s="109"/>
      <c r="AL279" s="2" t="s">
        <v>679</v>
      </c>
      <c r="AM279" s="2" t="s">
        <v>706</v>
      </c>
      <c r="AN279" s="2" t="s">
        <v>952</v>
      </c>
      <c r="AO279" s="2">
        <v>0.33103776000000001</v>
      </c>
      <c r="AP279" s="2" t="s">
        <v>4673</v>
      </c>
      <c r="AQ279" s="2" t="s">
        <v>4469</v>
      </c>
      <c r="AR279" s="2" t="s">
        <v>4756</v>
      </c>
      <c r="AT279" s="765"/>
      <c r="AU279" s="765"/>
      <c r="AV279" s="765"/>
      <c r="AW279" s="765"/>
    </row>
    <row r="280" spans="1:49" x14ac:dyDescent="0.25">
      <c r="A280" s="23" t="s">
        <v>554</v>
      </c>
      <c r="B280" s="108" t="s">
        <v>148</v>
      </c>
      <c r="C280" s="108" t="s">
        <v>150</v>
      </c>
      <c r="D280" s="108" t="s">
        <v>153</v>
      </c>
      <c r="E280" s="108" t="s">
        <v>1369</v>
      </c>
      <c r="F280" s="114" t="s">
        <v>694</v>
      </c>
      <c r="G280" s="213" t="s">
        <v>1358</v>
      </c>
      <c r="H280" s="115" t="s">
        <v>1116</v>
      </c>
      <c r="I280" s="213">
        <v>916480.32</v>
      </c>
      <c r="J280" s="109">
        <v>4</v>
      </c>
      <c r="K280" s="109" t="s">
        <v>696</v>
      </c>
      <c r="L280" s="115">
        <v>0.32724672999999999</v>
      </c>
      <c r="M280" s="115">
        <v>102.198189</v>
      </c>
      <c r="N280" s="115">
        <v>102.229439</v>
      </c>
      <c r="O280" s="214">
        <v>0.3</v>
      </c>
      <c r="P280" s="115">
        <v>6.3319000000000001</v>
      </c>
      <c r="Q280" s="769">
        <v>4.4317754990499996</v>
      </c>
      <c r="R280" s="216"/>
      <c r="S280" s="216">
        <v>4.4317754990499996</v>
      </c>
      <c r="T280" s="216">
        <v>27</v>
      </c>
      <c r="U280" s="216">
        <v>3.5590000000000002</v>
      </c>
      <c r="V280" s="115">
        <v>97.038189535290002</v>
      </c>
      <c r="W280" s="109"/>
      <c r="X280" s="109">
        <v>64.177045451460003</v>
      </c>
      <c r="Y280" s="109"/>
      <c r="Z280" s="109">
        <v>4.3707782322799371E-2</v>
      </c>
      <c r="AA280" s="109">
        <v>59.291201978112461</v>
      </c>
      <c r="AB280" s="109" t="s">
        <v>4700</v>
      </c>
      <c r="AC280" s="109" t="s">
        <v>4701</v>
      </c>
      <c r="AD280" s="765" t="s">
        <v>4702</v>
      </c>
      <c r="AE280" s="765" t="s">
        <v>625</v>
      </c>
      <c r="AF280" s="765"/>
      <c r="AG280" s="765"/>
      <c r="AH280" s="109"/>
      <c r="AL280" s="2" t="s">
        <v>679</v>
      </c>
      <c r="AM280" s="2" t="s">
        <v>706</v>
      </c>
      <c r="AN280" s="2" t="s">
        <v>952</v>
      </c>
      <c r="AO280" s="2">
        <v>0.32782425999999998</v>
      </c>
      <c r="AP280" s="2" t="s">
        <v>4673</v>
      </c>
      <c r="AQ280" s="2" t="s">
        <v>4469</v>
      </c>
      <c r="AR280" s="2" t="s">
        <v>4756</v>
      </c>
      <c r="AT280" s="765"/>
      <c r="AU280" s="765"/>
      <c r="AV280" s="765"/>
      <c r="AW280" s="765"/>
    </row>
    <row r="281" spans="1:49" x14ac:dyDescent="0.25">
      <c r="A281" s="23" t="s">
        <v>565</v>
      </c>
      <c r="B281" s="108" t="s">
        <v>147</v>
      </c>
      <c r="C281" s="108" t="s">
        <v>150</v>
      </c>
      <c r="D281" s="108" t="s">
        <v>151</v>
      </c>
      <c r="E281" s="108" t="s">
        <v>1370</v>
      </c>
      <c r="F281" s="114" t="s">
        <v>694</v>
      </c>
      <c r="G281" s="213" t="s">
        <v>1109</v>
      </c>
      <c r="H281" s="115" t="s">
        <v>1371</v>
      </c>
      <c r="I281" s="213">
        <v>463748.3</v>
      </c>
      <c r="J281" s="109">
        <v>3</v>
      </c>
      <c r="K281" s="109" t="s">
        <v>696</v>
      </c>
      <c r="L281" s="115">
        <v>0.35223306999999998</v>
      </c>
      <c r="M281" s="115">
        <v>100.64778099999999</v>
      </c>
      <c r="N281" s="115">
        <v>100.67903099999999</v>
      </c>
      <c r="O281" s="214">
        <v>0.22500000000000001</v>
      </c>
      <c r="P281" s="115">
        <v>3.5642</v>
      </c>
      <c r="Q281" s="769">
        <v>2.8852388665499999</v>
      </c>
      <c r="R281" s="216"/>
      <c r="S281" s="216">
        <v>2.8852388665499999</v>
      </c>
      <c r="T281" s="216">
        <v>26</v>
      </c>
      <c r="U281" s="216">
        <v>2.76</v>
      </c>
      <c r="V281" s="115">
        <v>16.99377493163</v>
      </c>
      <c r="W281" s="109"/>
      <c r="X281" s="109">
        <v>9.2843120069200005</v>
      </c>
      <c r="Y281" s="109"/>
      <c r="Z281" s="109">
        <v>2.2145847884833652</v>
      </c>
      <c r="AA281" s="109">
        <v>36.831527850906262</v>
      </c>
      <c r="AB281" s="109" t="s">
        <v>4533</v>
      </c>
      <c r="AC281" s="109" t="s">
        <v>4935</v>
      </c>
      <c r="AD281" s="765" t="s">
        <v>4534</v>
      </c>
      <c r="AE281" s="765" t="s">
        <v>625</v>
      </c>
      <c r="AF281" s="765"/>
      <c r="AG281" s="765"/>
      <c r="AH281" s="109"/>
      <c r="AL281" s="2" t="s">
        <v>679</v>
      </c>
      <c r="AM281" s="2" t="s">
        <v>706</v>
      </c>
      <c r="AN281" s="2" t="s">
        <v>952</v>
      </c>
      <c r="AO281" s="2">
        <v>0.35535572999999998</v>
      </c>
      <c r="AP281" s="2" t="s">
        <v>4673</v>
      </c>
      <c r="AQ281" s="2" t="s">
        <v>4469</v>
      </c>
      <c r="AR281" s="2" t="s">
        <v>4756</v>
      </c>
      <c r="AT281" s="765"/>
      <c r="AU281" s="765"/>
      <c r="AV281" s="765"/>
      <c r="AW281" s="765"/>
    </row>
    <row r="282" spans="1:49" x14ac:dyDescent="0.25">
      <c r="A282" s="23" t="s">
        <v>555</v>
      </c>
      <c r="B282" s="108" t="s">
        <v>148</v>
      </c>
      <c r="C282" s="108" t="s">
        <v>150</v>
      </c>
      <c r="D282" s="108" t="s">
        <v>153</v>
      </c>
      <c r="E282" s="108" t="s">
        <v>1372</v>
      </c>
      <c r="F282" s="114" t="s">
        <v>694</v>
      </c>
      <c r="G282" s="213" t="s">
        <v>1113</v>
      </c>
      <c r="H282" s="115" t="s">
        <v>1114</v>
      </c>
      <c r="I282" s="213">
        <v>1566105.73</v>
      </c>
      <c r="J282" s="109">
        <v>4</v>
      </c>
      <c r="K282" s="109" t="s">
        <v>696</v>
      </c>
      <c r="L282" s="115">
        <v>0.26145246</v>
      </c>
      <c r="M282" s="115">
        <v>102.15280199999999</v>
      </c>
      <c r="N282" s="115">
        <v>102.18405199999999</v>
      </c>
      <c r="O282" s="214">
        <v>0.3</v>
      </c>
      <c r="P282" s="115">
        <v>6.2507999999999999</v>
      </c>
      <c r="Q282" s="769">
        <v>4.2409172036499996</v>
      </c>
      <c r="R282" s="216"/>
      <c r="S282" s="216">
        <v>4.2409172036499996</v>
      </c>
      <c r="T282" s="216">
        <v>27</v>
      </c>
      <c r="U282" s="216">
        <v>3.5630000000000002</v>
      </c>
      <c r="V282" s="115">
        <v>97.381443352420007</v>
      </c>
      <c r="W282" s="109"/>
      <c r="X282" s="109">
        <v>47.573656162559999</v>
      </c>
      <c r="Y282" s="109"/>
      <c r="Z282" s="109">
        <v>82.579137609754412</v>
      </c>
      <c r="AA282" s="109">
        <v>52.897844665303722</v>
      </c>
      <c r="AB282" s="109" t="s">
        <v>2193</v>
      </c>
      <c r="AC282" s="109" t="s">
        <v>4936</v>
      </c>
      <c r="AD282" s="765" t="s">
        <v>4937</v>
      </c>
      <c r="AE282" s="765" t="s">
        <v>625</v>
      </c>
      <c r="AF282" s="765"/>
      <c r="AG282" s="765"/>
      <c r="AH282" s="109"/>
      <c r="AL282" s="2" t="s">
        <v>679</v>
      </c>
      <c r="AM282" s="2" t="s">
        <v>706</v>
      </c>
      <c r="AN282" s="2" t="s">
        <v>952</v>
      </c>
      <c r="AO282" s="2">
        <v>0.30297864000000002</v>
      </c>
      <c r="AP282" s="2" t="s">
        <v>4673</v>
      </c>
      <c r="AQ282" s="2" t="s">
        <v>4469</v>
      </c>
      <c r="AR282" s="2" t="s">
        <v>4756</v>
      </c>
      <c r="AT282" s="765"/>
      <c r="AU282" s="765"/>
      <c r="AV282" s="765"/>
      <c r="AW282" s="765"/>
    </row>
    <row r="283" spans="1:49" x14ac:dyDescent="0.25">
      <c r="A283" s="23" t="s">
        <v>566</v>
      </c>
      <c r="B283" s="108" t="s">
        <v>147</v>
      </c>
      <c r="C283" s="108" t="s">
        <v>150</v>
      </c>
      <c r="D283" s="108" t="s">
        <v>151</v>
      </c>
      <c r="E283" s="108" t="s">
        <v>1373</v>
      </c>
      <c r="F283" s="114" t="s">
        <v>694</v>
      </c>
      <c r="G283" s="213" t="s">
        <v>1358</v>
      </c>
      <c r="H283" s="115" t="s">
        <v>1359</v>
      </c>
      <c r="I283" s="213">
        <v>1207325.8799999999</v>
      </c>
      <c r="J283" s="109">
        <v>3</v>
      </c>
      <c r="K283" s="109" t="s">
        <v>696</v>
      </c>
      <c r="L283" s="115">
        <v>0.39854511999999997</v>
      </c>
      <c r="M283" s="115">
        <v>100.64778099999999</v>
      </c>
      <c r="N283" s="115">
        <v>100.67903099999999</v>
      </c>
      <c r="O283" s="214">
        <v>0.22500000000000001</v>
      </c>
      <c r="P283" s="115">
        <v>3.5821000000000001</v>
      </c>
      <c r="Q283" s="769">
        <v>3.25006174992</v>
      </c>
      <c r="R283" s="216"/>
      <c r="S283" s="216">
        <v>3.25006174992</v>
      </c>
      <c r="T283" s="216">
        <v>26</v>
      </c>
      <c r="U283" s="216">
        <v>2.7610000000000001</v>
      </c>
      <c r="V283" s="115">
        <v>17.097470818889999</v>
      </c>
      <c r="W283" s="109"/>
      <c r="X283" s="109">
        <v>13.084112547269999</v>
      </c>
      <c r="Y283" s="109"/>
      <c r="Z283" s="109">
        <v>2.112094983593082</v>
      </c>
      <c r="AA283" s="109">
        <v>24.681710344581791</v>
      </c>
      <c r="AB283" s="109" t="s">
        <v>2552</v>
      </c>
      <c r="AC283" s="109" t="s">
        <v>4535</v>
      </c>
      <c r="AD283" s="765" t="s">
        <v>3955</v>
      </c>
      <c r="AE283" s="765" t="s">
        <v>625</v>
      </c>
      <c r="AF283" s="765"/>
      <c r="AG283" s="765"/>
      <c r="AH283" s="109"/>
      <c r="AL283" s="2" t="s">
        <v>679</v>
      </c>
      <c r="AM283" s="2" t="s">
        <v>706</v>
      </c>
      <c r="AN283" s="2" t="s">
        <v>952</v>
      </c>
      <c r="AO283" s="2">
        <v>0.40202401999999998</v>
      </c>
      <c r="AP283" s="2" t="s">
        <v>4673</v>
      </c>
      <c r="AQ283" s="2" t="s">
        <v>4469</v>
      </c>
      <c r="AR283" s="2" t="s">
        <v>4756</v>
      </c>
      <c r="AT283" s="765"/>
      <c r="AU283" s="765"/>
      <c r="AV283" s="765"/>
      <c r="AW283" s="765"/>
    </row>
    <row r="284" spans="1:49" x14ac:dyDescent="0.25">
      <c r="A284" s="23" t="s">
        <v>567</v>
      </c>
      <c r="B284" s="108" t="s">
        <v>147</v>
      </c>
      <c r="C284" s="108" t="s">
        <v>150</v>
      </c>
      <c r="D284" s="108" t="s">
        <v>151</v>
      </c>
      <c r="E284" s="108" t="s">
        <v>1374</v>
      </c>
      <c r="F284" s="114" t="s">
        <v>694</v>
      </c>
      <c r="G284" s="213" t="s">
        <v>1358</v>
      </c>
      <c r="H284" s="115" t="s">
        <v>1375</v>
      </c>
      <c r="I284" s="213">
        <v>707201.22</v>
      </c>
      <c r="J284" s="109">
        <v>3</v>
      </c>
      <c r="K284" s="109" t="s">
        <v>696</v>
      </c>
      <c r="L284" s="115">
        <v>0.25515696999999998</v>
      </c>
      <c r="M284" s="115">
        <v>100.64778099999999</v>
      </c>
      <c r="N284" s="115">
        <v>100.67903099999999</v>
      </c>
      <c r="O284" s="214">
        <v>0.22500000000000001</v>
      </c>
      <c r="P284" s="115">
        <v>3.6406000000000001</v>
      </c>
      <c r="Q284" s="769">
        <v>3.2872018327700001</v>
      </c>
      <c r="R284" s="216"/>
      <c r="S284" s="216">
        <v>3.2872018327700001</v>
      </c>
      <c r="T284" s="216">
        <v>26</v>
      </c>
      <c r="U284" s="216">
        <v>2.7639999999999998</v>
      </c>
      <c r="V284" s="115">
        <v>17.429975268269999</v>
      </c>
      <c r="W284" s="109"/>
      <c r="X284" s="109">
        <v>13.648420593000001</v>
      </c>
      <c r="Y284" s="109"/>
      <c r="Z284" s="109">
        <v>0.83741500169473015</v>
      </c>
      <c r="AA284" s="109">
        <v>13.80205199041421</v>
      </c>
      <c r="AB284" s="109" t="s">
        <v>4036</v>
      </c>
      <c r="AC284" s="109" t="s">
        <v>4704</v>
      </c>
      <c r="AD284" s="765" t="s">
        <v>4705</v>
      </c>
      <c r="AE284" s="765" t="s">
        <v>625</v>
      </c>
      <c r="AF284" s="765"/>
      <c r="AG284" s="765"/>
      <c r="AH284" s="109"/>
      <c r="AL284" s="2" t="s">
        <v>679</v>
      </c>
      <c r="AM284" s="2" t="s">
        <v>706</v>
      </c>
      <c r="AN284" s="2" t="s">
        <v>952</v>
      </c>
      <c r="AO284" s="2">
        <v>0.25705974999999998</v>
      </c>
      <c r="AP284" s="2" t="s">
        <v>4673</v>
      </c>
      <c r="AQ284" s="2" t="s">
        <v>4469</v>
      </c>
      <c r="AR284" s="2" t="s">
        <v>4756</v>
      </c>
      <c r="AT284" s="765"/>
      <c r="AU284" s="765"/>
      <c r="AV284" s="765"/>
      <c r="AW284" s="765"/>
    </row>
    <row r="285" spans="1:49" x14ac:dyDescent="0.25">
      <c r="A285" s="23" t="s">
        <v>556</v>
      </c>
      <c r="B285" s="108" t="s">
        <v>148</v>
      </c>
      <c r="C285" s="108" t="s">
        <v>150</v>
      </c>
      <c r="D285" s="108" t="s">
        <v>153</v>
      </c>
      <c r="E285" s="108" t="s">
        <v>1376</v>
      </c>
      <c r="F285" s="114" t="s">
        <v>694</v>
      </c>
      <c r="G285" s="213" t="s">
        <v>1358</v>
      </c>
      <c r="H285" s="115" t="s">
        <v>1116</v>
      </c>
      <c r="I285" s="213">
        <v>1588008.83</v>
      </c>
      <c r="J285" s="109">
        <v>4</v>
      </c>
      <c r="K285" s="109" t="s">
        <v>696</v>
      </c>
      <c r="L285" s="115">
        <v>0.28046946</v>
      </c>
      <c r="M285" s="115">
        <v>102.15280199999999</v>
      </c>
      <c r="N285" s="115">
        <v>102.18405199999999</v>
      </c>
      <c r="O285" s="214">
        <v>0.3</v>
      </c>
      <c r="P285" s="115">
        <v>6.3274999999999997</v>
      </c>
      <c r="Q285" s="769">
        <v>4.1904553416699999</v>
      </c>
      <c r="R285" s="216"/>
      <c r="S285" s="216">
        <v>4.1904553416699999</v>
      </c>
      <c r="T285" s="216">
        <v>27</v>
      </c>
      <c r="U285" s="216">
        <v>3.5670000000000002</v>
      </c>
      <c r="V285" s="115">
        <v>97.866886490580001</v>
      </c>
      <c r="W285" s="109"/>
      <c r="X285" s="109">
        <v>43.386248730040002</v>
      </c>
      <c r="Y285" s="109"/>
      <c r="Z285" s="109">
        <v>4.0216904927503627E-3</v>
      </c>
      <c r="AA285" s="109">
        <v>29.918973166247799</v>
      </c>
      <c r="AB285" s="109" t="s">
        <v>4706</v>
      </c>
      <c r="AC285" s="109" t="s">
        <v>4707</v>
      </c>
      <c r="AD285" s="765" t="s">
        <v>4708</v>
      </c>
      <c r="AE285" s="765" t="s">
        <v>625</v>
      </c>
      <c r="AF285" s="765"/>
      <c r="AG285" s="765"/>
      <c r="AH285" s="109"/>
      <c r="AL285" s="2" t="s">
        <v>679</v>
      </c>
      <c r="AM285" s="2" t="s">
        <v>706</v>
      </c>
      <c r="AN285" s="2" t="s">
        <v>952</v>
      </c>
      <c r="AO285" s="2">
        <v>0.28095523</v>
      </c>
      <c r="AP285" s="2" t="s">
        <v>4673</v>
      </c>
      <c r="AQ285" s="2" t="s">
        <v>4469</v>
      </c>
      <c r="AR285" s="2" t="s">
        <v>4756</v>
      </c>
      <c r="AT285" s="765"/>
      <c r="AU285" s="765"/>
      <c r="AV285" s="765"/>
      <c r="AW285" s="765"/>
    </row>
    <row r="286" spans="1:49" x14ac:dyDescent="0.25">
      <c r="A286" s="23" t="s">
        <v>627</v>
      </c>
      <c r="B286" s="108" t="s">
        <v>147</v>
      </c>
      <c r="C286" s="108" t="s">
        <v>150</v>
      </c>
      <c r="D286" s="108" t="s">
        <v>151</v>
      </c>
      <c r="E286" s="108" t="s">
        <v>1377</v>
      </c>
      <c r="F286" s="114" t="s">
        <v>694</v>
      </c>
      <c r="G286" s="213" t="s">
        <v>1129</v>
      </c>
      <c r="H286" s="115" t="s">
        <v>1241</v>
      </c>
      <c r="I286" s="213">
        <v>4394007.0999999996</v>
      </c>
      <c r="J286" s="109">
        <v>4</v>
      </c>
      <c r="K286" s="109" t="s">
        <v>696</v>
      </c>
      <c r="L286" s="115">
        <v>0.39540342000000001</v>
      </c>
      <c r="M286" s="115">
        <v>104.38196600000001</v>
      </c>
      <c r="N286" s="115">
        <v>104.42884100000001</v>
      </c>
      <c r="O286" s="214">
        <v>0.3</v>
      </c>
      <c r="P286" s="115">
        <v>3.4670000000000001</v>
      </c>
      <c r="Q286" s="769">
        <v>3.05266776202</v>
      </c>
      <c r="R286" s="216"/>
      <c r="S286" s="216">
        <v>3.05266776202</v>
      </c>
      <c r="T286" s="216">
        <v>26</v>
      </c>
      <c r="U286" s="216">
        <v>2.577</v>
      </c>
      <c r="V286" s="115">
        <v>-1.19587557361</v>
      </c>
      <c r="W286" s="109"/>
      <c r="X286" s="109">
        <v>-2.5024956560899998</v>
      </c>
      <c r="Y286" s="109"/>
      <c r="Z286" s="109">
        <v>34.83286978739708</v>
      </c>
      <c r="AA286" s="109">
        <v>27.230492082460941</v>
      </c>
      <c r="AB286" s="109" t="s">
        <v>1183</v>
      </c>
      <c r="AC286" s="109" t="s">
        <v>254</v>
      </c>
      <c r="AD286" s="765" t="s">
        <v>4709</v>
      </c>
      <c r="AE286" s="765" t="s">
        <v>625</v>
      </c>
      <c r="AF286" s="765"/>
      <c r="AG286" s="765"/>
      <c r="AH286" s="109"/>
      <c r="AL286" s="2" t="s">
        <v>679</v>
      </c>
      <c r="AM286" s="2" t="s">
        <v>706</v>
      </c>
      <c r="AN286" s="2" t="s">
        <v>952</v>
      </c>
      <c r="AO286" s="2">
        <v>0.41240083</v>
      </c>
      <c r="AP286" s="2" t="s">
        <v>4673</v>
      </c>
      <c r="AQ286" s="2" t="s">
        <v>4469</v>
      </c>
      <c r="AR286" s="2" t="s">
        <v>4756</v>
      </c>
      <c r="AT286" s="765"/>
      <c r="AU286" s="765"/>
      <c r="AV286" s="765"/>
      <c r="AW286" s="765"/>
    </row>
    <row r="287" spans="1:49" x14ac:dyDescent="0.25">
      <c r="A287" s="23" t="s">
        <v>568</v>
      </c>
      <c r="B287" s="108" t="s">
        <v>147</v>
      </c>
      <c r="C287" s="108" t="s">
        <v>150</v>
      </c>
      <c r="D287" s="108" t="s">
        <v>151</v>
      </c>
      <c r="E287" s="108" t="s">
        <v>1378</v>
      </c>
      <c r="F287" s="114" t="s">
        <v>694</v>
      </c>
      <c r="G287" s="213" t="s">
        <v>1109</v>
      </c>
      <c r="H287" s="115" t="s">
        <v>1371</v>
      </c>
      <c r="I287" s="213">
        <v>865606.94</v>
      </c>
      <c r="J287" s="109">
        <v>3</v>
      </c>
      <c r="K287" s="109" t="s">
        <v>696</v>
      </c>
      <c r="L287" s="115">
        <v>0.48067136999999999</v>
      </c>
      <c r="M287" s="115">
        <v>100.64778099999999</v>
      </c>
      <c r="N287" s="115">
        <v>100.67903099999999</v>
      </c>
      <c r="O287" s="214">
        <v>0.22500000000000001</v>
      </c>
      <c r="P287" s="115">
        <v>3.7353999999999998</v>
      </c>
      <c r="Q287" s="769">
        <v>3.1545425630000001</v>
      </c>
      <c r="R287" s="216"/>
      <c r="S287" s="216">
        <v>3.1545425630000001</v>
      </c>
      <c r="T287" s="216">
        <v>26</v>
      </c>
      <c r="U287" s="216">
        <v>2.77</v>
      </c>
      <c r="V287" s="115">
        <v>17.948745633480002</v>
      </c>
      <c r="W287" s="109"/>
      <c r="X287" s="109">
        <v>9.1857651128600004</v>
      </c>
      <c r="Y287" s="109"/>
      <c r="Z287" s="109">
        <v>0.27753469176324819</v>
      </c>
      <c r="AA287" s="109">
        <v>0.2038055036050368</v>
      </c>
      <c r="AB287" s="109" t="s">
        <v>3346</v>
      </c>
      <c r="AC287" s="109" t="s">
        <v>3347</v>
      </c>
      <c r="AD287" s="765" t="s">
        <v>1183</v>
      </c>
      <c r="AE287" s="765" t="s">
        <v>625</v>
      </c>
      <c r="AF287" s="765"/>
      <c r="AG287" s="765"/>
      <c r="AH287" s="109"/>
      <c r="AL287" s="2" t="s">
        <v>679</v>
      </c>
      <c r="AM287" s="2" t="s">
        <v>706</v>
      </c>
      <c r="AN287" s="2" t="s">
        <v>952</v>
      </c>
      <c r="AO287" s="2">
        <v>0.48384813999999998</v>
      </c>
      <c r="AP287" s="2" t="s">
        <v>4673</v>
      </c>
      <c r="AQ287" s="2" t="s">
        <v>4469</v>
      </c>
      <c r="AR287" s="2" t="s">
        <v>4756</v>
      </c>
      <c r="AT287" s="765"/>
      <c r="AU287" s="765"/>
      <c r="AV287" s="765"/>
      <c r="AW287" s="765"/>
    </row>
    <row r="288" spans="1:49" x14ac:dyDescent="0.25">
      <c r="A288" s="23" t="s">
        <v>569</v>
      </c>
      <c r="B288" s="108" t="s">
        <v>147</v>
      </c>
      <c r="C288" s="108" t="s">
        <v>150</v>
      </c>
      <c r="D288" s="108" t="s">
        <v>151</v>
      </c>
      <c r="E288" s="108" t="s">
        <v>1380</v>
      </c>
      <c r="F288" s="114" t="s">
        <v>694</v>
      </c>
      <c r="G288" s="213" t="s">
        <v>1109</v>
      </c>
      <c r="H288" s="115" t="s">
        <v>1371</v>
      </c>
      <c r="I288" s="213">
        <v>408082.39</v>
      </c>
      <c r="J288" s="109">
        <v>3</v>
      </c>
      <c r="K288" s="109" t="s">
        <v>696</v>
      </c>
      <c r="L288" s="115">
        <v>0.37712076999999999</v>
      </c>
      <c r="M288" s="115">
        <v>100.64778099999999</v>
      </c>
      <c r="N288" s="115">
        <v>100.67903099999999</v>
      </c>
      <c r="O288" s="214">
        <v>0.22500000000000001</v>
      </c>
      <c r="P288" s="115">
        <v>3.6288999999999998</v>
      </c>
      <c r="Q288" s="769">
        <v>3.3645655992200001</v>
      </c>
      <c r="R288" s="216"/>
      <c r="S288" s="216">
        <v>3.3645655992200001</v>
      </c>
      <c r="T288" s="216">
        <v>26</v>
      </c>
      <c r="U288" s="216">
        <v>2.7639999999999998</v>
      </c>
      <c r="V288" s="115">
        <v>17.36655760455</v>
      </c>
      <c r="W288" s="109"/>
      <c r="X288" s="109">
        <v>15.007788730410001</v>
      </c>
      <c r="Y288" s="109"/>
      <c r="Z288" s="109">
        <v>5.4340568587697202</v>
      </c>
      <c r="AA288" s="109">
        <v>13.441580829982589</v>
      </c>
      <c r="AB288" s="109" t="s">
        <v>4029</v>
      </c>
      <c r="AC288" s="109" t="s">
        <v>4938</v>
      </c>
      <c r="AD288" s="765" t="s">
        <v>4710</v>
      </c>
      <c r="AE288" s="765" t="s">
        <v>625</v>
      </c>
      <c r="AF288" s="765"/>
      <c r="AG288" s="765"/>
      <c r="AH288" s="109"/>
      <c r="AL288" s="2" t="s">
        <v>679</v>
      </c>
      <c r="AM288" s="2" t="s">
        <v>706</v>
      </c>
      <c r="AN288" s="2" t="s">
        <v>952</v>
      </c>
      <c r="AO288" s="2">
        <v>0.38143783999999997</v>
      </c>
      <c r="AP288" s="2" t="s">
        <v>4673</v>
      </c>
      <c r="AQ288" s="2" t="s">
        <v>4469</v>
      </c>
      <c r="AR288" s="2" t="s">
        <v>4756</v>
      </c>
      <c r="AT288" s="765"/>
      <c r="AU288" s="765"/>
      <c r="AV288" s="765"/>
      <c r="AW288" s="765"/>
    </row>
    <row r="289" spans="1:49" x14ac:dyDescent="0.25">
      <c r="A289" s="23" t="s">
        <v>570</v>
      </c>
      <c r="B289" s="108" t="s">
        <v>147</v>
      </c>
      <c r="C289" s="108" t="s">
        <v>150</v>
      </c>
      <c r="D289" s="108" t="s">
        <v>151</v>
      </c>
      <c r="E289" s="108" t="s">
        <v>1381</v>
      </c>
      <c r="F289" s="114" t="s">
        <v>694</v>
      </c>
      <c r="G289" s="213" t="s">
        <v>1109</v>
      </c>
      <c r="H289" s="115" t="s">
        <v>1371</v>
      </c>
      <c r="I289" s="213">
        <v>589351.9</v>
      </c>
      <c r="J289" s="109">
        <v>3</v>
      </c>
      <c r="K289" s="109" t="s">
        <v>696</v>
      </c>
      <c r="L289" s="115">
        <v>0.40103014999999997</v>
      </c>
      <c r="M289" s="115">
        <v>100.64778099999999</v>
      </c>
      <c r="N289" s="115">
        <v>100.67903099999999</v>
      </c>
      <c r="O289" s="214">
        <v>0.22500000000000001</v>
      </c>
      <c r="P289" s="115">
        <v>3.6387</v>
      </c>
      <c r="Q289" s="769">
        <v>3.1947479944800001</v>
      </c>
      <c r="R289" s="216"/>
      <c r="S289" s="216">
        <v>3.1947479944800001</v>
      </c>
      <c r="T289" s="216">
        <v>26</v>
      </c>
      <c r="U289" s="216">
        <v>2.7639999999999998</v>
      </c>
      <c r="V289" s="115">
        <v>17.41883335312</v>
      </c>
      <c r="W289" s="109"/>
      <c r="X289" s="109">
        <v>13.44165614782</v>
      </c>
      <c r="Y289" s="109"/>
      <c r="Z289" s="109">
        <v>0.55325309891569585</v>
      </c>
      <c r="AA289" s="109">
        <v>26.29873122848381</v>
      </c>
      <c r="AB289" s="109" t="s">
        <v>4030</v>
      </c>
      <c r="AC289" s="109" t="s">
        <v>4031</v>
      </c>
      <c r="AD289" s="765" t="s">
        <v>4032</v>
      </c>
      <c r="AE289" s="765" t="s">
        <v>625</v>
      </c>
      <c r="AF289" s="765"/>
      <c r="AG289" s="765"/>
      <c r="AH289" s="109"/>
      <c r="AL289" s="2" t="s">
        <v>679</v>
      </c>
      <c r="AM289" s="2" t="s">
        <v>706</v>
      </c>
      <c r="AN289" s="2" t="s">
        <v>952</v>
      </c>
      <c r="AO289" s="2">
        <v>0.40393063000000001</v>
      </c>
      <c r="AP289" s="2" t="s">
        <v>4673</v>
      </c>
      <c r="AQ289" s="2" t="s">
        <v>4469</v>
      </c>
      <c r="AR289" s="2" t="s">
        <v>4756</v>
      </c>
      <c r="AT289" s="765"/>
      <c r="AU289" s="765"/>
      <c r="AV289" s="765"/>
      <c r="AW289" s="765"/>
    </row>
    <row r="290" spans="1:49" x14ac:dyDescent="0.25">
      <c r="A290" s="23" t="s">
        <v>660</v>
      </c>
      <c r="B290" s="108" t="s">
        <v>148</v>
      </c>
      <c r="C290" s="108" t="s">
        <v>150</v>
      </c>
      <c r="D290" s="108" t="s">
        <v>153</v>
      </c>
      <c r="E290" s="108" t="s">
        <v>1382</v>
      </c>
      <c r="F290" s="114" t="s">
        <v>694</v>
      </c>
      <c r="G290" s="213" t="s">
        <v>1140</v>
      </c>
      <c r="H290" s="115" t="s">
        <v>1339</v>
      </c>
      <c r="I290" s="213">
        <v>10699036.27</v>
      </c>
      <c r="J290" s="109">
        <v>3.5</v>
      </c>
      <c r="K290" s="109" t="s">
        <v>696</v>
      </c>
      <c r="L290" s="115">
        <v>0.46501218999999999</v>
      </c>
      <c r="M290" s="115">
        <v>100.64531700000001</v>
      </c>
      <c r="N290" s="115">
        <v>100.69219200000001</v>
      </c>
      <c r="O290" s="214">
        <v>0.26250000000000001</v>
      </c>
      <c r="P290" s="115">
        <v>6.9471999999999996</v>
      </c>
      <c r="Q290" s="769">
        <v>4.8853263897800003</v>
      </c>
      <c r="R290" s="216"/>
      <c r="S290" s="216">
        <v>4.8853263897800003</v>
      </c>
      <c r="T290" s="216">
        <v>26</v>
      </c>
      <c r="U290" s="216">
        <v>3.3719999999999999</v>
      </c>
      <c r="V290" s="115">
        <v>78.805185245079997</v>
      </c>
      <c r="W290" s="109"/>
      <c r="X290" s="109">
        <v>47.153193753209997</v>
      </c>
      <c r="Y290" s="109"/>
      <c r="Z290" s="109">
        <v>26.194449011334608</v>
      </c>
      <c r="AA290" s="109">
        <v>20.891168111621528</v>
      </c>
      <c r="AB290" s="109" t="s">
        <v>3329</v>
      </c>
      <c r="AC290" s="109" t="s">
        <v>2030</v>
      </c>
      <c r="AD290" s="765" t="s">
        <v>1641</v>
      </c>
      <c r="AE290" s="765" t="s">
        <v>625</v>
      </c>
      <c r="AF290" s="765"/>
      <c r="AG290" s="765"/>
      <c r="AH290" s="109"/>
      <c r="AL290" s="2" t="s">
        <v>679</v>
      </c>
      <c r="AM290" s="2" t="s">
        <v>706</v>
      </c>
      <c r="AN290" s="2" t="s">
        <v>952</v>
      </c>
      <c r="AO290" s="2">
        <v>0.4778888</v>
      </c>
      <c r="AP290" s="2" t="s">
        <v>4673</v>
      </c>
      <c r="AQ290" s="2" t="s">
        <v>4469</v>
      </c>
      <c r="AR290" s="2" t="s">
        <v>4756</v>
      </c>
      <c r="AT290" s="765"/>
      <c r="AU290" s="765"/>
      <c r="AV290" s="765"/>
      <c r="AW290" s="765"/>
    </row>
    <row r="291" spans="1:49" x14ac:dyDescent="0.25">
      <c r="A291" s="23" t="s">
        <v>571</v>
      </c>
      <c r="B291" s="108" t="s">
        <v>147</v>
      </c>
      <c r="C291" s="108" t="s">
        <v>150</v>
      </c>
      <c r="D291" s="108" t="s">
        <v>151</v>
      </c>
      <c r="E291" s="108" t="s">
        <v>1384</v>
      </c>
      <c r="F291" s="114" t="s">
        <v>694</v>
      </c>
      <c r="G291" s="213" t="s">
        <v>1109</v>
      </c>
      <c r="H291" s="115" t="s">
        <v>1371</v>
      </c>
      <c r="I291" s="213">
        <v>327649.52</v>
      </c>
      <c r="J291" s="109">
        <v>3</v>
      </c>
      <c r="K291" s="109" t="s">
        <v>696</v>
      </c>
      <c r="L291" s="115">
        <v>0.23435408999999999</v>
      </c>
      <c r="M291" s="115">
        <v>100.64778099999999</v>
      </c>
      <c r="N291" s="115">
        <v>100.67903099999999</v>
      </c>
      <c r="O291" s="214">
        <v>0.22500000000000001</v>
      </c>
      <c r="P291" s="115">
        <v>3.7559999999999998</v>
      </c>
      <c r="Q291" s="769">
        <v>3.4466525324899999</v>
      </c>
      <c r="R291" s="216"/>
      <c r="S291" s="216">
        <v>3.4466525324899999</v>
      </c>
      <c r="T291" s="216">
        <v>26</v>
      </c>
      <c r="U291" s="216">
        <v>2.7719999999999998</v>
      </c>
      <c r="V291" s="115">
        <v>18.051982996069999</v>
      </c>
      <c r="W291" s="109"/>
      <c r="X291" s="109">
        <v>13.40029892269</v>
      </c>
      <c r="Y291" s="109"/>
      <c r="Z291" s="109">
        <v>2.6097415762704749E-2</v>
      </c>
      <c r="AA291" s="109">
        <v>2.5099458256283569E-2</v>
      </c>
      <c r="AB291" s="109" t="s">
        <v>3087</v>
      </c>
      <c r="AC291" s="109" t="s">
        <v>3088</v>
      </c>
      <c r="AD291" s="765" t="s">
        <v>2719</v>
      </c>
      <c r="AE291" s="765" t="s">
        <v>625</v>
      </c>
      <c r="AF291" s="765"/>
      <c r="AG291" s="765"/>
      <c r="AH291" s="109"/>
      <c r="AL291" s="2" t="s">
        <v>679</v>
      </c>
      <c r="AM291" s="2" t="s">
        <v>706</v>
      </c>
      <c r="AN291" s="2" t="s">
        <v>952</v>
      </c>
      <c r="AO291" s="2">
        <v>0.23585791</v>
      </c>
      <c r="AP291" s="2" t="s">
        <v>4673</v>
      </c>
      <c r="AQ291" s="2" t="s">
        <v>4469</v>
      </c>
      <c r="AR291" s="2" t="s">
        <v>4756</v>
      </c>
      <c r="AT291" s="765"/>
      <c r="AU291" s="765"/>
      <c r="AV291" s="765"/>
      <c r="AW291" s="765"/>
    </row>
    <row r="292" spans="1:49" x14ac:dyDescent="0.25">
      <c r="A292" s="23" t="s">
        <v>597</v>
      </c>
      <c r="B292" s="108" t="s">
        <v>148</v>
      </c>
      <c r="C292" s="108" t="s">
        <v>150</v>
      </c>
      <c r="D292" s="108" t="s">
        <v>153</v>
      </c>
      <c r="E292" s="108" t="s">
        <v>1385</v>
      </c>
      <c r="F292" s="114" t="s">
        <v>694</v>
      </c>
      <c r="G292" s="213" t="s">
        <v>1140</v>
      </c>
      <c r="H292" s="115" t="s">
        <v>1339</v>
      </c>
      <c r="I292" s="213">
        <v>7085486.0899999999</v>
      </c>
      <c r="J292" s="109">
        <v>3.5</v>
      </c>
      <c r="K292" s="109" t="s">
        <v>696</v>
      </c>
      <c r="L292" s="115">
        <v>0.32231997000000001</v>
      </c>
      <c r="M292" s="115">
        <v>100.08783699999999</v>
      </c>
      <c r="N292" s="115">
        <v>100.11908699999999</v>
      </c>
      <c r="O292" s="214">
        <v>0.26250000000000001</v>
      </c>
      <c r="P292" s="115">
        <v>7.0896999999999997</v>
      </c>
      <c r="Q292" s="769">
        <v>4.6628773221199999</v>
      </c>
      <c r="R292" s="216"/>
      <c r="S292" s="216">
        <v>4.6628773221199999</v>
      </c>
      <c r="T292" s="216">
        <v>26</v>
      </c>
      <c r="U292" s="216">
        <v>3.47</v>
      </c>
      <c r="V292" s="115">
        <v>89.093832510370007</v>
      </c>
      <c r="W292" s="109"/>
      <c r="X292" s="109">
        <v>47.436319831829998</v>
      </c>
      <c r="Y292" s="109"/>
      <c r="Z292" s="109">
        <v>43.716045820894543</v>
      </c>
      <c r="AA292" s="109">
        <v>33.154336676334133</v>
      </c>
      <c r="AB292" s="109" t="s">
        <v>1219</v>
      </c>
      <c r="AC292" s="109" t="s">
        <v>1348</v>
      </c>
      <c r="AD292" s="765" t="s">
        <v>3570</v>
      </c>
      <c r="AE292" s="765" t="s">
        <v>625</v>
      </c>
      <c r="AF292" s="765"/>
      <c r="AG292" s="765"/>
      <c r="AH292" s="109"/>
      <c r="AL292" s="2" t="s">
        <v>679</v>
      </c>
      <c r="AM292" s="2" t="s">
        <v>706</v>
      </c>
      <c r="AN292" s="2" t="s">
        <v>952</v>
      </c>
      <c r="AO292" s="2">
        <v>0.33876039000000002</v>
      </c>
      <c r="AP292" s="2" t="s">
        <v>4673</v>
      </c>
      <c r="AQ292" s="2" t="s">
        <v>4469</v>
      </c>
      <c r="AR292" s="2" t="s">
        <v>4756</v>
      </c>
      <c r="AT292" s="765"/>
      <c r="AU292" s="765"/>
      <c r="AV292" s="765"/>
      <c r="AW292" s="765"/>
    </row>
    <row r="293" spans="1:49" x14ac:dyDescent="0.25">
      <c r="A293" s="23" t="s">
        <v>562</v>
      </c>
      <c r="B293" s="108" t="s">
        <v>148</v>
      </c>
      <c r="C293" s="108" t="s">
        <v>150</v>
      </c>
      <c r="D293" s="108" t="s">
        <v>153</v>
      </c>
      <c r="E293" s="108" t="s">
        <v>1386</v>
      </c>
      <c r="F293" s="114" t="s">
        <v>694</v>
      </c>
      <c r="G293" s="213" t="s">
        <v>1140</v>
      </c>
      <c r="H293" s="115" t="s">
        <v>1387</v>
      </c>
      <c r="I293" s="213">
        <v>3904238.81</v>
      </c>
      <c r="J293" s="109">
        <v>4</v>
      </c>
      <c r="K293" s="109" t="s">
        <v>696</v>
      </c>
      <c r="L293" s="115">
        <v>0.49292117000000002</v>
      </c>
      <c r="M293" s="115">
        <v>102.918266</v>
      </c>
      <c r="N293" s="115">
        <v>102.965141</v>
      </c>
      <c r="O293" s="214">
        <v>0.3</v>
      </c>
      <c r="P293" s="115">
        <v>6.3095999999999997</v>
      </c>
      <c r="Q293" s="769">
        <v>5.1822600435700004</v>
      </c>
      <c r="R293" s="216"/>
      <c r="S293" s="216">
        <v>5.1822600435700004</v>
      </c>
      <c r="T293" s="216">
        <v>27</v>
      </c>
      <c r="U293" s="216">
        <v>3.423</v>
      </c>
      <c r="V293" s="115">
        <v>83.401933246189998</v>
      </c>
      <c r="W293" s="109"/>
      <c r="X293" s="109">
        <v>49.61580115169</v>
      </c>
      <c r="Y293" s="109"/>
      <c r="Z293" s="109">
        <v>8.2686976361079356E-2</v>
      </c>
      <c r="AA293" s="109">
        <v>18.491367218556999</v>
      </c>
      <c r="AB293" s="109" t="s">
        <v>256</v>
      </c>
      <c r="AC293" s="109"/>
      <c r="AD293" s="765"/>
      <c r="AE293" s="765" t="s">
        <v>625</v>
      </c>
      <c r="AF293" s="765"/>
      <c r="AG293" s="765"/>
      <c r="AH293" s="109"/>
      <c r="AL293" s="2" t="s">
        <v>679</v>
      </c>
      <c r="AM293" s="2" t="s">
        <v>706</v>
      </c>
      <c r="AN293" s="2" t="s">
        <v>952</v>
      </c>
      <c r="AO293" s="2">
        <v>0.49382214000000002</v>
      </c>
      <c r="AP293" s="2" t="s">
        <v>4673</v>
      </c>
      <c r="AQ293" s="2" t="s">
        <v>4469</v>
      </c>
      <c r="AR293" s="2" t="s">
        <v>4756</v>
      </c>
      <c r="AT293" s="765"/>
      <c r="AU293" s="765"/>
      <c r="AV293" s="765"/>
      <c r="AW293" s="765"/>
    </row>
    <row r="294" spans="1:49" s="111" customFormat="1" x14ac:dyDescent="0.25">
      <c r="A294" s="23" t="s">
        <v>2633</v>
      </c>
      <c r="B294" s="108" t="s">
        <v>148</v>
      </c>
      <c r="C294" s="108" t="s">
        <v>150</v>
      </c>
      <c r="D294" s="108" t="s">
        <v>153</v>
      </c>
      <c r="E294" s="108" t="s">
        <v>2634</v>
      </c>
      <c r="F294" s="114" t="s">
        <v>694</v>
      </c>
      <c r="G294" s="213" t="s">
        <v>1133</v>
      </c>
      <c r="H294" s="115" t="s">
        <v>1134</v>
      </c>
      <c r="I294" s="213">
        <v>3255203.73</v>
      </c>
      <c r="J294" s="109">
        <v>4.5</v>
      </c>
      <c r="K294" s="109" t="s">
        <v>696</v>
      </c>
      <c r="L294" s="115">
        <v>0.50148035000000002</v>
      </c>
      <c r="M294" s="115">
        <v>105.48299400000001</v>
      </c>
      <c r="N294" s="115">
        <v>105.52986900000001</v>
      </c>
      <c r="O294" s="214">
        <v>0.33750000000000002</v>
      </c>
      <c r="P294" s="115">
        <v>5.3141999999999996</v>
      </c>
      <c r="Q294" s="769">
        <v>4.4498487679599998</v>
      </c>
      <c r="R294" s="216"/>
      <c r="S294" s="216">
        <v>4.4498487679599998</v>
      </c>
      <c r="T294" s="216">
        <v>27</v>
      </c>
      <c r="U294" s="216">
        <v>3.2610000000000001</v>
      </c>
      <c r="V294" s="115">
        <v>66.408702616420001</v>
      </c>
      <c r="W294" s="109"/>
      <c r="X294" s="109">
        <v>52.797752637480002</v>
      </c>
      <c r="Y294" s="109"/>
      <c r="Z294" s="109">
        <v>7.5197468792609357E-2</v>
      </c>
      <c r="AA294" s="109">
        <v>21.749873328783949</v>
      </c>
      <c r="AB294" s="109" t="s">
        <v>1393</v>
      </c>
      <c r="AC294" s="109" t="s">
        <v>2859</v>
      </c>
      <c r="AD294" s="111" t="s">
        <v>247</v>
      </c>
      <c r="AE294" s="111" t="s">
        <v>625</v>
      </c>
      <c r="AH294" s="109"/>
      <c r="AL294" s="111" t="s">
        <v>679</v>
      </c>
      <c r="AM294" s="111" t="s">
        <v>706</v>
      </c>
      <c r="AN294" s="111" t="s">
        <v>952</v>
      </c>
      <c r="AO294" s="111">
        <v>0.50229776999999998</v>
      </c>
      <c r="AP294" s="111" t="s">
        <v>4673</v>
      </c>
      <c r="AQ294" s="111" t="s">
        <v>4469</v>
      </c>
      <c r="AR294" s="111" t="s">
        <v>4756</v>
      </c>
      <c r="AT294" s="765"/>
      <c r="AU294" s="765"/>
      <c r="AV294" s="765"/>
      <c r="AW294" s="765"/>
    </row>
    <row r="295" spans="1:49" x14ac:dyDescent="0.25">
      <c r="A295" s="23" t="s">
        <v>796</v>
      </c>
      <c r="B295" s="108" t="s">
        <v>148</v>
      </c>
      <c r="C295" s="108" t="s">
        <v>150</v>
      </c>
      <c r="D295" s="108" t="s">
        <v>153</v>
      </c>
      <c r="E295" s="108" t="s">
        <v>1388</v>
      </c>
      <c r="F295" s="114" t="s">
        <v>694</v>
      </c>
      <c r="G295" s="213" t="s">
        <v>1276</v>
      </c>
      <c r="H295" s="115" t="s">
        <v>1277</v>
      </c>
      <c r="I295" s="213">
        <v>118486529.3</v>
      </c>
      <c r="J295" s="109">
        <v>4</v>
      </c>
      <c r="K295" s="109" t="s">
        <v>696</v>
      </c>
      <c r="L295" s="115">
        <v>0.14881273</v>
      </c>
      <c r="M295" s="115">
        <v>101.69135300000001</v>
      </c>
      <c r="N295" s="115">
        <v>101.713123</v>
      </c>
      <c r="O295" s="214">
        <v>0.3</v>
      </c>
      <c r="P295" s="115">
        <v>6.3480999999999996</v>
      </c>
      <c r="Q295" s="769">
        <v>4.2051708583399998</v>
      </c>
      <c r="R295" s="216"/>
      <c r="S295" s="216">
        <v>4.2051708583399998</v>
      </c>
      <c r="T295" s="216">
        <v>27</v>
      </c>
      <c r="U295" s="216">
        <v>3.6560000000000001</v>
      </c>
      <c r="V295" s="115">
        <v>106.69962904125001</v>
      </c>
      <c r="W295" s="109"/>
      <c r="X295" s="109">
        <v>53.91311217434</v>
      </c>
      <c r="Y295" s="109"/>
      <c r="Z295" s="109">
        <v>28.476322567678309</v>
      </c>
      <c r="AA295" s="109">
        <v>37.465318450802812</v>
      </c>
      <c r="AB295" s="109" t="s">
        <v>242</v>
      </c>
      <c r="AC295" s="109" t="s">
        <v>243</v>
      </c>
      <c r="AD295" s="765" t="s">
        <v>257</v>
      </c>
      <c r="AE295" s="765" t="s">
        <v>625</v>
      </c>
      <c r="AF295" s="765"/>
      <c r="AG295" s="765"/>
      <c r="AH295" s="109"/>
      <c r="AL295" s="2" t="s">
        <v>679</v>
      </c>
      <c r="AM295" s="2" t="s">
        <v>706</v>
      </c>
      <c r="AN295" s="2" t="s">
        <v>952</v>
      </c>
      <c r="AO295" s="2">
        <v>0.15328928999999999</v>
      </c>
      <c r="AP295" s="2" t="s">
        <v>4673</v>
      </c>
      <c r="AQ295" s="2" t="s">
        <v>4469</v>
      </c>
      <c r="AR295" s="2" t="s">
        <v>4756</v>
      </c>
      <c r="AT295" s="765"/>
      <c r="AU295" s="765"/>
      <c r="AV295" s="765"/>
      <c r="AW295" s="765"/>
    </row>
    <row r="296" spans="1:49" x14ac:dyDescent="0.25">
      <c r="A296" s="23" t="s">
        <v>1639</v>
      </c>
      <c r="B296" s="108" t="s">
        <v>148</v>
      </c>
      <c r="C296" s="108" t="s">
        <v>150</v>
      </c>
      <c r="D296" s="108" t="s">
        <v>153</v>
      </c>
      <c r="E296" s="108" t="s">
        <v>1640</v>
      </c>
      <c r="F296" s="114" t="s">
        <v>694</v>
      </c>
      <c r="G296" s="213" t="s">
        <v>1642</v>
      </c>
      <c r="H296" s="115" t="s">
        <v>1588</v>
      </c>
      <c r="I296" s="213">
        <v>2825963.3</v>
      </c>
      <c r="J296" s="109">
        <v>3.5</v>
      </c>
      <c r="K296" s="109" t="s">
        <v>696</v>
      </c>
      <c r="L296" s="115">
        <v>0.68812779000000002</v>
      </c>
      <c r="M296" s="115">
        <v>100.93770600000001</v>
      </c>
      <c r="N296" s="115">
        <v>100.98458100000001</v>
      </c>
      <c r="O296" s="214">
        <v>0.26250000000000001</v>
      </c>
      <c r="P296" s="115">
        <v>6.7012999999999998</v>
      </c>
      <c r="Q296" s="769">
        <v>5.3457178623199999</v>
      </c>
      <c r="R296" s="216"/>
      <c r="S296" s="216">
        <v>5.3457178623199999</v>
      </c>
      <c r="T296" s="216">
        <v>26</v>
      </c>
      <c r="U296" s="216">
        <v>3.3140000000000001</v>
      </c>
      <c r="V296" s="115">
        <v>72.771769502820007</v>
      </c>
      <c r="W296" s="109"/>
      <c r="X296" s="109">
        <v>50.608114172260002</v>
      </c>
      <c r="Y296" s="109"/>
      <c r="Z296" s="109">
        <v>1.381764136167807</v>
      </c>
      <c r="AA296" s="109">
        <v>10.80679828938279</v>
      </c>
      <c r="AB296" s="109" t="s">
        <v>3949</v>
      </c>
      <c r="AC296" s="109" t="s">
        <v>3956</v>
      </c>
      <c r="AD296" s="765" t="s">
        <v>246</v>
      </c>
      <c r="AE296" s="765" t="s">
        <v>625</v>
      </c>
      <c r="AF296" s="765"/>
      <c r="AG296" s="765"/>
      <c r="AH296" s="109"/>
      <c r="AL296" s="2" t="s">
        <v>679</v>
      </c>
      <c r="AM296" s="2" t="s">
        <v>706</v>
      </c>
      <c r="AN296" s="2" t="s">
        <v>952</v>
      </c>
      <c r="AO296" s="2">
        <v>0.69013599999999997</v>
      </c>
      <c r="AP296" s="2" t="s">
        <v>4673</v>
      </c>
      <c r="AQ296" s="2" t="s">
        <v>4469</v>
      </c>
      <c r="AR296" s="2" t="s">
        <v>4756</v>
      </c>
      <c r="AT296" s="765"/>
      <c r="AU296" s="765"/>
      <c r="AV296" s="765"/>
      <c r="AW296" s="765"/>
    </row>
    <row r="297" spans="1:49" x14ac:dyDescent="0.25">
      <c r="A297" s="23" t="s">
        <v>596</v>
      </c>
      <c r="B297" s="108" t="s">
        <v>148</v>
      </c>
      <c r="C297" s="108" t="s">
        <v>150</v>
      </c>
      <c r="D297" s="108" t="s">
        <v>153</v>
      </c>
      <c r="E297" s="108" t="s">
        <v>1389</v>
      </c>
      <c r="F297" s="114" t="s">
        <v>694</v>
      </c>
      <c r="G297" s="213" t="s">
        <v>1130</v>
      </c>
      <c r="H297" s="115" t="s">
        <v>1390</v>
      </c>
      <c r="I297" s="213">
        <v>9259383.5800000001</v>
      </c>
      <c r="J297" s="109">
        <v>3.5</v>
      </c>
      <c r="K297" s="109" t="s">
        <v>696</v>
      </c>
      <c r="L297" s="115">
        <v>0.37737619999999999</v>
      </c>
      <c r="M297" s="115">
        <v>100.21653000000001</v>
      </c>
      <c r="N297" s="115">
        <v>100.24778000000001</v>
      </c>
      <c r="O297" s="214">
        <v>0.26250000000000001</v>
      </c>
      <c r="P297" s="115">
        <v>7.0415000000000001</v>
      </c>
      <c r="Q297" s="769">
        <v>4.7660759548999998</v>
      </c>
      <c r="R297" s="216"/>
      <c r="S297" s="216">
        <v>4.7660759548999998</v>
      </c>
      <c r="T297" s="216">
        <v>26</v>
      </c>
      <c r="U297" s="216">
        <v>3.4470000000000001</v>
      </c>
      <c r="V297" s="115">
        <v>86.672683933529996</v>
      </c>
      <c r="W297" s="109"/>
      <c r="X297" s="109">
        <v>40.434504868579999</v>
      </c>
      <c r="Y297" s="109"/>
      <c r="Z297" s="109">
        <v>7.7891441204191114</v>
      </c>
      <c r="AA297" s="109">
        <v>13.91587583443869</v>
      </c>
      <c r="AB297" s="109" t="s">
        <v>2244</v>
      </c>
      <c r="AC297" s="109" t="s">
        <v>4033</v>
      </c>
      <c r="AD297" s="765" t="s">
        <v>3724</v>
      </c>
      <c r="AE297" s="765" t="s">
        <v>625</v>
      </c>
      <c r="AF297" s="765"/>
      <c r="AG297" s="765"/>
      <c r="AH297" s="109"/>
      <c r="AL297" s="2" t="s">
        <v>679</v>
      </c>
      <c r="AM297" s="2" t="s">
        <v>706</v>
      </c>
      <c r="AN297" s="2" t="s">
        <v>952</v>
      </c>
      <c r="AO297" s="2">
        <v>0.38067693000000002</v>
      </c>
      <c r="AP297" s="2" t="s">
        <v>4673</v>
      </c>
      <c r="AQ297" s="2" t="s">
        <v>4469</v>
      </c>
      <c r="AR297" s="2" t="s">
        <v>4756</v>
      </c>
      <c r="AT297" s="765"/>
      <c r="AU297" s="765"/>
      <c r="AV297" s="765"/>
      <c r="AW297" s="765"/>
    </row>
    <row r="298" spans="1:49" x14ac:dyDescent="0.25">
      <c r="A298" s="23" t="s">
        <v>1790</v>
      </c>
      <c r="B298" s="108" t="s">
        <v>148</v>
      </c>
      <c r="C298" s="108" t="s">
        <v>150</v>
      </c>
      <c r="D298" s="108" t="s">
        <v>153</v>
      </c>
      <c r="E298" s="108" t="s">
        <v>1791</v>
      </c>
      <c r="F298" s="114" t="s">
        <v>694</v>
      </c>
      <c r="G298" s="213" t="s">
        <v>1761</v>
      </c>
      <c r="H298" s="115" t="s">
        <v>1792</v>
      </c>
      <c r="I298" s="213">
        <v>2042317.57</v>
      </c>
      <c r="J298" s="109">
        <v>4</v>
      </c>
      <c r="K298" s="109" t="s">
        <v>696</v>
      </c>
      <c r="L298" s="115">
        <v>0.61680641000000003</v>
      </c>
      <c r="M298" s="115">
        <v>102.660995</v>
      </c>
      <c r="N298" s="115">
        <v>102.70787</v>
      </c>
      <c r="O298" s="214">
        <v>0.3</v>
      </c>
      <c r="P298" s="115">
        <v>6.0396000000000001</v>
      </c>
      <c r="Q298" s="769">
        <v>4.6640729615699996</v>
      </c>
      <c r="R298" s="216"/>
      <c r="S298" s="216">
        <v>4.6640729615699996</v>
      </c>
      <c r="T298" s="216">
        <v>27</v>
      </c>
      <c r="U298" s="216">
        <v>3.448</v>
      </c>
      <c r="V298" s="115">
        <v>85.704895566619996</v>
      </c>
      <c r="W298" s="109"/>
      <c r="X298" s="109">
        <v>48.896248033260001</v>
      </c>
      <c r="Y298" s="109"/>
      <c r="Z298" s="109">
        <v>2.946414819985366E-2</v>
      </c>
      <c r="AA298" s="109">
        <v>25.134720186282209</v>
      </c>
      <c r="AB298" s="109" t="s">
        <v>2238</v>
      </c>
      <c r="AC298" s="109" t="s">
        <v>3894</v>
      </c>
      <c r="AD298" s="765" t="s">
        <v>245</v>
      </c>
      <c r="AE298" s="765" t="s">
        <v>625</v>
      </c>
      <c r="AF298" s="765"/>
      <c r="AG298" s="765"/>
      <c r="AH298" s="109"/>
      <c r="AL298" s="2" t="s">
        <v>679</v>
      </c>
      <c r="AM298" s="2" t="s">
        <v>706</v>
      </c>
      <c r="AN298" s="2" t="s">
        <v>952</v>
      </c>
      <c r="AO298" s="2">
        <v>0.61771136000000004</v>
      </c>
      <c r="AP298" s="2" t="s">
        <v>4673</v>
      </c>
      <c r="AQ298" s="2" t="s">
        <v>4469</v>
      </c>
      <c r="AR298" s="2" t="s">
        <v>4756</v>
      </c>
      <c r="AT298" s="765"/>
      <c r="AU298" s="765"/>
      <c r="AV298" s="765"/>
      <c r="AW298" s="765"/>
    </row>
    <row r="299" spans="1:49" x14ac:dyDescent="0.25">
      <c r="A299" s="23" t="s">
        <v>1793</v>
      </c>
      <c r="B299" s="108" t="s">
        <v>148</v>
      </c>
      <c r="C299" s="108" t="s">
        <v>150</v>
      </c>
      <c r="D299" s="108" t="s">
        <v>153</v>
      </c>
      <c r="E299" s="108" t="s">
        <v>1794</v>
      </c>
      <c r="F299" s="114" t="s">
        <v>694</v>
      </c>
      <c r="G299" s="213" t="s">
        <v>1761</v>
      </c>
      <c r="H299" s="115" t="s">
        <v>1792</v>
      </c>
      <c r="I299" s="213">
        <v>2244674.81</v>
      </c>
      <c r="J299" s="109">
        <v>3.5</v>
      </c>
      <c r="K299" s="109" t="s">
        <v>696</v>
      </c>
      <c r="L299" s="115">
        <v>0.91362743999999996</v>
      </c>
      <c r="M299" s="115">
        <v>100.24929</v>
      </c>
      <c r="N299" s="115">
        <v>100.296165</v>
      </c>
      <c r="O299" s="214">
        <v>0.26250000000000001</v>
      </c>
      <c r="P299" s="115">
        <v>6.8653000000000004</v>
      </c>
      <c r="Q299" s="769">
        <v>5.1882379207299998</v>
      </c>
      <c r="R299" s="216"/>
      <c r="S299" s="216">
        <v>5.1882379207299998</v>
      </c>
      <c r="T299" s="216">
        <v>26</v>
      </c>
      <c r="U299" s="216">
        <v>3.4390000000000001</v>
      </c>
      <c r="V299" s="115">
        <v>85.474465135030002</v>
      </c>
      <c r="W299" s="109"/>
      <c r="X299" s="109">
        <v>50.739530479469998</v>
      </c>
      <c r="Y299" s="109"/>
      <c r="Z299" s="109">
        <v>0.143701364401394</v>
      </c>
      <c r="AA299" s="109">
        <v>7.0919822448956005E-2</v>
      </c>
      <c r="AB299" s="109" t="s">
        <v>2398</v>
      </c>
      <c r="AC299" s="109" t="s">
        <v>2399</v>
      </c>
      <c r="AD299" s="765" t="s">
        <v>243</v>
      </c>
      <c r="AE299" s="765" t="s">
        <v>625</v>
      </c>
      <c r="AF299" s="765"/>
      <c r="AG299" s="765"/>
      <c r="AH299" s="109"/>
      <c r="AL299" s="2" t="s">
        <v>679</v>
      </c>
      <c r="AM299" s="2" t="s">
        <v>706</v>
      </c>
      <c r="AN299" s="2" t="s">
        <v>952</v>
      </c>
      <c r="AO299" s="2">
        <v>0.91518758</v>
      </c>
      <c r="AP299" s="2" t="s">
        <v>4673</v>
      </c>
      <c r="AQ299" s="2" t="s">
        <v>4469</v>
      </c>
      <c r="AR299" s="2" t="s">
        <v>4756</v>
      </c>
      <c r="AT299" s="765"/>
      <c r="AU299" s="765"/>
      <c r="AV299" s="765"/>
      <c r="AW299" s="765"/>
    </row>
    <row r="300" spans="1:49" x14ac:dyDescent="0.25">
      <c r="A300" s="23" t="s">
        <v>1795</v>
      </c>
      <c r="B300" s="108" t="s">
        <v>148</v>
      </c>
      <c r="C300" s="108" t="s">
        <v>150</v>
      </c>
      <c r="D300" s="108" t="s">
        <v>153</v>
      </c>
      <c r="E300" s="108" t="s">
        <v>1796</v>
      </c>
      <c r="F300" s="114" t="s">
        <v>694</v>
      </c>
      <c r="G300" s="213" t="s">
        <v>1761</v>
      </c>
      <c r="H300" s="115" t="s">
        <v>1792</v>
      </c>
      <c r="I300" s="213">
        <v>2301389.67</v>
      </c>
      <c r="J300" s="109">
        <v>4</v>
      </c>
      <c r="K300" s="109" t="s">
        <v>696</v>
      </c>
      <c r="L300" s="115">
        <v>0.60875385000000004</v>
      </c>
      <c r="M300" s="115">
        <v>102.968575</v>
      </c>
      <c r="N300" s="115">
        <v>103.01545</v>
      </c>
      <c r="O300" s="214">
        <v>0.3</v>
      </c>
      <c r="P300" s="115">
        <v>6.0010000000000003</v>
      </c>
      <c r="Q300" s="769">
        <v>4.6961795251299998</v>
      </c>
      <c r="R300" s="216"/>
      <c r="S300" s="216">
        <v>4.6961795251299998</v>
      </c>
      <c r="T300" s="216">
        <v>27</v>
      </c>
      <c r="U300" s="216">
        <v>3.3849999999999998</v>
      </c>
      <c r="V300" s="115">
        <v>79.390311118390002</v>
      </c>
      <c r="W300" s="109"/>
      <c r="X300" s="109">
        <v>48.575966324749999</v>
      </c>
      <c r="Y300" s="109"/>
      <c r="Z300" s="109">
        <v>1.427469275623316E-2</v>
      </c>
      <c r="AA300" s="109">
        <v>32.973419721491418</v>
      </c>
      <c r="AB300" s="109" t="s">
        <v>4536</v>
      </c>
      <c r="AC300" s="109" t="s">
        <v>4028</v>
      </c>
      <c r="AD300" s="765" t="s">
        <v>4519</v>
      </c>
      <c r="AE300" s="765" t="s">
        <v>625</v>
      </c>
      <c r="AF300" s="765"/>
      <c r="AG300" s="765"/>
      <c r="AH300" s="109"/>
      <c r="AL300" s="2" t="s">
        <v>679</v>
      </c>
      <c r="AM300" s="2" t="s">
        <v>706</v>
      </c>
      <c r="AN300" s="2" t="s">
        <v>952</v>
      </c>
      <c r="AO300" s="2">
        <v>0.60967501999999996</v>
      </c>
      <c r="AP300" s="2" t="s">
        <v>4673</v>
      </c>
      <c r="AQ300" s="2" t="s">
        <v>4469</v>
      </c>
      <c r="AR300" s="2" t="s">
        <v>4756</v>
      </c>
      <c r="AT300" s="765"/>
      <c r="AU300" s="765"/>
      <c r="AV300" s="765"/>
      <c r="AW300" s="765"/>
    </row>
    <row r="301" spans="1:49" x14ac:dyDescent="0.25">
      <c r="A301" s="23" t="s">
        <v>626</v>
      </c>
      <c r="B301" s="108" t="s">
        <v>148</v>
      </c>
      <c r="C301" s="108" t="s">
        <v>150</v>
      </c>
      <c r="D301" s="108" t="s">
        <v>153</v>
      </c>
      <c r="E301" s="108" t="s">
        <v>1391</v>
      </c>
      <c r="F301" s="114" t="s">
        <v>694</v>
      </c>
      <c r="G301" s="213" t="s">
        <v>1133</v>
      </c>
      <c r="H301" s="115" t="s">
        <v>1134</v>
      </c>
      <c r="I301" s="213">
        <v>728771.32</v>
      </c>
      <c r="J301" s="109">
        <v>5</v>
      </c>
      <c r="K301" s="109" t="s">
        <v>696</v>
      </c>
      <c r="L301" s="115">
        <v>0.13165279999999999</v>
      </c>
      <c r="M301" s="115">
        <v>105.663651</v>
      </c>
      <c r="N301" s="115">
        <v>105.694901</v>
      </c>
      <c r="O301" s="214">
        <v>0.375</v>
      </c>
      <c r="P301" s="115">
        <v>4.8356000000000003</v>
      </c>
      <c r="Q301" s="769">
        <v>3.11307000505</v>
      </c>
      <c r="R301" s="216"/>
      <c r="S301" s="216">
        <v>3.11307000505</v>
      </c>
      <c r="T301" s="216">
        <v>26</v>
      </c>
      <c r="U301" s="216">
        <v>3.5859999999999999</v>
      </c>
      <c r="V301" s="115">
        <v>98.704676397230003</v>
      </c>
      <c r="W301" s="109"/>
      <c r="X301" s="109">
        <v>47.759944560930002</v>
      </c>
      <c r="Y301" s="109"/>
      <c r="Z301" s="109">
        <v>6.5425792008522166E-4</v>
      </c>
      <c r="AA301" s="109">
        <v>1.428689018914131E-2</v>
      </c>
      <c r="AB301" s="109" t="s">
        <v>2938</v>
      </c>
      <c r="AC301" s="109"/>
      <c r="AD301" s="765"/>
      <c r="AE301" s="765" t="s">
        <v>625</v>
      </c>
      <c r="AF301" s="765"/>
      <c r="AG301" s="765"/>
      <c r="AH301" s="109"/>
      <c r="AL301" s="2" t="s">
        <v>679</v>
      </c>
      <c r="AM301" s="2" t="s">
        <v>706</v>
      </c>
      <c r="AN301" s="2" t="s">
        <v>952</v>
      </c>
      <c r="AO301" s="2">
        <v>0.1318339</v>
      </c>
      <c r="AP301" s="2" t="s">
        <v>4673</v>
      </c>
      <c r="AQ301" s="2" t="s">
        <v>4469</v>
      </c>
      <c r="AR301" s="2" t="s">
        <v>4756</v>
      </c>
      <c r="AT301" s="765"/>
      <c r="AU301" s="765"/>
      <c r="AV301" s="765"/>
      <c r="AW301" s="765"/>
    </row>
    <row r="302" spans="1:49" x14ac:dyDescent="0.25">
      <c r="A302" s="23" t="s">
        <v>648</v>
      </c>
      <c r="B302" s="108" t="s">
        <v>148</v>
      </c>
      <c r="C302" s="108" t="s">
        <v>150</v>
      </c>
      <c r="D302" s="108" t="s">
        <v>153</v>
      </c>
      <c r="E302" s="108" t="s">
        <v>1392</v>
      </c>
      <c r="F302" s="114" t="s">
        <v>694</v>
      </c>
      <c r="G302" s="213" t="s">
        <v>1133</v>
      </c>
      <c r="H302" s="115" t="s">
        <v>1134</v>
      </c>
      <c r="I302" s="213">
        <v>1740101.9</v>
      </c>
      <c r="J302" s="109">
        <v>4</v>
      </c>
      <c r="K302" s="109" t="s">
        <v>696</v>
      </c>
      <c r="L302" s="115">
        <v>0.13744428</v>
      </c>
      <c r="M302" s="115">
        <v>101.69135300000001</v>
      </c>
      <c r="N302" s="115">
        <v>101.713123</v>
      </c>
      <c r="O302" s="214">
        <v>0.3</v>
      </c>
      <c r="P302" s="115">
        <v>6.3948999999999998</v>
      </c>
      <c r="Q302" s="769">
        <v>4.1475958368099999</v>
      </c>
      <c r="R302" s="216"/>
      <c r="S302" s="216">
        <v>4.1475958368099999</v>
      </c>
      <c r="T302" s="216">
        <v>27</v>
      </c>
      <c r="U302" s="216">
        <v>3.6579999999999999</v>
      </c>
      <c r="V302" s="115">
        <v>106.93819168384</v>
      </c>
      <c r="W302" s="109"/>
      <c r="X302" s="109">
        <v>50.991039375710002</v>
      </c>
      <c r="Y302" s="109"/>
      <c r="Z302" s="109">
        <v>76.317022128951777</v>
      </c>
      <c r="AA302" s="109">
        <v>60.820257398502143</v>
      </c>
      <c r="AB302" s="109" t="s">
        <v>2834</v>
      </c>
      <c r="AC302" s="109" t="s">
        <v>4939</v>
      </c>
      <c r="AD302" s="765" t="s">
        <v>1183</v>
      </c>
      <c r="AE302" s="765" t="s">
        <v>625</v>
      </c>
      <c r="AF302" s="765"/>
      <c r="AG302" s="765"/>
      <c r="AH302" s="109"/>
      <c r="AL302" s="2" t="s">
        <v>679</v>
      </c>
      <c r="AM302" s="2" t="s">
        <v>706</v>
      </c>
      <c r="AN302" s="2" t="s">
        <v>952</v>
      </c>
      <c r="AO302" s="2">
        <v>0.15523255</v>
      </c>
      <c r="AP302" s="2" t="s">
        <v>4673</v>
      </c>
      <c r="AQ302" s="2" t="s">
        <v>4469</v>
      </c>
      <c r="AR302" s="2" t="s">
        <v>4756</v>
      </c>
      <c r="AT302" s="765"/>
      <c r="AU302" s="765"/>
      <c r="AV302" s="765"/>
      <c r="AW302" s="765"/>
    </row>
    <row r="303" spans="1:49" x14ac:dyDescent="0.25">
      <c r="A303" s="23" t="s">
        <v>649</v>
      </c>
      <c r="B303" s="108" t="s">
        <v>148</v>
      </c>
      <c r="C303" s="108" t="s">
        <v>150</v>
      </c>
      <c r="D303" s="108" t="s">
        <v>153</v>
      </c>
      <c r="E303" s="108" t="s">
        <v>1394</v>
      </c>
      <c r="F303" s="114" t="s">
        <v>694</v>
      </c>
      <c r="G303" s="213" t="s">
        <v>1133</v>
      </c>
      <c r="H303" s="115" t="s">
        <v>1134</v>
      </c>
      <c r="I303" s="213">
        <v>38840427.030000001</v>
      </c>
      <c r="J303" s="109">
        <v>4</v>
      </c>
      <c r="K303" s="109" t="s">
        <v>696</v>
      </c>
      <c r="L303" s="115">
        <v>0.13430233999999999</v>
      </c>
      <c r="M303" s="115">
        <v>101.69135300000001</v>
      </c>
      <c r="N303" s="115">
        <v>101.713123</v>
      </c>
      <c r="O303" s="214">
        <v>0.3</v>
      </c>
      <c r="P303" s="115">
        <v>6.3601999999999999</v>
      </c>
      <c r="Q303" s="769">
        <v>4.1779730093899996</v>
      </c>
      <c r="R303" s="216"/>
      <c r="S303" s="216">
        <v>4.1779730093899996</v>
      </c>
      <c r="T303" s="216">
        <v>27</v>
      </c>
      <c r="U303" s="216">
        <v>3.6560000000000001</v>
      </c>
      <c r="V303" s="115">
        <v>106.76064895009</v>
      </c>
      <c r="W303" s="109"/>
      <c r="X303" s="109">
        <v>53.116702807460001</v>
      </c>
      <c r="Y303" s="109"/>
      <c r="Z303" s="109">
        <v>44.544642244937592</v>
      </c>
      <c r="AA303" s="109">
        <v>42.205274142146699</v>
      </c>
      <c r="AB303" s="109" t="s">
        <v>240</v>
      </c>
      <c r="AC303" s="109" t="s">
        <v>244</v>
      </c>
      <c r="AD303" s="765" t="s">
        <v>2428</v>
      </c>
      <c r="AE303" s="765" t="s">
        <v>625</v>
      </c>
      <c r="AF303" s="765"/>
      <c r="AG303" s="765"/>
      <c r="AH303" s="109"/>
      <c r="AL303" s="2" t="s">
        <v>679</v>
      </c>
      <c r="AM303" s="2" t="s">
        <v>706</v>
      </c>
      <c r="AN303" s="2" t="s">
        <v>952</v>
      </c>
      <c r="AO303" s="2">
        <v>0.14130607000000001</v>
      </c>
      <c r="AP303" s="2" t="s">
        <v>4673</v>
      </c>
      <c r="AQ303" s="2" t="s">
        <v>4469</v>
      </c>
      <c r="AR303" s="2" t="s">
        <v>4756</v>
      </c>
      <c r="AT303" s="765"/>
      <c r="AU303" s="765"/>
      <c r="AV303" s="765"/>
      <c r="AW303" s="765"/>
    </row>
    <row r="304" spans="1:49" x14ac:dyDescent="0.25">
      <c r="A304" s="23" t="s">
        <v>650</v>
      </c>
      <c r="B304" s="108" t="s">
        <v>148</v>
      </c>
      <c r="C304" s="108" t="s">
        <v>150</v>
      </c>
      <c r="D304" s="108" t="s">
        <v>153</v>
      </c>
      <c r="E304" s="108" t="s">
        <v>1395</v>
      </c>
      <c r="F304" s="114" t="s">
        <v>694</v>
      </c>
      <c r="G304" s="213" t="s">
        <v>1276</v>
      </c>
      <c r="H304" s="115" t="s">
        <v>1277</v>
      </c>
      <c r="I304" s="213">
        <v>0</v>
      </c>
      <c r="J304" s="109">
        <v>4.5</v>
      </c>
      <c r="K304" s="109" t="s">
        <v>696</v>
      </c>
      <c r="L304" s="115">
        <v>0</v>
      </c>
      <c r="M304" s="115">
        <v>0</v>
      </c>
      <c r="N304" s="115">
        <v>0</v>
      </c>
      <c r="O304" s="214">
        <v>0</v>
      </c>
      <c r="P304" s="115"/>
      <c r="Q304" s="769"/>
      <c r="R304" s="216"/>
      <c r="S304" s="216">
        <v>26.19452054794521</v>
      </c>
      <c r="T304" s="216">
        <v>0</v>
      </c>
      <c r="U304" s="216"/>
      <c r="V304" s="115"/>
      <c r="W304" s="109"/>
      <c r="X304" s="109"/>
      <c r="Y304" s="109"/>
      <c r="Z304" s="109">
        <v>100</v>
      </c>
      <c r="AA304" s="109">
        <v>100</v>
      </c>
      <c r="AB304" s="109" t="s">
        <v>2938</v>
      </c>
      <c r="AC304" s="109"/>
      <c r="AD304" s="765"/>
      <c r="AE304" s="765" t="s">
        <v>625</v>
      </c>
      <c r="AF304" s="765"/>
      <c r="AG304" s="765"/>
      <c r="AH304" s="109"/>
      <c r="AL304" s="2" t="s">
        <v>679</v>
      </c>
      <c r="AM304" s="2" t="s">
        <v>706</v>
      </c>
      <c r="AN304" s="2" t="s">
        <v>952</v>
      </c>
      <c r="AO304" s="2">
        <v>2.8630470000000002E-2</v>
      </c>
      <c r="AP304" s="2" t="s">
        <v>4673</v>
      </c>
      <c r="AQ304" s="2" t="s">
        <v>3475</v>
      </c>
      <c r="AR304" s="2" t="s">
        <v>4756</v>
      </c>
      <c r="AT304" s="765"/>
      <c r="AU304" s="765"/>
      <c r="AV304" s="765"/>
      <c r="AW304" s="765"/>
    </row>
    <row r="305" spans="1:49" x14ac:dyDescent="0.25">
      <c r="A305" s="23" t="s">
        <v>779</v>
      </c>
      <c r="B305" s="108" t="s">
        <v>148</v>
      </c>
      <c r="C305" s="108" t="s">
        <v>150</v>
      </c>
      <c r="D305" s="108" t="s">
        <v>153</v>
      </c>
      <c r="E305" s="108" t="s">
        <v>1396</v>
      </c>
      <c r="F305" s="114" t="s">
        <v>694</v>
      </c>
      <c r="G305" s="213" t="s">
        <v>1145</v>
      </c>
      <c r="H305" s="115" t="s">
        <v>1271</v>
      </c>
      <c r="I305" s="213">
        <v>30161721.739999998</v>
      </c>
      <c r="J305" s="109">
        <v>4</v>
      </c>
      <c r="K305" s="109" t="s">
        <v>696</v>
      </c>
      <c r="L305" s="115">
        <v>0.14889168999999999</v>
      </c>
      <c r="M305" s="115">
        <v>101.69135300000001</v>
      </c>
      <c r="N305" s="115">
        <v>101.713123</v>
      </c>
      <c r="O305" s="214">
        <v>0.3</v>
      </c>
      <c r="P305" s="115">
        <v>6.3883000000000001</v>
      </c>
      <c r="Q305" s="769">
        <v>4.2183306160700003</v>
      </c>
      <c r="R305" s="216"/>
      <c r="S305" s="216">
        <v>4.2183306160700003</v>
      </c>
      <c r="T305" s="216">
        <v>27</v>
      </c>
      <c r="U305" s="216">
        <v>3.6579999999999999</v>
      </c>
      <c r="V305" s="115">
        <v>106.91758072963</v>
      </c>
      <c r="W305" s="109"/>
      <c r="X305" s="109">
        <v>57.798652616040002</v>
      </c>
      <c r="Y305" s="109"/>
      <c r="Z305" s="109">
        <v>36.216266730499022</v>
      </c>
      <c r="AA305" s="109">
        <v>46.282454370745199</v>
      </c>
      <c r="AB305" s="109" t="s">
        <v>1254</v>
      </c>
      <c r="AC305" s="109" t="s">
        <v>244</v>
      </c>
      <c r="AD305" s="765" t="s">
        <v>3199</v>
      </c>
      <c r="AE305" s="765" t="s">
        <v>625</v>
      </c>
      <c r="AF305" s="765"/>
      <c r="AG305" s="765"/>
      <c r="AH305" s="109"/>
      <c r="AL305" s="2" t="s">
        <v>679</v>
      </c>
      <c r="AM305" s="2" t="s">
        <v>706</v>
      </c>
      <c r="AN305" s="2" t="s">
        <v>952</v>
      </c>
      <c r="AO305" s="2">
        <v>0.15483358999999999</v>
      </c>
      <c r="AP305" s="2" t="s">
        <v>4673</v>
      </c>
      <c r="AQ305" s="2" t="s">
        <v>4469</v>
      </c>
      <c r="AR305" s="2" t="s">
        <v>4756</v>
      </c>
      <c r="AT305" s="765"/>
      <c r="AU305" s="765"/>
      <c r="AV305" s="765"/>
      <c r="AW305" s="765"/>
    </row>
    <row r="306" spans="1:49" x14ac:dyDescent="0.25">
      <c r="A306" s="23" t="s">
        <v>896</v>
      </c>
      <c r="B306" s="108" t="s">
        <v>148</v>
      </c>
      <c r="C306" s="108" t="s">
        <v>150</v>
      </c>
      <c r="D306" s="108" t="s">
        <v>153</v>
      </c>
      <c r="E306" s="108" t="s">
        <v>1397</v>
      </c>
      <c r="F306" s="114" t="s">
        <v>694</v>
      </c>
      <c r="G306" s="213" t="s">
        <v>1248</v>
      </c>
      <c r="H306" s="115" t="s">
        <v>1317</v>
      </c>
      <c r="I306" s="213">
        <v>11308458.289999999</v>
      </c>
      <c r="J306" s="109">
        <v>4</v>
      </c>
      <c r="K306" s="109" t="s">
        <v>696</v>
      </c>
      <c r="L306" s="115">
        <v>0.33512479000000001</v>
      </c>
      <c r="M306" s="115">
        <v>102.951752</v>
      </c>
      <c r="N306" s="115">
        <v>102.998627</v>
      </c>
      <c r="O306" s="214">
        <v>0.3</v>
      </c>
      <c r="P306" s="115">
        <v>6.2244999999999999</v>
      </c>
      <c r="Q306" s="769">
        <v>4.5712455139900001</v>
      </c>
      <c r="R306" s="216"/>
      <c r="S306" s="216">
        <v>4.5712455139900001</v>
      </c>
      <c r="T306" s="216">
        <v>27</v>
      </c>
      <c r="U306" s="216">
        <v>3.41</v>
      </c>
      <c r="V306" s="115">
        <v>82.060296473229997</v>
      </c>
      <c r="W306" s="109"/>
      <c r="X306" s="109">
        <v>52.53245723317</v>
      </c>
      <c r="Y306" s="109"/>
      <c r="Z306" s="109">
        <v>20.504179987592561</v>
      </c>
      <c r="AA306" s="109">
        <v>30.45147029353847</v>
      </c>
      <c r="AB306" s="109" t="s">
        <v>251</v>
      </c>
      <c r="AC306" s="109" t="s">
        <v>257</v>
      </c>
      <c r="AD306" s="765" t="s">
        <v>1727</v>
      </c>
      <c r="AE306" s="765" t="s">
        <v>625</v>
      </c>
      <c r="AF306" s="765"/>
      <c r="AG306" s="765"/>
      <c r="AH306" s="109"/>
      <c r="AL306" s="2" t="s">
        <v>679</v>
      </c>
      <c r="AM306" s="2" t="s">
        <v>706</v>
      </c>
      <c r="AN306" s="2" t="s">
        <v>952</v>
      </c>
      <c r="AO306" s="2">
        <v>0.34223460999999999</v>
      </c>
      <c r="AP306" s="2" t="s">
        <v>4673</v>
      </c>
      <c r="AQ306" s="2" t="s">
        <v>4469</v>
      </c>
      <c r="AR306" s="2" t="s">
        <v>4756</v>
      </c>
      <c r="AT306" s="765"/>
      <c r="AU306" s="765"/>
      <c r="AV306" s="765"/>
      <c r="AW306" s="765"/>
    </row>
    <row r="307" spans="1:49" x14ac:dyDescent="0.25">
      <c r="A307" s="23" t="s">
        <v>895</v>
      </c>
      <c r="B307" s="108" t="s">
        <v>148</v>
      </c>
      <c r="C307" s="108" t="s">
        <v>150</v>
      </c>
      <c r="D307" s="108" t="s">
        <v>153</v>
      </c>
      <c r="E307" s="108" t="s">
        <v>1398</v>
      </c>
      <c r="F307" s="114" t="s">
        <v>694</v>
      </c>
      <c r="G307" s="213" t="s">
        <v>1399</v>
      </c>
      <c r="H307" s="115" t="s">
        <v>1387</v>
      </c>
      <c r="I307" s="213">
        <v>131623231.15000001</v>
      </c>
      <c r="J307" s="109">
        <v>3.5</v>
      </c>
      <c r="K307" s="109" t="s">
        <v>696</v>
      </c>
      <c r="L307" s="115">
        <v>0.38459069000000001</v>
      </c>
      <c r="M307" s="115">
        <v>100.35101299999999</v>
      </c>
      <c r="N307" s="115">
        <v>100.39788799999999</v>
      </c>
      <c r="O307" s="214">
        <v>0.26250000000000001</v>
      </c>
      <c r="P307" s="115">
        <v>6.9923000000000002</v>
      </c>
      <c r="Q307" s="769">
        <v>4.7634177624899996</v>
      </c>
      <c r="R307" s="216"/>
      <c r="S307" s="216">
        <v>4.7634177624899996</v>
      </c>
      <c r="T307" s="216">
        <v>26</v>
      </c>
      <c r="U307" s="216">
        <v>3.423</v>
      </c>
      <c r="V307" s="115">
        <v>84.131732072890003</v>
      </c>
      <c r="W307" s="109"/>
      <c r="X307" s="109">
        <v>47.604871302269999</v>
      </c>
      <c r="Y307" s="109"/>
      <c r="Z307" s="109">
        <v>18.62129588814441</v>
      </c>
      <c r="AA307" s="109">
        <v>25.078108915945961</v>
      </c>
      <c r="AB307" s="109" t="s">
        <v>255</v>
      </c>
      <c r="AC307" s="109" t="s">
        <v>1281</v>
      </c>
      <c r="AD307" s="765" t="s">
        <v>2940</v>
      </c>
      <c r="AE307" s="765" t="s">
        <v>625</v>
      </c>
      <c r="AF307" s="765"/>
      <c r="AG307" s="765"/>
      <c r="AH307" s="109"/>
      <c r="AL307" s="2" t="s">
        <v>679</v>
      </c>
      <c r="AM307" s="2" t="s">
        <v>706</v>
      </c>
      <c r="AN307" s="2" t="s">
        <v>952</v>
      </c>
      <c r="AO307" s="2">
        <v>0.39202513999999999</v>
      </c>
      <c r="AP307" s="2" t="s">
        <v>4673</v>
      </c>
      <c r="AQ307" s="2" t="s">
        <v>4469</v>
      </c>
      <c r="AR307" s="2" t="s">
        <v>4756</v>
      </c>
      <c r="AT307" s="765"/>
      <c r="AU307" s="765"/>
      <c r="AV307" s="765"/>
      <c r="AW307" s="765"/>
    </row>
    <row r="308" spans="1:49" x14ac:dyDescent="0.25">
      <c r="A308" s="23" t="s">
        <v>733</v>
      </c>
      <c r="B308" s="108" t="s">
        <v>148</v>
      </c>
      <c r="C308" s="108" t="s">
        <v>150</v>
      </c>
      <c r="D308" s="108" t="s">
        <v>153</v>
      </c>
      <c r="E308" s="108" t="s">
        <v>1400</v>
      </c>
      <c r="F308" s="114" t="s">
        <v>694</v>
      </c>
      <c r="G308" s="213" t="s">
        <v>1279</v>
      </c>
      <c r="H308" s="115" t="s">
        <v>1271</v>
      </c>
      <c r="I308" s="213">
        <v>1138014.8700000001</v>
      </c>
      <c r="J308" s="109">
        <v>5</v>
      </c>
      <c r="K308" s="109" t="s">
        <v>696</v>
      </c>
      <c r="L308" s="115">
        <v>0.51106309999999999</v>
      </c>
      <c r="M308" s="115">
        <v>107.265732</v>
      </c>
      <c r="N308" s="115">
        <v>107.312607</v>
      </c>
      <c r="O308" s="214">
        <v>0.375</v>
      </c>
      <c r="P308" s="115">
        <v>4.8385999999999996</v>
      </c>
      <c r="Q308" s="769">
        <v>3.0806245937700001</v>
      </c>
      <c r="R308" s="216"/>
      <c r="S308" s="216">
        <v>3.0806245937700001</v>
      </c>
      <c r="T308" s="216">
        <v>26</v>
      </c>
      <c r="U308" s="216">
        <v>3.222</v>
      </c>
      <c r="V308" s="115">
        <v>62.34285357617</v>
      </c>
      <c r="W308" s="109"/>
      <c r="X308" s="109">
        <v>20.880386902030001</v>
      </c>
      <c r="Y308" s="109"/>
      <c r="Z308" s="109">
        <v>1.5140607958930019E-3</v>
      </c>
      <c r="AA308" s="109">
        <v>1.8163147733474268E-2</v>
      </c>
      <c r="AB308" s="109" t="s">
        <v>1401</v>
      </c>
      <c r="AC308" s="109"/>
      <c r="AD308" s="765"/>
      <c r="AE308" s="765" t="s">
        <v>625</v>
      </c>
      <c r="AF308" s="765"/>
      <c r="AG308" s="765"/>
      <c r="AH308" s="109"/>
      <c r="AL308" s="2" t="s">
        <v>679</v>
      </c>
      <c r="AM308" s="2" t="s">
        <v>706</v>
      </c>
      <c r="AN308" s="2" t="s">
        <v>952</v>
      </c>
      <c r="AO308" s="2">
        <v>0.51177508000000005</v>
      </c>
      <c r="AP308" s="2" t="s">
        <v>4673</v>
      </c>
      <c r="AQ308" s="2" t="s">
        <v>4469</v>
      </c>
      <c r="AR308" s="2" t="s">
        <v>4756</v>
      </c>
      <c r="AT308" s="765"/>
      <c r="AU308" s="765"/>
      <c r="AV308" s="765"/>
      <c r="AW308" s="765"/>
    </row>
    <row r="309" spans="1:49" x14ac:dyDescent="0.25">
      <c r="A309" s="23" t="s">
        <v>877</v>
      </c>
      <c r="B309" s="108" t="s">
        <v>148</v>
      </c>
      <c r="C309" s="108" t="s">
        <v>150</v>
      </c>
      <c r="D309" s="108" t="s">
        <v>153</v>
      </c>
      <c r="E309" s="108" t="s">
        <v>1402</v>
      </c>
      <c r="F309" s="114" t="s">
        <v>694</v>
      </c>
      <c r="G309" s="213" t="s">
        <v>1199</v>
      </c>
      <c r="H309" s="115" t="s">
        <v>1403</v>
      </c>
      <c r="I309" s="213">
        <v>28735285.059999999</v>
      </c>
      <c r="J309" s="109">
        <v>4</v>
      </c>
      <c r="K309" s="109" t="s">
        <v>696</v>
      </c>
      <c r="L309" s="115">
        <v>0.35358435999999999</v>
      </c>
      <c r="M309" s="115">
        <v>102.844543</v>
      </c>
      <c r="N309" s="115">
        <v>102.891418</v>
      </c>
      <c r="O309" s="214">
        <v>0.3</v>
      </c>
      <c r="P309" s="115">
        <v>6.4165000000000001</v>
      </c>
      <c r="Q309" s="769">
        <v>4.3512035655599997</v>
      </c>
      <c r="R309" s="216"/>
      <c r="S309" s="216">
        <v>4.3512035655599997</v>
      </c>
      <c r="T309" s="216">
        <v>27</v>
      </c>
      <c r="U309" s="216">
        <v>3.4449999999999998</v>
      </c>
      <c r="V309" s="115">
        <v>85.640610878969994</v>
      </c>
      <c r="W309" s="109"/>
      <c r="X309" s="109">
        <v>44.801109736420003</v>
      </c>
      <c r="Y309" s="109"/>
      <c r="Z309" s="109">
        <v>32.603362726939622</v>
      </c>
      <c r="AA309" s="109">
        <v>32.236574180239217</v>
      </c>
      <c r="AB309" s="109" t="s">
        <v>2713</v>
      </c>
      <c r="AC309" s="109" t="s">
        <v>517</v>
      </c>
      <c r="AD309" s="765" t="s">
        <v>1506</v>
      </c>
      <c r="AE309" s="765" t="s">
        <v>625</v>
      </c>
      <c r="AF309" s="765"/>
      <c r="AG309" s="765"/>
      <c r="AH309" s="109"/>
      <c r="AL309" s="2" t="s">
        <v>679</v>
      </c>
      <c r="AM309" s="2" t="s">
        <v>706</v>
      </c>
      <c r="AN309" s="2" t="s">
        <v>952</v>
      </c>
      <c r="AO309" s="2">
        <v>0.36598848</v>
      </c>
      <c r="AP309" s="2" t="s">
        <v>4673</v>
      </c>
      <c r="AQ309" s="2" t="s">
        <v>4469</v>
      </c>
      <c r="AR309" s="2" t="s">
        <v>4756</v>
      </c>
      <c r="AT309" s="765"/>
      <c r="AU309" s="765"/>
      <c r="AV309" s="765"/>
      <c r="AW309" s="765"/>
    </row>
    <row r="310" spans="1:49" x14ac:dyDescent="0.25">
      <c r="A310" s="23" t="s">
        <v>996</v>
      </c>
      <c r="B310" s="108" t="s">
        <v>148</v>
      </c>
      <c r="C310" s="108" t="s">
        <v>150</v>
      </c>
      <c r="D310" s="108" t="s">
        <v>153</v>
      </c>
      <c r="E310" s="108" t="s">
        <v>1011</v>
      </c>
      <c r="F310" s="114" t="s">
        <v>694</v>
      </c>
      <c r="G310" s="213" t="s">
        <v>1138</v>
      </c>
      <c r="H310" s="115" t="s">
        <v>1139</v>
      </c>
      <c r="I310" s="213">
        <v>32578097.449999999</v>
      </c>
      <c r="J310" s="109">
        <v>3.5</v>
      </c>
      <c r="K310" s="109" t="s">
        <v>696</v>
      </c>
      <c r="L310" s="115">
        <v>0.41762927999999999</v>
      </c>
      <c r="M310" s="115">
        <v>100.219391</v>
      </c>
      <c r="N310" s="115">
        <v>100.250641</v>
      </c>
      <c r="O310" s="214">
        <v>0.26250000000000001</v>
      </c>
      <c r="P310" s="115">
        <v>7.2727000000000004</v>
      </c>
      <c r="Q310" s="769">
        <v>5.4229775502299997</v>
      </c>
      <c r="R310" s="216"/>
      <c r="S310" s="216">
        <v>5.4229775502299997</v>
      </c>
      <c r="T310" s="216">
        <v>26</v>
      </c>
      <c r="U310" s="216">
        <v>3.4489999999999998</v>
      </c>
      <c r="V310" s="115">
        <v>87.557592633430005</v>
      </c>
      <c r="W310" s="109"/>
      <c r="X310" s="109">
        <v>36.159965027669998</v>
      </c>
      <c r="Y310" s="109"/>
      <c r="Z310" s="109">
        <v>0.57310216681929482</v>
      </c>
      <c r="AA310" s="109">
        <v>23.806115998620339</v>
      </c>
      <c r="AB310" s="109" t="s">
        <v>256</v>
      </c>
      <c r="AC310" s="109"/>
      <c r="AD310" s="765"/>
      <c r="AE310" s="765" t="s">
        <v>625</v>
      </c>
      <c r="AF310" s="765"/>
      <c r="AG310" s="765"/>
      <c r="AH310" s="109"/>
      <c r="AL310" s="2" t="s">
        <v>679</v>
      </c>
      <c r="AM310" s="2" t="s">
        <v>706</v>
      </c>
      <c r="AN310" s="2" t="s">
        <v>952</v>
      </c>
      <c r="AO310" s="2">
        <v>0.41852662000000002</v>
      </c>
      <c r="AP310" s="2" t="s">
        <v>4673</v>
      </c>
      <c r="AQ310" s="2" t="s">
        <v>4469</v>
      </c>
      <c r="AR310" s="2" t="s">
        <v>4756</v>
      </c>
      <c r="AT310" s="765"/>
      <c r="AU310" s="765"/>
      <c r="AV310" s="765"/>
      <c r="AW310" s="765"/>
    </row>
    <row r="311" spans="1:49" x14ac:dyDescent="0.25">
      <c r="A311" s="23" t="s">
        <v>3450</v>
      </c>
      <c r="B311" s="108" t="s">
        <v>148</v>
      </c>
      <c r="C311" s="108" t="s">
        <v>150</v>
      </c>
      <c r="D311" s="108" t="s">
        <v>153</v>
      </c>
      <c r="E311" s="108" t="s">
        <v>3488</v>
      </c>
      <c r="F311" s="114" t="s">
        <v>694</v>
      </c>
      <c r="G311" s="213" t="s">
        <v>3084</v>
      </c>
      <c r="H311" s="115" t="s">
        <v>3489</v>
      </c>
      <c r="I311" s="213">
        <v>3531585.98</v>
      </c>
      <c r="J311" s="109">
        <v>2.5</v>
      </c>
      <c r="K311" s="109" t="s">
        <v>696</v>
      </c>
      <c r="L311" s="115">
        <v>0.92347900999999999</v>
      </c>
      <c r="M311" s="115">
        <v>94.75206</v>
      </c>
      <c r="N311" s="115">
        <v>94.780608999999998</v>
      </c>
      <c r="O311" s="214">
        <v>0.1875</v>
      </c>
      <c r="P311" s="115">
        <v>9.0509000000000004</v>
      </c>
      <c r="Q311" s="769">
        <v>6.3924315649099999</v>
      </c>
      <c r="R311" s="216"/>
      <c r="S311" s="216">
        <v>6.3924315649099999</v>
      </c>
      <c r="T311" s="216">
        <v>27</v>
      </c>
      <c r="U311" s="216">
        <v>3.2170000000000001</v>
      </c>
      <c r="V311" s="115">
        <v>70.027245227590001</v>
      </c>
      <c r="W311" s="109"/>
      <c r="X311" s="109">
        <v>47.35156107916</v>
      </c>
      <c r="Y311" s="109"/>
      <c r="Z311" s="109">
        <v>0.22590596403676549</v>
      </c>
      <c r="AA311" s="109">
        <v>0.13453782010833801</v>
      </c>
      <c r="AB311" s="109" t="s">
        <v>3490</v>
      </c>
      <c r="AC311" s="109" t="s">
        <v>3487</v>
      </c>
      <c r="AD311" s="765" t="s">
        <v>3491</v>
      </c>
      <c r="AE311" s="765" t="s">
        <v>625</v>
      </c>
      <c r="AF311" s="765"/>
      <c r="AG311" s="765"/>
      <c r="AH311" s="109"/>
      <c r="AL311" s="2" t="s">
        <v>679</v>
      </c>
      <c r="AM311" s="2" t="s">
        <v>706</v>
      </c>
      <c r="AN311" s="2" t="s">
        <v>952</v>
      </c>
      <c r="AO311" s="2">
        <v>0.92523158000000005</v>
      </c>
      <c r="AP311" s="2" t="s">
        <v>4673</v>
      </c>
      <c r="AQ311" s="2" t="s">
        <v>4469</v>
      </c>
      <c r="AR311" s="2" t="s">
        <v>4756</v>
      </c>
      <c r="AT311" s="765"/>
      <c r="AU311" s="765"/>
      <c r="AV311" s="765"/>
      <c r="AW311" s="765"/>
    </row>
    <row r="312" spans="1:49" x14ac:dyDescent="0.25">
      <c r="A312" s="23" t="s">
        <v>3551</v>
      </c>
      <c r="B312" s="108" t="s">
        <v>797</v>
      </c>
      <c r="C312" s="108" t="s">
        <v>150</v>
      </c>
      <c r="D312" s="108" t="s">
        <v>3557</v>
      </c>
      <c r="E312" s="108" t="s">
        <v>3558</v>
      </c>
      <c r="F312" s="114" t="s">
        <v>694</v>
      </c>
      <c r="G312" s="213" t="s">
        <v>3330</v>
      </c>
      <c r="H312" s="115" t="s">
        <v>2860</v>
      </c>
      <c r="I312" s="213">
        <v>4010292.75</v>
      </c>
      <c r="J312" s="109">
        <v>2</v>
      </c>
      <c r="K312" s="109" t="s">
        <v>696</v>
      </c>
      <c r="L312" s="115">
        <v>0.98754375999999999</v>
      </c>
      <c r="M312" s="115">
        <v>90.481605999999999</v>
      </c>
      <c r="N312" s="115">
        <v>90.528480999999999</v>
      </c>
      <c r="O312" s="214">
        <v>0.15</v>
      </c>
      <c r="P312" s="115">
        <v>10.2926</v>
      </c>
      <c r="Q312" s="769">
        <v>7.1577073100800002</v>
      </c>
      <c r="R312" s="216"/>
      <c r="S312" s="216">
        <v>7.1577073100800002</v>
      </c>
      <c r="T312" s="216">
        <v>26</v>
      </c>
      <c r="U312" s="216">
        <v>3.169</v>
      </c>
      <c r="V312" s="115">
        <v>66.91675301443</v>
      </c>
      <c r="W312" s="109"/>
      <c r="X312" s="109">
        <v>25.795333704570002</v>
      </c>
      <c r="Y312" s="109"/>
      <c r="Z312" s="109">
        <v>-1.289662845960216E-3</v>
      </c>
      <c r="AA312" s="109">
        <v>-1.22856384632275E-3</v>
      </c>
      <c r="AB312" s="109" t="s">
        <v>3559</v>
      </c>
      <c r="AC312" s="109" t="s">
        <v>3422</v>
      </c>
      <c r="AD312" s="765" t="s">
        <v>3560</v>
      </c>
      <c r="AE312" s="765" t="s">
        <v>625</v>
      </c>
      <c r="AF312" s="765"/>
      <c r="AG312" s="765"/>
      <c r="AH312" s="109"/>
      <c r="AL312" s="2" t="s">
        <v>679</v>
      </c>
      <c r="AM312" s="2" t="s">
        <v>706</v>
      </c>
      <c r="AN312" s="2" t="s">
        <v>952</v>
      </c>
      <c r="AO312" s="2">
        <v>0.98933598</v>
      </c>
      <c r="AP312" s="2" t="s">
        <v>4673</v>
      </c>
      <c r="AQ312" s="2" t="s">
        <v>4469</v>
      </c>
      <c r="AR312" s="2" t="s">
        <v>4756</v>
      </c>
      <c r="AT312" s="765"/>
      <c r="AU312" s="765"/>
      <c r="AV312" s="765"/>
      <c r="AW312" s="765"/>
    </row>
    <row r="313" spans="1:49" x14ac:dyDescent="0.25">
      <c r="A313" s="23" t="s">
        <v>791</v>
      </c>
      <c r="B313" s="108" t="s">
        <v>148</v>
      </c>
      <c r="C313" s="108" t="s">
        <v>150</v>
      </c>
      <c r="D313" s="108" t="s">
        <v>153</v>
      </c>
      <c r="E313" s="108" t="s">
        <v>1405</v>
      </c>
      <c r="F313" s="114" t="s">
        <v>694</v>
      </c>
      <c r="G313" s="213" t="s">
        <v>1115</v>
      </c>
      <c r="H313" s="115" t="s">
        <v>1406</v>
      </c>
      <c r="I313" s="213">
        <v>24121793.530000001</v>
      </c>
      <c r="J313" s="109">
        <v>4.5</v>
      </c>
      <c r="K313" s="109" t="s">
        <v>696</v>
      </c>
      <c r="L313" s="115">
        <v>0.16077187000000001</v>
      </c>
      <c r="M313" s="115">
        <v>103.39244100000001</v>
      </c>
      <c r="N313" s="115">
        <v>103.41728999999999</v>
      </c>
      <c r="O313" s="214">
        <v>0.33750000000000002</v>
      </c>
      <c r="P313" s="115">
        <v>5.2793999999999999</v>
      </c>
      <c r="Q313" s="769">
        <v>3.6234024744700002</v>
      </c>
      <c r="R313" s="216"/>
      <c r="S313" s="216">
        <v>3.6234024744700002</v>
      </c>
      <c r="T313" s="216">
        <v>27</v>
      </c>
      <c r="U313" s="216">
        <v>3.7029999999999998</v>
      </c>
      <c r="V313" s="115">
        <v>110.65518174203</v>
      </c>
      <c r="W313" s="109"/>
      <c r="X313" s="109">
        <v>59.609330484479997</v>
      </c>
      <c r="Y313" s="109"/>
      <c r="Z313" s="109">
        <v>12.56076095034128</v>
      </c>
      <c r="AA313" s="109">
        <v>44.695612526467478</v>
      </c>
      <c r="AB313" s="109" t="s">
        <v>1353</v>
      </c>
      <c r="AC313" s="109" t="s">
        <v>1219</v>
      </c>
      <c r="AD313" s="765" t="s">
        <v>1940</v>
      </c>
      <c r="AE313" s="765" t="s">
        <v>625</v>
      </c>
      <c r="AF313" s="765"/>
      <c r="AG313" s="765"/>
      <c r="AH313" s="109"/>
      <c r="AL313" s="2" t="s">
        <v>679</v>
      </c>
      <c r="AM313" s="2" t="s">
        <v>706</v>
      </c>
      <c r="AN313" s="2" t="s">
        <v>952</v>
      </c>
      <c r="AO313" s="2">
        <v>0.16284871000000001</v>
      </c>
      <c r="AP313" s="2" t="s">
        <v>4673</v>
      </c>
      <c r="AQ313" s="2" t="s">
        <v>4469</v>
      </c>
      <c r="AR313" s="2" t="s">
        <v>4756</v>
      </c>
      <c r="AT313" s="765"/>
      <c r="AU313" s="765"/>
      <c r="AV313" s="765"/>
      <c r="AW313" s="765"/>
    </row>
    <row r="314" spans="1:49" x14ac:dyDescent="0.25">
      <c r="A314" s="23" t="s">
        <v>717</v>
      </c>
      <c r="B314" s="108" t="s">
        <v>148</v>
      </c>
      <c r="C314" s="108" t="s">
        <v>150</v>
      </c>
      <c r="D314" s="108" t="s">
        <v>153</v>
      </c>
      <c r="E314" s="108" t="s">
        <v>1407</v>
      </c>
      <c r="F314" s="114" t="s">
        <v>694</v>
      </c>
      <c r="G314" s="213" t="s">
        <v>1135</v>
      </c>
      <c r="H314" s="115" t="s">
        <v>1271</v>
      </c>
      <c r="I314" s="213">
        <v>23291274.129999999</v>
      </c>
      <c r="J314" s="109">
        <v>4.5</v>
      </c>
      <c r="K314" s="109" t="s">
        <v>696</v>
      </c>
      <c r="L314" s="115">
        <v>0.30977443999999998</v>
      </c>
      <c r="M314" s="115">
        <v>104.730064</v>
      </c>
      <c r="N314" s="115">
        <v>104.776939</v>
      </c>
      <c r="O314" s="214">
        <v>0.33750000000000002</v>
      </c>
      <c r="P314" s="115">
        <v>5.2644000000000002</v>
      </c>
      <c r="Q314" s="769">
        <v>4.6927832236600002</v>
      </c>
      <c r="R314" s="216"/>
      <c r="S314" s="216">
        <v>4.6927832236600002</v>
      </c>
      <c r="T314" s="216">
        <v>27</v>
      </c>
      <c r="U314" s="216">
        <v>3.411</v>
      </c>
      <c r="V314" s="115">
        <v>81.437611021609996</v>
      </c>
      <c r="W314" s="109"/>
      <c r="X314" s="109">
        <v>62.020302647249999</v>
      </c>
      <c r="Y314" s="109"/>
      <c r="Z314" s="109">
        <v>58.484299361786903</v>
      </c>
      <c r="AA314" s="109">
        <v>39.099886283743523</v>
      </c>
      <c r="AB314" s="109" t="s">
        <v>256</v>
      </c>
      <c r="AC314" s="109"/>
      <c r="AD314" s="765"/>
      <c r="AE314" s="765" t="s">
        <v>625</v>
      </c>
      <c r="AF314" s="765"/>
      <c r="AG314" s="765"/>
      <c r="AH314" s="109"/>
      <c r="AL314" s="2" t="s">
        <v>679</v>
      </c>
      <c r="AM314" s="2" t="s">
        <v>706</v>
      </c>
      <c r="AN314" s="2" t="s">
        <v>952</v>
      </c>
      <c r="AO314" s="2">
        <v>0.33387450000000002</v>
      </c>
      <c r="AP314" s="2" t="s">
        <v>4673</v>
      </c>
      <c r="AQ314" s="2" t="s">
        <v>4469</v>
      </c>
      <c r="AR314" s="2" t="s">
        <v>4756</v>
      </c>
      <c r="AT314" s="765"/>
      <c r="AU314" s="765"/>
      <c r="AV314" s="765"/>
      <c r="AW314" s="765"/>
    </row>
    <row r="315" spans="1:49" x14ac:dyDescent="0.25">
      <c r="A315" s="23" t="s">
        <v>770</v>
      </c>
      <c r="B315" s="108" t="s">
        <v>148</v>
      </c>
      <c r="C315" s="108" t="s">
        <v>150</v>
      </c>
      <c r="D315" s="108" t="s">
        <v>153</v>
      </c>
      <c r="E315" s="108" t="s">
        <v>1408</v>
      </c>
      <c r="F315" s="114" t="s">
        <v>694</v>
      </c>
      <c r="G315" s="213" t="s">
        <v>1135</v>
      </c>
      <c r="H315" s="115" t="s">
        <v>1271</v>
      </c>
      <c r="I315" s="213">
        <v>26697255.100000001</v>
      </c>
      <c r="J315" s="109">
        <v>4.5</v>
      </c>
      <c r="K315" s="109" t="s">
        <v>696</v>
      </c>
      <c r="L315" s="115">
        <v>0.11910233000000001</v>
      </c>
      <c r="M315" s="115">
        <v>103.282219</v>
      </c>
      <c r="N315" s="115">
        <v>103.30707200000001</v>
      </c>
      <c r="O315" s="214">
        <v>0.33750000000000002</v>
      </c>
      <c r="P315" s="115">
        <v>5.3357999999999999</v>
      </c>
      <c r="Q315" s="769">
        <v>3.4663616417999998</v>
      </c>
      <c r="R315" s="216"/>
      <c r="S315" s="216">
        <v>3.4663616417999998</v>
      </c>
      <c r="T315" s="216">
        <v>27</v>
      </c>
      <c r="U315" s="216">
        <v>3.734</v>
      </c>
      <c r="V315" s="115">
        <v>113.78608956158</v>
      </c>
      <c r="W315" s="109"/>
      <c r="X315" s="109">
        <v>54.570093473509999</v>
      </c>
      <c r="Y315" s="109"/>
      <c r="Z315" s="109">
        <v>13.113561768714391</v>
      </c>
      <c r="AA315" s="109">
        <v>43.28770272914506</v>
      </c>
      <c r="AB315" s="109" t="s">
        <v>241</v>
      </c>
      <c r="AC315" s="109" t="s">
        <v>257</v>
      </c>
      <c r="AD315" s="765" t="s">
        <v>253</v>
      </c>
      <c r="AE315" s="765" t="s">
        <v>625</v>
      </c>
      <c r="AF315" s="765"/>
      <c r="AG315" s="765"/>
      <c r="AH315" s="109"/>
      <c r="AL315" s="2" t="s">
        <v>679</v>
      </c>
      <c r="AM315" s="2" t="s">
        <v>706</v>
      </c>
      <c r="AN315" s="2" t="s">
        <v>952</v>
      </c>
      <c r="AO315" s="2">
        <v>0.12069091</v>
      </c>
      <c r="AP315" s="2" t="s">
        <v>4673</v>
      </c>
      <c r="AQ315" s="2" t="s">
        <v>4469</v>
      </c>
      <c r="AR315" s="2" t="s">
        <v>4756</v>
      </c>
      <c r="AT315" s="765"/>
      <c r="AU315" s="765"/>
      <c r="AV315" s="765"/>
      <c r="AW315" s="765"/>
    </row>
    <row r="316" spans="1:49" x14ac:dyDescent="0.25">
      <c r="A316" s="23" t="s">
        <v>946</v>
      </c>
      <c r="B316" s="108" t="s">
        <v>148</v>
      </c>
      <c r="C316" s="108" t="s">
        <v>150</v>
      </c>
      <c r="D316" s="108" t="s">
        <v>153</v>
      </c>
      <c r="E316" s="108" t="s">
        <v>1409</v>
      </c>
      <c r="F316" s="114" t="s">
        <v>694</v>
      </c>
      <c r="G316" s="213" t="s">
        <v>1138</v>
      </c>
      <c r="H316" s="115" t="s">
        <v>1205</v>
      </c>
      <c r="I316" s="213">
        <v>83856746.239999995</v>
      </c>
      <c r="J316" s="109">
        <v>4</v>
      </c>
      <c r="K316" s="109" t="s">
        <v>696</v>
      </c>
      <c r="L316" s="115">
        <v>0.33542726</v>
      </c>
      <c r="M316" s="115">
        <v>102.541115</v>
      </c>
      <c r="N316" s="115">
        <v>102.58799</v>
      </c>
      <c r="O316" s="214">
        <v>0.3</v>
      </c>
      <c r="P316" s="115">
        <v>6.4615</v>
      </c>
      <c r="Q316" s="769">
        <v>4.27814642352</v>
      </c>
      <c r="R316" s="216"/>
      <c r="S316" s="216">
        <v>4.27814642352</v>
      </c>
      <c r="T316" s="216">
        <v>27</v>
      </c>
      <c r="U316" s="216">
        <v>3.5030000000000001</v>
      </c>
      <c r="V316" s="115">
        <v>91.535657739680005</v>
      </c>
      <c r="W316" s="109"/>
      <c r="X316" s="109">
        <v>46.0787334069</v>
      </c>
      <c r="Y316" s="109"/>
      <c r="Z316" s="109">
        <v>31.487702038558691</v>
      </c>
      <c r="AA316" s="109">
        <v>37.352669888620753</v>
      </c>
      <c r="AB316" s="109" t="s">
        <v>1219</v>
      </c>
      <c r="AC316" s="109" t="s">
        <v>243</v>
      </c>
      <c r="AD316" s="765" t="s">
        <v>4522</v>
      </c>
      <c r="AE316" s="765" t="s">
        <v>625</v>
      </c>
      <c r="AF316" s="765"/>
      <c r="AG316" s="765"/>
      <c r="AH316" s="109"/>
      <c r="AL316" s="2" t="s">
        <v>679</v>
      </c>
      <c r="AM316" s="2" t="s">
        <v>706</v>
      </c>
      <c r="AN316" s="2" t="s">
        <v>952</v>
      </c>
      <c r="AO316" s="2">
        <v>0.34671039999999997</v>
      </c>
      <c r="AP316" s="2" t="s">
        <v>4673</v>
      </c>
      <c r="AQ316" s="2" t="s">
        <v>4469</v>
      </c>
      <c r="AR316" s="2" t="s">
        <v>4756</v>
      </c>
      <c r="AT316" s="765"/>
      <c r="AU316" s="765"/>
      <c r="AV316" s="765"/>
      <c r="AW316" s="765"/>
    </row>
    <row r="317" spans="1:49" x14ac:dyDescent="0.25">
      <c r="A317" s="23" t="s">
        <v>2284</v>
      </c>
      <c r="B317" s="108" t="s">
        <v>148</v>
      </c>
      <c r="C317" s="108" t="s">
        <v>150</v>
      </c>
      <c r="D317" s="108" t="s">
        <v>153</v>
      </c>
      <c r="E317" s="108" t="s">
        <v>2285</v>
      </c>
      <c r="F317" s="114" t="s">
        <v>694</v>
      </c>
      <c r="G317" s="213" t="s">
        <v>2258</v>
      </c>
      <c r="H317" s="115" t="s">
        <v>2286</v>
      </c>
      <c r="I317" s="213">
        <v>186551567.44999999</v>
      </c>
      <c r="J317" s="109">
        <v>3</v>
      </c>
      <c r="K317" s="109" t="s">
        <v>696</v>
      </c>
      <c r="L317" s="115">
        <v>0.87157194000000004</v>
      </c>
      <c r="M317" s="115">
        <v>98.366462999999996</v>
      </c>
      <c r="N317" s="115">
        <v>98.413337999999996</v>
      </c>
      <c r="O317" s="214">
        <v>0.22500000000000001</v>
      </c>
      <c r="P317" s="115">
        <v>7.9333</v>
      </c>
      <c r="Q317" s="769">
        <v>5.78129606169</v>
      </c>
      <c r="R317" s="216"/>
      <c r="S317" s="216">
        <v>5.78129606169</v>
      </c>
      <c r="T317" s="216">
        <v>27</v>
      </c>
      <c r="U317" s="216">
        <v>3.242</v>
      </c>
      <c r="V317" s="115">
        <v>68.985715030419996</v>
      </c>
      <c r="W317" s="109"/>
      <c r="X317" s="109">
        <v>39.34816125967</v>
      </c>
      <c r="Y317" s="109"/>
      <c r="Z317" s="109">
        <v>5.6704014614232019</v>
      </c>
      <c r="AA317" s="109">
        <v>11.545497669472351</v>
      </c>
      <c r="AB317" s="109" t="s">
        <v>246</v>
      </c>
      <c r="AC317" s="109" t="s">
        <v>1202</v>
      </c>
      <c r="AD317" s="765" t="s">
        <v>1957</v>
      </c>
      <c r="AE317" s="765" t="s">
        <v>625</v>
      </c>
      <c r="AF317" s="765"/>
      <c r="AG317" s="765"/>
      <c r="AH317" s="109"/>
      <c r="AL317" s="2" t="s">
        <v>679</v>
      </c>
      <c r="AM317" s="2" t="s">
        <v>706</v>
      </c>
      <c r="AN317" s="2" t="s">
        <v>952</v>
      </c>
      <c r="AO317" s="2">
        <v>0.87735331000000005</v>
      </c>
      <c r="AP317" s="2" t="s">
        <v>4673</v>
      </c>
      <c r="AQ317" s="2" t="s">
        <v>4469</v>
      </c>
      <c r="AR317" s="2" t="s">
        <v>4756</v>
      </c>
      <c r="AT317" s="765"/>
      <c r="AU317" s="765"/>
      <c r="AV317" s="765"/>
      <c r="AW317" s="765"/>
    </row>
    <row r="318" spans="1:49" x14ac:dyDescent="0.25">
      <c r="A318" s="23" t="s">
        <v>3449</v>
      </c>
      <c r="B318" s="108" t="s">
        <v>148</v>
      </c>
      <c r="C318" s="108" t="s">
        <v>150</v>
      </c>
      <c r="D318" s="108" t="s">
        <v>153</v>
      </c>
      <c r="E318" s="108" t="s">
        <v>3492</v>
      </c>
      <c r="F318" s="114" t="s">
        <v>694</v>
      </c>
      <c r="G318" s="213" t="s">
        <v>2574</v>
      </c>
      <c r="H318" s="115" t="s">
        <v>3493</v>
      </c>
      <c r="I318" s="213">
        <v>73773461.370000005</v>
      </c>
      <c r="J318" s="109">
        <v>3</v>
      </c>
      <c r="K318" s="109" t="s">
        <v>696</v>
      </c>
      <c r="L318" s="115">
        <v>0.89710447999999998</v>
      </c>
      <c r="M318" s="115">
        <v>98.733963000000003</v>
      </c>
      <c r="N318" s="115">
        <v>98.780838000000003</v>
      </c>
      <c r="O318" s="214">
        <v>0.22500000000000001</v>
      </c>
      <c r="P318" s="115">
        <v>8.0511999999999997</v>
      </c>
      <c r="Q318" s="769">
        <v>6.1088887543699997</v>
      </c>
      <c r="R318" s="216"/>
      <c r="S318" s="216">
        <v>6.1088887543699997</v>
      </c>
      <c r="T318" s="216">
        <v>27</v>
      </c>
      <c r="U318" s="216">
        <v>3.1819999999999999</v>
      </c>
      <c r="V318" s="115">
        <v>63.358543867370003</v>
      </c>
      <c r="W318" s="109"/>
      <c r="X318" s="109">
        <v>39.681170359260001</v>
      </c>
      <c r="Y318" s="109"/>
      <c r="Z318" s="109">
        <v>11.28176834264565</v>
      </c>
      <c r="AA318" s="109">
        <v>10.35910587943639</v>
      </c>
      <c r="AB318" s="109" t="s">
        <v>3199</v>
      </c>
      <c r="AC318" s="109" t="s">
        <v>3328</v>
      </c>
      <c r="AD318" s="765" t="s">
        <v>249</v>
      </c>
      <c r="AE318" s="765" t="s">
        <v>625</v>
      </c>
      <c r="AF318" s="765"/>
      <c r="AG318" s="765"/>
      <c r="AH318" s="109"/>
      <c r="AL318" s="2" t="s">
        <v>679</v>
      </c>
      <c r="AM318" s="2" t="s">
        <v>706</v>
      </c>
      <c r="AN318" s="2" t="s">
        <v>952</v>
      </c>
      <c r="AO318" s="2">
        <v>0.90764834999999999</v>
      </c>
      <c r="AP318" s="2" t="s">
        <v>4673</v>
      </c>
      <c r="AQ318" s="2" t="s">
        <v>4469</v>
      </c>
      <c r="AR318" s="2" t="s">
        <v>4756</v>
      </c>
      <c r="AT318" s="765"/>
      <c r="AU318" s="765"/>
      <c r="AV318" s="765"/>
      <c r="AW318" s="765"/>
    </row>
    <row r="319" spans="1:49" x14ac:dyDescent="0.25">
      <c r="A319" s="23" t="s">
        <v>2879</v>
      </c>
      <c r="B319" s="108" t="s">
        <v>148</v>
      </c>
      <c r="C319" s="108" t="s">
        <v>150</v>
      </c>
      <c r="D319" s="108" t="s">
        <v>153</v>
      </c>
      <c r="E319" s="108" t="s">
        <v>2880</v>
      </c>
      <c r="F319" s="114" t="s">
        <v>694</v>
      </c>
      <c r="G319" s="213" t="s">
        <v>2832</v>
      </c>
      <c r="H319" s="115" t="s">
        <v>2881</v>
      </c>
      <c r="I319" s="213">
        <v>160260345.53999999</v>
      </c>
      <c r="J319" s="109">
        <v>3</v>
      </c>
      <c r="K319" s="109" t="s">
        <v>696</v>
      </c>
      <c r="L319" s="115">
        <v>0.95811966999999998</v>
      </c>
      <c r="M319" s="115">
        <v>97.320480000000003</v>
      </c>
      <c r="N319" s="115">
        <v>97.351730000000003</v>
      </c>
      <c r="O319" s="214">
        <v>0.22500000000000001</v>
      </c>
      <c r="P319" s="115">
        <v>8.1181999999999999</v>
      </c>
      <c r="Q319" s="769">
        <v>6.7471822999000004</v>
      </c>
      <c r="R319" s="216"/>
      <c r="S319" s="216">
        <v>6.7471822999000004</v>
      </c>
      <c r="T319" s="216">
        <v>27</v>
      </c>
      <c r="U319" s="216">
        <v>3.4</v>
      </c>
      <c r="V319" s="115">
        <v>85.370822806820001</v>
      </c>
      <c r="W319" s="109"/>
      <c r="X319" s="109">
        <v>35.309777951859999</v>
      </c>
      <c r="Y319" s="109"/>
      <c r="Z319" s="109">
        <v>3.4897953895566709</v>
      </c>
      <c r="AA319" s="109">
        <v>3.0292658780453059</v>
      </c>
      <c r="AB319" s="109" t="s">
        <v>256</v>
      </c>
      <c r="AC319" s="109"/>
      <c r="AD319" s="765"/>
      <c r="AE319" s="765" t="s">
        <v>625</v>
      </c>
      <c r="AF319" s="765"/>
      <c r="AG319" s="765"/>
      <c r="AH319" s="109"/>
      <c r="AL319" s="2" t="s">
        <v>679</v>
      </c>
      <c r="AM319" s="2" t="s">
        <v>706</v>
      </c>
      <c r="AN319" s="2" t="s">
        <v>952</v>
      </c>
      <c r="AO319" s="2">
        <v>0.96262908999999997</v>
      </c>
      <c r="AP319" s="2" t="s">
        <v>4673</v>
      </c>
      <c r="AQ319" s="2" t="s">
        <v>4469</v>
      </c>
      <c r="AR319" s="2" t="s">
        <v>4756</v>
      </c>
      <c r="AT319" s="765"/>
      <c r="AU319" s="765"/>
      <c r="AV319" s="765"/>
      <c r="AW319" s="765"/>
    </row>
    <row r="320" spans="1:49" x14ac:dyDescent="0.25">
      <c r="A320" s="23" t="s">
        <v>3290</v>
      </c>
      <c r="B320" s="108" t="s">
        <v>148</v>
      </c>
      <c r="C320" s="108" t="s">
        <v>150</v>
      </c>
      <c r="D320" s="108" t="s">
        <v>153</v>
      </c>
      <c r="E320" s="108" t="s">
        <v>3348</v>
      </c>
      <c r="F320" s="114" t="s">
        <v>694</v>
      </c>
      <c r="G320" s="213" t="s">
        <v>3222</v>
      </c>
      <c r="H320" s="115" t="s">
        <v>3334</v>
      </c>
      <c r="I320" s="213">
        <v>239177915.66</v>
      </c>
      <c r="J320" s="109">
        <v>3</v>
      </c>
      <c r="K320" s="109" t="s">
        <v>696</v>
      </c>
      <c r="L320" s="115">
        <v>0.97859487999999994</v>
      </c>
      <c r="M320" s="115">
        <v>97.308868000000004</v>
      </c>
      <c r="N320" s="115">
        <v>97.340118000000004</v>
      </c>
      <c r="O320" s="214">
        <v>0.22500000000000001</v>
      </c>
      <c r="P320" s="115">
        <v>8.3275000000000006</v>
      </c>
      <c r="Q320" s="769">
        <v>6.7736805413300001</v>
      </c>
      <c r="R320" s="216"/>
      <c r="S320" s="216">
        <v>6.7736805413300001</v>
      </c>
      <c r="T320" s="216">
        <v>27</v>
      </c>
      <c r="U320" s="216">
        <v>3.3929999999999998</v>
      </c>
      <c r="V320" s="115">
        <v>85.36371683934</v>
      </c>
      <c r="W320" s="109"/>
      <c r="X320" s="109">
        <v>33.82420252523</v>
      </c>
      <c r="Y320" s="109"/>
      <c r="Z320" s="109">
        <v>0.17431565439786079</v>
      </c>
      <c r="AA320" s="109">
        <v>1.2683077319904481</v>
      </c>
      <c r="AB320" s="109" t="s">
        <v>256</v>
      </c>
      <c r="AC320" s="109"/>
      <c r="AD320" s="765"/>
      <c r="AE320" s="765" t="s">
        <v>625</v>
      </c>
      <c r="AF320" s="765"/>
      <c r="AG320" s="765"/>
      <c r="AH320" s="109"/>
      <c r="AL320" s="2" t="s">
        <v>679</v>
      </c>
      <c r="AM320" s="2" t="s">
        <v>706</v>
      </c>
      <c r="AN320" s="2" t="s">
        <v>952</v>
      </c>
      <c r="AO320" s="2">
        <v>0.98037070000000004</v>
      </c>
      <c r="AP320" s="2" t="s">
        <v>4673</v>
      </c>
      <c r="AQ320" s="2" t="s">
        <v>4469</v>
      </c>
      <c r="AR320" s="2" t="s">
        <v>4756</v>
      </c>
      <c r="AT320" s="765"/>
      <c r="AU320" s="765"/>
      <c r="AV320" s="765"/>
      <c r="AW320" s="765"/>
    </row>
    <row r="321" spans="1:49" x14ac:dyDescent="0.25">
      <c r="A321" s="23" t="s">
        <v>3448</v>
      </c>
      <c r="B321" s="108" t="s">
        <v>148</v>
      </c>
      <c r="C321" s="108" t="s">
        <v>150</v>
      </c>
      <c r="D321" s="108" t="s">
        <v>153</v>
      </c>
      <c r="E321" s="108" t="s">
        <v>3494</v>
      </c>
      <c r="F321" s="114" t="s">
        <v>694</v>
      </c>
      <c r="G321" s="213" t="s">
        <v>3330</v>
      </c>
      <c r="H321" s="115" t="s">
        <v>3413</v>
      </c>
      <c r="I321" s="213">
        <v>31154971.43</v>
      </c>
      <c r="J321" s="109">
        <v>4</v>
      </c>
      <c r="K321" s="109" t="s">
        <v>696</v>
      </c>
      <c r="L321" s="115">
        <v>0.86512632</v>
      </c>
      <c r="M321" s="115">
        <v>101.649658</v>
      </c>
      <c r="N321" s="115">
        <v>101.671429</v>
      </c>
      <c r="O321" s="214">
        <v>0.3</v>
      </c>
      <c r="P321" s="115">
        <v>6.6589999999999998</v>
      </c>
      <c r="Q321" s="769">
        <v>3.9916177068100001</v>
      </c>
      <c r="R321" s="216"/>
      <c r="S321" s="216">
        <v>3.9916177068100001</v>
      </c>
      <c r="T321" s="216">
        <v>27</v>
      </c>
      <c r="U321" s="216">
        <v>3.68</v>
      </c>
      <c r="V321" s="115">
        <v>109.37008010997999</v>
      </c>
      <c r="W321" s="109"/>
      <c r="X321" s="109">
        <v>34.735872064310001</v>
      </c>
      <c r="Y321" s="109"/>
      <c r="Z321" s="109">
        <v>49.024508732882687</v>
      </c>
      <c r="AA321" s="109">
        <v>23.83295104912094</v>
      </c>
      <c r="AB321" s="109" t="s">
        <v>238</v>
      </c>
      <c r="AC321" s="109" t="s">
        <v>4711</v>
      </c>
      <c r="AD321" s="765" t="s">
        <v>4940</v>
      </c>
      <c r="AE321" s="765" t="s">
        <v>625</v>
      </c>
      <c r="AF321" s="765"/>
      <c r="AG321" s="765"/>
      <c r="AH321" s="109"/>
      <c r="AL321" s="2" t="s">
        <v>679</v>
      </c>
      <c r="AM321" s="2" t="s">
        <v>706</v>
      </c>
      <c r="AN321" s="2" t="s">
        <v>952</v>
      </c>
      <c r="AO321" s="2">
        <v>0.91627373000000001</v>
      </c>
      <c r="AP321" s="2" t="s">
        <v>4673</v>
      </c>
      <c r="AQ321" s="2" t="s">
        <v>4469</v>
      </c>
      <c r="AR321" s="2" t="s">
        <v>4756</v>
      </c>
      <c r="AT321" s="765"/>
      <c r="AU321" s="765"/>
      <c r="AV321" s="765"/>
      <c r="AW321" s="765"/>
    </row>
    <row r="322" spans="1:49" x14ac:dyDescent="0.25">
      <c r="A322" s="23" t="s">
        <v>5042</v>
      </c>
      <c r="B322" s="108" t="s">
        <v>148</v>
      </c>
      <c r="C322" s="108" t="s">
        <v>150</v>
      </c>
      <c r="D322" s="108" t="s">
        <v>153</v>
      </c>
      <c r="E322" s="108" t="s">
        <v>5131</v>
      </c>
      <c r="F322" s="114" t="s">
        <v>694</v>
      </c>
      <c r="G322" s="213" t="s">
        <v>4860</v>
      </c>
      <c r="H322" s="115" t="s">
        <v>4943</v>
      </c>
      <c r="I322" s="213">
        <v>225284947.03</v>
      </c>
      <c r="J322" s="109">
        <v>3</v>
      </c>
      <c r="K322" s="109" t="s">
        <v>696</v>
      </c>
      <c r="L322" s="115">
        <v>0.99797228000000004</v>
      </c>
      <c r="M322" s="115">
        <v>97.262894000000003</v>
      </c>
      <c r="N322" s="115">
        <v>97.294144000000003</v>
      </c>
      <c r="O322" s="214">
        <v>0.22500000000000001</v>
      </c>
      <c r="P322" s="115">
        <v>8.8302999999999994</v>
      </c>
      <c r="Q322" s="769">
        <v>6.0328589140200002</v>
      </c>
      <c r="R322" s="216"/>
      <c r="S322" s="216">
        <v>6.0328589140200002</v>
      </c>
      <c r="T322" s="216">
        <v>27</v>
      </c>
      <c r="U322" s="216">
        <v>3.38</v>
      </c>
      <c r="V322" s="115">
        <v>85.652062574590005</v>
      </c>
      <c r="W322" s="109"/>
      <c r="X322" s="109">
        <v>35.76561052732</v>
      </c>
      <c r="Y322" s="109"/>
      <c r="Z322" s="109">
        <v>0.6332646997060265</v>
      </c>
      <c r="AA322" s="109"/>
      <c r="AB322" s="109" t="s">
        <v>4981</v>
      </c>
      <c r="AC322" s="109" t="s">
        <v>243</v>
      </c>
      <c r="AD322" s="765" t="s">
        <v>3502</v>
      </c>
      <c r="AE322" s="765" t="s">
        <v>625</v>
      </c>
      <c r="AF322" s="765"/>
      <c r="AG322" s="765"/>
      <c r="AH322" s="109"/>
      <c r="AL322" s="2" t="s">
        <v>679</v>
      </c>
      <c r="AM322" s="2" t="s">
        <v>706</v>
      </c>
      <c r="AN322" s="2" t="s">
        <v>952</v>
      </c>
      <c r="AO322" s="2">
        <v>1</v>
      </c>
      <c r="AP322" s="2" t="s">
        <v>4673</v>
      </c>
      <c r="AQ322" s="2" t="s">
        <v>4469</v>
      </c>
      <c r="AR322" s="2" t="s">
        <v>4756</v>
      </c>
      <c r="AT322" s="765"/>
      <c r="AU322" s="765"/>
      <c r="AV322" s="765"/>
      <c r="AW322" s="765"/>
    </row>
    <row r="323" spans="1:49" x14ac:dyDescent="0.25">
      <c r="A323" s="23" t="s">
        <v>4941</v>
      </c>
      <c r="B323" s="108" t="s">
        <v>148</v>
      </c>
      <c r="C323" s="108" t="s">
        <v>150</v>
      </c>
      <c r="D323" s="108" t="s">
        <v>153</v>
      </c>
      <c r="E323" s="108" t="s">
        <v>4942</v>
      </c>
      <c r="F323" s="114" t="s">
        <v>694</v>
      </c>
      <c r="G323" s="213" t="s">
        <v>4860</v>
      </c>
      <c r="H323" s="115" t="s">
        <v>4943</v>
      </c>
      <c r="I323" s="213">
        <v>218583866.68000001</v>
      </c>
      <c r="J323" s="109">
        <v>3</v>
      </c>
      <c r="K323" s="109" t="s">
        <v>696</v>
      </c>
      <c r="L323" s="115">
        <v>0.99901978999999996</v>
      </c>
      <c r="M323" s="115">
        <v>97.097282000000007</v>
      </c>
      <c r="N323" s="115">
        <v>97.116066000000004</v>
      </c>
      <c r="O323" s="214">
        <v>0.22500000000000001</v>
      </c>
      <c r="P323" s="115">
        <v>8.7654999999999994</v>
      </c>
      <c r="Q323" s="769">
        <v>6.3747256837700004</v>
      </c>
      <c r="R323" s="216"/>
      <c r="S323" s="216">
        <v>6.3747256837700004</v>
      </c>
      <c r="T323" s="216">
        <v>27</v>
      </c>
      <c r="U323" s="216">
        <v>3.407</v>
      </c>
      <c r="V323" s="115">
        <v>88.107501740900005</v>
      </c>
      <c r="W323" s="109"/>
      <c r="X323" s="109">
        <v>40.159936958869999</v>
      </c>
      <c r="Y323" s="109"/>
      <c r="Z323" s="109">
        <v>-0.72408465649527187</v>
      </c>
      <c r="AA323" s="109"/>
      <c r="AB323" s="109" t="s">
        <v>4944</v>
      </c>
      <c r="AC323" s="109"/>
      <c r="AD323" s="765"/>
      <c r="AE323" s="765" t="s">
        <v>625</v>
      </c>
      <c r="AF323" s="765"/>
      <c r="AG323" s="765"/>
      <c r="AH323" s="109"/>
      <c r="AL323" s="2" t="s">
        <v>679</v>
      </c>
      <c r="AM323" s="2" t="s">
        <v>706</v>
      </c>
      <c r="AN323" s="2" t="s">
        <v>952</v>
      </c>
      <c r="AO323" s="2">
        <v>1</v>
      </c>
      <c r="AP323" s="2" t="s">
        <v>4673</v>
      </c>
      <c r="AQ323" s="2" t="s">
        <v>4469</v>
      </c>
      <c r="AR323" s="2" t="s">
        <v>4756</v>
      </c>
      <c r="AT323" s="765"/>
      <c r="AU323" s="765"/>
      <c r="AV323" s="765"/>
      <c r="AW323" s="765"/>
    </row>
    <row r="324" spans="1:49" x14ac:dyDescent="0.25">
      <c r="A324" s="23" t="s">
        <v>1890</v>
      </c>
      <c r="B324" s="108" t="s">
        <v>148</v>
      </c>
      <c r="C324" s="108" t="s">
        <v>150</v>
      </c>
      <c r="D324" s="108" t="s">
        <v>153</v>
      </c>
      <c r="E324" s="108" t="s">
        <v>1891</v>
      </c>
      <c r="F324" s="114" t="s">
        <v>694</v>
      </c>
      <c r="G324" s="213" t="s">
        <v>1177</v>
      </c>
      <c r="H324" s="115" t="s">
        <v>1178</v>
      </c>
      <c r="I324" s="213">
        <v>2036681.75</v>
      </c>
      <c r="J324" s="109">
        <v>5.5</v>
      </c>
      <c r="K324" s="109" t="s">
        <v>696</v>
      </c>
      <c r="L324" s="115">
        <v>4.6401810000000002E-2</v>
      </c>
      <c r="M324" s="115">
        <v>108.907539</v>
      </c>
      <c r="N324" s="115">
        <v>108.930977</v>
      </c>
      <c r="O324" s="214">
        <v>0.41249999999999998</v>
      </c>
      <c r="P324" s="115">
        <v>4.3128000000000002</v>
      </c>
      <c r="Q324" s="769">
        <v>3.6428027476099998</v>
      </c>
      <c r="R324" s="216"/>
      <c r="S324" s="216">
        <v>3.6428027476099998</v>
      </c>
      <c r="T324" s="216">
        <v>27</v>
      </c>
      <c r="U324" s="216">
        <v>3.1349999999999998</v>
      </c>
      <c r="V324" s="115">
        <v>53.949264117669998</v>
      </c>
      <c r="W324" s="109"/>
      <c r="X324" s="109">
        <v>54.54247009993</v>
      </c>
      <c r="Y324" s="109"/>
      <c r="Z324" s="109">
        <v>1.0698601754226209</v>
      </c>
      <c r="AA324" s="109">
        <v>17.561217144790941</v>
      </c>
      <c r="AB324" s="109" t="s">
        <v>1183</v>
      </c>
      <c r="AC324" s="109" t="s">
        <v>4532</v>
      </c>
      <c r="AD324" s="765" t="s">
        <v>257</v>
      </c>
      <c r="AE324" s="765" t="s">
        <v>625</v>
      </c>
      <c r="AF324" s="765"/>
      <c r="AG324" s="765"/>
      <c r="AH324" s="109"/>
      <c r="AL324" s="2" t="s">
        <v>679</v>
      </c>
      <c r="AM324" s="2" t="s">
        <v>706</v>
      </c>
      <c r="AN324" s="2" t="s">
        <v>952</v>
      </c>
      <c r="AO324" s="2">
        <v>4.6637930000000001E-2</v>
      </c>
      <c r="AP324" s="2" t="s">
        <v>4673</v>
      </c>
      <c r="AQ324" s="2" t="s">
        <v>4469</v>
      </c>
      <c r="AR324" s="2" t="s">
        <v>4756</v>
      </c>
      <c r="AT324" s="765"/>
      <c r="AU324" s="765"/>
      <c r="AV324" s="765"/>
      <c r="AW324" s="765"/>
    </row>
    <row r="325" spans="1:49" x14ac:dyDescent="0.25">
      <c r="A325" s="23" t="s">
        <v>572</v>
      </c>
      <c r="B325" s="108" t="s">
        <v>147</v>
      </c>
      <c r="C325" s="108" t="s">
        <v>150</v>
      </c>
      <c r="D325" s="108" t="s">
        <v>151</v>
      </c>
      <c r="E325" s="108" t="s">
        <v>1410</v>
      </c>
      <c r="F325" s="114" t="s">
        <v>694</v>
      </c>
      <c r="G325" s="213" t="s">
        <v>1109</v>
      </c>
      <c r="H325" s="115" t="s">
        <v>1371</v>
      </c>
      <c r="I325" s="213">
        <v>62016392.109999999</v>
      </c>
      <c r="J325" s="109">
        <v>2.5</v>
      </c>
      <c r="K325" s="109" t="s">
        <v>696</v>
      </c>
      <c r="L325" s="115">
        <v>0.39986786000000002</v>
      </c>
      <c r="M325" s="115">
        <v>98.923018999999996</v>
      </c>
      <c r="N325" s="115">
        <v>98.954268999999996</v>
      </c>
      <c r="O325" s="214">
        <v>0.1875</v>
      </c>
      <c r="P325" s="115">
        <v>3.621</v>
      </c>
      <c r="Q325" s="769">
        <v>3.3311084532100002</v>
      </c>
      <c r="R325" s="216"/>
      <c r="S325" s="216">
        <v>3.3311084532100002</v>
      </c>
      <c r="T325" s="216">
        <v>26</v>
      </c>
      <c r="U325" s="216">
        <v>2.7869999999999999</v>
      </c>
      <c r="V325" s="115">
        <v>19.709784410929998</v>
      </c>
      <c r="W325" s="109"/>
      <c r="X325" s="109">
        <v>17.99475428521</v>
      </c>
      <c r="Y325" s="109"/>
      <c r="Z325" s="109">
        <v>18.352179378366259</v>
      </c>
      <c r="AA325" s="109">
        <v>20.523351341013029</v>
      </c>
      <c r="AB325" s="109" t="s">
        <v>255</v>
      </c>
      <c r="AC325" s="109" t="s">
        <v>2940</v>
      </c>
      <c r="AD325" s="765" t="s">
        <v>839</v>
      </c>
      <c r="AE325" s="765" t="s">
        <v>625</v>
      </c>
      <c r="AF325" s="765"/>
      <c r="AG325" s="765"/>
      <c r="AH325" s="109"/>
      <c r="AL325" s="2" t="s">
        <v>679</v>
      </c>
      <c r="AM325" s="2" t="s">
        <v>706</v>
      </c>
      <c r="AN325" s="2" t="s">
        <v>952</v>
      </c>
      <c r="AO325" s="2">
        <v>0.40966530000000001</v>
      </c>
      <c r="AP325" s="2" t="s">
        <v>4673</v>
      </c>
      <c r="AQ325" s="2" t="s">
        <v>4469</v>
      </c>
      <c r="AR325" s="2" t="s">
        <v>4756</v>
      </c>
      <c r="AT325" s="765"/>
      <c r="AU325" s="765"/>
      <c r="AV325" s="765"/>
      <c r="AW325" s="765"/>
    </row>
    <row r="326" spans="1:49" x14ac:dyDescent="0.25">
      <c r="A326" s="23" t="s">
        <v>1411</v>
      </c>
      <c r="B326" s="108" t="s">
        <v>144</v>
      </c>
      <c r="C326" s="108" t="s">
        <v>150</v>
      </c>
      <c r="D326" s="108" t="s">
        <v>152</v>
      </c>
      <c r="E326" s="108" t="s">
        <v>1412</v>
      </c>
      <c r="F326" s="114" t="s">
        <v>694</v>
      </c>
      <c r="G326" s="213" t="s">
        <v>1186</v>
      </c>
      <c r="H326" s="115" t="s">
        <v>1187</v>
      </c>
      <c r="I326" s="213">
        <v>0</v>
      </c>
      <c r="J326" s="109">
        <v>2.15</v>
      </c>
      <c r="K326" s="109" t="s">
        <v>695</v>
      </c>
      <c r="L326" s="115">
        <v>0</v>
      </c>
      <c r="M326" s="115">
        <v>0</v>
      </c>
      <c r="N326" s="115">
        <v>0</v>
      </c>
      <c r="O326" s="214">
        <v>0</v>
      </c>
      <c r="P326" s="115"/>
      <c r="Q326" s="769"/>
      <c r="R326" s="216"/>
      <c r="S326" s="216">
        <v>14.857534246575341</v>
      </c>
      <c r="T326" s="216">
        <v>0</v>
      </c>
      <c r="U326" s="216"/>
      <c r="V326" s="115"/>
      <c r="W326" s="109">
        <v>0</v>
      </c>
      <c r="X326" s="109"/>
      <c r="Y326" s="109"/>
      <c r="Z326" s="109">
        <v>100</v>
      </c>
      <c r="AA326" s="109">
        <v>100</v>
      </c>
      <c r="AB326" s="109" t="s">
        <v>2400</v>
      </c>
      <c r="AC326" s="109"/>
      <c r="AD326" s="765"/>
      <c r="AE326" s="765" t="s">
        <v>625</v>
      </c>
      <c r="AF326" s="765"/>
      <c r="AG326" s="765"/>
      <c r="AH326" s="109"/>
      <c r="AL326" s="2" t="s">
        <v>679</v>
      </c>
      <c r="AM326" s="2" t="s">
        <v>705</v>
      </c>
      <c r="AN326" s="2" t="s">
        <v>952</v>
      </c>
      <c r="AO326" s="2">
        <v>5.11218E-3</v>
      </c>
      <c r="AP326" s="2" t="s">
        <v>4673</v>
      </c>
      <c r="AQ326" s="2" t="s">
        <v>2420</v>
      </c>
      <c r="AR326" s="2" t="s">
        <v>4756</v>
      </c>
      <c r="AT326" s="765"/>
      <c r="AU326" s="765"/>
      <c r="AV326" s="765"/>
      <c r="AW326" s="765"/>
    </row>
    <row r="327" spans="1:49" x14ac:dyDescent="0.25">
      <c r="A327" s="23" t="s">
        <v>1413</v>
      </c>
      <c r="B327" s="108" t="s">
        <v>148</v>
      </c>
      <c r="C327" s="108" t="s">
        <v>150</v>
      </c>
      <c r="D327" s="108" t="s">
        <v>153</v>
      </c>
      <c r="E327" s="108" t="s">
        <v>1414</v>
      </c>
      <c r="F327" s="114" t="s">
        <v>694</v>
      </c>
      <c r="G327" s="213" t="s">
        <v>1415</v>
      </c>
      <c r="H327" s="115" t="s">
        <v>1416</v>
      </c>
      <c r="I327" s="213">
        <v>534015.21</v>
      </c>
      <c r="J327" s="109">
        <v>6</v>
      </c>
      <c r="K327" s="109" t="s">
        <v>696</v>
      </c>
      <c r="L327" s="115">
        <v>2.5424499999999999E-2</v>
      </c>
      <c r="M327" s="115">
        <v>109.704071</v>
      </c>
      <c r="N327" s="115">
        <v>109.71953999999999</v>
      </c>
      <c r="O327" s="214">
        <v>0.45</v>
      </c>
      <c r="P327" s="115">
        <v>4.1173999999999999</v>
      </c>
      <c r="Q327" s="769">
        <v>3.4004813147399999</v>
      </c>
      <c r="R327" s="216"/>
      <c r="S327" s="216">
        <v>3.4004813147399999</v>
      </c>
      <c r="T327" s="216">
        <v>27</v>
      </c>
      <c r="U327" s="216">
        <v>3.302</v>
      </c>
      <c r="V327" s="115">
        <v>70.805480848939993</v>
      </c>
      <c r="W327" s="109"/>
      <c r="X327" s="109">
        <v>67.429903673400005</v>
      </c>
      <c r="Y327" s="109"/>
      <c r="Z327" s="109">
        <v>2.140261655752973</v>
      </c>
      <c r="AA327" s="109">
        <v>2.4256169370989071</v>
      </c>
      <c r="AB327" s="109" t="s">
        <v>1893</v>
      </c>
      <c r="AC327" s="109" t="s">
        <v>2322</v>
      </c>
      <c r="AD327" s="765" t="s">
        <v>4036</v>
      </c>
      <c r="AE327" s="765" t="s">
        <v>625</v>
      </c>
      <c r="AF327" s="765"/>
      <c r="AG327" s="765"/>
      <c r="AH327" s="109"/>
      <c r="AL327" s="2" t="s">
        <v>679</v>
      </c>
      <c r="AM327" s="2" t="s">
        <v>706</v>
      </c>
      <c r="AN327" s="2" t="s">
        <v>952</v>
      </c>
      <c r="AO327" s="2">
        <v>2.5587840000000001E-2</v>
      </c>
      <c r="AP327" s="2" t="s">
        <v>4673</v>
      </c>
      <c r="AQ327" s="2" t="s">
        <v>4469</v>
      </c>
      <c r="AR327" s="2" t="s">
        <v>4756</v>
      </c>
      <c r="AT327" s="765"/>
      <c r="AU327" s="765"/>
      <c r="AV327" s="765"/>
      <c r="AW327" s="765"/>
    </row>
    <row r="328" spans="1:49" x14ac:dyDescent="0.25">
      <c r="A328" s="23" t="s">
        <v>1417</v>
      </c>
      <c r="B328" s="108" t="s">
        <v>147</v>
      </c>
      <c r="C328" s="108" t="s">
        <v>150</v>
      </c>
      <c r="D328" s="108" t="s">
        <v>151</v>
      </c>
      <c r="E328" s="108" t="s">
        <v>1418</v>
      </c>
      <c r="F328" s="114" t="s">
        <v>694</v>
      </c>
      <c r="G328" s="213" t="s">
        <v>1419</v>
      </c>
      <c r="H328" s="115" t="s">
        <v>1420</v>
      </c>
      <c r="I328" s="213">
        <v>56293.46</v>
      </c>
      <c r="J328" s="109">
        <v>5.5</v>
      </c>
      <c r="K328" s="109" t="s">
        <v>696</v>
      </c>
      <c r="L328" s="115">
        <v>3.8670200000000001E-3</v>
      </c>
      <c r="M328" s="115">
        <v>101.25305899999999</v>
      </c>
      <c r="N328" s="115">
        <v>101.27829699999999</v>
      </c>
      <c r="O328" s="214">
        <v>0.41249999999999998</v>
      </c>
      <c r="P328" s="115">
        <v>0.40920000000000001</v>
      </c>
      <c r="Q328" s="769">
        <v>0.40045940073000003</v>
      </c>
      <c r="R328" s="216"/>
      <c r="S328" s="216">
        <v>0.40045940073000003</v>
      </c>
      <c r="T328" s="1035">
        <v>27</v>
      </c>
      <c r="U328" s="216">
        <v>1.528</v>
      </c>
      <c r="V328" s="115">
        <v>66.573138166060005</v>
      </c>
      <c r="W328" s="109"/>
      <c r="X328" s="109">
        <v>18.648733686780002</v>
      </c>
      <c r="Y328" s="109"/>
      <c r="Z328" s="109">
        <v>-5.2801948381707264</v>
      </c>
      <c r="AA328" s="109">
        <v>10.511327202251961</v>
      </c>
      <c r="AB328" s="109" t="s">
        <v>4714</v>
      </c>
      <c r="AC328" s="109" t="s">
        <v>4035</v>
      </c>
      <c r="AD328" s="765" t="s">
        <v>3495</v>
      </c>
      <c r="AE328" s="765" t="s">
        <v>625</v>
      </c>
      <c r="AF328" s="765"/>
      <c r="AG328" s="765"/>
      <c r="AH328" s="109"/>
      <c r="AL328" s="2" t="s">
        <v>679</v>
      </c>
      <c r="AM328" s="2" t="s">
        <v>706</v>
      </c>
      <c r="AN328" s="2" t="s">
        <v>952</v>
      </c>
      <c r="AO328" s="2">
        <v>4.2250400000000002E-3</v>
      </c>
      <c r="AP328" s="2" t="s">
        <v>4673</v>
      </c>
      <c r="AQ328" s="2" t="s">
        <v>4469</v>
      </c>
      <c r="AR328" s="2" t="s">
        <v>4756</v>
      </c>
      <c r="AT328" s="765"/>
      <c r="AU328" s="765"/>
      <c r="AV328" s="765"/>
      <c r="AW328" s="765"/>
    </row>
    <row r="329" spans="1:49" x14ac:dyDescent="0.25">
      <c r="A329" s="23" t="s">
        <v>1421</v>
      </c>
      <c r="B329" s="108" t="s">
        <v>147</v>
      </c>
      <c r="C329" s="108" t="s">
        <v>150</v>
      </c>
      <c r="D329" s="108" t="s">
        <v>151</v>
      </c>
      <c r="E329" s="108" t="s">
        <v>1422</v>
      </c>
      <c r="F329" s="114" t="s">
        <v>694</v>
      </c>
      <c r="G329" s="213" t="s">
        <v>1299</v>
      </c>
      <c r="H329" s="115" t="s">
        <v>1300</v>
      </c>
      <c r="I329" s="213">
        <v>229633.18</v>
      </c>
      <c r="J329" s="109">
        <v>6</v>
      </c>
      <c r="K329" s="109" t="s">
        <v>696</v>
      </c>
      <c r="L329" s="115">
        <v>2.88683E-3</v>
      </c>
      <c r="M329" s="115">
        <v>100.76789100000001</v>
      </c>
      <c r="N329" s="115">
        <v>100.79853799999999</v>
      </c>
      <c r="O329" s="214">
        <v>0.45</v>
      </c>
      <c r="P329" s="115">
        <v>0.29830000000000001</v>
      </c>
      <c r="Q329" s="769">
        <v>0.29221598828000001</v>
      </c>
      <c r="R329" s="216"/>
      <c r="S329" s="216">
        <v>0.29221598828000001</v>
      </c>
      <c r="T329" s="216">
        <v>27</v>
      </c>
      <c r="U329" s="216">
        <v>2.0750000000000002</v>
      </c>
      <c r="V329" s="115">
        <v>142.6938995024</v>
      </c>
      <c r="W329" s="109"/>
      <c r="X329" s="109">
        <v>85.903431646330006</v>
      </c>
      <c r="Y329" s="109"/>
      <c r="Z329" s="109">
        <v>60.521545232225748</v>
      </c>
      <c r="AA329" s="109">
        <v>48.247112959259667</v>
      </c>
      <c r="AB329" s="109" t="s">
        <v>244</v>
      </c>
      <c r="AC329" s="109" t="s">
        <v>1348</v>
      </c>
      <c r="AD329" s="765" t="s">
        <v>248</v>
      </c>
      <c r="AE329" s="765" t="s">
        <v>625</v>
      </c>
      <c r="AF329" s="765"/>
      <c r="AG329" s="765"/>
      <c r="AH329" s="109"/>
      <c r="AL329" s="2" t="s">
        <v>679</v>
      </c>
      <c r="AM329" s="2" t="s">
        <v>706</v>
      </c>
      <c r="AN329" s="2" t="s">
        <v>952</v>
      </c>
      <c r="AO329" s="2">
        <v>3.5551699999999999E-3</v>
      </c>
      <c r="AP329" s="2" t="s">
        <v>4673</v>
      </c>
      <c r="AQ329" s="2" t="s">
        <v>4469</v>
      </c>
      <c r="AR329" s="2" t="s">
        <v>4756</v>
      </c>
      <c r="AT329" s="765"/>
      <c r="AU329" s="765"/>
      <c r="AV329" s="765"/>
      <c r="AW329" s="765"/>
    </row>
    <row r="330" spans="1:49" x14ac:dyDescent="0.25">
      <c r="A330" s="23" t="s">
        <v>1423</v>
      </c>
      <c r="B330" s="108" t="s">
        <v>147</v>
      </c>
      <c r="C330" s="108" t="s">
        <v>150</v>
      </c>
      <c r="D330" s="108" t="s">
        <v>151</v>
      </c>
      <c r="E330" s="108" t="s">
        <v>1424</v>
      </c>
      <c r="F330" s="114" t="s">
        <v>694</v>
      </c>
      <c r="G330" s="213" t="s">
        <v>1299</v>
      </c>
      <c r="H330" s="115" t="s">
        <v>1300</v>
      </c>
      <c r="I330" s="213">
        <v>7792.15</v>
      </c>
      <c r="J330" s="109">
        <v>7.5</v>
      </c>
      <c r="K330" s="109" t="s">
        <v>696</v>
      </c>
      <c r="L330" s="115">
        <v>3.0462800000000002E-3</v>
      </c>
      <c r="M330" s="115">
        <v>100.138138</v>
      </c>
      <c r="N330" s="115">
        <v>100.14178800000001</v>
      </c>
      <c r="O330" s="214">
        <v>0.5625</v>
      </c>
      <c r="P330" s="115">
        <v>0.3009</v>
      </c>
      <c r="Q330" s="769">
        <v>0.29675617892</v>
      </c>
      <c r="R330" s="216"/>
      <c r="S330" s="216">
        <v>0.29675617892</v>
      </c>
      <c r="T330" s="216">
        <v>26</v>
      </c>
      <c r="U330" s="216">
        <v>5.415</v>
      </c>
      <c r="V330" s="115">
        <v>476.15996510562002</v>
      </c>
      <c r="W330" s="109"/>
      <c r="X330" s="109">
        <v>434.36438957835998</v>
      </c>
      <c r="Y330" s="109"/>
      <c r="Z330" s="109">
        <v>8.1890285946831671</v>
      </c>
      <c r="AA330" s="109">
        <v>56.783861578949058</v>
      </c>
      <c r="AB330" s="109" t="s">
        <v>4715</v>
      </c>
      <c r="AC330" s="109" t="s">
        <v>4716</v>
      </c>
      <c r="AD330" s="765"/>
      <c r="AE330" s="765" t="s">
        <v>625</v>
      </c>
      <c r="AF330" s="765"/>
      <c r="AG330" s="765"/>
      <c r="AH330" s="109"/>
      <c r="AL330" s="2" t="s">
        <v>679</v>
      </c>
      <c r="AM330" s="2" t="s">
        <v>706</v>
      </c>
      <c r="AN330" s="2" t="s">
        <v>952</v>
      </c>
      <c r="AO330" s="2">
        <v>3.4947799999999998E-3</v>
      </c>
      <c r="AP330" s="2" t="s">
        <v>4673</v>
      </c>
      <c r="AQ330" s="2" t="s">
        <v>4469</v>
      </c>
      <c r="AR330" s="2" t="s">
        <v>4756</v>
      </c>
      <c r="AT330" s="765"/>
      <c r="AU330" s="765"/>
      <c r="AV330" s="765"/>
      <c r="AW330" s="765"/>
    </row>
    <row r="331" spans="1:49" x14ac:dyDescent="0.25">
      <c r="A331" s="23" t="s">
        <v>1425</v>
      </c>
      <c r="B331" s="108" t="s">
        <v>147</v>
      </c>
      <c r="C331" s="108" t="s">
        <v>150</v>
      </c>
      <c r="D331" s="108" t="s">
        <v>151</v>
      </c>
      <c r="E331" s="108" t="s">
        <v>1426</v>
      </c>
      <c r="F331" s="114" t="s">
        <v>694</v>
      </c>
      <c r="G331" s="213" t="s">
        <v>1427</v>
      </c>
      <c r="H331" s="115" t="s">
        <v>1196</v>
      </c>
      <c r="I331" s="213">
        <v>481547.03</v>
      </c>
      <c r="J331" s="109">
        <v>4.5</v>
      </c>
      <c r="K331" s="109" t="s">
        <v>696</v>
      </c>
      <c r="L331" s="115">
        <v>1.3070200000000001E-3</v>
      </c>
      <c r="M331" s="115">
        <v>101.44910400000001</v>
      </c>
      <c r="N331" s="115">
        <v>101.480312</v>
      </c>
      <c r="O331" s="214">
        <v>0.33750000000000002</v>
      </c>
      <c r="P331" s="115">
        <v>0.5282</v>
      </c>
      <c r="Q331" s="769">
        <v>0.48647087524999999</v>
      </c>
      <c r="R331" s="216"/>
      <c r="S331" s="216">
        <v>0.48647087524999999</v>
      </c>
      <c r="T331" s="216">
        <v>27</v>
      </c>
      <c r="U331" s="216">
        <v>1.177</v>
      </c>
      <c r="V331" s="115">
        <v>11.030708981929999</v>
      </c>
      <c r="W331" s="109"/>
      <c r="X331" s="109">
        <v>-53.252758434130001</v>
      </c>
      <c r="Y331" s="109"/>
      <c r="Z331" s="109">
        <v>31.096146416102322</v>
      </c>
      <c r="AA331" s="109">
        <v>42.123700076752492</v>
      </c>
      <c r="AB331" s="109" t="s">
        <v>1353</v>
      </c>
      <c r="AC331" s="109" t="s">
        <v>2428</v>
      </c>
      <c r="AD331" s="765" t="s">
        <v>517</v>
      </c>
      <c r="AE331" s="765" t="s">
        <v>625</v>
      </c>
      <c r="AF331" s="765"/>
      <c r="AG331" s="765"/>
      <c r="AH331" s="109"/>
      <c r="AL331" s="2" t="s">
        <v>679</v>
      </c>
      <c r="AM331" s="2" t="s">
        <v>706</v>
      </c>
      <c r="AN331" s="2" t="s">
        <v>952</v>
      </c>
      <c r="AO331" s="2">
        <v>1.4489399999999999E-3</v>
      </c>
      <c r="AP331" s="2" t="s">
        <v>4673</v>
      </c>
      <c r="AQ331" s="2" t="s">
        <v>4469</v>
      </c>
      <c r="AR331" s="2" t="s">
        <v>4756</v>
      </c>
      <c r="AT331" s="765"/>
      <c r="AU331" s="765"/>
      <c r="AV331" s="765"/>
      <c r="AW331" s="765"/>
    </row>
    <row r="332" spans="1:49" x14ac:dyDescent="0.25">
      <c r="A332" s="23" t="s">
        <v>1428</v>
      </c>
      <c r="B332" s="108" t="s">
        <v>148</v>
      </c>
      <c r="C332" s="108" t="s">
        <v>150</v>
      </c>
      <c r="D332" s="108" t="s">
        <v>153</v>
      </c>
      <c r="E332" s="108" t="s">
        <v>1429</v>
      </c>
      <c r="F332" s="114" t="s">
        <v>694</v>
      </c>
      <c r="G332" s="213" t="s">
        <v>1430</v>
      </c>
      <c r="H332" s="115" t="s">
        <v>1431</v>
      </c>
      <c r="I332" s="213">
        <v>477023.56</v>
      </c>
      <c r="J332" s="109">
        <v>7</v>
      </c>
      <c r="K332" s="109" t="s">
        <v>696</v>
      </c>
      <c r="L332" s="115">
        <v>0.24715427000000001</v>
      </c>
      <c r="M332" s="115">
        <v>120.682304</v>
      </c>
      <c r="N332" s="115">
        <v>120.768101</v>
      </c>
      <c r="O332" s="214">
        <v>0.52500000000000002</v>
      </c>
      <c r="P332" s="115">
        <v>4.8171999999999997</v>
      </c>
      <c r="Q332" s="769">
        <v>5.0006616966699999</v>
      </c>
      <c r="R332" s="216"/>
      <c r="S332" s="216">
        <v>5.0006616966699999</v>
      </c>
      <c r="T332" s="216">
        <v>27</v>
      </c>
      <c r="U332" s="216">
        <v>2.226</v>
      </c>
      <c r="V332" s="115">
        <v>-37.314157061000003</v>
      </c>
      <c r="W332" s="109"/>
      <c r="X332" s="109">
        <v>65.189005902440002</v>
      </c>
      <c r="Y332" s="109"/>
      <c r="Z332" s="109">
        <v>46.138801565426022</v>
      </c>
      <c r="AA332" s="109">
        <v>10.342272057166779</v>
      </c>
      <c r="AB332" s="109" t="s">
        <v>1169</v>
      </c>
      <c r="AC332" s="109"/>
      <c r="AD332" s="765"/>
      <c r="AE332" s="765" t="s">
        <v>625</v>
      </c>
      <c r="AF332" s="765"/>
      <c r="AG332" s="765"/>
      <c r="AH332" s="109"/>
      <c r="AL332" s="2" t="s">
        <v>679</v>
      </c>
      <c r="AM332" s="2" t="s">
        <v>706</v>
      </c>
      <c r="AN332" s="2" t="s">
        <v>952</v>
      </c>
      <c r="AO332" s="2">
        <v>0.26092085999999998</v>
      </c>
      <c r="AP332" s="2" t="s">
        <v>4673</v>
      </c>
      <c r="AQ332" s="2" t="s">
        <v>4469</v>
      </c>
      <c r="AR332" s="2" t="s">
        <v>4756</v>
      </c>
      <c r="AT332" s="765"/>
      <c r="AU332" s="765"/>
      <c r="AV332" s="765"/>
      <c r="AW332" s="765"/>
    </row>
    <row r="333" spans="1:49" x14ac:dyDescent="0.25">
      <c r="A333" s="23" t="s">
        <v>1432</v>
      </c>
      <c r="B333" s="108" t="s">
        <v>148</v>
      </c>
      <c r="C333" s="108" t="s">
        <v>150</v>
      </c>
      <c r="D333" s="108" t="s">
        <v>153</v>
      </c>
      <c r="E333" s="108" t="s">
        <v>1433</v>
      </c>
      <c r="F333" s="114" t="s">
        <v>694</v>
      </c>
      <c r="G333" s="213" t="s">
        <v>1222</v>
      </c>
      <c r="H333" s="115" t="s">
        <v>1434</v>
      </c>
      <c r="I333" s="213">
        <v>819478.5</v>
      </c>
      <c r="J333" s="109">
        <v>6.5</v>
      </c>
      <c r="K333" s="109" t="s">
        <v>696</v>
      </c>
      <c r="L333" s="115">
        <v>1.6389569999999999E-2</v>
      </c>
      <c r="M333" s="115">
        <v>112.33335099999999</v>
      </c>
      <c r="N333" s="115">
        <v>112.41147599999999</v>
      </c>
      <c r="O333" s="214">
        <v>0.48749999999999999</v>
      </c>
      <c r="P333" s="115">
        <v>4.6224999999999996</v>
      </c>
      <c r="Q333" s="769">
        <v>3.66559090825</v>
      </c>
      <c r="R333" s="216"/>
      <c r="S333" s="216">
        <v>3.66559090825</v>
      </c>
      <c r="T333" s="216">
        <v>26</v>
      </c>
      <c r="U333" s="216">
        <v>3.4049999999999998</v>
      </c>
      <c r="V333" s="115">
        <v>80.786051768009997</v>
      </c>
      <c r="W333" s="109"/>
      <c r="X333" s="109">
        <v>72.467656647029997</v>
      </c>
      <c r="Y333" s="109"/>
      <c r="Z333" s="109">
        <v>18.30481907073403</v>
      </c>
      <c r="AA333" s="109">
        <v>14.596834163197689</v>
      </c>
      <c r="AB333" s="109" t="s">
        <v>1210</v>
      </c>
      <c r="AC333" s="109" t="s">
        <v>3724</v>
      </c>
      <c r="AD333" s="765" t="s">
        <v>2323</v>
      </c>
      <c r="AE333" s="765" t="s">
        <v>625</v>
      </c>
      <c r="AF333" s="765"/>
      <c r="AG333" s="765"/>
      <c r="AH333" s="109"/>
      <c r="AL333" s="2" t="s">
        <v>679</v>
      </c>
      <c r="AM333" s="2" t="s">
        <v>706</v>
      </c>
      <c r="AN333" s="2" t="s">
        <v>952</v>
      </c>
      <c r="AO333" s="2">
        <v>1.67239E-2</v>
      </c>
      <c r="AP333" s="2" t="s">
        <v>4673</v>
      </c>
      <c r="AQ333" s="2" t="s">
        <v>4469</v>
      </c>
      <c r="AR333" s="2" t="s">
        <v>4756</v>
      </c>
      <c r="AT333" s="765"/>
      <c r="AU333" s="765"/>
      <c r="AV333" s="765"/>
      <c r="AW333" s="765"/>
    </row>
    <row r="334" spans="1:49" x14ac:dyDescent="0.25">
      <c r="A334" s="23" t="s">
        <v>590</v>
      </c>
      <c r="B334" s="108" t="s">
        <v>147</v>
      </c>
      <c r="C334" s="108" t="s">
        <v>150</v>
      </c>
      <c r="D334" s="108" t="s">
        <v>151</v>
      </c>
      <c r="E334" s="108" t="s">
        <v>1435</v>
      </c>
      <c r="F334" s="114" t="s">
        <v>694</v>
      </c>
      <c r="G334" s="213" t="s">
        <v>1436</v>
      </c>
      <c r="H334" s="115" t="s">
        <v>1437</v>
      </c>
      <c r="I334" s="213">
        <v>3234634.54</v>
      </c>
      <c r="J334" s="109">
        <v>4</v>
      </c>
      <c r="K334" s="109" t="s">
        <v>696</v>
      </c>
      <c r="L334" s="115">
        <v>5.8119459999999998E-2</v>
      </c>
      <c r="M334" s="115">
        <v>102.70710800000001</v>
      </c>
      <c r="N334" s="115">
        <v>102.72377</v>
      </c>
      <c r="O334" s="214">
        <v>0.3</v>
      </c>
      <c r="P334" s="115">
        <v>1.5147999999999999</v>
      </c>
      <c r="Q334" s="769">
        <v>1.4440220097900001</v>
      </c>
      <c r="R334" s="216"/>
      <c r="S334" s="216">
        <v>1.4440220097900001</v>
      </c>
      <c r="T334" s="216">
        <v>26</v>
      </c>
      <c r="U334" s="216">
        <v>2.0009999999999999</v>
      </c>
      <c r="V334" s="115">
        <v>-4.1310776269499998</v>
      </c>
      <c r="W334" s="109"/>
      <c r="X334" s="109">
        <v>-29.991822720479998</v>
      </c>
      <c r="Y334" s="109"/>
      <c r="Z334" s="109">
        <v>2.7928611624806532</v>
      </c>
      <c r="AA334" s="109">
        <v>23.15301570952651</v>
      </c>
      <c r="AB334" s="109" t="s">
        <v>1817</v>
      </c>
      <c r="AC334" s="109" t="s">
        <v>4537</v>
      </c>
      <c r="AD334" s="765" t="s">
        <v>255</v>
      </c>
      <c r="AE334" s="765" t="s">
        <v>625</v>
      </c>
      <c r="AF334" s="765"/>
      <c r="AG334" s="765"/>
      <c r="AH334" s="109"/>
      <c r="AL334" s="2" t="s">
        <v>679</v>
      </c>
      <c r="AM334" s="2" t="s">
        <v>706</v>
      </c>
      <c r="AN334" s="2" t="s">
        <v>952</v>
      </c>
      <c r="AO334" s="2">
        <v>5.9506879999999998E-2</v>
      </c>
      <c r="AP334" s="2" t="s">
        <v>4673</v>
      </c>
      <c r="AQ334" s="2" t="s">
        <v>4469</v>
      </c>
      <c r="AR334" s="2" t="s">
        <v>4756</v>
      </c>
      <c r="AT334" s="765"/>
      <c r="AU334" s="765"/>
      <c r="AV334" s="765"/>
      <c r="AW334" s="765"/>
    </row>
    <row r="335" spans="1:49" x14ac:dyDescent="0.25">
      <c r="A335" s="23" t="s">
        <v>1438</v>
      </c>
      <c r="B335" s="108" t="s">
        <v>147</v>
      </c>
      <c r="C335" s="108" t="s">
        <v>150</v>
      </c>
      <c r="D335" s="108" t="s">
        <v>151</v>
      </c>
      <c r="E335" s="108" t="s">
        <v>1439</v>
      </c>
      <c r="F335" s="114" t="s">
        <v>694</v>
      </c>
      <c r="G335" s="213" t="s">
        <v>1111</v>
      </c>
      <c r="H335" s="115" t="s">
        <v>1440</v>
      </c>
      <c r="I335" s="213">
        <v>10980971</v>
      </c>
      <c r="J335" s="109">
        <v>2.5</v>
      </c>
      <c r="K335" s="109" t="s">
        <v>696</v>
      </c>
      <c r="L335" s="115">
        <v>0.13164084000000001</v>
      </c>
      <c r="M335" s="115">
        <v>98.569084000000004</v>
      </c>
      <c r="N335" s="115">
        <v>98.600334000000004</v>
      </c>
      <c r="O335" s="214">
        <v>0.1875</v>
      </c>
      <c r="P335" s="115">
        <v>2.0405000000000002</v>
      </c>
      <c r="Q335" s="769">
        <v>1.94325063938</v>
      </c>
      <c r="R335" s="216"/>
      <c r="S335" s="216">
        <v>1.94325063938</v>
      </c>
      <c r="T335" s="216">
        <v>26</v>
      </c>
      <c r="U335" s="216">
        <v>3.17</v>
      </c>
      <c r="V335" s="115">
        <v>80.25712892288</v>
      </c>
      <c r="W335" s="109"/>
      <c r="X335" s="109">
        <v>71.282412810210005</v>
      </c>
      <c r="Y335" s="109"/>
      <c r="Z335" s="109">
        <v>12.49425796391451</v>
      </c>
      <c r="AA335" s="109">
        <v>13.65153270766676</v>
      </c>
      <c r="AB335" s="109" t="s">
        <v>4717</v>
      </c>
      <c r="AC335" s="109" t="s">
        <v>2323</v>
      </c>
      <c r="AD335" s="765" t="s">
        <v>3411</v>
      </c>
      <c r="AE335" s="765" t="s">
        <v>625</v>
      </c>
      <c r="AF335" s="765"/>
      <c r="AG335" s="765"/>
      <c r="AH335" s="109"/>
      <c r="AL335" s="2" t="s">
        <v>679</v>
      </c>
      <c r="AM335" s="2" t="s">
        <v>706</v>
      </c>
      <c r="AN335" s="2" t="s">
        <v>952</v>
      </c>
      <c r="AO335" s="2">
        <v>0.13524427</v>
      </c>
      <c r="AP335" s="2" t="s">
        <v>4673</v>
      </c>
      <c r="AQ335" s="2" t="s">
        <v>4469</v>
      </c>
      <c r="AR335" s="2" t="s">
        <v>4756</v>
      </c>
      <c r="AT335" s="765"/>
      <c r="AU335" s="765"/>
      <c r="AV335" s="765"/>
      <c r="AW335" s="765"/>
    </row>
    <row r="336" spans="1:49" x14ac:dyDescent="0.25">
      <c r="A336" s="23" t="s">
        <v>1441</v>
      </c>
      <c r="B336" s="108" t="s">
        <v>147</v>
      </c>
      <c r="C336" s="108" t="s">
        <v>150</v>
      </c>
      <c r="D336" s="108" t="s">
        <v>151</v>
      </c>
      <c r="E336" s="108" t="s">
        <v>1442</v>
      </c>
      <c r="F336" s="114" t="s">
        <v>694</v>
      </c>
      <c r="G336" s="213" t="s">
        <v>1226</v>
      </c>
      <c r="H336" s="115" t="s">
        <v>1227</v>
      </c>
      <c r="I336" s="213">
        <v>395887.45</v>
      </c>
      <c r="J336" s="109">
        <v>3.5</v>
      </c>
      <c r="K336" s="109" t="s">
        <v>696</v>
      </c>
      <c r="L336" s="115">
        <v>3.0276239999999999E-2</v>
      </c>
      <c r="M336" s="115">
        <v>101.703209</v>
      </c>
      <c r="N336" s="115">
        <v>101.727329</v>
      </c>
      <c r="O336" s="214">
        <v>0.26250000000000001</v>
      </c>
      <c r="P336" s="115">
        <v>1.2098</v>
      </c>
      <c r="Q336" s="769">
        <v>1.11239598224</v>
      </c>
      <c r="R336" s="216"/>
      <c r="S336" s="216">
        <v>1.11239598224</v>
      </c>
      <c r="T336" s="216">
        <v>26</v>
      </c>
      <c r="U336" s="216">
        <v>1.88</v>
      </c>
      <c r="V336" s="115">
        <v>5.8596098113700004</v>
      </c>
      <c r="W336" s="109"/>
      <c r="X336" s="109">
        <v>-34.76205404649</v>
      </c>
      <c r="Y336" s="109"/>
      <c r="Z336" s="109">
        <v>11.736973382482301</v>
      </c>
      <c r="AA336" s="109">
        <v>15.36764160974073</v>
      </c>
      <c r="AB336" s="109" t="s">
        <v>3725</v>
      </c>
      <c r="AC336" s="109" t="s">
        <v>4945</v>
      </c>
      <c r="AD336" s="765" t="s">
        <v>2203</v>
      </c>
      <c r="AE336" s="765" t="s">
        <v>625</v>
      </c>
      <c r="AF336" s="765"/>
      <c r="AG336" s="765"/>
      <c r="AH336" s="109"/>
      <c r="AL336" s="2" t="s">
        <v>679</v>
      </c>
      <c r="AM336" s="2" t="s">
        <v>706</v>
      </c>
      <c r="AN336" s="2" t="s">
        <v>952</v>
      </c>
      <c r="AO336" s="2">
        <v>3.1497150000000002E-2</v>
      </c>
      <c r="AP336" s="2" t="s">
        <v>4673</v>
      </c>
      <c r="AQ336" s="2" t="s">
        <v>4469</v>
      </c>
      <c r="AR336" s="2" t="s">
        <v>4756</v>
      </c>
      <c r="AT336" s="765"/>
      <c r="AU336" s="765"/>
      <c r="AV336" s="765"/>
      <c r="AW336" s="765"/>
    </row>
    <row r="337" spans="1:49" x14ac:dyDescent="0.25">
      <c r="A337" s="23" t="s">
        <v>815</v>
      </c>
      <c r="B337" s="108" t="s">
        <v>148</v>
      </c>
      <c r="C337" s="108" t="s">
        <v>150</v>
      </c>
      <c r="D337" s="108" t="s">
        <v>153</v>
      </c>
      <c r="E337" s="108" t="s">
        <v>1443</v>
      </c>
      <c r="F337" s="114" t="s">
        <v>694</v>
      </c>
      <c r="G337" s="213" t="s">
        <v>1399</v>
      </c>
      <c r="H337" s="115" t="s">
        <v>1112</v>
      </c>
      <c r="I337" s="213">
        <v>1162984236.8499999</v>
      </c>
      <c r="J337" s="109">
        <v>4</v>
      </c>
      <c r="K337" s="109" t="s">
        <v>696</v>
      </c>
      <c r="L337" s="115">
        <v>0.12759760000000001</v>
      </c>
      <c r="M337" s="115">
        <v>101.69135300000001</v>
      </c>
      <c r="N337" s="115">
        <v>101.713123</v>
      </c>
      <c r="O337" s="214">
        <v>0.3</v>
      </c>
      <c r="P337" s="115">
        <v>6.4222000000000001</v>
      </c>
      <c r="Q337" s="769">
        <v>4.1351158792799998</v>
      </c>
      <c r="R337" s="216"/>
      <c r="S337" s="216">
        <v>4.1351158792799998</v>
      </c>
      <c r="T337" s="216">
        <v>27</v>
      </c>
      <c r="U337" s="216">
        <v>3.6589999999999998</v>
      </c>
      <c r="V337" s="115">
        <v>107.09331173747999</v>
      </c>
      <c r="W337" s="109"/>
      <c r="X337" s="109">
        <v>49.38502966307</v>
      </c>
      <c r="Y337" s="109"/>
      <c r="Z337" s="109">
        <v>34.511858023861372</v>
      </c>
      <c r="AA337" s="109">
        <v>43.173517686162967</v>
      </c>
      <c r="AB337" s="109" t="s">
        <v>239</v>
      </c>
      <c r="AC337" s="109" t="s">
        <v>246</v>
      </c>
      <c r="AD337" s="765" t="s">
        <v>1202</v>
      </c>
      <c r="AE337" s="765" t="s">
        <v>625</v>
      </c>
      <c r="AF337" s="765"/>
      <c r="AG337" s="765"/>
      <c r="AH337" s="109"/>
      <c r="AL337" s="2" t="s">
        <v>679</v>
      </c>
      <c r="AM337" s="2" t="s">
        <v>706</v>
      </c>
      <c r="AN337" s="2" t="s">
        <v>952</v>
      </c>
      <c r="AO337" s="2">
        <v>0.13239224999999999</v>
      </c>
      <c r="AP337" s="2" t="s">
        <v>4673</v>
      </c>
      <c r="AQ337" s="2" t="s">
        <v>4469</v>
      </c>
      <c r="AR337" s="2" t="s">
        <v>4756</v>
      </c>
      <c r="AT337" s="765"/>
      <c r="AU337" s="765"/>
      <c r="AV337" s="765"/>
      <c r="AW337" s="765"/>
    </row>
    <row r="338" spans="1:49" x14ac:dyDescent="0.25">
      <c r="A338" s="23" t="s">
        <v>535</v>
      </c>
      <c r="B338" s="108" t="s">
        <v>148</v>
      </c>
      <c r="C338" s="108" t="s">
        <v>150</v>
      </c>
      <c r="D338" s="108" t="s">
        <v>153</v>
      </c>
      <c r="E338" s="108" t="s">
        <v>1444</v>
      </c>
      <c r="F338" s="114" t="s">
        <v>694</v>
      </c>
      <c r="G338" s="213" t="s">
        <v>1346</v>
      </c>
      <c r="H338" s="115" t="s">
        <v>1273</v>
      </c>
      <c r="I338" s="213">
        <v>872503368.14999998</v>
      </c>
      <c r="J338" s="109">
        <v>4</v>
      </c>
      <c r="K338" s="109" t="s">
        <v>696</v>
      </c>
      <c r="L338" s="115">
        <v>0.17290230000000001</v>
      </c>
      <c r="M338" s="115">
        <v>102.15280199999999</v>
      </c>
      <c r="N338" s="115">
        <v>102.18405199999999</v>
      </c>
      <c r="O338" s="214">
        <v>0.3</v>
      </c>
      <c r="P338" s="115">
        <v>6.2305000000000001</v>
      </c>
      <c r="Q338" s="769">
        <v>4.1653998415900002</v>
      </c>
      <c r="R338" s="216"/>
      <c r="S338" s="216">
        <v>4.1653998415900002</v>
      </c>
      <c r="T338" s="216">
        <v>27</v>
      </c>
      <c r="U338" s="216">
        <v>3.5619999999999998</v>
      </c>
      <c r="V338" s="115">
        <v>97.224828418330006</v>
      </c>
      <c r="W338" s="109"/>
      <c r="X338" s="109">
        <v>47.512187151020001</v>
      </c>
      <c r="Y338" s="109"/>
      <c r="Z338" s="109">
        <v>30.079669639894998</v>
      </c>
      <c r="AA338" s="109">
        <v>38.552118695503317</v>
      </c>
      <c r="AB338" s="109" t="s">
        <v>1663</v>
      </c>
      <c r="AC338" s="109" t="s">
        <v>254</v>
      </c>
      <c r="AD338" s="765" t="s">
        <v>253</v>
      </c>
      <c r="AE338" s="765" t="s">
        <v>625</v>
      </c>
      <c r="AF338" s="765"/>
      <c r="AG338" s="765"/>
      <c r="AH338" s="109"/>
      <c r="AL338" s="2" t="s">
        <v>679</v>
      </c>
      <c r="AM338" s="2" t="s">
        <v>706</v>
      </c>
      <c r="AN338" s="2" t="s">
        <v>952</v>
      </c>
      <c r="AO338" s="2">
        <v>0.17846648000000001</v>
      </c>
      <c r="AP338" s="2" t="s">
        <v>4673</v>
      </c>
      <c r="AQ338" s="2" t="s">
        <v>4469</v>
      </c>
      <c r="AR338" s="2" t="s">
        <v>4756</v>
      </c>
      <c r="AT338" s="765"/>
      <c r="AU338" s="765"/>
      <c r="AV338" s="765"/>
      <c r="AW338" s="765"/>
    </row>
    <row r="339" spans="1:49" x14ac:dyDescent="0.25">
      <c r="A339" s="23" t="s">
        <v>1799</v>
      </c>
      <c r="B339" s="108" t="s">
        <v>148</v>
      </c>
      <c r="C339" s="108" t="s">
        <v>150</v>
      </c>
      <c r="D339" s="108" t="s">
        <v>153</v>
      </c>
      <c r="E339" s="108" t="s">
        <v>1800</v>
      </c>
      <c r="F339" s="114" t="s">
        <v>694</v>
      </c>
      <c r="G339" s="213" t="s">
        <v>1113</v>
      </c>
      <c r="H339" s="115" t="s">
        <v>1116</v>
      </c>
      <c r="I339" s="213">
        <v>435170318.92000002</v>
      </c>
      <c r="J339" s="109">
        <v>4</v>
      </c>
      <c r="K339" s="109" t="s">
        <v>696</v>
      </c>
      <c r="L339" s="115">
        <v>0.19553282</v>
      </c>
      <c r="M339" s="115">
        <v>102.15280199999999</v>
      </c>
      <c r="N339" s="115">
        <v>102.18405199999999</v>
      </c>
      <c r="O339" s="214">
        <v>0.3</v>
      </c>
      <c r="P339" s="115">
        <v>6.2836999999999996</v>
      </c>
      <c r="Q339" s="769">
        <v>4.3180770752099997</v>
      </c>
      <c r="R339" s="216"/>
      <c r="S339" s="216">
        <v>4.3180770752099997</v>
      </c>
      <c r="T339" s="216">
        <v>27</v>
      </c>
      <c r="U339" s="216">
        <v>3.5649999999999999</v>
      </c>
      <c r="V339" s="115">
        <v>97.581218812580005</v>
      </c>
      <c r="W339" s="109"/>
      <c r="X339" s="109">
        <v>50.641750974140002</v>
      </c>
      <c r="Y339" s="109"/>
      <c r="Z339" s="109">
        <v>32.35351001698119</v>
      </c>
      <c r="AA339" s="109">
        <v>37.418135493588657</v>
      </c>
      <c r="AB339" s="109" t="s">
        <v>1566</v>
      </c>
      <c r="AC339" s="109" t="s">
        <v>1202</v>
      </c>
      <c r="AD339" s="765" t="s">
        <v>246</v>
      </c>
      <c r="AE339" s="765" t="s">
        <v>625</v>
      </c>
      <c r="AF339" s="765"/>
      <c r="AG339" s="765"/>
      <c r="AH339" s="109"/>
      <c r="AL339" s="2" t="s">
        <v>679</v>
      </c>
      <c r="AM339" s="2" t="s">
        <v>706</v>
      </c>
      <c r="AN339" s="2" t="s">
        <v>952</v>
      </c>
      <c r="AO339" s="2">
        <v>0.20236794</v>
      </c>
      <c r="AP339" s="2" t="s">
        <v>4673</v>
      </c>
      <c r="AQ339" s="2" t="s">
        <v>4469</v>
      </c>
      <c r="AR339" s="2" t="s">
        <v>4756</v>
      </c>
      <c r="AT339" s="765"/>
      <c r="AU339" s="765"/>
      <c r="AV339" s="765"/>
      <c r="AW339" s="765"/>
    </row>
    <row r="340" spans="1:49" x14ac:dyDescent="0.25">
      <c r="A340" s="23" t="s">
        <v>518</v>
      </c>
      <c r="B340" s="108" t="s">
        <v>154</v>
      </c>
      <c r="C340" s="108" t="s">
        <v>150</v>
      </c>
      <c r="D340" s="108" t="s">
        <v>1445</v>
      </c>
      <c r="E340" s="108" t="s">
        <v>1446</v>
      </c>
      <c r="F340" s="114" t="s">
        <v>694</v>
      </c>
      <c r="G340" s="213" t="s">
        <v>1358</v>
      </c>
      <c r="H340" s="115" t="s">
        <v>1447</v>
      </c>
      <c r="I340" s="213">
        <v>81942664.260000005</v>
      </c>
      <c r="J340" s="109">
        <v>4</v>
      </c>
      <c r="K340" s="109" t="s">
        <v>696</v>
      </c>
      <c r="L340" s="115">
        <v>0.23834517</v>
      </c>
      <c r="M340" s="115">
        <v>102.772453</v>
      </c>
      <c r="N340" s="115">
        <v>102.819328</v>
      </c>
      <c r="O340" s="214">
        <v>0.3</v>
      </c>
      <c r="P340" s="115">
        <v>4.7470999999999997</v>
      </c>
      <c r="Q340" s="769">
        <v>3.87429118342</v>
      </c>
      <c r="R340" s="216"/>
      <c r="S340" s="216">
        <v>3.87429118342</v>
      </c>
      <c r="T340" s="216">
        <v>27</v>
      </c>
      <c r="U340" s="216">
        <v>3.2989999999999999</v>
      </c>
      <c r="V340" s="115">
        <v>70.094488072909996</v>
      </c>
      <c r="W340" s="109"/>
      <c r="X340" s="109">
        <v>53.59394201125</v>
      </c>
      <c r="Y340" s="109"/>
      <c r="Z340" s="109">
        <v>24.822749885813408</v>
      </c>
      <c r="AA340" s="109">
        <v>33.019147632006216</v>
      </c>
      <c r="AB340" s="109" t="s">
        <v>241</v>
      </c>
      <c r="AC340" s="109" t="s">
        <v>1202</v>
      </c>
      <c r="AD340" s="765" t="s">
        <v>1404</v>
      </c>
      <c r="AE340" s="765" t="s">
        <v>625</v>
      </c>
      <c r="AF340" s="765"/>
      <c r="AG340" s="765"/>
      <c r="AH340" s="109"/>
      <c r="AL340" s="2" t="s">
        <v>679</v>
      </c>
      <c r="AM340" s="2" t="s">
        <v>706</v>
      </c>
      <c r="AN340" s="2" t="s">
        <v>952</v>
      </c>
      <c r="AO340" s="2">
        <v>0.24502234000000001</v>
      </c>
      <c r="AP340" s="2" t="s">
        <v>4673</v>
      </c>
      <c r="AQ340" s="2" t="s">
        <v>4469</v>
      </c>
      <c r="AR340" s="2" t="s">
        <v>4756</v>
      </c>
      <c r="AT340" s="765"/>
      <c r="AU340" s="765"/>
      <c r="AV340" s="765"/>
      <c r="AW340" s="765"/>
    </row>
    <row r="341" spans="1:49" x14ac:dyDescent="0.25">
      <c r="A341" s="23" t="s">
        <v>519</v>
      </c>
      <c r="B341" s="108" t="s">
        <v>154</v>
      </c>
      <c r="C341" s="108" t="s">
        <v>150</v>
      </c>
      <c r="D341" s="108" t="s">
        <v>1445</v>
      </c>
      <c r="E341" s="108" t="s">
        <v>1448</v>
      </c>
      <c r="F341" s="114" t="s">
        <v>694</v>
      </c>
      <c r="G341" s="213" t="s">
        <v>1115</v>
      </c>
      <c r="H341" s="115" t="s">
        <v>1449</v>
      </c>
      <c r="I341" s="213">
        <v>83629237.599999994</v>
      </c>
      <c r="J341" s="109">
        <v>4</v>
      </c>
      <c r="K341" s="109" t="s">
        <v>696</v>
      </c>
      <c r="L341" s="115">
        <v>0.28539868000000002</v>
      </c>
      <c r="M341" s="115">
        <v>102.772453</v>
      </c>
      <c r="N341" s="115">
        <v>102.819328</v>
      </c>
      <c r="O341" s="214">
        <v>0.3</v>
      </c>
      <c r="P341" s="115">
        <v>4.7465999999999999</v>
      </c>
      <c r="Q341" s="769">
        <v>3.9379192499500002</v>
      </c>
      <c r="R341" s="216"/>
      <c r="S341" s="216">
        <v>3.9379192499500002</v>
      </c>
      <c r="T341" s="216">
        <v>27</v>
      </c>
      <c r="U341" s="216">
        <v>3.2989999999999999</v>
      </c>
      <c r="V341" s="115">
        <v>70.087761775130005</v>
      </c>
      <c r="W341" s="109"/>
      <c r="X341" s="109">
        <v>55.018944565289999</v>
      </c>
      <c r="Y341" s="109"/>
      <c r="Z341" s="109">
        <v>31.357158218481811</v>
      </c>
      <c r="AA341" s="109">
        <v>29.102198513449508</v>
      </c>
      <c r="AB341" s="109" t="s">
        <v>245</v>
      </c>
      <c r="AC341" s="109" t="s">
        <v>249</v>
      </c>
      <c r="AD341" s="765" t="s">
        <v>255</v>
      </c>
      <c r="AE341" s="765" t="s">
        <v>625</v>
      </c>
      <c r="AF341" s="765"/>
      <c r="AG341" s="765"/>
      <c r="AH341" s="109"/>
      <c r="AL341" s="2" t="s">
        <v>679</v>
      </c>
      <c r="AM341" s="2" t="s">
        <v>706</v>
      </c>
      <c r="AN341" s="2" t="s">
        <v>952</v>
      </c>
      <c r="AO341" s="2">
        <v>0.29561759999999998</v>
      </c>
      <c r="AP341" s="2" t="s">
        <v>4673</v>
      </c>
      <c r="AQ341" s="2" t="s">
        <v>4469</v>
      </c>
      <c r="AR341" s="2" t="s">
        <v>4756</v>
      </c>
      <c r="AT341" s="765"/>
      <c r="AU341" s="765"/>
      <c r="AV341" s="765"/>
      <c r="AW341" s="765"/>
    </row>
    <row r="342" spans="1:49" x14ac:dyDescent="0.25">
      <c r="A342" s="23" t="s">
        <v>636</v>
      </c>
      <c r="B342" s="108" t="s">
        <v>154</v>
      </c>
      <c r="C342" s="108" t="s">
        <v>150</v>
      </c>
      <c r="D342" s="108" t="s">
        <v>1445</v>
      </c>
      <c r="E342" s="108" t="s">
        <v>1450</v>
      </c>
      <c r="F342" s="114" t="s">
        <v>694</v>
      </c>
      <c r="G342" s="213" t="s">
        <v>1109</v>
      </c>
      <c r="H342" s="115" t="s">
        <v>1451</v>
      </c>
      <c r="I342" s="213">
        <v>97604225.129999995</v>
      </c>
      <c r="J342" s="109">
        <v>4</v>
      </c>
      <c r="K342" s="109" t="s">
        <v>696</v>
      </c>
      <c r="L342" s="115">
        <v>0.25985414000000001</v>
      </c>
      <c r="M342" s="115">
        <v>102.772453</v>
      </c>
      <c r="N342" s="115">
        <v>102.819328</v>
      </c>
      <c r="O342" s="214">
        <v>0.3</v>
      </c>
      <c r="P342" s="115">
        <v>4.7602000000000002</v>
      </c>
      <c r="Q342" s="769">
        <v>3.9219356135800001</v>
      </c>
      <c r="R342" s="216"/>
      <c r="S342" s="216">
        <v>3.9219356135800001</v>
      </c>
      <c r="T342" s="216">
        <v>27</v>
      </c>
      <c r="U342" s="216">
        <v>3.3010000000000002</v>
      </c>
      <c r="V342" s="115">
        <v>70.250666615330005</v>
      </c>
      <c r="W342" s="109"/>
      <c r="X342" s="109">
        <v>54.401194054569999</v>
      </c>
      <c r="Y342" s="109"/>
      <c r="Z342" s="109">
        <v>17.73568048644179</v>
      </c>
      <c r="AA342" s="109">
        <v>35.296013874624798</v>
      </c>
      <c r="AB342" s="109" t="s">
        <v>241</v>
      </c>
      <c r="AC342" s="109" t="s">
        <v>253</v>
      </c>
      <c r="AD342" s="765" t="s">
        <v>249</v>
      </c>
      <c r="AE342" s="765" t="s">
        <v>625</v>
      </c>
      <c r="AF342" s="765"/>
      <c r="AG342" s="765"/>
      <c r="AH342" s="109"/>
      <c r="AL342" s="2" t="s">
        <v>679</v>
      </c>
      <c r="AM342" s="2" t="s">
        <v>706</v>
      </c>
      <c r="AN342" s="2" t="s">
        <v>952</v>
      </c>
      <c r="AO342" s="2">
        <v>0.26512245000000001</v>
      </c>
      <c r="AP342" s="2" t="s">
        <v>4673</v>
      </c>
      <c r="AQ342" s="2" t="s">
        <v>4469</v>
      </c>
      <c r="AR342" s="2" t="s">
        <v>4756</v>
      </c>
      <c r="AT342" s="765"/>
      <c r="AU342" s="765"/>
      <c r="AV342" s="765"/>
      <c r="AW342" s="765"/>
    </row>
    <row r="343" spans="1:49" x14ac:dyDescent="0.25">
      <c r="A343" s="23" t="s">
        <v>661</v>
      </c>
      <c r="B343" s="108" t="s">
        <v>147</v>
      </c>
      <c r="C343" s="108" t="s">
        <v>150</v>
      </c>
      <c r="D343" s="108" t="s">
        <v>151</v>
      </c>
      <c r="E343" s="108" t="s">
        <v>1452</v>
      </c>
      <c r="F343" s="114" t="s">
        <v>694</v>
      </c>
      <c r="G343" s="213" t="s">
        <v>1124</v>
      </c>
      <c r="H343" s="115" t="s">
        <v>1453</v>
      </c>
      <c r="I343" s="213">
        <v>96343554.730000004</v>
      </c>
      <c r="J343" s="109">
        <v>3.5</v>
      </c>
      <c r="K343" s="109" t="s">
        <v>696</v>
      </c>
      <c r="L343" s="115">
        <v>0.23564604</v>
      </c>
      <c r="M343" s="115">
        <v>102.22550200000001</v>
      </c>
      <c r="N343" s="115">
        <v>102.25675200000001</v>
      </c>
      <c r="O343" s="214">
        <v>0.26250000000000001</v>
      </c>
      <c r="P343" s="115">
        <v>3.5908000000000002</v>
      </c>
      <c r="Q343" s="769">
        <v>3.0902506240699998</v>
      </c>
      <c r="R343" s="216"/>
      <c r="S343" s="216">
        <v>3.0902506240699998</v>
      </c>
      <c r="T343" s="216">
        <v>26</v>
      </c>
      <c r="U343" s="216">
        <v>2.7770000000000001</v>
      </c>
      <c r="V343" s="115">
        <v>18.716441555989999</v>
      </c>
      <c r="W343" s="109"/>
      <c r="X343" s="109">
        <v>11.91836810395</v>
      </c>
      <c r="Y343" s="109"/>
      <c r="Z343" s="109">
        <v>25.24181043711944</v>
      </c>
      <c r="AA343" s="109">
        <v>33.828504893821687</v>
      </c>
      <c r="AB343" s="109" t="s">
        <v>1261</v>
      </c>
      <c r="AC343" s="109" t="s">
        <v>2244</v>
      </c>
      <c r="AD343" s="765" t="s">
        <v>249</v>
      </c>
      <c r="AE343" s="765" t="s">
        <v>625</v>
      </c>
      <c r="AF343" s="765"/>
      <c r="AG343" s="765"/>
      <c r="AH343" s="109"/>
      <c r="AL343" s="2" t="s">
        <v>679</v>
      </c>
      <c r="AM343" s="2" t="s">
        <v>706</v>
      </c>
      <c r="AN343" s="2" t="s">
        <v>952</v>
      </c>
      <c r="AO343" s="2">
        <v>0.24300503000000001</v>
      </c>
      <c r="AP343" s="2" t="s">
        <v>4673</v>
      </c>
      <c r="AQ343" s="2" t="s">
        <v>4469</v>
      </c>
      <c r="AR343" s="2" t="s">
        <v>4756</v>
      </c>
      <c r="AT343" s="765"/>
      <c r="AU343" s="765"/>
      <c r="AV343" s="765"/>
      <c r="AW343" s="765"/>
    </row>
    <row r="344" spans="1:49" x14ac:dyDescent="0.25">
      <c r="A344" s="23" t="s">
        <v>988</v>
      </c>
      <c r="B344" s="108" t="s">
        <v>148</v>
      </c>
      <c r="C344" s="108" t="s">
        <v>150</v>
      </c>
      <c r="D344" s="108" t="s">
        <v>153</v>
      </c>
      <c r="E344" s="108" t="s">
        <v>1454</v>
      </c>
      <c r="F344" s="114" t="s">
        <v>694</v>
      </c>
      <c r="G344" s="213" t="s">
        <v>1136</v>
      </c>
      <c r="H344" s="115" t="s">
        <v>1137</v>
      </c>
      <c r="I344" s="213">
        <v>683682726.69000006</v>
      </c>
      <c r="J344" s="109">
        <v>4</v>
      </c>
      <c r="K344" s="109" t="s">
        <v>696</v>
      </c>
      <c r="L344" s="115">
        <v>0.11758225</v>
      </c>
      <c r="M344" s="115">
        <v>101.540977</v>
      </c>
      <c r="N344" s="115">
        <v>101.562748</v>
      </c>
      <c r="O344" s="214">
        <v>0.3</v>
      </c>
      <c r="P344" s="115">
        <v>6.4760999999999997</v>
      </c>
      <c r="Q344" s="769">
        <v>4.12832861501</v>
      </c>
      <c r="R344" s="216"/>
      <c r="S344" s="216">
        <v>4.12832861501</v>
      </c>
      <c r="T344" s="216">
        <v>27</v>
      </c>
      <c r="U344" s="216">
        <v>3.69</v>
      </c>
      <c r="V344" s="115">
        <v>110.18822053484</v>
      </c>
      <c r="W344" s="109"/>
      <c r="X344" s="109">
        <v>52.016424549619998</v>
      </c>
      <c r="Y344" s="109"/>
      <c r="Z344" s="109">
        <v>36.918343550735841</v>
      </c>
      <c r="AA344" s="109">
        <v>43.279068840663022</v>
      </c>
      <c r="AB344" s="109" t="s">
        <v>242</v>
      </c>
      <c r="AC344" s="109" t="s">
        <v>250</v>
      </c>
      <c r="AD344" s="765" t="s">
        <v>237</v>
      </c>
      <c r="AE344" s="765" t="s">
        <v>625</v>
      </c>
      <c r="AF344" s="765"/>
      <c r="AG344" s="765"/>
      <c r="AH344" s="109"/>
      <c r="AL344" s="2" t="s">
        <v>679</v>
      </c>
      <c r="AM344" s="2" t="s">
        <v>706</v>
      </c>
      <c r="AN344" s="2" t="s">
        <v>952</v>
      </c>
      <c r="AO344" s="2">
        <v>0.12237213</v>
      </c>
      <c r="AP344" s="2" t="s">
        <v>4673</v>
      </c>
      <c r="AQ344" s="2" t="s">
        <v>4469</v>
      </c>
      <c r="AR344" s="2" t="s">
        <v>4756</v>
      </c>
      <c r="AT344" s="765"/>
      <c r="AU344" s="765"/>
      <c r="AV344" s="765"/>
      <c r="AW344" s="765"/>
    </row>
    <row r="345" spans="1:49" x14ac:dyDescent="0.25">
      <c r="A345" s="23" t="s">
        <v>894</v>
      </c>
      <c r="B345" s="108" t="s">
        <v>148</v>
      </c>
      <c r="C345" s="108" t="s">
        <v>150</v>
      </c>
      <c r="D345" s="108" t="s">
        <v>153</v>
      </c>
      <c r="E345" s="108" t="s">
        <v>1455</v>
      </c>
      <c r="F345" s="114" t="s">
        <v>694</v>
      </c>
      <c r="G345" s="213" t="s">
        <v>1106</v>
      </c>
      <c r="H345" s="115" t="s">
        <v>1139</v>
      </c>
      <c r="I345" s="213">
        <v>193143057.11000001</v>
      </c>
      <c r="J345" s="109">
        <v>4.5</v>
      </c>
      <c r="K345" s="109" t="s">
        <v>696</v>
      </c>
      <c r="L345" s="115">
        <v>0.18134410000000001</v>
      </c>
      <c r="M345" s="115">
        <v>103.251419</v>
      </c>
      <c r="N345" s="115">
        <v>103.276268</v>
      </c>
      <c r="O345" s="214">
        <v>0.33750000000000002</v>
      </c>
      <c r="P345" s="115">
        <v>5.4009999999999998</v>
      </c>
      <c r="Q345" s="769">
        <v>3.6395801373999999</v>
      </c>
      <c r="R345" s="216"/>
      <c r="S345" s="216">
        <v>3.6395801373999999</v>
      </c>
      <c r="T345" s="216">
        <v>27</v>
      </c>
      <c r="U345" s="216">
        <v>3.7490000000000001</v>
      </c>
      <c r="V345" s="115">
        <v>115.2765114239</v>
      </c>
      <c r="W345" s="109"/>
      <c r="X345" s="109">
        <v>59.828556875220002</v>
      </c>
      <c r="Y345" s="109"/>
      <c r="Z345" s="109">
        <v>33.105390226795919</v>
      </c>
      <c r="AA345" s="109">
        <v>46.184861016462158</v>
      </c>
      <c r="AB345" s="109" t="s">
        <v>4483</v>
      </c>
      <c r="AC345" s="109" t="s">
        <v>1219</v>
      </c>
      <c r="AD345" s="765" t="s">
        <v>253</v>
      </c>
      <c r="AE345" s="765" t="s">
        <v>625</v>
      </c>
      <c r="AF345" s="765"/>
      <c r="AG345" s="765"/>
      <c r="AH345" s="109"/>
      <c r="AL345" s="2" t="s">
        <v>679</v>
      </c>
      <c r="AM345" s="2" t="s">
        <v>706</v>
      </c>
      <c r="AN345" s="2" t="s">
        <v>952</v>
      </c>
      <c r="AO345" s="2">
        <v>0.18778259999999999</v>
      </c>
      <c r="AP345" s="2" t="s">
        <v>4673</v>
      </c>
      <c r="AQ345" s="2" t="s">
        <v>4469</v>
      </c>
      <c r="AR345" s="2" t="s">
        <v>4756</v>
      </c>
      <c r="AT345" s="765"/>
      <c r="AU345" s="765"/>
      <c r="AV345" s="765"/>
      <c r="AW345" s="765"/>
    </row>
    <row r="346" spans="1:49" x14ac:dyDescent="0.25">
      <c r="A346" s="23" t="s">
        <v>1756</v>
      </c>
      <c r="B346" s="108" t="s">
        <v>538</v>
      </c>
      <c r="C346" s="108" t="s">
        <v>1650</v>
      </c>
      <c r="D346" s="108" t="s">
        <v>539</v>
      </c>
      <c r="E346" s="108" t="s">
        <v>1650</v>
      </c>
      <c r="F346" s="114" t="s">
        <v>699</v>
      </c>
      <c r="G346" s="213" t="s">
        <v>1757</v>
      </c>
      <c r="H346" s="115" t="s">
        <v>1538</v>
      </c>
      <c r="I346" s="213">
        <v>100000000</v>
      </c>
      <c r="J346" s="109">
        <v>7.75</v>
      </c>
      <c r="K346" s="109" t="s">
        <v>696</v>
      </c>
      <c r="L346" s="115">
        <v>1</v>
      </c>
      <c r="M346" s="115">
        <v>101.131</v>
      </c>
      <c r="N346" s="115">
        <v>101.631</v>
      </c>
      <c r="O346" s="214">
        <v>0.27986100000000003</v>
      </c>
      <c r="P346" s="115"/>
      <c r="Q346" s="769">
        <v>4.3319690126822747</v>
      </c>
      <c r="R346" s="216">
        <v>3.3559902133408448</v>
      </c>
      <c r="S346" s="216">
        <v>4.3319690126822747</v>
      </c>
      <c r="T346" s="216">
        <v>12</v>
      </c>
      <c r="U346" s="216">
        <v>7.5371334395188212</v>
      </c>
      <c r="V346" s="115"/>
      <c r="W346" s="109"/>
      <c r="X346" s="109">
        <v>418.57335925816278</v>
      </c>
      <c r="Y346" s="109"/>
      <c r="Z346" s="109"/>
      <c r="AA346" s="109"/>
      <c r="AB346" s="109"/>
      <c r="AC346" s="109"/>
      <c r="AD346" s="765"/>
      <c r="AE346" s="765" t="s">
        <v>10</v>
      </c>
      <c r="AF346" s="765"/>
      <c r="AG346" s="765"/>
      <c r="AH346" s="109"/>
      <c r="AK346" s="2" t="s">
        <v>10</v>
      </c>
      <c r="AL346" s="2" t="s">
        <v>680</v>
      </c>
      <c r="AM346" s="2" t="s">
        <v>811</v>
      </c>
      <c r="AN346" s="2" t="s">
        <v>952</v>
      </c>
      <c r="AT346" s="765"/>
      <c r="AU346" s="765"/>
      <c r="AV346" s="765"/>
      <c r="AW346" s="765"/>
    </row>
    <row r="347" spans="1:49" x14ac:dyDescent="0.25">
      <c r="A347" s="23" t="s">
        <v>1647</v>
      </c>
      <c r="B347" s="108" t="s">
        <v>656</v>
      </c>
      <c r="C347" s="108" t="s">
        <v>1648</v>
      </c>
      <c r="D347" s="108" t="s">
        <v>541</v>
      </c>
      <c r="E347" s="108" t="s">
        <v>1648</v>
      </c>
      <c r="F347" s="114" t="s">
        <v>699</v>
      </c>
      <c r="G347" s="213" t="s">
        <v>1649</v>
      </c>
      <c r="H347" s="115" t="s">
        <v>1653</v>
      </c>
      <c r="I347" s="213">
        <v>23500000</v>
      </c>
      <c r="J347" s="109">
        <v>6</v>
      </c>
      <c r="K347" s="109" t="s">
        <v>696</v>
      </c>
      <c r="L347" s="115">
        <v>1</v>
      </c>
      <c r="M347" s="115">
        <v>100.738</v>
      </c>
      <c r="N347" s="115">
        <v>101.1435</v>
      </c>
      <c r="O347" s="214">
        <v>2.4500000000000002</v>
      </c>
      <c r="P347" s="115"/>
      <c r="Q347" s="769">
        <v>2.3300644659019469</v>
      </c>
      <c r="R347" s="216">
        <v>2.3137569399025368</v>
      </c>
      <c r="S347" s="216">
        <v>2.3300644659019469</v>
      </c>
      <c r="T347" s="216">
        <v>147</v>
      </c>
      <c r="U347" s="216">
        <v>5.2362235281122294</v>
      </c>
      <c r="V347" s="115"/>
      <c r="W347" s="109">
        <v>465</v>
      </c>
      <c r="X347" s="109">
        <v>293.54903515382131</v>
      </c>
      <c r="Y347" s="109"/>
      <c r="Z347" s="109"/>
      <c r="AA347" s="109"/>
      <c r="AB347" s="109"/>
      <c r="AC347" s="109"/>
      <c r="AD347" s="765"/>
      <c r="AE347" s="765" t="s">
        <v>9</v>
      </c>
      <c r="AF347" s="765"/>
      <c r="AG347" s="765"/>
      <c r="AH347" s="109"/>
      <c r="AK347" s="2" t="s">
        <v>18</v>
      </c>
      <c r="AL347" s="2" t="s">
        <v>680</v>
      </c>
      <c r="AM347" s="2" t="s">
        <v>812</v>
      </c>
      <c r="AN347" s="2" t="s">
        <v>952</v>
      </c>
      <c r="AT347" s="765"/>
      <c r="AU347" s="765"/>
      <c r="AV347" s="765"/>
      <c r="AW347" s="765"/>
    </row>
    <row r="348" spans="1:49" x14ac:dyDescent="0.25">
      <c r="A348" s="23" t="s">
        <v>4433</v>
      </c>
      <c r="B348" s="108" t="s">
        <v>656</v>
      </c>
      <c r="C348" s="108" t="s">
        <v>1648</v>
      </c>
      <c r="D348" s="108" t="s">
        <v>541</v>
      </c>
      <c r="E348" s="108" t="s">
        <v>1648</v>
      </c>
      <c r="F348" s="114" t="s">
        <v>699</v>
      </c>
      <c r="G348" s="213" t="s">
        <v>4471</v>
      </c>
      <c r="H348" s="115" t="s">
        <v>4472</v>
      </c>
      <c r="I348" s="213">
        <v>35000000</v>
      </c>
      <c r="J348" s="109">
        <v>4.5</v>
      </c>
      <c r="K348" s="109" t="s">
        <v>696</v>
      </c>
      <c r="L348" s="115">
        <v>1</v>
      </c>
      <c r="M348" s="115">
        <v>102.464</v>
      </c>
      <c r="N348" s="115">
        <v>102.892</v>
      </c>
      <c r="O348" s="214">
        <v>2.2250000000000001</v>
      </c>
      <c r="P348" s="115"/>
      <c r="Q348" s="769">
        <v>3.6562722584761391</v>
      </c>
      <c r="R348" s="216">
        <v>3.6424899064032128</v>
      </c>
      <c r="S348" s="216">
        <v>3.6562722584761391</v>
      </c>
      <c r="T348" s="216">
        <v>0</v>
      </c>
      <c r="U348" s="216">
        <v>3.8443268135700799</v>
      </c>
      <c r="V348" s="115"/>
      <c r="W348" s="109">
        <v>384</v>
      </c>
      <c r="X348" s="109">
        <v>116.129283089962</v>
      </c>
      <c r="Y348" s="109"/>
      <c r="Z348" s="109"/>
      <c r="AA348" s="109"/>
      <c r="AB348" s="109"/>
      <c r="AC348" s="109"/>
      <c r="AD348" s="765"/>
      <c r="AE348" s="765" t="s">
        <v>9</v>
      </c>
      <c r="AF348" s="765"/>
      <c r="AG348" s="765"/>
      <c r="AH348" s="109"/>
      <c r="AK348" s="2" t="s">
        <v>18</v>
      </c>
      <c r="AL348" s="2" t="s">
        <v>680</v>
      </c>
      <c r="AM348" s="2" t="s">
        <v>812</v>
      </c>
      <c r="AN348" s="2" t="s">
        <v>952</v>
      </c>
      <c r="AT348" s="765"/>
      <c r="AU348" s="765"/>
      <c r="AV348" s="765"/>
      <c r="AW348" s="765"/>
    </row>
    <row r="349" spans="1:49" x14ac:dyDescent="0.25">
      <c r="A349" s="23" t="s">
        <v>2013</v>
      </c>
      <c r="B349" s="108" t="s">
        <v>540</v>
      </c>
      <c r="C349" s="108" t="s">
        <v>2014</v>
      </c>
      <c r="D349" s="108" t="s">
        <v>541</v>
      </c>
      <c r="E349" s="108" t="s">
        <v>2014</v>
      </c>
      <c r="F349" s="114" t="s">
        <v>699</v>
      </c>
      <c r="G349" s="213" t="s">
        <v>2015</v>
      </c>
      <c r="H349" s="115" t="s">
        <v>2016</v>
      </c>
      <c r="I349" s="213">
        <v>75000000</v>
      </c>
      <c r="J349" s="109">
        <v>5.875</v>
      </c>
      <c r="K349" s="109" t="s">
        <v>696</v>
      </c>
      <c r="L349" s="115">
        <v>1</v>
      </c>
      <c r="M349" s="115">
        <v>101.569</v>
      </c>
      <c r="N349" s="115">
        <v>101.952</v>
      </c>
      <c r="O349" s="214">
        <v>1.909375</v>
      </c>
      <c r="P349" s="115"/>
      <c r="Q349" s="769">
        <v>2.8251760531205941</v>
      </c>
      <c r="R349" s="216">
        <v>2.8118602964145909</v>
      </c>
      <c r="S349" s="216">
        <v>2.8251760531205941</v>
      </c>
      <c r="T349" s="216">
        <v>116</v>
      </c>
      <c r="U349" s="216">
        <v>4.9419935670142294</v>
      </c>
      <c r="V349" s="115"/>
      <c r="W349" s="109">
        <v>363</v>
      </c>
      <c r="X349" s="109">
        <v>262.11637388342768</v>
      </c>
      <c r="Y349" s="109"/>
      <c r="Z349" s="109"/>
      <c r="AA349" s="109"/>
      <c r="AB349" s="109"/>
      <c r="AC349" s="109"/>
      <c r="AD349" s="765"/>
      <c r="AE349" s="765" t="s">
        <v>10</v>
      </c>
      <c r="AF349" s="765"/>
      <c r="AG349" s="765"/>
      <c r="AH349" s="109"/>
      <c r="AI349" s="2" t="s">
        <v>19</v>
      </c>
      <c r="AK349" s="2" t="s">
        <v>522</v>
      </c>
      <c r="AL349" s="2" t="s">
        <v>680</v>
      </c>
      <c r="AM349" s="2" t="s">
        <v>812</v>
      </c>
      <c r="AN349" s="2" t="s">
        <v>952</v>
      </c>
      <c r="AT349" s="765"/>
      <c r="AU349" s="765"/>
      <c r="AV349" s="765"/>
      <c r="AW349" s="765"/>
    </row>
    <row r="350" spans="1:49" x14ac:dyDescent="0.25">
      <c r="A350" s="23" t="s">
        <v>4946</v>
      </c>
      <c r="B350" s="108" t="s">
        <v>656</v>
      </c>
      <c r="C350" s="108" t="s">
        <v>4947</v>
      </c>
      <c r="D350" s="108" t="s">
        <v>541</v>
      </c>
      <c r="E350" s="108" t="s">
        <v>4947</v>
      </c>
      <c r="F350" s="114" t="s">
        <v>699</v>
      </c>
      <c r="G350" s="213" t="s">
        <v>4948</v>
      </c>
      <c r="H350" s="115" t="s">
        <v>4949</v>
      </c>
      <c r="I350" s="213">
        <v>15000000</v>
      </c>
      <c r="J350" s="109">
        <v>5.5</v>
      </c>
      <c r="K350" s="109" t="s">
        <v>696</v>
      </c>
      <c r="L350" s="115">
        <v>1</v>
      </c>
      <c r="M350" s="115">
        <v>99.992999999999995</v>
      </c>
      <c r="N350" s="115">
        <v>100.38200000000001</v>
      </c>
      <c r="O350" s="214">
        <v>0.65694399999999997</v>
      </c>
      <c r="P350" s="115"/>
      <c r="Q350" s="769">
        <v>2.2010723366134499</v>
      </c>
      <c r="R350" s="216">
        <v>2.1868147107282239</v>
      </c>
      <c r="S350" s="216">
        <v>2.2010723366134499</v>
      </c>
      <c r="T350" s="216">
        <v>42</v>
      </c>
      <c r="U350" s="216">
        <v>4.9450735261164089</v>
      </c>
      <c r="V350" s="115"/>
      <c r="W350" s="109">
        <v>433.161</v>
      </c>
      <c r="X350" s="109">
        <v>276.25210368187788</v>
      </c>
      <c r="Y350" s="109"/>
      <c r="Z350" s="109"/>
      <c r="AA350" s="109"/>
      <c r="AB350" s="109"/>
      <c r="AC350" s="109"/>
      <c r="AD350" s="765"/>
      <c r="AE350" s="765" t="s">
        <v>10</v>
      </c>
      <c r="AF350" s="765"/>
      <c r="AG350" s="765"/>
      <c r="AH350" s="109"/>
      <c r="AK350" s="2" t="s">
        <v>10</v>
      </c>
      <c r="AL350" s="2" t="s">
        <v>680</v>
      </c>
      <c r="AM350" s="2" t="s">
        <v>812</v>
      </c>
      <c r="AN350" s="2" t="s">
        <v>952</v>
      </c>
      <c r="AT350" s="765"/>
      <c r="AU350" s="765"/>
      <c r="AV350" s="765"/>
      <c r="AW350" s="765"/>
    </row>
    <row r="351" spans="1:49" x14ac:dyDescent="0.25">
      <c r="A351" s="23" t="s">
        <v>3498</v>
      </c>
      <c r="B351" s="108" t="s">
        <v>656</v>
      </c>
      <c r="C351" s="108" t="s">
        <v>3499</v>
      </c>
      <c r="D351" s="108" t="s">
        <v>541</v>
      </c>
      <c r="E351" s="108" t="s">
        <v>3499</v>
      </c>
      <c r="F351" s="114" t="s">
        <v>699</v>
      </c>
      <c r="G351" s="213" t="s">
        <v>3500</v>
      </c>
      <c r="H351" s="115" t="s">
        <v>2133</v>
      </c>
      <c r="I351" s="213">
        <v>100000000</v>
      </c>
      <c r="J351" s="109">
        <v>4.5</v>
      </c>
      <c r="K351" s="109" t="s">
        <v>696</v>
      </c>
      <c r="L351" s="115">
        <v>1</v>
      </c>
      <c r="M351" s="115">
        <v>100.64700000000001</v>
      </c>
      <c r="N351" s="115">
        <v>101.002</v>
      </c>
      <c r="O351" s="214">
        <v>0.33750000000000002</v>
      </c>
      <c r="P351" s="115"/>
      <c r="Q351" s="769">
        <v>3.1509914341999141</v>
      </c>
      <c r="R351" s="216">
        <v>3.1325521015586699</v>
      </c>
      <c r="S351" s="216">
        <v>3.1509914341999141</v>
      </c>
      <c r="T351" s="216">
        <v>27</v>
      </c>
      <c r="U351" s="216">
        <v>4.5067618177353026</v>
      </c>
      <c r="V351" s="115"/>
      <c r="W351" s="109">
        <v>439</v>
      </c>
      <c r="X351" s="109">
        <v>162.16139906006529</v>
      </c>
      <c r="Y351" s="109"/>
      <c r="Z351" s="109"/>
      <c r="AA351" s="109"/>
      <c r="AB351" s="109"/>
      <c r="AC351" s="109"/>
      <c r="AD351" s="765"/>
      <c r="AE351" s="765" t="s">
        <v>10</v>
      </c>
      <c r="AF351" s="765"/>
      <c r="AG351" s="765"/>
      <c r="AH351" s="109"/>
      <c r="AI351" s="2" t="s">
        <v>10</v>
      </c>
      <c r="AL351" s="2" t="s">
        <v>680</v>
      </c>
      <c r="AM351" s="2" t="s">
        <v>812</v>
      </c>
      <c r="AN351" s="2" t="s">
        <v>952</v>
      </c>
      <c r="AT351" s="765"/>
      <c r="AU351" s="765"/>
      <c r="AV351" s="765"/>
      <c r="AW351" s="765"/>
    </row>
    <row r="352" spans="1:49" x14ac:dyDescent="0.25">
      <c r="A352" s="23" t="s">
        <v>3162</v>
      </c>
      <c r="B352" s="108" t="s">
        <v>656</v>
      </c>
      <c r="C352" s="108" t="s">
        <v>3223</v>
      </c>
      <c r="D352" s="108" t="s">
        <v>539</v>
      </c>
      <c r="E352" s="108" t="s">
        <v>3223</v>
      </c>
      <c r="F352" s="114" t="s">
        <v>3224</v>
      </c>
      <c r="G352" s="213" t="s">
        <v>3225</v>
      </c>
      <c r="H352" s="115" t="s">
        <v>1139</v>
      </c>
      <c r="I352" s="213">
        <v>500000000</v>
      </c>
      <c r="J352" s="109">
        <v>4.55</v>
      </c>
      <c r="K352" s="109" t="s">
        <v>696</v>
      </c>
      <c r="L352" s="115">
        <v>1</v>
      </c>
      <c r="M352" s="115">
        <v>94.983999999999995</v>
      </c>
      <c r="N352" s="115">
        <v>95.863</v>
      </c>
      <c r="O352" s="214">
        <v>2.2370830000000002</v>
      </c>
      <c r="P352" s="115"/>
      <c r="Q352" s="769">
        <v>14.77007399492744</v>
      </c>
      <c r="R352" s="216">
        <v>14.84107381928739</v>
      </c>
      <c r="S352" s="216">
        <v>14.77007399492744</v>
      </c>
      <c r="T352" s="216">
        <v>176</v>
      </c>
      <c r="U352" s="216">
        <v>4.8864631445785767</v>
      </c>
      <c r="V352" s="115"/>
      <c r="W352" s="109"/>
      <c r="X352" s="109">
        <v>211.50766180040279</v>
      </c>
      <c r="Y352" s="109"/>
      <c r="Z352" s="109"/>
      <c r="AA352" s="109"/>
      <c r="AB352" s="109"/>
      <c r="AC352" s="109"/>
      <c r="AD352" s="765"/>
      <c r="AE352" s="765" t="s">
        <v>10</v>
      </c>
      <c r="AF352" s="765" t="s">
        <v>21</v>
      </c>
      <c r="AG352" s="765" t="s">
        <v>1065</v>
      </c>
      <c r="AH352" s="109" t="s">
        <v>21</v>
      </c>
      <c r="AL352" s="2" t="s">
        <v>680</v>
      </c>
      <c r="AM352" s="2" t="s">
        <v>2917</v>
      </c>
      <c r="AN352" s="2" t="s">
        <v>952</v>
      </c>
      <c r="AT352" s="765"/>
      <c r="AU352" s="765"/>
      <c r="AV352" s="765"/>
      <c r="AW352" s="765"/>
    </row>
    <row r="353" spans="1:49" x14ac:dyDescent="0.25">
      <c r="A353" s="23" t="s">
        <v>2185</v>
      </c>
      <c r="B353" s="108" t="s">
        <v>656</v>
      </c>
      <c r="C353" s="108" t="s">
        <v>2186</v>
      </c>
      <c r="D353" s="108" t="s">
        <v>541</v>
      </c>
      <c r="E353" s="108" t="s">
        <v>2186</v>
      </c>
      <c r="F353" s="114" t="s">
        <v>699</v>
      </c>
      <c r="G353" s="213" t="s">
        <v>2187</v>
      </c>
      <c r="H353" s="115" t="s">
        <v>2188</v>
      </c>
      <c r="I353" s="213">
        <v>40000000</v>
      </c>
      <c r="J353" s="109">
        <v>6</v>
      </c>
      <c r="K353" s="109" t="s">
        <v>696</v>
      </c>
      <c r="L353" s="115">
        <v>1</v>
      </c>
      <c r="M353" s="115">
        <v>105.47499999999999</v>
      </c>
      <c r="N353" s="115">
        <v>105.919</v>
      </c>
      <c r="O353" s="214">
        <v>1.45</v>
      </c>
      <c r="P353" s="115"/>
      <c r="Q353" s="769">
        <v>2.927462770676927</v>
      </c>
      <c r="R353" s="216">
        <v>2.9130188065979721</v>
      </c>
      <c r="S353" s="216">
        <v>2.927462770676927</v>
      </c>
      <c r="T353" s="216">
        <v>87</v>
      </c>
      <c r="U353" s="216">
        <v>5.2824474502809036</v>
      </c>
      <c r="V353" s="115"/>
      <c r="W353" s="109">
        <v>589</v>
      </c>
      <c r="X353" s="109">
        <v>145.52678367729879</v>
      </c>
      <c r="Y353" s="109"/>
      <c r="Z353" s="109"/>
      <c r="AA353" s="109"/>
      <c r="AB353" s="109"/>
      <c r="AC353" s="109"/>
      <c r="AD353" s="765"/>
      <c r="AE353" s="765" t="s">
        <v>10</v>
      </c>
      <c r="AF353" s="765"/>
      <c r="AG353" s="765"/>
      <c r="AH353" s="109"/>
      <c r="AI353" s="2" t="s">
        <v>20</v>
      </c>
      <c r="AL353" s="2" t="s">
        <v>680</v>
      </c>
      <c r="AM353" s="2" t="s">
        <v>812</v>
      </c>
      <c r="AN353" s="2" t="s">
        <v>952</v>
      </c>
      <c r="AT353" s="765"/>
      <c r="AU353" s="765"/>
      <c r="AV353" s="765"/>
      <c r="AW353" s="765"/>
    </row>
    <row r="354" spans="1:49" x14ac:dyDescent="0.25">
      <c r="A354" s="23" t="s">
        <v>2468</v>
      </c>
      <c r="B354" s="108" t="s">
        <v>538</v>
      </c>
      <c r="C354" s="108" t="s">
        <v>2469</v>
      </c>
      <c r="D354" s="108" t="s">
        <v>541</v>
      </c>
      <c r="E354" s="108" t="s">
        <v>2469</v>
      </c>
      <c r="F354" s="114" t="s">
        <v>699</v>
      </c>
      <c r="G354" s="213" t="s">
        <v>2470</v>
      </c>
      <c r="H354" s="115" t="s">
        <v>2471</v>
      </c>
      <c r="I354" s="213">
        <v>150000000</v>
      </c>
      <c r="J354" s="109">
        <v>4.125</v>
      </c>
      <c r="K354" s="109" t="s">
        <v>696</v>
      </c>
      <c r="L354" s="115">
        <v>1</v>
      </c>
      <c r="M354" s="115">
        <v>99.887</v>
      </c>
      <c r="N354" s="115">
        <v>100.4055</v>
      </c>
      <c r="O354" s="214">
        <v>1.684375</v>
      </c>
      <c r="P354" s="115"/>
      <c r="Q354" s="769">
        <v>3.2676777713795651</v>
      </c>
      <c r="R354" s="216">
        <v>3.2500603817715379</v>
      </c>
      <c r="S354" s="216">
        <v>3.2676777713795651</v>
      </c>
      <c r="T354" s="216">
        <v>146</v>
      </c>
      <c r="U354" s="216">
        <v>4.1817204189017776</v>
      </c>
      <c r="V354" s="115"/>
      <c r="W354" s="109">
        <v>391</v>
      </c>
      <c r="X354" s="109">
        <v>139.75064328487821</v>
      </c>
      <c r="Y354" s="109"/>
      <c r="Z354" s="109"/>
      <c r="AA354" s="109"/>
      <c r="AB354" s="109"/>
      <c r="AC354" s="109"/>
      <c r="AD354" s="765"/>
      <c r="AE354" s="765" t="s">
        <v>10</v>
      </c>
      <c r="AF354" s="765"/>
      <c r="AG354" s="765" t="s">
        <v>1901</v>
      </c>
      <c r="AH354" s="109"/>
      <c r="AI354" s="2" t="s">
        <v>10</v>
      </c>
      <c r="AL354" s="2" t="s">
        <v>680</v>
      </c>
      <c r="AM354" s="2" t="s">
        <v>812</v>
      </c>
      <c r="AN354" s="2" t="s">
        <v>952</v>
      </c>
      <c r="AT354" s="765"/>
      <c r="AU354" s="765"/>
      <c r="AV354" s="765"/>
      <c r="AW354" s="765"/>
    </row>
    <row r="355" spans="1:49" x14ac:dyDescent="0.25">
      <c r="A355" s="23" t="s">
        <v>3292</v>
      </c>
      <c r="B355" s="108" t="s">
        <v>526</v>
      </c>
      <c r="C355" s="108" t="s">
        <v>3349</v>
      </c>
      <c r="D355" s="108" t="s">
        <v>2098</v>
      </c>
      <c r="E355" s="108" t="s">
        <v>3350</v>
      </c>
      <c r="F355" s="114" t="s">
        <v>698</v>
      </c>
      <c r="G355" s="213" t="s">
        <v>3351</v>
      </c>
      <c r="H355" s="115" t="s">
        <v>3352</v>
      </c>
      <c r="I355" s="213">
        <v>31571425</v>
      </c>
      <c r="J355" s="109">
        <v>3.6</v>
      </c>
      <c r="K355" s="109" t="s">
        <v>696</v>
      </c>
      <c r="L355" s="115">
        <v>0.99250000000000005</v>
      </c>
      <c r="M355" s="115">
        <v>99.948959000000002</v>
      </c>
      <c r="N355" s="115">
        <v>100.024979</v>
      </c>
      <c r="O355" s="214">
        <v>0.63</v>
      </c>
      <c r="P355" s="115">
        <v>0.8155</v>
      </c>
      <c r="Q355" s="769">
        <v>2.1973453834000001</v>
      </c>
      <c r="R355" s="216"/>
      <c r="S355" s="216">
        <v>2.1973453834000001</v>
      </c>
      <c r="T355" s="216">
        <v>63</v>
      </c>
      <c r="U355" s="216">
        <v>3.6389999999999998</v>
      </c>
      <c r="V355" s="115">
        <v>121.33913253288</v>
      </c>
      <c r="W355" s="109"/>
      <c r="X355" s="109">
        <v>274.89826292561003</v>
      </c>
      <c r="Y355" s="109" t="s">
        <v>662</v>
      </c>
      <c r="Z355" s="109"/>
      <c r="AA355" s="109"/>
      <c r="AB355" s="109"/>
      <c r="AC355" s="109"/>
      <c r="AD355" s="765"/>
      <c r="AE355" s="765" t="s">
        <v>8</v>
      </c>
      <c r="AF355" s="765" t="s">
        <v>8</v>
      </c>
      <c r="AG355" s="765"/>
      <c r="AH355" s="109"/>
      <c r="AI355" s="2" t="s">
        <v>8</v>
      </c>
      <c r="AL355" s="2" t="s">
        <v>680</v>
      </c>
      <c r="AM355" s="2" t="s">
        <v>2897</v>
      </c>
      <c r="AN355" s="2" t="s">
        <v>952</v>
      </c>
      <c r="AO355" s="2">
        <v>0.99250000000000005</v>
      </c>
      <c r="AP355" s="2" t="s">
        <v>4637</v>
      </c>
      <c r="AQ355" s="2" t="s">
        <v>3353</v>
      </c>
      <c r="AR355" s="2" t="s">
        <v>4638</v>
      </c>
      <c r="AT355" s="765"/>
      <c r="AU355" s="765"/>
      <c r="AV355" s="765"/>
      <c r="AW355" s="765"/>
    </row>
    <row r="356" spans="1:49" x14ac:dyDescent="0.25">
      <c r="A356" s="23" t="s">
        <v>1902</v>
      </c>
      <c r="B356" s="108" t="s">
        <v>528</v>
      </c>
      <c r="C356" s="108" t="s">
        <v>1903</v>
      </c>
      <c r="D356" s="108" t="s">
        <v>1904</v>
      </c>
      <c r="E356" s="108" t="s">
        <v>1905</v>
      </c>
      <c r="F356" s="114" t="s">
        <v>694</v>
      </c>
      <c r="G356" s="213" t="s">
        <v>1129</v>
      </c>
      <c r="H356" s="115" t="s">
        <v>1910</v>
      </c>
      <c r="I356" s="213">
        <v>8070161.7800000003</v>
      </c>
      <c r="J356" s="109">
        <v>4.0300099999999999</v>
      </c>
      <c r="K356" s="109" t="s">
        <v>696</v>
      </c>
      <c r="L356" s="115">
        <v>0.91706383859999996</v>
      </c>
      <c r="M356" s="115">
        <v>99.161406999999997</v>
      </c>
      <c r="N356" s="115">
        <v>99.314182000000002</v>
      </c>
      <c r="O356" s="214">
        <v>0.30225099999999999</v>
      </c>
      <c r="P356" s="115">
        <v>2.7778</v>
      </c>
      <c r="Q356" s="769">
        <v>5.6548536722699998</v>
      </c>
      <c r="R356" s="216"/>
      <c r="S356" s="216">
        <v>5.6548536722699998</v>
      </c>
      <c r="T356" s="216">
        <v>26</v>
      </c>
      <c r="U356" s="216">
        <v>4.117</v>
      </c>
      <c r="V356" s="115">
        <v>157.64598385171001</v>
      </c>
      <c r="W356" s="109"/>
      <c r="X356" s="109">
        <v>119.50261133799999</v>
      </c>
      <c r="Y356" s="109" t="s">
        <v>1906</v>
      </c>
      <c r="Z356" s="109">
        <v>42.583634816606803</v>
      </c>
      <c r="AA356" s="109">
        <v>36.769499391612712</v>
      </c>
      <c r="AB356" s="109" t="s">
        <v>2935</v>
      </c>
      <c r="AC356" s="109" t="s">
        <v>3360</v>
      </c>
      <c r="AD356" s="765" t="s">
        <v>243</v>
      </c>
      <c r="AE356" s="765" t="s">
        <v>9</v>
      </c>
      <c r="AF356" s="765"/>
      <c r="AG356" s="765" t="s">
        <v>2425</v>
      </c>
      <c r="AH356" s="109" t="s">
        <v>522</v>
      </c>
      <c r="AI356" s="2" t="s">
        <v>9</v>
      </c>
      <c r="AJ356" s="2" t="s">
        <v>1544</v>
      </c>
      <c r="AL356" s="2" t="s">
        <v>680</v>
      </c>
      <c r="AM356" s="2" t="s">
        <v>709</v>
      </c>
      <c r="AN356" s="2" t="s">
        <v>952</v>
      </c>
      <c r="AO356" s="2">
        <v>0.91899258299999997</v>
      </c>
      <c r="AP356" s="2" t="s">
        <v>4673</v>
      </c>
      <c r="AQ356" s="2" t="s">
        <v>4469</v>
      </c>
      <c r="AR356" s="2" t="s">
        <v>4638</v>
      </c>
      <c r="AT356" s="765"/>
      <c r="AU356" s="765"/>
      <c r="AV356" s="765"/>
      <c r="AW356" s="765"/>
    </row>
    <row r="357" spans="1:49" x14ac:dyDescent="0.25">
      <c r="A357" s="23" t="s">
        <v>4805</v>
      </c>
      <c r="B357" s="108" t="s">
        <v>684</v>
      </c>
      <c r="C357" s="108" t="s">
        <v>1903</v>
      </c>
      <c r="D357" s="108" t="s">
        <v>4806</v>
      </c>
      <c r="E357" s="108" t="s">
        <v>4807</v>
      </c>
      <c r="F357" s="114" t="s">
        <v>694</v>
      </c>
      <c r="G357" s="213" t="s">
        <v>4808</v>
      </c>
      <c r="H357" s="115" t="s">
        <v>4809</v>
      </c>
      <c r="I357" s="213">
        <v>55966932.18</v>
      </c>
      <c r="J357" s="109">
        <v>0.89866999999999997</v>
      </c>
      <c r="K357" s="109" t="s">
        <v>695</v>
      </c>
      <c r="L357" s="115">
        <v>0.96040999729999998</v>
      </c>
      <c r="M357" s="115">
        <v>0</v>
      </c>
      <c r="N357" s="115">
        <v>0</v>
      </c>
      <c r="O357" s="214">
        <v>7.489E-3</v>
      </c>
      <c r="P357" s="115">
        <v>7.9671000000000003</v>
      </c>
      <c r="Q357" s="769"/>
      <c r="R357" s="216"/>
      <c r="S357" s="216">
        <v>7.9671000000000003</v>
      </c>
      <c r="T357" s="216">
        <v>2</v>
      </c>
      <c r="U357" s="216"/>
      <c r="V357" s="115"/>
      <c r="W357" s="109">
        <v>85</v>
      </c>
      <c r="X357" s="109"/>
      <c r="Y357" s="109" t="s">
        <v>3814</v>
      </c>
      <c r="Z357" s="109">
        <v>8.0327793293442866</v>
      </c>
      <c r="AA357" s="109"/>
      <c r="AB357" s="109" t="s">
        <v>2834</v>
      </c>
      <c r="AC357" s="109" t="s">
        <v>1268</v>
      </c>
      <c r="AD357" s="765" t="s">
        <v>249</v>
      </c>
      <c r="AE357" s="765" t="s">
        <v>7</v>
      </c>
      <c r="AF357" s="765"/>
      <c r="AG357" s="765" t="s">
        <v>1062</v>
      </c>
      <c r="AH357" s="109"/>
      <c r="AI357" s="2" t="s">
        <v>7</v>
      </c>
      <c r="AL357" s="2" t="s">
        <v>680</v>
      </c>
      <c r="AM357" s="2" t="s">
        <v>709</v>
      </c>
      <c r="AN357" s="2" t="s">
        <v>952</v>
      </c>
      <c r="AO357" s="2">
        <v>0.96930531200000003</v>
      </c>
      <c r="AP357" s="2" t="s">
        <v>4666</v>
      </c>
      <c r="AQ357" s="2" t="s">
        <v>4469</v>
      </c>
      <c r="AR357" s="2" t="s">
        <v>4638</v>
      </c>
      <c r="AT357" s="765"/>
      <c r="AU357" s="765"/>
      <c r="AV357" s="765"/>
      <c r="AW357" s="765"/>
    </row>
    <row r="358" spans="1:49" x14ac:dyDescent="0.25">
      <c r="A358" s="23" t="s">
        <v>5041</v>
      </c>
      <c r="B358" s="108" t="s">
        <v>684</v>
      </c>
      <c r="C358" s="108" t="s">
        <v>1903</v>
      </c>
      <c r="D358" s="108" t="s">
        <v>4845</v>
      </c>
      <c r="E358" s="108" t="s">
        <v>5132</v>
      </c>
      <c r="F358" s="114" t="s">
        <v>694</v>
      </c>
      <c r="G358" s="213" t="s">
        <v>3202</v>
      </c>
      <c r="H358" s="115" t="s">
        <v>4847</v>
      </c>
      <c r="I358" s="213">
        <v>27705752.84</v>
      </c>
      <c r="J358" s="109">
        <v>0.74866999999999995</v>
      </c>
      <c r="K358" s="109" t="s">
        <v>695</v>
      </c>
      <c r="L358" s="115">
        <v>0.90993670650000003</v>
      </c>
      <c r="M358" s="115">
        <v>0</v>
      </c>
      <c r="N358" s="115">
        <v>0</v>
      </c>
      <c r="O358" s="214">
        <v>6.2389999999999998E-3</v>
      </c>
      <c r="P358" s="115">
        <v>11.009499999999999</v>
      </c>
      <c r="Q358" s="769"/>
      <c r="R358" s="216"/>
      <c r="S358" s="216">
        <v>11.009499999999999</v>
      </c>
      <c r="T358" s="216">
        <v>3</v>
      </c>
      <c r="U358" s="216"/>
      <c r="V358" s="115"/>
      <c r="W358" s="109">
        <v>70</v>
      </c>
      <c r="X358" s="109"/>
      <c r="Y358" s="109" t="s">
        <v>3814</v>
      </c>
      <c r="Z358" s="109">
        <v>4.3724073935521126</v>
      </c>
      <c r="AA358" s="109">
        <v>7.0705337176024452</v>
      </c>
      <c r="AB358" s="109" t="s">
        <v>2028</v>
      </c>
      <c r="AC358" s="109" t="s">
        <v>252</v>
      </c>
      <c r="AD358" s="765" t="s">
        <v>2856</v>
      </c>
      <c r="AE358" s="765" t="s">
        <v>7</v>
      </c>
      <c r="AF358" s="765"/>
      <c r="AG358" s="765" t="s">
        <v>1062</v>
      </c>
      <c r="AH358" s="109" t="s">
        <v>7</v>
      </c>
      <c r="AL358" s="2" t="s">
        <v>680</v>
      </c>
      <c r="AM358" s="2" t="s">
        <v>709</v>
      </c>
      <c r="AN358" s="2" t="s">
        <v>952</v>
      </c>
      <c r="AO358" s="2">
        <v>0.91523014800000002</v>
      </c>
      <c r="AP358" s="2" t="s">
        <v>4666</v>
      </c>
      <c r="AQ358" s="2" t="s">
        <v>4469</v>
      </c>
      <c r="AR358" s="2" t="s">
        <v>4638</v>
      </c>
      <c r="AT358" s="765"/>
      <c r="AU358" s="765"/>
      <c r="AV358" s="765"/>
      <c r="AW358" s="765"/>
    </row>
    <row r="359" spans="1:49" x14ac:dyDescent="0.25">
      <c r="A359" s="23" t="s">
        <v>4841</v>
      </c>
      <c r="B359" s="108" t="s">
        <v>2245</v>
      </c>
      <c r="C359" s="108" t="s">
        <v>1903</v>
      </c>
      <c r="D359" s="108" t="s">
        <v>4845</v>
      </c>
      <c r="E359" s="108" t="s">
        <v>4846</v>
      </c>
      <c r="F359" s="114" t="s">
        <v>694</v>
      </c>
      <c r="G359" s="213" t="s">
        <v>2832</v>
      </c>
      <c r="H359" s="115" t="s">
        <v>4847</v>
      </c>
      <c r="I359" s="213">
        <v>42578668.310000002</v>
      </c>
      <c r="J359" s="109">
        <v>0.2</v>
      </c>
      <c r="K359" s="109" t="s">
        <v>696</v>
      </c>
      <c r="L359" s="115">
        <v>0.90993670660000003</v>
      </c>
      <c r="M359" s="115">
        <v>0</v>
      </c>
      <c r="N359" s="115">
        <v>0</v>
      </c>
      <c r="O359" s="214">
        <v>1.4999999999999999E-2</v>
      </c>
      <c r="P359" s="115">
        <v>11.009499999999999</v>
      </c>
      <c r="Q359" s="769"/>
      <c r="R359" s="216"/>
      <c r="S359" s="216">
        <v>11.009499999999999</v>
      </c>
      <c r="T359" s="216">
        <v>27</v>
      </c>
      <c r="U359" s="216"/>
      <c r="V359" s="115"/>
      <c r="W359" s="109"/>
      <c r="X359" s="109"/>
      <c r="Y359" s="109" t="s">
        <v>4848</v>
      </c>
      <c r="Z359" s="109">
        <v>4.3724073935521126</v>
      </c>
      <c r="AA359" s="109">
        <v>7.0705337176024452</v>
      </c>
      <c r="AB359" s="109" t="s">
        <v>2028</v>
      </c>
      <c r="AC359" s="109" t="s">
        <v>252</v>
      </c>
      <c r="AD359" s="765" t="s">
        <v>2856</v>
      </c>
      <c r="AE359" s="765" t="s">
        <v>7</v>
      </c>
      <c r="AF359" s="765"/>
      <c r="AG359" s="765" t="s">
        <v>1628</v>
      </c>
      <c r="AH359" s="109" t="s">
        <v>7</v>
      </c>
      <c r="AL359" s="2" t="s">
        <v>680</v>
      </c>
      <c r="AM359" s="2" t="s">
        <v>3423</v>
      </c>
      <c r="AN359" s="2" t="s">
        <v>952</v>
      </c>
      <c r="AO359" s="2">
        <v>0.91523014800000002</v>
      </c>
      <c r="AP359" s="2" t="s">
        <v>4673</v>
      </c>
      <c r="AQ359" s="2" t="s">
        <v>4469</v>
      </c>
      <c r="AR359" s="2" t="s">
        <v>4638</v>
      </c>
      <c r="AT359" s="765"/>
      <c r="AU359" s="765"/>
      <c r="AV359" s="765"/>
      <c r="AW359" s="765"/>
    </row>
    <row r="360" spans="1:49" x14ac:dyDescent="0.25">
      <c r="A360" s="23" t="s">
        <v>4397</v>
      </c>
      <c r="B360" s="108" t="s">
        <v>526</v>
      </c>
      <c r="C360" s="108" t="s">
        <v>4398</v>
      </c>
      <c r="D360" s="108" t="s">
        <v>2098</v>
      </c>
      <c r="E360" s="108" t="s">
        <v>4399</v>
      </c>
      <c r="F360" s="114" t="s">
        <v>698</v>
      </c>
      <c r="G360" s="213" t="s">
        <v>4473</v>
      </c>
      <c r="H360" s="115" t="s">
        <v>4400</v>
      </c>
      <c r="I360" s="213">
        <v>225000000</v>
      </c>
      <c r="J360" s="109">
        <v>6.93</v>
      </c>
      <c r="K360" s="109" t="s">
        <v>696</v>
      </c>
      <c r="L360" s="115">
        <v>1</v>
      </c>
      <c r="M360" s="115">
        <v>0</v>
      </c>
      <c r="N360" s="115">
        <v>0</v>
      </c>
      <c r="O360" s="214">
        <v>5.7750000000000003E-2</v>
      </c>
      <c r="P360" s="115">
        <v>4.6528</v>
      </c>
      <c r="Q360" s="769"/>
      <c r="R360" s="216"/>
      <c r="S360" s="216">
        <v>4.6528</v>
      </c>
      <c r="T360" s="216">
        <v>3</v>
      </c>
      <c r="U360" s="216"/>
      <c r="V360" s="115"/>
      <c r="W360" s="109"/>
      <c r="X360" s="109"/>
      <c r="Y360" s="109" t="s">
        <v>663</v>
      </c>
      <c r="Z360" s="109"/>
      <c r="AA360" s="109"/>
      <c r="AB360" s="109"/>
      <c r="AC360" s="109"/>
      <c r="AD360" s="765"/>
      <c r="AE360" s="765" t="s">
        <v>13</v>
      </c>
      <c r="AF360" s="765"/>
      <c r="AG360" s="765"/>
      <c r="AH360" s="109"/>
      <c r="AI360" s="2" t="s">
        <v>5</v>
      </c>
      <c r="AL360" s="2" t="s">
        <v>680</v>
      </c>
      <c r="AM360" s="2" t="s">
        <v>710</v>
      </c>
      <c r="AN360" s="2" t="s">
        <v>952</v>
      </c>
      <c r="AO360" s="2">
        <v>1</v>
      </c>
      <c r="AP360" s="2" t="s">
        <v>4673</v>
      </c>
      <c r="AQ360" s="2" t="s">
        <v>4469</v>
      </c>
      <c r="AR360" s="2" t="s">
        <v>4638</v>
      </c>
      <c r="AT360" s="765"/>
      <c r="AU360" s="765"/>
      <c r="AV360" s="765"/>
      <c r="AW360" s="765"/>
    </row>
    <row r="361" spans="1:49" x14ac:dyDescent="0.25">
      <c r="A361" s="23" t="s">
        <v>3577</v>
      </c>
      <c r="B361" s="108" t="s">
        <v>526</v>
      </c>
      <c r="C361" s="108" t="s">
        <v>3578</v>
      </c>
      <c r="D361" s="108" t="s">
        <v>2098</v>
      </c>
      <c r="E361" s="108" t="s">
        <v>3579</v>
      </c>
      <c r="F361" s="114" t="s">
        <v>698</v>
      </c>
      <c r="G361" s="213" t="s">
        <v>3726</v>
      </c>
      <c r="H361" s="115" t="s">
        <v>3727</v>
      </c>
      <c r="I361" s="213">
        <v>184999309</v>
      </c>
      <c r="J361" s="109">
        <v>3.8570000000000002</v>
      </c>
      <c r="K361" s="109" t="s">
        <v>696</v>
      </c>
      <c r="L361" s="115">
        <v>0.98961038940000001</v>
      </c>
      <c r="M361" s="115">
        <v>0</v>
      </c>
      <c r="N361" s="115">
        <v>0</v>
      </c>
      <c r="O361" s="214">
        <v>0.62140600000000001</v>
      </c>
      <c r="P361" s="115">
        <v>2.0589</v>
      </c>
      <c r="Q361" s="769"/>
      <c r="R361" s="216"/>
      <c r="S361" s="216">
        <v>2.0589</v>
      </c>
      <c r="T361" s="216">
        <v>58</v>
      </c>
      <c r="U361" s="216"/>
      <c r="V361" s="115"/>
      <c r="W361" s="109"/>
      <c r="X361" s="109"/>
      <c r="Y361" s="109" t="s">
        <v>662</v>
      </c>
      <c r="Z361" s="109"/>
      <c r="AA361" s="109"/>
      <c r="AB361" s="109"/>
      <c r="AC361" s="109"/>
      <c r="AD361" s="765"/>
      <c r="AE361" s="765" t="s">
        <v>10</v>
      </c>
      <c r="AF361" s="765" t="s">
        <v>10</v>
      </c>
      <c r="AG361" s="765"/>
      <c r="AH361" s="109"/>
      <c r="AI361" s="2" t="s">
        <v>10</v>
      </c>
      <c r="AL361" s="2" t="s">
        <v>680</v>
      </c>
      <c r="AM361" s="2" t="s">
        <v>2897</v>
      </c>
      <c r="AN361" s="2" t="s">
        <v>952</v>
      </c>
      <c r="AO361" s="2">
        <v>0.99220779199999998</v>
      </c>
      <c r="AP361" s="2" t="s">
        <v>4673</v>
      </c>
      <c r="AQ361" s="2" t="s">
        <v>3898</v>
      </c>
      <c r="AR361" s="2" t="s">
        <v>4718</v>
      </c>
      <c r="AT361" s="765"/>
      <c r="AU361" s="765"/>
      <c r="AV361" s="765"/>
      <c r="AW361" s="765"/>
    </row>
    <row r="362" spans="1:49" x14ac:dyDescent="0.25">
      <c r="A362" s="23" t="s">
        <v>5047</v>
      </c>
      <c r="B362" s="108" t="s">
        <v>684</v>
      </c>
      <c r="C362" s="108" t="s">
        <v>1729</v>
      </c>
      <c r="D362" s="108" t="s">
        <v>3815</v>
      </c>
      <c r="E362" s="108" t="s">
        <v>5133</v>
      </c>
      <c r="F362" s="114" t="s">
        <v>694</v>
      </c>
      <c r="G362" s="213" t="s">
        <v>5134</v>
      </c>
      <c r="H362" s="115" t="s">
        <v>5135</v>
      </c>
      <c r="I362" s="213">
        <v>287000000</v>
      </c>
      <c r="J362" s="109">
        <v>1.899</v>
      </c>
      <c r="K362" s="109" t="s">
        <v>695</v>
      </c>
      <c r="L362" s="115">
        <v>1</v>
      </c>
      <c r="M362" s="115">
        <v>94.646652000000003</v>
      </c>
      <c r="N362" s="115">
        <v>94.775761000000003</v>
      </c>
      <c r="O362" s="214">
        <v>1.5824999999999999E-2</v>
      </c>
      <c r="P362" s="115">
        <v>4.0205000000000002</v>
      </c>
      <c r="Q362" s="769">
        <v>0.40112304166000001</v>
      </c>
      <c r="R362" s="216"/>
      <c r="S362" s="216">
        <v>0.40112304166000001</v>
      </c>
      <c r="T362" s="216">
        <v>3</v>
      </c>
      <c r="U362" s="216">
        <v>3.298</v>
      </c>
      <c r="V362" s="115">
        <v>80.389280604489997</v>
      </c>
      <c r="W362" s="109">
        <v>180</v>
      </c>
      <c r="X362" s="109">
        <v>252.21254923219999</v>
      </c>
      <c r="Y362" s="109" t="s">
        <v>5136</v>
      </c>
      <c r="Z362" s="109">
        <v>8.6673187172320194</v>
      </c>
      <c r="AA362" s="109"/>
      <c r="AB362" s="109" t="s">
        <v>242</v>
      </c>
      <c r="AC362" s="109" t="s">
        <v>1192</v>
      </c>
      <c r="AD362" s="765" t="s">
        <v>252</v>
      </c>
      <c r="AE362" s="765" t="s">
        <v>10</v>
      </c>
      <c r="AF362" s="765" t="s">
        <v>20</v>
      </c>
      <c r="AG362" s="765"/>
      <c r="AH362" s="109"/>
      <c r="AJ362" s="2" t="s">
        <v>2638</v>
      </c>
      <c r="AL362" s="2" t="s">
        <v>680</v>
      </c>
      <c r="AM362" s="2" t="s">
        <v>1736</v>
      </c>
      <c r="AN362" s="2" t="s">
        <v>952</v>
      </c>
      <c r="AO362" s="2">
        <v>1</v>
      </c>
      <c r="AP362" s="2" t="s">
        <v>4666</v>
      </c>
      <c r="AQ362" s="2" t="s">
        <v>4469</v>
      </c>
      <c r="AR362" s="2" t="s">
        <v>4638</v>
      </c>
      <c r="AT362" s="765"/>
      <c r="AU362" s="765"/>
      <c r="AV362" s="765"/>
      <c r="AW362" s="765"/>
    </row>
    <row r="363" spans="1:49" x14ac:dyDescent="0.25">
      <c r="A363" s="23" t="s">
        <v>4409</v>
      </c>
      <c r="B363" s="108" t="s">
        <v>684</v>
      </c>
      <c r="C363" s="108" t="s">
        <v>1729</v>
      </c>
      <c r="D363" s="108" t="s">
        <v>4410</v>
      </c>
      <c r="E363" s="108" t="s">
        <v>4411</v>
      </c>
      <c r="F363" s="114" t="s">
        <v>694</v>
      </c>
      <c r="G363" s="213" t="s">
        <v>4474</v>
      </c>
      <c r="H363" s="115" t="s">
        <v>3895</v>
      </c>
      <c r="I363" s="213">
        <v>210111620.22999999</v>
      </c>
      <c r="J363" s="109">
        <v>2.50657</v>
      </c>
      <c r="K363" s="109" t="s">
        <v>695</v>
      </c>
      <c r="L363" s="115">
        <v>0.53874774420000004</v>
      </c>
      <c r="M363" s="115">
        <v>99.868003999999999</v>
      </c>
      <c r="N363" s="115">
        <v>99.898514000000006</v>
      </c>
      <c r="O363" s="214">
        <v>2.0888E-2</v>
      </c>
      <c r="P363" s="115">
        <v>0.86619999999999997</v>
      </c>
      <c r="Q363" s="769">
        <v>0.27905368979</v>
      </c>
      <c r="R363" s="216"/>
      <c r="S363" s="216">
        <v>0.27905368979</v>
      </c>
      <c r="T363" s="216">
        <v>3</v>
      </c>
      <c r="U363" s="216">
        <v>2.6619999999999999</v>
      </c>
      <c r="V363" s="115">
        <v>119.74990825895</v>
      </c>
      <c r="W363" s="109">
        <v>205</v>
      </c>
      <c r="X363" s="109">
        <v>218.97936420932999</v>
      </c>
      <c r="Y363" s="109" t="s">
        <v>2113</v>
      </c>
      <c r="Z363" s="109">
        <v>29.550524894889421</v>
      </c>
      <c r="AA363" s="109">
        <v>37.873015577719627</v>
      </c>
      <c r="AB363" s="109" t="s">
        <v>1348</v>
      </c>
      <c r="AC363" s="109" t="s">
        <v>251</v>
      </c>
      <c r="AD363" s="765" t="s">
        <v>254</v>
      </c>
      <c r="AE363" s="765" t="s">
        <v>9</v>
      </c>
      <c r="AF363" s="765" t="s">
        <v>18</v>
      </c>
      <c r="AG363" s="765"/>
      <c r="AH363" s="109"/>
      <c r="AJ363" s="2" t="s">
        <v>1544</v>
      </c>
      <c r="AL363" s="2" t="s">
        <v>680</v>
      </c>
      <c r="AM363" s="2" t="s">
        <v>1736</v>
      </c>
      <c r="AN363" s="2" t="s">
        <v>952</v>
      </c>
      <c r="AO363" s="2">
        <v>0.57293398200000001</v>
      </c>
      <c r="AP363" s="2" t="s">
        <v>4673</v>
      </c>
      <c r="AQ363" s="2" t="s">
        <v>4469</v>
      </c>
      <c r="AR363" s="2" t="s">
        <v>4638</v>
      </c>
      <c r="AT363" s="765"/>
      <c r="AU363" s="765"/>
      <c r="AV363" s="765"/>
      <c r="AW363" s="765"/>
    </row>
    <row r="364" spans="1:49" x14ac:dyDescent="0.25">
      <c r="A364" s="23" t="s">
        <v>1804</v>
      </c>
      <c r="B364" s="108" t="s">
        <v>797</v>
      </c>
      <c r="C364" s="108" t="s">
        <v>158</v>
      </c>
      <c r="D364" s="108" t="s">
        <v>1803</v>
      </c>
      <c r="E364" s="108" t="s">
        <v>1805</v>
      </c>
      <c r="F364" s="114" t="s">
        <v>694</v>
      </c>
      <c r="G364" s="213" t="s">
        <v>1806</v>
      </c>
      <c r="H364" s="115" t="s">
        <v>1807</v>
      </c>
      <c r="I364" s="213">
        <v>5550924.4400000004</v>
      </c>
      <c r="J364" s="109">
        <v>4.6269999999999998</v>
      </c>
      <c r="K364" s="109" t="s">
        <v>696</v>
      </c>
      <c r="L364" s="115">
        <v>0.57287429000000001</v>
      </c>
      <c r="M364" s="115">
        <v>101.730118</v>
      </c>
      <c r="N364" s="115">
        <v>101.75429200000001</v>
      </c>
      <c r="O364" s="214">
        <v>0.34702499999999997</v>
      </c>
      <c r="P364" s="115">
        <v>1.0781000000000001</v>
      </c>
      <c r="Q364" s="769">
        <v>0.95767332878</v>
      </c>
      <c r="R364" s="216"/>
      <c r="S364" s="216">
        <v>0.95767332878</v>
      </c>
      <c r="T364" s="216">
        <v>27</v>
      </c>
      <c r="U364" s="216">
        <v>2.7370000000000001</v>
      </c>
      <c r="V364" s="115">
        <v>101.03837038205</v>
      </c>
      <c r="W364" s="109"/>
      <c r="X364" s="109">
        <v>65.317399446229999</v>
      </c>
      <c r="Y364" s="109"/>
      <c r="Z364" s="109">
        <v>0</v>
      </c>
      <c r="AA364" s="109">
        <v>7.9502489168584489</v>
      </c>
      <c r="AB364" s="109" t="s">
        <v>3728</v>
      </c>
      <c r="AC364" s="109" t="s">
        <v>3729</v>
      </c>
      <c r="AD364" s="765" t="s">
        <v>3204</v>
      </c>
      <c r="AE364" s="765" t="s">
        <v>625</v>
      </c>
      <c r="AF364" s="765"/>
      <c r="AG364" s="765"/>
      <c r="AH364" s="109"/>
      <c r="AL364" s="2" t="s">
        <v>679</v>
      </c>
      <c r="AM364" s="2" t="s">
        <v>1086</v>
      </c>
      <c r="AN364" s="2" t="s">
        <v>952</v>
      </c>
      <c r="AO364" s="2">
        <v>0.57067387000000003</v>
      </c>
      <c r="AP364" s="2" t="s">
        <v>4673</v>
      </c>
      <c r="AQ364" s="2" t="s">
        <v>4668</v>
      </c>
      <c r="AR364" s="2" t="s">
        <v>3969</v>
      </c>
      <c r="AT364" s="765"/>
      <c r="AU364" s="765"/>
      <c r="AV364" s="765"/>
      <c r="AW364" s="765"/>
    </row>
    <row r="365" spans="1:49" x14ac:dyDescent="0.25">
      <c r="A365" s="23" t="s">
        <v>1456</v>
      </c>
      <c r="B365" s="108" t="s">
        <v>797</v>
      </c>
      <c r="C365" s="108" t="s">
        <v>158</v>
      </c>
      <c r="D365" s="108" t="s">
        <v>1072</v>
      </c>
      <c r="E365" s="108" t="s">
        <v>1457</v>
      </c>
      <c r="F365" s="114" t="s">
        <v>694</v>
      </c>
      <c r="G365" s="213" t="s">
        <v>1301</v>
      </c>
      <c r="H365" s="115" t="s">
        <v>1458</v>
      </c>
      <c r="I365" s="213">
        <v>348564.51</v>
      </c>
      <c r="J365" s="109">
        <v>3</v>
      </c>
      <c r="K365" s="109" t="s">
        <v>696</v>
      </c>
      <c r="L365" s="115">
        <v>6.6872749999999995E-2</v>
      </c>
      <c r="M365" s="115">
        <v>99.561035000000004</v>
      </c>
      <c r="N365" s="115">
        <v>99.592285000000004</v>
      </c>
      <c r="O365" s="214">
        <v>0.22500000000000001</v>
      </c>
      <c r="P365" s="115">
        <v>2.5867</v>
      </c>
      <c r="Q365" s="769">
        <v>2.1452852015400001</v>
      </c>
      <c r="R365" s="216"/>
      <c r="S365" s="216">
        <v>2.1452852015400001</v>
      </c>
      <c r="T365" s="216">
        <v>26</v>
      </c>
      <c r="U365" s="216">
        <v>3.1349999999999998</v>
      </c>
      <c r="V365" s="115">
        <v>63.949289826979999</v>
      </c>
      <c r="W365" s="109"/>
      <c r="X365" s="109">
        <v>63.920033889960003</v>
      </c>
      <c r="Y365" s="109"/>
      <c r="Z365" s="109">
        <v>-1.109050016045998E-4</v>
      </c>
      <c r="AA365" s="109">
        <v>1.508779757797285E-5</v>
      </c>
      <c r="AB365" s="109" t="s">
        <v>2401</v>
      </c>
      <c r="AC365" s="109"/>
      <c r="AD365" s="765"/>
      <c r="AE365" s="765" t="s">
        <v>625</v>
      </c>
      <c r="AF365" s="765"/>
      <c r="AG365" s="765"/>
      <c r="AH365" s="109"/>
      <c r="AL365" s="2" t="s">
        <v>679</v>
      </c>
      <c r="AM365" s="2" t="s">
        <v>1086</v>
      </c>
      <c r="AN365" s="2" t="s">
        <v>952</v>
      </c>
      <c r="AO365" s="2">
        <v>6.7693680000000006E-2</v>
      </c>
      <c r="AP365" s="2" t="s">
        <v>4673</v>
      </c>
      <c r="AQ365" s="2" t="s">
        <v>4668</v>
      </c>
      <c r="AR365" s="2" t="s">
        <v>4819</v>
      </c>
      <c r="AT365" s="765"/>
      <c r="AU365" s="765"/>
      <c r="AV365" s="765"/>
      <c r="AW365" s="765"/>
    </row>
    <row r="366" spans="1:49" x14ac:dyDescent="0.25">
      <c r="A366" s="23" t="s">
        <v>1459</v>
      </c>
      <c r="B366" s="108" t="s">
        <v>144</v>
      </c>
      <c r="C366" s="108" t="s">
        <v>158</v>
      </c>
      <c r="D366" s="108" t="s">
        <v>1460</v>
      </c>
      <c r="E366" s="108" t="s">
        <v>1461</v>
      </c>
      <c r="F366" s="114" t="s">
        <v>694</v>
      </c>
      <c r="G366" s="213" t="s">
        <v>1462</v>
      </c>
      <c r="H366" s="115" t="s">
        <v>1463</v>
      </c>
      <c r="I366" s="213">
        <v>7564611.46</v>
      </c>
      <c r="J366" s="109">
        <v>1.625</v>
      </c>
      <c r="K366" s="109" t="s">
        <v>695</v>
      </c>
      <c r="L366" s="115">
        <v>4.2017619999999999E-2</v>
      </c>
      <c r="M366" s="115">
        <v>103.189804</v>
      </c>
      <c r="N366" s="115">
        <v>103.279678</v>
      </c>
      <c r="O366" s="214">
        <v>0.121875</v>
      </c>
      <c r="P366" s="115">
        <v>2.5842000000000001</v>
      </c>
      <c r="Q366" s="769">
        <v>2.1072473457499998</v>
      </c>
      <c r="R366" s="216"/>
      <c r="S366" s="216">
        <v>2.1072473457499998</v>
      </c>
      <c r="T366" s="216">
        <v>27</v>
      </c>
      <c r="U366" s="216">
        <v>1.4119999999999999</v>
      </c>
      <c r="V366" s="115">
        <v>-108.29117586357</v>
      </c>
      <c r="W366" s="109">
        <v>150</v>
      </c>
      <c r="X366" s="109">
        <v>-22.59033192239</v>
      </c>
      <c r="Y366" s="109"/>
      <c r="Z366" s="109">
        <v>25.567500095650448</v>
      </c>
      <c r="AA366" s="109">
        <v>29.55346517426295</v>
      </c>
      <c r="AB366" s="109" t="s">
        <v>2269</v>
      </c>
      <c r="AC366" s="109" t="s">
        <v>4719</v>
      </c>
      <c r="AD366" s="765" t="s">
        <v>2428</v>
      </c>
      <c r="AE366" s="765" t="s">
        <v>625</v>
      </c>
      <c r="AF366" s="765"/>
      <c r="AG366" s="765"/>
      <c r="AH366" s="109"/>
      <c r="AL366" s="2" t="s">
        <v>679</v>
      </c>
      <c r="AM366" s="2" t="s">
        <v>1464</v>
      </c>
      <c r="AN366" s="2" t="s">
        <v>952</v>
      </c>
      <c r="AO366" s="2">
        <v>4.3198790000000001E-2</v>
      </c>
      <c r="AP366" s="2" t="s">
        <v>4673</v>
      </c>
      <c r="AQ366" s="2" t="s">
        <v>4668</v>
      </c>
      <c r="AR366" s="2" t="s">
        <v>4819</v>
      </c>
      <c r="AT366" s="765"/>
      <c r="AU366" s="765"/>
      <c r="AV366" s="765"/>
      <c r="AW366" s="765"/>
    </row>
    <row r="367" spans="1:49" x14ac:dyDescent="0.25">
      <c r="A367" s="23" t="s">
        <v>277</v>
      </c>
      <c r="B367" s="108" t="s">
        <v>144</v>
      </c>
      <c r="C367" s="108" t="s">
        <v>158</v>
      </c>
      <c r="D367" s="108" t="s">
        <v>1465</v>
      </c>
      <c r="E367" s="108" t="s">
        <v>1466</v>
      </c>
      <c r="F367" s="114" t="s">
        <v>694</v>
      </c>
      <c r="G367" s="213" t="s">
        <v>1467</v>
      </c>
      <c r="H367" s="115" t="s">
        <v>1468</v>
      </c>
      <c r="I367" s="213">
        <v>369147.46</v>
      </c>
      <c r="J367" s="109">
        <v>1.5</v>
      </c>
      <c r="K367" s="109" t="s">
        <v>695</v>
      </c>
      <c r="L367" s="115">
        <v>0.60450572000000002</v>
      </c>
      <c r="M367" s="115">
        <v>102.649376</v>
      </c>
      <c r="N367" s="115">
        <v>102.738686</v>
      </c>
      <c r="O367" s="214">
        <v>0.1125</v>
      </c>
      <c r="P367" s="115">
        <v>12.277100000000001</v>
      </c>
      <c r="Q367" s="769">
        <v>0.32139606299000001</v>
      </c>
      <c r="R367" s="216"/>
      <c r="S367" s="216">
        <v>0.32139606299000001</v>
      </c>
      <c r="T367" s="216">
        <v>26</v>
      </c>
      <c r="U367" s="216">
        <v>2.83</v>
      </c>
      <c r="V367" s="115">
        <v>27.84609749574</v>
      </c>
      <c r="W367" s="109">
        <v>150</v>
      </c>
      <c r="X367" s="109">
        <v>-511.02037863323</v>
      </c>
      <c r="Y367" s="109"/>
      <c r="Z367" s="109">
        <v>1.095114529360941</v>
      </c>
      <c r="AA367" s="109">
        <v>0.18336059480953401</v>
      </c>
      <c r="AB367" s="109" t="s">
        <v>2625</v>
      </c>
      <c r="AC367" s="109"/>
      <c r="AD367" s="765"/>
      <c r="AE367" s="765" t="s">
        <v>625</v>
      </c>
      <c r="AF367" s="765"/>
      <c r="AG367" s="765"/>
      <c r="AH367" s="109"/>
      <c r="AL367" s="2" t="s">
        <v>679</v>
      </c>
      <c r="AM367" s="2" t="s">
        <v>1464</v>
      </c>
      <c r="AN367" s="2" t="s">
        <v>952</v>
      </c>
      <c r="AO367" s="2">
        <v>0.60687555999999998</v>
      </c>
      <c r="AP367" s="2" t="s">
        <v>4673</v>
      </c>
      <c r="AQ367" s="2" t="s">
        <v>4668</v>
      </c>
      <c r="AR367" s="2" t="s">
        <v>4819</v>
      </c>
      <c r="AT367" s="765"/>
      <c r="AU367" s="765"/>
      <c r="AV367" s="765"/>
      <c r="AW367" s="765"/>
    </row>
    <row r="368" spans="1:49" x14ac:dyDescent="0.25">
      <c r="A368" s="23" t="s">
        <v>278</v>
      </c>
      <c r="B368" s="108" t="s">
        <v>147</v>
      </c>
      <c r="C368" s="108" t="s">
        <v>158</v>
      </c>
      <c r="D368" s="108" t="s">
        <v>1469</v>
      </c>
      <c r="E368" s="108" t="s">
        <v>1470</v>
      </c>
      <c r="F368" s="114" t="s">
        <v>694</v>
      </c>
      <c r="G368" s="213" t="s">
        <v>1152</v>
      </c>
      <c r="H368" s="115" t="s">
        <v>1471</v>
      </c>
      <c r="I368" s="213">
        <v>452084.51</v>
      </c>
      <c r="J368" s="109">
        <v>4</v>
      </c>
      <c r="K368" s="109" t="s">
        <v>696</v>
      </c>
      <c r="L368" s="115">
        <v>0.10116116999999999</v>
      </c>
      <c r="M368" s="115">
        <v>102.796753</v>
      </c>
      <c r="N368" s="115">
        <v>102.890182</v>
      </c>
      <c r="O368" s="214">
        <v>0.3</v>
      </c>
      <c r="P368" s="115">
        <v>1.6437999999999999</v>
      </c>
      <c r="Q368" s="769">
        <v>1.68328468686</v>
      </c>
      <c r="R368" s="216"/>
      <c r="S368" s="216">
        <v>1.68328468686</v>
      </c>
      <c r="T368" s="216">
        <v>26</v>
      </c>
      <c r="U368" s="216">
        <v>2.133</v>
      </c>
      <c r="V368" s="115">
        <v>-0.34476831949999998</v>
      </c>
      <c r="W368" s="109"/>
      <c r="X368" s="109">
        <v>-21.25251572693</v>
      </c>
      <c r="Y368" s="109"/>
      <c r="Z368" s="109">
        <v>18.218944259467449</v>
      </c>
      <c r="AA368" s="109">
        <v>26.895447635014872</v>
      </c>
      <c r="AB368" s="109" t="s">
        <v>4720</v>
      </c>
      <c r="AC368" s="109" t="s">
        <v>3486</v>
      </c>
      <c r="AD368" s="765" t="s">
        <v>2937</v>
      </c>
      <c r="AE368" s="765" t="s">
        <v>625</v>
      </c>
      <c r="AF368" s="765"/>
      <c r="AG368" s="765"/>
      <c r="AH368" s="109"/>
      <c r="AL368" s="2" t="s">
        <v>679</v>
      </c>
      <c r="AM368" s="2" t="s">
        <v>1086</v>
      </c>
      <c r="AN368" s="2" t="s">
        <v>952</v>
      </c>
      <c r="AO368" s="2">
        <v>0.10491596</v>
      </c>
      <c r="AP368" s="2" t="s">
        <v>4673</v>
      </c>
      <c r="AQ368" s="2" t="s">
        <v>4668</v>
      </c>
      <c r="AR368" s="2" t="s">
        <v>4819</v>
      </c>
      <c r="AT368" s="765"/>
      <c r="AU368" s="765"/>
      <c r="AV368" s="765"/>
      <c r="AW368" s="765"/>
    </row>
    <row r="369" spans="1:49" x14ac:dyDescent="0.25">
      <c r="A369" s="23" t="s">
        <v>280</v>
      </c>
      <c r="B369" s="108" t="s">
        <v>147</v>
      </c>
      <c r="C369" s="108" t="s">
        <v>158</v>
      </c>
      <c r="D369" s="108" t="s">
        <v>1469</v>
      </c>
      <c r="E369" s="108" t="s">
        <v>1472</v>
      </c>
      <c r="F369" s="114" t="s">
        <v>694</v>
      </c>
      <c r="G369" s="213" t="s">
        <v>1336</v>
      </c>
      <c r="H369" s="115" t="s">
        <v>1473</v>
      </c>
      <c r="I369" s="213">
        <v>8086246.6100000003</v>
      </c>
      <c r="J369" s="109">
        <v>3.5</v>
      </c>
      <c r="K369" s="109" t="s">
        <v>696</v>
      </c>
      <c r="L369" s="115">
        <v>0.22028237000000001</v>
      </c>
      <c r="M369" s="115">
        <v>102.146484</v>
      </c>
      <c r="N369" s="115">
        <v>102.177734</v>
      </c>
      <c r="O369" s="214">
        <v>0.26250000000000001</v>
      </c>
      <c r="P369" s="115">
        <v>3.2143000000000002</v>
      </c>
      <c r="Q369" s="769">
        <v>2.8416089915699998</v>
      </c>
      <c r="R369" s="216"/>
      <c r="S369" s="216">
        <v>2.8416089915699998</v>
      </c>
      <c r="T369" s="216">
        <v>26</v>
      </c>
      <c r="U369" s="216">
        <v>2.74</v>
      </c>
      <c r="V369" s="115">
        <v>15.297987646139999</v>
      </c>
      <c r="W369" s="109"/>
      <c r="X369" s="109">
        <v>12.677111212490001</v>
      </c>
      <c r="Y369" s="109"/>
      <c r="Z369" s="109">
        <v>1.339770070878221</v>
      </c>
      <c r="AA369" s="109">
        <v>22.533420194516939</v>
      </c>
      <c r="AB369" s="109" t="s">
        <v>2858</v>
      </c>
      <c r="AC369" s="109" t="s">
        <v>246</v>
      </c>
      <c r="AD369" s="765" t="s">
        <v>1515</v>
      </c>
      <c r="AE369" s="765" t="s">
        <v>625</v>
      </c>
      <c r="AF369" s="765"/>
      <c r="AG369" s="765"/>
      <c r="AH369" s="109"/>
      <c r="AL369" s="2" t="s">
        <v>679</v>
      </c>
      <c r="AM369" s="2" t="s">
        <v>1086</v>
      </c>
      <c r="AN369" s="2" t="s">
        <v>952</v>
      </c>
      <c r="AO369" s="2">
        <v>0.22222976</v>
      </c>
      <c r="AP369" s="2" t="s">
        <v>4673</v>
      </c>
      <c r="AQ369" s="2" t="s">
        <v>4668</v>
      </c>
      <c r="AR369" s="2" t="s">
        <v>4819</v>
      </c>
      <c r="AT369" s="765"/>
      <c r="AU369" s="765"/>
      <c r="AV369" s="765"/>
      <c r="AW369" s="765"/>
    </row>
    <row r="370" spans="1:49" x14ac:dyDescent="0.25">
      <c r="A370" s="23" t="s">
        <v>282</v>
      </c>
      <c r="B370" s="108" t="s">
        <v>147</v>
      </c>
      <c r="C370" s="108" t="s">
        <v>158</v>
      </c>
      <c r="D370" s="108" t="s">
        <v>1469</v>
      </c>
      <c r="E370" s="108" t="s">
        <v>1474</v>
      </c>
      <c r="F370" s="114" t="s">
        <v>694</v>
      </c>
      <c r="G370" s="213" t="s">
        <v>1475</v>
      </c>
      <c r="H370" s="115" t="s">
        <v>1476</v>
      </c>
      <c r="I370" s="213">
        <v>32280019.98</v>
      </c>
      <c r="J370" s="109">
        <v>2.5</v>
      </c>
      <c r="K370" s="109" t="s">
        <v>696</v>
      </c>
      <c r="L370" s="115">
        <v>0.27708697999999998</v>
      </c>
      <c r="M370" s="115">
        <v>98.563782000000003</v>
      </c>
      <c r="N370" s="115">
        <v>98.595032000000003</v>
      </c>
      <c r="O370" s="214">
        <v>0.1875</v>
      </c>
      <c r="P370" s="115">
        <v>3.3048999999999999</v>
      </c>
      <c r="Q370" s="769">
        <v>3.11409958015</v>
      </c>
      <c r="R370" s="216"/>
      <c r="S370" s="216">
        <v>3.11409958015</v>
      </c>
      <c r="T370" s="216">
        <v>26</v>
      </c>
      <c r="U370" s="216">
        <v>2.9430000000000001</v>
      </c>
      <c r="V370" s="115">
        <v>35.5261150344</v>
      </c>
      <c r="W370" s="109"/>
      <c r="X370" s="109">
        <v>28.124201941220001</v>
      </c>
      <c r="Y370" s="109"/>
      <c r="Z370" s="109">
        <v>23.17302243523358</v>
      </c>
      <c r="AA370" s="109">
        <v>20.881437524206149</v>
      </c>
      <c r="AB370" s="109" t="s">
        <v>2252</v>
      </c>
      <c r="AC370" s="109" t="s">
        <v>255</v>
      </c>
      <c r="AD370" s="765" t="s">
        <v>2327</v>
      </c>
      <c r="AE370" s="765" t="s">
        <v>625</v>
      </c>
      <c r="AF370" s="765"/>
      <c r="AG370" s="765"/>
      <c r="AH370" s="109"/>
      <c r="AL370" s="2" t="s">
        <v>679</v>
      </c>
      <c r="AM370" s="2" t="s">
        <v>1086</v>
      </c>
      <c r="AN370" s="2" t="s">
        <v>952</v>
      </c>
      <c r="AO370" s="2">
        <v>0.28541625999999998</v>
      </c>
      <c r="AP370" s="2" t="s">
        <v>4673</v>
      </c>
      <c r="AQ370" s="2" t="s">
        <v>4668</v>
      </c>
      <c r="AR370" s="2" t="s">
        <v>4819</v>
      </c>
      <c r="AT370" s="765"/>
      <c r="AU370" s="765"/>
      <c r="AV370" s="765"/>
      <c r="AW370" s="765"/>
    </row>
    <row r="371" spans="1:49" x14ac:dyDescent="0.25">
      <c r="A371" s="23" t="s">
        <v>1808</v>
      </c>
      <c r="B371" s="108" t="s">
        <v>148</v>
      </c>
      <c r="C371" s="108" t="s">
        <v>158</v>
      </c>
      <c r="D371" s="108" t="s">
        <v>271</v>
      </c>
      <c r="E371" s="108" t="s">
        <v>1809</v>
      </c>
      <c r="F371" s="114" t="s">
        <v>694</v>
      </c>
      <c r="G371" s="213" t="s">
        <v>1115</v>
      </c>
      <c r="H371" s="115" t="s">
        <v>1810</v>
      </c>
      <c r="I371" s="213">
        <v>3501996206.8499999</v>
      </c>
      <c r="J371" s="109">
        <v>3.5</v>
      </c>
      <c r="K371" s="109" t="s">
        <v>696</v>
      </c>
      <c r="L371" s="115">
        <v>0.21320554999999999</v>
      </c>
      <c r="M371" s="115">
        <v>100.511292</v>
      </c>
      <c r="N371" s="115">
        <v>100.542542</v>
      </c>
      <c r="O371" s="214">
        <v>0.26250000000000001</v>
      </c>
      <c r="P371" s="115">
        <v>5.5240999999999998</v>
      </c>
      <c r="Q371" s="769">
        <v>4.26261470654</v>
      </c>
      <c r="R371" s="216"/>
      <c r="S371" s="216">
        <v>4.26261470654</v>
      </c>
      <c r="T371" s="216">
        <v>27</v>
      </c>
      <c r="U371" s="216">
        <v>3.3759999999999999</v>
      </c>
      <c r="V371" s="115">
        <v>78.106806032649999</v>
      </c>
      <c r="W371" s="109"/>
      <c r="X371" s="109">
        <v>41.783072004060003</v>
      </c>
      <c r="Y371" s="109"/>
      <c r="Z371" s="109">
        <v>29.576532086318771</v>
      </c>
      <c r="AA371" s="109">
        <v>39.830285329319118</v>
      </c>
      <c r="AB371" s="109" t="s">
        <v>247</v>
      </c>
      <c r="AC371" s="109" t="s">
        <v>254</v>
      </c>
      <c r="AD371" s="765" t="s">
        <v>1202</v>
      </c>
      <c r="AE371" s="765" t="s">
        <v>625</v>
      </c>
      <c r="AF371" s="765"/>
      <c r="AG371" s="765"/>
      <c r="AH371" s="109"/>
      <c r="AL371" s="2" t="s">
        <v>679</v>
      </c>
      <c r="AM371" s="2" t="s">
        <v>1086</v>
      </c>
      <c r="AN371" s="2" t="s">
        <v>952</v>
      </c>
      <c r="AO371" s="2">
        <v>0.21995738000000001</v>
      </c>
      <c r="AP371" s="2" t="s">
        <v>4673</v>
      </c>
      <c r="AQ371" s="2" t="s">
        <v>4668</v>
      </c>
      <c r="AR371" s="2" t="s">
        <v>4819</v>
      </c>
      <c r="AT371" s="765"/>
      <c r="AU371" s="765"/>
      <c r="AV371" s="765"/>
      <c r="AW371" s="765"/>
    </row>
    <row r="372" spans="1:49" x14ac:dyDescent="0.25">
      <c r="A372" s="23" t="s">
        <v>732</v>
      </c>
      <c r="B372" s="108" t="s">
        <v>148</v>
      </c>
      <c r="C372" s="108" t="s">
        <v>158</v>
      </c>
      <c r="D372" s="108" t="s">
        <v>271</v>
      </c>
      <c r="E372" s="108" t="s">
        <v>1477</v>
      </c>
      <c r="F372" s="114" t="s">
        <v>694</v>
      </c>
      <c r="G372" s="213" t="s">
        <v>1279</v>
      </c>
      <c r="H372" s="115" t="s">
        <v>1478</v>
      </c>
      <c r="I372" s="213">
        <v>308765811.57999998</v>
      </c>
      <c r="J372" s="109">
        <v>5</v>
      </c>
      <c r="K372" s="109" t="s">
        <v>696</v>
      </c>
      <c r="L372" s="115">
        <v>0.14025784999999999</v>
      </c>
      <c r="M372" s="115">
        <v>105.41379499999999</v>
      </c>
      <c r="N372" s="115">
        <v>105.46066999999999</v>
      </c>
      <c r="O372" s="214">
        <v>0.375</v>
      </c>
      <c r="P372" s="115">
        <v>4.4926000000000004</v>
      </c>
      <c r="Q372" s="769">
        <v>2.9377676099899999</v>
      </c>
      <c r="R372" s="216"/>
      <c r="S372" s="216">
        <v>2.9377676099899999</v>
      </c>
      <c r="T372" s="216">
        <v>26</v>
      </c>
      <c r="U372" s="216">
        <v>3.5710000000000002</v>
      </c>
      <c r="V372" s="115">
        <v>97.456176493019996</v>
      </c>
      <c r="W372" s="109"/>
      <c r="X372" s="109">
        <v>55.634723358050003</v>
      </c>
      <c r="Y372" s="109"/>
      <c r="Z372" s="109">
        <v>42.288464342874562</v>
      </c>
      <c r="AA372" s="109">
        <v>44.784129339379547</v>
      </c>
      <c r="AB372" s="109" t="s">
        <v>1219</v>
      </c>
      <c r="AC372" s="109" t="s">
        <v>1210</v>
      </c>
      <c r="AD372" s="765" t="s">
        <v>1776</v>
      </c>
      <c r="AE372" s="765" t="s">
        <v>625</v>
      </c>
      <c r="AF372" s="765"/>
      <c r="AG372" s="765"/>
      <c r="AH372" s="109"/>
      <c r="AL372" s="2" t="s">
        <v>679</v>
      </c>
      <c r="AM372" s="2" t="s">
        <v>1086</v>
      </c>
      <c r="AN372" s="2" t="s">
        <v>952</v>
      </c>
      <c r="AO372" s="2">
        <v>0.14704876</v>
      </c>
      <c r="AP372" s="2" t="s">
        <v>4673</v>
      </c>
      <c r="AQ372" s="2" t="s">
        <v>4668</v>
      </c>
      <c r="AR372" s="2" t="s">
        <v>4819</v>
      </c>
      <c r="AT372" s="765"/>
      <c r="AU372" s="765"/>
      <c r="AV372" s="765"/>
      <c r="AW372" s="765"/>
    </row>
    <row r="373" spans="1:49" x14ac:dyDescent="0.25">
      <c r="A373" s="23" t="s">
        <v>3650</v>
      </c>
      <c r="B373" s="108" t="s">
        <v>797</v>
      </c>
      <c r="C373" s="108" t="s">
        <v>158</v>
      </c>
      <c r="D373" s="108" t="s">
        <v>3730</v>
      </c>
      <c r="E373" s="108" t="s">
        <v>3731</v>
      </c>
      <c r="F373" s="114" t="s">
        <v>694</v>
      </c>
      <c r="G373" s="213" t="s">
        <v>2044</v>
      </c>
      <c r="H373" s="115" t="s">
        <v>3732</v>
      </c>
      <c r="I373" s="213">
        <v>7616546.25</v>
      </c>
      <c r="J373" s="109">
        <v>4</v>
      </c>
      <c r="K373" s="109" t="s">
        <v>696</v>
      </c>
      <c r="L373" s="115">
        <v>0.97149824620000003</v>
      </c>
      <c r="M373" s="115">
        <v>106.94860799999999</v>
      </c>
      <c r="N373" s="115">
        <v>107.123734</v>
      </c>
      <c r="O373" s="214">
        <v>0.3</v>
      </c>
      <c r="P373" s="115">
        <v>16.938700000000001</v>
      </c>
      <c r="Q373" s="769">
        <v>5.1359988858300003</v>
      </c>
      <c r="R373" s="216"/>
      <c r="S373" s="216">
        <v>5.1359988858300003</v>
      </c>
      <c r="T373" s="216">
        <v>27</v>
      </c>
      <c r="U373" s="216">
        <v>3.4420000000000002</v>
      </c>
      <c r="V373" s="115">
        <v>76.975065587730001</v>
      </c>
      <c r="W373" s="109"/>
      <c r="X373" s="109">
        <v>1.2615666104600001</v>
      </c>
      <c r="Y373" s="109"/>
      <c r="Z373" s="109">
        <v>1.5492593874455449E-7</v>
      </c>
      <c r="AA373" s="109">
        <v>2.6073112557867262E-7</v>
      </c>
      <c r="AB373" s="109" t="s">
        <v>3733</v>
      </c>
      <c r="AC373" s="109"/>
      <c r="AD373" s="765"/>
      <c r="AE373" s="765" t="s">
        <v>625</v>
      </c>
      <c r="AF373" s="765"/>
      <c r="AG373" s="765"/>
      <c r="AH373" s="109"/>
      <c r="AL373" s="2" t="s">
        <v>679</v>
      </c>
      <c r="AM373" s="2" t="s">
        <v>1086</v>
      </c>
      <c r="AN373" s="2" t="s">
        <v>952</v>
      </c>
      <c r="AO373" s="2">
        <v>0.97297170399999999</v>
      </c>
      <c r="AP373" s="2" t="s">
        <v>4673</v>
      </c>
      <c r="AQ373" s="2" t="s">
        <v>4396</v>
      </c>
      <c r="AR373" s="2" t="s">
        <v>4671</v>
      </c>
      <c r="AT373" s="765"/>
      <c r="AU373" s="765"/>
      <c r="AV373" s="765"/>
      <c r="AW373" s="765"/>
    </row>
    <row r="374" spans="1:49" x14ac:dyDescent="0.25">
      <c r="A374" s="23" t="s">
        <v>1813</v>
      </c>
      <c r="B374" s="108" t="s">
        <v>797</v>
      </c>
      <c r="C374" s="108" t="s">
        <v>158</v>
      </c>
      <c r="D374" s="108" t="s">
        <v>1803</v>
      </c>
      <c r="E374" s="108" t="s">
        <v>1814</v>
      </c>
      <c r="F374" s="114" t="s">
        <v>694</v>
      </c>
      <c r="G374" s="213" t="s">
        <v>1815</v>
      </c>
      <c r="H374" s="115" t="s">
        <v>1816</v>
      </c>
      <c r="I374" s="213">
        <v>13852057.279999999</v>
      </c>
      <c r="J374" s="109">
        <v>4.4539999999999997</v>
      </c>
      <c r="K374" s="109" t="s">
        <v>696</v>
      </c>
      <c r="L374" s="115">
        <v>0.54191343000000003</v>
      </c>
      <c r="M374" s="115">
        <v>102.105835</v>
      </c>
      <c r="N374" s="115">
        <v>102.142216</v>
      </c>
      <c r="O374" s="214">
        <v>0.33405000000000001</v>
      </c>
      <c r="P374" s="115">
        <v>1.5825</v>
      </c>
      <c r="Q374" s="769">
        <v>1.4268083553699999</v>
      </c>
      <c r="R374" s="216"/>
      <c r="S374" s="216">
        <v>1.4268083553699999</v>
      </c>
      <c r="T374" s="216">
        <v>26</v>
      </c>
      <c r="U374" s="216">
        <v>2.8660000000000001</v>
      </c>
      <c r="V374" s="115">
        <v>77.464915841180002</v>
      </c>
      <c r="W374" s="109"/>
      <c r="X374" s="109">
        <v>56.116564219570002</v>
      </c>
      <c r="Y374" s="109"/>
      <c r="Z374" s="109">
        <v>1.51850577165602E-2</v>
      </c>
      <c r="AA374" s="109">
        <v>15.19785037790202</v>
      </c>
      <c r="AB374" s="109" t="s">
        <v>4034</v>
      </c>
      <c r="AC374" s="109" t="s">
        <v>2722</v>
      </c>
      <c r="AD374" s="765" t="s">
        <v>2252</v>
      </c>
      <c r="AE374" s="765" t="s">
        <v>625</v>
      </c>
      <c r="AF374" s="765"/>
      <c r="AG374" s="765"/>
      <c r="AH374" s="109"/>
      <c r="AL374" s="2" t="s">
        <v>679</v>
      </c>
      <c r="AM374" s="2" t="s">
        <v>1086</v>
      </c>
      <c r="AN374" s="2" t="s">
        <v>952</v>
      </c>
      <c r="AO374" s="2">
        <v>0.53991630000000002</v>
      </c>
      <c r="AP374" s="2" t="s">
        <v>4673</v>
      </c>
      <c r="AQ374" s="2" t="s">
        <v>4668</v>
      </c>
      <c r="AR374" s="2" t="s">
        <v>3969</v>
      </c>
      <c r="AT374" s="765"/>
      <c r="AU374" s="765"/>
      <c r="AV374" s="765"/>
      <c r="AW374" s="765"/>
    </row>
    <row r="375" spans="1:49" x14ac:dyDescent="0.25">
      <c r="A375" s="23" t="s">
        <v>1819</v>
      </c>
      <c r="B375" s="108" t="s">
        <v>797</v>
      </c>
      <c r="C375" s="108" t="s">
        <v>158</v>
      </c>
      <c r="D375" s="108" t="s">
        <v>1803</v>
      </c>
      <c r="E375" s="108" t="s">
        <v>1820</v>
      </c>
      <c r="F375" s="114" t="s">
        <v>694</v>
      </c>
      <c r="G375" s="213" t="s">
        <v>1806</v>
      </c>
      <c r="H375" s="115" t="s">
        <v>1821</v>
      </c>
      <c r="I375" s="213">
        <v>11150519.49</v>
      </c>
      <c r="J375" s="109">
        <v>4.6680000000000001</v>
      </c>
      <c r="K375" s="109" t="s">
        <v>696</v>
      </c>
      <c r="L375" s="115">
        <v>0.67990645000000005</v>
      </c>
      <c r="M375" s="115">
        <v>102.111931</v>
      </c>
      <c r="N375" s="115">
        <v>102.14064399999999</v>
      </c>
      <c r="O375" s="214">
        <v>0.35010000000000002</v>
      </c>
      <c r="P375" s="115">
        <v>1.2356</v>
      </c>
      <c r="Q375" s="769">
        <v>1.13326480661</v>
      </c>
      <c r="R375" s="216"/>
      <c r="S375" s="216">
        <v>1.13326480661</v>
      </c>
      <c r="T375" s="216">
        <v>27</v>
      </c>
      <c r="U375" s="216">
        <v>2.718</v>
      </c>
      <c r="V375" s="115">
        <v>87.709344640249995</v>
      </c>
      <c r="W375" s="109"/>
      <c r="X375" s="109">
        <v>62.87282979087</v>
      </c>
      <c r="Y375" s="109"/>
      <c r="Z375" s="109">
        <v>0.19043854049034531</v>
      </c>
      <c r="AA375" s="109">
        <v>14.0427054439595</v>
      </c>
      <c r="AB375" s="109" t="s">
        <v>239</v>
      </c>
      <c r="AC375" s="109" t="s">
        <v>255</v>
      </c>
      <c r="AD375" s="765" t="s">
        <v>3240</v>
      </c>
      <c r="AE375" s="765" t="s">
        <v>625</v>
      </c>
      <c r="AF375" s="765"/>
      <c r="AG375" s="765"/>
      <c r="AH375" s="109"/>
      <c r="AL375" s="2" t="s">
        <v>679</v>
      </c>
      <c r="AM375" s="2" t="s">
        <v>1086</v>
      </c>
      <c r="AN375" s="2" t="s">
        <v>952</v>
      </c>
      <c r="AO375" s="2">
        <v>0.68290711000000004</v>
      </c>
      <c r="AP375" s="2" t="s">
        <v>4673</v>
      </c>
      <c r="AQ375" s="2" t="s">
        <v>4668</v>
      </c>
      <c r="AR375" s="2" t="s">
        <v>3969</v>
      </c>
      <c r="AT375" s="765"/>
      <c r="AU375" s="765"/>
      <c r="AV375" s="765"/>
      <c r="AW375" s="765"/>
    </row>
    <row r="376" spans="1:49" x14ac:dyDescent="0.25">
      <c r="A376" s="23" t="s">
        <v>1822</v>
      </c>
      <c r="B376" s="108" t="s">
        <v>797</v>
      </c>
      <c r="C376" s="108" t="s">
        <v>158</v>
      </c>
      <c r="D376" s="108" t="s">
        <v>1803</v>
      </c>
      <c r="E376" s="108" t="s">
        <v>1823</v>
      </c>
      <c r="F376" s="114" t="s">
        <v>694</v>
      </c>
      <c r="G376" s="213" t="s">
        <v>1824</v>
      </c>
      <c r="H376" s="115" t="s">
        <v>1825</v>
      </c>
      <c r="I376" s="213">
        <v>6831727.8200000003</v>
      </c>
      <c r="J376" s="109">
        <v>4.6619999999999999</v>
      </c>
      <c r="K376" s="109" t="s">
        <v>696</v>
      </c>
      <c r="L376" s="115">
        <v>0.65014917000000005</v>
      </c>
      <c r="M376" s="115">
        <v>102.661461</v>
      </c>
      <c r="N376" s="115">
        <v>102.702843</v>
      </c>
      <c r="O376" s="214">
        <v>0.34965000000000002</v>
      </c>
      <c r="P376" s="115">
        <v>1.5929</v>
      </c>
      <c r="Q376" s="769">
        <v>1.6151562022699999</v>
      </c>
      <c r="R376" s="216"/>
      <c r="S376" s="216">
        <v>1.6151562022699999</v>
      </c>
      <c r="T376" s="216">
        <v>26</v>
      </c>
      <c r="U376" s="216">
        <v>2.794</v>
      </c>
      <c r="V376" s="115">
        <v>69.478604486449996</v>
      </c>
      <c r="W376" s="109"/>
      <c r="X376" s="109">
        <v>59.022847290089999</v>
      </c>
      <c r="Y376" s="109"/>
      <c r="Z376" s="109">
        <v>31.011920508744431</v>
      </c>
      <c r="AA376" s="109">
        <v>23.714129262722821</v>
      </c>
      <c r="AB376" s="109" t="s">
        <v>4739</v>
      </c>
      <c r="AC376" s="109" t="s">
        <v>258</v>
      </c>
      <c r="AD376" s="765" t="s">
        <v>246</v>
      </c>
      <c r="AE376" s="765" t="s">
        <v>625</v>
      </c>
      <c r="AF376" s="765"/>
      <c r="AG376" s="765"/>
      <c r="AH376" s="109"/>
      <c r="AL376" s="2" t="s">
        <v>679</v>
      </c>
      <c r="AM376" s="2" t="s">
        <v>1086</v>
      </c>
      <c r="AN376" s="2" t="s">
        <v>952</v>
      </c>
      <c r="AO376" s="2">
        <v>0.66798124000000003</v>
      </c>
      <c r="AP376" s="2" t="s">
        <v>4673</v>
      </c>
      <c r="AQ376" s="2" t="s">
        <v>4668</v>
      </c>
      <c r="AR376" s="2" t="s">
        <v>3969</v>
      </c>
      <c r="AT376" s="765"/>
      <c r="AU376" s="765"/>
      <c r="AV376" s="765"/>
      <c r="AW376" s="765"/>
    </row>
    <row r="377" spans="1:49" x14ac:dyDescent="0.25">
      <c r="A377" s="23" t="s">
        <v>1826</v>
      </c>
      <c r="B377" s="108" t="s">
        <v>797</v>
      </c>
      <c r="C377" s="108" t="s">
        <v>158</v>
      </c>
      <c r="D377" s="108" t="s">
        <v>1803</v>
      </c>
      <c r="E377" s="108" t="s">
        <v>1827</v>
      </c>
      <c r="F377" s="114" t="s">
        <v>694</v>
      </c>
      <c r="G377" s="213" t="s">
        <v>1287</v>
      </c>
      <c r="H377" s="115" t="s">
        <v>1828</v>
      </c>
      <c r="I377" s="213">
        <v>12419170.08</v>
      </c>
      <c r="J377" s="109">
        <v>4.5149999999999997</v>
      </c>
      <c r="K377" s="109" t="s">
        <v>696</v>
      </c>
      <c r="L377" s="115">
        <v>0.61854907000000003</v>
      </c>
      <c r="M377" s="115">
        <v>102.373558</v>
      </c>
      <c r="N377" s="115">
        <v>102.417053</v>
      </c>
      <c r="O377" s="214">
        <v>0.33862500000000001</v>
      </c>
      <c r="P377" s="115">
        <v>1.7161</v>
      </c>
      <c r="Q377" s="769">
        <v>1.70158387416</v>
      </c>
      <c r="R377" s="216"/>
      <c r="S377" s="216">
        <v>1.70158387416</v>
      </c>
      <c r="T377" s="216">
        <v>27</v>
      </c>
      <c r="U377" s="216">
        <v>2.8849999999999998</v>
      </c>
      <c r="V377" s="115">
        <v>69.62003226409</v>
      </c>
      <c r="W377" s="109"/>
      <c r="X377" s="109">
        <v>62.241816460140001</v>
      </c>
      <c r="Y377" s="109"/>
      <c r="Z377" s="109">
        <v>21.119530465027349</v>
      </c>
      <c r="AA377" s="109">
        <v>22.959405063642201</v>
      </c>
      <c r="AB377" s="109" t="s">
        <v>4483</v>
      </c>
      <c r="AC377" s="109" t="s">
        <v>1219</v>
      </c>
      <c r="AD377" s="765" t="s">
        <v>4970</v>
      </c>
      <c r="AE377" s="765" t="s">
        <v>625</v>
      </c>
      <c r="AF377" s="765"/>
      <c r="AG377" s="765"/>
      <c r="AH377" s="109"/>
      <c r="AL377" s="2" t="s">
        <v>679</v>
      </c>
      <c r="AM377" s="2" t="s">
        <v>1086</v>
      </c>
      <c r="AN377" s="2" t="s">
        <v>952</v>
      </c>
      <c r="AO377" s="2">
        <v>0.62853239999999999</v>
      </c>
      <c r="AP377" s="2" t="s">
        <v>4673</v>
      </c>
      <c r="AQ377" s="2" t="s">
        <v>4668</v>
      </c>
      <c r="AR377" s="2" t="s">
        <v>3969</v>
      </c>
      <c r="AT377" s="765"/>
      <c r="AU377" s="765"/>
      <c r="AV377" s="765"/>
      <c r="AW377" s="765"/>
    </row>
    <row r="378" spans="1:49" x14ac:dyDescent="0.25">
      <c r="A378" s="23" t="s">
        <v>1829</v>
      </c>
      <c r="B378" s="108" t="s">
        <v>797</v>
      </c>
      <c r="C378" s="108" t="s">
        <v>158</v>
      </c>
      <c r="D378" s="108" t="s">
        <v>1803</v>
      </c>
      <c r="E378" s="108" t="s">
        <v>1830</v>
      </c>
      <c r="F378" s="114" t="s">
        <v>694</v>
      </c>
      <c r="G378" s="213" t="s">
        <v>1287</v>
      </c>
      <c r="H378" s="115" t="s">
        <v>1828</v>
      </c>
      <c r="I378" s="213">
        <v>6198920.8899999997</v>
      </c>
      <c r="J378" s="109">
        <v>4.5529999999999999</v>
      </c>
      <c r="K378" s="109" t="s">
        <v>696</v>
      </c>
      <c r="L378" s="115">
        <v>0.60552355999999996</v>
      </c>
      <c r="M378" s="115">
        <v>102.241669</v>
      </c>
      <c r="N378" s="115">
        <v>102.282684</v>
      </c>
      <c r="O378" s="214">
        <v>0.34147499999999997</v>
      </c>
      <c r="P378" s="115">
        <v>1.7804</v>
      </c>
      <c r="Q378" s="769">
        <v>1.6077909496</v>
      </c>
      <c r="R378" s="216"/>
      <c r="S378" s="216">
        <v>1.6077909496</v>
      </c>
      <c r="T378" s="216">
        <v>26</v>
      </c>
      <c r="U378" s="216">
        <v>3.0880000000000001</v>
      </c>
      <c r="V378" s="115">
        <v>85.328047098590005</v>
      </c>
      <c r="W378" s="109"/>
      <c r="X378" s="109">
        <v>70.875279444719993</v>
      </c>
      <c r="Y378" s="109"/>
      <c r="Z378" s="109">
        <v>2.6038897467794971E-2</v>
      </c>
      <c r="AA378" s="109">
        <v>15.97352623143359</v>
      </c>
      <c r="AB378" s="109" t="s">
        <v>242</v>
      </c>
      <c r="AC378" s="109" t="s">
        <v>1261</v>
      </c>
      <c r="AD378" s="765" t="s">
        <v>4056</v>
      </c>
      <c r="AE378" s="765" t="s">
        <v>625</v>
      </c>
      <c r="AF378" s="765"/>
      <c r="AG378" s="765"/>
      <c r="AH378" s="109"/>
      <c r="AL378" s="2" t="s">
        <v>679</v>
      </c>
      <c r="AM378" s="2" t="s">
        <v>1086</v>
      </c>
      <c r="AN378" s="2" t="s">
        <v>952</v>
      </c>
      <c r="AO378" s="2">
        <v>0.61323260000000002</v>
      </c>
      <c r="AP378" s="2" t="s">
        <v>4673</v>
      </c>
      <c r="AQ378" s="2" t="s">
        <v>4668</v>
      </c>
      <c r="AR378" s="2" t="s">
        <v>3969</v>
      </c>
      <c r="AT378" s="765"/>
      <c r="AU378" s="765"/>
      <c r="AV378" s="765"/>
      <c r="AW378" s="765"/>
    </row>
    <row r="379" spans="1:49" x14ac:dyDescent="0.25">
      <c r="A379" s="23" t="s">
        <v>2734</v>
      </c>
      <c r="B379" s="108" t="s">
        <v>526</v>
      </c>
      <c r="C379" s="108" t="s">
        <v>2797</v>
      </c>
      <c r="D379" s="108" t="s">
        <v>2798</v>
      </c>
      <c r="E379" s="108" t="s">
        <v>2799</v>
      </c>
      <c r="F379" s="114" t="s">
        <v>698</v>
      </c>
      <c r="G379" s="213" t="s">
        <v>2800</v>
      </c>
      <c r="H379" s="115" t="s">
        <v>2801</v>
      </c>
      <c r="I379" s="213">
        <v>5849304.9900000002</v>
      </c>
      <c r="J379" s="109">
        <v>0.95657000000000003</v>
      </c>
      <c r="K379" s="109" t="s">
        <v>695</v>
      </c>
      <c r="L379" s="115">
        <v>2.46473327E-2</v>
      </c>
      <c r="M379" s="115">
        <v>0</v>
      </c>
      <c r="N379" s="115">
        <v>0</v>
      </c>
      <c r="O379" s="214">
        <v>7.9710000000000007E-3</v>
      </c>
      <c r="P379" s="115">
        <v>1.4020999999999999</v>
      </c>
      <c r="Q379" s="769"/>
      <c r="R379" s="216"/>
      <c r="S379" s="216">
        <v>1.4020999999999999</v>
      </c>
      <c r="T379" s="216">
        <v>2</v>
      </c>
      <c r="U379" s="216"/>
      <c r="V379" s="115"/>
      <c r="W379" s="109">
        <v>50</v>
      </c>
      <c r="X379" s="109"/>
      <c r="Y379" s="109" t="s">
        <v>2802</v>
      </c>
      <c r="Z379" s="109"/>
      <c r="AA379" s="109"/>
      <c r="AB379" s="109"/>
      <c r="AC379" s="109"/>
      <c r="AD379" s="765"/>
      <c r="AE379" s="765" t="s">
        <v>8</v>
      </c>
      <c r="AF379" s="765" t="s">
        <v>8</v>
      </c>
      <c r="AG379" s="765" t="s">
        <v>2425</v>
      </c>
      <c r="AH379" s="109"/>
      <c r="AL379" s="2" t="s">
        <v>680</v>
      </c>
      <c r="AM379" s="2" t="s">
        <v>813</v>
      </c>
      <c r="AN379" s="2" t="s">
        <v>952</v>
      </c>
      <c r="AO379" s="2">
        <v>2.5309140000000001E-2</v>
      </c>
      <c r="AP379" s="2" t="s">
        <v>4666</v>
      </c>
      <c r="AQ379" s="2" t="s">
        <v>4469</v>
      </c>
      <c r="AR379" s="2" t="s">
        <v>4638</v>
      </c>
      <c r="AT379" s="765"/>
      <c r="AU379" s="765"/>
      <c r="AV379" s="765"/>
      <c r="AW379" s="765"/>
    </row>
    <row r="380" spans="1:49" x14ac:dyDescent="0.25">
      <c r="A380" s="23" t="s">
        <v>1831</v>
      </c>
      <c r="B380" s="108" t="s">
        <v>148</v>
      </c>
      <c r="C380" s="108" t="s">
        <v>158</v>
      </c>
      <c r="D380" s="108" t="s">
        <v>1487</v>
      </c>
      <c r="E380" s="108" t="s">
        <v>1832</v>
      </c>
      <c r="F380" s="114" t="s">
        <v>694</v>
      </c>
      <c r="G380" s="213" t="s">
        <v>1263</v>
      </c>
      <c r="H380" s="115" t="s">
        <v>1833</v>
      </c>
      <c r="I380" s="213">
        <v>2119410.16</v>
      </c>
      <c r="J380" s="109">
        <v>4</v>
      </c>
      <c r="K380" s="109" t="s">
        <v>696</v>
      </c>
      <c r="L380" s="115">
        <v>0.25591492999999998</v>
      </c>
      <c r="M380" s="115">
        <v>103.529861</v>
      </c>
      <c r="N380" s="115">
        <v>103.576736</v>
      </c>
      <c r="O380" s="214">
        <v>0.3</v>
      </c>
      <c r="P380" s="115">
        <v>6.1109</v>
      </c>
      <c r="Q380" s="769">
        <v>3.8767884639200001</v>
      </c>
      <c r="R380" s="216"/>
      <c r="S380" s="216">
        <v>3.8767884639200001</v>
      </c>
      <c r="T380" s="216">
        <v>27</v>
      </c>
      <c r="U380" s="216">
        <v>3.3109999999999999</v>
      </c>
      <c r="V380" s="115">
        <v>72.093065439089997</v>
      </c>
      <c r="W380" s="109"/>
      <c r="X380" s="109">
        <v>31.105097332309999</v>
      </c>
      <c r="Y380" s="109"/>
      <c r="Z380" s="109">
        <v>0.1493313187045264</v>
      </c>
      <c r="AA380" s="109">
        <v>34.768087926204231</v>
      </c>
      <c r="AB380" s="109" t="s">
        <v>4721</v>
      </c>
      <c r="AC380" s="109" t="s">
        <v>4722</v>
      </c>
      <c r="AD380" s="765"/>
      <c r="AE380" s="765" t="s">
        <v>625</v>
      </c>
      <c r="AF380" s="765"/>
      <c r="AG380" s="765"/>
      <c r="AH380" s="109"/>
      <c r="AL380" s="2" t="s">
        <v>679</v>
      </c>
      <c r="AM380" s="2" t="s">
        <v>1086</v>
      </c>
      <c r="AN380" s="2" t="s">
        <v>952</v>
      </c>
      <c r="AO380" s="2">
        <v>0.25643723000000002</v>
      </c>
      <c r="AP380" s="2" t="s">
        <v>4673</v>
      </c>
      <c r="AQ380" s="2" t="s">
        <v>4396</v>
      </c>
      <c r="AR380" s="2" t="s">
        <v>4844</v>
      </c>
      <c r="AT380" s="765"/>
      <c r="AU380" s="765"/>
      <c r="AV380" s="765"/>
      <c r="AW380" s="765"/>
    </row>
    <row r="381" spans="1:49" x14ac:dyDescent="0.25">
      <c r="A381" s="23" t="s">
        <v>1479</v>
      </c>
      <c r="B381" s="108" t="s">
        <v>148</v>
      </c>
      <c r="C381" s="108" t="s">
        <v>158</v>
      </c>
      <c r="D381" s="108" t="s">
        <v>271</v>
      </c>
      <c r="E381" s="108" t="s">
        <v>1480</v>
      </c>
      <c r="F381" s="114" t="s">
        <v>694</v>
      </c>
      <c r="G381" s="213" t="s">
        <v>1481</v>
      </c>
      <c r="H381" s="115" t="s">
        <v>1482</v>
      </c>
      <c r="I381" s="213">
        <v>27053534.780000001</v>
      </c>
      <c r="J381" s="109">
        <v>6</v>
      </c>
      <c r="K381" s="109" t="s">
        <v>696</v>
      </c>
      <c r="L381" s="115">
        <v>1.8341779999999999E-2</v>
      </c>
      <c r="M381" s="115">
        <v>109.90119199999999</v>
      </c>
      <c r="N381" s="115">
        <v>110.01056699999999</v>
      </c>
      <c r="O381" s="214">
        <v>0.45</v>
      </c>
      <c r="P381" s="115">
        <v>3.7719</v>
      </c>
      <c r="Q381" s="769">
        <v>3.22175733509</v>
      </c>
      <c r="R381" s="216"/>
      <c r="S381" s="216">
        <v>3.22175733509</v>
      </c>
      <c r="T381" s="216">
        <v>27</v>
      </c>
      <c r="U381" s="216">
        <v>3.0630000000000002</v>
      </c>
      <c r="V381" s="115">
        <v>47.19845704846</v>
      </c>
      <c r="W381" s="109"/>
      <c r="X381" s="109">
        <v>42.37568808612</v>
      </c>
      <c r="Y381" s="109"/>
      <c r="Z381" s="109">
        <v>10.80029934560298</v>
      </c>
      <c r="AA381" s="109">
        <v>15.05109615273652</v>
      </c>
      <c r="AB381" s="109" t="s">
        <v>258</v>
      </c>
      <c r="AC381" s="109" t="s">
        <v>249</v>
      </c>
      <c r="AD381" s="765" t="s">
        <v>798</v>
      </c>
      <c r="AE381" s="765" t="s">
        <v>625</v>
      </c>
      <c r="AF381" s="765"/>
      <c r="AG381" s="765"/>
      <c r="AH381" s="109"/>
      <c r="AL381" s="2" t="s">
        <v>679</v>
      </c>
      <c r="AM381" s="2" t="s">
        <v>1086</v>
      </c>
      <c r="AN381" s="2" t="s">
        <v>952</v>
      </c>
      <c r="AO381" s="2">
        <v>1.8619139999999999E-2</v>
      </c>
      <c r="AP381" s="2" t="s">
        <v>4673</v>
      </c>
      <c r="AQ381" s="2" t="s">
        <v>4668</v>
      </c>
      <c r="AR381" s="2" t="s">
        <v>4819</v>
      </c>
      <c r="AT381" s="765"/>
      <c r="AU381" s="765"/>
      <c r="AV381" s="765"/>
      <c r="AW381" s="765"/>
    </row>
    <row r="382" spans="1:49" x14ac:dyDescent="0.25">
      <c r="A382" s="23" t="s">
        <v>1483</v>
      </c>
      <c r="B382" s="108" t="s">
        <v>147</v>
      </c>
      <c r="C382" s="108" t="s">
        <v>158</v>
      </c>
      <c r="D382" s="108" t="s">
        <v>1469</v>
      </c>
      <c r="E382" s="108" t="s">
        <v>1484</v>
      </c>
      <c r="F382" s="114" t="s">
        <v>694</v>
      </c>
      <c r="G382" s="213" t="s">
        <v>1427</v>
      </c>
      <c r="H382" s="115" t="s">
        <v>1485</v>
      </c>
      <c r="I382" s="213">
        <v>31727.19</v>
      </c>
      <c r="J382" s="109">
        <v>6</v>
      </c>
      <c r="K382" s="109" t="s">
        <v>696</v>
      </c>
      <c r="L382" s="115">
        <v>4.24537E-3</v>
      </c>
      <c r="M382" s="115">
        <v>100.70536800000001</v>
      </c>
      <c r="N382" s="115">
        <v>100.719887</v>
      </c>
      <c r="O382" s="214">
        <v>0.45</v>
      </c>
      <c r="P382" s="115">
        <v>0.53190000000000004</v>
      </c>
      <c r="Q382" s="769">
        <v>0.51613922514999999</v>
      </c>
      <c r="R382" s="216"/>
      <c r="S382" s="216">
        <v>0.51613922514999999</v>
      </c>
      <c r="T382" s="216">
        <v>27</v>
      </c>
      <c r="U382" s="216">
        <v>4.0830000000000002</v>
      </c>
      <c r="V382" s="115">
        <v>301.18390383004999</v>
      </c>
      <c r="W382" s="109"/>
      <c r="X382" s="109">
        <v>255.12960097256001</v>
      </c>
      <c r="Y382" s="109"/>
      <c r="Z382" s="109">
        <v>-0.87771660040167898</v>
      </c>
      <c r="AA382" s="109">
        <v>57.439044017011327</v>
      </c>
      <c r="AB382" s="109" t="s">
        <v>4971</v>
      </c>
      <c r="AC382" s="109" t="s">
        <v>4723</v>
      </c>
      <c r="AD382" s="765" t="s">
        <v>4515</v>
      </c>
      <c r="AE382" s="765" t="s">
        <v>625</v>
      </c>
      <c r="AF382" s="765"/>
      <c r="AG382" s="765"/>
      <c r="AH382" s="109"/>
      <c r="AL382" s="2" t="s">
        <v>679</v>
      </c>
      <c r="AM382" s="2" t="s">
        <v>1086</v>
      </c>
      <c r="AN382" s="2" t="s">
        <v>952</v>
      </c>
      <c r="AO382" s="2">
        <v>4.5565400000000004E-3</v>
      </c>
      <c r="AP382" s="2" t="s">
        <v>4673</v>
      </c>
      <c r="AQ382" s="2" t="s">
        <v>4668</v>
      </c>
      <c r="AR382" s="2" t="s">
        <v>4819</v>
      </c>
      <c r="AT382" s="765"/>
      <c r="AU382" s="765"/>
      <c r="AV382" s="765"/>
      <c r="AW382" s="765"/>
    </row>
    <row r="383" spans="1:49" x14ac:dyDescent="0.25">
      <c r="A383" s="23" t="s">
        <v>1486</v>
      </c>
      <c r="B383" s="108" t="s">
        <v>148</v>
      </c>
      <c r="C383" s="108" t="s">
        <v>158</v>
      </c>
      <c r="D383" s="108" t="s">
        <v>1487</v>
      </c>
      <c r="E383" s="108" t="s">
        <v>1488</v>
      </c>
      <c r="F383" s="114" t="s">
        <v>694</v>
      </c>
      <c r="G383" s="213" t="s">
        <v>1489</v>
      </c>
      <c r="H383" s="115" t="s">
        <v>1490</v>
      </c>
      <c r="I383" s="213">
        <v>595518.48</v>
      </c>
      <c r="J383" s="109">
        <v>4</v>
      </c>
      <c r="K383" s="109" t="s">
        <v>696</v>
      </c>
      <c r="L383" s="115">
        <v>0.23450355000000001</v>
      </c>
      <c r="M383" s="115">
        <v>104.935486</v>
      </c>
      <c r="N383" s="115">
        <v>104.982361</v>
      </c>
      <c r="O383" s="214">
        <v>0.3</v>
      </c>
      <c r="P383" s="115">
        <v>5.21</v>
      </c>
      <c r="Q383" s="769">
        <v>4.7563299415599998</v>
      </c>
      <c r="R383" s="216"/>
      <c r="S383" s="216">
        <v>4.7563299415599998</v>
      </c>
      <c r="T383" s="216">
        <v>27</v>
      </c>
      <c r="U383" s="216">
        <v>2.915</v>
      </c>
      <c r="V383" s="115">
        <v>31.784484676560002</v>
      </c>
      <c r="W383" s="109"/>
      <c r="X383" s="109">
        <v>32.972258218260002</v>
      </c>
      <c r="Y383" s="109"/>
      <c r="Z383" s="109">
        <v>3.1195945426995659</v>
      </c>
      <c r="AA383" s="109">
        <v>2.581714554190373</v>
      </c>
      <c r="AB383" s="109" t="s">
        <v>3734</v>
      </c>
      <c r="AC383" s="109" t="s">
        <v>2206</v>
      </c>
      <c r="AD383" s="765" t="s">
        <v>3354</v>
      </c>
      <c r="AE383" s="765" t="s">
        <v>625</v>
      </c>
      <c r="AF383" s="765"/>
      <c r="AG383" s="765"/>
      <c r="AH383" s="109"/>
      <c r="AL383" s="2" t="s">
        <v>679</v>
      </c>
      <c r="AM383" s="2" t="s">
        <v>1086</v>
      </c>
      <c r="AN383" s="2" t="s">
        <v>952</v>
      </c>
      <c r="AO383" s="2">
        <v>0.23586408</v>
      </c>
      <c r="AP383" s="2" t="s">
        <v>4673</v>
      </c>
      <c r="AQ383" s="2" t="s">
        <v>4396</v>
      </c>
      <c r="AR383" s="2" t="s">
        <v>4844</v>
      </c>
      <c r="AT383" s="765"/>
      <c r="AU383" s="765"/>
      <c r="AV383" s="765"/>
      <c r="AW383" s="765"/>
    </row>
    <row r="384" spans="1:49" x14ac:dyDescent="0.25">
      <c r="A384" s="23" t="s">
        <v>1491</v>
      </c>
      <c r="B384" s="108" t="s">
        <v>148</v>
      </c>
      <c r="C384" s="108" t="s">
        <v>158</v>
      </c>
      <c r="D384" s="108" t="s">
        <v>1487</v>
      </c>
      <c r="E384" s="108" t="s">
        <v>1492</v>
      </c>
      <c r="F384" s="114" t="s">
        <v>694</v>
      </c>
      <c r="G384" s="213" t="s">
        <v>1493</v>
      </c>
      <c r="H384" s="115" t="s">
        <v>1494</v>
      </c>
      <c r="I384" s="213">
        <v>35184430.530000001</v>
      </c>
      <c r="J384" s="109">
        <v>4.5</v>
      </c>
      <c r="K384" s="109" t="s">
        <v>696</v>
      </c>
      <c r="L384" s="115">
        <v>0.1020964</v>
      </c>
      <c r="M384" s="115">
        <v>107.74298899999999</v>
      </c>
      <c r="N384" s="115">
        <v>107.78986399999999</v>
      </c>
      <c r="O384" s="214">
        <v>0.33750000000000002</v>
      </c>
      <c r="P384" s="115">
        <v>5.0259999999999998</v>
      </c>
      <c r="Q384" s="769">
        <v>4.3182823150200003</v>
      </c>
      <c r="R384" s="216"/>
      <c r="S384" s="216">
        <v>4.3182823150200003</v>
      </c>
      <c r="T384" s="216">
        <v>27</v>
      </c>
      <c r="U384" s="216">
        <v>2.7570000000000001</v>
      </c>
      <c r="V384" s="115">
        <v>15.808754993899999</v>
      </c>
      <c r="W384" s="109"/>
      <c r="X384" s="109">
        <v>15.577707373599999</v>
      </c>
      <c r="Y384" s="109"/>
      <c r="Z384" s="109">
        <v>7.6195311948043738</v>
      </c>
      <c r="AA384" s="109">
        <v>19.13080261197311</v>
      </c>
      <c r="AB384" s="109" t="s">
        <v>258</v>
      </c>
      <c r="AC384" s="109" t="s">
        <v>3735</v>
      </c>
      <c r="AD384" s="765" t="s">
        <v>4065</v>
      </c>
      <c r="AE384" s="765" t="s">
        <v>625</v>
      </c>
      <c r="AF384" s="765"/>
      <c r="AG384" s="765"/>
      <c r="AH384" s="109"/>
      <c r="AL384" s="2" t="s">
        <v>679</v>
      </c>
      <c r="AM384" s="2" t="s">
        <v>1086</v>
      </c>
      <c r="AN384" s="2" t="s">
        <v>952</v>
      </c>
      <c r="AO384" s="2">
        <v>0.10310416</v>
      </c>
      <c r="AP384" s="2" t="s">
        <v>4673</v>
      </c>
      <c r="AQ384" s="2" t="s">
        <v>4396</v>
      </c>
      <c r="AR384" s="2" t="s">
        <v>4844</v>
      </c>
      <c r="AT384" s="765"/>
      <c r="AU384" s="765"/>
      <c r="AV384" s="765"/>
      <c r="AW384" s="765"/>
    </row>
    <row r="385" spans="1:49" x14ac:dyDescent="0.25">
      <c r="A385" s="23" t="s">
        <v>1495</v>
      </c>
      <c r="B385" s="108" t="s">
        <v>148</v>
      </c>
      <c r="C385" s="108" t="s">
        <v>158</v>
      </c>
      <c r="D385" s="108" t="s">
        <v>1487</v>
      </c>
      <c r="E385" s="108" t="s">
        <v>1496</v>
      </c>
      <c r="F385" s="114" t="s">
        <v>694</v>
      </c>
      <c r="G385" s="213" t="s">
        <v>1497</v>
      </c>
      <c r="H385" s="115" t="s">
        <v>1498</v>
      </c>
      <c r="I385" s="213">
        <v>13761263</v>
      </c>
      <c r="J385" s="109">
        <v>7</v>
      </c>
      <c r="K385" s="109" t="s">
        <v>696</v>
      </c>
      <c r="L385" s="115">
        <v>3.2002900000000002E-3</v>
      </c>
      <c r="M385" s="115">
        <v>109.85833</v>
      </c>
      <c r="N385" s="115">
        <v>109.967705</v>
      </c>
      <c r="O385" s="214">
        <v>0.52500000000000002</v>
      </c>
      <c r="P385" s="115">
        <v>3.141</v>
      </c>
      <c r="Q385" s="769">
        <v>2.6088318484799999</v>
      </c>
      <c r="R385" s="216"/>
      <c r="S385" s="216">
        <v>2.6088318484799999</v>
      </c>
      <c r="T385" s="216">
        <v>26</v>
      </c>
      <c r="U385" s="216">
        <v>3.536</v>
      </c>
      <c r="V385" s="115">
        <v>94.979075125750001</v>
      </c>
      <c r="W385" s="109"/>
      <c r="X385" s="109">
        <v>79.662446612409994</v>
      </c>
      <c r="Y385" s="109"/>
      <c r="Z385" s="109">
        <v>12.07019969349987</v>
      </c>
      <c r="AA385" s="109">
        <v>14.4802900418573</v>
      </c>
      <c r="AB385" s="109" t="s">
        <v>1268</v>
      </c>
      <c r="AC385" s="109" t="s">
        <v>250</v>
      </c>
      <c r="AD385" s="765" t="s">
        <v>1776</v>
      </c>
      <c r="AE385" s="765" t="s">
        <v>625</v>
      </c>
      <c r="AF385" s="765"/>
      <c r="AG385" s="765"/>
      <c r="AH385" s="109"/>
      <c r="AL385" s="2" t="s">
        <v>679</v>
      </c>
      <c r="AM385" s="2" t="s">
        <v>1086</v>
      </c>
      <c r="AN385" s="2" t="s">
        <v>952</v>
      </c>
      <c r="AO385" s="2">
        <v>3.2618899999999999E-3</v>
      </c>
      <c r="AP385" s="2" t="s">
        <v>4673</v>
      </c>
      <c r="AQ385" s="2" t="s">
        <v>4396</v>
      </c>
      <c r="AR385" s="2" t="s">
        <v>4844</v>
      </c>
      <c r="AT385" s="765"/>
      <c r="AU385" s="765"/>
      <c r="AV385" s="765"/>
      <c r="AW385" s="765"/>
    </row>
    <row r="386" spans="1:49" x14ac:dyDescent="0.25">
      <c r="A386" s="23" t="s">
        <v>1499</v>
      </c>
      <c r="B386" s="108" t="s">
        <v>148</v>
      </c>
      <c r="C386" s="108" t="s">
        <v>158</v>
      </c>
      <c r="D386" s="108" t="s">
        <v>1487</v>
      </c>
      <c r="E386" s="108" t="s">
        <v>1500</v>
      </c>
      <c r="F386" s="114" t="s">
        <v>694</v>
      </c>
      <c r="G386" s="213" t="s">
        <v>1501</v>
      </c>
      <c r="H386" s="115" t="s">
        <v>1502</v>
      </c>
      <c r="I386" s="213">
        <v>7064857.6600000001</v>
      </c>
      <c r="J386" s="109">
        <v>7.5</v>
      </c>
      <c r="K386" s="109" t="s">
        <v>696</v>
      </c>
      <c r="L386" s="115">
        <v>3.5324200000000001E-3</v>
      </c>
      <c r="M386" s="115">
        <v>110.968529</v>
      </c>
      <c r="N386" s="115">
        <v>111.08571600000001</v>
      </c>
      <c r="O386" s="214">
        <v>0.5625</v>
      </c>
      <c r="P386" s="115">
        <v>3.1092</v>
      </c>
      <c r="Q386" s="769">
        <v>2.6199286080999999</v>
      </c>
      <c r="R386" s="216"/>
      <c r="S386" s="216">
        <v>2.6199286080999999</v>
      </c>
      <c r="T386" s="216">
        <v>26</v>
      </c>
      <c r="U386" s="216">
        <v>3.6</v>
      </c>
      <c r="V386" s="115">
        <v>101.41997324867</v>
      </c>
      <c r="W386" s="109"/>
      <c r="X386" s="109">
        <v>91.487377851229994</v>
      </c>
      <c r="Y386" s="109"/>
      <c r="Z386" s="109">
        <v>3.8425133273331191</v>
      </c>
      <c r="AA386" s="109">
        <v>12.259511227370799</v>
      </c>
      <c r="AB386" s="109" t="s">
        <v>2721</v>
      </c>
      <c r="AC386" s="109" t="s">
        <v>250</v>
      </c>
      <c r="AD386" s="765" t="s">
        <v>798</v>
      </c>
      <c r="AE386" s="765" t="s">
        <v>625</v>
      </c>
      <c r="AF386" s="765"/>
      <c r="AG386" s="765"/>
      <c r="AH386" s="109"/>
      <c r="AL386" s="2" t="s">
        <v>679</v>
      </c>
      <c r="AM386" s="2" t="s">
        <v>1086</v>
      </c>
      <c r="AN386" s="2" t="s">
        <v>952</v>
      </c>
      <c r="AO386" s="2">
        <v>3.5718199999999999E-3</v>
      </c>
      <c r="AP386" s="2" t="s">
        <v>4673</v>
      </c>
      <c r="AQ386" s="2" t="s">
        <v>4396</v>
      </c>
      <c r="AR386" s="2" t="s">
        <v>4844</v>
      </c>
      <c r="AT386" s="765"/>
      <c r="AU386" s="765"/>
      <c r="AV386" s="765"/>
      <c r="AW386" s="765"/>
    </row>
    <row r="387" spans="1:49" x14ac:dyDescent="0.25">
      <c r="A387" s="23" t="s">
        <v>1834</v>
      </c>
      <c r="B387" s="108" t="s">
        <v>797</v>
      </c>
      <c r="C387" s="108" t="s">
        <v>158</v>
      </c>
      <c r="D387" s="108" t="s">
        <v>1803</v>
      </c>
      <c r="E387" s="108" t="s">
        <v>1835</v>
      </c>
      <c r="F387" s="114" t="s">
        <v>694</v>
      </c>
      <c r="G387" s="213" t="s">
        <v>1836</v>
      </c>
      <c r="H387" s="115" t="s">
        <v>1837</v>
      </c>
      <c r="I387" s="213">
        <v>690804.78</v>
      </c>
      <c r="J387" s="109">
        <v>4.1399999999999997</v>
      </c>
      <c r="K387" s="109" t="s">
        <v>696</v>
      </c>
      <c r="L387" s="115">
        <v>7.4241000000000001E-2</v>
      </c>
      <c r="M387" s="115">
        <v>100</v>
      </c>
      <c r="N387" s="115">
        <v>100</v>
      </c>
      <c r="O387" s="214">
        <v>0.3105</v>
      </c>
      <c r="P387" s="115">
        <v>0.16089999999999999</v>
      </c>
      <c r="Q387" s="769">
        <v>0.15649545015999999</v>
      </c>
      <c r="R387" s="216"/>
      <c r="S387" s="216">
        <v>0.15649545015999999</v>
      </c>
      <c r="T387" s="216">
        <v>27</v>
      </c>
      <c r="U387" s="216">
        <v>2.7240000000000002</v>
      </c>
      <c r="V387" s="115">
        <v>241.07385697925</v>
      </c>
      <c r="W387" s="109"/>
      <c r="X387" s="109">
        <v>234.49084196061</v>
      </c>
      <c r="Y387" s="109"/>
      <c r="Z387" s="109">
        <v>0</v>
      </c>
      <c r="AA387" s="109">
        <v>0</v>
      </c>
      <c r="AB387" s="109" t="s">
        <v>4972</v>
      </c>
      <c r="AC387" s="109" t="s">
        <v>4973</v>
      </c>
      <c r="AD387" s="765"/>
      <c r="AE387" s="765" t="s">
        <v>625</v>
      </c>
      <c r="AF387" s="765"/>
      <c r="AG387" s="765"/>
      <c r="AH387" s="109"/>
      <c r="AL387" s="2" t="s">
        <v>679</v>
      </c>
      <c r="AM387" s="2" t="s">
        <v>1086</v>
      </c>
      <c r="AN387" s="2" t="s">
        <v>952</v>
      </c>
      <c r="AO387" s="2">
        <v>0.12945276</v>
      </c>
      <c r="AP387" s="2" t="s">
        <v>4673</v>
      </c>
      <c r="AQ387" s="2" t="s">
        <v>4668</v>
      </c>
      <c r="AR387" s="2" t="s">
        <v>3969</v>
      </c>
      <c r="AT387" s="765"/>
      <c r="AU387" s="765"/>
      <c r="AV387" s="765"/>
      <c r="AW387" s="765"/>
    </row>
    <row r="388" spans="1:49" x14ac:dyDescent="0.25">
      <c r="A388" s="23" t="s">
        <v>1503</v>
      </c>
      <c r="B388" s="108" t="s">
        <v>148</v>
      </c>
      <c r="C388" s="108" t="s">
        <v>158</v>
      </c>
      <c r="D388" s="108" t="s">
        <v>271</v>
      </c>
      <c r="E388" s="108" t="s">
        <v>1504</v>
      </c>
      <c r="F388" s="114" t="s">
        <v>694</v>
      </c>
      <c r="G388" s="213" t="s">
        <v>1430</v>
      </c>
      <c r="H388" s="115" t="s">
        <v>1505</v>
      </c>
      <c r="I388" s="213">
        <v>5054166.8</v>
      </c>
      <c r="J388" s="109">
        <v>5.5</v>
      </c>
      <c r="K388" s="109" t="s">
        <v>696</v>
      </c>
      <c r="L388" s="115">
        <v>1.9184340000000001E-2</v>
      </c>
      <c r="M388" s="115">
        <v>109.089264</v>
      </c>
      <c r="N388" s="115">
        <v>109.190826</v>
      </c>
      <c r="O388" s="214">
        <v>0.41249999999999998</v>
      </c>
      <c r="P388" s="115">
        <v>4.7675000000000001</v>
      </c>
      <c r="Q388" s="769">
        <v>3.6748109019199999</v>
      </c>
      <c r="R388" s="216"/>
      <c r="S388" s="216">
        <v>3.6748109019199999</v>
      </c>
      <c r="T388" s="216">
        <v>26</v>
      </c>
      <c r="U388" s="216">
        <v>3.2970000000000002</v>
      </c>
      <c r="V388" s="115">
        <v>69.883004569099995</v>
      </c>
      <c r="W388" s="109"/>
      <c r="X388" s="109">
        <v>56.163733101669997</v>
      </c>
      <c r="Y388" s="109"/>
      <c r="Z388" s="109">
        <v>15.78413952599541</v>
      </c>
      <c r="AA388" s="109">
        <v>20.333453291024671</v>
      </c>
      <c r="AB388" s="109" t="s">
        <v>251</v>
      </c>
      <c r="AC388" s="109" t="s">
        <v>2327</v>
      </c>
      <c r="AD388" s="765" t="s">
        <v>1506</v>
      </c>
      <c r="AE388" s="765" t="s">
        <v>625</v>
      </c>
      <c r="AF388" s="765"/>
      <c r="AG388" s="765"/>
      <c r="AH388" s="109"/>
      <c r="AL388" s="2" t="s">
        <v>679</v>
      </c>
      <c r="AM388" s="2" t="s">
        <v>1086</v>
      </c>
      <c r="AN388" s="2" t="s">
        <v>952</v>
      </c>
      <c r="AO388" s="2">
        <v>1.952487E-2</v>
      </c>
      <c r="AP388" s="2" t="s">
        <v>4673</v>
      </c>
      <c r="AQ388" s="2" t="s">
        <v>4668</v>
      </c>
      <c r="AR388" s="2" t="s">
        <v>4819</v>
      </c>
      <c r="AT388" s="765"/>
      <c r="AU388" s="765"/>
      <c r="AV388" s="765"/>
      <c r="AW388" s="765"/>
    </row>
    <row r="389" spans="1:49" x14ac:dyDescent="0.25">
      <c r="A389" s="23" t="s">
        <v>1507</v>
      </c>
      <c r="B389" s="108" t="s">
        <v>148</v>
      </c>
      <c r="C389" s="108" t="s">
        <v>158</v>
      </c>
      <c r="D389" s="108" t="s">
        <v>1487</v>
      </c>
      <c r="E389" s="108" t="s">
        <v>1508</v>
      </c>
      <c r="F389" s="114" t="s">
        <v>694</v>
      </c>
      <c r="G389" s="213" t="s">
        <v>1509</v>
      </c>
      <c r="H389" s="115" t="s">
        <v>1510</v>
      </c>
      <c r="I389" s="213">
        <v>15431788.890000001</v>
      </c>
      <c r="J389" s="109">
        <v>6.5</v>
      </c>
      <c r="K389" s="109" t="s">
        <v>696</v>
      </c>
      <c r="L389" s="115">
        <v>3.8578990000000001E-2</v>
      </c>
      <c r="M389" s="115">
        <v>110.239189</v>
      </c>
      <c r="N389" s="115">
        <v>110.34075199999999</v>
      </c>
      <c r="O389" s="214">
        <v>0.48749999999999999</v>
      </c>
      <c r="P389" s="115">
        <v>3.4518</v>
      </c>
      <c r="Q389" s="769">
        <v>2.9181259130699999</v>
      </c>
      <c r="R389" s="216"/>
      <c r="S389" s="216">
        <v>2.9181259130699999</v>
      </c>
      <c r="T389" s="216">
        <v>27</v>
      </c>
      <c r="U389" s="216">
        <v>3.2280000000000002</v>
      </c>
      <c r="V389" s="115">
        <v>63.889603472429997</v>
      </c>
      <c r="W389" s="109"/>
      <c r="X389" s="109">
        <v>51.968865136780003</v>
      </c>
      <c r="Y389" s="109"/>
      <c r="Z389" s="109">
        <v>12.83826047822583</v>
      </c>
      <c r="AA389" s="109">
        <v>14.509384835162621</v>
      </c>
      <c r="AB389" s="109" t="s">
        <v>1393</v>
      </c>
      <c r="AC389" s="109" t="s">
        <v>830</v>
      </c>
      <c r="AD389" s="765" t="s">
        <v>1192</v>
      </c>
      <c r="AE389" s="765" t="s">
        <v>625</v>
      </c>
      <c r="AF389" s="765"/>
      <c r="AG389" s="765"/>
      <c r="AH389" s="109"/>
      <c r="AL389" s="2" t="s">
        <v>679</v>
      </c>
      <c r="AM389" s="2" t="s">
        <v>1086</v>
      </c>
      <c r="AN389" s="2" t="s">
        <v>952</v>
      </c>
      <c r="AO389" s="2">
        <v>3.9302709999999998E-2</v>
      </c>
      <c r="AP389" s="2" t="s">
        <v>4673</v>
      </c>
      <c r="AQ389" s="2" t="s">
        <v>4396</v>
      </c>
      <c r="AR389" s="2" t="s">
        <v>4844</v>
      </c>
      <c r="AT389" s="765"/>
      <c r="AU389" s="765"/>
      <c r="AV389" s="765"/>
      <c r="AW389" s="765"/>
    </row>
    <row r="390" spans="1:49" x14ac:dyDescent="0.25">
      <c r="A390" s="23" t="s">
        <v>1511</v>
      </c>
      <c r="B390" s="108" t="s">
        <v>148</v>
      </c>
      <c r="C390" s="108" t="s">
        <v>158</v>
      </c>
      <c r="D390" s="108" t="s">
        <v>1487</v>
      </c>
      <c r="E390" s="108" t="s">
        <v>1512</v>
      </c>
      <c r="F390" s="114" t="s">
        <v>694</v>
      </c>
      <c r="G390" s="213" t="s">
        <v>1513</v>
      </c>
      <c r="H390" s="115" t="s">
        <v>1514</v>
      </c>
      <c r="I390" s="213">
        <v>1234910.51</v>
      </c>
      <c r="J390" s="109">
        <v>8</v>
      </c>
      <c r="K390" s="109" t="s">
        <v>696</v>
      </c>
      <c r="L390" s="115">
        <v>7.9383289999999995E-2</v>
      </c>
      <c r="M390" s="115">
        <v>112.56662799999999</v>
      </c>
      <c r="N390" s="115">
        <v>112.69162799999999</v>
      </c>
      <c r="O390" s="214">
        <v>0.6</v>
      </c>
      <c r="P390" s="115">
        <v>3.0093000000000001</v>
      </c>
      <c r="Q390" s="769">
        <v>2.5511575265599999</v>
      </c>
      <c r="R390" s="216"/>
      <c r="S390" s="216">
        <v>2.5511575265599999</v>
      </c>
      <c r="T390" s="216">
        <v>27</v>
      </c>
      <c r="U390" s="216">
        <v>3.4159999999999999</v>
      </c>
      <c r="V390" s="115">
        <v>83.044808234680005</v>
      </c>
      <c r="W390" s="109"/>
      <c r="X390" s="109">
        <v>77.415547821529998</v>
      </c>
      <c r="Y390" s="109"/>
      <c r="Z390" s="109">
        <v>13.191974512544039</v>
      </c>
      <c r="AA390" s="109">
        <v>14.412115983192489</v>
      </c>
      <c r="AB390" s="109" t="s">
        <v>2552</v>
      </c>
      <c r="AC390" s="109" t="s">
        <v>2244</v>
      </c>
      <c r="AD390" s="765" t="s">
        <v>2939</v>
      </c>
      <c r="AE390" s="765" t="s">
        <v>625</v>
      </c>
      <c r="AF390" s="765"/>
      <c r="AG390" s="765"/>
      <c r="AH390" s="109"/>
      <c r="AL390" s="2" t="s">
        <v>679</v>
      </c>
      <c r="AM390" s="2" t="s">
        <v>1086</v>
      </c>
      <c r="AN390" s="2" t="s">
        <v>952</v>
      </c>
      <c r="AO390" s="2">
        <v>8.0980839999999998E-2</v>
      </c>
      <c r="AP390" s="2" t="s">
        <v>4673</v>
      </c>
      <c r="AQ390" s="2" t="s">
        <v>4396</v>
      </c>
      <c r="AR390" s="2" t="s">
        <v>4844</v>
      </c>
      <c r="AT390" s="765"/>
      <c r="AU390" s="765"/>
      <c r="AV390" s="765"/>
      <c r="AW390" s="765"/>
    </row>
    <row r="391" spans="1:49" x14ac:dyDescent="0.25">
      <c r="A391" s="23" t="s">
        <v>1516</v>
      </c>
      <c r="B391" s="108" t="s">
        <v>147</v>
      </c>
      <c r="C391" s="108" t="s">
        <v>158</v>
      </c>
      <c r="D391" s="108" t="s">
        <v>1517</v>
      </c>
      <c r="E391" s="108" t="s">
        <v>1518</v>
      </c>
      <c r="F391" s="114" t="s">
        <v>694</v>
      </c>
      <c r="G391" s="213" t="s">
        <v>1226</v>
      </c>
      <c r="H391" s="115" t="s">
        <v>1519</v>
      </c>
      <c r="I391" s="213">
        <v>25744.78</v>
      </c>
      <c r="J391" s="109">
        <v>6.5</v>
      </c>
      <c r="K391" s="109" t="s">
        <v>696</v>
      </c>
      <c r="L391" s="115">
        <v>1.24087E-3</v>
      </c>
      <c r="M391" s="115">
        <v>100.734566</v>
      </c>
      <c r="N391" s="115">
        <v>100.750469</v>
      </c>
      <c r="O391" s="214">
        <v>0.48749999999999999</v>
      </c>
      <c r="P391" s="115">
        <v>0.3841</v>
      </c>
      <c r="Q391" s="769">
        <v>0.39109495286000001</v>
      </c>
      <c r="R391" s="216"/>
      <c r="S391" s="216">
        <v>0.39109495286000001</v>
      </c>
      <c r="T391" s="216">
        <v>27</v>
      </c>
      <c r="U391" s="216">
        <v>3.9319999999999999</v>
      </c>
      <c r="V391" s="115">
        <v>311.76685919210001</v>
      </c>
      <c r="W391" s="109"/>
      <c r="X391" s="109">
        <v>269.71492967613</v>
      </c>
      <c r="Y391" s="109"/>
      <c r="Z391" s="109">
        <v>70.15891985032097</v>
      </c>
      <c r="AA391" s="109">
        <v>52.531520288151277</v>
      </c>
      <c r="AB391" s="109" t="s">
        <v>5137</v>
      </c>
      <c r="AC391" s="109" t="s">
        <v>3725</v>
      </c>
      <c r="AD391" s="765" t="s">
        <v>5138</v>
      </c>
      <c r="AE391" s="765" t="s">
        <v>625</v>
      </c>
      <c r="AF391" s="765"/>
      <c r="AG391" s="765"/>
      <c r="AH391" s="109"/>
      <c r="AL391" s="2" t="s">
        <v>679</v>
      </c>
      <c r="AM391" s="2" t="s">
        <v>1086</v>
      </c>
      <c r="AN391" s="2" t="s">
        <v>952</v>
      </c>
      <c r="AO391" s="2">
        <v>1.5205399999999999E-3</v>
      </c>
      <c r="AP391" s="2" t="s">
        <v>4673</v>
      </c>
      <c r="AQ391" s="2" t="s">
        <v>4396</v>
      </c>
      <c r="AR391" s="2" t="s">
        <v>4844</v>
      </c>
      <c r="AT391" s="765"/>
      <c r="AU391" s="765"/>
      <c r="AV391" s="765"/>
      <c r="AW391" s="765"/>
    </row>
    <row r="392" spans="1:49" x14ac:dyDescent="0.25">
      <c r="A392" s="23" t="s">
        <v>1973</v>
      </c>
      <c r="B392" s="108" t="s">
        <v>529</v>
      </c>
      <c r="C392" s="108" t="s">
        <v>1974</v>
      </c>
      <c r="D392" s="108" t="s">
        <v>1683</v>
      </c>
      <c r="E392" s="108" t="s">
        <v>1975</v>
      </c>
      <c r="F392" s="114" t="s">
        <v>698</v>
      </c>
      <c r="G392" s="213" t="s">
        <v>1977</v>
      </c>
      <c r="H392" s="115" t="s">
        <v>1978</v>
      </c>
      <c r="I392" s="213">
        <v>63940000</v>
      </c>
      <c r="J392" s="109">
        <v>3.3985699999999999</v>
      </c>
      <c r="K392" s="109" t="s">
        <v>695</v>
      </c>
      <c r="L392" s="115">
        <v>1</v>
      </c>
      <c r="M392" s="115">
        <v>0</v>
      </c>
      <c r="N392" s="115">
        <v>0</v>
      </c>
      <c r="O392" s="214">
        <v>6.6083000000000003E-2</v>
      </c>
      <c r="P392" s="115">
        <v>0.47899999999999998</v>
      </c>
      <c r="Q392" s="769"/>
      <c r="R392" s="216"/>
      <c r="S392" s="216">
        <v>0.47899999999999998</v>
      </c>
      <c r="T392" s="216">
        <v>6</v>
      </c>
      <c r="U392" s="216"/>
      <c r="V392" s="115"/>
      <c r="W392" s="109">
        <v>295</v>
      </c>
      <c r="X392" s="109"/>
      <c r="Y392" s="109" t="s">
        <v>532</v>
      </c>
      <c r="Z392" s="109"/>
      <c r="AA392" s="109"/>
      <c r="AB392" s="109"/>
      <c r="AC392" s="109"/>
      <c r="AD392" s="765"/>
      <c r="AE392" s="765" t="s">
        <v>10</v>
      </c>
      <c r="AF392" s="765"/>
      <c r="AG392" s="765" t="s">
        <v>522</v>
      </c>
      <c r="AH392" s="109"/>
      <c r="AI392" s="2" t="s">
        <v>20</v>
      </c>
      <c r="AL392" s="2" t="s">
        <v>680</v>
      </c>
      <c r="AM392" s="2" t="s">
        <v>1656</v>
      </c>
      <c r="AN392" s="2" t="s">
        <v>952</v>
      </c>
      <c r="AO392" s="2">
        <v>1</v>
      </c>
      <c r="AP392" s="2" t="s">
        <v>4673</v>
      </c>
      <c r="AQ392" s="2" t="s">
        <v>4818</v>
      </c>
      <c r="AR392" s="2" t="s">
        <v>4727</v>
      </c>
      <c r="AT392" s="765"/>
      <c r="AU392" s="765"/>
      <c r="AV392" s="765"/>
      <c r="AW392" s="765"/>
    </row>
    <row r="393" spans="1:49" x14ac:dyDescent="0.25">
      <c r="A393" s="23" t="s">
        <v>3931</v>
      </c>
      <c r="B393" s="108" t="s">
        <v>527</v>
      </c>
      <c r="C393" s="108" t="s">
        <v>3957</v>
      </c>
      <c r="D393" s="108" t="s">
        <v>3682</v>
      </c>
      <c r="E393" s="108" t="s">
        <v>3958</v>
      </c>
      <c r="F393" s="114" t="s">
        <v>694</v>
      </c>
      <c r="G393" s="213" t="s">
        <v>3959</v>
      </c>
      <c r="H393" s="115" t="s">
        <v>2011</v>
      </c>
      <c r="I393" s="213">
        <v>26367000</v>
      </c>
      <c r="J393" s="109">
        <v>2.6</v>
      </c>
      <c r="K393" s="109" t="s">
        <v>695</v>
      </c>
      <c r="L393" s="115">
        <v>1</v>
      </c>
      <c r="M393" s="115">
        <v>95.520995999999997</v>
      </c>
      <c r="N393" s="115">
        <v>95.567818000000003</v>
      </c>
      <c r="O393" s="214">
        <v>9.3889E-2</v>
      </c>
      <c r="P393" s="115">
        <v>0.54170000000000007</v>
      </c>
      <c r="Q393" s="769">
        <v>3.6999999999999998E-2</v>
      </c>
      <c r="R393" s="216"/>
      <c r="S393" s="216">
        <v>3.6999999999999998E-2</v>
      </c>
      <c r="T393" s="216">
        <v>13</v>
      </c>
      <c r="U393" s="216">
        <v>11.291</v>
      </c>
      <c r="V393" s="115">
        <v>1020.670928768282</v>
      </c>
      <c r="W393" s="109">
        <v>220</v>
      </c>
      <c r="X393" s="109">
        <v>1099.5999999999999</v>
      </c>
      <c r="Y393" s="109" t="s">
        <v>3960</v>
      </c>
      <c r="Z393" s="109">
        <v>0</v>
      </c>
      <c r="AA393" s="109">
        <v>0</v>
      </c>
      <c r="AB393" s="109"/>
      <c r="AC393" s="109"/>
      <c r="AD393" s="765"/>
      <c r="AE393" s="765" t="s">
        <v>10</v>
      </c>
      <c r="AF393" s="765" t="s">
        <v>20</v>
      </c>
      <c r="AG393" s="765"/>
      <c r="AH393" s="109"/>
      <c r="AL393" s="2" t="s">
        <v>680</v>
      </c>
      <c r="AM393" s="2" t="s">
        <v>2976</v>
      </c>
      <c r="AN393" s="2" t="s">
        <v>952</v>
      </c>
      <c r="AO393" s="2">
        <v>1</v>
      </c>
      <c r="AP393" s="2" t="s">
        <v>4675</v>
      </c>
      <c r="AQ393" s="2" t="s">
        <v>4396</v>
      </c>
      <c r="AR393" s="2" t="s">
        <v>4671</v>
      </c>
      <c r="AT393" s="765"/>
      <c r="AU393" s="765"/>
      <c r="AV393" s="765"/>
      <c r="AW393" s="765"/>
    </row>
    <row r="394" spans="1:49" x14ac:dyDescent="0.25">
      <c r="A394" s="23" t="s">
        <v>4840</v>
      </c>
      <c r="B394" s="108" t="s">
        <v>2245</v>
      </c>
      <c r="C394" s="108" t="s">
        <v>3227</v>
      </c>
      <c r="D394" s="108" t="s">
        <v>4849</v>
      </c>
      <c r="E394" s="108" t="s">
        <v>4850</v>
      </c>
      <c r="F394" s="114" t="s">
        <v>694</v>
      </c>
      <c r="G394" s="213" t="s">
        <v>3222</v>
      </c>
      <c r="H394" s="115" t="s">
        <v>4851</v>
      </c>
      <c r="I394" s="213">
        <v>86057105.280000001</v>
      </c>
      <c r="J394" s="109">
        <v>0.15625</v>
      </c>
      <c r="K394" s="109" t="s">
        <v>696</v>
      </c>
      <c r="L394" s="115">
        <v>0.92109629000000004</v>
      </c>
      <c r="M394" s="115">
        <v>0</v>
      </c>
      <c r="N394" s="115">
        <v>0</v>
      </c>
      <c r="O394" s="214">
        <v>1.1719E-2</v>
      </c>
      <c r="P394" s="115">
        <v>9.3366000000000007</v>
      </c>
      <c r="Q394" s="769"/>
      <c r="R394" s="216"/>
      <c r="S394" s="216">
        <v>9.3366000000000007</v>
      </c>
      <c r="T394" s="216">
        <v>27</v>
      </c>
      <c r="U394" s="216"/>
      <c r="V394" s="115"/>
      <c r="W394" s="109"/>
      <c r="X394" s="109"/>
      <c r="Y394" s="109" t="s">
        <v>164</v>
      </c>
      <c r="Z394" s="109">
        <v>6.2033869727579072</v>
      </c>
      <c r="AA394" s="109">
        <v>9.9017970278377661</v>
      </c>
      <c r="AB394" s="109" t="s">
        <v>2419</v>
      </c>
      <c r="AC394" s="109" t="s">
        <v>2418</v>
      </c>
      <c r="AD394" s="765" t="s">
        <v>3411</v>
      </c>
      <c r="AE394" s="765" t="s">
        <v>7</v>
      </c>
      <c r="AF394" s="765"/>
      <c r="AG394" s="765"/>
      <c r="AH394" s="109" t="s">
        <v>15</v>
      </c>
      <c r="AJ394" s="2" t="s">
        <v>7</v>
      </c>
      <c r="AL394" s="2" t="s">
        <v>680</v>
      </c>
      <c r="AM394" s="2" t="s">
        <v>3423</v>
      </c>
      <c r="AN394" s="2" t="s">
        <v>952</v>
      </c>
      <c r="AO394" s="2">
        <v>0.92799991500000001</v>
      </c>
      <c r="AP394" s="2" t="s">
        <v>4673</v>
      </c>
      <c r="AQ394" s="2" t="s">
        <v>4469</v>
      </c>
      <c r="AR394" s="2" t="s">
        <v>4638</v>
      </c>
      <c r="AT394" s="765"/>
      <c r="AU394" s="765"/>
      <c r="AV394" s="765"/>
      <c r="AW394" s="765"/>
    </row>
    <row r="395" spans="1:49" x14ac:dyDescent="0.25">
      <c r="A395" s="23" t="s">
        <v>5075</v>
      </c>
      <c r="B395" s="108" t="s">
        <v>528</v>
      </c>
      <c r="C395" s="108" t="s">
        <v>3227</v>
      </c>
      <c r="D395" s="108" t="s">
        <v>3688</v>
      </c>
      <c r="E395" s="108" t="s">
        <v>5139</v>
      </c>
      <c r="F395" s="114" t="s">
        <v>694</v>
      </c>
      <c r="G395" s="213" t="s">
        <v>3084</v>
      </c>
      <c r="H395" s="115" t="s">
        <v>4809</v>
      </c>
      <c r="I395" s="213">
        <v>264215845.78</v>
      </c>
      <c r="J395" s="109">
        <v>2.5</v>
      </c>
      <c r="K395" s="109" t="s">
        <v>696</v>
      </c>
      <c r="L395" s="115">
        <v>0.91908836140000005</v>
      </c>
      <c r="M395" s="115">
        <v>91.201781999999994</v>
      </c>
      <c r="N395" s="115">
        <v>91.226783999999995</v>
      </c>
      <c r="O395" s="214">
        <v>0.1875</v>
      </c>
      <c r="P395" s="115">
        <v>7.8932000000000002</v>
      </c>
      <c r="Q395" s="769">
        <v>8.72158228188</v>
      </c>
      <c r="R395" s="216"/>
      <c r="S395" s="216">
        <v>8.72158228188</v>
      </c>
      <c r="T395" s="216">
        <v>26</v>
      </c>
      <c r="U395" s="216">
        <v>3.92</v>
      </c>
      <c r="V395" s="115">
        <v>136.67433942560999</v>
      </c>
      <c r="W395" s="109"/>
      <c r="X395" s="109">
        <v>106.76342650433</v>
      </c>
      <c r="Y395" s="109" t="s">
        <v>2124</v>
      </c>
      <c r="Z395" s="109">
        <v>7.7855478198110006</v>
      </c>
      <c r="AA395" s="109">
        <v>9.6912470125883665</v>
      </c>
      <c r="AB395" s="109" t="s">
        <v>4739</v>
      </c>
      <c r="AC395" s="109" t="s">
        <v>5140</v>
      </c>
      <c r="AD395" s="765" t="s">
        <v>1798</v>
      </c>
      <c r="AE395" s="765" t="s">
        <v>7</v>
      </c>
      <c r="AF395" s="765"/>
      <c r="AG395" s="765" t="s">
        <v>1062</v>
      </c>
      <c r="AH395" s="109"/>
      <c r="AI395" s="2" t="s">
        <v>7</v>
      </c>
      <c r="AL395" s="2" t="s">
        <v>680</v>
      </c>
      <c r="AM395" s="2" t="s">
        <v>709</v>
      </c>
      <c r="AN395" s="2" t="s">
        <v>952</v>
      </c>
      <c r="AO395" s="2">
        <v>0.92737097400000001</v>
      </c>
      <c r="AP395" s="2" t="s">
        <v>4673</v>
      </c>
      <c r="AQ395" s="2" t="s">
        <v>4469</v>
      </c>
      <c r="AR395" s="2" t="s">
        <v>4638</v>
      </c>
      <c r="AT395" s="765"/>
      <c r="AU395" s="765"/>
      <c r="AV395" s="765"/>
      <c r="AW395" s="765"/>
    </row>
    <row r="396" spans="1:49" x14ac:dyDescent="0.25">
      <c r="A396" s="23" t="s">
        <v>3588</v>
      </c>
      <c r="B396" s="108" t="s">
        <v>528</v>
      </c>
      <c r="C396" s="108" t="s">
        <v>3227</v>
      </c>
      <c r="D396" s="108" t="s">
        <v>3736</v>
      </c>
      <c r="E396" s="108" t="s">
        <v>3737</v>
      </c>
      <c r="F396" s="114" t="s">
        <v>694</v>
      </c>
      <c r="G396" s="213" t="s">
        <v>3330</v>
      </c>
      <c r="H396" s="115" t="s">
        <v>3738</v>
      </c>
      <c r="I396" s="213">
        <v>215826863.31999999</v>
      </c>
      <c r="J396" s="109">
        <v>2.5</v>
      </c>
      <c r="K396" s="109" t="s">
        <v>696</v>
      </c>
      <c r="L396" s="115">
        <v>0.93892469229999997</v>
      </c>
      <c r="M396" s="115">
        <v>91.203613000000004</v>
      </c>
      <c r="N396" s="115">
        <v>91.228611000000001</v>
      </c>
      <c r="O396" s="214">
        <v>0.1875</v>
      </c>
      <c r="P396" s="115">
        <v>7.9161000000000001</v>
      </c>
      <c r="Q396" s="769">
        <v>7.13758383476</v>
      </c>
      <c r="R396" s="216"/>
      <c r="S396" s="216">
        <v>7.13758383476</v>
      </c>
      <c r="T396" s="216">
        <v>26</v>
      </c>
      <c r="U396" s="216">
        <v>3.9159999999999999</v>
      </c>
      <c r="V396" s="115">
        <v>136.35350418304</v>
      </c>
      <c r="W396" s="109"/>
      <c r="X396" s="109">
        <v>85.185060297640007</v>
      </c>
      <c r="Y396" s="109" t="s">
        <v>3739</v>
      </c>
      <c r="Z396" s="109">
        <v>7.480647910129445</v>
      </c>
      <c r="AA396" s="109">
        <v>7.8796208863278867</v>
      </c>
      <c r="AB396" s="109" t="s">
        <v>2935</v>
      </c>
      <c r="AC396" s="109" t="s">
        <v>3204</v>
      </c>
      <c r="AD396" s="765" t="s">
        <v>2379</v>
      </c>
      <c r="AE396" s="765" t="s">
        <v>7</v>
      </c>
      <c r="AF396" s="765"/>
      <c r="AG396" s="765" t="s">
        <v>1062</v>
      </c>
      <c r="AH396" s="109"/>
      <c r="AI396" s="2" t="s">
        <v>7</v>
      </c>
      <c r="AL396" s="2" t="s">
        <v>680</v>
      </c>
      <c r="AM396" s="2" t="s">
        <v>709</v>
      </c>
      <c r="AN396" s="2" t="s">
        <v>952</v>
      </c>
      <c r="AO396" s="2">
        <v>0.94711104000000002</v>
      </c>
      <c r="AP396" s="2" t="s">
        <v>4673</v>
      </c>
      <c r="AQ396" s="2" t="s">
        <v>4469</v>
      </c>
      <c r="AR396" s="2" t="s">
        <v>4638</v>
      </c>
      <c r="AT396" s="765"/>
      <c r="AU396" s="765"/>
      <c r="AV396" s="765"/>
      <c r="AW396" s="765"/>
    </row>
    <row r="397" spans="1:49" x14ac:dyDescent="0.25">
      <c r="A397" s="23" t="s">
        <v>3589</v>
      </c>
      <c r="B397" s="108" t="s">
        <v>528</v>
      </c>
      <c r="C397" s="108" t="s">
        <v>3227</v>
      </c>
      <c r="D397" s="108" t="s">
        <v>3736</v>
      </c>
      <c r="E397" s="108" t="s">
        <v>3741</v>
      </c>
      <c r="F397" s="114" t="s">
        <v>694</v>
      </c>
      <c r="G397" s="213" t="s">
        <v>3330</v>
      </c>
      <c r="H397" s="115" t="s">
        <v>3738</v>
      </c>
      <c r="I397" s="213">
        <v>24672124.129999999</v>
      </c>
      <c r="J397" s="109">
        <v>2.5</v>
      </c>
      <c r="K397" s="109" t="s">
        <v>696</v>
      </c>
      <c r="L397" s="115">
        <v>0.93892469190000005</v>
      </c>
      <c r="M397" s="115">
        <v>90.324280000000002</v>
      </c>
      <c r="N397" s="115">
        <v>90.349281000000005</v>
      </c>
      <c r="O397" s="214">
        <v>0.1875</v>
      </c>
      <c r="P397" s="115">
        <v>7.9161000000000001</v>
      </c>
      <c r="Q397" s="769">
        <v>7.1831542628599996</v>
      </c>
      <c r="R397" s="216"/>
      <c r="S397" s="216">
        <v>7.1831542628599996</v>
      </c>
      <c r="T397" s="216">
        <v>26</v>
      </c>
      <c r="U397" s="216">
        <v>4.0739999999999998</v>
      </c>
      <c r="V397" s="115">
        <v>152.07713936483</v>
      </c>
      <c r="W397" s="109"/>
      <c r="X397" s="109">
        <v>99.102822843989998</v>
      </c>
      <c r="Y397" s="109" t="s">
        <v>3742</v>
      </c>
      <c r="Z397" s="109">
        <v>7.480647910129445</v>
      </c>
      <c r="AA397" s="109">
        <v>7.8796208863278867</v>
      </c>
      <c r="AB397" s="109" t="s">
        <v>2935</v>
      </c>
      <c r="AC397" s="109" t="s">
        <v>3204</v>
      </c>
      <c r="AD397" s="765" t="s">
        <v>2379</v>
      </c>
      <c r="AE397" s="765" t="s">
        <v>7</v>
      </c>
      <c r="AF397" s="765"/>
      <c r="AG397" s="765" t="s">
        <v>1628</v>
      </c>
      <c r="AH397" s="109"/>
      <c r="AI397" s="2" t="s">
        <v>7</v>
      </c>
      <c r="AL397" s="2" t="s">
        <v>680</v>
      </c>
      <c r="AM397" s="2" t="s">
        <v>709</v>
      </c>
      <c r="AN397" s="2" t="s">
        <v>952</v>
      </c>
      <c r="AO397" s="2">
        <v>0.94711104000000002</v>
      </c>
      <c r="AP397" s="2" t="s">
        <v>4673</v>
      </c>
      <c r="AQ397" s="2" t="s">
        <v>4469</v>
      </c>
      <c r="AR397" s="2" t="s">
        <v>4638</v>
      </c>
      <c r="AT397" s="765"/>
      <c r="AU397" s="765"/>
      <c r="AV397" s="765"/>
      <c r="AW397" s="765"/>
    </row>
    <row r="398" spans="1:49" x14ac:dyDescent="0.25">
      <c r="A398" s="23" t="s">
        <v>4839</v>
      </c>
      <c r="B398" s="108" t="s">
        <v>2245</v>
      </c>
      <c r="C398" s="108" t="s">
        <v>3227</v>
      </c>
      <c r="D398" s="108" t="s">
        <v>5141</v>
      </c>
      <c r="E398" s="108" t="s">
        <v>4852</v>
      </c>
      <c r="F398" s="114" t="s">
        <v>694</v>
      </c>
      <c r="G398" s="213" t="s">
        <v>4654</v>
      </c>
      <c r="H398" s="115" t="s">
        <v>4853</v>
      </c>
      <c r="I398" s="213">
        <v>50933642.530000001</v>
      </c>
      <c r="J398" s="109">
        <v>0.15625</v>
      </c>
      <c r="K398" s="109" t="s">
        <v>696</v>
      </c>
      <c r="L398" s="115">
        <v>0.94199449840000005</v>
      </c>
      <c r="M398" s="115">
        <v>0</v>
      </c>
      <c r="N398" s="115">
        <v>0</v>
      </c>
      <c r="O398" s="214">
        <v>1.1719E-2</v>
      </c>
      <c r="P398" s="115">
        <v>3.6659000000000002</v>
      </c>
      <c r="Q398" s="769"/>
      <c r="R398" s="216"/>
      <c r="S398" s="216">
        <v>3.6659000000000002</v>
      </c>
      <c r="T398" s="216">
        <v>27</v>
      </c>
      <c r="U398" s="216"/>
      <c r="V398" s="115"/>
      <c r="W398" s="109"/>
      <c r="X398" s="109"/>
      <c r="Y398" s="109" t="s">
        <v>4848</v>
      </c>
      <c r="Z398" s="109">
        <v>18.212092153658599</v>
      </c>
      <c r="AA398" s="109"/>
      <c r="AB398" s="109" t="s">
        <v>4854</v>
      </c>
      <c r="AC398" s="109" t="s">
        <v>254</v>
      </c>
      <c r="AD398" s="765" t="s">
        <v>2379</v>
      </c>
      <c r="AE398" s="765" t="s">
        <v>7</v>
      </c>
      <c r="AF398" s="765"/>
      <c r="AG398" s="765" t="s">
        <v>1628</v>
      </c>
      <c r="AH398" s="109"/>
      <c r="AI398" s="2" t="s">
        <v>7</v>
      </c>
      <c r="AL398" s="2" t="s">
        <v>680</v>
      </c>
      <c r="AM398" s="2" t="s">
        <v>3423</v>
      </c>
      <c r="AN398" s="2" t="s">
        <v>952</v>
      </c>
      <c r="AO398" s="2">
        <v>0.96045519099999999</v>
      </c>
      <c r="AP398" s="2" t="s">
        <v>4673</v>
      </c>
      <c r="AQ398" s="2" t="s">
        <v>4469</v>
      </c>
      <c r="AR398" s="2" t="s">
        <v>4638</v>
      </c>
      <c r="AT398" s="765"/>
      <c r="AU398" s="765"/>
      <c r="AV398" s="765"/>
      <c r="AW398" s="765"/>
    </row>
    <row r="399" spans="1:49" x14ac:dyDescent="0.25">
      <c r="A399" s="23" t="s">
        <v>4838</v>
      </c>
      <c r="B399" s="108" t="s">
        <v>2245</v>
      </c>
      <c r="C399" s="108" t="s">
        <v>3227</v>
      </c>
      <c r="D399" s="108" t="s">
        <v>3228</v>
      </c>
      <c r="E399" s="108" t="s">
        <v>4855</v>
      </c>
      <c r="F399" s="114" t="s">
        <v>694</v>
      </c>
      <c r="G399" s="213" t="s">
        <v>4746</v>
      </c>
      <c r="H399" s="115" t="s">
        <v>4856</v>
      </c>
      <c r="I399" s="213">
        <v>366181501.5</v>
      </c>
      <c r="J399" s="109">
        <v>0.15</v>
      </c>
      <c r="K399" s="109" t="s">
        <v>696</v>
      </c>
      <c r="L399" s="115">
        <v>0.97429800919999998</v>
      </c>
      <c r="M399" s="115">
        <v>0</v>
      </c>
      <c r="N399" s="115">
        <v>0</v>
      </c>
      <c r="O399" s="214">
        <v>1.125E-2</v>
      </c>
      <c r="P399" s="115">
        <v>8.2885000000000009</v>
      </c>
      <c r="Q399" s="769"/>
      <c r="R399" s="216"/>
      <c r="S399" s="216">
        <v>8.2885000000000009</v>
      </c>
      <c r="T399" s="216">
        <v>27</v>
      </c>
      <c r="U399" s="216"/>
      <c r="V399" s="115"/>
      <c r="W399" s="109"/>
      <c r="X399" s="109"/>
      <c r="Y399" s="109" t="s">
        <v>4857</v>
      </c>
      <c r="Z399" s="109">
        <v>8.9793144177040105</v>
      </c>
      <c r="AA399" s="109"/>
      <c r="AB399" s="109" t="s">
        <v>4458</v>
      </c>
      <c r="AC399" s="109" t="s">
        <v>4858</v>
      </c>
      <c r="AD399" s="765" t="s">
        <v>1727</v>
      </c>
      <c r="AE399" s="765" t="s">
        <v>7</v>
      </c>
      <c r="AF399" s="765"/>
      <c r="AG399" s="765" t="s">
        <v>522</v>
      </c>
      <c r="AH399" s="109"/>
      <c r="AJ399" s="2" t="s">
        <v>7</v>
      </c>
      <c r="AL399" s="2" t="s">
        <v>680</v>
      </c>
      <c r="AM399" s="2" t="s">
        <v>3423</v>
      </c>
      <c r="AN399" s="2" t="s">
        <v>952</v>
      </c>
      <c r="AO399" s="2">
        <v>0.98366713400000005</v>
      </c>
      <c r="AP399" s="2" t="s">
        <v>4673</v>
      </c>
      <c r="AQ399" s="2" t="s">
        <v>4469</v>
      </c>
      <c r="AR399" s="2" t="s">
        <v>4638</v>
      </c>
      <c r="AT399" s="765"/>
      <c r="AU399" s="765"/>
      <c r="AV399" s="765"/>
      <c r="AW399" s="765"/>
    </row>
    <row r="400" spans="1:49" x14ac:dyDescent="0.25">
      <c r="A400" s="23" t="s">
        <v>1520</v>
      </c>
      <c r="B400" s="108" t="s">
        <v>147</v>
      </c>
      <c r="C400" s="108" t="s">
        <v>158</v>
      </c>
      <c r="D400" s="108" t="s">
        <v>1517</v>
      </c>
      <c r="E400" s="108" t="s">
        <v>1521</v>
      </c>
      <c r="F400" s="114" t="s">
        <v>694</v>
      </c>
      <c r="G400" s="213" t="s">
        <v>1522</v>
      </c>
      <c r="H400" s="115" t="s">
        <v>1523</v>
      </c>
      <c r="I400" s="213">
        <v>0</v>
      </c>
      <c r="J400" s="109">
        <v>5</v>
      </c>
      <c r="K400" s="109" t="s">
        <v>696</v>
      </c>
      <c r="L400" s="115">
        <v>0</v>
      </c>
      <c r="M400" s="115">
        <v>0</v>
      </c>
      <c r="N400" s="115">
        <v>0</v>
      </c>
      <c r="O400" s="214">
        <v>0</v>
      </c>
      <c r="P400" s="115"/>
      <c r="Q400" s="769"/>
      <c r="R400" s="216"/>
      <c r="S400" s="216">
        <v>1.3808219178082191</v>
      </c>
      <c r="T400" s="216">
        <v>0</v>
      </c>
      <c r="U400" s="216"/>
      <c r="V400" s="115"/>
      <c r="W400" s="109"/>
      <c r="X400" s="109"/>
      <c r="Y400" s="109"/>
      <c r="Z400" s="109">
        <v>100</v>
      </c>
      <c r="AA400" s="109">
        <v>100</v>
      </c>
      <c r="AB400" s="109" t="s">
        <v>2253</v>
      </c>
      <c r="AC400" s="109"/>
      <c r="AD400" s="765"/>
      <c r="AE400" s="765" t="s">
        <v>625</v>
      </c>
      <c r="AF400" s="765"/>
      <c r="AG400" s="765"/>
      <c r="AH400" s="109"/>
      <c r="AL400" s="2" t="s">
        <v>679</v>
      </c>
      <c r="AM400" s="2" t="s">
        <v>1086</v>
      </c>
      <c r="AN400" s="2" t="s">
        <v>952</v>
      </c>
      <c r="AO400" s="2">
        <v>1.9595799999999998E-3</v>
      </c>
      <c r="AP400" s="2" t="s">
        <v>4673</v>
      </c>
      <c r="AQ400" s="2" t="s">
        <v>4396</v>
      </c>
      <c r="AR400" s="2" t="s">
        <v>4844</v>
      </c>
      <c r="AT400" s="765"/>
      <c r="AU400" s="765"/>
      <c r="AV400" s="765"/>
      <c r="AW400" s="765"/>
    </row>
    <row r="401" spans="1:49" x14ac:dyDescent="0.25">
      <c r="A401" s="23" t="s">
        <v>1524</v>
      </c>
      <c r="B401" s="108" t="s">
        <v>147</v>
      </c>
      <c r="C401" s="108" t="s">
        <v>158</v>
      </c>
      <c r="D401" s="108" t="s">
        <v>1517</v>
      </c>
      <c r="E401" s="108" t="s">
        <v>1525</v>
      </c>
      <c r="F401" s="114" t="s">
        <v>694</v>
      </c>
      <c r="G401" s="213" t="s">
        <v>1427</v>
      </c>
      <c r="H401" s="115" t="s">
        <v>1526</v>
      </c>
      <c r="I401" s="213">
        <v>58900.26</v>
      </c>
      <c r="J401" s="109">
        <v>5.5</v>
      </c>
      <c r="K401" s="109" t="s">
        <v>696</v>
      </c>
      <c r="L401" s="115">
        <v>1.393282E-2</v>
      </c>
      <c r="M401" s="115">
        <v>101.030846</v>
      </c>
      <c r="N401" s="115">
        <v>101.052685</v>
      </c>
      <c r="O401" s="214">
        <v>0.41249999999999998</v>
      </c>
      <c r="P401" s="115">
        <v>0.5696</v>
      </c>
      <c r="Q401" s="769">
        <v>0.58216845965999997</v>
      </c>
      <c r="R401" s="216"/>
      <c r="S401" s="216">
        <v>0.58216845965999997</v>
      </c>
      <c r="T401" s="216">
        <v>27</v>
      </c>
      <c r="U401" s="216">
        <v>3.3069999999999999</v>
      </c>
      <c r="V401" s="115">
        <v>218.67282109787001</v>
      </c>
      <c r="W401" s="109"/>
      <c r="X401" s="109">
        <v>176.70588988829999</v>
      </c>
      <c r="Y401" s="109"/>
      <c r="Z401" s="109">
        <v>1.044251361102333</v>
      </c>
      <c r="AA401" s="109">
        <v>17.88502813810301</v>
      </c>
      <c r="AB401" s="109" t="s">
        <v>4724</v>
      </c>
      <c r="AC401" s="109" t="s">
        <v>4725</v>
      </c>
      <c r="AD401" s="765" t="s">
        <v>4516</v>
      </c>
      <c r="AE401" s="765" t="s">
        <v>625</v>
      </c>
      <c r="AF401" s="765"/>
      <c r="AG401" s="765"/>
      <c r="AH401" s="109"/>
      <c r="AL401" s="2" t="s">
        <v>679</v>
      </c>
      <c r="AM401" s="2" t="s">
        <v>1086</v>
      </c>
      <c r="AN401" s="2" t="s">
        <v>952</v>
      </c>
      <c r="AO401" s="2">
        <v>1.483811E-2</v>
      </c>
      <c r="AP401" s="2" t="s">
        <v>4673</v>
      </c>
      <c r="AQ401" s="2" t="s">
        <v>4396</v>
      </c>
      <c r="AR401" s="2" t="s">
        <v>4844</v>
      </c>
      <c r="AT401" s="765"/>
      <c r="AU401" s="765"/>
      <c r="AV401" s="765"/>
      <c r="AW401" s="765"/>
    </row>
    <row r="402" spans="1:49" x14ac:dyDescent="0.25">
      <c r="A402" s="23" t="s">
        <v>1527</v>
      </c>
      <c r="B402" s="108" t="s">
        <v>147</v>
      </c>
      <c r="C402" s="108" t="s">
        <v>158</v>
      </c>
      <c r="D402" s="108" t="s">
        <v>1528</v>
      </c>
      <c r="E402" s="108" t="s">
        <v>1529</v>
      </c>
      <c r="F402" s="114" t="s">
        <v>694</v>
      </c>
      <c r="G402" s="213" t="s">
        <v>1530</v>
      </c>
      <c r="H402" s="115" t="s">
        <v>1531</v>
      </c>
      <c r="I402" s="213">
        <v>182377.28</v>
      </c>
      <c r="J402" s="109">
        <v>4.5</v>
      </c>
      <c r="K402" s="109" t="s">
        <v>696</v>
      </c>
      <c r="L402" s="115">
        <v>4.5788049999999997E-2</v>
      </c>
      <c r="M402" s="115">
        <v>101.120003</v>
      </c>
      <c r="N402" s="115">
        <v>101.219261</v>
      </c>
      <c r="O402" s="214">
        <v>0.33750000000000002</v>
      </c>
      <c r="P402" s="115">
        <v>0.92410000000000003</v>
      </c>
      <c r="Q402" s="769">
        <v>0.90023618614000001</v>
      </c>
      <c r="R402" s="216"/>
      <c r="S402" s="216">
        <v>0.90023618614000001</v>
      </c>
      <c r="T402" s="216">
        <v>27</v>
      </c>
      <c r="U402" s="216">
        <v>3.089</v>
      </c>
      <c r="V402" s="115">
        <v>150.9325840102</v>
      </c>
      <c r="W402" s="109"/>
      <c r="X402" s="109">
        <v>86.946401005179993</v>
      </c>
      <c r="Y402" s="109"/>
      <c r="Z402" s="109">
        <v>2.220117756302264</v>
      </c>
      <c r="AA402" s="109">
        <v>21.6612318927512</v>
      </c>
      <c r="AB402" s="109" t="s">
        <v>4536</v>
      </c>
      <c r="AC402" s="109" t="s">
        <v>4395</v>
      </c>
      <c r="AD402" s="765" t="s">
        <v>4726</v>
      </c>
      <c r="AE402" s="765" t="s">
        <v>625</v>
      </c>
      <c r="AF402" s="765"/>
      <c r="AG402" s="765"/>
      <c r="AH402" s="109"/>
      <c r="AL402" s="2" t="s">
        <v>679</v>
      </c>
      <c r="AM402" s="2" t="s">
        <v>1086</v>
      </c>
      <c r="AN402" s="2" t="s">
        <v>952</v>
      </c>
      <c r="AO402" s="2">
        <v>4.7536330000000002E-2</v>
      </c>
      <c r="AP402" s="2" t="s">
        <v>4673</v>
      </c>
      <c r="AQ402" s="2" t="s">
        <v>4396</v>
      </c>
      <c r="AR402" s="2" t="s">
        <v>4844</v>
      </c>
      <c r="AT402" s="765"/>
      <c r="AU402" s="765"/>
      <c r="AV402" s="765"/>
      <c r="AW402" s="765"/>
    </row>
    <row r="403" spans="1:49" x14ac:dyDescent="0.25">
      <c r="A403" s="23" t="s">
        <v>4404</v>
      </c>
      <c r="B403" s="108" t="s">
        <v>529</v>
      </c>
      <c r="C403" s="108" t="s">
        <v>4405</v>
      </c>
      <c r="D403" s="108" t="s">
        <v>530</v>
      </c>
      <c r="E403" s="108" t="s">
        <v>4406</v>
      </c>
      <c r="F403" s="114" t="s">
        <v>698</v>
      </c>
      <c r="G403" s="213" t="s">
        <v>4475</v>
      </c>
      <c r="H403" s="115" t="s">
        <v>4476</v>
      </c>
      <c r="I403" s="213">
        <v>22500000</v>
      </c>
      <c r="J403" s="109">
        <v>3.35514</v>
      </c>
      <c r="K403" s="109" t="s">
        <v>695</v>
      </c>
      <c r="L403" s="115">
        <v>1</v>
      </c>
      <c r="M403" s="115">
        <v>0</v>
      </c>
      <c r="N403" s="115">
        <v>0</v>
      </c>
      <c r="O403" s="214">
        <v>0.61510900000000002</v>
      </c>
      <c r="P403" s="115">
        <v>3.0735999999999999</v>
      </c>
      <c r="Q403" s="769"/>
      <c r="R403" s="216"/>
      <c r="S403" s="216">
        <v>3.0735999999999999</v>
      </c>
      <c r="T403" s="216">
        <v>65</v>
      </c>
      <c r="U403" s="216"/>
      <c r="V403" s="115"/>
      <c r="W403" s="109">
        <v>310</v>
      </c>
      <c r="X403" s="109"/>
      <c r="Y403" s="109" t="s">
        <v>532</v>
      </c>
      <c r="Z403" s="109"/>
      <c r="AA403" s="109"/>
      <c r="AB403" s="109"/>
      <c r="AC403" s="109"/>
      <c r="AD403" s="765"/>
      <c r="AE403" s="765" t="s">
        <v>9</v>
      </c>
      <c r="AF403" s="765"/>
      <c r="AG403" s="765" t="s">
        <v>1598</v>
      </c>
      <c r="AH403" s="109" t="s">
        <v>522</v>
      </c>
      <c r="AL403" s="2" t="s">
        <v>680</v>
      </c>
      <c r="AM403" s="2" t="s">
        <v>711</v>
      </c>
      <c r="AN403" s="2" t="s">
        <v>952</v>
      </c>
      <c r="AO403" s="2">
        <v>1</v>
      </c>
      <c r="AP403" s="2" t="s">
        <v>3969</v>
      </c>
      <c r="AQ403" s="2" t="s">
        <v>4477</v>
      </c>
      <c r="AR403" s="2" t="s">
        <v>4727</v>
      </c>
      <c r="AT403" s="765"/>
      <c r="AU403" s="765"/>
      <c r="AV403" s="765"/>
      <c r="AW403" s="765"/>
    </row>
    <row r="404" spans="1:49" x14ac:dyDescent="0.25">
      <c r="A404" s="23" t="s">
        <v>4037</v>
      </c>
      <c r="B404" s="108" t="s">
        <v>529</v>
      </c>
      <c r="C404" s="108" t="s">
        <v>3862</v>
      </c>
      <c r="D404" s="108" t="s">
        <v>870</v>
      </c>
      <c r="E404" s="108" t="s">
        <v>4038</v>
      </c>
      <c r="F404" s="114" t="s">
        <v>698</v>
      </c>
      <c r="G404" s="213" t="s">
        <v>4039</v>
      </c>
      <c r="H404" s="115" t="s">
        <v>4040</v>
      </c>
      <c r="I404" s="213">
        <v>38500000</v>
      </c>
      <c r="J404" s="109">
        <v>4.1040000000000001</v>
      </c>
      <c r="K404" s="109" t="s">
        <v>695</v>
      </c>
      <c r="L404" s="115">
        <v>1</v>
      </c>
      <c r="M404" s="115">
        <v>0</v>
      </c>
      <c r="N404" s="115">
        <v>0</v>
      </c>
      <c r="O404" s="214">
        <v>0.76380000000000003</v>
      </c>
      <c r="P404" s="115"/>
      <c r="Q404" s="769"/>
      <c r="R404" s="216"/>
      <c r="S404" s="216">
        <v>9.5671232876712331</v>
      </c>
      <c r="T404" s="216">
        <v>67</v>
      </c>
      <c r="U404" s="216"/>
      <c r="V404" s="115"/>
      <c r="W404" s="109">
        <v>385</v>
      </c>
      <c r="X404" s="109"/>
      <c r="Y404" s="109" t="s">
        <v>532</v>
      </c>
      <c r="Z404" s="109"/>
      <c r="AA404" s="109"/>
      <c r="AB404" s="109"/>
      <c r="AC404" s="109"/>
      <c r="AD404" s="765"/>
      <c r="AE404" s="765" t="s">
        <v>10</v>
      </c>
      <c r="AF404" s="765" t="s">
        <v>20</v>
      </c>
      <c r="AG404" s="765"/>
      <c r="AH404" s="109"/>
      <c r="AL404" s="2" t="s">
        <v>680</v>
      </c>
      <c r="AM404" s="2" t="s">
        <v>871</v>
      </c>
      <c r="AN404" s="2" t="s">
        <v>952</v>
      </c>
      <c r="AO404" s="2">
        <v>1</v>
      </c>
      <c r="AP404" s="2" t="s">
        <v>4730</v>
      </c>
      <c r="AQ404" s="2" t="s">
        <v>3404</v>
      </c>
      <c r="AR404" s="2" t="s">
        <v>3969</v>
      </c>
      <c r="AT404" s="765"/>
      <c r="AU404" s="765"/>
      <c r="AV404" s="765"/>
      <c r="AW404" s="765"/>
    </row>
    <row r="405" spans="1:49" x14ac:dyDescent="0.25">
      <c r="A405" s="23" t="s">
        <v>3860</v>
      </c>
      <c r="B405" s="108" t="s">
        <v>529</v>
      </c>
      <c r="C405" s="108" t="s">
        <v>3862</v>
      </c>
      <c r="D405" s="108" t="s">
        <v>870</v>
      </c>
      <c r="E405" s="108" t="s">
        <v>3863</v>
      </c>
      <c r="F405" s="114" t="s">
        <v>698</v>
      </c>
      <c r="G405" s="213" t="s">
        <v>3864</v>
      </c>
      <c r="H405" s="115" t="s">
        <v>3865</v>
      </c>
      <c r="I405" s="213">
        <v>31000000</v>
      </c>
      <c r="J405" s="109">
        <v>3.5649999999999999</v>
      </c>
      <c r="K405" s="109" t="s">
        <v>695</v>
      </c>
      <c r="L405" s="115">
        <v>1</v>
      </c>
      <c r="M405" s="115">
        <v>0</v>
      </c>
      <c r="N405" s="115">
        <v>0</v>
      </c>
      <c r="O405" s="214">
        <v>0.485236</v>
      </c>
      <c r="P405" s="115"/>
      <c r="Q405" s="769"/>
      <c r="R405" s="216"/>
      <c r="S405" s="216">
        <v>12.109589041095891</v>
      </c>
      <c r="T405" s="216">
        <v>48</v>
      </c>
      <c r="U405" s="216"/>
      <c r="V405" s="115"/>
      <c r="W405" s="109">
        <v>325</v>
      </c>
      <c r="X405" s="109"/>
      <c r="Y405" s="109" t="s">
        <v>532</v>
      </c>
      <c r="Z405" s="109"/>
      <c r="AA405" s="109"/>
      <c r="AB405" s="109"/>
      <c r="AC405" s="109"/>
      <c r="AD405" s="765"/>
      <c r="AE405" s="765" t="s">
        <v>10</v>
      </c>
      <c r="AF405" s="765" t="s">
        <v>20</v>
      </c>
      <c r="AG405" s="765"/>
      <c r="AH405" s="109"/>
      <c r="AL405" s="2" t="s">
        <v>680</v>
      </c>
      <c r="AM405" s="2" t="s">
        <v>871</v>
      </c>
      <c r="AN405" s="2" t="s">
        <v>952</v>
      </c>
      <c r="AO405" s="2">
        <v>1</v>
      </c>
      <c r="AP405" s="2" t="s">
        <v>4728</v>
      </c>
      <c r="AQ405" s="2" t="s">
        <v>3961</v>
      </c>
      <c r="AR405" s="2" t="s">
        <v>4729</v>
      </c>
      <c r="AT405" s="765"/>
      <c r="AU405" s="765"/>
      <c r="AV405" s="765"/>
      <c r="AW405" s="765"/>
    </row>
    <row r="406" spans="1:49" x14ac:dyDescent="0.25">
      <c r="A406" s="23" t="s">
        <v>3976</v>
      </c>
      <c r="B406" s="108" t="s">
        <v>529</v>
      </c>
      <c r="C406" s="108" t="s">
        <v>3862</v>
      </c>
      <c r="D406" s="108" t="s">
        <v>870</v>
      </c>
      <c r="E406" s="108" t="s">
        <v>3982</v>
      </c>
      <c r="F406" s="114" t="s">
        <v>698</v>
      </c>
      <c r="G406" s="213" t="s">
        <v>3983</v>
      </c>
      <c r="H406" s="115" t="s">
        <v>3984</v>
      </c>
      <c r="I406" s="213">
        <v>51600000</v>
      </c>
      <c r="J406" s="109">
        <v>3.0649999999999999</v>
      </c>
      <c r="K406" s="109" t="s">
        <v>695</v>
      </c>
      <c r="L406" s="115">
        <v>1</v>
      </c>
      <c r="M406" s="115">
        <v>0</v>
      </c>
      <c r="N406" s="115">
        <v>0</v>
      </c>
      <c r="O406" s="214">
        <v>0.41718100000000002</v>
      </c>
      <c r="P406" s="115">
        <v>4.1753999999999998</v>
      </c>
      <c r="Q406" s="769"/>
      <c r="R406" s="216"/>
      <c r="S406" s="216">
        <v>4.1753999999999998</v>
      </c>
      <c r="T406" s="216">
        <v>49</v>
      </c>
      <c r="U406" s="216"/>
      <c r="V406" s="115"/>
      <c r="W406" s="109">
        <v>275</v>
      </c>
      <c r="X406" s="109"/>
      <c r="Y406" s="109" t="s">
        <v>532</v>
      </c>
      <c r="Z406" s="109"/>
      <c r="AA406" s="109"/>
      <c r="AB406" s="109"/>
      <c r="AC406" s="109"/>
      <c r="AD406" s="765"/>
      <c r="AE406" s="765" t="s">
        <v>10</v>
      </c>
      <c r="AF406" s="765" t="s">
        <v>20</v>
      </c>
      <c r="AG406" s="765"/>
      <c r="AH406" s="109" t="s">
        <v>522</v>
      </c>
      <c r="AL406" s="2" t="s">
        <v>680</v>
      </c>
      <c r="AM406" s="2" t="s">
        <v>871</v>
      </c>
      <c r="AN406" s="2" t="s">
        <v>952</v>
      </c>
      <c r="AO406" s="2">
        <v>1</v>
      </c>
      <c r="AP406" s="2" t="s">
        <v>4728</v>
      </c>
      <c r="AQ406" s="2" t="s">
        <v>3961</v>
      </c>
      <c r="AR406" s="2" t="s">
        <v>4729</v>
      </c>
      <c r="AT406" s="765"/>
      <c r="AU406" s="765"/>
      <c r="AV406" s="765"/>
      <c r="AW406" s="765"/>
    </row>
    <row r="407" spans="1:49" x14ac:dyDescent="0.25">
      <c r="A407" s="23" t="s">
        <v>3975</v>
      </c>
      <c r="B407" s="108" t="s">
        <v>529</v>
      </c>
      <c r="C407" s="108" t="s">
        <v>3862</v>
      </c>
      <c r="D407" s="108" t="s">
        <v>870</v>
      </c>
      <c r="E407" s="108" t="s">
        <v>3985</v>
      </c>
      <c r="F407" s="114" t="s">
        <v>698</v>
      </c>
      <c r="G407" s="213" t="s">
        <v>3986</v>
      </c>
      <c r="H407" s="115" t="s">
        <v>3987</v>
      </c>
      <c r="I407" s="213">
        <v>70000000</v>
      </c>
      <c r="J407" s="109">
        <v>3.1040000000000001</v>
      </c>
      <c r="K407" s="109" t="s">
        <v>695</v>
      </c>
      <c r="L407" s="115">
        <v>1</v>
      </c>
      <c r="M407" s="115">
        <v>0</v>
      </c>
      <c r="N407" s="115">
        <v>0</v>
      </c>
      <c r="O407" s="214">
        <v>0.57768900000000001</v>
      </c>
      <c r="P407" s="115"/>
      <c r="Q407" s="769"/>
      <c r="R407" s="216"/>
      <c r="S407" s="216">
        <v>8.3150684931506849</v>
      </c>
      <c r="T407" s="216">
        <v>67</v>
      </c>
      <c r="U407" s="216"/>
      <c r="V407" s="115"/>
      <c r="W407" s="109">
        <v>285</v>
      </c>
      <c r="X407" s="109"/>
      <c r="Y407" s="109" t="s">
        <v>532</v>
      </c>
      <c r="Z407" s="109"/>
      <c r="AA407" s="109"/>
      <c r="AB407" s="109"/>
      <c r="AC407" s="109"/>
      <c r="AD407" s="765"/>
      <c r="AE407" s="765" t="s">
        <v>10</v>
      </c>
      <c r="AF407" s="765" t="s">
        <v>20</v>
      </c>
      <c r="AG407" s="765"/>
      <c r="AH407" s="109" t="s">
        <v>522</v>
      </c>
      <c r="AL407" s="2" t="s">
        <v>680</v>
      </c>
      <c r="AM407" s="2" t="s">
        <v>871</v>
      </c>
      <c r="AN407" s="2" t="s">
        <v>952</v>
      </c>
      <c r="AO407" s="2">
        <v>1</v>
      </c>
      <c r="AP407" s="2" t="s">
        <v>4730</v>
      </c>
      <c r="AQ407" s="2" t="s">
        <v>3404</v>
      </c>
      <c r="AR407" s="2" t="s">
        <v>3969</v>
      </c>
      <c r="AT407" s="765"/>
      <c r="AU407" s="765"/>
      <c r="AV407" s="765"/>
      <c r="AW407" s="765"/>
    </row>
    <row r="408" spans="1:49" x14ac:dyDescent="0.25">
      <c r="A408" s="23" t="s">
        <v>4041</v>
      </c>
      <c r="B408" s="108" t="s">
        <v>529</v>
      </c>
      <c r="C408" s="108" t="s">
        <v>3862</v>
      </c>
      <c r="D408" s="108" t="s">
        <v>870</v>
      </c>
      <c r="E408" s="108" t="s">
        <v>4042</v>
      </c>
      <c r="F408" s="114" t="s">
        <v>698</v>
      </c>
      <c r="G408" s="213" t="s">
        <v>2147</v>
      </c>
      <c r="H408" s="115" t="s">
        <v>4043</v>
      </c>
      <c r="I408" s="213">
        <v>48000000</v>
      </c>
      <c r="J408" s="109">
        <v>3.754</v>
      </c>
      <c r="K408" s="109" t="s">
        <v>695</v>
      </c>
      <c r="L408" s="115">
        <v>1</v>
      </c>
      <c r="M408" s="115">
        <v>0</v>
      </c>
      <c r="N408" s="115">
        <v>0</v>
      </c>
      <c r="O408" s="214">
        <v>0.69866099999999998</v>
      </c>
      <c r="P408" s="115"/>
      <c r="Q408" s="769"/>
      <c r="R408" s="216"/>
      <c r="S408" s="216">
        <v>9.0657534246575349</v>
      </c>
      <c r="T408" s="216">
        <v>66</v>
      </c>
      <c r="U408" s="216"/>
      <c r="V408" s="115"/>
      <c r="W408" s="109">
        <v>350</v>
      </c>
      <c r="X408" s="109"/>
      <c r="Y408" s="109" t="s">
        <v>532</v>
      </c>
      <c r="Z408" s="109"/>
      <c r="AA408" s="109"/>
      <c r="AB408" s="109"/>
      <c r="AC408" s="109"/>
      <c r="AD408" s="765"/>
      <c r="AE408" s="765" t="s">
        <v>10</v>
      </c>
      <c r="AF408" s="765" t="s">
        <v>20</v>
      </c>
      <c r="AG408" s="765"/>
      <c r="AH408" s="109" t="s">
        <v>522</v>
      </c>
      <c r="AL408" s="2" t="s">
        <v>680</v>
      </c>
      <c r="AM408" s="2" t="s">
        <v>871</v>
      </c>
      <c r="AN408" s="2" t="s">
        <v>952</v>
      </c>
      <c r="AO408" s="2">
        <v>1</v>
      </c>
      <c r="AP408" s="2" t="s">
        <v>4730</v>
      </c>
      <c r="AQ408" s="2" t="s">
        <v>3404</v>
      </c>
      <c r="AR408" s="2" t="s">
        <v>3969</v>
      </c>
      <c r="AT408" s="765"/>
      <c r="AU408" s="765"/>
      <c r="AV408" s="765"/>
      <c r="AW408" s="765"/>
    </row>
    <row r="409" spans="1:49" x14ac:dyDescent="0.25">
      <c r="A409" s="23" t="s">
        <v>3974</v>
      </c>
      <c r="B409" s="108" t="s">
        <v>529</v>
      </c>
      <c r="C409" s="108" t="s">
        <v>3862</v>
      </c>
      <c r="D409" s="108" t="s">
        <v>870</v>
      </c>
      <c r="E409" s="108" t="s">
        <v>3988</v>
      </c>
      <c r="F409" s="114" t="s">
        <v>698</v>
      </c>
      <c r="G409" s="213" t="s">
        <v>3989</v>
      </c>
      <c r="H409" s="115" t="s">
        <v>3990</v>
      </c>
      <c r="I409" s="213">
        <v>49000000</v>
      </c>
      <c r="J409" s="109">
        <v>3.8149999999999999</v>
      </c>
      <c r="K409" s="109" t="s">
        <v>695</v>
      </c>
      <c r="L409" s="115">
        <v>1</v>
      </c>
      <c r="M409" s="115">
        <v>0</v>
      </c>
      <c r="N409" s="115">
        <v>0</v>
      </c>
      <c r="O409" s="214">
        <v>0.51926399999999995</v>
      </c>
      <c r="P409" s="115"/>
      <c r="Q409" s="769"/>
      <c r="R409" s="216"/>
      <c r="S409" s="216">
        <v>9.2356164383561641</v>
      </c>
      <c r="T409" s="216">
        <v>49</v>
      </c>
      <c r="U409" s="216"/>
      <c r="V409" s="115"/>
      <c r="W409" s="109">
        <v>350</v>
      </c>
      <c r="X409" s="109"/>
      <c r="Y409" s="109" t="s">
        <v>532</v>
      </c>
      <c r="Z409" s="109"/>
      <c r="AA409" s="109"/>
      <c r="AB409" s="109"/>
      <c r="AC409" s="109"/>
      <c r="AD409" s="765"/>
      <c r="AE409" s="765" t="s">
        <v>10</v>
      </c>
      <c r="AF409" s="765" t="s">
        <v>20</v>
      </c>
      <c r="AG409" s="765"/>
      <c r="AH409" s="109" t="s">
        <v>522</v>
      </c>
      <c r="AL409" s="2" t="s">
        <v>680</v>
      </c>
      <c r="AM409" s="2" t="s">
        <v>871</v>
      </c>
      <c r="AN409" s="2" t="s">
        <v>952</v>
      </c>
      <c r="AO409" s="2">
        <v>1</v>
      </c>
      <c r="AP409" s="2" t="s">
        <v>4729</v>
      </c>
      <c r="AQ409" s="2" t="s">
        <v>3961</v>
      </c>
      <c r="AR409" s="2" t="s">
        <v>4729</v>
      </c>
      <c r="AT409" s="765"/>
      <c r="AU409" s="765"/>
      <c r="AV409" s="765"/>
      <c r="AW409" s="765"/>
    </row>
    <row r="410" spans="1:49" x14ac:dyDescent="0.25">
      <c r="A410" s="23" t="s">
        <v>4044</v>
      </c>
      <c r="B410" s="108" t="s">
        <v>529</v>
      </c>
      <c r="C410" s="108" t="s">
        <v>4045</v>
      </c>
      <c r="D410" s="108" t="s">
        <v>530</v>
      </c>
      <c r="E410" s="108" t="s">
        <v>4046</v>
      </c>
      <c r="F410" s="114" t="s">
        <v>698</v>
      </c>
      <c r="G410" s="213" t="s">
        <v>4047</v>
      </c>
      <c r="H410" s="115" t="s">
        <v>3523</v>
      </c>
      <c r="I410" s="213">
        <v>30000000</v>
      </c>
      <c r="J410" s="109">
        <v>2.3540000000000001</v>
      </c>
      <c r="K410" s="109" t="s">
        <v>695</v>
      </c>
      <c r="L410" s="115">
        <v>1</v>
      </c>
      <c r="M410" s="115">
        <v>0</v>
      </c>
      <c r="N410" s="115">
        <v>0</v>
      </c>
      <c r="O410" s="214">
        <v>0.438106</v>
      </c>
      <c r="P410" s="115">
        <v>5.0563000000000002</v>
      </c>
      <c r="Q410" s="769"/>
      <c r="R410" s="216"/>
      <c r="S410" s="216">
        <v>5.0563000000000002</v>
      </c>
      <c r="T410" s="216">
        <v>67</v>
      </c>
      <c r="U410" s="216"/>
      <c r="V410" s="115"/>
      <c r="W410" s="109">
        <v>210</v>
      </c>
      <c r="X410" s="109"/>
      <c r="Y410" s="109" t="s">
        <v>532</v>
      </c>
      <c r="Z410" s="109"/>
      <c r="AA410" s="109"/>
      <c r="AB410" s="109"/>
      <c r="AC410" s="109"/>
      <c r="AD410" s="765"/>
      <c r="AE410" s="765" t="s">
        <v>8</v>
      </c>
      <c r="AF410" s="765"/>
      <c r="AG410" s="765" t="s">
        <v>1063</v>
      </c>
      <c r="AH410" s="109" t="s">
        <v>522</v>
      </c>
      <c r="AL410" s="2" t="s">
        <v>680</v>
      </c>
      <c r="AM410" s="2" t="s">
        <v>711</v>
      </c>
      <c r="AN410" s="2" t="s">
        <v>952</v>
      </c>
      <c r="AO410" s="2">
        <v>1</v>
      </c>
      <c r="AP410" s="2" t="s">
        <v>4730</v>
      </c>
      <c r="AQ410" s="2" t="s">
        <v>3404</v>
      </c>
      <c r="AR410" s="2" t="s">
        <v>3969</v>
      </c>
      <c r="AT410" s="765"/>
      <c r="AU410" s="765"/>
      <c r="AV410" s="765"/>
      <c r="AW410" s="765"/>
    </row>
    <row r="411" spans="1:49" x14ac:dyDescent="0.25">
      <c r="A411" s="23" t="s">
        <v>3973</v>
      </c>
      <c r="B411" s="108" t="s">
        <v>529</v>
      </c>
      <c r="C411" s="108" t="s">
        <v>3862</v>
      </c>
      <c r="D411" s="108" t="s">
        <v>870</v>
      </c>
      <c r="E411" s="108" t="s">
        <v>3991</v>
      </c>
      <c r="F411" s="114" t="s">
        <v>698</v>
      </c>
      <c r="G411" s="213" t="s">
        <v>3992</v>
      </c>
      <c r="H411" s="115" t="s">
        <v>3993</v>
      </c>
      <c r="I411" s="213">
        <v>33000000</v>
      </c>
      <c r="J411" s="109">
        <v>3.6150000000000002</v>
      </c>
      <c r="K411" s="109" t="s">
        <v>695</v>
      </c>
      <c r="L411" s="115">
        <v>1</v>
      </c>
      <c r="M411" s="115">
        <v>0</v>
      </c>
      <c r="N411" s="115">
        <v>0</v>
      </c>
      <c r="O411" s="214">
        <v>0.49204199999999998</v>
      </c>
      <c r="P411" s="115"/>
      <c r="Q411" s="769"/>
      <c r="R411" s="216"/>
      <c r="S411" s="216">
        <v>10.109589041095891</v>
      </c>
      <c r="T411" s="216">
        <v>49</v>
      </c>
      <c r="U411" s="216"/>
      <c r="V411" s="115"/>
      <c r="W411" s="109">
        <v>330</v>
      </c>
      <c r="X411" s="109"/>
      <c r="Y411" s="109" t="s">
        <v>532</v>
      </c>
      <c r="Z411" s="109"/>
      <c r="AA411" s="109"/>
      <c r="AB411" s="109"/>
      <c r="AC411" s="109"/>
      <c r="AD411" s="765"/>
      <c r="AE411" s="765" t="s">
        <v>10</v>
      </c>
      <c r="AF411" s="765" t="s">
        <v>10</v>
      </c>
      <c r="AG411" s="765"/>
      <c r="AH411" s="109" t="s">
        <v>522</v>
      </c>
      <c r="AL411" s="2" t="s">
        <v>680</v>
      </c>
      <c r="AM411" s="2" t="s">
        <v>871</v>
      </c>
      <c r="AN411" s="2" t="s">
        <v>952</v>
      </c>
      <c r="AO411" s="2">
        <v>1</v>
      </c>
      <c r="AP411" s="2" t="s">
        <v>4728</v>
      </c>
      <c r="AQ411" s="2" t="s">
        <v>3961</v>
      </c>
      <c r="AR411" s="2" t="s">
        <v>4729</v>
      </c>
      <c r="AT411" s="765"/>
      <c r="AU411" s="765"/>
      <c r="AV411" s="765"/>
      <c r="AW411" s="765"/>
    </row>
    <row r="412" spans="1:49" x14ac:dyDescent="0.25">
      <c r="A412" s="23" t="s">
        <v>4442</v>
      </c>
      <c r="B412" s="108" t="s">
        <v>529</v>
      </c>
      <c r="C412" s="108" t="s">
        <v>3862</v>
      </c>
      <c r="D412" s="108" t="s">
        <v>870</v>
      </c>
      <c r="E412" s="108" t="s">
        <v>4478</v>
      </c>
      <c r="F412" s="114" t="s">
        <v>698</v>
      </c>
      <c r="G412" s="213" t="s">
        <v>1748</v>
      </c>
      <c r="H412" s="115" t="s">
        <v>4050</v>
      </c>
      <c r="I412" s="213">
        <v>21000000</v>
      </c>
      <c r="J412" s="109">
        <v>2.9540000000000002</v>
      </c>
      <c r="K412" s="109" t="s">
        <v>695</v>
      </c>
      <c r="L412" s="115">
        <v>1</v>
      </c>
      <c r="M412" s="115">
        <v>0</v>
      </c>
      <c r="N412" s="115">
        <v>0</v>
      </c>
      <c r="O412" s="214">
        <v>0.54977200000000004</v>
      </c>
      <c r="P412" s="115">
        <v>5.8056000000000001</v>
      </c>
      <c r="Q412" s="769"/>
      <c r="R412" s="216"/>
      <c r="S412" s="216">
        <v>5.8056000000000001</v>
      </c>
      <c r="T412" s="216">
        <v>67</v>
      </c>
      <c r="U412" s="216"/>
      <c r="V412" s="115"/>
      <c r="W412" s="109">
        <v>270</v>
      </c>
      <c r="X412" s="109"/>
      <c r="Y412" s="109" t="s">
        <v>532</v>
      </c>
      <c r="Z412" s="109"/>
      <c r="AA412" s="109"/>
      <c r="AB412" s="109"/>
      <c r="AC412" s="109"/>
      <c r="AD412" s="765"/>
      <c r="AE412" s="765" t="s">
        <v>9</v>
      </c>
      <c r="AF412" s="765" t="s">
        <v>9</v>
      </c>
      <c r="AG412" s="765"/>
      <c r="AH412" s="109" t="s">
        <v>522</v>
      </c>
      <c r="AL412" s="2" t="s">
        <v>680</v>
      </c>
      <c r="AM412" s="2" t="s">
        <v>871</v>
      </c>
      <c r="AN412" s="2" t="s">
        <v>952</v>
      </c>
      <c r="AO412" s="2">
        <v>1</v>
      </c>
      <c r="AP412" s="2" t="s">
        <v>4673</v>
      </c>
      <c r="AQ412" s="2" t="s">
        <v>3404</v>
      </c>
      <c r="AR412" s="2" t="s">
        <v>3969</v>
      </c>
      <c r="AT412" s="765"/>
      <c r="AU412" s="765"/>
      <c r="AV412" s="765"/>
      <c r="AW412" s="765"/>
    </row>
    <row r="413" spans="1:49" x14ac:dyDescent="0.25">
      <c r="A413" s="23" t="s">
        <v>4048</v>
      </c>
      <c r="B413" s="108" t="s">
        <v>529</v>
      </c>
      <c r="C413" s="108" t="s">
        <v>3862</v>
      </c>
      <c r="D413" s="108" t="s">
        <v>870</v>
      </c>
      <c r="E413" s="108" t="s">
        <v>4049</v>
      </c>
      <c r="F413" s="114" t="s">
        <v>698</v>
      </c>
      <c r="G413" s="213" t="s">
        <v>1748</v>
      </c>
      <c r="H413" s="115" t="s">
        <v>4050</v>
      </c>
      <c r="I413" s="213">
        <v>22000000</v>
      </c>
      <c r="J413" s="109">
        <v>4.0540000000000003</v>
      </c>
      <c r="K413" s="109" t="s">
        <v>695</v>
      </c>
      <c r="L413" s="115">
        <v>1</v>
      </c>
      <c r="M413" s="115">
        <v>0</v>
      </c>
      <c r="N413" s="115">
        <v>0</v>
      </c>
      <c r="O413" s="214">
        <v>0.754494</v>
      </c>
      <c r="P413" s="115"/>
      <c r="Q413" s="769"/>
      <c r="R413" s="216"/>
      <c r="S413" s="216">
        <v>10.06849315068493</v>
      </c>
      <c r="T413" s="216">
        <v>66</v>
      </c>
      <c r="U413" s="216"/>
      <c r="V413" s="115"/>
      <c r="W413" s="109">
        <v>380</v>
      </c>
      <c r="X413" s="109"/>
      <c r="Y413" s="109" t="s">
        <v>532</v>
      </c>
      <c r="Z413" s="109"/>
      <c r="AA413" s="109"/>
      <c r="AB413" s="109"/>
      <c r="AC413" s="109"/>
      <c r="AD413" s="765"/>
      <c r="AE413" s="765" t="s">
        <v>10</v>
      </c>
      <c r="AF413" s="765" t="s">
        <v>20</v>
      </c>
      <c r="AG413" s="765"/>
      <c r="AH413" s="109" t="s">
        <v>522</v>
      </c>
      <c r="AL413" s="2" t="s">
        <v>680</v>
      </c>
      <c r="AM413" s="2" t="s">
        <v>871</v>
      </c>
      <c r="AN413" s="2" t="s">
        <v>952</v>
      </c>
      <c r="AO413" s="2">
        <v>1</v>
      </c>
      <c r="AP413" s="2" t="s">
        <v>4673</v>
      </c>
      <c r="AQ413" s="2" t="s">
        <v>3404</v>
      </c>
      <c r="AR413" s="2" t="s">
        <v>3969</v>
      </c>
      <c r="AT413" s="765"/>
      <c r="AU413" s="765"/>
      <c r="AV413" s="765"/>
      <c r="AW413" s="765"/>
    </row>
    <row r="414" spans="1:49" x14ac:dyDescent="0.25">
      <c r="A414" s="23" t="s">
        <v>5055</v>
      </c>
      <c r="B414" s="108" t="s">
        <v>529</v>
      </c>
      <c r="C414" s="108" t="s">
        <v>4045</v>
      </c>
      <c r="D414" s="108" t="s">
        <v>530</v>
      </c>
      <c r="E414" s="108" t="s">
        <v>5142</v>
      </c>
      <c r="F414" s="114" t="s">
        <v>698</v>
      </c>
      <c r="G414" s="213" t="s">
        <v>5143</v>
      </c>
      <c r="H414" s="115" t="s">
        <v>5144</v>
      </c>
      <c r="I414" s="213">
        <v>316000000</v>
      </c>
      <c r="J414" s="109">
        <v>0</v>
      </c>
      <c r="K414" s="109" t="s">
        <v>695</v>
      </c>
      <c r="L414" s="115">
        <v>1</v>
      </c>
      <c r="M414" s="115">
        <v>0</v>
      </c>
      <c r="N414" s="115">
        <v>0</v>
      </c>
      <c r="O414" s="214">
        <v>0</v>
      </c>
      <c r="P414" s="115">
        <v>5.7049000000000003</v>
      </c>
      <c r="Q414" s="769"/>
      <c r="R414" s="216"/>
      <c r="S414" s="216">
        <v>5.7049000000000003</v>
      </c>
      <c r="T414" s="216">
        <v>13</v>
      </c>
      <c r="U414" s="216"/>
      <c r="V414" s="115"/>
      <c r="W414" s="109">
        <v>137</v>
      </c>
      <c r="X414" s="109"/>
      <c r="Y414" s="109" t="s">
        <v>994</v>
      </c>
      <c r="Z414" s="109"/>
      <c r="AA414" s="109"/>
      <c r="AB414" s="109"/>
      <c r="AC414" s="109"/>
      <c r="AD414" s="765"/>
      <c r="AE414" s="765" t="s">
        <v>7</v>
      </c>
      <c r="AF414" s="765"/>
      <c r="AG414" s="765" t="s">
        <v>1062</v>
      </c>
      <c r="AH414" s="109" t="s">
        <v>522</v>
      </c>
      <c r="AL414" s="2" t="s">
        <v>680</v>
      </c>
      <c r="AM414" s="2" t="s">
        <v>711</v>
      </c>
      <c r="AN414" s="2" t="s">
        <v>952</v>
      </c>
      <c r="AO414" s="2">
        <v>1</v>
      </c>
      <c r="AP414" s="2" t="s">
        <v>4663</v>
      </c>
      <c r="AQ414" s="2" t="s">
        <v>4639</v>
      </c>
      <c r="AR414" s="2" t="s">
        <v>5145</v>
      </c>
      <c r="AT414" s="765"/>
      <c r="AU414" s="765"/>
      <c r="AV414" s="765"/>
      <c r="AW414" s="765"/>
    </row>
    <row r="415" spans="1:49" x14ac:dyDescent="0.25">
      <c r="A415" s="23" t="s">
        <v>5019</v>
      </c>
      <c r="B415" s="108" t="s">
        <v>529</v>
      </c>
      <c r="C415" s="108" t="s">
        <v>3862</v>
      </c>
      <c r="D415" s="108" t="s">
        <v>870</v>
      </c>
      <c r="E415" s="108" t="s">
        <v>5146</v>
      </c>
      <c r="F415" s="114" t="s">
        <v>698</v>
      </c>
      <c r="G415" s="213" t="s">
        <v>4969</v>
      </c>
      <c r="H415" s="115" t="s">
        <v>5147</v>
      </c>
      <c r="I415" s="213">
        <v>336000000</v>
      </c>
      <c r="J415" s="109">
        <v>1.8972500000000001</v>
      </c>
      <c r="K415" s="109" t="s">
        <v>695</v>
      </c>
      <c r="L415" s="115">
        <v>1</v>
      </c>
      <c r="M415" s="115">
        <v>0</v>
      </c>
      <c r="N415" s="115">
        <v>0</v>
      </c>
      <c r="O415" s="214">
        <v>0.100133</v>
      </c>
      <c r="P415" s="115"/>
      <c r="Q415" s="769"/>
      <c r="R415" s="216"/>
      <c r="S415" s="216">
        <v>12.06849315068493</v>
      </c>
      <c r="T415" s="216">
        <v>19</v>
      </c>
      <c r="U415" s="216"/>
      <c r="V415" s="115"/>
      <c r="W415" s="109">
        <v>162</v>
      </c>
      <c r="X415" s="109"/>
      <c r="Y415" s="109" t="s">
        <v>994</v>
      </c>
      <c r="Z415" s="109"/>
      <c r="AA415" s="109"/>
      <c r="AB415" s="109"/>
      <c r="AC415" s="109"/>
      <c r="AD415" s="765"/>
      <c r="AE415" s="765" t="s">
        <v>7</v>
      </c>
      <c r="AF415" s="765"/>
      <c r="AG415" s="765"/>
      <c r="AH415" s="109" t="s">
        <v>7</v>
      </c>
      <c r="AL415" s="2" t="s">
        <v>680</v>
      </c>
      <c r="AM415" s="2" t="s">
        <v>871</v>
      </c>
      <c r="AN415" s="2" t="s">
        <v>952</v>
      </c>
      <c r="AO415" s="2">
        <v>1</v>
      </c>
      <c r="AP415" s="2" t="s">
        <v>5148</v>
      </c>
      <c r="AQ415" s="2" t="s">
        <v>5149</v>
      </c>
      <c r="AR415" s="2" t="s">
        <v>5145</v>
      </c>
      <c r="AT415" s="765"/>
      <c r="AU415" s="765"/>
      <c r="AV415" s="765"/>
      <c r="AW415" s="765"/>
    </row>
    <row r="416" spans="1:49" x14ac:dyDescent="0.25">
      <c r="A416" s="23" t="s">
        <v>5018</v>
      </c>
      <c r="B416" s="108" t="s">
        <v>529</v>
      </c>
      <c r="C416" s="108" t="s">
        <v>3862</v>
      </c>
      <c r="D416" s="108" t="s">
        <v>870</v>
      </c>
      <c r="E416" s="108" t="s">
        <v>5150</v>
      </c>
      <c r="F416" s="114" t="s">
        <v>698</v>
      </c>
      <c r="G416" s="213" t="s">
        <v>4969</v>
      </c>
      <c r="H416" s="115" t="s">
        <v>5147</v>
      </c>
      <c r="I416" s="213">
        <v>48800000</v>
      </c>
      <c r="J416" s="109">
        <v>4.1272500000000001</v>
      </c>
      <c r="K416" s="109" t="s">
        <v>695</v>
      </c>
      <c r="L416" s="115">
        <v>1</v>
      </c>
      <c r="M416" s="115">
        <v>0</v>
      </c>
      <c r="N416" s="115">
        <v>0</v>
      </c>
      <c r="O416" s="214">
        <v>0.21782699999999999</v>
      </c>
      <c r="P416" s="115"/>
      <c r="Q416" s="769"/>
      <c r="R416" s="216"/>
      <c r="S416" s="216">
        <v>12.06849315068493</v>
      </c>
      <c r="T416" s="216">
        <v>19</v>
      </c>
      <c r="U416" s="216"/>
      <c r="V416" s="115"/>
      <c r="W416" s="109">
        <v>385</v>
      </c>
      <c r="X416" s="109"/>
      <c r="Y416" s="109" t="s">
        <v>993</v>
      </c>
      <c r="Z416" s="109"/>
      <c r="AA416" s="109"/>
      <c r="AB416" s="109"/>
      <c r="AC416" s="109"/>
      <c r="AD416" s="765"/>
      <c r="AE416" s="765" t="s">
        <v>10</v>
      </c>
      <c r="AF416" s="765"/>
      <c r="AG416" s="765"/>
      <c r="AH416" s="109" t="s">
        <v>20</v>
      </c>
      <c r="AL416" s="2" t="s">
        <v>680</v>
      </c>
      <c r="AM416" s="2" t="s">
        <v>871</v>
      </c>
      <c r="AN416" s="2" t="s">
        <v>952</v>
      </c>
      <c r="AO416" s="2">
        <v>1</v>
      </c>
      <c r="AP416" s="2" t="s">
        <v>5148</v>
      </c>
      <c r="AQ416" s="2" t="s">
        <v>5149</v>
      </c>
      <c r="AR416" s="2" t="s">
        <v>5145</v>
      </c>
      <c r="AT416" s="765"/>
      <c r="AU416" s="765"/>
      <c r="AV416" s="765"/>
      <c r="AW416" s="765"/>
    </row>
    <row r="417" spans="1:53" x14ac:dyDescent="0.25">
      <c r="A417" s="23" t="s">
        <v>455</v>
      </c>
      <c r="B417" s="108" t="s">
        <v>163</v>
      </c>
      <c r="C417" s="108" t="s">
        <v>158</v>
      </c>
      <c r="D417" s="108" t="s">
        <v>1532</v>
      </c>
      <c r="E417" s="108" t="s">
        <v>1533</v>
      </c>
      <c r="F417" s="114" t="s">
        <v>694</v>
      </c>
      <c r="G417" s="213" t="s">
        <v>1534</v>
      </c>
      <c r="H417" s="115" t="s">
        <v>1535</v>
      </c>
      <c r="I417" s="213">
        <v>7341757.5300000003</v>
      </c>
      <c r="J417" s="109">
        <v>5.7014300000000002</v>
      </c>
      <c r="K417" s="109" t="s">
        <v>695</v>
      </c>
      <c r="L417" s="115">
        <v>0.32322203980000003</v>
      </c>
      <c r="M417" s="115">
        <v>15.529313</v>
      </c>
      <c r="N417" s="115">
        <v>15.686175</v>
      </c>
      <c r="O417" s="214">
        <v>0.12669800000000001</v>
      </c>
      <c r="P417" s="115">
        <v>5.3573000000000004</v>
      </c>
      <c r="Q417" s="769">
        <v>18.809210350690002</v>
      </c>
      <c r="R417" s="216"/>
      <c r="S417" s="216">
        <v>18.809210350690002</v>
      </c>
      <c r="T417" s="216">
        <v>7</v>
      </c>
      <c r="U417" s="216">
        <v>19.57</v>
      </c>
      <c r="V417" s="115">
        <v>1697.36306560191</v>
      </c>
      <c r="W417" s="109">
        <v>615</v>
      </c>
      <c r="X417" s="109">
        <v>77.730620900760002</v>
      </c>
      <c r="Y417" s="109" t="s">
        <v>1536</v>
      </c>
      <c r="Z417" s="109">
        <v>17.803153308399999</v>
      </c>
      <c r="AA417" s="109">
        <v>28.704956416800002</v>
      </c>
      <c r="AB417" s="109" t="s">
        <v>2721</v>
      </c>
      <c r="AC417" s="109" t="s">
        <v>254</v>
      </c>
      <c r="AD417" s="765" t="s">
        <v>1246</v>
      </c>
      <c r="AE417" s="765" t="s">
        <v>674</v>
      </c>
      <c r="AF417" s="765"/>
      <c r="AG417" s="765"/>
      <c r="AH417" s="109"/>
      <c r="AL417" s="2" t="s">
        <v>679</v>
      </c>
      <c r="AM417" s="2" t="s">
        <v>1537</v>
      </c>
      <c r="AN417" s="2" t="s">
        <v>952</v>
      </c>
      <c r="AO417" s="2">
        <v>0.329132594</v>
      </c>
      <c r="AP417" s="2" t="s">
        <v>4673</v>
      </c>
      <c r="AQ417" s="2" t="s">
        <v>4668</v>
      </c>
      <c r="AR417" s="2" t="s">
        <v>3969</v>
      </c>
      <c r="AT417" s="765"/>
      <c r="AU417" s="765"/>
      <c r="AV417" s="765"/>
      <c r="AW417" s="765"/>
    </row>
    <row r="418" spans="1:53" x14ac:dyDescent="0.25">
      <c r="A418" s="23" t="s">
        <v>3654</v>
      </c>
      <c r="B418" s="108" t="s">
        <v>163</v>
      </c>
      <c r="C418" s="108" t="s">
        <v>158</v>
      </c>
      <c r="D418" s="108" t="s">
        <v>3743</v>
      </c>
      <c r="E418" s="108" t="s">
        <v>3744</v>
      </c>
      <c r="F418" s="114" t="s">
        <v>694</v>
      </c>
      <c r="G418" s="213" t="s">
        <v>3745</v>
      </c>
      <c r="H418" s="115" t="s">
        <v>3746</v>
      </c>
      <c r="I418" s="213">
        <v>9911611.4299999997</v>
      </c>
      <c r="J418" s="109">
        <v>6.0514299999999999</v>
      </c>
      <c r="K418" s="109" t="s">
        <v>695</v>
      </c>
      <c r="L418" s="115">
        <v>0.32915782970000002</v>
      </c>
      <c r="M418" s="115">
        <v>14.157598</v>
      </c>
      <c r="N418" s="115">
        <v>14.300604999999999</v>
      </c>
      <c r="O418" s="214">
        <v>0.13447600000000001</v>
      </c>
      <c r="P418" s="115">
        <v>4.4696999999999996</v>
      </c>
      <c r="Q418" s="769">
        <v>20.742807244009999</v>
      </c>
      <c r="R418" s="216"/>
      <c r="S418" s="216">
        <v>20.742807244009999</v>
      </c>
      <c r="T418" s="216">
        <v>7</v>
      </c>
      <c r="U418" s="216">
        <v>23.285</v>
      </c>
      <c r="V418" s="115">
        <v>2068.87162210522</v>
      </c>
      <c r="W418" s="109">
        <v>650</v>
      </c>
      <c r="X418" s="109">
        <v>272.66769525166001</v>
      </c>
      <c r="Y418" s="109" t="s">
        <v>2328</v>
      </c>
      <c r="Z418" s="109">
        <v>14.409955779600001</v>
      </c>
      <c r="AA418" s="109">
        <v>18.021535479499999</v>
      </c>
      <c r="AB418" s="109" t="s">
        <v>1268</v>
      </c>
      <c r="AC418" s="109" t="s">
        <v>798</v>
      </c>
      <c r="AD418" s="765" t="s">
        <v>1565</v>
      </c>
      <c r="AE418" s="765" t="s">
        <v>674</v>
      </c>
      <c r="AF418" s="765"/>
      <c r="AG418" s="765"/>
      <c r="AH418" s="109"/>
      <c r="AL418" s="2" t="s">
        <v>679</v>
      </c>
      <c r="AM418" s="2" t="s">
        <v>1537</v>
      </c>
      <c r="AN418" s="2" t="s">
        <v>952</v>
      </c>
      <c r="AO418" s="2">
        <v>0.33518822199999998</v>
      </c>
      <c r="AP418" s="2" t="s">
        <v>4673</v>
      </c>
      <c r="AQ418" s="2" t="s">
        <v>4668</v>
      </c>
      <c r="AR418" s="2" t="s">
        <v>3969</v>
      </c>
      <c r="AT418" s="765"/>
      <c r="AU418" s="765"/>
      <c r="AV418" s="765"/>
      <c r="AW418" s="765"/>
    </row>
    <row r="419" spans="1:53" x14ac:dyDescent="0.25">
      <c r="A419" s="23" t="s">
        <v>2372</v>
      </c>
      <c r="B419" s="108" t="s">
        <v>163</v>
      </c>
      <c r="C419" s="108" t="s">
        <v>158</v>
      </c>
      <c r="D419" s="108" t="s">
        <v>2312</v>
      </c>
      <c r="E419" s="108" t="s">
        <v>2373</v>
      </c>
      <c r="F419" s="114" t="s">
        <v>694</v>
      </c>
      <c r="G419" s="213" t="s">
        <v>2382</v>
      </c>
      <c r="H419" s="115" t="s">
        <v>2383</v>
      </c>
      <c r="I419" s="213">
        <v>110248614.53</v>
      </c>
      <c r="J419" s="109">
        <v>5.8014299999999999</v>
      </c>
      <c r="K419" s="109" t="s">
        <v>695</v>
      </c>
      <c r="L419" s="115">
        <v>5.3948990000000002E-2</v>
      </c>
      <c r="M419" s="115">
        <v>15.335217</v>
      </c>
      <c r="N419" s="115">
        <v>15.490118000000001</v>
      </c>
      <c r="O419" s="214">
        <v>0.12892100000000001</v>
      </c>
      <c r="P419" s="115">
        <v>5.1677</v>
      </c>
      <c r="Q419" s="769">
        <v>21.199290311630001</v>
      </c>
      <c r="R419" s="216"/>
      <c r="S419" s="216">
        <v>21.199290311630001</v>
      </c>
      <c r="T419" s="216">
        <v>8</v>
      </c>
      <c r="U419" s="216">
        <v>21.210999999999999</v>
      </c>
      <c r="V419" s="115">
        <v>1861.3363583231001</v>
      </c>
      <c r="W419" s="109">
        <v>625</v>
      </c>
      <c r="X419" s="109">
        <v>127.26799168257</v>
      </c>
      <c r="Y419" s="109" t="s">
        <v>2374</v>
      </c>
      <c r="Z419" s="109">
        <v>18.254417323999999</v>
      </c>
      <c r="AA419" s="109">
        <v>20.815090200499998</v>
      </c>
      <c r="AB419" s="109" t="s">
        <v>1776</v>
      </c>
      <c r="AC419" s="109" t="s">
        <v>253</v>
      </c>
      <c r="AD419" s="765" t="s">
        <v>249</v>
      </c>
      <c r="AE419" s="765" t="s">
        <v>674</v>
      </c>
      <c r="AF419" s="765"/>
      <c r="AG419" s="765"/>
      <c r="AH419" s="109"/>
      <c r="AL419" s="2" t="s">
        <v>679</v>
      </c>
      <c r="AM419" s="2" t="s">
        <v>1537</v>
      </c>
      <c r="AN419" s="2" t="s">
        <v>952</v>
      </c>
      <c r="AO419" s="2">
        <v>5.5029639999999998E-2</v>
      </c>
      <c r="AP419" s="2" t="s">
        <v>4673</v>
      </c>
      <c r="AQ419" s="2" t="s">
        <v>4668</v>
      </c>
      <c r="AR419" s="2" t="s">
        <v>3969</v>
      </c>
      <c r="AT419" s="765"/>
      <c r="AU419" s="765"/>
      <c r="AV419" s="765"/>
      <c r="AW419" s="765"/>
    </row>
    <row r="420" spans="1:53" x14ac:dyDescent="0.25">
      <c r="A420" s="23" t="s">
        <v>5054</v>
      </c>
      <c r="B420" s="108" t="s">
        <v>163</v>
      </c>
      <c r="C420" s="108" t="s">
        <v>158</v>
      </c>
      <c r="D420" s="108" t="s">
        <v>3254</v>
      </c>
      <c r="E420" s="108" t="s">
        <v>5151</v>
      </c>
      <c r="F420" s="114" t="s">
        <v>694</v>
      </c>
      <c r="G420" s="213" t="s">
        <v>5152</v>
      </c>
      <c r="H420" s="115" t="s">
        <v>5153</v>
      </c>
      <c r="I420" s="213">
        <v>8258064.3600000003</v>
      </c>
      <c r="J420" s="109">
        <v>3</v>
      </c>
      <c r="K420" s="109" t="s">
        <v>696</v>
      </c>
      <c r="L420" s="115">
        <v>0.14156681839999999</v>
      </c>
      <c r="M420" s="115">
        <v>0</v>
      </c>
      <c r="N420" s="115">
        <v>0</v>
      </c>
      <c r="O420" s="214">
        <v>0.22500000000000001</v>
      </c>
      <c r="P420" s="115">
        <v>5.9584999999999999</v>
      </c>
      <c r="Q420" s="769"/>
      <c r="R420" s="216"/>
      <c r="S420" s="216">
        <v>5.9584999999999999</v>
      </c>
      <c r="T420" s="216">
        <v>27</v>
      </c>
      <c r="U420" s="216"/>
      <c r="V420" s="115"/>
      <c r="W420" s="109"/>
      <c r="X420" s="109"/>
      <c r="Y420" s="109" t="s">
        <v>2392</v>
      </c>
      <c r="Z420" s="109">
        <v>23.1946233215</v>
      </c>
      <c r="AA420" s="109">
        <v>29.5941745047</v>
      </c>
      <c r="AB420" s="109" t="s">
        <v>4737</v>
      </c>
      <c r="AC420" s="109" t="s">
        <v>1663</v>
      </c>
      <c r="AD420" s="765" t="s">
        <v>4056</v>
      </c>
      <c r="AE420" s="765" t="s">
        <v>674</v>
      </c>
      <c r="AF420" s="765"/>
      <c r="AG420" s="765"/>
      <c r="AH420" s="109"/>
      <c r="AL420" s="2" t="s">
        <v>679</v>
      </c>
      <c r="AM420" s="2" t="s">
        <v>1087</v>
      </c>
      <c r="AN420" s="2" t="s">
        <v>952</v>
      </c>
      <c r="AO420" s="2">
        <v>0.145140871</v>
      </c>
      <c r="AP420" s="2" t="s">
        <v>4673</v>
      </c>
      <c r="AQ420" s="2" t="s">
        <v>4668</v>
      </c>
      <c r="AR420" s="2" t="s">
        <v>3969</v>
      </c>
      <c r="AT420" s="765"/>
      <c r="AU420" s="765"/>
      <c r="AV420" s="765"/>
      <c r="AW420" s="765"/>
    </row>
    <row r="421" spans="1:53" x14ac:dyDescent="0.25">
      <c r="A421" s="23" t="s">
        <v>3287</v>
      </c>
      <c r="B421" s="108" t="s">
        <v>163</v>
      </c>
      <c r="C421" s="108" t="s">
        <v>158</v>
      </c>
      <c r="D421" s="108" t="s">
        <v>2271</v>
      </c>
      <c r="E421" s="108" t="s">
        <v>3357</v>
      </c>
      <c r="F421" s="114" t="s">
        <v>694</v>
      </c>
      <c r="G421" s="213" t="s">
        <v>3358</v>
      </c>
      <c r="H421" s="115" t="s">
        <v>3359</v>
      </c>
      <c r="I421" s="213">
        <v>2667063.2799999998</v>
      </c>
      <c r="J421" s="109">
        <v>6.25143</v>
      </c>
      <c r="K421" s="109" t="s">
        <v>695</v>
      </c>
      <c r="L421" s="115">
        <v>0.18510794899999999</v>
      </c>
      <c r="M421" s="115">
        <v>17.021757000000001</v>
      </c>
      <c r="N421" s="115">
        <v>17.193694000000001</v>
      </c>
      <c r="O421" s="214">
        <v>0.13892099999999999</v>
      </c>
      <c r="P421" s="115">
        <v>4.7309999999999999</v>
      </c>
      <c r="Q421" s="769">
        <v>19.12603452303</v>
      </c>
      <c r="R421" s="216"/>
      <c r="S421" s="216">
        <v>19.12603452303</v>
      </c>
      <c r="T421" s="216">
        <v>8</v>
      </c>
      <c r="U421" s="216">
        <v>17.789000000000001</v>
      </c>
      <c r="V421" s="115">
        <v>1519.0855363514099</v>
      </c>
      <c r="W421" s="109">
        <v>670</v>
      </c>
      <c r="X421" s="109">
        <v>125.85634219715</v>
      </c>
      <c r="Y421" s="109" t="s">
        <v>2328</v>
      </c>
      <c r="Z421" s="109">
        <v>7.6681211467999999</v>
      </c>
      <c r="AA421" s="109">
        <v>18.8135486077</v>
      </c>
      <c r="AB421" s="109" t="s">
        <v>258</v>
      </c>
      <c r="AC421" s="109" t="s">
        <v>2327</v>
      </c>
      <c r="AD421" s="765" t="s">
        <v>798</v>
      </c>
      <c r="AE421" s="765" t="s">
        <v>674</v>
      </c>
      <c r="AF421" s="765"/>
      <c r="AG421" s="765"/>
      <c r="AH421" s="109"/>
      <c r="AL421" s="2" t="s">
        <v>679</v>
      </c>
      <c r="AM421" s="2" t="s">
        <v>1537</v>
      </c>
      <c r="AN421" s="2" t="s">
        <v>952</v>
      </c>
      <c r="AO421" s="2">
        <v>0.18699106800000001</v>
      </c>
      <c r="AP421" s="2" t="s">
        <v>4673</v>
      </c>
      <c r="AQ421" s="2" t="s">
        <v>4668</v>
      </c>
      <c r="AR421" s="2" t="s">
        <v>3969</v>
      </c>
      <c r="AT421" s="765"/>
      <c r="AU421" s="765"/>
      <c r="AV421" s="765"/>
      <c r="AW421" s="765"/>
    </row>
    <row r="422" spans="1:53" x14ac:dyDescent="0.25">
      <c r="A422" s="23" t="s">
        <v>2255</v>
      </c>
      <c r="B422" s="108" t="s">
        <v>163</v>
      </c>
      <c r="C422" s="108" t="s">
        <v>158</v>
      </c>
      <c r="D422" s="108" t="s">
        <v>2259</v>
      </c>
      <c r="E422" s="108" t="s">
        <v>2260</v>
      </c>
      <c r="F422" s="114" t="s">
        <v>694</v>
      </c>
      <c r="G422" s="213" t="s">
        <v>2261</v>
      </c>
      <c r="H422" s="115" t="s">
        <v>2262</v>
      </c>
      <c r="I422" s="213">
        <v>13589754.970000001</v>
      </c>
      <c r="J422" s="109">
        <v>4.5</v>
      </c>
      <c r="K422" s="109" t="s">
        <v>696</v>
      </c>
      <c r="L422" s="115">
        <v>0.17992239539999999</v>
      </c>
      <c r="M422" s="115">
        <v>20.078126999999999</v>
      </c>
      <c r="N422" s="115">
        <v>20.280936000000001</v>
      </c>
      <c r="O422" s="214">
        <v>0.33750000000000002</v>
      </c>
      <c r="P422" s="115">
        <v>5.1573000000000002</v>
      </c>
      <c r="Q422" s="769">
        <v>8.4968892820000003E-2</v>
      </c>
      <c r="R422" s="216"/>
      <c r="S422" s="216">
        <v>8.4968892820000003E-2</v>
      </c>
      <c r="T422" s="216">
        <v>27</v>
      </c>
      <c r="U422" s="216">
        <v>3.2869999999999999</v>
      </c>
      <c r="V422" s="115">
        <v>68.906117361729997</v>
      </c>
      <c r="W422" s="109"/>
      <c r="X422" s="109">
        <v>115.04326377847001</v>
      </c>
      <c r="Y422" s="109" t="s">
        <v>664</v>
      </c>
      <c r="Z422" s="109">
        <v>15.505618052899999</v>
      </c>
      <c r="AA422" s="109">
        <v>16.468230865300001</v>
      </c>
      <c r="AB422" s="109" t="s">
        <v>1183</v>
      </c>
      <c r="AC422" s="109" t="s">
        <v>798</v>
      </c>
      <c r="AD422" s="765" t="s">
        <v>4057</v>
      </c>
      <c r="AE422" s="765" t="s">
        <v>674</v>
      </c>
      <c r="AF422" s="765"/>
      <c r="AG422" s="765"/>
      <c r="AH422" s="109"/>
      <c r="AL422" s="2" t="s">
        <v>679</v>
      </c>
      <c r="AM422" s="2" t="s">
        <v>1087</v>
      </c>
      <c r="AN422" s="2" t="s">
        <v>952</v>
      </c>
      <c r="AO422" s="2">
        <v>0.18300891</v>
      </c>
      <c r="AP422" s="2" t="s">
        <v>4673</v>
      </c>
      <c r="AQ422" s="2" t="s">
        <v>4663</v>
      </c>
      <c r="AR422" s="2" t="s">
        <v>4660</v>
      </c>
      <c r="AT422" s="765"/>
      <c r="AU422" s="765"/>
      <c r="AV422" s="765"/>
      <c r="AW422" s="765"/>
    </row>
    <row r="423" spans="1:53" x14ac:dyDescent="0.25">
      <c r="A423" s="23" t="s">
        <v>3614</v>
      </c>
      <c r="B423" s="108" t="s">
        <v>163</v>
      </c>
      <c r="C423" s="108" t="s">
        <v>158</v>
      </c>
      <c r="D423" s="108" t="s">
        <v>2312</v>
      </c>
      <c r="E423" s="108" t="s">
        <v>3747</v>
      </c>
      <c r="F423" s="114" t="s">
        <v>694</v>
      </c>
      <c r="G423" s="213" t="s">
        <v>3748</v>
      </c>
      <c r="H423" s="115" t="s">
        <v>3749</v>
      </c>
      <c r="I423" s="213">
        <v>19178111.260000002</v>
      </c>
      <c r="J423" s="109">
        <v>6.25143</v>
      </c>
      <c r="K423" s="109" t="s">
        <v>695</v>
      </c>
      <c r="L423" s="115">
        <v>0.1191476986</v>
      </c>
      <c r="M423" s="115">
        <v>13.771762000000001</v>
      </c>
      <c r="N423" s="115">
        <v>13.910871</v>
      </c>
      <c r="O423" s="214">
        <v>0.13892099999999999</v>
      </c>
      <c r="P423" s="115">
        <v>4.3644999999999996</v>
      </c>
      <c r="Q423" s="769">
        <v>18.525184057579999</v>
      </c>
      <c r="R423" s="216"/>
      <c r="S423" s="216">
        <v>18.525184057579999</v>
      </c>
      <c r="T423" s="216">
        <v>8</v>
      </c>
      <c r="U423" s="216">
        <v>26.937000000000001</v>
      </c>
      <c r="V423" s="115">
        <v>2434.14099466574</v>
      </c>
      <c r="W423" s="109">
        <v>670</v>
      </c>
      <c r="X423" s="109">
        <v>364.34601157524997</v>
      </c>
      <c r="Y423" s="109" t="s">
        <v>3750</v>
      </c>
      <c r="Z423" s="109">
        <v>21.758915962700002</v>
      </c>
      <c r="AA423" s="109">
        <v>23.057972212599999</v>
      </c>
      <c r="AB423" s="109" t="s">
        <v>237</v>
      </c>
      <c r="AC423" s="109" t="s">
        <v>2327</v>
      </c>
      <c r="AD423" s="765" t="s">
        <v>1192</v>
      </c>
      <c r="AE423" s="765" t="s">
        <v>674</v>
      </c>
      <c r="AF423" s="765"/>
      <c r="AG423" s="765"/>
      <c r="AH423" s="109"/>
      <c r="AL423" s="2" t="s">
        <v>679</v>
      </c>
      <c r="AM423" s="2" t="s">
        <v>1537</v>
      </c>
      <c r="AN423" s="2" t="s">
        <v>952</v>
      </c>
      <c r="AO423" s="2">
        <v>0.12222445699999999</v>
      </c>
      <c r="AP423" s="2" t="s">
        <v>4673</v>
      </c>
      <c r="AQ423" s="2" t="s">
        <v>4668</v>
      </c>
      <c r="AR423" s="2" t="s">
        <v>3969</v>
      </c>
      <c r="AT423" s="765"/>
      <c r="AU423" s="765"/>
      <c r="AV423" s="765"/>
      <c r="AW423" s="765"/>
    </row>
    <row r="424" spans="1:53" x14ac:dyDescent="0.25">
      <c r="A424" s="23" t="s">
        <v>3442</v>
      </c>
      <c r="B424" s="108" t="s">
        <v>163</v>
      </c>
      <c r="C424" s="108" t="s">
        <v>158</v>
      </c>
      <c r="D424" s="108" t="s">
        <v>1532</v>
      </c>
      <c r="E424" s="108" t="s">
        <v>3503</v>
      </c>
      <c r="F424" s="114" t="s">
        <v>694</v>
      </c>
      <c r="G424" s="213" t="s">
        <v>3504</v>
      </c>
      <c r="H424" s="115" t="s">
        <v>1468</v>
      </c>
      <c r="I424" s="213">
        <v>6677129.3799999999</v>
      </c>
      <c r="J424" s="109">
        <v>5.6514300000000004</v>
      </c>
      <c r="K424" s="109" t="s">
        <v>695</v>
      </c>
      <c r="L424" s="115">
        <v>0.1124413019</v>
      </c>
      <c r="M424" s="115">
        <v>14.627577</v>
      </c>
      <c r="N424" s="115">
        <v>14.77533</v>
      </c>
      <c r="O424" s="214">
        <v>0.125587</v>
      </c>
      <c r="P424" s="115">
        <v>5.0122</v>
      </c>
      <c r="Q424" s="769">
        <v>20.17660769587</v>
      </c>
      <c r="R424" s="216"/>
      <c r="S424" s="216">
        <v>20.17660769587</v>
      </c>
      <c r="T424" s="216">
        <v>7</v>
      </c>
      <c r="U424" s="216">
        <v>20.603999999999999</v>
      </c>
      <c r="V424" s="115">
        <v>1800.48658712007</v>
      </c>
      <c r="W424" s="109">
        <v>610</v>
      </c>
      <c r="X424" s="109">
        <v>216.84157300884999</v>
      </c>
      <c r="Y424" s="109" t="s">
        <v>1536</v>
      </c>
      <c r="Z424" s="109">
        <v>22.740517518600001</v>
      </c>
      <c r="AA424" s="109">
        <v>27.659405318699999</v>
      </c>
      <c r="AB424" s="109" t="s">
        <v>1268</v>
      </c>
      <c r="AC424" s="109" t="s">
        <v>1192</v>
      </c>
      <c r="AD424" s="765" t="s">
        <v>2379</v>
      </c>
      <c r="AE424" s="765" t="s">
        <v>674</v>
      </c>
      <c r="AF424" s="765"/>
      <c r="AG424" s="765"/>
      <c r="AH424" s="109"/>
      <c r="AL424" s="2" t="s">
        <v>679</v>
      </c>
      <c r="AM424" s="2" t="s">
        <v>1537</v>
      </c>
      <c r="AN424" s="2" t="s">
        <v>952</v>
      </c>
      <c r="AO424" s="2">
        <v>0.115158184</v>
      </c>
      <c r="AP424" s="2" t="s">
        <v>4673</v>
      </c>
      <c r="AQ424" s="2" t="s">
        <v>4668</v>
      </c>
      <c r="AR424" s="2" t="s">
        <v>3969</v>
      </c>
      <c r="AT424" s="765"/>
      <c r="AU424" s="765"/>
      <c r="AV424" s="765"/>
      <c r="AW424" s="765"/>
    </row>
    <row r="425" spans="1:53" x14ac:dyDescent="0.25">
      <c r="A425" s="52" t="s">
        <v>5053</v>
      </c>
      <c r="B425" s="52" t="s">
        <v>163</v>
      </c>
      <c r="C425" s="52" t="s">
        <v>158</v>
      </c>
      <c r="D425" s="52" t="s">
        <v>2287</v>
      </c>
      <c r="E425" s="52" t="s">
        <v>5154</v>
      </c>
      <c r="F425" s="52" t="s">
        <v>694</v>
      </c>
      <c r="G425" s="52" t="s">
        <v>1287</v>
      </c>
      <c r="H425" s="52" t="s">
        <v>5155</v>
      </c>
      <c r="I425" s="52">
        <v>8996932.4700000007</v>
      </c>
      <c r="J425" s="52">
        <v>3.5</v>
      </c>
      <c r="K425" s="52" t="s">
        <v>696</v>
      </c>
      <c r="L425" s="1050">
        <v>0.24132439319999999</v>
      </c>
      <c r="M425" s="1050">
        <v>14.98634</v>
      </c>
      <c r="N425" s="1050">
        <v>15.137717</v>
      </c>
      <c r="O425" s="1050">
        <v>0.26250000000000001</v>
      </c>
      <c r="P425" s="1050">
        <v>5.2343999999999999</v>
      </c>
      <c r="Q425" s="1050">
        <v>-3.6306840731299999</v>
      </c>
      <c r="R425" s="1050"/>
      <c r="S425" s="1050">
        <v>-3.6306840731299999</v>
      </c>
      <c r="T425" s="52">
        <v>26</v>
      </c>
      <c r="U425" s="1051">
        <v>4.5030000000000001</v>
      </c>
      <c r="V425" s="1051">
        <v>190.55114413586</v>
      </c>
      <c r="W425" s="1051"/>
      <c r="X425" s="1051">
        <v>156.18168006981</v>
      </c>
      <c r="Y425" s="52" t="s">
        <v>3236</v>
      </c>
      <c r="Z425" s="1050">
        <v>21.658416108000001</v>
      </c>
      <c r="AA425" s="1050">
        <v>20.006950566899999</v>
      </c>
      <c r="AB425" s="1050" t="s">
        <v>2428</v>
      </c>
      <c r="AC425" s="1050" t="s">
        <v>247</v>
      </c>
      <c r="AD425" s="1050" t="s">
        <v>249</v>
      </c>
      <c r="AE425" s="1050" t="s">
        <v>674</v>
      </c>
      <c r="AF425" s="1050"/>
      <c r="AG425" s="1050"/>
      <c r="AH425" s="1050"/>
      <c r="AI425" s="1050"/>
      <c r="AJ425" s="1050"/>
      <c r="AK425" s="1050"/>
      <c r="AL425" s="1050" t="s">
        <v>679</v>
      </c>
      <c r="AM425" s="1050" t="s">
        <v>1087</v>
      </c>
      <c r="AN425" s="1050" t="s">
        <v>952</v>
      </c>
      <c r="AO425" s="765">
        <v>0.24698409599999999</v>
      </c>
      <c r="AP425" s="765" t="s">
        <v>4673</v>
      </c>
      <c r="AQ425" s="765" t="s">
        <v>4668</v>
      </c>
      <c r="AR425" s="765" t="s">
        <v>3969</v>
      </c>
      <c r="AS425" s="765"/>
      <c r="AT425" s="765"/>
      <c r="AU425" s="765"/>
      <c r="AV425" s="765"/>
      <c r="AW425" s="765"/>
      <c r="AX425" s="765"/>
      <c r="AY425" s="765"/>
      <c r="AZ425" s="765"/>
      <c r="BA425" s="765"/>
    </row>
    <row r="426" spans="1:53" x14ac:dyDescent="0.25">
      <c r="A426" s="23" t="s">
        <v>736</v>
      </c>
      <c r="B426" s="108" t="s">
        <v>163</v>
      </c>
      <c r="C426" s="108" t="s">
        <v>158</v>
      </c>
      <c r="D426" s="108" t="s">
        <v>738</v>
      </c>
      <c r="E426" s="108" t="s">
        <v>739</v>
      </c>
      <c r="F426" s="114" t="s">
        <v>694</v>
      </c>
      <c r="G426" s="213" t="s">
        <v>1142</v>
      </c>
      <c r="H426" s="115" t="s">
        <v>1143</v>
      </c>
      <c r="I426" s="213">
        <v>10483940.119999999</v>
      </c>
      <c r="J426" s="109">
        <v>6</v>
      </c>
      <c r="K426" s="109" t="s">
        <v>696</v>
      </c>
      <c r="L426" s="115">
        <v>0.18826631090000001</v>
      </c>
      <c r="M426" s="115">
        <v>21.297692999999999</v>
      </c>
      <c r="N426" s="115">
        <v>21.512820999999999</v>
      </c>
      <c r="O426" s="214">
        <v>0.45</v>
      </c>
      <c r="P426" s="115">
        <v>4.5288000000000004</v>
      </c>
      <c r="Q426" s="769">
        <v>0.38974056230999998</v>
      </c>
      <c r="R426" s="216"/>
      <c r="S426" s="216">
        <v>0.38974056230999998</v>
      </c>
      <c r="T426" s="216">
        <v>27</v>
      </c>
      <c r="U426" s="216">
        <v>6.7210000000000001</v>
      </c>
      <c r="V426" s="115">
        <v>412.47366869530998</v>
      </c>
      <c r="W426" s="109"/>
      <c r="X426" s="109">
        <v>300.60040977471999</v>
      </c>
      <c r="Y426" s="109" t="s">
        <v>664</v>
      </c>
      <c r="Z426" s="109">
        <v>13.3100831165</v>
      </c>
      <c r="AA426" s="109">
        <v>18.168251963900001</v>
      </c>
      <c r="AB426" s="109" t="s">
        <v>1268</v>
      </c>
      <c r="AC426" s="109" t="s">
        <v>1506</v>
      </c>
      <c r="AD426" s="765" t="s">
        <v>1752</v>
      </c>
      <c r="AE426" s="765" t="s">
        <v>674</v>
      </c>
      <c r="AF426" s="765"/>
      <c r="AG426" s="765"/>
      <c r="AH426" s="109"/>
      <c r="AL426" s="2" t="s">
        <v>679</v>
      </c>
      <c r="AM426" s="2" t="s">
        <v>1087</v>
      </c>
      <c r="AN426" s="2" t="s">
        <v>952</v>
      </c>
      <c r="AO426" s="2">
        <v>0.19121397200000001</v>
      </c>
      <c r="AP426" s="2" t="s">
        <v>4673</v>
      </c>
      <c r="AQ426" s="2" t="s">
        <v>4668</v>
      </c>
      <c r="AR426" s="2" t="s">
        <v>3969</v>
      </c>
      <c r="AT426" s="765"/>
      <c r="AU426" s="765"/>
      <c r="AV426" s="765"/>
      <c r="AW426" s="765"/>
    </row>
    <row r="427" spans="1:53" x14ac:dyDescent="0.25">
      <c r="A427" s="23" t="s">
        <v>2805</v>
      </c>
      <c r="B427" s="108" t="s">
        <v>163</v>
      </c>
      <c r="C427" s="108" t="s">
        <v>158</v>
      </c>
      <c r="D427" s="108" t="s">
        <v>2271</v>
      </c>
      <c r="E427" s="108" t="s">
        <v>2806</v>
      </c>
      <c r="F427" s="114" t="s">
        <v>694</v>
      </c>
      <c r="G427" s="213" t="s">
        <v>2807</v>
      </c>
      <c r="H427" s="115" t="s">
        <v>2808</v>
      </c>
      <c r="I427" s="213">
        <v>17799168.5</v>
      </c>
      <c r="J427" s="109">
        <v>5.8014299999999999</v>
      </c>
      <c r="K427" s="109" t="s">
        <v>695</v>
      </c>
      <c r="L427" s="115">
        <v>0.33071662019999998</v>
      </c>
      <c r="M427" s="115">
        <v>18.072475000000001</v>
      </c>
      <c r="N427" s="115">
        <v>18.255025</v>
      </c>
      <c r="O427" s="214">
        <v>0.12892100000000001</v>
      </c>
      <c r="P427" s="115">
        <v>5.3651</v>
      </c>
      <c r="Q427" s="769">
        <v>20.603189046299999</v>
      </c>
      <c r="R427" s="216"/>
      <c r="S427" s="216">
        <v>20.603189046299999</v>
      </c>
      <c r="T427" s="216">
        <v>8</v>
      </c>
      <c r="U427" s="216">
        <v>14.907999999999999</v>
      </c>
      <c r="V427" s="115">
        <v>1231.1624477110599</v>
      </c>
      <c r="W427" s="109">
        <v>625</v>
      </c>
      <c r="X427" s="109">
        <v>128.19276654655999</v>
      </c>
      <c r="Y427" s="109" t="s">
        <v>1536</v>
      </c>
      <c r="Z427" s="109">
        <v>10.863626698799999</v>
      </c>
      <c r="AA427" s="109">
        <v>21.187665232899999</v>
      </c>
      <c r="AB427" s="109" t="s">
        <v>4058</v>
      </c>
      <c r="AC427" s="109" t="s">
        <v>2723</v>
      </c>
      <c r="AD427" s="765" t="s">
        <v>253</v>
      </c>
      <c r="AE427" s="765" t="s">
        <v>674</v>
      </c>
      <c r="AF427" s="765"/>
      <c r="AG427" s="765"/>
      <c r="AH427" s="109"/>
      <c r="AL427" s="2" t="s">
        <v>679</v>
      </c>
      <c r="AM427" s="2" t="s">
        <v>1537</v>
      </c>
      <c r="AN427" s="2" t="s">
        <v>952</v>
      </c>
      <c r="AO427" s="2">
        <v>0.33470237400000002</v>
      </c>
      <c r="AP427" s="2" t="s">
        <v>4673</v>
      </c>
      <c r="AQ427" s="2" t="s">
        <v>4668</v>
      </c>
      <c r="AR427" s="2" t="s">
        <v>3969</v>
      </c>
      <c r="AT427" s="765"/>
      <c r="AU427" s="765"/>
      <c r="AV427" s="765"/>
      <c r="AW427" s="765"/>
    </row>
    <row r="428" spans="1:53" x14ac:dyDescent="0.25">
      <c r="A428" s="23" t="s">
        <v>3161</v>
      </c>
      <c r="B428" s="108" t="s">
        <v>163</v>
      </c>
      <c r="C428" s="108" t="s">
        <v>158</v>
      </c>
      <c r="D428" s="108" t="s">
        <v>3230</v>
      </c>
      <c r="E428" s="108" t="s">
        <v>3231</v>
      </c>
      <c r="F428" s="114" t="s">
        <v>694</v>
      </c>
      <c r="G428" s="213" t="s">
        <v>1256</v>
      </c>
      <c r="H428" s="115" t="s">
        <v>3232</v>
      </c>
      <c r="I428" s="213">
        <v>14015295.49</v>
      </c>
      <c r="J428" s="109">
        <v>3.5</v>
      </c>
      <c r="K428" s="109" t="s">
        <v>696</v>
      </c>
      <c r="L428" s="115">
        <v>6.9777431599999995E-2</v>
      </c>
      <c r="M428" s="115">
        <v>0</v>
      </c>
      <c r="N428" s="115">
        <v>0</v>
      </c>
      <c r="O428" s="214">
        <v>0.26250000000000001</v>
      </c>
      <c r="P428" s="115">
        <v>6.2603</v>
      </c>
      <c r="Q428" s="769"/>
      <c r="R428" s="216"/>
      <c r="S428" s="216">
        <v>6.2603</v>
      </c>
      <c r="T428" s="216">
        <v>26</v>
      </c>
      <c r="U428" s="216"/>
      <c r="V428" s="115"/>
      <c r="W428" s="109"/>
      <c r="X428" s="109"/>
      <c r="Y428" s="109" t="s">
        <v>3233</v>
      </c>
      <c r="Z428" s="109">
        <v>31.735246312699999</v>
      </c>
      <c r="AA428" s="109">
        <v>49.349055269700003</v>
      </c>
      <c r="AB428" s="109" t="s">
        <v>3485</v>
      </c>
      <c r="AC428" s="109" t="s">
        <v>4063</v>
      </c>
      <c r="AD428" s="765" t="s">
        <v>4056</v>
      </c>
      <c r="AE428" s="765" t="s">
        <v>674</v>
      </c>
      <c r="AF428" s="765"/>
      <c r="AG428" s="765"/>
      <c r="AH428" s="109"/>
      <c r="AL428" s="2" t="s">
        <v>679</v>
      </c>
      <c r="AM428" s="2" t="s">
        <v>1087</v>
      </c>
      <c r="AN428" s="2" t="s">
        <v>952</v>
      </c>
      <c r="AO428" s="2">
        <v>7.2194413999999998E-2</v>
      </c>
      <c r="AP428" s="2" t="s">
        <v>4673</v>
      </c>
      <c r="AQ428" s="2" t="s">
        <v>4668</v>
      </c>
      <c r="AR428" s="2" t="s">
        <v>3969</v>
      </c>
      <c r="AT428" s="765"/>
      <c r="AU428" s="765"/>
      <c r="AV428" s="765"/>
      <c r="AW428" s="765"/>
    </row>
    <row r="429" spans="1:53" x14ac:dyDescent="0.25">
      <c r="A429" s="23" t="s">
        <v>3649</v>
      </c>
      <c r="B429" s="108" t="s">
        <v>163</v>
      </c>
      <c r="C429" s="108" t="s">
        <v>158</v>
      </c>
      <c r="D429" s="108" t="s">
        <v>1532</v>
      </c>
      <c r="E429" s="108" t="s">
        <v>3751</v>
      </c>
      <c r="F429" s="114" t="s">
        <v>694</v>
      </c>
      <c r="G429" s="213" t="s">
        <v>3752</v>
      </c>
      <c r="H429" s="115" t="s">
        <v>3232</v>
      </c>
      <c r="I429" s="213">
        <v>9146062.6099999994</v>
      </c>
      <c r="J429" s="109">
        <v>5.75143</v>
      </c>
      <c r="K429" s="109" t="s">
        <v>695</v>
      </c>
      <c r="L429" s="115">
        <v>0.23115671460000001</v>
      </c>
      <c r="M429" s="115">
        <v>15.168222</v>
      </c>
      <c r="N429" s="115">
        <v>15.321436</v>
      </c>
      <c r="O429" s="214">
        <v>0.12781000000000001</v>
      </c>
      <c r="P429" s="115">
        <v>5.1222000000000003</v>
      </c>
      <c r="Q429" s="769">
        <v>19.758680756579999</v>
      </c>
      <c r="R429" s="216"/>
      <c r="S429" s="216">
        <v>19.758680756579999</v>
      </c>
      <c r="T429" s="216">
        <v>8</v>
      </c>
      <c r="U429" s="216">
        <v>20.157</v>
      </c>
      <c r="V429" s="115">
        <v>1755.85192577986</v>
      </c>
      <c r="W429" s="109">
        <v>620</v>
      </c>
      <c r="X429" s="109">
        <v>102.51101738417</v>
      </c>
      <c r="Y429" s="109" t="s">
        <v>1536</v>
      </c>
      <c r="Z429" s="109">
        <v>9.6548295478000004</v>
      </c>
      <c r="AA429" s="109">
        <v>26.1046092753</v>
      </c>
      <c r="AB429" s="109" t="s">
        <v>3476</v>
      </c>
      <c r="AC429" s="109" t="s">
        <v>250</v>
      </c>
      <c r="AD429" s="765" t="s">
        <v>4709</v>
      </c>
      <c r="AE429" s="765" t="s">
        <v>674</v>
      </c>
      <c r="AF429" s="765"/>
      <c r="AG429" s="765"/>
      <c r="AH429" s="109"/>
      <c r="AL429" s="2" t="s">
        <v>679</v>
      </c>
      <c r="AM429" s="2" t="s">
        <v>1537</v>
      </c>
      <c r="AN429" s="2" t="s">
        <v>952</v>
      </c>
      <c r="AO429" s="2">
        <v>0.23363377199999999</v>
      </c>
      <c r="AP429" s="2" t="s">
        <v>4673</v>
      </c>
      <c r="AQ429" s="2" t="s">
        <v>4668</v>
      </c>
      <c r="AR429" s="2" t="s">
        <v>3969</v>
      </c>
      <c r="AT429" s="765"/>
      <c r="AU429" s="765"/>
      <c r="AV429" s="765"/>
      <c r="AW429" s="765"/>
    </row>
    <row r="430" spans="1:53" x14ac:dyDescent="0.25">
      <c r="A430" s="23" t="s">
        <v>2969</v>
      </c>
      <c r="B430" s="108" t="s">
        <v>163</v>
      </c>
      <c r="C430" s="108" t="s">
        <v>158</v>
      </c>
      <c r="D430" s="108" t="s">
        <v>1532</v>
      </c>
      <c r="E430" s="108" t="s">
        <v>2970</v>
      </c>
      <c r="F430" s="114" t="s">
        <v>694</v>
      </c>
      <c r="G430" s="213" t="s">
        <v>3089</v>
      </c>
      <c r="H430" s="115" t="s">
        <v>3090</v>
      </c>
      <c r="I430" s="213">
        <v>17121317.629999999</v>
      </c>
      <c r="J430" s="109">
        <v>5.75143</v>
      </c>
      <c r="K430" s="109" t="s">
        <v>695</v>
      </c>
      <c r="L430" s="115">
        <v>0.38766549729999999</v>
      </c>
      <c r="M430" s="115">
        <v>16.502473999999999</v>
      </c>
      <c r="N430" s="115">
        <v>16.669166000000001</v>
      </c>
      <c r="O430" s="214">
        <v>0.12781000000000001</v>
      </c>
      <c r="P430" s="115">
        <v>4.6208</v>
      </c>
      <c r="Q430" s="769">
        <v>19.2987697113</v>
      </c>
      <c r="R430" s="216"/>
      <c r="S430" s="216">
        <v>19.2987697113</v>
      </c>
      <c r="T430" s="216">
        <v>8</v>
      </c>
      <c r="U430" s="216">
        <v>14.462</v>
      </c>
      <c r="V430" s="115">
        <v>1178.8779076835899</v>
      </c>
      <c r="W430" s="109">
        <v>620</v>
      </c>
      <c r="X430" s="109">
        <v>98.078480395379998</v>
      </c>
      <c r="Y430" s="109" t="s">
        <v>1536</v>
      </c>
      <c r="Z430" s="109">
        <v>23.696671328200001</v>
      </c>
      <c r="AA430" s="109">
        <v>22.096375708099998</v>
      </c>
      <c r="AB430" s="109" t="s">
        <v>1641</v>
      </c>
      <c r="AC430" s="109" t="s">
        <v>4059</v>
      </c>
      <c r="AD430" s="765" t="s">
        <v>4061</v>
      </c>
      <c r="AE430" s="765" t="s">
        <v>674</v>
      </c>
      <c r="AF430" s="765"/>
      <c r="AG430" s="765"/>
      <c r="AH430" s="109"/>
      <c r="AL430" s="2" t="s">
        <v>679</v>
      </c>
      <c r="AM430" s="2" t="s">
        <v>1537</v>
      </c>
      <c r="AN430" s="2" t="s">
        <v>952</v>
      </c>
      <c r="AO430" s="2">
        <v>0.39720670299999999</v>
      </c>
      <c r="AP430" s="2" t="s">
        <v>4673</v>
      </c>
      <c r="AQ430" s="2" t="s">
        <v>4668</v>
      </c>
      <c r="AR430" s="2" t="s">
        <v>3969</v>
      </c>
      <c r="AT430" s="765"/>
      <c r="AU430" s="765"/>
      <c r="AV430" s="765"/>
      <c r="AW430" s="765"/>
    </row>
    <row r="431" spans="1:53" x14ac:dyDescent="0.25">
      <c r="A431" s="23" t="s">
        <v>2309</v>
      </c>
      <c r="B431" s="108" t="s">
        <v>1643</v>
      </c>
      <c r="C431" s="108" t="s">
        <v>158</v>
      </c>
      <c r="D431" s="108" t="s">
        <v>2370</v>
      </c>
      <c r="E431" s="108" t="s">
        <v>2310</v>
      </c>
      <c r="F431" s="114" t="s">
        <v>694</v>
      </c>
      <c r="G431" s="213" t="s">
        <v>2184</v>
      </c>
      <c r="H431" s="115" t="s">
        <v>2311</v>
      </c>
      <c r="I431" s="213">
        <v>311794089.61000001</v>
      </c>
      <c r="J431" s="109">
        <v>0.25</v>
      </c>
      <c r="K431" s="109" t="s">
        <v>696</v>
      </c>
      <c r="L431" s="115">
        <v>0.75908799630000001</v>
      </c>
      <c r="M431" s="115">
        <v>0.98171200000000003</v>
      </c>
      <c r="N431" s="115">
        <v>0.98348899999999995</v>
      </c>
      <c r="O431" s="214">
        <v>1.8749999999999999E-2</v>
      </c>
      <c r="P431" s="115">
        <v>4.8700999999999999</v>
      </c>
      <c r="Q431" s="769">
        <v>-5.3454582443099996</v>
      </c>
      <c r="R431" s="216"/>
      <c r="S431" s="216">
        <v>-5.3454582443099996</v>
      </c>
      <c r="T431" s="216">
        <v>27</v>
      </c>
      <c r="U431" s="216">
        <v>4.9320000000000004</v>
      </c>
      <c r="V431" s="115">
        <v>223.90410999009481</v>
      </c>
      <c r="W431" s="109"/>
      <c r="X431" s="109">
        <v>1206.24690934821</v>
      </c>
      <c r="Y431" s="109" t="s">
        <v>664</v>
      </c>
      <c r="Z431" s="109">
        <v>0.18634971697895081</v>
      </c>
      <c r="AA431" s="109">
        <v>27.091769319225389</v>
      </c>
      <c r="AB431" s="109" t="s">
        <v>3706</v>
      </c>
      <c r="AC431" s="109" t="s">
        <v>250</v>
      </c>
      <c r="AD431" s="765" t="s">
        <v>2472</v>
      </c>
      <c r="AE431" s="765" t="s">
        <v>674</v>
      </c>
      <c r="AF431" s="765"/>
      <c r="AG431" s="765"/>
      <c r="AH431" s="109"/>
      <c r="AL431" s="2" t="s">
        <v>679</v>
      </c>
      <c r="AM431" s="2" t="s">
        <v>1644</v>
      </c>
      <c r="AN431" s="2" t="s">
        <v>952</v>
      </c>
      <c r="AO431" s="2">
        <v>0.76041530899999998</v>
      </c>
      <c r="AP431" s="2" t="s">
        <v>4673</v>
      </c>
      <c r="AQ431" s="2" t="s">
        <v>4663</v>
      </c>
      <c r="AR431" s="2" t="s">
        <v>4660</v>
      </c>
      <c r="AT431" s="765"/>
      <c r="AU431" s="765"/>
      <c r="AV431" s="765"/>
      <c r="AW431" s="765"/>
    </row>
    <row r="432" spans="1:53" x14ac:dyDescent="0.25">
      <c r="A432" s="23" t="s">
        <v>3159</v>
      </c>
      <c r="B432" s="108" t="s">
        <v>163</v>
      </c>
      <c r="C432" s="108" t="s">
        <v>158</v>
      </c>
      <c r="D432" s="108" t="s">
        <v>2271</v>
      </c>
      <c r="E432" s="108" t="s">
        <v>3234</v>
      </c>
      <c r="F432" s="114" t="s">
        <v>694</v>
      </c>
      <c r="G432" s="213" t="s">
        <v>1346</v>
      </c>
      <c r="H432" s="115" t="s">
        <v>3235</v>
      </c>
      <c r="I432" s="213">
        <v>11079742.800000001</v>
      </c>
      <c r="J432" s="109">
        <v>4</v>
      </c>
      <c r="K432" s="109" t="s">
        <v>696</v>
      </c>
      <c r="L432" s="115">
        <v>0.3768289313</v>
      </c>
      <c r="M432" s="115">
        <v>14.244515</v>
      </c>
      <c r="N432" s="115">
        <v>14.388400000000001</v>
      </c>
      <c r="O432" s="214">
        <v>0.3</v>
      </c>
      <c r="P432" s="115">
        <v>4.0183999999999997</v>
      </c>
      <c r="Q432" s="769">
        <v>-4.74256897243</v>
      </c>
      <c r="R432" s="216"/>
      <c r="S432" s="216">
        <v>-4.74256897243</v>
      </c>
      <c r="T432" s="216">
        <v>27</v>
      </c>
      <c r="U432" s="216">
        <v>2.99</v>
      </c>
      <c r="V432" s="115">
        <v>39.70812413937</v>
      </c>
      <c r="W432" s="109"/>
      <c r="X432" s="109">
        <v>29.640557883580001</v>
      </c>
      <c r="Y432" s="109" t="s">
        <v>3236</v>
      </c>
      <c r="Z432" s="109">
        <v>17.819231057700001</v>
      </c>
      <c r="AA432" s="109">
        <v>17.700427272599999</v>
      </c>
      <c r="AB432" s="109" t="s">
        <v>1379</v>
      </c>
      <c r="AC432" s="109" t="s">
        <v>798</v>
      </c>
      <c r="AD432" s="765" t="s">
        <v>4060</v>
      </c>
      <c r="AE432" s="765" t="s">
        <v>674</v>
      </c>
      <c r="AF432" s="765"/>
      <c r="AG432" s="765"/>
      <c r="AH432" s="109"/>
      <c r="AL432" s="2" t="s">
        <v>679</v>
      </c>
      <c r="AM432" s="2" t="s">
        <v>1087</v>
      </c>
      <c r="AN432" s="2" t="s">
        <v>952</v>
      </c>
      <c r="AO432" s="2">
        <v>0.38522536400000001</v>
      </c>
      <c r="AP432" s="2" t="s">
        <v>4673</v>
      </c>
      <c r="AQ432" s="2" t="s">
        <v>4668</v>
      </c>
      <c r="AR432" s="2" t="s">
        <v>3969</v>
      </c>
      <c r="AT432" s="765"/>
      <c r="AU432" s="765"/>
      <c r="AV432" s="765"/>
      <c r="AW432" s="765"/>
    </row>
    <row r="433" spans="1:49" x14ac:dyDescent="0.25">
      <c r="A433" s="23" t="s">
        <v>2959</v>
      </c>
      <c r="B433" s="108" t="s">
        <v>163</v>
      </c>
      <c r="C433" s="108" t="s">
        <v>158</v>
      </c>
      <c r="D433" s="108" t="s">
        <v>2312</v>
      </c>
      <c r="E433" s="108" t="s">
        <v>2960</v>
      </c>
      <c r="F433" s="114" t="s">
        <v>694</v>
      </c>
      <c r="G433" s="213" t="s">
        <v>3091</v>
      </c>
      <c r="H433" s="115" t="s">
        <v>3092</v>
      </c>
      <c r="I433" s="213">
        <v>12450234.35</v>
      </c>
      <c r="J433" s="109">
        <v>5.8014299999999999</v>
      </c>
      <c r="K433" s="109" t="s">
        <v>695</v>
      </c>
      <c r="L433" s="115">
        <v>0.1556279294</v>
      </c>
      <c r="M433" s="115">
        <v>13.098127</v>
      </c>
      <c r="N433" s="115">
        <v>13.230432</v>
      </c>
      <c r="O433" s="214">
        <v>0.12892100000000001</v>
      </c>
      <c r="P433" s="115">
        <v>6.2060000000000004</v>
      </c>
      <c r="Q433" s="769">
        <v>16.08777907512</v>
      </c>
      <c r="R433" s="216"/>
      <c r="S433" s="216">
        <v>16.08777907512</v>
      </c>
      <c r="T433" s="216">
        <v>8</v>
      </c>
      <c r="U433" s="216">
        <v>31.189</v>
      </c>
      <c r="V433" s="115">
        <v>2859.9148944560602</v>
      </c>
      <c r="W433" s="109">
        <v>625</v>
      </c>
      <c r="X433" s="109">
        <v>171.7203175507</v>
      </c>
      <c r="Y433" s="109" t="s">
        <v>1536</v>
      </c>
      <c r="Z433" s="109">
        <v>44.127922274499987</v>
      </c>
      <c r="AA433" s="109">
        <v>38.610024111599998</v>
      </c>
      <c r="AB433" s="109" t="s">
        <v>1183</v>
      </c>
      <c r="AC433" s="109" t="s">
        <v>244</v>
      </c>
      <c r="AD433" s="765" t="s">
        <v>247</v>
      </c>
      <c r="AE433" s="765" t="s">
        <v>674</v>
      </c>
      <c r="AF433" s="765"/>
      <c r="AG433" s="765"/>
      <c r="AH433" s="109"/>
      <c r="AL433" s="2" t="s">
        <v>679</v>
      </c>
      <c r="AM433" s="2" t="s">
        <v>1537</v>
      </c>
      <c r="AN433" s="2" t="s">
        <v>952</v>
      </c>
      <c r="AO433" s="2">
        <v>0.16363016</v>
      </c>
      <c r="AP433" s="2" t="s">
        <v>4673</v>
      </c>
      <c r="AQ433" s="2" t="s">
        <v>4668</v>
      </c>
      <c r="AR433" s="2" t="s">
        <v>3969</v>
      </c>
      <c r="AT433" s="765"/>
      <c r="AU433" s="765"/>
      <c r="AV433" s="765"/>
      <c r="AW433" s="765"/>
    </row>
    <row r="434" spans="1:49" x14ac:dyDescent="0.25">
      <c r="A434" s="23" t="s">
        <v>2971</v>
      </c>
      <c r="B434" s="108" t="s">
        <v>163</v>
      </c>
      <c r="C434" s="108" t="s">
        <v>158</v>
      </c>
      <c r="D434" s="108" t="s">
        <v>2312</v>
      </c>
      <c r="E434" s="108" t="s">
        <v>2972</v>
      </c>
      <c r="F434" s="114" t="s">
        <v>694</v>
      </c>
      <c r="G434" s="213" t="s">
        <v>3093</v>
      </c>
      <c r="H434" s="115" t="s">
        <v>3094</v>
      </c>
      <c r="I434" s="213">
        <v>19981327.25</v>
      </c>
      <c r="J434" s="109">
        <v>5.8014299999999999</v>
      </c>
      <c r="K434" s="109" t="s">
        <v>695</v>
      </c>
      <c r="L434" s="115">
        <v>0.33638128039999998</v>
      </c>
      <c r="M434" s="115">
        <v>13.804701</v>
      </c>
      <c r="N434" s="115">
        <v>13.944141999999999</v>
      </c>
      <c r="O434" s="214">
        <v>0.12892100000000001</v>
      </c>
      <c r="P434" s="115">
        <v>4.4751000000000003</v>
      </c>
      <c r="Q434" s="769">
        <v>16.833991990099999</v>
      </c>
      <c r="R434" s="216"/>
      <c r="S434" s="216">
        <v>16.833991990099999</v>
      </c>
      <c r="T434" s="216">
        <v>8</v>
      </c>
      <c r="U434" s="216">
        <v>20.934000000000001</v>
      </c>
      <c r="V434" s="115">
        <v>1833.7474090396399</v>
      </c>
      <c r="W434" s="109">
        <v>625</v>
      </c>
      <c r="X434" s="109">
        <v>206.96310663828999</v>
      </c>
      <c r="Y434" s="109" t="s">
        <v>2374</v>
      </c>
      <c r="Z434" s="109">
        <v>39.079176983899998</v>
      </c>
      <c r="AA434" s="109">
        <v>36.475630731599999</v>
      </c>
      <c r="AB434" s="109" t="s">
        <v>1261</v>
      </c>
      <c r="AC434" s="109" t="s">
        <v>244</v>
      </c>
      <c r="AD434" s="765" t="s">
        <v>4061</v>
      </c>
      <c r="AE434" s="765" t="s">
        <v>674</v>
      </c>
      <c r="AF434" s="765"/>
      <c r="AG434" s="765"/>
      <c r="AH434" s="109"/>
      <c r="AL434" s="2" t="s">
        <v>679</v>
      </c>
      <c r="AM434" s="2" t="s">
        <v>1537</v>
      </c>
      <c r="AN434" s="2" t="s">
        <v>952</v>
      </c>
      <c r="AO434" s="2">
        <v>0.35102171100000001</v>
      </c>
      <c r="AP434" s="2" t="s">
        <v>4673</v>
      </c>
      <c r="AQ434" s="2" t="s">
        <v>4668</v>
      </c>
      <c r="AR434" s="2" t="s">
        <v>3969</v>
      </c>
      <c r="AT434" s="765"/>
      <c r="AU434" s="765"/>
      <c r="AV434" s="765"/>
      <c r="AW434" s="765"/>
    </row>
    <row r="435" spans="1:49" x14ac:dyDescent="0.25">
      <c r="A435" s="23" t="s">
        <v>3441</v>
      </c>
      <c r="B435" s="108" t="s">
        <v>163</v>
      </c>
      <c r="C435" s="108" t="s">
        <v>158</v>
      </c>
      <c r="D435" s="108" t="s">
        <v>3230</v>
      </c>
      <c r="E435" s="108" t="s">
        <v>3505</v>
      </c>
      <c r="F435" s="114" t="s">
        <v>694</v>
      </c>
      <c r="G435" s="213" t="s">
        <v>1279</v>
      </c>
      <c r="H435" s="115" t="s">
        <v>3506</v>
      </c>
      <c r="I435" s="213">
        <v>8176990.2699999996</v>
      </c>
      <c r="J435" s="109">
        <v>3.5</v>
      </c>
      <c r="K435" s="109" t="s">
        <v>696</v>
      </c>
      <c r="L435" s="115">
        <v>0.13983992749999999</v>
      </c>
      <c r="M435" s="115">
        <v>0</v>
      </c>
      <c r="N435" s="115">
        <v>0</v>
      </c>
      <c r="O435" s="214">
        <v>0.26250000000000001</v>
      </c>
      <c r="P435" s="115">
        <v>5.6852999999999998</v>
      </c>
      <c r="Q435" s="769"/>
      <c r="R435" s="216"/>
      <c r="S435" s="216">
        <v>5.6852999999999998</v>
      </c>
      <c r="T435" s="216">
        <v>26</v>
      </c>
      <c r="U435" s="216"/>
      <c r="V435" s="115"/>
      <c r="W435" s="109"/>
      <c r="X435" s="109"/>
      <c r="Y435" s="109" t="s">
        <v>3236</v>
      </c>
      <c r="Z435" s="109">
        <v>37.804391367599997</v>
      </c>
      <c r="AA435" s="109">
        <v>38.7575488616</v>
      </c>
      <c r="AB435" s="109" t="s">
        <v>1566</v>
      </c>
      <c r="AC435" s="109" t="s">
        <v>3888</v>
      </c>
      <c r="AD435" s="765" t="s">
        <v>4974</v>
      </c>
      <c r="AE435" s="765" t="s">
        <v>674</v>
      </c>
      <c r="AF435" s="765"/>
      <c r="AG435" s="765"/>
      <c r="AH435" s="109"/>
      <c r="AL435" s="2" t="s">
        <v>679</v>
      </c>
      <c r="AM435" s="2" t="s">
        <v>1087</v>
      </c>
      <c r="AN435" s="2" t="s">
        <v>952</v>
      </c>
      <c r="AO435" s="2">
        <v>0.14614866500000001</v>
      </c>
      <c r="AP435" s="2" t="s">
        <v>4673</v>
      </c>
      <c r="AQ435" s="2" t="s">
        <v>4668</v>
      </c>
      <c r="AR435" s="2" t="s">
        <v>3969</v>
      </c>
      <c r="AT435" s="765"/>
      <c r="AU435" s="765"/>
      <c r="AV435" s="765"/>
      <c r="AW435" s="765"/>
    </row>
    <row r="436" spans="1:49" x14ac:dyDescent="0.25">
      <c r="A436" s="23" t="s">
        <v>3618</v>
      </c>
      <c r="B436" s="108" t="s">
        <v>163</v>
      </c>
      <c r="C436" s="108" t="s">
        <v>158</v>
      </c>
      <c r="D436" s="108" t="s">
        <v>2312</v>
      </c>
      <c r="E436" s="108" t="s">
        <v>3753</v>
      </c>
      <c r="F436" s="114" t="s">
        <v>694</v>
      </c>
      <c r="G436" s="213" t="s">
        <v>3754</v>
      </c>
      <c r="H436" s="115" t="s">
        <v>2873</v>
      </c>
      <c r="I436" s="213">
        <v>24341195.760000002</v>
      </c>
      <c r="J436" s="109">
        <v>5.75143</v>
      </c>
      <c r="K436" s="109" t="s">
        <v>695</v>
      </c>
      <c r="L436" s="115">
        <v>0.35256137320000003</v>
      </c>
      <c r="M436" s="115">
        <v>14.577143</v>
      </c>
      <c r="N436" s="115">
        <v>14.724386000000001</v>
      </c>
      <c r="O436" s="214">
        <v>0.12781000000000001</v>
      </c>
      <c r="P436" s="115">
        <v>4.4855999999999998</v>
      </c>
      <c r="Q436" s="769">
        <v>16.842719247040002</v>
      </c>
      <c r="R436" s="216"/>
      <c r="S436" s="216">
        <v>16.842719247040002</v>
      </c>
      <c r="T436" s="216">
        <v>8</v>
      </c>
      <c r="U436" s="216">
        <v>18.189</v>
      </c>
      <c r="V436" s="115">
        <v>1559.2789992856001</v>
      </c>
      <c r="W436" s="109">
        <v>620</v>
      </c>
      <c r="X436" s="109">
        <v>135.67794302406</v>
      </c>
      <c r="Y436" s="109" t="s">
        <v>1536</v>
      </c>
      <c r="Z436" s="109">
        <v>26.017480882200001</v>
      </c>
      <c r="AA436" s="109">
        <v>33.152246046599998</v>
      </c>
      <c r="AB436" s="109" t="s">
        <v>4975</v>
      </c>
      <c r="AC436" s="109" t="s">
        <v>2418</v>
      </c>
      <c r="AD436" s="765" t="s">
        <v>1284</v>
      </c>
      <c r="AE436" s="765" t="s">
        <v>674</v>
      </c>
      <c r="AF436" s="765"/>
      <c r="AG436" s="765"/>
      <c r="AH436" s="109"/>
      <c r="AL436" s="2" t="s">
        <v>679</v>
      </c>
      <c r="AM436" s="2" t="s">
        <v>1537</v>
      </c>
      <c r="AN436" s="2" t="s">
        <v>952</v>
      </c>
      <c r="AO436" s="2">
        <v>0.362050135</v>
      </c>
      <c r="AP436" s="2" t="s">
        <v>4673</v>
      </c>
      <c r="AQ436" s="2" t="s">
        <v>4668</v>
      </c>
      <c r="AR436" s="2" t="s">
        <v>3969</v>
      </c>
      <c r="AT436" s="765"/>
      <c r="AU436" s="765"/>
      <c r="AV436" s="765"/>
      <c r="AW436" s="765"/>
    </row>
    <row r="437" spans="1:49" x14ac:dyDescent="0.25">
      <c r="A437" s="23" t="s">
        <v>3930</v>
      </c>
      <c r="B437" s="108" t="s">
        <v>163</v>
      </c>
      <c r="C437" s="108" t="s">
        <v>158</v>
      </c>
      <c r="D437" s="108" t="s">
        <v>2312</v>
      </c>
      <c r="E437" s="108" t="s">
        <v>3962</v>
      </c>
      <c r="F437" s="114" t="s">
        <v>694</v>
      </c>
      <c r="G437" s="213" t="s">
        <v>3754</v>
      </c>
      <c r="H437" s="115" t="s">
        <v>2873</v>
      </c>
      <c r="I437" s="213">
        <v>10381797.58</v>
      </c>
      <c r="J437" s="109">
        <v>5.75143</v>
      </c>
      <c r="K437" s="109" t="s">
        <v>695</v>
      </c>
      <c r="L437" s="115">
        <v>0.31145393049999998</v>
      </c>
      <c r="M437" s="115">
        <v>13.586944000000001</v>
      </c>
      <c r="N437" s="115">
        <v>13.724185</v>
      </c>
      <c r="O437" s="214">
        <v>0.12781000000000001</v>
      </c>
      <c r="P437" s="115">
        <v>4.4603000000000002</v>
      </c>
      <c r="Q437" s="769">
        <v>15.90826559409</v>
      </c>
      <c r="R437" s="216"/>
      <c r="S437" s="216">
        <v>15.90826559409</v>
      </c>
      <c r="T437" s="216">
        <v>8</v>
      </c>
      <c r="U437" s="216">
        <v>21.161999999999999</v>
      </c>
      <c r="V437" s="115">
        <v>1856.5963570307299</v>
      </c>
      <c r="W437" s="109">
        <v>620</v>
      </c>
      <c r="X437" s="109">
        <v>191.12141775462001</v>
      </c>
      <c r="Y437" s="109" t="s">
        <v>1536</v>
      </c>
      <c r="Z437" s="109">
        <v>25.362256510600002</v>
      </c>
      <c r="AA437" s="109">
        <v>36.741923568300003</v>
      </c>
      <c r="AB437" s="109" t="s">
        <v>258</v>
      </c>
      <c r="AC437" s="109" t="s">
        <v>246</v>
      </c>
      <c r="AD437" s="765" t="s">
        <v>3764</v>
      </c>
      <c r="AE437" s="765" t="s">
        <v>674</v>
      </c>
      <c r="AF437" s="765"/>
      <c r="AG437" s="765"/>
      <c r="AH437" s="109"/>
      <c r="AL437" s="2" t="s">
        <v>679</v>
      </c>
      <c r="AM437" s="2" t="s">
        <v>1537</v>
      </c>
      <c r="AN437" s="2" t="s">
        <v>952</v>
      </c>
      <c r="AO437" s="2">
        <v>0.31960102899999998</v>
      </c>
      <c r="AP437" s="2" t="s">
        <v>4673</v>
      </c>
      <c r="AQ437" s="2" t="s">
        <v>4668</v>
      </c>
      <c r="AR437" s="2" t="s">
        <v>3969</v>
      </c>
      <c r="AT437" s="765"/>
      <c r="AU437" s="765"/>
      <c r="AV437" s="765"/>
      <c r="AW437" s="765"/>
    </row>
    <row r="438" spans="1:49" x14ac:dyDescent="0.25">
      <c r="A438" s="23" t="s">
        <v>2254</v>
      </c>
      <c r="B438" s="108" t="s">
        <v>163</v>
      </c>
      <c r="C438" s="108" t="s">
        <v>158</v>
      </c>
      <c r="D438" s="108" t="s">
        <v>2263</v>
      </c>
      <c r="E438" s="108" t="s">
        <v>2264</v>
      </c>
      <c r="F438" s="114" t="s">
        <v>694</v>
      </c>
      <c r="G438" s="213" t="s">
        <v>2265</v>
      </c>
      <c r="H438" s="115" t="s">
        <v>2266</v>
      </c>
      <c r="I438" s="213">
        <v>44249039.509999998</v>
      </c>
      <c r="J438" s="109">
        <v>5.5514299999999999</v>
      </c>
      <c r="K438" s="109" t="s">
        <v>695</v>
      </c>
      <c r="L438" s="115">
        <v>0.35704200899999999</v>
      </c>
      <c r="M438" s="115">
        <v>10.730657000000001</v>
      </c>
      <c r="N438" s="115">
        <v>10.839047000000001</v>
      </c>
      <c r="O438" s="214">
        <v>0.123365</v>
      </c>
      <c r="P438" s="115">
        <v>4.0555000000000003</v>
      </c>
      <c r="Q438" s="769">
        <v>15.96956514645</v>
      </c>
      <c r="R438" s="216"/>
      <c r="S438" s="216">
        <v>15.96956514645</v>
      </c>
      <c r="T438" s="216">
        <v>7</v>
      </c>
      <c r="U438" s="216">
        <v>28.911999999999999</v>
      </c>
      <c r="V438" s="115">
        <v>2631.82991365522</v>
      </c>
      <c r="W438" s="109">
        <v>600</v>
      </c>
      <c r="X438" s="109">
        <v>68.626343622159993</v>
      </c>
      <c r="Y438" s="109" t="s">
        <v>1536</v>
      </c>
      <c r="Z438" s="109">
        <v>35.576359607800001</v>
      </c>
      <c r="AA438" s="109">
        <v>34.876572609199997</v>
      </c>
      <c r="AB438" s="109" t="s">
        <v>3363</v>
      </c>
      <c r="AC438" s="109" t="s">
        <v>3487</v>
      </c>
      <c r="AD438" s="765" t="s">
        <v>4976</v>
      </c>
      <c r="AE438" s="765" t="s">
        <v>674</v>
      </c>
      <c r="AF438" s="765"/>
      <c r="AG438" s="765"/>
      <c r="AH438" s="109"/>
      <c r="AL438" s="2" t="s">
        <v>679</v>
      </c>
      <c r="AM438" s="2" t="s">
        <v>1537</v>
      </c>
      <c r="AN438" s="2" t="s">
        <v>952</v>
      </c>
      <c r="AO438" s="2">
        <v>0.37084711199999998</v>
      </c>
      <c r="AP438" s="2" t="s">
        <v>4673</v>
      </c>
      <c r="AQ438" s="2" t="s">
        <v>4668</v>
      </c>
      <c r="AR438" s="2" t="s">
        <v>3969</v>
      </c>
      <c r="AT438" s="765"/>
      <c r="AU438" s="765"/>
      <c r="AV438" s="765"/>
      <c r="AW438" s="765"/>
    </row>
    <row r="439" spans="1:49" x14ac:dyDescent="0.25">
      <c r="A439" s="23" t="s">
        <v>3566</v>
      </c>
      <c r="B439" s="108" t="s">
        <v>1643</v>
      </c>
      <c r="C439" s="108" t="s">
        <v>158</v>
      </c>
      <c r="D439" s="108" t="s">
        <v>3567</v>
      </c>
      <c r="E439" s="108" t="s">
        <v>3568</v>
      </c>
      <c r="F439" s="114" t="s">
        <v>694</v>
      </c>
      <c r="G439" s="213" t="s">
        <v>3222</v>
      </c>
      <c r="H439" s="115" t="s">
        <v>3569</v>
      </c>
      <c r="I439" s="213">
        <v>154515770.25999999</v>
      </c>
      <c r="J439" s="109">
        <v>1.0678300000000001</v>
      </c>
      <c r="K439" s="109" t="s">
        <v>696</v>
      </c>
      <c r="L439" s="115">
        <v>0.95692269819999998</v>
      </c>
      <c r="M439" s="115">
        <v>7.672555</v>
      </c>
      <c r="N439" s="115">
        <v>7.682086</v>
      </c>
      <c r="O439" s="214">
        <v>8.0087000000000005E-2</v>
      </c>
      <c r="P439" s="115">
        <v>4.8810000000000002</v>
      </c>
      <c r="Q439" s="769">
        <v>2.1378085536100002</v>
      </c>
      <c r="R439" s="216"/>
      <c r="S439" s="216">
        <v>2.1378085536100002</v>
      </c>
      <c r="T439" s="216">
        <v>26</v>
      </c>
      <c r="U439" s="216">
        <v>4.7140000000000004</v>
      </c>
      <c r="V439" s="115">
        <v>209.14716423296579</v>
      </c>
      <c r="W439" s="109"/>
      <c r="X439" s="109">
        <v>435.69432802464001</v>
      </c>
      <c r="Y439" s="109" t="s">
        <v>3424</v>
      </c>
      <c r="Z439" s="109">
        <v>9.6837204921484954E-8</v>
      </c>
      <c r="AA439" s="109">
        <v>6.4041710390358659</v>
      </c>
      <c r="AB439" s="109" t="s">
        <v>2722</v>
      </c>
      <c r="AC439" s="109" t="s">
        <v>248</v>
      </c>
      <c r="AD439" s="765" t="s">
        <v>3570</v>
      </c>
      <c r="AE439" s="765" t="s">
        <v>674</v>
      </c>
      <c r="AF439" s="765"/>
      <c r="AG439" s="765"/>
      <c r="AH439" s="109"/>
      <c r="AL439" s="2" t="s">
        <v>679</v>
      </c>
      <c r="AM439" s="2" t="s">
        <v>1644</v>
      </c>
      <c r="AN439" s="2" t="s">
        <v>952</v>
      </c>
      <c r="AO439" s="2">
        <v>0.95825840299999998</v>
      </c>
      <c r="AP439" s="2" t="s">
        <v>4673</v>
      </c>
      <c r="AQ439" s="2" t="s">
        <v>4663</v>
      </c>
      <c r="AR439" s="2" t="s">
        <v>4660</v>
      </c>
      <c r="AT439" s="765"/>
      <c r="AU439" s="765"/>
      <c r="AV439" s="765"/>
      <c r="AW439" s="765"/>
    </row>
    <row r="440" spans="1:49" x14ac:dyDescent="0.25">
      <c r="A440" s="23" t="s">
        <v>3622</v>
      </c>
      <c r="B440" s="108" t="s">
        <v>163</v>
      </c>
      <c r="C440" s="108" t="s">
        <v>158</v>
      </c>
      <c r="D440" s="108" t="s">
        <v>1532</v>
      </c>
      <c r="E440" s="108" t="s">
        <v>3755</v>
      </c>
      <c r="F440" s="114" t="s">
        <v>694</v>
      </c>
      <c r="G440" s="213" t="s">
        <v>3756</v>
      </c>
      <c r="H440" s="115" t="s">
        <v>3757</v>
      </c>
      <c r="I440" s="213">
        <v>13613252.810000001</v>
      </c>
      <c r="J440" s="109">
        <v>3.3514300000000001</v>
      </c>
      <c r="K440" s="109" t="s">
        <v>695</v>
      </c>
      <c r="L440" s="115">
        <v>0.31763381899999998</v>
      </c>
      <c r="M440" s="115">
        <v>6.3949999999999996</v>
      </c>
      <c r="N440" s="115">
        <v>6.4595950000000002</v>
      </c>
      <c r="O440" s="214">
        <v>7.4476000000000001E-2</v>
      </c>
      <c r="P440" s="115">
        <v>5.0148999999999999</v>
      </c>
      <c r="Q440" s="769">
        <v>32.243990380089997</v>
      </c>
      <c r="R440" s="216"/>
      <c r="S440" s="216">
        <v>32.243990380089997</v>
      </c>
      <c r="T440" s="216">
        <v>7</v>
      </c>
      <c r="U440" s="216">
        <v>35.441000000000003</v>
      </c>
      <c r="V440" s="115">
        <v>3284.1577816204299</v>
      </c>
      <c r="W440" s="109">
        <v>380</v>
      </c>
      <c r="X440" s="109">
        <v>19.768529170650002</v>
      </c>
      <c r="Y440" s="109" t="s">
        <v>1536</v>
      </c>
      <c r="Z440" s="109">
        <v>21.9560159123</v>
      </c>
      <c r="AA440" s="109">
        <v>34.769938398500003</v>
      </c>
      <c r="AB440" s="109" t="s">
        <v>248</v>
      </c>
      <c r="AC440" s="109" t="s">
        <v>237</v>
      </c>
      <c r="AD440" s="765" t="s">
        <v>4977</v>
      </c>
      <c r="AE440" s="765" t="s">
        <v>674</v>
      </c>
      <c r="AF440" s="765"/>
      <c r="AG440" s="765"/>
      <c r="AH440" s="109"/>
      <c r="AL440" s="2" t="s">
        <v>679</v>
      </c>
      <c r="AM440" s="2" t="s">
        <v>1537</v>
      </c>
      <c r="AN440" s="2" t="s">
        <v>952</v>
      </c>
      <c r="AO440" s="2">
        <v>0.32477851400000002</v>
      </c>
      <c r="AP440" s="2" t="s">
        <v>4673</v>
      </c>
      <c r="AQ440" s="2" t="s">
        <v>4668</v>
      </c>
      <c r="AR440" s="2" t="s">
        <v>3969</v>
      </c>
      <c r="AT440" s="765"/>
      <c r="AU440" s="765"/>
      <c r="AV440" s="765"/>
      <c r="AW440" s="765"/>
    </row>
    <row r="441" spans="1:49" x14ac:dyDescent="0.25">
      <c r="A441" s="23" t="s">
        <v>2870</v>
      </c>
      <c r="B441" s="108" t="s">
        <v>163</v>
      </c>
      <c r="C441" s="108" t="s">
        <v>158</v>
      </c>
      <c r="D441" s="108" t="s">
        <v>2871</v>
      </c>
      <c r="E441" s="108" t="s">
        <v>2872</v>
      </c>
      <c r="F441" s="114" t="s">
        <v>694</v>
      </c>
      <c r="G441" s="213" t="s">
        <v>2875</v>
      </c>
      <c r="H441" s="115" t="s">
        <v>2873</v>
      </c>
      <c r="I441" s="213">
        <v>5232557.9000000004</v>
      </c>
      <c r="J441" s="109">
        <v>3.40143</v>
      </c>
      <c r="K441" s="109" t="s">
        <v>695</v>
      </c>
      <c r="L441" s="115">
        <v>5.2325578999999997E-2</v>
      </c>
      <c r="M441" s="115">
        <v>0</v>
      </c>
      <c r="N441" s="115">
        <v>0</v>
      </c>
      <c r="O441" s="214">
        <v>7.5587000000000001E-2</v>
      </c>
      <c r="P441" s="115">
        <v>4.0978000000000003</v>
      </c>
      <c r="Q441" s="769"/>
      <c r="R441" s="216"/>
      <c r="S441" s="216">
        <v>4.0978000000000003</v>
      </c>
      <c r="T441" s="216">
        <v>7</v>
      </c>
      <c r="U441" s="216"/>
      <c r="V441" s="115"/>
      <c r="W441" s="109">
        <v>385</v>
      </c>
      <c r="X441" s="109"/>
      <c r="Y441" s="109" t="s">
        <v>2328</v>
      </c>
      <c r="Z441" s="109">
        <v>42.153590835999999</v>
      </c>
      <c r="AA441" s="109">
        <v>50.514310021199996</v>
      </c>
      <c r="AB441" s="109" t="s">
        <v>1566</v>
      </c>
      <c r="AC441" s="109" t="s">
        <v>4731</v>
      </c>
      <c r="AD441" s="765" t="s">
        <v>2472</v>
      </c>
      <c r="AE441" s="765" t="s">
        <v>674</v>
      </c>
      <c r="AF441" s="765"/>
      <c r="AG441" s="765"/>
      <c r="AH441" s="109"/>
      <c r="AL441" s="2" t="s">
        <v>679</v>
      </c>
      <c r="AM441" s="2" t="s">
        <v>1537</v>
      </c>
      <c r="AN441" s="2" t="s">
        <v>952</v>
      </c>
      <c r="AO441" s="2">
        <v>5.4858333000000002E-2</v>
      </c>
      <c r="AP441" s="2" t="s">
        <v>4673</v>
      </c>
      <c r="AQ441" s="2" t="s">
        <v>4668</v>
      </c>
      <c r="AR441" s="2" t="s">
        <v>3969</v>
      </c>
      <c r="AT441" s="765"/>
      <c r="AU441" s="765"/>
      <c r="AV441" s="765"/>
      <c r="AW441" s="765"/>
    </row>
    <row r="442" spans="1:49" x14ac:dyDescent="0.25">
      <c r="A442" s="23" t="s">
        <v>3613</v>
      </c>
      <c r="B442" s="108" t="s">
        <v>163</v>
      </c>
      <c r="C442" s="108" t="s">
        <v>158</v>
      </c>
      <c r="D442" s="108" t="s">
        <v>2271</v>
      </c>
      <c r="E442" s="108" t="s">
        <v>3758</v>
      </c>
      <c r="F442" s="114" t="s">
        <v>694</v>
      </c>
      <c r="G442" s="213" t="s">
        <v>3759</v>
      </c>
      <c r="H442" s="115" t="s">
        <v>3760</v>
      </c>
      <c r="I442" s="213">
        <v>16821492.760000002</v>
      </c>
      <c r="J442" s="109">
        <v>5.6014299999999997</v>
      </c>
      <c r="K442" s="109" t="s">
        <v>695</v>
      </c>
      <c r="L442" s="115">
        <v>0.47282881729999998</v>
      </c>
      <c r="M442" s="115">
        <v>15.295902</v>
      </c>
      <c r="N442" s="115">
        <v>15.450405999999999</v>
      </c>
      <c r="O442" s="214">
        <v>0.124476</v>
      </c>
      <c r="P442" s="115">
        <v>5.2043999999999997</v>
      </c>
      <c r="Q442" s="769">
        <v>15.98867306446</v>
      </c>
      <c r="R442" s="216"/>
      <c r="S442" s="216">
        <v>15.98867306446</v>
      </c>
      <c r="T442" s="216">
        <v>7</v>
      </c>
      <c r="U442" s="216">
        <v>18.626999999999999</v>
      </c>
      <c r="V442" s="115">
        <v>1602.9074976350701</v>
      </c>
      <c r="W442" s="109">
        <v>605</v>
      </c>
      <c r="X442" s="109">
        <v>92.508380643679999</v>
      </c>
      <c r="Y442" s="109" t="s">
        <v>1536</v>
      </c>
      <c r="Z442" s="109">
        <v>25.318583156999999</v>
      </c>
      <c r="AA442" s="109">
        <v>30.996611795500002</v>
      </c>
      <c r="AB442" s="109" t="s">
        <v>4059</v>
      </c>
      <c r="AC442" s="109" t="s">
        <v>798</v>
      </c>
      <c r="AD442" s="765" t="s">
        <v>252</v>
      </c>
      <c r="AE442" s="765" t="s">
        <v>674</v>
      </c>
      <c r="AF442" s="765"/>
      <c r="AG442" s="765"/>
      <c r="AH442" s="109"/>
      <c r="AL442" s="2" t="s">
        <v>679</v>
      </c>
      <c r="AM442" s="2" t="s">
        <v>1537</v>
      </c>
      <c r="AN442" s="2" t="s">
        <v>952</v>
      </c>
      <c r="AO442" s="2">
        <v>0.48524540500000002</v>
      </c>
      <c r="AP442" s="2" t="s">
        <v>4673</v>
      </c>
      <c r="AQ442" s="2" t="s">
        <v>4668</v>
      </c>
      <c r="AR442" s="2" t="s">
        <v>3969</v>
      </c>
      <c r="AT442" s="765"/>
      <c r="AU442" s="765"/>
      <c r="AV442" s="765"/>
      <c r="AW442" s="765"/>
    </row>
    <row r="443" spans="1:49" x14ac:dyDescent="0.25">
      <c r="A443" s="23" t="s">
        <v>3621</v>
      </c>
      <c r="B443" s="108" t="s">
        <v>163</v>
      </c>
      <c r="C443" s="108" t="s">
        <v>158</v>
      </c>
      <c r="D443" s="108" t="s">
        <v>2271</v>
      </c>
      <c r="E443" s="108" t="s">
        <v>3761</v>
      </c>
      <c r="F443" s="114" t="s">
        <v>694</v>
      </c>
      <c r="G443" s="213" t="s">
        <v>2023</v>
      </c>
      <c r="H443" s="115" t="s">
        <v>3762</v>
      </c>
      <c r="I443" s="213">
        <v>9567600.5</v>
      </c>
      <c r="J443" s="109">
        <v>4</v>
      </c>
      <c r="K443" s="109" t="s">
        <v>696</v>
      </c>
      <c r="L443" s="115">
        <v>0.52007721579999999</v>
      </c>
      <c r="M443" s="115">
        <v>15.241688999999999</v>
      </c>
      <c r="N443" s="115">
        <v>15.395645</v>
      </c>
      <c r="O443" s="214">
        <v>0.3</v>
      </c>
      <c r="P443" s="115">
        <v>4.6643999999999997</v>
      </c>
      <c r="Q443" s="769">
        <v>-7.8758537486</v>
      </c>
      <c r="R443" s="216"/>
      <c r="S443" s="216">
        <v>-7.8758537486</v>
      </c>
      <c r="T443" s="216">
        <v>27</v>
      </c>
      <c r="U443" s="216">
        <v>5.05</v>
      </c>
      <c r="V443" s="115">
        <v>245.19480396992</v>
      </c>
      <c r="W443" s="109"/>
      <c r="X443" s="109">
        <v>139.01559474536</v>
      </c>
      <c r="Y443" s="109" t="s">
        <v>3763</v>
      </c>
      <c r="Z443" s="109">
        <v>21.629137284799999</v>
      </c>
      <c r="AA443" s="109">
        <v>27.419666048300002</v>
      </c>
      <c r="AB443" s="109" t="s">
        <v>4978</v>
      </c>
      <c r="AC443" s="109" t="s">
        <v>3764</v>
      </c>
      <c r="AD443" s="765" t="s">
        <v>1192</v>
      </c>
      <c r="AE443" s="765" t="s">
        <v>674</v>
      </c>
      <c r="AF443" s="765"/>
      <c r="AG443" s="765"/>
      <c r="AH443" s="109"/>
      <c r="AL443" s="2" t="s">
        <v>679</v>
      </c>
      <c r="AM443" s="2" t="s">
        <v>1087</v>
      </c>
      <c r="AN443" s="2" t="s">
        <v>952</v>
      </c>
      <c r="AO443" s="2">
        <v>0.53204560700000003</v>
      </c>
      <c r="AP443" s="2" t="s">
        <v>4673</v>
      </c>
      <c r="AQ443" s="2" t="s">
        <v>4668</v>
      </c>
      <c r="AR443" s="2" t="s">
        <v>3969</v>
      </c>
      <c r="AT443" s="765"/>
      <c r="AU443" s="765"/>
      <c r="AV443" s="765"/>
      <c r="AW443" s="765"/>
    </row>
    <row r="444" spans="1:49" x14ac:dyDescent="0.25">
      <c r="A444" s="23" t="s">
        <v>4627</v>
      </c>
      <c r="B444" s="108" t="s">
        <v>163</v>
      </c>
      <c r="C444" s="108" t="s">
        <v>158</v>
      </c>
      <c r="D444" s="108" t="s">
        <v>2271</v>
      </c>
      <c r="E444" s="108" t="s">
        <v>4732</v>
      </c>
      <c r="F444" s="114" t="s">
        <v>694</v>
      </c>
      <c r="G444" s="213" t="s">
        <v>2094</v>
      </c>
      <c r="H444" s="115" t="s">
        <v>3096</v>
      </c>
      <c r="I444" s="213">
        <v>23371257.489999998</v>
      </c>
      <c r="J444" s="109">
        <v>5.6514300000000004</v>
      </c>
      <c r="K444" s="109" t="s">
        <v>695</v>
      </c>
      <c r="L444" s="115">
        <v>0.34645702039999998</v>
      </c>
      <c r="M444" s="115">
        <v>12.129854999999999</v>
      </c>
      <c r="N444" s="115">
        <v>12.252378999999999</v>
      </c>
      <c r="O444" s="214">
        <v>0.125587</v>
      </c>
      <c r="P444" s="115">
        <v>5.2051999999999996</v>
      </c>
      <c r="Q444" s="769">
        <v>14.936085217900001</v>
      </c>
      <c r="R444" s="216"/>
      <c r="S444" s="216">
        <v>14.936085217900001</v>
      </c>
      <c r="T444" s="216">
        <v>7</v>
      </c>
      <c r="U444" s="216">
        <v>29.64</v>
      </c>
      <c r="V444" s="115">
        <v>2704.2217745667399</v>
      </c>
      <c r="W444" s="109">
        <v>610</v>
      </c>
      <c r="X444" s="109">
        <v>500.34322541366998</v>
      </c>
      <c r="Y444" s="109" t="s">
        <v>1536</v>
      </c>
      <c r="Z444" s="109">
        <v>28.503711964699999</v>
      </c>
      <c r="AA444" s="109">
        <v>39.219259270000002</v>
      </c>
      <c r="AB444" s="109" t="s">
        <v>237</v>
      </c>
      <c r="AC444" s="109" t="s">
        <v>2033</v>
      </c>
      <c r="AD444" s="765" t="s">
        <v>249</v>
      </c>
      <c r="AE444" s="765" t="s">
        <v>674</v>
      </c>
      <c r="AF444" s="765"/>
      <c r="AG444" s="765"/>
      <c r="AH444" s="109"/>
      <c r="AL444" s="2" t="s">
        <v>679</v>
      </c>
      <c r="AM444" s="2" t="s">
        <v>1537</v>
      </c>
      <c r="AN444" s="2" t="s">
        <v>952</v>
      </c>
      <c r="AO444" s="2">
        <v>0.35684970300000002</v>
      </c>
      <c r="AP444" s="2" t="s">
        <v>4673</v>
      </c>
      <c r="AQ444" s="2" t="s">
        <v>4668</v>
      </c>
      <c r="AR444" s="2" t="s">
        <v>3969</v>
      </c>
      <c r="AT444" s="765"/>
      <c r="AU444" s="765"/>
      <c r="AV444" s="765"/>
      <c r="AW444" s="765"/>
    </row>
    <row r="445" spans="1:49" x14ac:dyDescent="0.25">
      <c r="A445" s="23" t="s">
        <v>4617</v>
      </c>
      <c r="B445" s="108" t="s">
        <v>163</v>
      </c>
      <c r="C445" s="108" t="s">
        <v>158</v>
      </c>
      <c r="D445" s="108" t="s">
        <v>738</v>
      </c>
      <c r="E445" s="108" t="s">
        <v>4733</v>
      </c>
      <c r="F445" s="114" t="s">
        <v>694</v>
      </c>
      <c r="G445" s="213" t="s">
        <v>3508</v>
      </c>
      <c r="H445" s="115" t="s">
        <v>4734</v>
      </c>
      <c r="I445" s="213">
        <v>13749902.49</v>
      </c>
      <c r="J445" s="109">
        <v>5.6514300000000004</v>
      </c>
      <c r="K445" s="109" t="s">
        <v>695</v>
      </c>
      <c r="L445" s="115">
        <v>0.5593426936</v>
      </c>
      <c r="M445" s="115">
        <v>11.698924999999999</v>
      </c>
      <c r="N445" s="115">
        <v>11.817095999999999</v>
      </c>
      <c r="O445" s="214">
        <v>0.125587</v>
      </c>
      <c r="P445" s="115">
        <v>3.9039999999999999</v>
      </c>
      <c r="Q445" s="769">
        <v>23.391683187489999</v>
      </c>
      <c r="R445" s="216"/>
      <c r="S445" s="216">
        <v>23.391683187489999</v>
      </c>
      <c r="T445" s="216">
        <v>7</v>
      </c>
      <c r="U445" s="216">
        <v>26.975999999999999</v>
      </c>
      <c r="V445" s="115">
        <v>2438.4072296827499</v>
      </c>
      <c r="W445" s="109">
        <v>610</v>
      </c>
      <c r="X445" s="109">
        <v>301.64996037833998</v>
      </c>
      <c r="Y445" s="109" t="s">
        <v>2328</v>
      </c>
      <c r="Z445" s="109">
        <v>12.4359632514</v>
      </c>
      <c r="AA445" s="109">
        <v>14.217889483900001</v>
      </c>
      <c r="AB445" s="109" t="s">
        <v>258</v>
      </c>
      <c r="AC445" s="109" t="s">
        <v>1404</v>
      </c>
      <c r="AD445" s="765" t="s">
        <v>1506</v>
      </c>
      <c r="AE445" s="765" t="s">
        <v>674</v>
      </c>
      <c r="AF445" s="765"/>
      <c r="AG445" s="765"/>
      <c r="AH445" s="109"/>
      <c r="AL445" s="2" t="s">
        <v>679</v>
      </c>
      <c r="AM445" s="2" t="s">
        <v>1537</v>
      </c>
      <c r="AN445" s="2" t="s">
        <v>952</v>
      </c>
      <c r="AO445" s="2">
        <v>0.56851786999999998</v>
      </c>
      <c r="AP445" s="2" t="s">
        <v>4673</v>
      </c>
      <c r="AQ445" s="2" t="s">
        <v>4668</v>
      </c>
      <c r="AR445" s="2" t="s">
        <v>3969</v>
      </c>
      <c r="AT445" s="765"/>
      <c r="AU445" s="765"/>
      <c r="AV445" s="765"/>
      <c r="AW445" s="765"/>
    </row>
    <row r="446" spans="1:49" x14ac:dyDescent="0.25">
      <c r="A446" s="23" t="s">
        <v>2555</v>
      </c>
      <c r="B446" s="108" t="s">
        <v>163</v>
      </c>
      <c r="C446" s="108" t="s">
        <v>158</v>
      </c>
      <c r="D446" s="108" t="s">
        <v>2287</v>
      </c>
      <c r="E446" s="108" t="s">
        <v>2556</v>
      </c>
      <c r="F446" s="114" t="s">
        <v>694</v>
      </c>
      <c r="G446" s="213" t="s">
        <v>2570</v>
      </c>
      <c r="H446" s="115" t="s">
        <v>2571</v>
      </c>
      <c r="I446" s="213">
        <v>5353411.17</v>
      </c>
      <c r="J446" s="109">
        <v>3.5</v>
      </c>
      <c r="K446" s="109" t="s">
        <v>696</v>
      </c>
      <c r="L446" s="115">
        <v>0.37473878939999999</v>
      </c>
      <c r="M446" s="115">
        <v>14.572450999999999</v>
      </c>
      <c r="N446" s="115">
        <v>14.719647</v>
      </c>
      <c r="O446" s="214">
        <v>0.26250000000000001</v>
      </c>
      <c r="P446" s="115">
        <v>5.6365999999999996</v>
      </c>
      <c r="Q446" s="769">
        <v>-10.346669453060001</v>
      </c>
      <c r="R446" s="216"/>
      <c r="S446" s="216">
        <v>-10.346669453060001</v>
      </c>
      <c r="T446" s="216">
        <v>26</v>
      </c>
      <c r="U446" s="216">
        <v>6.4260000000000002</v>
      </c>
      <c r="V446" s="115">
        <v>383.21449219113998</v>
      </c>
      <c r="W446" s="109"/>
      <c r="X446" s="109">
        <v>131.19529909389999</v>
      </c>
      <c r="Y446" s="109" t="s">
        <v>2392</v>
      </c>
      <c r="Z446" s="109">
        <v>28.958974583900002</v>
      </c>
      <c r="AA446" s="109">
        <v>39.767994761499999</v>
      </c>
      <c r="AB446" s="109" t="s">
        <v>258</v>
      </c>
      <c r="AC446" s="109" t="s">
        <v>244</v>
      </c>
      <c r="AD446" s="765" t="s">
        <v>1246</v>
      </c>
      <c r="AE446" s="765" t="s">
        <v>674</v>
      </c>
      <c r="AF446" s="765"/>
      <c r="AG446" s="765"/>
      <c r="AH446" s="109"/>
      <c r="AL446" s="2" t="s">
        <v>679</v>
      </c>
      <c r="AM446" s="2" t="s">
        <v>1087</v>
      </c>
      <c r="AN446" s="2" t="s">
        <v>952</v>
      </c>
      <c r="AO446" s="2">
        <v>0.386227298</v>
      </c>
      <c r="AP446" s="2" t="s">
        <v>4673</v>
      </c>
      <c r="AQ446" s="2" t="s">
        <v>4668</v>
      </c>
      <c r="AR446" s="2" t="s">
        <v>3969</v>
      </c>
      <c r="AT446" s="765"/>
      <c r="AU446" s="765"/>
      <c r="AV446" s="765"/>
      <c r="AW446" s="765"/>
    </row>
    <row r="447" spans="1:49" x14ac:dyDescent="0.25">
      <c r="A447" s="23" t="s">
        <v>3440</v>
      </c>
      <c r="B447" s="108" t="s">
        <v>163</v>
      </c>
      <c r="C447" s="108" t="s">
        <v>158</v>
      </c>
      <c r="D447" s="108" t="s">
        <v>1532</v>
      </c>
      <c r="E447" s="108" t="s">
        <v>3507</v>
      </c>
      <c r="F447" s="114" t="s">
        <v>694</v>
      </c>
      <c r="G447" s="213" t="s">
        <v>3508</v>
      </c>
      <c r="H447" s="115" t="s">
        <v>2266</v>
      </c>
      <c r="I447" s="213">
        <v>46063970.409999996</v>
      </c>
      <c r="J447" s="109">
        <v>5.6014299999999997</v>
      </c>
      <c r="K447" s="109" t="s">
        <v>695</v>
      </c>
      <c r="L447" s="115">
        <v>0.35318330549999999</v>
      </c>
      <c r="M447" s="115">
        <v>12.236414</v>
      </c>
      <c r="N447" s="115">
        <v>12.360014</v>
      </c>
      <c r="O447" s="214">
        <v>0.124476</v>
      </c>
      <c r="P447" s="115">
        <v>4.7866</v>
      </c>
      <c r="Q447" s="769">
        <v>15.79750481848</v>
      </c>
      <c r="R447" s="216"/>
      <c r="S447" s="216">
        <v>15.79750481848</v>
      </c>
      <c r="T447" s="216">
        <v>7</v>
      </c>
      <c r="U447" s="216">
        <v>26.763000000000002</v>
      </c>
      <c r="V447" s="115">
        <v>2416.4127379512101</v>
      </c>
      <c r="W447" s="109">
        <v>605</v>
      </c>
      <c r="X447" s="109">
        <v>484.76683007549002</v>
      </c>
      <c r="Y447" s="109" t="s">
        <v>2328</v>
      </c>
      <c r="Z447" s="109">
        <v>23.997328999899999</v>
      </c>
      <c r="AA447" s="109">
        <v>36.272714913999998</v>
      </c>
      <c r="AB447" s="109" t="s">
        <v>253</v>
      </c>
      <c r="AC447" s="109" t="s">
        <v>1284</v>
      </c>
      <c r="AD447" s="765" t="s">
        <v>249</v>
      </c>
      <c r="AE447" s="765" t="s">
        <v>674</v>
      </c>
      <c r="AF447" s="765"/>
      <c r="AG447" s="765"/>
      <c r="AH447" s="109"/>
      <c r="AL447" s="2" t="s">
        <v>679</v>
      </c>
      <c r="AM447" s="2" t="s">
        <v>1537</v>
      </c>
      <c r="AN447" s="2" t="s">
        <v>952</v>
      </c>
      <c r="AO447" s="2">
        <v>0.36192005999999999</v>
      </c>
      <c r="AP447" s="2" t="s">
        <v>4673</v>
      </c>
      <c r="AQ447" s="2" t="s">
        <v>4668</v>
      </c>
      <c r="AR447" s="2" t="s">
        <v>3969</v>
      </c>
      <c r="AT447" s="765"/>
      <c r="AU447" s="765"/>
      <c r="AV447" s="765"/>
      <c r="AW447" s="765"/>
    </row>
    <row r="448" spans="1:49" x14ac:dyDescent="0.25">
      <c r="A448" s="23" t="s">
        <v>2967</v>
      </c>
      <c r="B448" s="108" t="s">
        <v>163</v>
      </c>
      <c r="C448" s="108" t="s">
        <v>158</v>
      </c>
      <c r="D448" s="108" t="s">
        <v>1532</v>
      </c>
      <c r="E448" s="108" t="s">
        <v>2968</v>
      </c>
      <c r="F448" s="114" t="s">
        <v>694</v>
      </c>
      <c r="G448" s="213" t="s">
        <v>3095</v>
      </c>
      <c r="H448" s="115" t="s">
        <v>3096</v>
      </c>
      <c r="I448" s="213">
        <v>21624392.539999999</v>
      </c>
      <c r="J448" s="109">
        <v>5.6514300000000004</v>
      </c>
      <c r="K448" s="109" t="s">
        <v>695</v>
      </c>
      <c r="L448" s="115">
        <v>0.35083058639999998</v>
      </c>
      <c r="M448" s="115">
        <v>11.277768</v>
      </c>
      <c r="N448" s="115">
        <v>11.391685000000001</v>
      </c>
      <c r="O448" s="214">
        <v>0.125587</v>
      </c>
      <c r="P448" s="115">
        <v>4.5046999999999997</v>
      </c>
      <c r="Q448" s="769">
        <v>15.19051658443</v>
      </c>
      <c r="R448" s="216"/>
      <c r="S448" s="216">
        <v>15.19051658443</v>
      </c>
      <c r="T448" s="216">
        <v>7</v>
      </c>
      <c r="U448" s="216">
        <v>30.614000000000001</v>
      </c>
      <c r="V448" s="115">
        <v>2801.6974346851998</v>
      </c>
      <c r="W448" s="109">
        <v>610</v>
      </c>
      <c r="X448" s="109">
        <v>544.45295985345001</v>
      </c>
      <c r="Y448" s="109" t="s">
        <v>714</v>
      </c>
      <c r="Z448" s="109">
        <v>35.411684813500003</v>
      </c>
      <c r="AA448" s="109">
        <v>39.495894426699998</v>
      </c>
      <c r="AB448" s="109" t="s">
        <v>251</v>
      </c>
      <c r="AC448" s="109" t="s">
        <v>246</v>
      </c>
      <c r="AD448" s="765" t="s">
        <v>2962</v>
      </c>
      <c r="AE448" s="765" t="s">
        <v>674</v>
      </c>
      <c r="AF448" s="765"/>
      <c r="AG448" s="765"/>
      <c r="AH448" s="109"/>
      <c r="AL448" s="2" t="s">
        <v>679</v>
      </c>
      <c r="AM448" s="2" t="s">
        <v>1537</v>
      </c>
      <c r="AN448" s="2" t="s">
        <v>952</v>
      </c>
      <c r="AO448" s="2">
        <v>0.36493701200000001</v>
      </c>
      <c r="AP448" s="2" t="s">
        <v>4673</v>
      </c>
      <c r="AQ448" s="2" t="s">
        <v>4668</v>
      </c>
      <c r="AR448" s="2" t="s">
        <v>3969</v>
      </c>
      <c r="AT448" s="765"/>
      <c r="AU448" s="765"/>
      <c r="AV448" s="765"/>
      <c r="AW448" s="765"/>
    </row>
    <row r="449" spans="1:49" x14ac:dyDescent="0.25">
      <c r="A449" s="23" t="s">
        <v>3158</v>
      </c>
      <c r="B449" s="108" t="s">
        <v>163</v>
      </c>
      <c r="C449" s="108" t="s">
        <v>158</v>
      </c>
      <c r="D449" s="108" t="s">
        <v>2042</v>
      </c>
      <c r="E449" s="108" t="s">
        <v>3238</v>
      </c>
      <c r="F449" s="114" t="s">
        <v>694</v>
      </c>
      <c r="G449" s="213" t="s">
        <v>3095</v>
      </c>
      <c r="H449" s="115" t="s">
        <v>3239</v>
      </c>
      <c r="I449" s="213">
        <v>6529469.1200000001</v>
      </c>
      <c r="J449" s="109">
        <v>5.6014299999999997</v>
      </c>
      <c r="K449" s="109" t="s">
        <v>695</v>
      </c>
      <c r="L449" s="115">
        <v>0.61294772129999997</v>
      </c>
      <c r="M449" s="115">
        <v>15.971111000000001</v>
      </c>
      <c r="N449" s="115">
        <v>16.132435999999998</v>
      </c>
      <c r="O449" s="214">
        <v>0.124476</v>
      </c>
      <c r="P449" s="115">
        <v>6.1772999999999998</v>
      </c>
      <c r="Q449" s="769">
        <v>13.70535579495</v>
      </c>
      <c r="R449" s="216"/>
      <c r="S449" s="216">
        <v>13.70535579495</v>
      </c>
      <c r="T449" s="216">
        <v>7</v>
      </c>
      <c r="U449" s="216">
        <v>20.536000000000001</v>
      </c>
      <c r="V449" s="115">
        <v>1794.57312000395</v>
      </c>
      <c r="W449" s="109">
        <v>605</v>
      </c>
      <c r="X449" s="109">
        <v>177.18484674628999</v>
      </c>
      <c r="Y449" s="109" t="s">
        <v>1536</v>
      </c>
      <c r="Z449" s="109">
        <v>30.826053454099998</v>
      </c>
      <c r="AA449" s="109">
        <v>30.681254286800002</v>
      </c>
      <c r="AB449" s="109" t="s">
        <v>517</v>
      </c>
      <c r="AC449" s="109" t="s">
        <v>4713</v>
      </c>
      <c r="AD449" s="765" t="s">
        <v>4979</v>
      </c>
      <c r="AE449" s="765" t="s">
        <v>674</v>
      </c>
      <c r="AF449" s="765"/>
      <c r="AG449" s="765"/>
      <c r="AH449" s="109"/>
      <c r="AL449" s="2" t="s">
        <v>679</v>
      </c>
      <c r="AM449" s="2" t="s">
        <v>1537</v>
      </c>
      <c r="AN449" s="2" t="s">
        <v>952</v>
      </c>
      <c r="AO449" s="2">
        <v>0.63319611499999995</v>
      </c>
      <c r="AP449" s="2" t="s">
        <v>4673</v>
      </c>
      <c r="AQ449" s="2" t="s">
        <v>4668</v>
      </c>
      <c r="AR449" s="2" t="s">
        <v>3969</v>
      </c>
      <c r="AT449" s="765"/>
      <c r="AU449" s="765"/>
      <c r="AV449" s="765"/>
      <c r="AW449" s="765"/>
    </row>
    <row r="450" spans="1:49" x14ac:dyDescent="0.25">
      <c r="A450" s="23" t="s">
        <v>3612</v>
      </c>
      <c r="B450" s="108" t="s">
        <v>163</v>
      </c>
      <c r="C450" s="108" t="s">
        <v>158</v>
      </c>
      <c r="D450" s="108" t="s">
        <v>2287</v>
      </c>
      <c r="E450" s="108" t="s">
        <v>3765</v>
      </c>
      <c r="F450" s="114" t="s">
        <v>694</v>
      </c>
      <c r="G450" s="213" t="s">
        <v>3095</v>
      </c>
      <c r="H450" s="115" t="s">
        <v>3239</v>
      </c>
      <c r="I450" s="213">
        <v>41911610.060000002</v>
      </c>
      <c r="J450" s="109">
        <v>5.6014299999999997</v>
      </c>
      <c r="K450" s="109" t="s">
        <v>695</v>
      </c>
      <c r="L450" s="115">
        <v>0.50293932269999997</v>
      </c>
      <c r="M450" s="115">
        <v>14.743437</v>
      </c>
      <c r="N450" s="115">
        <v>14.892360999999999</v>
      </c>
      <c r="O450" s="214">
        <v>0.124476</v>
      </c>
      <c r="P450" s="115">
        <v>5.8491999999999997</v>
      </c>
      <c r="Q450" s="769">
        <v>14.63029797548</v>
      </c>
      <c r="R450" s="216"/>
      <c r="S450" s="216">
        <v>14.63029797548</v>
      </c>
      <c r="T450" s="216">
        <v>7</v>
      </c>
      <c r="U450" s="216">
        <v>22.632999999999999</v>
      </c>
      <c r="V450" s="115">
        <v>2004.0092534686401</v>
      </c>
      <c r="W450" s="109">
        <v>605</v>
      </c>
      <c r="X450" s="109">
        <v>215.97048251749999</v>
      </c>
      <c r="Y450" s="109" t="s">
        <v>1536</v>
      </c>
      <c r="Z450" s="109">
        <v>26.8498229894</v>
      </c>
      <c r="AA450" s="109">
        <v>32.0788216304</v>
      </c>
      <c r="AB450" s="109" t="s">
        <v>1210</v>
      </c>
      <c r="AC450" s="109" t="s">
        <v>2858</v>
      </c>
      <c r="AD450" s="765" t="s">
        <v>249</v>
      </c>
      <c r="AE450" s="765" t="s">
        <v>674</v>
      </c>
      <c r="AF450" s="765"/>
      <c r="AG450" s="765"/>
      <c r="AH450" s="109"/>
      <c r="AL450" s="2" t="s">
        <v>679</v>
      </c>
      <c r="AM450" s="2" t="s">
        <v>1537</v>
      </c>
      <c r="AN450" s="2" t="s">
        <v>952</v>
      </c>
      <c r="AO450" s="2">
        <v>0.517088031</v>
      </c>
      <c r="AP450" s="2" t="s">
        <v>4673</v>
      </c>
      <c r="AQ450" s="2" t="s">
        <v>4668</v>
      </c>
      <c r="AR450" s="2" t="s">
        <v>3969</v>
      </c>
      <c r="AT450" s="765"/>
      <c r="AU450" s="765"/>
      <c r="AV450" s="765"/>
      <c r="AW450" s="765"/>
    </row>
    <row r="451" spans="1:49" x14ac:dyDescent="0.25">
      <c r="A451" s="23" t="s">
        <v>3611</v>
      </c>
      <c r="B451" s="108" t="s">
        <v>163</v>
      </c>
      <c r="C451" s="108" t="s">
        <v>158</v>
      </c>
      <c r="D451" s="108" t="s">
        <v>1532</v>
      </c>
      <c r="E451" s="108" t="s">
        <v>3766</v>
      </c>
      <c r="F451" s="114" t="s">
        <v>694</v>
      </c>
      <c r="G451" s="213" t="s">
        <v>3095</v>
      </c>
      <c r="H451" s="115" t="s">
        <v>3767</v>
      </c>
      <c r="I451" s="213">
        <v>14785677.960000001</v>
      </c>
      <c r="J451" s="109">
        <v>5.6014299999999997</v>
      </c>
      <c r="K451" s="109" t="s">
        <v>695</v>
      </c>
      <c r="L451" s="115">
        <v>0.39410689300000001</v>
      </c>
      <c r="M451" s="115">
        <v>13.885611000000001</v>
      </c>
      <c r="N451" s="115">
        <v>14.025869</v>
      </c>
      <c r="O451" s="214">
        <v>0.124476</v>
      </c>
      <c r="P451" s="115">
        <v>5.3646000000000003</v>
      </c>
      <c r="Q451" s="769">
        <v>18.047757445630001</v>
      </c>
      <c r="R451" s="216"/>
      <c r="S451" s="216">
        <v>18.047757445630001</v>
      </c>
      <c r="T451" s="216">
        <v>7</v>
      </c>
      <c r="U451" s="216">
        <v>23.58</v>
      </c>
      <c r="V451" s="115">
        <v>2098.3465595411199</v>
      </c>
      <c r="W451" s="109">
        <v>605</v>
      </c>
      <c r="X451" s="109">
        <v>178.14484084297999</v>
      </c>
      <c r="Y451" s="109" t="s">
        <v>2965</v>
      </c>
      <c r="Z451" s="109">
        <v>21.832533799099998</v>
      </c>
      <c r="AA451" s="109">
        <v>40.139798038199999</v>
      </c>
      <c r="AB451" s="109" t="s">
        <v>1183</v>
      </c>
      <c r="AC451" s="109" t="s">
        <v>1284</v>
      </c>
      <c r="AD451" s="765" t="s">
        <v>798</v>
      </c>
      <c r="AE451" s="765" t="s">
        <v>674</v>
      </c>
      <c r="AF451" s="765"/>
      <c r="AG451" s="765"/>
      <c r="AH451" s="109"/>
      <c r="AL451" s="2" t="s">
        <v>679</v>
      </c>
      <c r="AM451" s="2" t="s">
        <v>1537</v>
      </c>
      <c r="AN451" s="2" t="s">
        <v>952</v>
      </c>
      <c r="AO451" s="2">
        <v>0.40299404799999999</v>
      </c>
      <c r="AP451" s="2" t="s">
        <v>4673</v>
      </c>
      <c r="AQ451" s="2" t="s">
        <v>4668</v>
      </c>
      <c r="AR451" s="2" t="s">
        <v>3969</v>
      </c>
      <c r="AT451" s="765"/>
      <c r="AU451" s="765"/>
      <c r="AV451" s="765"/>
      <c r="AW451" s="765"/>
    </row>
    <row r="452" spans="1:49" x14ac:dyDescent="0.25">
      <c r="A452" s="23" t="s">
        <v>2308</v>
      </c>
      <c r="B452" s="108" t="s">
        <v>163</v>
      </c>
      <c r="C452" s="108" t="s">
        <v>158</v>
      </c>
      <c r="D452" s="108" t="s">
        <v>2312</v>
      </c>
      <c r="E452" s="108" t="s">
        <v>2313</v>
      </c>
      <c r="F452" s="114" t="s">
        <v>694</v>
      </c>
      <c r="G452" s="213" t="s">
        <v>2314</v>
      </c>
      <c r="H452" s="115" t="s">
        <v>2315</v>
      </c>
      <c r="I452" s="213">
        <v>135086179</v>
      </c>
      <c r="J452" s="109">
        <v>0.14474000000000001</v>
      </c>
      <c r="K452" s="109" t="s">
        <v>695</v>
      </c>
      <c r="L452" s="115">
        <v>0.52470731920000002</v>
      </c>
      <c r="M452" s="115">
        <v>0.501363</v>
      </c>
      <c r="N452" s="115">
        <v>0.50642699999999996</v>
      </c>
      <c r="O452" s="214">
        <v>3.2160000000000001E-3</v>
      </c>
      <c r="P452" s="115">
        <v>5.1147999999999998</v>
      </c>
      <c r="Q452" s="769">
        <v>3.9021522477500001</v>
      </c>
      <c r="R452" s="216"/>
      <c r="S452" s="216">
        <v>3.9021522477500001</v>
      </c>
      <c r="T452" s="216">
        <v>7</v>
      </c>
      <c r="U452" s="216">
        <v>10.613</v>
      </c>
      <c r="V452" s="115">
        <v>801.49222950392004</v>
      </c>
      <c r="W452" s="109"/>
      <c r="X452" s="109">
        <v>331.66229870563001</v>
      </c>
      <c r="Y452" s="109" t="s">
        <v>2316</v>
      </c>
      <c r="Z452" s="109">
        <v>20.212990906800002</v>
      </c>
      <c r="AA452" s="109">
        <v>22.312628182400001</v>
      </c>
      <c r="AB452" s="109" t="s">
        <v>237</v>
      </c>
      <c r="AC452" s="109" t="s">
        <v>1304</v>
      </c>
      <c r="AD452" s="765" t="s">
        <v>249</v>
      </c>
      <c r="AE452" s="765" t="s">
        <v>674</v>
      </c>
      <c r="AF452" s="765"/>
      <c r="AG452" s="765"/>
      <c r="AH452" s="109"/>
      <c r="AL452" s="2" t="s">
        <v>679</v>
      </c>
      <c r="AM452" s="2" t="s">
        <v>1537</v>
      </c>
      <c r="AN452" s="2" t="s">
        <v>952</v>
      </c>
      <c r="AO452" s="2">
        <v>0.53644290699999997</v>
      </c>
      <c r="AP452" s="2" t="s">
        <v>4673</v>
      </c>
      <c r="AQ452" s="2" t="s">
        <v>4668</v>
      </c>
      <c r="AR452" s="2" t="s">
        <v>3969</v>
      </c>
      <c r="AT452" s="765"/>
      <c r="AU452" s="765"/>
      <c r="AV452" s="765"/>
      <c r="AW452" s="765"/>
    </row>
    <row r="453" spans="1:49" x14ac:dyDescent="0.25">
      <c r="A453" s="23" t="s">
        <v>3439</v>
      </c>
      <c r="B453" s="108" t="s">
        <v>163</v>
      </c>
      <c r="C453" s="108" t="s">
        <v>158</v>
      </c>
      <c r="D453" s="108" t="s">
        <v>1532</v>
      </c>
      <c r="E453" s="108" t="s">
        <v>3509</v>
      </c>
      <c r="F453" s="114" t="s">
        <v>694</v>
      </c>
      <c r="G453" s="213" t="s">
        <v>3510</v>
      </c>
      <c r="H453" s="115" t="s">
        <v>3237</v>
      </c>
      <c r="I453" s="213">
        <v>45851606.140000001</v>
      </c>
      <c r="J453" s="109">
        <v>5.6014299999999997</v>
      </c>
      <c r="K453" s="109" t="s">
        <v>695</v>
      </c>
      <c r="L453" s="115">
        <v>0.370109572</v>
      </c>
      <c r="M453" s="115">
        <v>13.713677000000001</v>
      </c>
      <c r="N453" s="115">
        <v>13.852199000000001</v>
      </c>
      <c r="O453" s="214">
        <v>0.124476</v>
      </c>
      <c r="P453" s="115">
        <v>5.3124000000000002</v>
      </c>
      <c r="Q453" s="769">
        <v>17.477076672100001</v>
      </c>
      <c r="R453" s="216"/>
      <c r="S453" s="216">
        <v>17.477076672100001</v>
      </c>
      <c r="T453" s="216">
        <v>7</v>
      </c>
      <c r="U453" s="216">
        <v>23.995999999999999</v>
      </c>
      <c r="V453" s="115">
        <v>2139.9495813974099</v>
      </c>
      <c r="W453" s="109">
        <v>605</v>
      </c>
      <c r="X453" s="109">
        <v>170.83485885434001</v>
      </c>
      <c r="Y453" s="109" t="s">
        <v>2328</v>
      </c>
      <c r="Z453" s="109">
        <v>31.405514986499998</v>
      </c>
      <c r="AA453" s="109">
        <v>39.385178334199999</v>
      </c>
      <c r="AB453" s="109" t="s">
        <v>1154</v>
      </c>
      <c r="AC453" s="109" t="s">
        <v>243</v>
      </c>
      <c r="AD453" s="765" t="s">
        <v>247</v>
      </c>
      <c r="AE453" s="765" t="s">
        <v>674</v>
      </c>
      <c r="AF453" s="765"/>
      <c r="AG453" s="765"/>
      <c r="AH453" s="109"/>
      <c r="AL453" s="2" t="s">
        <v>679</v>
      </c>
      <c r="AM453" s="2" t="s">
        <v>1537</v>
      </c>
      <c r="AN453" s="2" t="s">
        <v>952</v>
      </c>
      <c r="AO453" s="2">
        <v>0.38262707899999998</v>
      </c>
      <c r="AP453" s="2" t="s">
        <v>4673</v>
      </c>
      <c r="AQ453" s="2" t="s">
        <v>4668</v>
      </c>
      <c r="AR453" s="2" t="s">
        <v>3969</v>
      </c>
      <c r="AT453" s="765"/>
      <c r="AU453" s="765"/>
      <c r="AV453" s="765"/>
      <c r="AW453" s="765"/>
    </row>
    <row r="454" spans="1:49" x14ac:dyDescent="0.25">
      <c r="A454" s="23" t="s">
        <v>3147</v>
      </c>
      <c r="B454" s="108" t="s">
        <v>163</v>
      </c>
      <c r="C454" s="108" t="s">
        <v>158</v>
      </c>
      <c r="D454" s="108" t="s">
        <v>2271</v>
      </c>
      <c r="E454" s="108" t="s">
        <v>3241</v>
      </c>
      <c r="F454" s="114" t="s">
        <v>694</v>
      </c>
      <c r="G454" s="213" t="s">
        <v>2017</v>
      </c>
      <c r="H454" s="115" t="s">
        <v>3242</v>
      </c>
      <c r="I454" s="213">
        <v>28211938.440000001</v>
      </c>
      <c r="J454" s="109">
        <v>4</v>
      </c>
      <c r="K454" s="109" t="s">
        <v>696</v>
      </c>
      <c r="L454" s="115">
        <v>0.45655640660000002</v>
      </c>
      <c r="M454" s="115">
        <v>13.378821</v>
      </c>
      <c r="N454" s="115">
        <v>13.513961</v>
      </c>
      <c r="O454" s="214">
        <v>0.3</v>
      </c>
      <c r="P454" s="115">
        <v>3.9338000000000002</v>
      </c>
      <c r="Q454" s="769">
        <v>-6.6487072209300004</v>
      </c>
      <c r="R454" s="216"/>
      <c r="S454" s="216">
        <v>-6.6487072209300004</v>
      </c>
      <c r="T454" s="216">
        <v>27</v>
      </c>
      <c r="U454" s="216">
        <v>4.4109999999999996</v>
      </c>
      <c r="V454" s="115">
        <v>181.85624330523001</v>
      </c>
      <c r="W454" s="109"/>
      <c r="X454" s="109">
        <v>26.703095846619998</v>
      </c>
      <c r="Y454" s="109" t="s">
        <v>3236</v>
      </c>
      <c r="Z454" s="109">
        <v>24.815969590800002</v>
      </c>
      <c r="AA454" s="109">
        <v>27.815087479900001</v>
      </c>
      <c r="AB454" s="109" t="s">
        <v>1202</v>
      </c>
      <c r="AC454" s="109" t="s">
        <v>246</v>
      </c>
      <c r="AD454" s="765" t="s">
        <v>1404</v>
      </c>
      <c r="AE454" s="765" t="s">
        <v>674</v>
      </c>
      <c r="AF454" s="765"/>
      <c r="AG454" s="765"/>
      <c r="AH454" s="109"/>
      <c r="AL454" s="2" t="s">
        <v>679</v>
      </c>
      <c r="AM454" s="2" t="s">
        <v>1087</v>
      </c>
      <c r="AN454" s="2" t="s">
        <v>952</v>
      </c>
      <c r="AO454" s="2">
        <v>0.47093484899999999</v>
      </c>
      <c r="AP454" s="2" t="s">
        <v>4673</v>
      </c>
      <c r="AQ454" s="2" t="s">
        <v>4668</v>
      </c>
      <c r="AR454" s="2" t="s">
        <v>3969</v>
      </c>
      <c r="AT454" s="765"/>
      <c r="AU454" s="765"/>
      <c r="AV454" s="765"/>
      <c r="AW454" s="765"/>
    </row>
    <row r="455" spans="1:49" x14ac:dyDescent="0.25">
      <c r="A455" s="23" t="s">
        <v>2256</v>
      </c>
      <c r="B455" s="108" t="s">
        <v>163</v>
      </c>
      <c r="C455" s="108" t="s">
        <v>158</v>
      </c>
      <c r="D455" s="108" t="s">
        <v>2042</v>
      </c>
      <c r="E455" s="108" t="s">
        <v>2267</v>
      </c>
      <c r="F455" s="114" t="s">
        <v>694</v>
      </c>
      <c r="G455" s="213" t="s">
        <v>2068</v>
      </c>
      <c r="H455" s="115" t="s">
        <v>2268</v>
      </c>
      <c r="I455" s="213">
        <v>11740585.140000001</v>
      </c>
      <c r="J455" s="109">
        <v>5.75143</v>
      </c>
      <c r="K455" s="109" t="s">
        <v>695</v>
      </c>
      <c r="L455" s="115">
        <v>0.77317291779999997</v>
      </c>
      <c r="M455" s="115">
        <v>15.541577999999999</v>
      </c>
      <c r="N455" s="115">
        <v>15.698563999999999</v>
      </c>
      <c r="O455" s="214">
        <v>0.12781000000000001</v>
      </c>
      <c r="P455" s="115">
        <v>6.1597999999999997</v>
      </c>
      <c r="Q455" s="769">
        <v>13.219836791120001</v>
      </c>
      <c r="R455" s="216"/>
      <c r="S455" s="216">
        <v>13.219836791120001</v>
      </c>
      <c r="T455" s="216">
        <v>8</v>
      </c>
      <c r="U455" s="216">
        <v>22.738</v>
      </c>
      <c r="V455" s="115">
        <v>2014.80831141505</v>
      </c>
      <c r="W455" s="109">
        <v>620</v>
      </c>
      <c r="X455" s="109">
        <v>163.74494256202999</v>
      </c>
      <c r="Y455" s="109" t="s">
        <v>1536</v>
      </c>
      <c r="Z455" s="109">
        <v>5.1097155619999999</v>
      </c>
      <c r="AA455" s="109">
        <v>22.3352199988</v>
      </c>
      <c r="AB455" s="109" t="s">
        <v>4062</v>
      </c>
      <c r="AC455" s="109" t="s">
        <v>3496</v>
      </c>
      <c r="AD455" s="765" t="s">
        <v>2270</v>
      </c>
      <c r="AE455" s="765" t="s">
        <v>674</v>
      </c>
      <c r="AF455" s="765"/>
      <c r="AG455" s="765"/>
      <c r="AH455" s="109"/>
      <c r="AL455" s="2" t="s">
        <v>679</v>
      </c>
      <c r="AM455" s="2" t="s">
        <v>1537</v>
      </c>
      <c r="AN455" s="2" t="s">
        <v>952</v>
      </c>
      <c r="AO455" s="2">
        <v>0.77791474699999996</v>
      </c>
      <c r="AP455" s="2" t="s">
        <v>4673</v>
      </c>
      <c r="AQ455" s="2" t="s">
        <v>4668</v>
      </c>
      <c r="AR455" s="2" t="s">
        <v>3969</v>
      </c>
      <c r="AT455" s="765"/>
      <c r="AU455" s="765"/>
      <c r="AV455" s="765"/>
      <c r="AW455" s="765"/>
    </row>
    <row r="456" spans="1:49" x14ac:dyDescent="0.25">
      <c r="A456" s="23" t="s">
        <v>3610</v>
      </c>
      <c r="B456" s="108" t="s">
        <v>163</v>
      </c>
      <c r="C456" s="108" t="s">
        <v>158</v>
      </c>
      <c r="D456" s="108" t="s">
        <v>2287</v>
      </c>
      <c r="E456" s="108" t="s">
        <v>3768</v>
      </c>
      <c r="F456" s="114" t="s">
        <v>694</v>
      </c>
      <c r="G456" s="213" t="s">
        <v>2068</v>
      </c>
      <c r="H456" s="115" t="s">
        <v>2268</v>
      </c>
      <c r="I456" s="213">
        <v>32736730.010000002</v>
      </c>
      <c r="J456" s="109">
        <v>5.7014300000000002</v>
      </c>
      <c r="K456" s="109" t="s">
        <v>695</v>
      </c>
      <c r="L456" s="115">
        <v>0.52256367719999997</v>
      </c>
      <c r="M456" s="115">
        <v>14.296472</v>
      </c>
      <c r="N456" s="115">
        <v>14.44088</v>
      </c>
      <c r="O456" s="214">
        <v>0.12669800000000001</v>
      </c>
      <c r="P456" s="115">
        <v>5.9150999999999998</v>
      </c>
      <c r="Q456" s="769">
        <v>12.73331958344</v>
      </c>
      <c r="R456" s="216"/>
      <c r="S456" s="216">
        <v>12.73331958344</v>
      </c>
      <c r="T456" s="216">
        <v>7</v>
      </c>
      <c r="U456" s="216">
        <v>25.064</v>
      </c>
      <c r="V456" s="115">
        <v>2247.1626647739899</v>
      </c>
      <c r="W456" s="109">
        <v>615</v>
      </c>
      <c r="X456" s="109">
        <v>215.78084598658</v>
      </c>
      <c r="Y456" s="109" t="s">
        <v>1536</v>
      </c>
      <c r="Z456" s="109">
        <v>16.518830319399999</v>
      </c>
      <c r="AA456" s="109">
        <v>28.474346883199999</v>
      </c>
      <c r="AB456" s="109" t="s">
        <v>257</v>
      </c>
      <c r="AC456" s="109" t="s">
        <v>4059</v>
      </c>
      <c r="AD456" s="765" t="s">
        <v>253</v>
      </c>
      <c r="AE456" s="765" t="s">
        <v>674</v>
      </c>
      <c r="AF456" s="765"/>
      <c r="AG456" s="765"/>
      <c r="AH456" s="109"/>
      <c r="AL456" s="2" t="s">
        <v>679</v>
      </c>
      <c r="AM456" s="2" t="s">
        <v>1537</v>
      </c>
      <c r="AN456" s="2" t="s">
        <v>952</v>
      </c>
      <c r="AO456" s="2">
        <v>0.531364426</v>
      </c>
      <c r="AP456" s="2" t="s">
        <v>4673</v>
      </c>
      <c r="AQ456" s="2" t="s">
        <v>4668</v>
      </c>
      <c r="AR456" s="2" t="s">
        <v>3969</v>
      </c>
      <c r="AT456" s="765"/>
      <c r="AU456" s="765"/>
      <c r="AV456" s="765"/>
      <c r="AW456" s="765"/>
    </row>
    <row r="457" spans="1:49" x14ac:dyDescent="0.25">
      <c r="A457" s="23" t="s">
        <v>2307</v>
      </c>
      <c r="B457" s="108" t="s">
        <v>163</v>
      </c>
      <c r="C457" s="108" t="s">
        <v>158</v>
      </c>
      <c r="D457" s="108" t="s">
        <v>2287</v>
      </c>
      <c r="E457" s="108" t="s">
        <v>2317</v>
      </c>
      <c r="F457" s="114" t="s">
        <v>694</v>
      </c>
      <c r="G457" s="213" t="s">
        <v>2044</v>
      </c>
      <c r="H457" s="115" t="s">
        <v>2318</v>
      </c>
      <c r="I457" s="213">
        <v>5548012.6900000004</v>
      </c>
      <c r="J457" s="109">
        <v>3.5</v>
      </c>
      <c r="K457" s="109" t="s">
        <v>696</v>
      </c>
      <c r="L457" s="115">
        <v>0.51262674870000002</v>
      </c>
      <c r="M457" s="115">
        <v>10.912171000000001</v>
      </c>
      <c r="N457" s="115">
        <v>11.022396000000001</v>
      </c>
      <c r="O457" s="214">
        <v>0.26250000000000001</v>
      </c>
      <c r="P457" s="115">
        <v>4.0678000000000001</v>
      </c>
      <c r="Q457" s="769">
        <v>-17.37511448475</v>
      </c>
      <c r="R457" s="216"/>
      <c r="S457" s="216">
        <v>-17.37511448475</v>
      </c>
      <c r="T457" s="216">
        <v>26</v>
      </c>
      <c r="U457" s="216">
        <v>8.5389999999999997</v>
      </c>
      <c r="V457" s="115">
        <v>594.60864361091001</v>
      </c>
      <c r="W457" s="109"/>
      <c r="X457" s="109">
        <v>44.47627889932</v>
      </c>
      <c r="Y457" s="109" t="s">
        <v>2319</v>
      </c>
      <c r="Z457" s="109">
        <v>36.404963197599997</v>
      </c>
      <c r="AA457" s="109">
        <v>44.396195953400003</v>
      </c>
      <c r="AB457" s="109" t="s">
        <v>4980</v>
      </c>
      <c r="AC457" s="109" t="s">
        <v>3888</v>
      </c>
      <c r="AD457" s="765"/>
      <c r="AE457" s="765" t="s">
        <v>674</v>
      </c>
      <c r="AF457" s="765"/>
      <c r="AG457" s="765"/>
      <c r="AH457" s="109"/>
      <c r="AL457" s="2" t="s">
        <v>679</v>
      </c>
      <c r="AM457" s="2" t="s">
        <v>1087</v>
      </c>
      <c r="AN457" s="2" t="s">
        <v>952</v>
      </c>
      <c r="AO457" s="2">
        <v>0.53642259699999995</v>
      </c>
      <c r="AP457" s="2" t="s">
        <v>4673</v>
      </c>
      <c r="AQ457" s="2" t="s">
        <v>4668</v>
      </c>
      <c r="AR457" s="2" t="s">
        <v>3969</v>
      </c>
      <c r="AT457" s="765"/>
      <c r="AU457" s="765"/>
      <c r="AV457" s="765"/>
      <c r="AW457" s="765"/>
    </row>
    <row r="458" spans="1:49" x14ac:dyDescent="0.25">
      <c r="A458" s="23" t="s">
        <v>2963</v>
      </c>
      <c r="B458" s="108" t="s">
        <v>163</v>
      </c>
      <c r="C458" s="108" t="s">
        <v>158</v>
      </c>
      <c r="D458" s="108" t="s">
        <v>1532</v>
      </c>
      <c r="E458" s="108" t="s">
        <v>2964</v>
      </c>
      <c r="F458" s="114" t="s">
        <v>694</v>
      </c>
      <c r="G458" s="213" t="s">
        <v>2068</v>
      </c>
      <c r="H458" s="115" t="s">
        <v>3098</v>
      </c>
      <c r="I458" s="213">
        <v>24153920.59</v>
      </c>
      <c r="J458" s="109">
        <v>5.6514300000000004</v>
      </c>
      <c r="K458" s="109" t="s">
        <v>695</v>
      </c>
      <c r="L458" s="115">
        <v>0.51423902369999996</v>
      </c>
      <c r="M458" s="115">
        <v>12.248858999999999</v>
      </c>
      <c r="N458" s="115">
        <v>12.372585000000001</v>
      </c>
      <c r="O458" s="214">
        <v>0.125587</v>
      </c>
      <c r="P458" s="115">
        <v>4.569</v>
      </c>
      <c r="Q458" s="769">
        <v>14.723158349149999</v>
      </c>
      <c r="R458" s="216"/>
      <c r="S458" s="216">
        <v>14.723158349149999</v>
      </c>
      <c r="T458" s="216">
        <v>7</v>
      </c>
      <c r="U458" s="216">
        <v>26.158999999999999</v>
      </c>
      <c r="V458" s="115">
        <v>2356.20313840472</v>
      </c>
      <c r="W458" s="109">
        <v>610</v>
      </c>
      <c r="X458" s="109">
        <v>165.06026518127001</v>
      </c>
      <c r="Y458" s="109" t="s">
        <v>2965</v>
      </c>
      <c r="Z458" s="109">
        <v>24.683595953099999</v>
      </c>
      <c r="AA458" s="109">
        <v>32.343204411800002</v>
      </c>
      <c r="AB458" s="109" t="s">
        <v>1726</v>
      </c>
      <c r="AC458" s="109" t="s">
        <v>4981</v>
      </c>
      <c r="AD458" s="765" t="s">
        <v>1246</v>
      </c>
      <c r="AE458" s="765" t="s">
        <v>674</v>
      </c>
      <c r="AF458" s="765"/>
      <c r="AG458" s="765"/>
      <c r="AH458" s="109"/>
      <c r="AL458" s="2" t="s">
        <v>679</v>
      </c>
      <c r="AM458" s="2" t="s">
        <v>1537</v>
      </c>
      <c r="AN458" s="2" t="s">
        <v>952</v>
      </c>
      <c r="AO458" s="2">
        <v>0.52733730199999995</v>
      </c>
      <c r="AP458" s="2" t="s">
        <v>4673</v>
      </c>
      <c r="AQ458" s="2" t="s">
        <v>4668</v>
      </c>
      <c r="AR458" s="2" t="s">
        <v>3969</v>
      </c>
      <c r="AT458" s="765"/>
      <c r="AU458" s="765"/>
      <c r="AV458" s="765"/>
      <c r="AW458" s="765"/>
    </row>
    <row r="459" spans="1:49" x14ac:dyDescent="0.25">
      <c r="A459" s="23" t="s">
        <v>2564</v>
      </c>
      <c r="B459" s="108" t="s">
        <v>163</v>
      </c>
      <c r="C459" s="108" t="s">
        <v>158</v>
      </c>
      <c r="D459" s="108" t="s">
        <v>2042</v>
      </c>
      <c r="E459" s="108" t="s">
        <v>2565</v>
      </c>
      <c r="F459" s="114" t="s">
        <v>694</v>
      </c>
      <c r="G459" s="213" t="s">
        <v>2572</v>
      </c>
      <c r="H459" s="115" t="s">
        <v>2573</v>
      </c>
      <c r="I459" s="213">
        <v>57607039.130000003</v>
      </c>
      <c r="J459" s="109">
        <v>5.8514299999999997</v>
      </c>
      <c r="K459" s="109" t="s">
        <v>695</v>
      </c>
      <c r="L459" s="115">
        <v>0.72220738799999995</v>
      </c>
      <c r="M459" s="115">
        <v>16.851355000000002</v>
      </c>
      <c r="N459" s="115">
        <v>17.021570000000001</v>
      </c>
      <c r="O459" s="214">
        <v>0.13003200000000001</v>
      </c>
      <c r="P459" s="115">
        <v>6.2747000000000002</v>
      </c>
      <c r="Q459" s="769">
        <v>13.060557833920001</v>
      </c>
      <c r="R459" s="216"/>
      <c r="S459" s="216">
        <v>13.060557833920001</v>
      </c>
      <c r="T459" s="216">
        <v>8</v>
      </c>
      <c r="U459" s="216">
        <v>20.617999999999999</v>
      </c>
      <c r="V459" s="115">
        <v>1802.8650519968801</v>
      </c>
      <c r="W459" s="109">
        <v>630</v>
      </c>
      <c r="X459" s="109">
        <v>147.36842049173001</v>
      </c>
      <c r="Y459" s="109" t="s">
        <v>1536</v>
      </c>
      <c r="Z459" s="109">
        <v>18.037164935100002</v>
      </c>
      <c r="AA459" s="109">
        <v>21.667749149900001</v>
      </c>
      <c r="AB459" s="109" t="s">
        <v>251</v>
      </c>
      <c r="AC459" s="109" t="s">
        <v>2858</v>
      </c>
      <c r="AD459" s="765" t="s">
        <v>1192</v>
      </c>
      <c r="AE459" s="765" t="s">
        <v>674</v>
      </c>
      <c r="AF459" s="765"/>
      <c r="AG459" s="765"/>
      <c r="AH459" s="109"/>
      <c r="AL459" s="2" t="s">
        <v>679</v>
      </c>
      <c r="AM459" s="2" t="s">
        <v>1537</v>
      </c>
      <c r="AN459" s="2" t="s">
        <v>952</v>
      </c>
      <c r="AO459" s="2">
        <v>0.73557407699999999</v>
      </c>
      <c r="AP459" s="2" t="s">
        <v>4673</v>
      </c>
      <c r="AQ459" s="2" t="s">
        <v>4668</v>
      </c>
      <c r="AR459" s="2" t="s">
        <v>3969</v>
      </c>
      <c r="AT459" s="765"/>
      <c r="AU459" s="765"/>
      <c r="AV459" s="765"/>
      <c r="AW459" s="765"/>
    </row>
    <row r="460" spans="1:49" x14ac:dyDescent="0.25">
      <c r="A460" s="23" t="s">
        <v>2931</v>
      </c>
      <c r="B460" s="108" t="s">
        <v>163</v>
      </c>
      <c r="C460" s="108" t="s">
        <v>158</v>
      </c>
      <c r="D460" s="108" t="s">
        <v>1532</v>
      </c>
      <c r="E460" s="108" t="s">
        <v>2932</v>
      </c>
      <c r="F460" s="114" t="s">
        <v>694</v>
      </c>
      <c r="G460" s="213" t="s">
        <v>2572</v>
      </c>
      <c r="H460" s="115" t="s">
        <v>2573</v>
      </c>
      <c r="I460" s="213">
        <v>21523877.84</v>
      </c>
      <c r="J460" s="109">
        <v>3.8514300000000001</v>
      </c>
      <c r="K460" s="109" t="s">
        <v>695</v>
      </c>
      <c r="L460" s="115">
        <v>0.55160342470000001</v>
      </c>
      <c r="M460" s="115">
        <v>7.1733190000000002</v>
      </c>
      <c r="N460" s="115">
        <v>7.2457770000000004</v>
      </c>
      <c r="O460" s="214">
        <v>8.5586999999999996E-2</v>
      </c>
      <c r="P460" s="115">
        <v>4.8055000000000003</v>
      </c>
      <c r="Q460" s="769">
        <v>26.317398699190001</v>
      </c>
      <c r="R460" s="216"/>
      <c r="S460" s="216">
        <v>26.317398699190001</v>
      </c>
      <c r="T460" s="216">
        <v>7</v>
      </c>
      <c r="U460" s="216">
        <v>36.290999999999997</v>
      </c>
      <c r="V460" s="115">
        <v>3369.2626655433601</v>
      </c>
      <c r="W460" s="109">
        <v>430</v>
      </c>
      <c r="X460" s="109">
        <v>118.28405134831</v>
      </c>
      <c r="Y460" s="109" t="s">
        <v>1536</v>
      </c>
      <c r="Z460" s="109">
        <v>17.566987877399999</v>
      </c>
      <c r="AA460" s="109">
        <v>31.149968621599999</v>
      </c>
      <c r="AB460" s="109" t="s">
        <v>1726</v>
      </c>
      <c r="AC460" s="109" t="s">
        <v>4981</v>
      </c>
      <c r="AD460" s="765" t="s">
        <v>4735</v>
      </c>
      <c r="AE460" s="765" t="s">
        <v>674</v>
      </c>
      <c r="AF460" s="765"/>
      <c r="AG460" s="765"/>
      <c r="AH460" s="109"/>
      <c r="AL460" s="2" t="s">
        <v>679</v>
      </c>
      <c r="AM460" s="2" t="s">
        <v>1537</v>
      </c>
      <c r="AN460" s="2" t="s">
        <v>952</v>
      </c>
      <c r="AO460" s="2">
        <v>0.561324983</v>
      </c>
      <c r="AP460" s="2" t="s">
        <v>4673</v>
      </c>
      <c r="AQ460" s="2" t="s">
        <v>4668</v>
      </c>
      <c r="AR460" s="2" t="s">
        <v>3969</v>
      </c>
      <c r="AT460" s="765"/>
      <c r="AU460" s="765"/>
      <c r="AV460" s="765"/>
      <c r="AW460" s="765"/>
    </row>
    <row r="461" spans="1:49" x14ac:dyDescent="0.25">
      <c r="A461" s="23" t="s">
        <v>2257</v>
      </c>
      <c r="B461" s="108" t="s">
        <v>163</v>
      </c>
      <c r="C461" s="108" t="s">
        <v>158</v>
      </c>
      <c r="D461" s="108" t="s">
        <v>2271</v>
      </c>
      <c r="E461" s="108" t="s">
        <v>2272</v>
      </c>
      <c r="F461" s="114" t="s">
        <v>694</v>
      </c>
      <c r="G461" s="213" t="s">
        <v>2273</v>
      </c>
      <c r="H461" s="115" t="s">
        <v>2274</v>
      </c>
      <c r="I461" s="213">
        <v>21163615.09</v>
      </c>
      <c r="J461" s="109">
        <v>3.25143</v>
      </c>
      <c r="K461" s="109" t="s">
        <v>695</v>
      </c>
      <c r="L461" s="115">
        <v>0.84383134829999995</v>
      </c>
      <c r="M461" s="115">
        <v>5.2685940000000002</v>
      </c>
      <c r="N461" s="115">
        <v>5.3218120000000004</v>
      </c>
      <c r="O461" s="214">
        <v>7.2253999999999999E-2</v>
      </c>
      <c r="P461" s="115">
        <v>5.3893000000000004</v>
      </c>
      <c r="Q461" s="769">
        <v>30.97736044254</v>
      </c>
      <c r="R461" s="216"/>
      <c r="S461" s="216">
        <v>30.97736044254</v>
      </c>
      <c r="T461" s="216">
        <v>8</v>
      </c>
      <c r="U461" s="216">
        <v>48.795000000000002</v>
      </c>
      <c r="V461" s="115">
        <v>4619.8451689032299</v>
      </c>
      <c r="W461" s="109">
        <v>370</v>
      </c>
      <c r="X461" s="109">
        <v>70.812777403910005</v>
      </c>
      <c r="Y461" s="109" t="s">
        <v>1536</v>
      </c>
      <c r="Z461" s="109">
        <v>21.715890810200001</v>
      </c>
      <c r="AA461" s="109">
        <v>18.923474954900001</v>
      </c>
      <c r="AB461" s="109" t="s">
        <v>3963</v>
      </c>
      <c r="AC461" s="109" t="s">
        <v>4982</v>
      </c>
      <c r="AD461" s="765" t="s">
        <v>3769</v>
      </c>
      <c r="AE461" s="765" t="s">
        <v>674</v>
      </c>
      <c r="AF461" s="765"/>
      <c r="AG461" s="765"/>
      <c r="AH461" s="109"/>
      <c r="AL461" s="2" t="s">
        <v>679</v>
      </c>
      <c r="AM461" s="2" t="s">
        <v>1537</v>
      </c>
      <c r="AN461" s="2" t="s">
        <v>952</v>
      </c>
      <c r="AO461" s="2">
        <v>0.86251612899999996</v>
      </c>
      <c r="AP461" s="2" t="s">
        <v>4673</v>
      </c>
      <c r="AQ461" s="2" t="s">
        <v>4668</v>
      </c>
      <c r="AR461" s="2" t="s">
        <v>3969</v>
      </c>
      <c r="AT461" s="765"/>
      <c r="AU461" s="765"/>
      <c r="AV461" s="765"/>
      <c r="AW461" s="765"/>
    </row>
    <row r="462" spans="1:49" x14ac:dyDescent="0.25">
      <c r="A462" s="23" t="s">
        <v>3609</v>
      </c>
      <c r="B462" s="108" t="s">
        <v>163</v>
      </c>
      <c r="C462" s="108" t="s">
        <v>158</v>
      </c>
      <c r="D462" s="108" t="s">
        <v>2391</v>
      </c>
      <c r="E462" s="108" t="s">
        <v>3770</v>
      </c>
      <c r="F462" s="114" t="s">
        <v>694</v>
      </c>
      <c r="G462" s="213" t="s">
        <v>2258</v>
      </c>
      <c r="H462" s="115" t="s">
        <v>2573</v>
      </c>
      <c r="I462" s="213">
        <v>31985186.530000001</v>
      </c>
      <c r="J462" s="109">
        <v>2.5</v>
      </c>
      <c r="K462" s="109" t="s">
        <v>696</v>
      </c>
      <c r="L462" s="115">
        <v>0.6429700183</v>
      </c>
      <c r="M462" s="115">
        <v>0</v>
      </c>
      <c r="N462" s="115">
        <v>0</v>
      </c>
      <c r="O462" s="214">
        <v>0.1875</v>
      </c>
      <c r="P462" s="115">
        <v>8.2459000000000007</v>
      </c>
      <c r="Q462" s="769"/>
      <c r="R462" s="216"/>
      <c r="S462" s="216">
        <v>8.2459000000000007</v>
      </c>
      <c r="T462" s="216">
        <v>27</v>
      </c>
      <c r="U462" s="216"/>
      <c r="V462" s="115"/>
      <c r="W462" s="109"/>
      <c r="X462" s="109"/>
      <c r="Y462" s="109" t="s">
        <v>2392</v>
      </c>
      <c r="Z462" s="109">
        <v>17.144154777899999</v>
      </c>
      <c r="AA462" s="109">
        <v>42.2658643424</v>
      </c>
      <c r="AB462" s="109" t="s">
        <v>3421</v>
      </c>
      <c r="AC462" s="109" t="s">
        <v>4063</v>
      </c>
      <c r="AD462" s="765" t="s">
        <v>2483</v>
      </c>
      <c r="AE462" s="765" t="s">
        <v>674</v>
      </c>
      <c r="AF462" s="765"/>
      <c r="AG462" s="765"/>
      <c r="AH462" s="109"/>
      <c r="AL462" s="2" t="s">
        <v>679</v>
      </c>
      <c r="AM462" s="2" t="s">
        <v>1087</v>
      </c>
      <c r="AN462" s="2" t="s">
        <v>952</v>
      </c>
      <c r="AO462" s="2">
        <v>0.65451331700000004</v>
      </c>
      <c r="AP462" s="2" t="s">
        <v>4673</v>
      </c>
      <c r="AQ462" s="2" t="s">
        <v>4668</v>
      </c>
      <c r="AR462" s="2" t="s">
        <v>3969</v>
      </c>
      <c r="AT462" s="765"/>
      <c r="AU462" s="765"/>
      <c r="AV462" s="765"/>
      <c r="AW462" s="765"/>
    </row>
    <row r="463" spans="1:49" x14ac:dyDescent="0.25">
      <c r="A463" s="23" t="s">
        <v>3157</v>
      </c>
      <c r="B463" s="108" t="s">
        <v>163</v>
      </c>
      <c r="C463" s="108" t="s">
        <v>158</v>
      </c>
      <c r="D463" s="108" t="s">
        <v>3243</v>
      </c>
      <c r="E463" s="108" t="s">
        <v>3244</v>
      </c>
      <c r="F463" s="114" t="s">
        <v>694</v>
      </c>
      <c r="G463" s="213" t="s">
        <v>2258</v>
      </c>
      <c r="H463" s="115" t="s">
        <v>2274</v>
      </c>
      <c r="I463" s="213">
        <v>40562150.359999999</v>
      </c>
      <c r="J463" s="109">
        <v>2</v>
      </c>
      <c r="K463" s="109" t="s">
        <v>696</v>
      </c>
      <c r="L463" s="115">
        <v>0.9237923629</v>
      </c>
      <c r="M463" s="115">
        <v>10.966998</v>
      </c>
      <c r="N463" s="115">
        <v>11.077776</v>
      </c>
      <c r="O463" s="214">
        <v>0.15</v>
      </c>
      <c r="P463" s="115">
        <v>8.1515000000000004</v>
      </c>
      <c r="Q463" s="769">
        <v>-5.3740585236099996</v>
      </c>
      <c r="R463" s="216"/>
      <c r="S463" s="216">
        <v>-5.3740585236099996</v>
      </c>
      <c r="T463" s="216">
        <v>26</v>
      </c>
      <c r="U463" s="216">
        <v>6.6710000000000003</v>
      </c>
      <c r="V463" s="115">
        <v>412.609887861</v>
      </c>
      <c r="W463" s="109"/>
      <c r="X463" s="109">
        <v>307.97727801798999</v>
      </c>
      <c r="Y463" s="109" t="s">
        <v>2426</v>
      </c>
      <c r="Z463" s="109">
        <v>9.9953633100000008E-2</v>
      </c>
      <c r="AA463" s="109">
        <v>5.5570326061999999</v>
      </c>
      <c r="AB463" s="109" t="s">
        <v>2722</v>
      </c>
      <c r="AC463" s="109" t="s">
        <v>2472</v>
      </c>
      <c r="AD463" s="765" t="s">
        <v>4064</v>
      </c>
      <c r="AE463" s="765" t="s">
        <v>674</v>
      </c>
      <c r="AF463" s="765"/>
      <c r="AG463" s="765"/>
      <c r="AH463" s="109"/>
      <c r="AL463" s="2" t="s">
        <v>679</v>
      </c>
      <c r="AM463" s="2" t="s">
        <v>1087</v>
      </c>
      <c r="AN463" s="2" t="s">
        <v>952</v>
      </c>
      <c r="AO463" s="2">
        <v>0.92573474700000002</v>
      </c>
      <c r="AP463" s="2" t="s">
        <v>4673</v>
      </c>
      <c r="AQ463" s="2" t="s">
        <v>4668</v>
      </c>
      <c r="AR463" s="2" t="s">
        <v>3969</v>
      </c>
      <c r="AT463" s="765"/>
      <c r="AU463" s="765"/>
      <c r="AV463" s="765"/>
      <c r="AW463" s="765"/>
    </row>
    <row r="464" spans="1:49" x14ac:dyDescent="0.25">
      <c r="A464" s="23" t="s">
        <v>2557</v>
      </c>
      <c r="B464" s="108" t="s">
        <v>163</v>
      </c>
      <c r="C464" s="108" t="s">
        <v>158</v>
      </c>
      <c r="D464" s="108" t="s">
        <v>2391</v>
      </c>
      <c r="E464" s="108" t="s">
        <v>2558</v>
      </c>
      <c r="F464" s="114" t="s">
        <v>694</v>
      </c>
      <c r="G464" s="213" t="s">
        <v>2574</v>
      </c>
      <c r="H464" s="115" t="s">
        <v>2575</v>
      </c>
      <c r="I464" s="213">
        <v>13365117.49</v>
      </c>
      <c r="J464" s="109">
        <v>2.5</v>
      </c>
      <c r="K464" s="109" t="s">
        <v>696</v>
      </c>
      <c r="L464" s="115">
        <v>0.70517904949999999</v>
      </c>
      <c r="M464" s="115">
        <v>0</v>
      </c>
      <c r="N464" s="115">
        <v>0</v>
      </c>
      <c r="O464" s="214">
        <v>0.1875</v>
      </c>
      <c r="P464" s="115">
        <v>8.5289999999999999</v>
      </c>
      <c r="Q464" s="769"/>
      <c r="R464" s="216"/>
      <c r="S464" s="216">
        <v>8.5289999999999999</v>
      </c>
      <c r="T464" s="216">
        <v>27</v>
      </c>
      <c r="U464" s="216"/>
      <c r="V464" s="115"/>
      <c r="W464" s="109"/>
      <c r="X464" s="109"/>
      <c r="Y464" s="109" t="s">
        <v>2559</v>
      </c>
      <c r="Z464" s="109">
        <v>24.3672538426</v>
      </c>
      <c r="AA464" s="109">
        <v>39.518737448499998</v>
      </c>
      <c r="AB464" s="109" t="s">
        <v>3740</v>
      </c>
      <c r="AC464" s="109" t="s">
        <v>2563</v>
      </c>
      <c r="AD464" s="765" t="s">
        <v>2393</v>
      </c>
      <c r="AE464" s="765" t="s">
        <v>674</v>
      </c>
      <c r="AF464" s="765"/>
      <c r="AG464" s="765"/>
      <c r="AH464" s="109"/>
      <c r="AL464" s="2" t="s">
        <v>679</v>
      </c>
      <c r="AM464" s="2" t="s">
        <v>1087</v>
      </c>
      <c r="AN464" s="2" t="s">
        <v>952</v>
      </c>
      <c r="AO464" s="2">
        <v>0.72315661099999995</v>
      </c>
      <c r="AP464" s="2" t="s">
        <v>4673</v>
      </c>
      <c r="AQ464" s="2" t="s">
        <v>4668</v>
      </c>
      <c r="AR464" s="2" t="s">
        <v>3969</v>
      </c>
      <c r="AT464" s="765"/>
      <c r="AU464" s="765"/>
      <c r="AV464" s="765"/>
      <c r="AW464" s="765"/>
    </row>
    <row r="465" spans="1:49" x14ac:dyDescent="0.25">
      <c r="A465" s="23" t="s">
        <v>4554</v>
      </c>
      <c r="B465" s="108" t="s">
        <v>163</v>
      </c>
      <c r="C465" s="108" t="s">
        <v>158</v>
      </c>
      <c r="D465" s="108" t="s">
        <v>2042</v>
      </c>
      <c r="E465" s="108" t="s">
        <v>4555</v>
      </c>
      <c r="F465" s="114" t="s">
        <v>694</v>
      </c>
      <c r="G465" s="213" t="s">
        <v>2375</v>
      </c>
      <c r="H465" s="115" t="s">
        <v>4556</v>
      </c>
      <c r="I465" s="213">
        <v>24360589.399999999</v>
      </c>
      <c r="J465" s="109">
        <v>3</v>
      </c>
      <c r="K465" s="109" t="s">
        <v>696</v>
      </c>
      <c r="L465" s="115">
        <v>0.87134998320000001</v>
      </c>
      <c r="M465" s="115">
        <v>15.041461</v>
      </c>
      <c r="N465" s="115">
        <v>15.193395000000001</v>
      </c>
      <c r="O465" s="214">
        <v>0.22500000000000001</v>
      </c>
      <c r="P465" s="115">
        <v>6.3512000000000004</v>
      </c>
      <c r="Q465" s="769">
        <v>-5.8082671316100001</v>
      </c>
      <c r="R465" s="216"/>
      <c r="S465" s="216">
        <v>-5.8082671316100001</v>
      </c>
      <c r="T465" s="216">
        <v>27</v>
      </c>
      <c r="U465" s="216">
        <v>4.4219999999999997</v>
      </c>
      <c r="V465" s="115">
        <v>183.30850997191001</v>
      </c>
      <c r="W465" s="109"/>
      <c r="X465" s="109">
        <v>206.98929432241999</v>
      </c>
      <c r="Y465" s="109" t="s">
        <v>3778</v>
      </c>
      <c r="Z465" s="109">
        <v>0.184816337</v>
      </c>
      <c r="AA465" s="109">
        <v>23.922106442299999</v>
      </c>
      <c r="AB465" s="109" t="s">
        <v>256</v>
      </c>
      <c r="AC465" s="109"/>
      <c r="AD465" s="765"/>
      <c r="AE465" s="765" t="s">
        <v>674</v>
      </c>
      <c r="AF465" s="765"/>
      <c r="AG465" s="765"/>
      <c r="AH465" s="109"/>
      <c r="AL465" s="2" t="s">
        <v>679</v>
      </c>
      <c r="AM465" s="2" t="s">
        <v>1087</v>
      </c>
      <c r="AN465" s="2" t="s">
        <v>952</v>
      </c>
      <c r="AO465" s="2">
        <v>0.87298460200000005</v>
      </c>
      <c r="AP465" s="2" t="s">
        <v>4673</v>
      </c>
      <c r="AQ465" s="2" t="s">
        <v>4668</v>
      </c>
      <c r="AR465" s="2" t="s">
        <v>3969</v>
      </c>
      <c r="AT465" s="765"/>
      <c r="AU465" s="765"/>
      <c r="AV465" s="765"/>
      <c r="AW465" s="765"/>
    </row>
    <row r="466" spans="1:49" x14ac:dyDescent="0.25">
      <c r="A466" s="23" t="s">
        <v>2553</v>
      </c>
      <c r="B466" s="108" t="s">
        <v>163</v>
      </c>
      <c r="C466" s="108" t="s">
        <v>158</v>
      </c>
      <c r="D466" s="108" t="s">
        <v>2391</v>
      </c>
      <c r="E466" s="108" t="s">
        <v>2554</v>
      </c>
      <c r="F466" s="114" t="s">
        <v>694</v>
      </c>
      <c r="G466" s="213" t="s">
        <v>2574</v>
      </c>
      <c r="H466" s="115" t="s">
        <v>2575</v>
      </c>
      <c r="I466" s="213">
        <v>24958092.870000001</v>
      </c>
      <c r="J466" s="109">
        <v>2.5</v>
      </c>
      <c r="K466" s="109" t="s">
        <v>696</v>
      </c>
      <c r="L466" s="115">
        <v>0.77181225440000001</v>
      </c>
      <c r="M466" s="115">
        <v>0</v>
      </c>
      <c r="N466" s="115">
        <v>0</v>
      </c>
      <c r="O466" s="214">
        <v>0.1875</v>
      </c>
      <c r="P466" s="115">
        <v>8.5516000000000005</v>
      </c>
      <c r="Q466" s="769"/>
      <c r="R466" s="216"/>
      <c r="S466" s="216">
        <v>8.5516000000000005</v>
      </c>
      <c r="T466" s="216">
        <v>27</v>
      </c>
      <c r="U466" s="216"/>
      <c r="V466" s="115"/>
      <c r="W466" s="109"/>
      <c r="X466" s="109"/>
      <c r="Y466" s="109" t="s">
        <v>2392</v>
      </c>
      <c r="Z466" s="109">
        <v>22.022005845999999</v>
      </c>
      <c r="AA466" s="109">
        <v>41.974812290599999</v>
      </c>
      <c r="AB466" s="109" t="s">
        <v>2803</v>
      </c>
      <c r="AC466" s="109" t="s">
        <v>2472</v>
      </c>
      <c r="AD466" s="765" t="s">
        <v>2429</v>
      </c>
      <c r="AE466" s="765" t="s">
        <v>674</v>
      </c>
      <c r="AF466" s="765"/>
      <c r="AG466" s="765"/>
      <c r="AH466" s="109"/>
      <c r="AL466" s="2" t="s">
        <v>679</v>
      </c>
      <c r="AM466" s="2" t="s">
        <v>1087</v>
      </c>
      <c r="AN466" s="2" t="s">
        <v>952</v>
      </c>
      <c r="AO466" s="2">
        <v>0.78949246699999998</v>
      </c>
      <c r="AP466" s="2" t="s">
        <v>4673</v>
      </c>
      <c r="AQ466" s="2" t="s">
        <v>4668</v>
      </c>
      <c r="AR466" s="2" t="s">
        <v>3969</v>
      </c>
      <c r="AT466" s="765"/>
      <c r="AU466" s="765"/>
      <c r="AV466" s="765"/>
      <c r="AW466" s="765"/>
    </row>
    <row r="467" spans="1:49" x14ac:dyDescent="0.25">
      <c r="A467" s="23" t="s">
        <v>3146</v>
      </c>
      <c r="B467" s="108" t="s">
        <v>163</v>
      </c>
      <c r="C467" s="108" t="s">
        <v>158</v>
      </c>
      <c r="D467" s="108" t="s">
        <v>2271</v>
      </c>
      <c r="E467" s="108" t="s">
        <v>3245</v>
      </c>
      <c r="F467" s="114" t="s">
        <v>694</v>
      </c>
      <c r="G467" s="213" t="s">
        <v>2574</v>
      </c>
      <c r="H467" s="115" t="s">
        <v>3097</v>
      </c>
      <c r="I467" s="213">
        <v>21610937.82</v>
      </c>
      <c r="J467" s="109">
        <v>3.16499</v>
      </c>
      <c r="K467" s="109" t="s">
        <v>696</v>
      </c>
      <c r="L467" s="115">
        <v>0.62985352910000003</v>
      </c>
      <c r="M467" s="115">
        <v>10.096374000000001</v>
      </c>
      <c r="N467" s="115">
        <v>10.198357</v>
      </c>
      <c r="O467" s="214">
        <v>0.237374</v>
      </c>
      <c r="P467" s="115">
        <v>7.7244000000000002</v>
      </c>
      <c r="Q467" s="769">
        <v>14.39467080695</v>
      </c>
      <c r="R467" s="216"/>
      <c r="S467" s="216">
        <v>14.39467080695</v>
      </c>
      <c r="T467" s="216">
        <v>26</v>
      </c>
      <c r="U467" s="216">
        <v>16.663</v>
      </c>
      <c r="V467" s="115">
        <v>1410.4219754651999</v>
      </c>
      <c r="W467" s="109"/>
      <c r="X467" s="109">
        <v>177.25479119316</v>
      </c>
      <c r="Y467" s="109" t="s">
        <v>3246</v>
      </c>
      <c r="Z467" s="109">
        <v>21.059949960699999</v>
      </c>
      <c r="AA467" s="109">
        <v>29.213818707800002</v>
      </c>
      <c r="AB467" s="109" t="s">
        <v>4910</v>
      </c>
      <c r="AC467" s="109" t="s">
        <v>1202</v>
      </c>
      <c r="AD467" s="765" t="s">
        <v>1281</v>
      </c>
      <c r="AE467" s="765" t="s">
        <v>674</v>
      </c>
      <c r="AF467" s="765"/>
      <c r="AG467" s="765"/>
      <c r="AH467" s="109"/>
      <c r="AL467" s="2" t="s">
        <v>679</v>
      </c>
      <c r="AM467" s="2" t="s">
        <v>1087</v>
      </c>
      <c r="AN467" s="2" t="s">
        <v>952</v>
      </c>
      <c r="AO467" s="2">
        <v>0.64039332599999998</v>
      </c>
      <c r="AP467" s="2" t="s">
        <v>4673</v>
      </c>
      <c r="AQ467" s="2" t="s">
        <v>4668</v>
      </c>
      <c r="AR467" s="2" t="s">
        <v>3969</v>
      </c>
      <c r="AT467" s="765"/>
      <c r="AU467" s="765"/>
      <c r="AV467" s="765"/>
      <c r="AW467" s="765"/>
    </row>
    <row r="468" spans="1:49" x14ac:dyDescent="0.25">
      <c r="A468" s="23" t="s">
        <v>3142</v>
      </c>
      <c r="B468" s="108" t="s">
        <v>163</v>
      </c>
      <c r="C468" s="108" t="s">
        <v>158</v>
      </c>
      <c r="D468" s="108" t="s">
        <v>2391</v>
      </c>
      <c r="E468" s="108" t="s">
        <v>3251</v>
      </c>
      <c r="F468" s="114" t="s">
        <v>694</v>
      </c>
      <c r="G468" s="213" t="s">
        <v>3084</v>
      </c>
      <c r="H468" s="115" t="s">
        <v>3250</v>
      </c>
      <c r="I468" s="213">
        <v>39955730.469999999</v>
      </c>
      <c r="J468" s="109">
        <v>2.5</v>
      </c>
      <c r="K468" s="109" t="s">
        <v>696</v>
      </c>
      <c r="L468" s="115">
        <v>0.96245008909999996</v>
      </c>
      <c r="M468" s="115">
        <v>0</v>
      </c>
      <c r="N468" s="115">
        <v>0</v>
      </c>
      <c r="O468" s="214">
        <v>0.1875</v>
      </c>
      <c r="P468" s="115">
        <v>6.1002999999999998</v>
      </c>
      <c r="Q468" s="769"/>
      <c r="R468" s="216"/>
      <c r="S468" s="216">
        <v>6.1002999999999998</v>
      </c>
      <c r="T468" s="216">
        <v>27</v>
      </c>
      <c r="U468" s="216"/>
      <c r="V468" s="115"/>
      <c r="W468" s="109"/>
      <c r="X468" s="109"/>
      <c r="Y468" s="109" t="s">
        <v>2559</v>
      </c>
      <c r="Z468" s="109">
        <v>40.801293778100003</v>
      </c>
      <c r="AA468" s="109">
        <v>15.120516759699999</v>
      </c>
      <c r="AB468" s="109" t="s">
        <v>3421</v>
      </c>
      <c r="AC468" s="109" t="s">
        <v>2563</v>
      </c>
      <c r="AD468" s="765" t="s">
        <v>3204</v>
      </c>
      <c r="AE468" s="765" t="s">
        <v>674</v>
      </c>
      <c r="AF468" s="765"/>
      <c r="AG468" s="765"/>
      <c r="AH468" s="109"/>
      <c r="AL468" s="2" t="s">
        <v>679</v>
      </c>
      <c r="AM468" s="2" t="s">
        <v>1087</v>
      </c>
      <c r="AN468" s="2" t="s">
        <v>952</v>
      </c>
      <c r="AO468" s="2">
        <v>0.96783719099999999</v>
      </c>
      <c r="AP468" s="2" t="s">
        <v>4673</v>
      </c>
      <c r="AQ468" s="2" t="s">
        <v>4668</v>
      </c>
      <c r="AR468" s="2" t="s">
        <v>3969</v>
      </c>
      <c r="AT468" s="765"/>
      <c r="AU468" s="765"/>
      <c r="AV468" s="765"/>
      <c r="AW468" s="765"/>
    </row>
    <row r="469" spans="1:49" x14ac:dyDescent="0.25">
      <c r="A469" s="23" t="s">
        <v>3141</v>
      </c>
      <c r="B469" s="108" t="s">
        <v>163</v>
      </c>
      <c r="C469" s="108" t="s">
        <v>158</v>
      </c>
      <c r="D469" s="108" t="s">
        <v>2391</v>
      </c>
      <c r="E469" s="108" t="s">
        <v>3252</v>
      </c>
      <c r="F469" s="114" t="s">
        <v>694</v>
      </c>
      <c r="G469" s="213" t="s">
        <v>3084</v>
      </c>
      <c r="H469" s="115" t="s">
        <v>3250</v>
      </c>
      <c r="I469" s="213">
        <v>16740066.41</v>
      </c>
      <c r="J469" s="109">
        <v>2.5</v>
      </c>
      <c r="K469" s="109" t="s">
        <v>696</v>
      </c>
      <c r="L469" s="115">
        <v>0.74922538549999995</v>
      </c>
      <c r="M469" s="115">
        <v>0</v>
      </c>
      <c r="N469" s="115">
        <v>0</v>
      </c>
      <c r="O469" s="214">
        <v>0.1875</v>
      </c>
      <c r="P469" s="115">
        <v>7.6647999999999996</v>
      </c>
      <c r="Q469" s="769"/>
      <c r="R469" s="216"/>
      <c r="S469" s="216">
        <v>7.6647999999999996</v>
      </c>
      <c r="T469" s="216">
        <v>27</v>
      </c>
      <c r="U469" s="216"/>
      <c r="V469" s="115"/>
      <c r="W469" s="109"/>
      <c r="X469" s="109"/>
      <c r="Y469" s="109" t="s">
        <v>2392</v>
      </c>
      <c r="Z469" s="109">
        <v>33.866421157799998</v>
      </c>
      <c r="AA469" s="109">
        <v>43.627526296500001</v>
      </c>
      <c r="AB469" s="109" t="s">
        <v>2803</v>
      </c>
      <c r="AC469" s="109" t="s">
        <v>4983</v>
      </c>
      <c r="AD469" s="765" t="s">
        <v>2483</v>
      </c>
      <c r="AE469" s="765" t="s">
        <v>674</v>
      </c>
      <c r="AF469" s="765"/>
      <c r="AG469" s="765"/>
      <c r="AH469" s="109"/>
      <c r="AL469" s="2" t="s">
        <v>679</v>
      </c>
      <c r="AM469" s="2" t="s">
        <v>1087</v>
      </c>
      <c r="AN469" s="2" t="s">
        <v>952</v>
      </c>
      <c r="AO469" s="2">
        <v>0.77710501399999998</v>
      </c>
      <c r="AP469" s="2" t="s">
        <v>4673</v>
      </c>
      <c r="AQ469" s="2" t="s">
        <v>4668</v>
      </c>
      <c r="AR469" s="2" t="s">
        <v>3969</v>
      </c>
      <c r="AT469" s="765"/>
      <c r="AU469" s="765"/>
      <c r="AV469" s="765"/>
      <c r="AW469" s="765"/>
    </row>
    <row r="470" spans="1:49" x14ac:dyDescent="0.25">
      <c r="A470" s="23" t="s">
        <v>3155</v>
      </c>
      <c r="B470" s="108" t="s">
        <v>163</v>
      </c>
      <c r="C470" s="108" t="s">
        <v>158</v>
      </c>
      <c r="D470" s="108" t="s">
        <v>3247</v>
      </c>
      <c r="E470" s="108" t="s">
        <v>3253</v>
      </c>
      <c r="F470" s="114" t="s">
        <v>694</v>
      </c>
      <c r="G470" s="213" t="s">
        <v>3084</v>
      </c>
      <c r="H470" s="115" t="s">
        <v>3250</v>
      </c>
      <c r="I470" s="213">
        <v>10106247.52</v>
      </c>
      <c r="J470" s="109">
        <v>2.5</v>
      </c>
      <c r="K470" s="109" t="s">
        <v>696</v>
      </c>
      <c r="L470" s="115">
        <v>0.95759124230000003</v>
      </c>
      <c r="M470" s="115">
        <v>14.597695</v>
      </c>
      <c r="N470" s="115">
        <v>14.745146999999999</v>
      </c>
      <c r="O470" s="214">
        <v>0.1875</v>
      </c>
      <c r="P470" s="115">
        <v>7.2085999999999997</v>
      </c>
      <c r="Q470" s="769">
        <v>-4.3002244984100004</v>
      </c>
      <c r="R470" s="216"/>
      <c r="S470" s="216">
        <v>-4.3002244984100004</v>
      </c>
      <c r="T470" s="216">
        <v>27</v>
      </c>
      <c r="U470" s="216">
        <v>3.5840000000000001</v>
      </c>
      <c r="V470" s="115">
        <v>100.90727727261999</v>
      </c>
      <c r="W470" s="109"/>
      <c r="X470" s="109">
        <v>280.9383700976</v>
      </c>
      <c r="Y470" s="109" t="s">
        <v>664</v>
      </c>
      <c r="Z470" s="109">
        <v>3.2739401570000002</v>
      </c>
      <c r="AA470" s="109">
        <v>4.9023135821999997</v>
      </c>
      <c r="AB470" s="109" t="s">
        <v>3729</v>
      </c>
      <c r="AC470" s="109" t="s">
        <v>2945</v>
      </c>
      <c r="AD470" s="765" t="s">
        <v>255</v>
      </c>
      <c r="AE470" s="765" t="s">
        <v>674</v>
      </c>
      <c r="AF470" s="765"/>
      <c r="AG470" s="765"/>
      <c r="AH470" s="109"/>
      <c r="AL470" s="2" t="s">
        <v>679</v>
      </c>
      <c r="AM470" s="2" t="s">
        <v>1087</v>
      </c>
      <c r="AN470" s="2" t="s">
        <v>952</v>
      </c>
      <c r="AO470" s="2">
        <v>0.96203222300000002</v>
      </c>
      <c r="AP470" s="2" t="s">
        <v>4673</v>
      </c>
      <c r="AQ470" s="2" t="s">
        <v>4668</v>
      </c>
      <c r="AR470" s="2" t="s">
        <v>3969</v>
      </c>
      <c r="AT470" s="765"/>
      <c r="AU470" s="765"/>
      <c r="AV470" s="765"/>
      <c r="AW470" s="765"/>
    </row>
    <row r="471" spans="1:49" x14ac:dyDescent="0.25">
      <c r="A471" s="23" t="s">
        <v>3885</v>
      </c>
      <c r="B471" s="108" t="s">
        <v>163</v>
      </c>
      <c r="C471" s="108" t="s">
        <v>158</v>
      </c>
      <c r="D471" s="108" t="s">
        <v>4736</v>
      </c>
      <c r="E471" s="108" t="s">
        <v>3899</v>
      </c>
      <c r="F471" s="114" t="s">
        <v>694</v>
      </c>
      <c r="G471" s="213" t="s">
        <v>3084</v>
      </c>
      <c r="H471" s="115" t="s">
        <v>3250</v>
      </c>
      <c r="I471" s="213">
        <v>37946288.450000003</v>
      </c>
      <c r="J471" s="109">
        <v>3.5</v>
      </c>
      <c r="K471" s="109" t="s">
        <v>696</v>
      </c>
      <c r="L471" s="115">
        <v>0.65902974960000005</v>
      </c>
      <c r="M471" s="115">
        <v>0</v>
      </c>
      <c r="N471" s="115">
        <v>0</v>
      </c>
      <c r="O471" s="214">
        <v>0.26250000000000001</v>
      </c>
      <c r="P471" s="115">
        <v>6.5010000000000003</v>
      </c>
      <c r="Q471" s="769"/>
      <c r="R471" s="216"/>
      <c r="S471" s="216">
        <v>6.5010000000000003</v>
      </c>
      <c r="T471" s="216">
        <v>26</v>
      </c>
      <c r="U471" s="216"/>
      <c r="V471" s="115"/>
      <c r="W471" s="109"/>
      <c r="X471" s="109"/>
      <c r="Y471" s="109" t="s">
        <v>664</v>
      </c>
      <c r="Z471" s="109">
        <v>32.349921281699999</v>
      </c>
      <c r="AA471" s="109">
        <v>40.761065522800003</v>
      </c>
      <c r="AB471" s="109" t="s">
        <v>1776</v>
      </c>
      <c r="AC471" s="109" t="s">
        <v>254</v>
      </c>
      <c r="AD471" s="765" t="s">
        <v>253</v>
      </c>
      <c r="AE471" s="765" t="s">
        <v>674</v>
      </c>
      <c r="AF471" s="765"/>
      <c r="AG471" s="765"/>
      <c r="AH471" s="109"/>
      <c r="AL471" s="2" t="s">
        <v>679</v>
      </c>
      <c r="AM471" s="2" t="s">
        <v>1087</v>
      </c>
      <c r="AN471" s="2" t="s">
        <v>952</v>
      </c>
      <c r="AO471" s="2">
        <v>0.682337152</v>
      </c>
      <c r="AP471" s="2" t="s">
        <v>4673</v>
      </c>
      <c r="AQ471" s="2" t="s">
        <v>4668</v>
      </c>
      <c r="AR471" s="2" t="s">
        <v>3969</v>
      </c>
      <c r="AT471" s="765"/>
      <c r="AU471" s="765"/>
      <c r="AV471" s="765"/>
      <c r="AW471" s="765"/>
    </row>
    <row r="472" spans="1:49" x14ac:dyDescent="0.25">
      <c r="A472" s="23" t="s">
        <v>3140</v>
      </c>
      <c r="B472" s="108" t="s">
        <v>163</v>
      </c>
      <c r="C472" s="108" t="s">
        <v>158</v>
      </c>
      <c r="D472" s="108" t="s">
        <v>3254</v>
      </c>
      <c r="E472" s="108" t="s">
        <v>3255</v>
      </c>
      <c r="F472" s="114" t="s">
        <v>694</v>
      </c>
      <c r="G472" s="213" t="s">
        <v>3084</v>
      </c>
      <c r="H472" s="115" t="s">
        <v>3256</v>
      </c>
      <c r="I472" s="213">
        <v>8613390.4199999999</v>
      </c>
      <c r="J472" s="109">
        <v>3</v>
      </c>
      <c r="K472" s="109" t="s">
        <v>696</v>
      </c>
      <c r="L472" s="115">
        <v>0.811844381</v>
      </c>
      <c r="M472" s="115">
        <v>0</v>
      </c>
      <c r="N472" s="115">
        <v>0</v>
      </c>
      <c r="O472" s="214">
        <v>0.22500000000000001</v>
      </c>
      <c r="P472" s="115">
        <v>4.2397999999999998</v>
      </c>
      <c r="Q472" s="769"/>
      <c r="R472" s="216"/>
      <c r="S472" s="216">
        <v>4.2397999999999998</v>
      </c>
      <c r="T472" s="216">
        <v>27</v>
      </c>
      <c r="U472" s="216"/>
      <c r="V472" s="115"/>
      <c r="W472" s="109"/>
      <c r="X472" s="109"/>
      <c r="Y472" s="109" t="s">
        <v>3257</v>
      </c>
      <c r="Z472" s="109">
        <v>30.190996445300001</v>
      </c>
      <c r="AA472" s="109">
        <v>34.909699847100001</v>
      </c>
      <c r="AB472" s="109" t="s">
        <v>4737</v>
      </c>
      <c r="AC472" s="109" t="s">
        <v>238</v>
      </c>
      <c r="AD472" s="765" t="s">
        <v>4027</v>
      </c>
      <c r="AE472" s="765" t="s">
        <v>674</v>
      </c>
      <c r="AF472" s="765"/>
      <c r="AG472" s="765"/>
      <c r="AH472" s="109"/>
      <c r="AL472" s="2" t="s">
        <v>679</v>
      </c>
      <c r="AM472" s="2" t="s">
        <v>1087</v>
      </c>
      <c r="AN472" s="2" t="s">
        <v>952</v>
      </c>
      <c r="AO472" s="2">
        <v>0.84194992199999996</v>
      </c>
      <c r="AP472" s="2" t="s">
        <v>4673</v>
      </c>
      <c r="AQ472" s="2" t="s">
        <v>4668</v>
      </c>
      <c r="AR472" s="2" t="s">
        <v>3969</v>
      </c>
      <c r="AT472" s="765"/>
      <c r="AU472" s="765"/>
      <c r="AV472" s="765"/>
      <c r="AW472" s="765"/>
    </row>
    <row r="473" spans="1:49" x14ac:dyDescent="0.25">
      <c r="A473" s="23" t="s">
        <v>3139</v>
      </c>
      <c r="B473" s="108" t="s">
        <v>163</v>
      </c>
      <c r="C473" s="108" t="s">
        <v>158</v>
      </c>
      <c r="D473" s="108" t="s">
        <v>3254</v>
      </c>
      <c r="E473" s="108" t="s">
        <v>3258</v>
      </c>
      <c r="F473" s="114" t="s">
        <v>694</v>
      </c>
      <c r="G473" s="213" t="s">
        <v>3084</v>
      </c>
      <c r="H473" s="115" t="s">
        <v>2268</v>
      </c>
      <c r="I473" s="213">
        <v>40055707.380000003</v>
      </c>
      <c r="J473" s="109">
        <v>3</v>
      </c>
      <c r="K473" s="109" t="s">
        <v>696</v>
      </c>
      <c r="L473" s="115">
        <v>0.75226093810000005</v>
      </c>
      <c r="M473" s="115">
        <v>0</v>
      </c>
      <c r="N473" s="115">
        <v>0</v>
      </c>
      <c r="O473" s="214">
        <v>0.22500000000000001</v>
      </c>
      <c r="P473" s="115">
        <v>6.7793999999999999</v>
      </c>
      <c r="Q473" s="769"/>
      <c r="R473" s="216"/>
      <c r="S473" s="216">
        <v>6.7793999999999999</v>
      </c>
      <c r="T473" s="216">
        <v>27</v>
      </c>
      <c r="U473" s="216"/>
      <c r="V473" s="115"/>
      <c r="W473" s="109"/>
      <c r="X473" s="109"/>
      <c r="Y473" s="109" t="s">
        <v>2392</v>
      </c>
      <c r="Z473" s="109">
        <v>41.780038312599999</v>
      </c>
      <c r="AA473" s="109">
        <v>53.379847924299987</v>
      </c>
      <c r="AB473" s="109" t="s">
        <v>3740</v>
      </c>
      <c r="AC473" s="109" t="s">
        <v>3496</v>
      </c>
      <c r="AD473" s="765" t="s">
        <v>1404</v>
      </c>
      <c r="AE473" s="765" t="s">
        <v>674</v>
      </c>
      <c r="AF473" s="765"/>
      <c r="AG473" s="765"/>
      <c r="AH473" s="109"/>
      <c r="AL473" s="2" t="s">
        <v>679</v>
      </c>
      <c r="AM473" s="2" t="s">
        <v>1087</v>
      </c>
      <c r="AN473" s="2" t="s">
        <v>952</v>
      </c>
      <c r="AO473" s="2">
        <v>0.78837257000000005</v>
      </c>
      <c r="AP473" s="2" t="s">
        <v>4673</v>
      </c>
      <c r="AQ473" s="2" t="s">
        <v>4668</v>
      </c>
      <c r="AR473" s="2" t="s">
        <v>3969</v>
      </c>
      <c r="AT473" s="765"/>
      <c r="AU473" s="765"/>
      <c r="AV473" s="765"/>
      <c r="AW473" s="765"/>
    </row>
    <row r="474" spans="1:49" x14ac:dyDescent="0.25">
      <c r="A474" s="23" t="s">
        <v>4563</v>
      </c>
      <c r="B474" s="108" t="s">
        <v>163</v>
      </c>
      <c r="C474" s="108" t="s">
        <v>158</v>
      </c>
      <c r="D474" s="108" t="s">
        <v>2391</v>
      </c>
      <c r="E474" s="108" t="s">
        <v>4564</v>
      </c>
      <c r="F474" s="114" t="s">
        <v>694</v>
      </c>
      <c r="G474" s="213" t="s">
        <v>3222</v>
      </c>
      <c r="H474" s="115" t="s">
        <v>3362</v>
      </c>
      <c r="I474" s="213">
        <v>47557268.25</v>
      </c>
      <c r="J474" s="109">
        <v>2.5</v>
      </c>
      <c r="K474" s="109" t="s">
        <v>696</v>
      </c>
      <c r="L474" s="115">
        <v>0.96373289230000003</v>
      </c>
      <c r="M474" s="115">
        <v>0</v>
      </c>
      <c r="N474" s="115">
        <v>0</v>
      </c>
      <c r="O474" s="214">
        <v>0.1875</v>
      </c>
      <c r="P474" s="115">
        <v>6.1166999999999998</v>
      </c>
      <c r="Q474" s="769"/>
      <c r="R474" s="216"/>
      <c r="S474" s="216">
        <v>6.1166999999999998</v>
      </c>
      <c r="T474" s="216">
        <v>27</v>
      </c>
      <c r="U474" s="216"/>
      <c r="V474" s="115"/>
      <c r="W474" s="109"/>
      <c r="X474" s="109"/>
      <c r="Y474" s="109" t="s">
        <v>2392</v>
      </c>
      <c r="Z474" s="109">
        <v>40.994873140499998</v>
      </c>
      <c r="AA474" s="109">
        <v>14.975585822699999</v>
      </c>
      <c r="AB474" s="109" t="s">
        <v>3421</v>
      </c>
      <c r="AC474" s="109" t="s">
        <v>2563</v>
      </c>
      <c r="AD474" s="765" t="s">
        <v>3204</v>
      </c>
      <c r="AE474" s="765" t="s">
        <v>674</v>
      </c>
      <c r="AF474" s="765"/>
      <c r="AG474" s="765"/>
      <c r="AH474" s="109"/>
      <c r="AL474" s="2" t="s">
        <v>679</v>
      </c>
      <c r="AM474" s="2" t="s">
        <v>1087</v>
      </c>
      <c r="AN474" s="2" t="s">
        <v>952</v>
      </c>
      <c r="AO474" s="2">
        <v>0.96936255599999999</v>
      </c>
      <c r="AP474" s="2" t="s">
        <v>4673</v>
      </c>
      <c r="AQ474" s="2" t="s">
        <v>4668</v>
      </c>
      <c r="AR474" s="2" t="s">
        <v>3969</v>
      </c>
      <c r="AT474" s="765"/>
      <c r="AU474" s="765"/>
      <c r="AV474" s="765"/>
      <c r="AW474" s="765"/>
    </row>
    <row r="475" spans="1:49" x14ac:dyDescent="0.25">
      <c r="A475" s="23" t="s">
        <v>3607</v>
      </c>
      <c r="B475" s="108" t="s">
        <v>163</v>
      </c>
      <c r="C475" s="108" t="s">
        <v>158</v>
      </c>
      <c r="D475" s="108" t="s">
        <v>2042</v>
      </c>
      <c r="E475" s="108" t="s">
        <v>3771</v>
      </c>
      <c r="F475" s="114" t="s">
        <v>694</v>
      </c>
      <c r="G475" s="213" t="s">
        <v>3668</v>
      </c>
      <c r="H475" s="115" t="s">
        <v>3362</v>
      </c>
      <c r="I475" s="213">
        <v>283931821.19</v>
      </c>
      <c r="J475" s="109">
        <v>2.5499999999999998</v>
      </c>
      <c r="K475" s="109" t="s">
        <v>695</v>
      </c>
      <c r="L475" s="115">
        <v>0.94643940400000004</v>
      </c>
      <c r="M475" s="115">
        <v>4.0639779999999996</v>
      </c>
      <c r="N475" s="115">
        <v>4.105029</v>
      </c>
      <c r="O475" s="214">
        <v>5.6667000000000002E-2</v>
      </c>
      <c r="P475" s="115">
        <v>6.7489999999999997</v>
      </c>
      <c r="Q475" s="769">
        <v>40.853715600359997</v>
      </c>
      <c r="R475" s="216"/>
      <c r="S475" s="216">
        <v>40.853715600359997</v>
      </c>
      <c r="T475" s="216">
        <v>8</v>
      </c>
      <c r="U475" s="216">
        <v>54.993000000000002</v>
      </c>
      <c r="V475" s="115">
        <v>5240.7148818240803</v>
      </c>
      <c r="W475" s="109">
        <v>260</v>
      </c>
      <c r="X475" s="109">
        <v>173.77762395401999</v>
      </c>
      <c r="Y475" s="109" t="s">
        <v>1536</v>
      </c>
      <c r="Z475" s="109">
        <v>13.742005691199999</v>
      </c>
      <c r="AA475" s="109">
        <v>7.5171118644000003</v>
      </c>
      <c r="AB475" s="109" t="s">
        <v>251</v>
      </c>
      <c r="AC475" s="109" t="s">
        <v>4738</v>
      </c>
      <c r="AD475" s="765" t="s">
        <v>798</v>
      </c>
      <c r="AE475" s="765" t="s">
        <v>674</v>
      </c>
      <c r="AF475" s="765"/>
      <c r="AG475" s="765"/>
      <c r="AH475" s="109"/>
      <c r="AL475" s="2" t="s">
        <v>679</v>
      </c>
      <c r="AM475" s="2" t="s">
        <v>1537</v>
      </c>
      <c r="AN475" s="2" t="s">
        <v>952</v>
      </c>
      <c r="AO475" s="2">
        <v>0.95977919899999997</v>
      </c>
      <c r="AP475" s="2" t="s">
        <v>4673</v>
      </c>
      <c r="AQ475" s="2" t="s">
        <v>4668</v>
      </c>
      <c r="AR475" s="2" t="s">
        <v>3969</v>
      </c>
      <c r="AT475" s="765"/>
      <c r="AU475" s="765"/>
      <c r="AV475" s="765"/>
      <c r="AW475" s="765"/>
    </row>
    <row r="476" spans="1:49" x14ac:dyDescent="0.25">
      <c r="A476" s="23" t="s">
        <v>3584</v>
      </c>
      <c r="B476" s="108" t="s">
        <v>163</v>
      </c>
      <c r="C476" s="108" t="s">
        <v>158</v>
      </c>
      <c r="D476" s="108" t="s">
        <v>3247</v>
      </c>
      <c r="E476" s="108" t="s">
        <v>3772</v>
      </c>
      <c r="F476" s="114" t="s">
        <v>694</v>
      </c>
      <c r="G476" s="213" t="s">
        <v>3330</v>
      </c>
      <c r="H476" s="115" t="s">
        <v>3403</v>
      </c>
      <c r="I476" s="213">
        <v>17451459.539999999</v>
      </c>
      <c r="J476" s="109">
        <v>2.5</v>
      </c>
      <c r="K476" s="109" t="s">
        <v>696</v>
      </c>
      <c r="L476" s="115">
        <v>0.94689274189999995</v>
      </c>
      <c r="M476" s="115">
        <v>13.115548</v>
      </c>
      <c r="N476" s="115">
        <v>13.248029000000001</v>
      </c>
      <c r="O476" s="214">
        <v>0.1875</v>
      </c>
      <c r="P476" s="115">
        <v>7.8685</v>
      </c>
      <c r="Q476" s="769">
        <v>-6.1541416895500003</v>
      </c>
      <c r="R476" s="216"/>
      <c r="S476" s="216">
        <v>-6.1541416895500003</v>
      </c>
      <c r="T476" s="216">
        <v>27</v>
      </c>
      <c r="U476" s="216">
        <v>7.1</v>
      </c>
      <c r="V476" s="115">
        <v>454.57351657279003</v>
      </c>
      <c r="W476" s="109"/>
      <c r="X476" s="109">
        <v>205.21215495940999</v>
      </c>
      <c r="Y476" s="109" t="s">
        <v>664</v>
      </c>
      <c r="Z476" s="109">
        <v>1.456769295</v>
      </c>
      <c r="AA476" s="109">
        <v>7.5718686108999993</v>
      </c>
      <c r="AB476" s="109" t="s">
        <v>3773</v>
      </c>
      <c r="AC476" s="109" t="s">
        <v>3723</v>
      </c>
      <c r="AD476" s="765" t="s">
        <v>3774</v>
      </c>
      <c r="AE476" s="765" t="s">
        <v>674</v>
      </c>
      <c r="AF476" s="765"/>
      <c r="AG476" s="765"/>
      <c r="AH476" s="109"/>
      <c r="AL476" s="2" t="s">
        <v>679</v>
      </c>
      <c r="AM476" s="2" t="s">
        <v>1087</v>
      </c>
      <c r="AN476" s="2" t="s">
        <v>952</v>
      </c>
      <c r="AO476" s="2">
        <v>0.94976209199999995</v>
      </c>
      <c r="AP476" s="2" t="s">
        <v>4673</v>
      </c>
      <c r="AQ476" s="2" t="s">
        <v>4668</v>
      </c>
      <c r="AR476" s="2" t="s">
        <v>3969</v>
      </c>
      <c r="AT476" s="765"/>
      <c r="AU476" s="765"/>
      <c r="AV476" s="765"/>
      <c r="AW476" s="765"/>
    </row>
    <row r="477" spans="1:49" x14ac:dyDescent="0.25">
      <c r="A477" s="23" t="s">
        <v>3586</v>
      </c>
      <c r="B477" s="108" t="s">
        <v>163</v>
      </c>
      <c r="C477" s="108" t="s">
        <v>158</v>
      </c>
      <c r="D477" s="108" t="s">
        <v>3247</v>
      </c>
      <c r="E477" s="108" t="s">
        <v>3775</v>
      </c>
      <c r="F477" s="114" t="s">
        <v>694</v>
      </c>
      <c r="G477" s="213" t="s">
        <v>3330</v>
      </c>
      <c r="H477" s="115" t="s">
        <v>3403</v>
      </c>
      <c r="I477" s="213">
        <v>11604475.4</v>
      </c>
      <c r="J477" s="109">
        <v>2.5</v>
      </c>
      <c r="K477" s="109" t="s">
        <v>696</v>
      </c>
      <c r="L477" s="115">
        <v>0.97071839670000004</v>
      </c>
      <c r="M477" s="115">
        <v>12.593864</v>
      </c>
      <c r="N477" s="115">
        <v>12.721075000000001</v>
      </c>
      <c r="O477" s="214">
        <v>0.1875</v>
      </c>
      <c r="P477" s="115">
        <v>7.8395999999999999</v>
      </c>
      <c r="Q477" s="769">
        <v>-6.6826810919600002</v>
      </c>
      <c r="R477" s="216"/>
      <c r="S477" s="216">
        <v>-6.6826810919600002</v>
      </c>
      <c r="T477" s="216">
        <v>27</v>
      </c>
      <c r="U477" s="216">
        <v>7.915</v>
      </c>
      <c r="V477" s="115">
        <v>535.98442584662996</v>
      </c>
      <c r="W477" s="109"/>
      <c r="X477" s="109">
        <v>185.27379534190999</v>
      </c>
      <c r="Y477" s="109" t="s">
        <v>664</v>
      </c>
      <c r="Z477" s="109">
        <v>0.1004107917</v>
      </c>
      <c r="AA477" s="109">
        <v>2.1774649356000002</v>
      </c>
      <c r="AB477" s="109" t="s">
        <v>2253</v>
      </c>
      <c r="AC477" s="109"/>
      <c r="AD477" s="765"/>
      <c r="AE477" s="765" t="s">
        <v>674</v>
      </c>
      <c r="AF477" s="765"/>
      <c r="AG477" s="765"/>
      <c r="AH477" s="109"/>
      <c r="AL477" s="2" t="s">
        <v>679</v>
      </c>
      <c r="AM477" s="2" t="s">
        <v>1087</v>
      </c>
      <c r="AN477" s="2" t="s">
        <v>952</v>
      </c>
      <c r="AO477" s="2">
        <v>0.97258838800000003</v>
      </c>
      <c r="AP477" s="2" t="s">
        <v>4673</v>
      </c>
      <c r="AQ477" s="2" t="s">
        <v>4668</v>
      </c>
      <c r="AR477" s="2" t="s">
        <v>3969</v>
      </c>
      <c r="AT477" s="765"/>
      <c r="AU477" s="765"/>
      <c r="AV477" s="765"/>
      <c r="AW477" s="765"/>
    </row>
    <row r="478" spans="1:49" x14ac:dyDescent="0.25">
      <c r="A478" s="23" t="s">
        <v>3289</v>
      </c>
      <c r="B478" s="108" t="s">
        <v>163</v>
      </c>
      <c r="C478" s="108" t="s">
        <v>158</v>
      </c>
      <c r="D478" s="108" t="s">
        <v>2042</v>
      </c>
      <c r="E478" s="108" t="s">
        <v>3361</v>
      </c>
      <c r="F478" s="114" t="s">
        <v>694</v>
      </c>
      <c r="G478" s="213" t="s">
        <v>3222</v>
      </c>
      <c r="H478" s="115" t="s">
        <v>3362</v>
      </c>
      <c r="I478" s="213">
        <v>46844385.659999996</v>
      </c>
      <c r="J478" s="109">
        <v>3</v>
      </c>
      <c r="K478" s="109" t="s">
        <v>696</v>
      </c>
      <c r="L478" s="115">
        <v>0.96444981799999996</v>
      </c>
      <c r="M478" s="115">
        <v>12.109038</v>
      </c>
      <c r="N478" s="115">
        <v>12.231351999999999</v>
      </c>
      <c r="O478" s="214">
        <v>0.22500000000000001</v>
      </c>
      <c r="P478" s="115">
        <v>5.1067</v>
      </c>
      <c r="Q478" s="769">
        <v>-1.06181305276</v>
      </c>
      <c r="R478" s="216"/>
      <c r="S478" s="216">
        <v>-1.06181305276</v>
      </c>
      <c r="T478" s="216">
        <v>27</v>
      </c>
      <c r="U478" s="216">
        <v>5.9729999999999999</v>
      </c>
      <c r="V478" s="115">
        <v>337.43020914652999</v>
      </c>
      <c r="W478" s="109"/>
      <c r="X478" s="109">
        <v>331.97578082032999</v>
      </c>
      <c r="Y478" s="109" t="s">
        <v>2559</v>
      </c>
      <c r="Z478" s="109">
        <v>15.510553378599999</v>
      </c>
      <c r="AA478" s="109">
        <v>11.6234403333</v>
      </c>
      <c r="AB478" s="109" t="s">
        <v>3363</v>
      </c>
      <c r="AC478" s="109" t="s">
        <v>2936</v>
      </c>
      <c r="AD478" s="765"/>
      <c r="AE478" s="765" t="s">
        <v>674</v>
      </c>
      <c r="AF478" s="765"/>
      <c r="AG478" s="765"/>
      <c r="AH478" s="109"/>
      <c r="AL478" s="2" t="s">
        <v>679</v>
      </c>
      <c r="AM478" s="2" t="s">
        <v>1087</v>
      </c>
      <c r="AN478" s="2" t="s">
        <v>952</v>
      </c>
      <c r="AO478" s="2">
        <v>0.97023788600000005</v>
      </c>
      <c r="AP478" s="2" t="s">
        <v>4673</v>
      </c>
      <c r="AQ478" s="2" t="s">
        <v>4668</v>
      </c>
      <c r="AR478" s="2" t="s">
        <v>3969</v>
      </c>
      <c r="AT478" s="765"/>
      <c r="AU478" s="765"/>
      <c r="AV478" s="765"/>
      <c r="AW478" s="765"/>
    </row>
    <row r="479" spans="1:49" x14ac:dyDescent="0.25">
      <c r="A479" s="23" t="s">
        <v>4565</v>
      </c>
      <c r="B479" s="108" t="s">
        <v>163</v>
      </c>
      <c r="C479" s="108" t="s">
        <v>158</v>
      </c>
      <c r="D479" s="108" t="s">
        <v>2391</v>
      </c>
      <c r="E479" s="108" t="s">
        <v>4566</v>
      </c>
      <c r="F479" s="114" t="s">
        <v>694</v>
      </c>
      <c r="G479" s="213" t="s">
        <v>3222</v>
      </c>
      <c r="H479" s="115" t="s">
        <v>3362</v>
      </c>
      <c r="I479" s="213">
        <v>16238302.939999999</v>
      </c>
      <c r="J479" s="109">
        <v>2.5</v>
      </c>
      <c r="K479" s="109" t="s">
        <v>696</v>
      </c>
      <c r="L479" s="115">
        <v>0.96372038149999995</v>
      </c>
      <c r="M479" s="115">
        <v>0</v>
      </c>
      <c r="N479" s="115">
        <v>0</v>
      </c>
      <c r="O479" s="214">
        <v>0.1875</v>
      </c>
      <c r="P479" s="115">
        <v>6.1037999999999997</v>
      </c>
      <c r="Q479" s="769"/>
      <c r="R479" s="216"/>
      <c r="S479" s="216">
        <v>6.1037999999999997</v>
      </c>
      <c r="T479" s="216">
        <v>27</v>
      </c>
      <c r="U479" s="216"/>
      <c r="V479" s="115"/>
      <c r="W479" s="109"/>
      <c r="X479" s="109"/>
      <c r="Y479" s="109" t="s">
        <v>2392</v>
      </c>
      <c r="Z479" s="109">
        <v>40.994873140499998</v>
      </c>
      <c r="AA479" s="109">
        <v>14.975585822699999</v>
      </c>
      <c r="AB479" s="109" t="s">
        <v>3421</v>
      </c>
      <c r="AC479" s="109" t="s">
        <v>2563</v>
      </c>
      <c r="AD479" s="765" t="s">
        <v>3204</v>
      </c>
      <c r="AE479" s="765" t="s">
        <v>674</v>
      </c>
      <c r="AF479" s="765"/>
      <c r="AG479" s="765"/>
      <c r="AH479" s="109"/>
      <c r="AL479" s="2" t="s">
        <v>679</v>
      </c>
      <c r="AM479" s="2" t="s">
        <v>1087</v>
      </c>
      <c r="AN479" s="2" t="s">
        <v>952</v>
      </c>
      <c r="AO479" s="2">
        <v>0.96935256299999994</v>
      </c>
      <c r="AP479" s="2" t="s">
        <v>4673</v>
      </c>
      <c r="AQ479" s="2" t="s">
        <v>4668</v>
      </c>
      <c r="AR479" s="2" t="s">
        <v>3969</v>
      </c>
      <c r="AT479" s="765"/>
      <c r="AU479" s="765"/>
      <c r="AV479" s="765"/>
      <c r="AW479" s="765"/>
    </row>
    <row r="480" spans="1:49" x14ac:dyDescent="0.25">
      <c r="A480" s="23" t="s">
        <v>5017</v>
      </c>
      <c r="B480" s="108" t="s">
        <v>163</v>
      </c>
      <c r="C480" s="108" t="s">
        <v>158</v>
      </c>
      <c r="D480" s="108" t="s">
        <v>2042</v>
      </c>
      <c r="E480" s="108" t="s">
        <v>5156</v>
      </c>
      <c r="F480" s="114" t="s">
        <v>694</v>
      </c>
      <c r="G480" s="213" t="s">
        <v>3330</v>
      </c>
      <c r="H480" s="115" t="s">
        <v>3403</v>
      </c>
      <c r="I480" s="213">
        <v>16897730.23</v>
      </c>
      <c r="J480" s="109">
        <v>3</v>
      </c>
      <c r="K480" s="109" t="s">
        <v>696</v>
      </c>
      <c r="L480" s="115">
        <v>0.95999456370000003</v>
      </c>
      <c r="M480" s="115">
        <v>12.53445</v>
      </c>
      <c r="N480" s="115">
        <v>12.661060000000001</v>
      </c>
      <c r="O480" s="214">
        <v>0.22500000000000001</v>
      </c>
      <c r="P480" s="115">
        <v>5.5591999999999997</v>
      </c>
      <c r="Q480" s="769">
        <v>-6.9837799718599998</v>
      </c>
      <c r="R480" s="216"/>
      <c r="S480" s="216">
        <v>-6.9837799718599998</v>
      </c>
      <c r="T480" s="216">
        <v>27</v>
      </c>
      <c r="U480" s="216">
        <v>6.5960000000000001</v>
      </c>
      <c r="V480" s="115">
        <v>400.13404876518001</v>
      </c>
      <c r="W480" s="109"/>
      <c r="X480" s="109">
        <v>276.70223243893997</v>
      </c>
      <c r="Y480" s="109" t="s">
        <v>3778</v>
      </c>
      <c r="Z480" s="109">
        <v>12.003203478</v>
      </c>
      <c r="AA480" s="109">
        <v>8.5267340231999995</v>
      </c>
      <c r="AB480" s="109" t="s">
        <v>5157</v>
      </c>
      <c r="AC480" s="109" t="s">
        <v>5158</v>
      </c>
      <c r="AD480" s="765" t="s">
        <v>246</v>
      </c>
      <c r="AE480" s="765" t="s">
        <v>674</v>
      </c>
      <c r="AF480" s="765"/>
      <c r="AG480" s="765"/>
      <c r="AH480" s="109"/>
      <c r="AL480" s="2" t="s">
        <v>679</v>
      </c>
      <c r="AM480" s="2" t="s">
        <v>1087</v>
      </c>
      <c r="AN480" s="2" t="s">
        <v>952</v>
      </c>
      <c r="AO480" s="2">
        <v>0.96984958300000002</v>
      </c>
      <c r="AP480" s="2" t="s">
        <v>4673</v>
      </c>
      <c r="AQ480" s="2" t="s">
        <v>4668</v>
      </c>
      <c r="AR480" s="2" t="s">
        <v>3969</v>
      </c>
      <c r="AT480" s="765"/>
      <c r="AU480" s="765"/>
      <c r="AV480" s="765"/>
      <c r="AW480" s="765"/>
    </row>
    <row r="481" spans="1:49" x14ac:dyDescent="0.25">
      <c r="A481" s="23" t="s">
        <v>3585</v>
      </c>
      <c r="B481" s="108" t="s">
        <v>163</v>
      </c>
      <c r="C481" s="108" t="s">
        <v>158</v>
      </c>
      <c r="D481" s="108" t="s">
        <v>4736</v>
      </c>
      <c r="E481" s="108" t="s">
        <v>3776</v>
      </c>
      <c r="F481" s="114" t="s">
        <v>694</v>
      </c>
      <c r="G481" s="213" t="s">
        <v>3330</v>
      </c>
      <c r="H481" s="115" t="s">
        <v>3403</v>
      </c>
      <c r="I481" s="213">
        <v>26635264.350000001</v>
      </c>
      <c r="J481" s="109">
        <v>3.5</v>
      </c>
      <c r="K481" s="109" t="s">
        <v>696</v>
      </c>
      <c r="L481" s="115">
        <v>0.85441029479999997</v>
      </c>
      <c r="M481" s="115">
        <v>0</v>
      </c>
      <c r="N481" s="115">
        <v>0</v>
      </c>
      <c r="O481" s="214">
        <v>0.26250000000000001</v>
      </c>
      <c r="P481" s="115">
        <v>6.1407999999999996</v>
      </c>
      <c r="Q481" s="769"/>
      <c r="R481" s="216"/>
      <c r="S481" s="216">
        <v>6.1407999999999996</v>
      </c>
      <c r="T481" s="216">
        <v>26</v>
      </c>
      <c r="U481" s="216"/>
      <c r="V481" s="115"/>
      <c r="W481" s="109"/>
      <c r="X481" s="109"/>
      <c r="Y481" s="109" t="s">
        <v>2392</v>
      </c>
      <c r="Z481" s="109">
        <v>31.2682576222</v>
      </c>
      <c r="AA481" s="109">
        <v>46.229934591199999</v>
      </c>
      <c r="AB481" s="109" t="s">
        <v>236</v>
      </c>
      <c r="AC481" s="109" t="s">
        <v>1210</v>
      </c>
      <c r="AD481" s="765" t="s">
        <v>4981</v>
      </c>
      <c r="AE481" s="765" t="s">
        <v>674</v>
      </c>
      <c r="AF481" s="765"/>
      <c r="AG481" s="765"/>
      <c r="AH481" s="109"/>
      <c r="AL481" s="2" t="s">
        <v>679</v>
      </c>
      <c r="AM481" s="2" t="s">
        <v>1087</v>
      </c>
      <c r="AN481" s="2" t="s">
        <v>952</v>
      </c>
      <c r="AO481" s="2">
        <v>0.88308008900000001</v>
      </c>
      <c r="AP481" s="2" t="s">
        <v>4673</v>
      </c>
      <c r="AQ481" s="2" t="s">
        <v>4668</v>
      </c>
      <c r="AR481" s="2" t="s">
        <v>3969</v>
      </c>
      <c r="AT481" s="765"/>
      <c r="AU481" s="765"/>
      <c r="AV481" s="765"/>
      <c r="AW481" s="765"/>
    </row>
    <row r="482" spans="1:49" x14ac:dyDescent="0.25">
      <c r="A482" s="23" t="s">
        <v>3606</v>
      </c>
      <c r="B482" s="108" t="s">
        <v>163</v>
      </c>
      <c r="C482" s="108" t="s">
        <v>158</v>
      </c>
      <c r="D482" s="108" t="s">
        <v>3254</v>
      </c>
      <c r="E482" s="108" t="s">
        <v>3777</v>
      </c>
      <c r="F482" s="114" t="s">
        <v>694</v>
      </c>
      <c r="G482" s="213" t="s">
        <v>3330</v>
      </c>
      <c r="H482" s="115" t="s">
        <v>3403</v>
      </c>
      <c r="I482" s="213">
        <v>32769270.859999999</v>
      </c>
      <c r="J482" s="109">
        <v>3</v>
      </c>
      <c r="K482" s="109" t="s">
        <v>696</v>
      </c>
      <c r="L482" s="115">
        <v>0.94005815059999998</v>
      </c>
      <c r="M482" s="115">
        <v>0</v>
      </c>
      <c r="N482" s="115">
        <v>0</v>
      </c>
      <c r="O482" s="214">
        <v>0.22500000000000001</v>
      </c>
      <c r="P482" s="115">
        <v>5.6532</v>
      </c>
      <c r="Q482" s="769"/>
      <c r="R482" s="216"/>
      <c r="S482" s="216">
        <v>5.6532</v>
      </c>
      <c r="T482" s="216">
        <v>27</v>
      </c>
      <c r="U482" s="216"/>
      <c r="V482" s="115"/>
      <c r="W482" s="109"/>
      <c r="X482" s="109"/>
      <c r="Y482" s="109" t="s">
        <v>3778</v>
      </c>
      <c r="Z482" s="109">
        <v>11.9993857745</v>
      </c>
      <c r="AA482" s="109">
        <v>16.6655207616</v>
      </c>
      <c r="AB482" s="109" t="s">
        <v>4739</v>
      </c>
      <c r="AC482" s="109" t="s">
        <v>2472</v>
      </c>
      <c r="AD482" s="765" t="s">
        <v>3204</v>
      </c>
      <c r="AE482" s="765" t="s">
        <v>674</v>
      </c>
      <c r="AF482" s="765"/>
      <c r="AG482" s="765"/>
      <c r="AH482" s="109"/>
      <c r="AL482" s="2" t="s">
        <v>679</v>
      </c>
      <c r="AM482" s="2" t="s">
        <v>1087</v>
      </c>
      <c r="AN482" s="2" t="s">
        <v>952</v>
      </c>
      <c r="AO482" s="2">
        <v>0.94933778700000004</v>
      </c>
      <c r="AP482" s="2" t="s">
        <v>4673</v>
      </c>
      <c r="AQ482" s="2" t="s">
        <v>4668</v>
      </c>
      <c r="AR482" s="2" t="s">
        <v>3969</v>
      </c>
      <c r="AT482" s="765"/>
      <c r="AU482" s="765"/>
      <c r="AV482" s="765"/>
      <c r="AW482" s="765"/>
    </row>
    <row r="483" spans="1:49" x14ac:dyDescent="0.25">
      <c r="A483" s="23" t="s">
        <v>3587</v>
      </c>
      <c r="B483" s="108" t="s">
        <v>163</v>
      </c>
      <c r="C483" s="108" t="s">
        <v>158</v>
      </c>
      <c r="D483" s="108" t="s">
        <v>4740</v>
      </c>
      <c r="E483" s="108" t="s">
        <v>3779</v>
      </c>
      <c r="F483" s="114" t="s">
        <v>694</v>
      </c>
      <c r="G483" s="213" t="s">
        <v>3401</v>
      </c>
      <c r="H483" s="115" t="s">
        <v>3321</v>
      </c>
      <c r="I483" s="213">
        <v>55734915.200000003</v>
      </c>
      <c r="J483" s="109">
        <v>4.2300000000000004</v>
      </c>
      <c r="K483" s="109" t="s">
        <v>695</v>
      </c>
      <c r="L483" s="115">
        <v>0.65336313899999998</v>
      </c>
      <c r="M483" s="115">
        <v>0</v>
      </c>
      <c r="N483" s="115">
        <v>0</v>
      </c>
      <c r="O483" s="214">
        <v>9.4E-2</v>
      </c>
      <c r="P483" s="115">
        <v>5.1725000000000003</v>
      </c>
      <c r="Q483" s="769"/>
      <c r="R483" s="216"/>
      <c r="S483" s="216">
        <v>5.1725000000000003</v>
      </c>
      <c r="T483" s="216">
        <v>8</v>
      </c>
      <c r="U483" s="216"/>
      <c r="V483" s="115"/>
      <c r="W483" s="109">
        <v>428</v>
      </c>
      <c r="X483" s="109"/>
      <c r="Y483" s="109" t="s">
        <v>1536</v>
      </c>
      <c r="Z483" s="109">
        <v>44.867491569800002</v>
      </c>
      <c r="AA483" s="109">
        <v>51.6308000175</v>
      </c>
      <c r="AB483" s="109" t="s">
        <v>1379</v>
      </c>
      <c r="AC483" s="109" t="s">
        <v>2609</v>
      </c>
      <c r="AD483" s="765" t="s">
        <v>1304</v>
      </c>
      <c r="AE483" s="765" t="s">
        <v>674</v>
      </c>
      <c r="AF483" s="765"/>
      <c r="AG483" s="765"/>
      <c r="AH483" s="109"/>
      <c r="AL483" s="2" t="s">
        <v>679</v>
      </c>
      <c r="AM483" s="2" t="s">
        <v>1537</v>
      </c>
      <c r="AN483" s="2" t="s">
        <v>952</v>
      </c>
      <c r="AO483" s="2">
        <v>0.68770889300000004</v>
      </c>
      <c r="AP483" s="2" t="s">
        <v>4673</v>
      </c>
      <c r="AQ483" s="2" t="s">
        <v>4668</v>
      </c>
      <c r="AR483" s="2" t="s">
        <v>3969</v>
      </c>
      <c r="AT483" s="765"/>
      <c r="AU483" s="765"/>
      <c r="AV483" s="765"/>
      <c r="AW483" s="765"/>
    </row>
    <row r="484" spans="1:49" x14ac:dyDescent="0.25">
      <c r="A484" s="23" t="s">
        <v>3605</v>
      </c>
      <c r="B484" s="108" t="s">
        <v>163</v>
      </c>
      <c r="C484" s="108" t="s">
        <v>158</v>
      </c>
      <c r="D484" s="108" t="s">
        <v>3254</v>
      </c>
      <c r="E484" s="108" t="s">
        <v>3780</v>
      </c>
      <c r="F484" s="114" t="s">
        <v>694</v>
      </c>
      <c r="G484" s="213" t="s">
        <v>3497</v>
      </c>
      <c r="H484" s="115" t="s">
        <v>2100</v>
      </c>
      <c r="I484" s="213">
        <v>9842273.0899999999</v>
      </c>
      <c r="J484" s="109">
        <v>3</v>
      </c>
      <c r="K484" s="109" t="s">
        <v>696</v>
      </c>
      <c r="L484" s="115">
        <v>0.76299080139999997</v>
      </c>
      <c r="M484" s="115">
        <v>0</v>
      </c>
      <c r="N484" s="115">
        <v>0</v>
      </c>
      <c r="O484" s="214">
        <v>0.22500000000000001</v>
      </c>
      <c r="P484" s="115">
        <v>6.7778999999999998</v>
      </c>
      <c r="Q484" s="769"/>
      <c r="R484" s="216"/>
      <c r="S484" s="216">
        <v>6.7778999999999998</v>
      </c>
      <c r="T484" s="216">
        <v>27</v>
      </c>
      <c r="U484" s="216"/>
      <c r="V484" s="115"/>
      <c r="W484" s="109"/>
      <c r="X484" s="109"/>
      <c r="Y484" s="109" t="s">
        <v>3781</v>
      </c>
      <c r="Z484" s="109">
        <v>57.585838960900013</v>
      </c>
      <c r="AA484" s="109">
        <v>58.037629967299999</v>
      </c>
      <c r="AB484" s="109" t="s">
        <v>2803</v>
      </c>
      <c r="AC484" s="109" t="s">
        <v>2563</v>
      </c>
      <c r="AD484" s="765" t="s">
        <v>2713</v>
      </c>
      <c r="AE484" s="765" t="s">
        <v>674</v>
      </c>
      <c r="AF484" s="765"/>
      <c r="AG484" s="765"/>
      <c r="AH484" s="109"/>
      <c r="AL484" s="2" t="s">
        <v>679</v>
      </c>
      <c r="AM484" s="2" t="s">
        <v>1087</v>
      </c>
      <c r="AN484" s="2" t="s">
        <v>952</v>
      </c>
      <c r="AO484" s="2">
        <v>0.820074525</v>
      </c>
      <c r="AP484" s="2" t="s">
        <v>4673</v>
      </c>
      <c r="AQ484" s="2" t="s">
        <v>4668</v>
      </c>
      <c r="AR484" s="2" t="s">
        <v>3969</v>
      </c>
      <c r="AT484" s="765"/>
      <c r="AU484" s="765"/>
      <c r="AV484" s="765"/>
      <c r="AW484" s="765"/>
    </row>
    <row r="485" spans="1:49" x14ac:dyDescent="0.25">
      <c r="A485" s="23" t="s">
        <v>3866</v>
      </c>
      <c r="B485" s="108" t="s">
        <v>163</v>
      </c>
      <c r="C485" s="108" t="s">
        <v>158</v>
      </c>
      <c r="D485" s="108" t="s">
        <v>3254</v>
      </c>
      <c r="E485" s="108" t="s">
        <v>3867</v>
      </c>
      <c r="F485" s="114" t="s">
        <v>694</v>
      </c>
      <c r="G485" s="213" t="s">
        <v>3497</v>
      </c>
      <c r="H485" s="115" t="s">
        <v>3561</v>
      </c>
      <c r="I485" s="213">
        <v>41469550.579999998</v>
      </c>
      <c r="J485" s="109">
        <v>3</v>
      </c>
      <c r="K485" s="109" t="s">
        <v>696</v>
      </c>
      <c r="L485" s="115">
        <v>0.95726572629999995</v>
      </c>
      <c r="M485" s="115">
        <v>0</v>
      </c>
      <c r="N485" s="115">
        <v>0</v>
      </c>
      <c r="O485" s="214">
        <v>0.22500000000000001</v>
      </c>
      <c r="P485" s="115">
        <v>5.0739999999999998</v>
      </c>
      <c r="Q485" s="769"/>
      <c r="R485" s="216"/>
      <c r="S485" s="216">
        <v>5.0739999999999998</v>
      </c>
      <c r="T485" s="216">
        <v>27</v>
      </c>
      <c r="U485" s="216"/>
      <c r="V485" s="115"/>
      <c r="W485" s="109"/>
      <c r="X485" s="109"/>
      <c r="Y485" s="109" t="s">
        <v>2559</v>
      </c>
      <c r="Z485" s="109">
        <v>20.368392429099998</v>
      </c>
      <c r="AA485" s="109">
        <v>16.8119121071</v>
      </c>
      <c r="AB485" s="109" t="s">
        <v>3485</v>
      </c>
      <c r="AC485" s="109" t="s">
        <v>3204</v>
      </c>
      <c r="AD485" s="765" t="s">
        <v>2472</v>
      </c>
      <c r="AE485" s="765" t="s">
        <v>674</v>
      </c>
      <c r="AF485" s="765"/>
      <c r="AG485" s="765"/>
      <c r="AH485" s="109"/>
      <c r="AL485" s="2" t="s">
        <v>679</v>
      </c>
      <c r="AM485" s="2" t="s">
        <v>1087</v>
      </c>
      <c r="AN485" s="2" t="s">
        <v>952</v>
      </c>
      <c r="AO485" s="2">
        <v>0.96643124999999996</v>
      </c>
      <c r="AP485" s="2" t="s">
        <v>4673</v>
      </c>
      <c r="AQ485" s="2" t="s">
        <v>4668</v>
      </c>
      <c r="AR485" s="2" t="s">
        <v>3969</v>
      </c>
      <c r="AT485" s="765"/>
      <c r="AU485" s="765"/>
      <c r="AV485" s="765"/>
      <c r="AW485" s="765"/>
    </row>
    <row r="486" spans="1:49" x14ac:dyDescent="0.25">
      <c r="A486" s="23" t="s">
        <v>3884</v>
      </c>
      <c r="B486" s="108" t="s">
        <v>163</v>
      </c>
      <c r="C486" s="108" t="s">
        <v>158</v>
      </c>
      <c r="D486" s="108" t="s">
        <v>2042</v>
      </c>
      <c r="E486" s="108" t="s">
        <v>4950</v>
      </c>
      <c r="F486" s="114" t="s">
        <v>694</v>
      </c>
      <c r="G486" s="213" t="s">
        <v>3900</v>
      </c>
      <c r="H486" s="115" t="s">
        <v>3561</v>
      </c>
      <c r="I486" s="213">
        <v>71190578.060000002</v>
      </c>
      <c r="J486" s="109">
        <v>2.6</v>
      </c>
      <c r="K486" s="109" t="s">
        <v>695</v>
      </c>
      <c r="L486" s="115">
        <v>0.97608987329999997</v>
      </c>
      <c r="M486" s="115">
        <v>3.9888629999999998</v>
      </c>
      <c r="N486" s="115">
        <v>4.0291550000000003</v>
      </c>
      <c r="O486" s="214">
        <v>5.7778000000000003E-2</v>
      </c>
      <c r="P486" s="115">
        <v>6.8428000000000004</v>
      </c>
      <c r="Q486" s="769">
        <v>39.987465076399999</v>
      </c>
      <c r="R486" s="216"/>
      <c r="S486" s="216">
        <v>39.987465076399999</v>
      </c>
      <c r="T486" s="216">
        <v>8</v>
      </c>
      <c r="U486" s="216">
        <v>58.604999999999997</v>
      </c>
      <c r="V486" s="115">
        <v>5602.0189185127902</v>
      </c>
      <c r="W486" s="109">
        <v>265</v>
      </c>
      <c r="X486" s="109">
        <v>144.69418684345999</v>
      </c>
      <c r="Y486" s="109" t="s">
        <v>1536</v>
      </c>
      <c r="Z486" s="109">
        <v>8.8778614899999997E-2</v>
      </c>
      <c r="AA486" s="109">
        <v>2.8620353437000001</v>
      </c>
      <c r="AB486" s="109" t="s">
        <v>2253</v>
      </c>
      <c r="AC486" s="109"/>
      <c r="AD486" s="765"/>
      <c r="AE486" s="765" t="s">
        <v>674</v>
      </c>
      <c r="AF486" s="765"/>
      <c r="AG486" s="765"/>
      <c r="AH486" s="109"/>
      <c r="AL486" s="2" t="s">
        <v>679</v>
      </c>
      <c r="AM486" s="2" t="s">
        <v>1537</v>
      </c>
      <c r="AN486" s="2" t="s">
        <v>952</v>
      </c>
      <c r="AO486" s="2">
        <v>0.977756705</v>
      </c>
      <c r="AP486" s="2" t="s">
        <v>4673</v>
      </c>
      <c r="AQ486" s="2" t="s">
        <v>4668</v>
      </c>
      <c r="AR486" s="2" t="s">
        <v>3969</v>
      </c>
      <c r="AT486" s="765"/>
      <c r="AU486" s="765"/>
      <c r="AV486" s="765"/>
      <c r="AW486" s="765"/>
    </row>
    <row r="487" spans="1:49" x14ac:dyDescent="0.25">
      <c r="A487" s="23" t="s">
        <v>3883</v>
      </c>
      <c r="B487" s="108" t="s">
        <v>163</v>
      </c>
      <c r="C487" s="108" t="s">
        <v>158</v>
      </c>
      <c r="D487" s="108" t="s">
        <v>2287</v>
      </c>
      <c r="E487" s="108" t="s">
        <v>3901</v>
      </c>
      <c r="F487" s="114" t="s">
        <v>694</v>
      </c>
      <c r="G487" s="213" t="s">
        <v>3900</v>
      </c>
      <c r="H487" s="115" t="s">
        <v>3561</v>
      </c>
      <c r="I487" s="213">
        <v>80529018.159999996</v>
      </c>
      <c r="J487" s="109">
        <v>3.1</v>
      </c>
      <c r="K487" s="109" t="s">
        <v>695</v>
      </c>
      <c r="L487" s="115">
        <v>0.95920521999999997</v>
      </c>
      <c r="M487" s="115">
        <v>4.8157560000000004</v>
      </c>
      <c r="N487" s="115">
        <v>4.8643999999999998</v>
      </c>
      <c r="O487" s="214">
        <v>6.8889000000000006E-2</v>
      </c>
      <c r="P487" s="115">
        <v>6.4848999999999997</v>
      </c>
      <c r="Q487" s="769">
        <v>33.79559989442</v>
      </c>
      <c r="R487" s="216"/>
      <c r="S487" s="216">
        <v>33.79559989442</v>
      </c>
      <c r="T487" s="216">
        <v>8</v>
      </c>
      <c r="U487" s="216">
        <v>56.774999999999999</v>
      </c>
      <c r="V487" s="115">
        <v>5418.7605209680696</v>
      </c>
      <c r="W487" s="109">
        <v>315</v>
      </c>
      <c r="X487" s="109">
        <v>114.64080081036001</v>
      </c>
      <c r="Y487" s="109" t="s">
        <v>1536</v>
      </c>
      <c r="Z487" s="109">
        <v>2.9707070533</v>
      </c>
      <c r="AA487" s="109">
        <v>6.3197862029999996</v>
      </c>
      <c r="AB487" s="109" t="s">
        <v>2253</v>
      </c>
      <c r="AC487" s="109"/>
      <c r="AD487" s="765"/>
      <c r="AE487" s="765" t="s">
        <v>674</v>
      </c>
      <c r="AF487" s="765"/>
      <c r="AG487" s="765"/>
      <c r="AH487" s="109"/>
      <c r="AL487" s="2" t="s">
        <v>679</v>
      </c>
      <c r="AM487" s="2" t="s">
        <v>1537</v>
      </c>
      <c r="AN487" s="2" t="s">
        <v>952</v>
      </c>
      <c r="AO487" s="2">
        <v>0.96308156599999994</v>
      </c>
      <c r="AP487" s="2" t="s">
        <v>4673</v>
      </c>
      <c r="AQ487" s="2" t="s">
        <v>4668</v>
      </c>
      <c r="AR487" s="2" t="s">
        <v>3969</v>
      </c>
      <c r="AT487" s="765"/>
      <c r="AU487" s="765"/>
      <c r="AV487" s="765"/>
      <c r="AW487" s="765"/>
    </row>
    <row r="488" spans="1:49" x14ac:dyDescent="0.25">
      <c r="A488" s="23" t="s">
        <v>4557</v>
      </c>
      <c r="B488" s="108" t="s">
        <v>163</v>
      </c>
      <c r="C488" s="108" t="s">
        <v>158</v>
      </c>
      <c r="D488" s="108" t="s">
        <v>2042</v>
      </c>
      <c r="E488" s="108" t="s">
        <v>4558</v>
      </c>
      <c r="F488" s="114" t="s">
        <v>694</v>
      </c>
      <c r="G488" s="213" t="s">
        <v>4654</v>
      </c>
      <c r="H488" s="115" t="s">
        <v>4559</v>
      </c>
      <c r="I488" s="213">
        <v>93339483.780000001</v>
      </c>
      <c r="J488" s="109">
        <v>3</v>
      </c>
      <c r="K488" s="109" t="s">
        <v>696</v>
      </c>
      <c r="L488" s="115">
        <v>0.96558087329999998</v>
      </c>
      <c r="M488" s="115">
        <v>11.440865000000001</v>
      </c>
      <c r="N488" s="115">
        <v>11.556429</v>
      </c>
      <c r="O488" s="214">
        <v>0.22500000000000001</v>
      </c>
      <c r="P488" s="115">
        <v>4.9047000000000001</v>
      </c>
      <c r="Q488" s="769">
        <v>-9.5447396573300001</v>
      </c>
      <c r="R488" s="216"/>
      <c r="S488" s="216">
        <v>-9.5447396573300001</v>
      </c>
      <c r="T488" s="216">
        <v>27</v>
      </c>
      <c r="U488" s="216">
        <v>7.1980000000000004</v>
      </c>
      <c r="V488" s="115">
        <v>459.81232569815</v>
      </c>
      <c r="W488" s="109"/>
      <c r="X488" s="109">
        <v>352.40033563339</v>
      </c>
      <c r="Y488" s="109" t="s">
        <v>2559</v>
      </c>
      <c r="Z488" s="109">
        <v>43.173114911900001</v>
      </c>
      <c r="AA488" s="109">
        <v>25.218137879699999</v>
      </c>
      <c r="AB488" s="109" t="s">
        <v>257</v>
      </c>
      <c r="AC488" s="109" t="s">
        <v>1776</v>
      </c>
      <c r="AD488" s="765" t="s">
        <v>237</v>
      </c>
      <c r="AE488" s="765" t="s">
        <v>674</v>
      </c>
      <c r="AF488" s="765"/>
      <c r="AG488" s="765"/>
      <c r="AH488" s="109"/>
      <c r="AL488" s="2" t="s">
        <v>679</v>
      </c>
      <c r="AM488" s="2" t="s">
        <v>1087</v>
      </c>
      <c r="AN488" s="2" t="s">
        <v>952</v>
      </c>
      <c r="AO488" s="2">
        <v>0.975204776</v>
      </c>
      <c r="AP488" s="2" t="s">
        <v>4673</v>
      </c>
      <c r="AQ488" s="2" t="s">
        <v>4668</v>
      </c>
      <c r="AR488" s="2" t="s">
        <v>3969</v>
      </c>
      <c r="AT488" s="765"/>
      <c r="AU488" s="765"/>
      <c r="AV488" s="765"/>
      <c r="AW488" s="765"/>
    </row>
    <row r="489" spans="1:49" x14ac:dyDescent="0.25">
      <c r="A489" s="23" t="s">
        <v>5052</v>
      </c>
      <c r="B489" s="108" t="s">
        <v>163</v>
      </c>
      <c r="C489" s="108" t="s">
        <v>158</v>
      </c>
      <c r="D489" s="108" t="s">
        <v>5159</v>
      </c>
      <c r="E489" s="108" t="s">
        <v>5160</v>
      </c>
      <c r="F489" s="114" t="s">
        <v>694</v>
      </c>
      <c r="G489" s="213" t="s">
        <v>5161</v>
      </c>
      <c r="H489" s="115" t="s">
        <v>4747</v>
      </c>
      <c r="I489" s="213">
        <v>210575886.09999999</v>
      </c>
      <c r="J489" s="109">
        <v>3.7</v>
      </c>
      <c r="K489" s="109" t="s">
        <v>695</v>
      </c>
      <c r="L489" s="115">
        <v>0.89323765629999996</v>
      </c>
      <c r="M489" s="115">
        <v>0</v>
      </c>
      <c r="N489" s="115">
        <v>0</v>
      </c>
      <c r="O489" s="214">
        <v>8.2222000000000003E-2</v>
      </c>
      <c r="P489" s="115">
        <v>5.5932000000000004</v>
      </c>
      <c r="Q489" s="769"/>
      <c r="R489" s="216"/>
      <c r="S489" s="216">
        <v>5.5932000000000004</v>
      </c>
      <c r="T489" s="216">
        <v>7</v>
      </c>
      <c r="U489" s="216"/>
      <c r="V489" s="115"/>
      <c r="W489" s="109">
        <v>375</v>
      </c>
      <c r="X489" s="109"/>
      <c r="Y489" s="109" t="s">
        <v>1536</v>
      </c>
      <c r="Z489" s="109">
        <v>39.761369158299999</v>
      </c>
      <c r="AA489" s="109"/>
      <c r="AB489" s="109" t="s">
        <v>258</v>
      </c>
      <c r="AC489" s="109" t="s">
        <v>1219</v>
      </c>
      <c r="AD489" s="765" t="s">
        <v>1348</v>
      </c>
      <c r="AE489" s="765" t="s">
        <v>674</v>
      </c>
      <c r="AF489" s="765"/>
      <c r="AG489" s="765"/>
      <c r="AH489" s="109"/>
      <c r="AL489" s="2" t="s">
        <v>679</v>
      </c>
      <c r="AM489" s="2" t="s">
        <v>1537</v>
      </c>
      <c r="AN489" s="2" t="s">
        <v>952</v>
      </c>
      <c r="AO489" s="2">
        <v>0.93338305700000002</v>
      </c>
      <c r="AP489" s="2" t="s">
        <v>4673</v>
      </c>
      <c r="AQ489" s="2" t="s">
        <v>4668</v>
      </c>
      <c r="AR489" s="2" t="s">
        <v>3969</v>
      </c>
      <c r="AT489" s="765"/>
      <c r="AU489" s="765"/>
      <c r="AV489" s="765"/>
      <c r="AW489" s="765"/>
    </row>
    <row r="490" spans="1:49" x14ac:dyDescent="0.25">
      <c r="A490" s="23" t="s">
        <v>4837</v>
      </c>
      <c r="B490" s="108" t="s">
        <v>163</v>
      </c>
      <c r="C490" s="108" t="s">
        <v>158</v>
      </c>
      <c r="D490" s="108" t="s">
        <v>2042</v>
      </c>
      <c r="E490" s="108" t="s">
        <v>4859</v>
      </c>
      <c r="F490" s="114" t="s">
        <v>694</v>
      </c>
      <c r="G490" s="213" t="s">
        <v>4860</v>
      </c>
      <c r="H490" s="115" t="s">
        <v>2274</v>
      </c>
      <c r="I490" s="213">
        <v>16179433.43</v>
      </c>
      <c r="J490" s="109">
        <v>3</v>
      </c>
      <c r="K490" s="109" t="s">
        <v>696</v>
      </c>
      <c r="L490" s="115">
        <v>0.99565744180000004</v>
      </c>
      <c r="M490" s="115">
        <v>11.991269000000001</v>
      </c>
      <c r="N490" s="115">
        <v>12.112393000000001</v>
      </c>
      <c r="O490" s="214">
        <v>0.22500000000000001</v>
      </c>
      <c r="P490" s="115">
        <v>5.9713000000000003</v>
      </c>
      <c r="Q490" s="769">
        <v>-12.53926037349</v>
      </c>
      <c r="R490" s="216"/>
      <c r="S490" s="216">
        <v>-12.53926037349</v>
      </c>
      <c r="T490" s="216">
        <v>27</v>
      </c>
      <c r="U490" s="216">
        <v>10.3</v>
      </c>
      <c r="V490" s="115">
        <v>770.85321998953998</v>
      </c>
      <c r="W490" s="109"/>
      <c r="X490" s="109">
        <v>293.22452424340997</v>
      </c>
      <c r="Y490" s="109" t="s">
        <v>4861</v>
      </c>
      <c r="Z490" s="109">
        <v>2.9160964419000002</v>
      </c>
      <c r="AA490" s="109"/>
      <c r="AB490" s="109" t="s">
        <v>2253</v>
      </c>
      <c r="AC490" s="109"/>
      <c r="AD490" s="765"/>
      <c r="AE490" s="765" t="s">
        <v>674</v>
      </c>
      <c r="AF490" s="765"/>
      <c r="AG490" s="765"/>
      <c r="AH490" s="109"/>
      <c r="AL490" s="2" t="s">
        <v>679</v>
      </c>
      <c r="AM490" s="2" t="s">
        <v>1087</v>
      </c>
      <c r="AN490" s="2" t="s">
        <v>952</v>
      </c>
      <c r="AO490" s="2">
        <v>1</v>
      </c>
      <c r="AP490" s="2" t="s">
        <v>4673</v>
      </c>
      <c r="AQ490" s="2" t="s">
        <v>4668</v>
      </c>
      <c r="AR490" s="2" t="s">
        <v>3969</v>
      </c>
      <c r="AT490" s="765"/>
      <c r="AU490" s="765"/>
      <c r="AV490" s="765"/>
      <c r="AW490" s="765"/>
    </row>
    <row r="491" spans="1:49" x14ac:dyDescent="0.25">
      <c r="A491" s="23" t="s">
        <v>4626</v>
      </c>
      <c r="B491" s="108" t="s">
        <v>163</v>
      </c>
      <c r="C491" s="108" t="s">
        <v>158</v>
      </c>
      <c r="D491" s="108" t="s">
        <v>2042</v>
      </c>
      <c r="E491" s="108" t="s">
        <v>4741</v>
      </c>
      <c r="F491" s="114" t="s">
        <v>694</v>
      </c>
      <c r="G491" s="213" t="s">
        <v>4742</v>
      </c>
      <c r="H491" s="115" t="s">
        <v>4743</v>
      </c>
      <c r="I491" s="213">
        <v>395525298.49000001</v>
      </c>
      <c r="J491" s="109">
        <v>2.4</v>
      </c>
      <c r="K491" s="109" t="s">
        <v>695</v>
      </c>
      <c r="L491" s="115">
        <v>0.9888132462</v>
      </c>
      <c r="M491" s="115">
        <v>3.4453330000000002</v>
      </c>
      <c r="N491" s="115">
        <v>3.4801350000000002</v>
      </c>
      <c r="O491" s="214">
        <v>5.3332999999999998E-2</v>
      </c>
      <c r="P491" s="115">
        <v>6.9920999999999998</v>
      </c>
      <c r="Q491" s="769">
        <v>40.423188716219997</v>
      </c>
      <c r="R491" s="216"/>
      <c r="S491" s="216">
        <v>40.423188716219997</v>
      </c>
      <c r="T491" s="216">
        <v>7</v>
      </c>
      <c r="U491" s="216">
        <v>65.356999999999999</v>
      </c>
      <c r="V491" s="115">
        <v>6277.4567706043599</v>
      </c>
      <c r="W491" s="109">
        <v>245</v>
      </c>
      <c r="X491" s="109">
        <v>312.85573292737001</v>
      </c>
      <c r="Y491" s="109" t="s">
        <v>1536</v>
      </c>
      <c r="Z491" s="109">
        <v>4.9954637870000003</v>
      </c>
      <c r="AA491" s="109"/>
      <c r="AB491" s="109" t="s">
        <v>1776</v>
      </c>
      <c r="AC491" s="109" t="s">
        <v>250</v>
      </c>
      <c r="AD491" s="765" t="s">
        <v>237</v>
      </c>
      <c r="AE491" s="765" t="s">
        <v>674</v>
      </c>
      <c r="AF491" s="765"/>
      <c r="AG491" s="765"/>
      <c r="AH491" s="109"/>
      <c r="AL491" s="2" t="s">
        <v>679</v>
      </c>
      <c r="AM491" s="2" t="s">
        <v>1537</v>
      </c>
      <c r="AN491" s="2" t="s">
        <v>952</v>
      </c>
      <c r="AO491" s="2">
        <v>0.99468361900000002</v>
      </c>
      <c r="AP491" s="2" t="s">
        <v>4673</v>
      </c>
      <c r="AQ491" s="2" t="s">
        <v>4668</v>
      </c>
      <c r="AR491" s="2" t="s">
        <v>3969</v>
      </c>
      <c r="AT491" s="765"/>
      <c r="AU491" s="765"/>
      <c r="AV491" s="765"/>
      <c r="AW491" s="765"/>
    </row>
    <row r="492" spans="1:49" x14ac:dyDescent="0.25">
      <c r="A492" s="23" t="s">
        <v>4625</v>
      </c>
      <c r="B492" s="108" t="s">
        <v>163</v>
      </c>
      <c r="C492" s="108" t="s">
        <v>158</v>
      </c>
      <c r="D492" s="108" t="s">
        <v>2042</v>
      </c>
      <c r="E492" s="108" t="s">
        <v>4744</v>
      </c>
      <c r="F492" s="114" t="s">
        <v>694</v>
      </c>
      <c r="G492" s="213" t="s">
        <v>4742</v>
      </c>
      <c r="H492" s="115" t="s">
        <v>3362</v>
      </c>
      <c r="I492" s="213">
        <v>143940643.72</v>
      </c>
      <c r="J492" s="109">
        <v>2.95</v>
      </c>
      <c r="K492" s="109" t="s">
        <v>695</v>
      </c>
      <c r="L492" s="115">
        <v>0.95960429150000004</v>
      </c>
      <c r="M492" s="115">
        <v>4.8637249999999996</v>
      </c>
      <c r="N492" s="115">
        <v>4.9128530000000001</v>
      </c>
      <c r="O492" s="214">
        <v>6.5556000000000003E-2</v>
      </c>
      <c r="P492" s="115">
        <v>6.7024999999999997</v>
      </c>
      <c r="Q492" s="769">
        <v>34.692794346230002</v>
      </c>
      <c r="R492" s="216"/>
      <c r="S492" s="216">
        <v>34.692794346230002</v>
      </c>
      <c r="T492" s="216">
        <v>8</v>
      </c>
      <c r="U492" s="216">
        <v>52.414000000000001</v>
      </c>
      <c r="V492" s="115">
        <v>4982.8037064622204</v>
      </c>
      <c r="W492" s="109">
        <v>300</v>
      </c>
      <c r="X492" s="109">
        <v>292.29504888228001</v>
      </c>
      <c r="Y492" s="109" t="s">
        <v>1536</v>
      </c>
      <c r="Z492" s="109">
        <v>20.576475860999999</v>
      </c>
      <c r="AA492" s="109">
        <v>16.0585741089</v>
      </c>
      <c r="AB492" s="109" t="s">
        <v>1348</v>
      </c>
      <c r="AC492" s="109" t="s">
        <v>250</v>
      </c>
      <c r="AD492" s="765" t="s">
        <v>237</v>
      </c>
      <c r="AE492" s="765" t="s">
        <v>674</v>
      </c>
      <c r="AF492" s="765"/>
      <c r="AG492" s="765"/>
      <c r="AH492" s="109"/>
      <c r="AL492" s="2" t="s">
        <v>679</v>
      </c>
      <c r="AM492" s="2" t="s">
        <v>1537</v>
      </c>
      <c r="AN492" s="2" t="s">
        <v>952</v>
      </c>
      <c r="AO492" s="2">
        <v>0.97987103399999997</v>
      </c>
      <c r="AP492" s="2" t="s">
        <v>4673</v>
      </c>
      <c r="AQ492" s="2" t="s">
        <v>4668</v>
      </c>
      <c r="AR492" s="2" t="s">
        <v>3969</v>
      </c>
      <c r="AT492" s="765"/>
      <c r="AU492" s="765"/>
      <c r="AV492" s="765"/>
      <c r="AW492" s="765"/>
    </row>
    <row r="493" spans="1:49" x14ac:dyDescent="0.25">
      <c r="A493" s="23" t="s">
        <v>4587</v>
      </c>
      <c r="B493" s="108" t="s">
        <v>163</v>
      </c>
      <c r="C493" s="108" t="s">
        <v>158</v>
      </c>
      <c r="D493" s="108" t="s">
        <v>2042</v>
      </c>
      <c r="E493" s="108" t="s">
        <v>4745</v>
      </c>
      <c r="F493" s="114" t="s">
        <v>694</v>
      </c>
      <c r="G493" s="213" t="s">
        <v>4746</v>
      </c>
      <c r="H493" s="115" t="s">
        <v>4747</v>
      </c>
      <c r="I493" s="213">
        <v>42915254.439999998</v>
      </c>
      <c r="J493" s="109">
        <v>3</v>
      </c>
      <c r="K493" s="109" t="s">
        <v>696</v>
      </c>
      <c r="L493" s="115">
        <v>0.99035203319999998</v>
      </c>
      <c r="M493" s="115">
        <v>11.375957</v>
      </c>
      <c r="N493" s="115">
        <v>11.490866</v>
      </c>
      <c r="O493" s="214">
        <v>0.22500000000000001</v>
      </c>
      <c r="P493" s="115">
        <v>4.6020000000000003</v>
      </c>
      <c r="Q493" s="769">
        <v>-8.0596468044399998</v>
      </c>
      <c r="R493" s="216"/>
      <c r="S493" s="216">
        <v>-8.0596468044399998</v>
      </c>
      <c r="T493" s="216">
        <v>27</v>
      </c>
      <c r="U493" s="216">
        <v>6.02</v>
      </c>
      <c r="V493" s="115">
        <v>342.31241603290999</v>
      </c>
      <c r="W493" s="109"/>
      <c r="X493" s="109">
        <v>384.07972432260999</v>
      </c>
      <c r="Y493" s="109" t="s">
        <v>2559</v>
      </c>
      <c r="Z493" s="109">
        <v>4.9954637870000003</v>
      </c>
      <c r="AA493" s="109"/>
      <c r="AB493" s="109" t="s">
        <v>1776</v>
      </c>
      <c r="AC493" s="109" t="s">
        <v>250</v>
      </c>
      <c r="AD493" s="765" t="s">
        <v>237</v>
      </c>
      <c r="AE493" s="765" t="s">
        <v>674</v>
      </c>
      <c r="AF493" s="765"/>
      <c r="AG493" s="765"/>
      <c r="AH493" s="109"/>
      <c r="AL493" s="2" t="s">
        <v>679</v>
      </c>
      <c r="AM493" s="2" t="s">
        <v>1087</v>
      </c>
      <c r="AN493" s="2" t="s">
        <v>952</v>
      </c>
      <c r="AO493" s="2">
        <v>0.99551805400000004</v>
      </c>
      <c r="AP493" s="2" t="s">
        <v>4673</v>
      </c>
      <c r="AQ493" s="2" t="s">
        <v>4668</v>
      </c>
      <c r="AR493" s="2" t="s">
        <v>3969</v>
      </c>
      <c r="AT493" s="765"/>
      <c r="AU493" s="765"/>
      <c r="AV493" s="765"/>
      <c r="AW493" s="765"/>
    </row>
    <row r="494" spans="1:49" x14ac:dyDescent="0.25">
      <c r="A494" s="23" t="s">
        <v>2649</v>
      </c>
      <c r="B494" s="108" t="s">
        <v>529</v>
      </c>
      <c r="C494" s="108" t="s">
        <v>2656</v>
      </c>
      <c r="D494" s="108" t="s">
        <v>1683</v>
      </c>
      <c r="E494" s="108" t="s">
        <v>2657</v>
      </c>
      <c r="F494" s="114" t="s">
        <v>698</v>
      </c>
      <c r="G494" s="213" t="s">
        <v>1942</v>
      </c>
      <c r="H494" s="115" t="s">
        <v>2658</v>
      </c>
      <c r="I494" s="213">
        <v>31250000</v>
      </c>
      <c r="J494" s="109">
        <v>3.1965699999999999</v>
      </c>
      <c r="K494" s="109" t="s">
        <v>695</v>
      </c>
      <c r="L494" s="115">
        <v>1</v>
      </c>
      <c r="M494" s="115">
        <v>0</v>
      </c>
      <c r="N494" s="115">
        <v>0</v>
      </c>
      <c r="O494" s="214">
        <v>0.11543200000000001</v>
      </c>
      <c r="P494" s="115">
        <v>0.1222</v>
      </c>
      <c r="Q494" s="769"/>
      <c r="R494" s="216"/>
      <c r="S494" s="216">
        <v>0.1222</v>
      </c>
      <c r="T494" s="216">
        <v>13</v>
      </c>
      <c r="U494" s="216"/>
      <c r="V494" s="115"/>
      <c r="W494" s="109">
        <v>280</v>
      </c>
      <c r="X494" s="109"/>
      <c r="Y494" s="109" t="s">
        <v>532</v>
      </c>
      <c r="Z494" s="109"/>
      <c r="AA494" s="109"/>
      <c r="AB494" s="109"/>
      <c r="AC494" s="109"/>
      <c r="AD494" s="765"/>
      <c r="AE494" s="765" t="s">
        <v>10</v>
      </c>
      <c r="AF494" s="765"/>
      <c r="AG494" s="765" t="s">
        <v>522</v>
      </c>
      <c r="AH494" s="109"/>
      <c r="AI494" s="2" t="s">
        <v>10</v>
      </c>
      <c r="AL494" s="2" t="s">
        <v>680</v>
      </c>
      <c r="AM494" s="2" t="s">
        <v>1656</v>
      </c>
      <c r="AN494" s="2" t="s">
        <v>952</v>
      </c>
      <c r="AO494" s="2">
        <v>1</v>
      </c>
      <c r="AP494" s="2" t="s">
        <v>4673</v>
      </c>
      <c r="AQ494" s="2" t="s">
        <v>4481</v>
      </c>
      <c r="AR494" s="2" t="s">
        <v>4671</v>
      </c>
      <c r="AT494" s="765"/>
      <c r="AU494" s="765"/>
      <c r="AV494" s="765"/>
      <c r="AW494" s="765"/>
    </row>
    <row r="495" spans="1:49" x14ac:dyDescent="0.25">
      <c r="A495" s="23" t="s">
        <v>3936</v>
      </c>
      <c r="B495" s="108" t="s">
        <v>529</v>
      </c>
      <c r="C495" s="108" t="s">
        <v>3964</v>
      </c>
      <c r="D495" s="108" t="s">
        <v>870</v>
      </c>
      <c r="E495" s="108" t="s">
        <v>3965</v>
      </c>
      <c r="F495" s="114" t="s">
        <v>698</v>
      </c>
      <c r="G495" s="213" t="s">
        <v>3966</v>
      </c>
      <c r="H495" s="115" t="s">
        <v>3967</v>
      </c>
      <c r="I495" s="213">
        <v>23000000</v>
      </c>
      <c r="J495" s="109">
        <v>4.1412899999999997</v>
      </c>
      <c r="K495" s="109" t="s">
        <v>695</v>
      </c>
      <c r="L495" s="115">
        <v>1</v>
      </c>
      <c r="M495" s="115">
        <v>0</v>
      </c>
      <c r="N495" s="115">
        <v>0</v>
      </c>
      <c r="O495" s="214">
        <v>0.79374699999999998</v>
      </c>
      <c r="P495" s="115"/>
      <c r="Q495" s="769"/>
      <c r="R495" s="216"/>
      <c r="S495" s="216">
        <v>7.8082191780821919</v>
      </c>
      <c r="T495" s="216">
        <v>69</v>
      </c>
      <c r="U495" s="216"/>
      <c r="V495" s="115"/>
      <c r="W495" s="109">
        <v>390</v>
      </c>
      <c r="X495" s="109"/>
      <c r="Y495" s="109" t="s">
        <v>993</v>
      </c>
      <c r="Z495" s="109"/>
      <c r="AA495" s="109"/>
      <c r="AB495" s="109"/>
      <c r="AC495" s="109"/>
      <c r="AD495" s="765"/>
      <c r="AE495" s="765" t="s">
        <v>10</v>
      </c>
      <c r="AF495" s="765"/>
      <c r="AG495" s="765" t="s">
        <v>1901</v>
      </c>
      <c r="AH495" s="109"/>
      <c r="AL495" s="2" t="s">
        <v>680</v>
      </c>
      <c r="AM495" s="2" t="s">
        <v>871</v>
      </c>
      <c r="AN495" s="2" t="s">
        <v>952</v>
      </c>
      <c r="AO495" s="2">
        <v>1</v>
      </c>
      <c r="AP495" s="2" t="s">
        <v>4667</v>
      </c>
      <c r="AQ495" s="2" t="s">
        <v>3194</v>
      </c>
      <c r="AR495" s="2" t="s">
        <v>4661</v>
      </c>
      <c r="AT495" s="765"/>
      <c r="AU495" s="765"/>
      <c r="AV495" s="765"/>
      <c r="AW495" s="765"/>
    </row>
    <row r="496" spans="1:49" x14ac:dyDescent="0.25">
      <c r="A496" s="23" t="s">
        <v>3387</v>
      </c>
      <c r="B496" s="108" t="s">
        <v>526</v>
      </c>
      <c r="C496" s="108" t="s">
        <v>3388</v>
      </c>
      <c r="D496" s="108" t="s">
        <v>2098</v>
      </c>
      <c r="E496" s="108" t="s">
        <v>3389</v>
      </c>
      <c r="F496" s="114" t="s">
        <v>698</v>
      </c>
      <c r="G496" s="213" t="s">
        <v>3402</v>
      </c>
      <c r="H496" s="115" t="s">
        <v>3403</v>
      </c>
      <c r="I496" s="213">
        <v>273625000</v>
      </c>
      <c r="J496" s="109">
        <v>4.7229999999999999</v>
      </c>
      <c r="K496" s="109" t="s">
        <v>696</v>
      </c>
      <c r="L496" s="115">
        <v>0.995</v>
      </c>
      <c r="M496" s="115">
        <v>94.203170999999998</v>
      </c>
      <c r="N496" s="115">
        <v>94.470470000000006</v>
      </c>
      <c r="O496" s="214">
        <v>0.49853900000000001</v>
      </c>
      <c r="P496" s="115">
        <v>2.3605999999999998</v>
      </c>
      <c r="Q496" s="769">
        <v>3.8353207943799998</v>
      </c>
      <c r="R496" s="216"/>
      <c r="S496" s="216">
        <v>3.8353207943799998</v>
      </c>
      <c r="T496" s="216">
        <v>37</v>
      </c>
      <c r="U496" s="216">
        <v>6.3250000000000002</v>
      </c>
      <c r="V496" s="115">
        <v>511.22871310101999</v>
      </c>
      <c r="W496" s="109"/>
      <c r="X496" s="109">
        <v>354.76445414513</v>
      </c>
      <c r="Y496" s="109" t="s">
        <v>662</v>
      </c>
      <c r="Z496" s="109"/>
      <c r="AA496" s="109"/>
      <c r="AB496" s="109"/>
      <c r="AC496" s="109"/>
      <c r="AD496" s="765"/>
      <c r="AE496" s="765" t="s">
        <v>10</v>
      </c>
      <c r="AF496" s="765"/>
      <c r="AG496" s="765"/>
      <c r="AH496" s="109"/>
      <c r="AI496" s="2" t="s">
        <v>20</v>
      </c>
      <c r="AL496" s="2" t="s">
        <v>680</v>
      </c>
      <c r="AM496" s="2" t="s">
        <v>710</v>
      </c>
      <c r="AN496" s="2" t="s">
        <v>952</v>
      </c>
      <c r="AO496" s="2">
        <v>0.99750000000000005</v>
      </c>
      <c r="AP496" s="2" t="s">
        <v>4755</v>
      </c>
      <c r="AQ496" s="2" t="s">
        <v>3970</v>
      </c>
      <c r="AR496" s="2" t="s">
        <v>4819</v>
      </c>
      <c r="AT496" s="765"/>
      <c r="AU496" s="765"/>
      <c r="AV496" s="765"/>
      <c r="AW496" s="765"/>
    </row>
    <row r="497" spans="1:49" x14ac:dyDescent="0.25">
      <c r="A497" s="23" t="s">
        <v>2473</v>
      </c>
      <c r="B497" s="108" t="s">
        <v>656</v>
      </c>
      <c r="C497" s="108" t="s">
        <v>2474</v>
      </c>
      <c r="D497" s="108" t="s">
        <v>541</v>
      </c>
      <c r="E497" s="108" t="s">
        <v>2474</v>
      </c>
      <c r="F497" s="114" t="s">
        <v>699</v>
      </c>
      <c r="G497" s="213" t="s">
        <v>2475</v>
      </c>
      <c r="H497" s="115" t="s">
        <v>2476</v>
      </c>
      <c r="I497" s="213">
        <v>40000000</v>
      </c>
      <c r="J497" s="109">
        <v>4.5</v>
      </c>
      <c r="K497" s="109" t="s">
        <v>696</v>
      </c>
      <c r="L497" s="115">
        <v>1</v>
      </c>
      <c r="M497" s="115">
        <v>101.101</v>
      </c>
      <c r="N497" s="115">
        <v>101.502</v>
      </c>
      <c r="O497" s="214">
        <v>0.16250000000000001</v>
      </c>
      <c r="P497" s="115"/>
      <c r="Q497" s="769">
        <v>3.1913575750655419</v>
      </c>
      <c r="R497" s="216">
        <v>3.1736349382232838</v>
      </c>
      <c r="S497" s="216">
        <v>3.1913575750655419</v>
      </c>
      <c r="T497" s="216">
        <v>13</v>
      </c>
      <c r="U497" s="216">
        <v>4.4326106774577241</v>
      </c>
      <c r="V497" s="115"/>
      <c r="W497" s="109">
        <v>437</v>
      </c>
      <c r="X497" s="109">
        <v>145.9012742700456</v>
      </c>
      <c r="Y497" s="109"/>
      <c r="Z497" s="109"/>
      <c r="AA497" s="109"/>
      <c r="AB497" s="109"/>
      <c r="AC497" s="109"/>
      <c r="AD497" s="765"/>
      <c r="AE497" s="765" t="s">
        <v>10</v>
      </c>
      <c r="AF497" s="765"/>
      <c r="AG497" s="765"/>
      <c r="AH497" s="109"/>
      <c r="AI497" s="2" t="s">
        <v>20</v>
      </c>
      <c r="AL497" s="2" t="s">
        <v>680</v>
      </c>
      <c r="AM497" s="2" t="s">
        <v>812</v>
      </c>
      <c r="AN497" s="2" t="s">
        <v>952</v>
      </c>
      <c r="AT497" s="765"/>
      <c r="AU497" s="765"/>
      <c r="AV497" s="765"/>
      <c r="AW497" s="765"/>
    </row>
    <row r="498" spans="1:49" x14ac:dyDescent="0.25">
      <c r="A498" s="23" t="s">
        <v>2477</v>
      </c>
      <c r="B498" s="108" t="s">
        <v>684</v>
      </c>
      <c r="C498" s="108" t="s">
        <v>2478</v>
      </c>
      <c r="D498" s="108" t="s">
        <v>3425</v>
      </c>
      <c r="E498" s="108" t="s">
        <v>2479</v>
      </c>
      <c r="F498" s="114" t="s">
        <v>694</v>
      </c>
      <c r="G498" s="213" t="s">
        <v>2480</v>
      </c>
      <c r="H498" s="115" t="s">
        <v>2481</v>
      </c>
      <c r="I498" s="213">
        <v>9406074.7200000007</v>
      </c>
      <c r="J498" s="109">
        <v>0.72857000000000005</v>
      </c>
      <c r="K498" s="109" t="s">
        <v>695</v>
      </c>
      <c r="L498" s="115">
        <v>3.71815411E-2</v>
      </c>
      <c r="M498" s="115">
        <v>0</v>
      </c>
      <c r="N498" s="115">
        <v>0</v>
      </c>
      <c r="O498" s="214">
        <v>1.4167000000000001E-2</v>
      </c>
      <c r="P498" s="115">
        <v>5.2796000000000003</v>
      </c>
      <c r="Q498" s="769"/>
      <c r="R498" s="216"/>
      <c r="S498" s="216">
        <v>5.2796000000000003</v>
      </c>
      <c r="T498" s="216">
        <v>7</v>
      </c>
      <c r="U498" s="216"/>
      <c r="V498" s="115"/>
      <c r="W498" s="109">
        <v>28</v>
      </c>
      <c r="X498" s="109"/>
      <c r="Y498" s="109" t="s">
        <v>2482</v>
      </c>
      <c r="Z498" s="109">
        <v>9.8954472711361152</v>
      </c>
      <c r="AA498" s="109">
        <v>9.603166015877429</v>
      </c>
      <c r="AB498" s="109" t="s">
        <v>2935</v>
      </c>
      <c r="AC498" s="109" t="s">
        <v>1219</v>
      </c>
      <c r="AD498" s="765" t="s">
        <v>2146</v>
      </c>
      <c r="AE498" s="765" t="s">
        <v>8</v>
      </c>
      <c r="AF498" s="765" t="s">
        <v>8</v>
      </c>
      <c r="AG498" s="765" t="s">
        <v>2425</v>
      </c>
      <c r="AH498" s="109"/>
      <c r="AL498" s="2" t="s">
        <v>680</v>
      </c>
      <c r="AM498" s="2" t="s">
        <v>813</v>
      </c>
      <c r="AN498" s="2" t="s">
        <v>952</v>
      </c>
      <c r="AO498" s="2">
        <v>3.7589734E-2</v>
      </c>
      <c r="AP498" s="2" t="s">
        <v>4661</v>
      </c>
      <c r="AQ498" s="2" t="s">
        <v>4818</v>
      </c>
      <c r="AR498" s="2" t="s">
        <v>4730</v>
      </c>
      <c r="AT498" s="765"/>
      <c r="AU498" s="765"/>
      <c r="AV498" s="765"/>
      <c r="AW498" s="765"/>
    </row>
    <row r="499" spans="1:49" x14ac:dyDescent="0.25">
      <c r="A499" s="23" t="s">
        <v>4576</v>
      </c>
      <c r="B499" s="108" t="s">
        <v>540</v>
      </c>
      <c r="C499" s="108" t="s">
        <v>4748</v>
      </c>
      <c r="D499" s="108" t="s">
        <v>2486</v>
      </c>
      <c r="E499" s="108" t="s">
        <v>4748</v>
      </c>
      <c r="F499" s="114" t="s">
        <v>699</v>
      </c>
      <c r="G499" s="213" t="s">
        <v>4749</v>
      </c>
      <c r="H499" s="115" t="s">
        <v>4750</v>
      </c>
      <c r="I499" s="213">
        <v>100000000</v>
      </c>
      <c r="J499" s="109">
        <v>3.5</v>
      </c>
      <c r="K499" s="109" t="s">
        <v>696</v>
      </c>
      <c r="L499" s="115">
        <v>1</v>
      </c>
      <c r="M499" s="115">
        <v>98.765000000000001</v>
      </c>
      <c r="N499" s="115">
        <v>99.1</v>
      </c>
      <c r="O499" s="214">
        <v>0.67083300000000001</v>
      </c>
      <c r="P499" s="115"/>
      <c r="Q499" s="769">
        <v>4.3940148894334694</v>
      </c>
      <c r="R499" s="216">
        <v>4.3760569987757174</v>
      </c>
      <c r="S499" s="216">
        <v>4.3940148894334694</v>
      </c>
      <c r="T499" s="216">
        <v>68</v>
      </c>
      <c r="U499" s="216">
        <v>3.1431288275814788</v>
      </c>
      <c r="V499" s="115"/>
      <c r="W499" s="109">
        <v>215</v>
      </c>
      <c r="X499" s="109">
        <v>120.71217859421169</v>
      </c>
      <c r="Y499" s="109"/>
      <c r="Z499" s="109"/>
      <c r="AA499" s="109"/>
      <c r="AB499" s="109"/>
      <c r="AC499" s="109"/>
      <c r="AD499" s="765"/>
      <c r="AE499" s="765" t="s">
        <v>10</v>
      </c>
      <c r="AF499" s="765"/>
      <c r="AG499" s="765"/>
      <c r="AH499" s="109"/>
      <c r="AI499" s="2" t="s">
        <v>20</v>
      </c>
      <c r="AL499" s="2" t="s">
        <v>680</v>
      </c>
      <c r="AM499" s="2" t="s">
        <v>812</v>
      </c>
      <c r="AN499" s="2" t="s">
        <v>952</v>
      </c>
      <c r="AT499" s="765"/>
      <c r="AU499" s="765"/>
      <c r="AV499" s="765"/>
      <c r="AW499" s="765"/>
    </row>
    <row r="500" spans="1:49" x14ac:dyDescent="0.25">
      <c r="A500" s="23" t="s">
        <v>4836</v>
      </c>
      <c r="B500" s="108" t="s">
        <v>2245</v>
      </c>
      <c r="C500" s="108" t="s">
        <v>4862</v>
      </c>
      <c r="D500" s="108" t="s">
        <v>3736</v>
      </c>
      <c r="E500" s="108" t="s">
        <v>4863</v>
      </c>
      <c r="F500" s="114" t="s">
        <v>694</v>
      </c>
      <c r="G500" s="213" t="s">
        <v>3249</v>
      </c>
      <c r="H500" s="115" t="s">
        <v>4864</v>
      </c>
      <c r="I500" s="213">
        <v>23467866.079999998</v>
      </c>
      <c r="J500" s="109">
        <v>0.5</v>
      </c>
      <c r="K500" s="109" t="s">
        <v>696</v>
      </c>
      <c r="L500" s="115">
        <v>0.9050818034</v>
      </c>
      <c r="M500" s="115">
        <v>0</v>
      </c>
      <c r="N500" s="115">
        <v>0</v>
      </c>
      <c r="O500" s="214">
        <v>3.7499999999999999E-2</v>
      </c>
      <c r="P500" s="115">
        <v>4.7264999999999997</v>
      </c>
      <c r="Q500" s="769"/>
      <c r="R500" s="216"/>
      <c r="S500" s="216">
        <v>4.7264999999999997</v>
      </c>
      <c r="T500" s="216">
        <v>26</v>
      </c>
      <c r="U500" s="216"/>
      <c r="V500" s="115"/>
      <c r="W500" s="109"/>
      <c r="X500" s="109"/>
      <c r="Y500" s="109" t="s">
        <v>164</v>
      </c>
      <c r="Z500" s="109">
        <v>13.17289549904276</v>
      </c>
      <c r="AA500" s="109">
        <v>10.71282347512534</v>
      </c>
      <c r="AB500" s="109" t="s">
        <v>4865</v>
      </c>
      <c r="AC500" s="109" t="s">
        <v>4711</v>
      </c>
      <c r="AD500" s="765" t="s">
        <v>3890</v>
      </c>
      <c r="AE500" s="765" t="s">
        <v>7</v>
      </c>
      <c r="AF500" s="765"/>
      <c r="AG500" s="765" t="s">
        <v>1628</v>
      </c>
      <c r="AH500" s="109"/>
      <c r="AI500" s="2" t="s">
        <v>7</v>
      </c>
      <c r="AL500" s="2" t="s">
        <v>680</v>
      </c>
      <c r="AM500" s="2" t="s">
        <v>3423</v>
      </c>
      <c r="AN500" s="2" t="s">
        <v>952</v>
      </c>
      <c r="AO500" s="2">
        <v>0.91834987000000001</v>
      </c>
      <c r="AP500" s="2" t="s">
        <v>4673</v>
      </c>
      <c r="AQ500" s="2" t="s">
        <v>4469</v>
      </c>
      <c r="AR500" s="2" t="s">
        <v>4638</v>
      </c>
      <c r="AT500" s="765"/>
      <c r="AU500" s="765"/>
      <c r="AV500" s="765"/>
      <c r="AW500" s="765"/>
    </row>
    <row r="501" spans="1:49" x14ac:dyDescent="0.25">
      <c r="A501" s="23" t="s">
        <v>5048</v>
      </c>
      <c r="B501" s="108" t="s">
        <v>529</v>
      </c>
      <c r="C501" s="108" t="s">
        <v>3782</v>
      </c>
      <c r="D501" s="108" t="s">
        <v>530</v>
      </c>
      <c r="E501" s="108" t="s">
        <v>5162</v>
      </c>
      <c r="F501" s="114" t="s">
        <v>698</v>
      </c>
      <c r="G501" s="213" t="s">
        <v>5163</v>
      </c>
      <c r="H501" s="115" t="s">
        <v>5164</v>
      </c>
      <c r="I501" s="213">
        <v>12000000</v>
      </c>
      <c r="J501" s="109">
        <v>6.5712900000000003</v>
      </c>
      <c r="K501" s="109" t="s">
        <v>695</v>
      </c>
      <c r="L501" s="115">
        <v>1</v>
      </c>
      <c r="M501" s="115">
        <v>0</v>
      </c>
      <c r="N501" s="115">
        <v>0</v>
      </c>
      <c r="O501" s="214">
        <v>1.2594970000000001</v>
      </c>
      <c r="P501" s="115">
        <v>8.4202999999999992</v>
      </c>
      <c r="Q501" s="769"/>
      <c r="R501" s="216"/>
      <c r="S501" s="216">
        <v>8.4202999999999992</v>
      </c>
      <c r="T501" s="216">
        <v>69</v>
      </c>
      <c r="U501" s="216"/>
      <c r="V501" s="115"/>
      <c r="W501" s="109">
        <v>633</v>
      </c>
      <c r="X501" s="109"/>
      <c r="Y501" s="109" t="s">
        <v>532</v>
      </c>
      <c r="Z501" s="109"/>
      <c r="AA501" s="109"/>
      <c r="AB501" s="109"/>
      <c r="AC501" s="109"/>
      <c r="AD501" s="765"/>
      <c r="AE501" s="765" t="s">
        <v>13</v>
      </c>
      <c r="AF501" s="765" t="s">
        <v>5</v>
      </c>
      <c r="AG501" s="765"/>
      <c r="AH501" s="109"/>
      <c r="AL501" s="2" t="s">
        <v>680</v>
      </c>
      <c r="AM501" s="2" t="s">
        <v>711</v>
      </c>
      <c r="AN501" s="2" t="s">
        <v>952</v>
      </c>
      <c r="AO501" s="2">
        <v>1</v>
      </c>
      <c r="AP501" s="2" t="s">
        <v>4660</v>
      </c>
      <c r="AQ501" s="2" t="s">
        <v>3194</v>
      </c>
      <c r="AR501" s="2" t="s">
        <v>4661</v>
      </c>
      <c r="AT501" s="765"/>
      <c r="AU501" s="765"/>
      <c r="AV501" s="765"/>
      <c r="AW501" s="765"/>
    </row>
    <row r="502" spans="1:49" x14ac:dyDescent="0.25">
      <c r="A502" s="23" t="s">
        <v>3648</v>
      </c>
      <c r="B502" s="108" t="s">
        <v>529</v>
      </c>
      <c r="C502" s="108" t="s">
        <v>3782</v>
      </c>
      <c r="D502" s="108" t="s">
        <v>530</v>
      </c>
      <c r="E502" s="108" t="s">
        <v>3783</v>
      </c>
      <c r="F502" s="114" t="s">
        <v>698</v>
      </c>
      <c r="G502" s="213" t="s">
        <v>3784</v>
      </c>
      <c r="H502" s="115" t="s">
        <v>3785</v>
      </c>
      <c r="I502" s="213">
        <v>24500000</v>
      </c>
      <c r="J502" s="109">
        <v>3.7412899999999998</v>
      </c>
      <c r="K502" s="109" t="s">
        <v>695</v>
      </c>
      <c r="L502" s="115">
        <v>1</v>
      </c>
      <c r="M502" s="115">
        <v>0</v>
      </c>
      <c r="N502" s="115">
        <v>0</v>
      </c>
      <c r="O502" s="214">
        <v>0.71708099999999997</v>
      </c>
      <c r="P502" s="115">
        <v>6.5961999999999996</v>
      </c>
      <c r="Q502" s="769"/>
      <c r="R502" s="216"/>
      <c r="S502" s="216">
        <v>6.5961999999999996</v>
      </c>
      <c r="T502" s="216">
        <v>68</v>
      </c>
      <c r="U502" s="216"/>
      <c r="V502" s="115"/>
      <c r="W502" s="109">
        <v>350</v>
      </c>
      <c r="X502" s="109"/>
      <c r="Y502" s="109" t="s">
        <v>532</v>
      </c>
      <c r="Z502" s="109"/>
      <c r="AA502" s="109"/>
      <c r="AB502" s="109"/>
      <c r="AC502" s="109"/>
      <c r="AD502" s="765"/>
      <c r="AE502" s="765" t="s">
        <v>10</v>
      </c>
      <c r="AF502" s="765"/>
      <c r="AG502" s="765" t="s">
        <v>1901</v>
      </c>
      <c r="AH502" s="109" t="s">
        <v>522</v>
      </c>
      <c r="AL502" s="2" t="s">
        <v>680</v>
      </c>
      <c r="AM502" s="2" t="s">
        <v>711</v>
      </c>
      <c r="AN502" s="2" t="s">
        <v>952</v>
      </c>
      <c r="AO502" s="2">
        <v>1</v>
      </c>
      <c r="AP502" s="2" t="s">
        <v>4665</v>
      </c>
      <c r="AQ502" s="2" t="s">
        <v>3194</v>
      </c>
      <c r="AR502" s="2" t="s">
        <v>4661</v>
      </c>
      <c r="AT502" s="765"/>
      <c r="AU502" s="765"/>
      <c r="AV502" s="765"/>
      <c r="AW502" s="765"/>
    </row>
    <row r="503" spans="1:49" x14ac:dyDescent="0.25">
      <c r="A503" s="23" t="s">
        <v>3653</v>
      </c>
      <c r="B503" s="108" t="s">
        <v>538</v>
      </c>
      <c r="C503" s="108" t="s">
        <v>2915</v>
      </c>
      <c r="D503" s="108" t="s">
        <v>2916</v>
      </c>
      <c r="E503" s="108" t="s">
        <v>2915</v>
      </c>
      <c r="F503" s="114" t="s">
        <v>699</v>
      </c>
      <c r="G503" s="213" t="s">
        <v>3859</v>
      </c>
      <c r="H503" s="115" t="s">
        <v>2925</v>
      </c>
      <c r="I503" s="213">
        <v>300000000</v>
      </c>
      <c r="J503" s="109">
        <v>5.5</v>
      </c>
      <c r="K503" s="109" t="s">
        <v>696</v>
      </c>
      <c r="L503" s="115">
        <v>1</v>
      </c>
      <c r="M503" s="115">
        <v>99.501999999999995</v>
      </c>
      <c r="N503" s="115">
        <v>99.633499999999998</v>
      </c>
      <c r="O503" s="214">
        <v>2.0319440000000002</v>
      </c>
      <c r="P503" s="115"/>
      <c r="Q503" s="769">
        <v>3.5348287130403371</v>
      </c>
      <c r="R503" s="216">
        <v>3.592288033247069</v>
      </c>
      <c r="S503" s="216">
        <v>3.5348287130403371</v>
      </c>
      <c r="T503" s="216">
        <v>132</v>
      </c>
      <c r="U503" s="216">
        <v>5.6346407837355903</v>
      </c>
      <c r="V503" s="115"/>
      <c r="W503" s="109"/>
      <c r="X503" s="109">
        <v>294.56526608795701</v>
      </c>
      <c r="Y503" s="109"/>
      <c r="Z503" s="109"/>
      <c r="AA503" s="109"/>
      <c r="AB503" s="109"/>
      <c r="AC503" s="109"/>
      <c r="AD503" s="765"/>
      <c r="AE503" s="765" t="s">
        <v>10</v>
      </c>
      <c r="AF503" s="765"/>
      <c r="AG503" s="765"/>
      <c r="AH503" s="109"/>
      <c r="AK503" s="2" t="s">
        <v>19</v>
      </c>
      <c r="AL503" s="2" t="s">
        <v>680</v>
      </c>
      <c r="AM503" s="2" t="s">
        <v>2917</v>
      </c>
      <c r="AN503" s="2" t="s">
        <v>952</v>
      </c>
      <c r="AT503" s="765"/>
      <c r="AU503" s="765"/>
      <c r="AV503" s="765"/>
      <c r="AW503" s="765"/>
    </row>
    <row r="504" spans="1:49" x14ac:dyDescent="0.25">
      <c r="A504" s="23" t="s">
        <v>2484</v>
      </c>
      <c r="B504" s="108" t="s">
        <v>540</v>
      </c>
      <c r="C504" s="108" t="s">
        <v>2485</v>
      </c>
      <c r="D504" s="108" t="s">
        <v>2486</v>
      </c>
      <c r="E504" s="108" t="s">
        <v>2485</v>
      </c>
      <c r="F504" s="114" t="s">
        <v>699</v>
      </c>
      <c r="G504" s="213" t="s">
        <v>2487</v>
      </c>
      <c r="H504" s="115" t="s">
        <v>2476</v>
      </c>
      <c r="I504" s="213">
        <v>130000000</v>
      </c>
      <c r="J504" s="109">
        <v>4</v>
      </c>
      <c r="K504" s="109" t="s">
        <v>696</v>
      </c>
      <c r="L504" s="115">
        <v>1</v>
      </c>
      <c r="M504" s="115">
        <v>99.411000000000001</v>
      </c>
      <c r="N504" s="115">
        <v>99.763000000000005</v>
      </c>
      <c r="O504" s="214">
        <v>0.14444399999999999</v>
      </c>
      <c r="P504" s="115"/>
      <c r="Q504" s="769">
        <v>3.2119099514051581</v>
      </c>
      <c r="R504" s="216">
        <v>3.1937114714703809</v>
      </c>
      <c r="S504" s="216">
        <v>3.2119099514051581</v>
      </c>
      <c r="T504" s="216">
        <v>12</v>
      </c>
      <c r="U504" s="216">
        <v>4.1800285525428826</v>
      </c>
      <c r="V504" s="115"/>
      <c r="W504" s="109">
        <v>388.5</v>
      </c>
      <c r="X504" s="109">
        <v>151.4493208863704</v>
      </c>
      <c r="Y504" s="109"/>
      <c r="Z504" s="109"/>
      <c r="AA504" s="109"/>
      <c r="AB504" s="109"/>
      <c r="AC504" s="109"/>
      <c r="AD504" s="765"/>
      <c r="AE504" s="765" t="s">
        <v>10</v>
      </c>
      <c r="AF504" s="765"/>
      <c r="AG504" s="765"/>
      <c r="AH504" s="109"/>
      <c r="AI504" s="2" t="s">
        <v>10</v>
      </c>
      <c r="AL504" s="2" t="s">
        <v>680</v>
      </c>
      <c r="AM504" s="2" t="s">
        <v>812</v>
      </c>
      <c r="AN504" s="2" t="s">
        <v>952</v>
      </c>
      <c r="AT504" s="765"/>
      <c r="AU504" s="765"/>
      <c r="AV504" s="765"/>
      <c r="AW504" s="765"/>
    </row>
    <row r="505" spans="1:49" x14ac:dyDescent="0.25">
      <c r="A505" s="23" t="s">
        <v>5011</v>
      </c>
      <c r="B505" s="108" t="s">
        <v>526</v>
      </c>
      <c r="C505" s="108" t="s">
        <v>2489</v>
      </c>
      <c r="D505" s="108" t="s">
        <v>5165</v>
      </c>
      <c r="E505" s="108" t="s">
        <v>5166</v>
      </c>
      <c r="F505" s="114" t="s">
        <v>698</v>
      </c>
      <c r="G505" s="213" t="s">
        <v>2589</v>
      </c>
      <c r="H505" s="115" t="s">
        <v>2590</v>
      </c>
      <c r="I505" s="213">
        <v>394537981.57999998</v>
      </c>
      <c r="J505" s="109">
        <v>1.2969999999999999</v>
      </c>
      <c r="K505" s="109" t="s">
        <v>695</v>
      </c>
      <c r="L505" s="115">
        <v>0.8495210876</v>
      </c>
      <c r="M505" s="115">
        <v>99.087661999999995</v>
      </c>
      <c r="N505" s="115">
        <v>99.166824000000005</v>
      </c>
      <c r="O505" s="214">
        <v>3.9631E-2</v>
      </c>
      <c r="P505" s="115">
        <v>0.21390000000000001</v>
      </c>
      <c r="Q505" s="769">
        <v>4.9000000000000002E-2</v>
      </c>
      <c r="R505" s="216"/>
      <c r="S505" s="216">
        <v>4.9000000000000002E-2</v>
      </c>
      <c r="T505" s="216">
        <v>11</v>
      </c>
      <c r="U505" s="216">
        <v>5.59</v>
      </c>
      <c r="V505" s="115">
        <v>505.39760132935362</v>
      </c>
      <c r="W505" s="109">
        <v>90</v>
      </c>
      <c r="X505" s="109">
        <v>460.2</v>
      </c>
      <c r="Y505" s="109" t="s">
        <v>531</v>
      </c>
      <c r="Z505" s="109">
        <v>0.73901483467391227</v>
      </c>
      <c r="AA505" s="109">
        <v>0.45553961103673712</v>
      </c>
      <c r="AB505" s="109"/>
      <c r="AC505" s="109"/>
      <c r="AD505" s="765"/>
      <c r="AE505" s="765" t="s">
        <v>7</v>
      </c>
      <c r="AF505" s="765"/>
      <c r="AG505" s="765" t="s">
        <v>1062</v>
      </c>
      <c r="AH505" s="109"/>
      <c r="AI505" s="2" t="s">
        <v>7</v>
      </c>
      <c r="AJ505" s="2" t="s">
        <v>7</v>
      </c>
      <c r="AL505" s="2" t="s">
        <v>680</v>
      </c>
      <c r="AM505" s="2" t="s">
        <v>710</v>
      </c>
      <c r="AN505" s="2" t="s">
        <v>952</v>
      </c>
      <c r="AO505" s="2">
        <v>0.85035799300000003</v>
      </c>
      <c r="AP505" s="2" t="s">
        <v>4660</v>
      </c>
      <c r="AQ505" s="2" t="s">
        <v>4639</v>
      </c>
      <c r="AR505" s="2" t="s">
        <v>4793</v>
      </c>
      <c r="AT505" s="765"/>
      <c r="AU505" s="765"/>
      <c r="AV505" s="765"/>
      <c r="AW505" s="765"/>
    </row>
    <row r="506" spans="1:49" x14ac:dyDescent="0.25">
      <c r="A506" s="23" t="s">
        <v>2488</v>
      </c>
      <c r="B506" s="108" t="s">
        <v>526</v>
      </c>
      <c r="C506" s="108" t="s">
        <v>2489</v>
      </c>
      <c r="D506" s="108" t="s">
        <v>5165</v>
      </c>
      <c r="E506" s="108" t="s">
        <v>2490</v>
      </c>
      <c r="F506" s="114" t="s">
        <v>698</v>
      </c>
      <c r="G506" s="213" t="s">
        <v>2589</v>
      </c>
      <c r="H506" s="115" t="s">
        <v>2590</v>
      </c>
      <c r="I506" s="213">
        <v>98155584.099999994</v>
      </c>
      <c r="J506" s="109">
        <v>1.677</v>
      </c>
      <c r="K506" s="109" t="s">
        <v>695</v>
      </c>
      <c r="L506" s="115">
        <v>0.99984296890000002</v>
      </c>
      <c r="M506" s="115">
        <v>99.239563000000004</v>
      </c>
      <c r="N506" s="115">
        <v>99.318352000000004</v>
      </c>
      <c r="O506" s="214">
        <v>5.1242000000000003E-2</v>
      </c>
      <c r="P506" s="115">
        <v>0.21390000000000001</v>
      </c>
      <c r="Q506" s="769">
        <v>4.9000000000000002E-2</v>
      </c>
      <c r="R506" s="216"/>
      <c r="S506" s="216">
        <v>4.9000000000000002E-2</v>
      </c>
      <c r="T506" s="216">
        <v>11</v>
      </c>
      <c r="U506" s="216">
        <v>5.2629999999999999</v>
      </c>
      <c r="V506" s="115">
        <v>472.70024718999781</v>
      </c>
      <c r="W506" s="109">
        <v>128</v>
      </c>
      <c r="X506" s="109">
        <v>428</v>
      </c>
      <c r="Y506" s="109" t="s">
        <v>1861</v>
      </c>
      <c r="Z506" s="109">
        <v>0.73901483467391227</v>
      </c>
      <c r="AA506" s="109">
        <v>0.45553961103673712</v>
      </c>
      <c r="AB506" s="109"/>
      <c r="AC506" s="109"/>
      <c r="AD506" s="765"/>
      <c r="AE506" s="765" t="s">
        <v>8</v>
      </c>
      <c r="AF506" s="765"/>
      <c r="AG506" s="765" t="s">
        <v>1638</v>
      </c>
      <c r="AH506" s="109"/>
      <c r="AI506" s="2" t="s">
        <v>8</v>
      </c>
      <c r="AJ506" s="2" t="s">
        <v>2545</v>
      </c>
      <c r="AL506" s="2" t="s">
        <v>680</v>
      </c>
      <c r="AM506" s="2" t="s">
        <v>2895</v>
      </c>
      <c r="AN506" s="2" t="s">
        <v>952</v>
      </c>
      <c r="AO506" s="2">
        <v>0.99984296900000003</v>
      </c>
      <c r="AP506" s="2" t="s">
        <v>4660</v>
      </c>
      <c r="AQ506" s="2" t="s">
        <v>4639</v>
      </c>
      <c r="AR506" s="2" t="s">
        <v>4793</v>
      </c>
      <c r="AT506" s="765"/>
      <c r="AU506" s="765"/>
      <c r="AV506" s="765"/>
      <c r="AW506" s="765"/>
    </row>
    <row r="507" spans="1:49" x14ac:dyDescent="0.25">
      <c r="A507" s="23" t="s">
        <v>4017</v>
      </c>
      <c r="B507" s="108" t="s">
        <v>527</v>
      </c>
      <c r="C507" s="108" t="s">
        <v>4018</v>
      </c>
      <c r="D507" s="108" t="s">
        <v>2676</v>
      </c>
      <c r="E507" s="108" t="s">
        <v>4019</v>
      </c>
      <c r="F507" s="114" t="s">
        <v>694</v>
      </c>
      <c r="G507" s="213" t="s">
        <v>4020</v>
      </c>
      <c r="H507" s="115" t="s">
        <v>4021</v>
      </c>
      <c r="I507" s="213">
        <v>43524000</v>
      </c>
      <c r="J507" s="109">
        <v>3.35947</v>
      </c>
      <c r="K507" s="109" t="s">
        <v>696</v>
      </c>
      <c r="L507" s="115">
        <v>1</v>
      </c>
      <c r="M507" s="115">
        <v>70.088454999999996</v>
      </c>
      <c r="N507" s="115">
        <v>70.464911999999998</v>
      </c>
      <c r="O507" s="214">
        <v>0.25196000000000002</v>
      </c>
      <c r="P507" s="115">
        <v>4.1249999999999991</v>
      </c>
      <c r="Q507" s="769">
        <v>3.7429999999999999</v>
      </c>
      <c r="R507" s="216"/>
      <c r="S507" s="216">
        <v>3.7429999999999999</v>
      </c>
      <c r="T507" s="216">
        <v>26</v>
      </c>
      <c r="U507" s="216">
        <v>13.103</v>
      </c>
      <c r="V507" s="115">
        <v>1051.307704041119</v>
      </c>
      <c r="W507" s="109"/>
      <c r="X507" s="109">
        <v>1007.9</v>
      </c>
      <c r="Y507" s="109" t="s">
        <v>1874</v>
      </c>
      <c r="Z507" s="109">
        <v>0</v>
      </c>
      <c r="AA507" s="109">
        <v>0</v>
      </c>
      <c r="AB507" s="109"/>
      <c r="AC507" s="109"/>
      <c r="AD507" s="765"/>
      <c r="AE507" s="765" t="s">
        <v>10</v>
      </c>
      <c r="AF507" s="765"/>
      <c r="AG507" s="765" t="s">
        <v>522</v>
      </c>
      <c r="AH507" s="109" t="s">
        <v>13</v>
      </c>
      <c r="AI507" s="2" t="s">
        <v>20</v>
      </c>
      <c r="AL507" s="2" t="s">
        <v>680</v>
      </c>
      <c r="AM507" s="2" t="s">
        <v>1885</v>
      </c>
      <c r="AN507" s="2" t="s">
        <v>952</v>
      </c>
      <c r="AO507" s="2">
        <v>1</v>
      </c>
      <c r="AP507" s="2" t="s">
        <v>4673</v>
      </c>
      <c r="AQ507" s="2" t="s">
        <v>4396</v>
      </c>
      <c r="AR507" s="2" t="s">
        <v>4671</v>
      </c>
      <c r="AT507" s="765"/>
      <c r="AU507" s="765"/>
      <c r="AV507" s="765"/>
      <c r="AW507" s="765"/>
    </row>
    <row r="508" spans="1:49" x14ac:dyDescent="0.25">
      <c r="A508" s="23" t="s">
        <v>3408</v>
      </c>
      <c r="B508" s="108" t="s">
        <v>528</v>
      </c>
      <c r="C508" s="108" t="s">
        <v>1969</v>
      </c>
      <c r="D508" s="108" t="s">
        <v>3994</v>
      </c>
      <c r="E508" s="108" t="s">
        <v>3409</v>
      </c>
      <c r="F508" s="114" t="s">
        <v>694</v>
      </c>
      <c r="G508" s="213" t="s">
        <v>1115</v>
      </c>
      <c r="H508" s="115" t="s">
        <v>3410</v>
      </c>
      <c r="I508" s="213">
        <v>6052868.7199999997</v>
      </c>
      <c r="J508" s="109">
        <v>3.0495030000000001</v>
      </c>
      <c r="K508" s="109" t="s">
        <v>695</v>
      </c>
      <c r="L508" s="115">
        <v>0.94857682489999995</v>
      </c>
      <c r="M508" s="115">
        <v>96.101012999999995</v>
      </c>
      <c r="N508" s="115">
        <v>96.219436999999999</v>
      </c>
      <c r="O508" s="214">
        <v>0.228713</v>
      </c>
      <c r="P508" s="115">
        <v>3.5183</v>
      </c>
      <c r="Q508" s="769">
        <v>2.9668156682100002</v>
      </c>
      <c r="R508" s="216"/>
      <c r="S508" s="216">
        <v>2.9668156682100002</v>
      </c>
      <c r="T508" s="216">
        <v>27</v>
      </c>
      <c r="U508" s="216">
        <v>4.2309999999999999</v>
      </c>
      <c r="V508" s="115">
        <v>164.14293475106999</v>
      </c>
      <c r="W508" s="109"/>
      <c r="X508" s="109">
        <v>207.21727956885999</v>
      </c>
      <c r="Y508" s="109" t="s">
        <v>1874</v>
      </c>
      <c r="Z508" s="109">
        <v>37.696517797544892</v>
      </c>
      <c r="AA508" s="109">
        <v>38.442537369653962</v>
      </c>
      <c r="AB508" s="109" t="s">
        <v>3837</v>
      </c>
      <c r="AC508" s="109" t="s">
        <v>3226</v>
      </c>
      <c r="AD508" s="765" t="s">
        <v>4488</v>
      </c>
      <c r="AE508" s="765" t="s">
        <v>9</v>
      </c>
      <c r="AF508" s="765"/>
      <c r="AG508" s="765" t="s">
        <v>522</v>
      </c>
      <c r="AH508" s="109" t="s">
        <v>9</v>
      </c>
      <c r="AI508" s="2" t="s">
        <v>13</v>
      </c>
      <c r="AL508" s="2" t="s">
        <v>680</v>
      </c>
      <c r="AM508" s="2" t="s">
        <v>709</v>
      </c>
      <c r="AN508" s="2" t="s">
        <v>952</v>
      </c>
      <c r="AO508" s="2">
        <v>0.94953140899999999</v>
      </c>
      <c r="AP508" s="2" t="s">
        <v>4673</v>
      </c>
      <c r="AQ508" s="2" t="s">
        <v>4469</v>
      </c>
      <c r="AR508" s="2" t="s">
        <v>4638</v>
      </c>
      <c r="AT508" s="765"/>
      <c r="AU508" s="765"/>
      <c r="AV508" s="765"/>
      <c r="AW508" s="765"/>
    </row>
    <row r="509" spans="1:49" x14ac:dyDescent="0.25">
      <c r="A509" s="23" t="s">
        <v>3879</v>
      </c>
      <c r="B509" s="108" t="s">
        <v>528</v>
      </c>
      <c r="C509" s="108" t="s">
        <v>1969</v>
      </c>
      <c r="D509" s="108" t="s">
        <v>1922</v>
      </c>
      <c r="E509" s="108" t="s">
        <v>3902</v>
      </c>
      <c r="F509" s="114" t="s">
        <v>694</v>
      </c>
      <c r="G509" s="213" t="s">
        <v>2023</v>
      </c>
      <c r="H509" s="115" t="s">
        <v>3903</v>
      </c>
      <c r="I509" s="213">
        <v>2865384.87</v>
      </c>
      <c r="J509" s="109">
        <v>4</v>
      </c>
      <c r="K509" s="109" t="s">
        <v>696</v>
      </c>
      <c r="L509" s="115">
        <v>7.5033645900000001E-2</v>
      </c>
      <c r="M509" s="115">
        <v>100.276161</v>
      </c>
      <c r="N509" s="115">
        <v>100.300194</v>
      </c>
      <c r="O509" s="214">
        <v>0.3</v>
      </c>
      <c r="P509" s="115">
        <v>0.80789999999999995</v>
      </c>
      <c r="Q509" s="769">
        <v>2.4873457710000002</v>
      </c>
      <c r="R509" s="216"/>
      <c r="S509" s="216">
        <v>2.4873457710000002</v>
      </c>
      <c r="T509" s="216">
        <v>27</v>
      </c>
      <c r="U509" s="216">
        <v>3.6819999999999999</v>
      </c>
      <c r="V509" s="115">
        <v>191.10542720814999</v>
      </c>
      <c r="W509" s="109"/>
      <c r="X509" s="109">
        <v>75.815666411020004</v>
      </c>
      <c r="Y509" s="109" t="s">
        <v>2039</v>
      </c>
      <c r="Z509" s="109">
        <v>21.18325117180985</v>
      </c>
      <c r="AA509" s="109">
        <v>41.137618402694862</v>
      </c>
      <c r="AB509" s="109" t="s">
        <v>3511</v>
      </c>
      <c r="AC509" s="109" t="s">
        <v>1802</v>
      </c>
      <c r="AD509" s="765" t="s">
        <v>252</v>
      </c>
      <c r="AE509" s="765" t="s">
        <v>7</v>
      </c>
      <c r="AF509" s="765"/>
      <c r="AG509" s="765" t="s">
        <v>1062</v>
      </c>
      <c r="AH509" s="109"/>
      <c r="AJ509" s="2" t="s">
        <v>7</v>
      </c>
      <c r="AL509" s="2" t="s">
        <v>680</v>
      </c>
      <c r="AM509" s="2" t="s">
        <v>709</v>
      </c>
      <c r="AN509" s="2" t="s">
        <v>952</v>
      </c>
      <c r="AO509" s="2">
        <v>7.7859539000000005E-2</v>
      </c>
      <c r="AP509" s="2" t="s">
        <v>4673</v>
      </c>
      <c r="AQ509" s="2" t="s">
        <v>4469</v>
      </c>
      <c r="AR509" s="2" t="s">
        <v>4638</v>
      </c>
      <c r="AT509" s="765"/>
      <c r="AU509" s="765"/>
      <c r="AV509" s="765"/>
      <c r="AW509" s="765"/>
    </row>
    <row r="510" spans="1:49" x14ac:dyDescent="0.25">
      <c r="A510" s="23" t="s">
        <v>2414</v>
      </c>
      <c r="B510" s="108" t="s">
        <v>684</v>
      </c>
      <c r="C510" s="108" t="s">
        <v>2415</v>
      </c>
      <c r="D510" s="108" t="s">
        <v>1904</v>
      </c>
      <c r="E510" s="108" t="s">
        <v>2416</v>
      </c>
      <c r="F510" s="114" t="s">
        <v>694</v>
      </c>
      <c r="G510" s="213" t="s">
        <v>2591</v>
      </c>
      <c r="H510" s="115" t="s">
        <v>2417</v>
      </c>
      <c r="I510" s="213">
        <v>88750102.040000007</v>
      </c>
      <c r="J510" s="109">
        <v>2.7065700000000001</v>
      </c>
      <c r="K510" s="109" t="s">
        <v>695</v>
      </c>
      <c r="L510" s="115">
        <v>0.60300381869999997</v>
      </c>
      <c r="M510" s="115">
        <v>0</v>
      </c>
      <c r="N510" s="115">
        <v>0</v>
      </c>
      <c r="O510" s="214">
        <v>2.2554999999999999E-2</v>
      </c>
      <c r="P510" s="115">
        <v>2.6211000000000002</v>
      </c>
      <c r="Q510" s="769"/>
      <c r="R510" s="216"/>
      <c r="S510" s="216">
        <v>2.6211000000000002</v>
      </c>
      <c r="T510" s="216">
        <v>3</v>
      </c>
      <c r="U510" s="216"/>
      <c r="V510" s="115"/>
      <c r="W510" s="109">
        <v>225</v>
      </c>
      <c r="X510" s="109"/>
      <c r="Y510" s="109" t="s">
        <v>532</v>
      </c>
      <c r="Z510" s="109">
        <v>20.393120969341851</v>
      </c>
      <c r="AA510" s="109">
        <v>22.87420595878017</v>
      </c>
      <c r="AB510" s="109" t="s">
        <v>2809</v>
      </c>
      <c r="AC510" s="109" t="s">
        <v>254</v>
      </c>
      <c r="AD510" s="765" t="s">
        <v>2810</v>
      </c>
      <c r="AE510" s="765" t="s">
        <v>8</v>
      </c>
      <c r="AF510" s="765"/>
      <c r="AG510" s="765"/>
      <c r="AH510" s="109" t="s">
        <v>8</v>
      </c>
      <c r="AL510" s="2" t="s">
        <v>680</v>
      </c>
      <c r="AM510" s="2" t="s">
        <v>2907</v>
      </c>
      <c r="AN510" s="2" t="s">
        <v>952</v>
      </c>
      <c r="AO510" s="2">
        <v>0.61848537800000003</v>
      </c>
      <c r="AP510" s="2" t="s">
        <v>4666</v>
      </c>
      <c r="AQ510" s="2" t="s">
        <v>4469</v>
      </c>
      <c r="AR510" s="2" t="s">
        <v>4638</v>
      </c>
      <c r="AT510" s="765"/>
      <c r="AU510" s="765"/>
      <c r="AV510" s="765"/>
      <c r="AW510" s="765"/>
    </row>
    <row r="511" spans="1:49" x14ac:dyDescent="0.25">
      <c r="A511" s="23" t="s">
        <v>2114</v>
      </c>
      <c r="B511" s="108" t="s">
        <v>528</v>
      </c>
      <c r="C511" s="108" t="s">
        <v>1969</v>
      </c>
      <c r="D511" s="108" t="s">
        <v>1922</v>
      </c>
      <c r="E511" s="108" t="s">
        <v>2115</v>
      </c>
      <c r="F511" s="114" t="s">
        <v>694</v>
      </c>
      <c r="G511" s="213" t="s">
        <v>2116</v>
      </c>
      <c r="H511" s="115" t="s">
        <v>2117</v>
      </c>
      <c r="I511" s="213">
        <v>9697114.6799999997</v>
      </c>
      <c r="J511" s="109">
        <v>4.4144909999999999</v>
      </c>
      <c r="K511" s="109" t="s">
        <v>696</v>
      </c>
      <c r="L511" s="115">
        <v>0.96049075669999995</v>
      </c>
      <c r="M511" s="115">
        <v>97.992393000000007</v>
      </c>
      <c r="N511" s="115">
        <v>98.183314999999993</v>
      </c>
      <c r="O511" s="214">
        <v>0.33108700000000002</v>
      </c>
      <c r="P511" s="115">
        <v>4.9455999999999998</v>
      </c>
      <c r="Q511" s="769">
        <v>7.4012568894899999</v>
      </c>
      <c r="R511" s="216"/>
      <c r="S511" s="216">
        <v>7.4012568894899999</v>
      </c>
      <c r="T511" s="216">
        <v>26</v>
      </c>
      <c r="U511" s="216">
        <v>4.7140000000000004</v>
      </c>
      <c r="V511" s="115">
        <v>211.41457245250001</v>
      </c>
      <c r="W511" s="109"/>
      <c r="X511" s="109">
        <v>153.53114740138</v>
      </c>
      <c r="Y511" s="109" t="s">
        <v>2118</v>
      </c>
      <c r="Z511" s="109">
        <v>30.38434745660102</v>
      </c>
      <c r="AA511" s="109">
        <v>43.017890581248167</v>
      </c>
      <c r="AB511" s="109" t="s">
        <v>2935</v>
      </c>
      <c r="AC511" s="109" t="s">
        <v>1404</v>
      </c>
      <c r="AD511" s="765" t="s">
        <v>1589</v>
      </c>
      <c r="AE511" s="765" t="s">
        <v>8</v>
      </c>
      <c r="AF511" s="765"/>
      <c r="AG511" s="765" t="s">
        <v>1063</v>
      </c>
      <c r="AH511" s="109"/>
      <c r="AJ511" s="2" t="s">
        <v>9</v>
      </c>
      <c r="AL511" s="2" t="s">
        <v>680</v>
      </c>
      <c r="AM511" s="2" t="s">
        <v>709</v>
      </c>
      <c r="AN511" s="2" t="s">
        <v>952</v>
      </c>
      <c r="AO511" s="2">
        <v>0.96203994800000003</v>
      </c>
      <c r="AP511" s="2" t="s">
        <v>4673</v>
      </c>
      <c r="AQ511" s="2" t="s">
        <v>4469</v>
      </c>
      <c r="AR511" s="2" t="s">
        <v>4638</v>
      </c>
      <c r="AT511" s="765"/>
      <c r="AU511" s="765"/>
      <c r="AV511" s="765"/>
      <c r="AW511" s="765"/>
    </row>
    <row r="512" spans="1:49" x14ac:dyDescent="0.25">
      <c r="A512" s="23" t="s">
        <v>1968</v>
      </c>
      <c r="B512" s="108" t="s">
        <v>528</v>
      </c>
      <c r="C512" s="108" t="s">
        <v>1969</v>
      </c>
      <c r="D512" s="108" t="s">
        <v>869</v>
      </c>
      <c r="E512" s="108" t="s">
        <v>1970</v>
      </c>
      <c r="F512" s="114" t="s">
        <v>694</v>
      </c>
      <c r="G512" s="213" t="s">
        <v>1797</v>
      </c>
      <c r="H512" s="115" t="s">
        <v>1979</v>
      </c>
      <c r="I512" s="213">
        <v>9485442.7300000004</v>
      </c>
      <c r="J512" s="109">
        <v>3.492893</v>
      </c>
      <c r="K512" s="109" t="s">
        <v>696</v>
      </c>
      <c r="L512" s="115">
        <v>0.96406573129999995</v>
      </c>
      <c r="M512" s="115">
        <v>91.058837999999994</v>
      </c>
      <c r="N512" s="115">
        <v>91.221474000000001</v>
      </c>
      <c r="O512" s="214">
        <v>0.26196700000000001</v>
      </c>
      <c r="P512" s="115">
        <v>3.2014</v>
      </c>
      <c r="Q512" s="769">
        <v>8.1060900552799993</v>
      </c>
      <c r="R512" s="216"/>
      <c r="S512" s="216">
        <v>8.1060900552799993</v>
      </c>
      <c r="T512" s="216">
        <v>26</v>
      </c>
      <c r="U512" s="216">
        <v>6.5540000000000003</v>
      </c>
      <c r="V512" s="115">
        <v>396.71804216200002</v>
      </c>
      <c r="W512" s="109"/>
      <c r="X512" s="109">
        <v>155.78718573450001</v>
      </c>
      <c r="Y512" s="109" t="s">
        <v>1874</v>
      </c>
      <c r="Z512" s="109">
        <v>43.251411938550447</v>
      </c>
      <c r="AA512" s="109">
        <v>40.096144304710883</v>
      </c>
      <c r="AB512" s="109" t="s">
        <v>2419</v>
      </c>
      <c r="AC512" s="109" t="s">
        <v>1565</v>
      </c>
      <c r="AD512" s="765" t="s">
        <v>4479</v>
      </c>
      <c r="AE512" s="765" t="s">
        <v>9</v>
      </c>
      <c r="AF512" s="765"/>
      <c r="AG512" s="765" t="s">
        <v>1598</v>
      </c>
      <c r="AH512" s="109"/>
      <c r="AJ512" s="2" t="s">
        <v>10</v>
      </c>
      <c r="AL512" s="2" t="s">
        <v>680</v>
      </c>
      <c r="AM512" s="2" t="s">
        <v>709</v>
      </c>
      <c r="AN512" s="2" t="s">
        <v>952</v>
      </c>
      <c r="AO512" s="2">
        <v>0.965626718</v>
      </c>
      <c r="AP512" s="2" t="s">
        <v>4673</v>
      </c>
      <c r="AQ512" s="2" t="s">
        <v>4469</v>
      </c>
      <c r="AR512" s="2" t="s">
        <v>4638</v>
      </c>
      <c r="AT512" s="765"/>
      <c r="AU512" s="765"/>
      <c r="AV512" s="765"/>
      <c r="AW512" s="765"/>
    </row>
    <row r="513" spans="1:49" x14ac:dyDescent="0.25">
      <c r="A513" s="23" t="s">
        <v>1839</v>
      </c>
      <c r="B513" s="108" t="s">
        <v>529</v>
      </c>
      <c r="C513" s="108" t="s">
        <v>1840</v>
      </c>
      <c r="D513" s="108" t="s">
        <v>530</v>
      </c>
      <c r="E513" s="108" t="s">
        <v>1841</v>
      </c>
      <c r="F513" s="114" t="s">
        <v>698</v>
      </c>
      <c r="G513" s="213" t="s">
        <v>1842</v>
      </c>
      <c r="H513" s="115" t="s">
        <v>1843</v>
      </c>
      <c r="I513" s="213">
        <v>15000000</v>
      </c>
      <c r="J513" s="109">
        <v>3.3540000000000001</v>
      </c>
      <c r="K513" s="109" t="s">
        <v>695</v>
      </c>
      <c r="L513" s="115">
        <v>1</v>
      </c>
      <c r="M513" s="115">
        <v>0</v>
      </c>
      <c r="N513" s="115">
        <v>0</v>
      </c>
      <c r="O513" s="214">
        <v>0.62421700000000002</v>
      </c>
      <c r="P513" s="115">
        <v>3.1861999999999999</v>
      </c>
      <c r="Q513" s="769"/>
      <c r="R513" s="216"/>
      <c r="S513" s="216">
        <v>3.1861999999999999</v>
      </c>
      <c r="T513" s="216">
        <v>67</v>
      </c>
      <c r="U513" s="216"/>
      <c r="V513" s="115"/>
      <c r="W513" s="109">
        <v>310</v>
      </c>
      <c r="X513" s="109"/>
      <c r="Y513" s="109" t="s">
        <v>993</v>
      </c>
      <c r="Z513" s="109"/>
      <c r="AA513" s="109"/>
      <c r="AB513" s="109"/>
      <c r="AC513" s="109"/>
      <c r="AD513" s="765"/>
      <c r="AE513" s="765" t="s">
        <v>9</v>
      </c>
      <c r="AF513" s="765" t="s">
        <v>9</v>
      </c>
      <c r="AG513" s="765" t="s">
        <v>522</v>
      </c>
      <c r="AH513" s="109"/>
      <c r="AL513" s="2" t="s">
        <v>680</v>
      </c>
      <c r="AM513" s="2" t="s">
        <v>711</v>
      </c>
      <c r="AN513" s="2" t="s">
        <v>952</v>
      </c>
      <c r="AO513" s="2">
        <v>1</v>
      </c>
      <c r="AP513" s="2" t="s">
        <v>4730</v>
      </c>
      <c r="AQ513" s="2" t="s">
        <v>3404</v>
      </c>
      <c r="AR513" s="2" t="s">
        <v>3969</v>
      </c>
      <c r="AT513" s="765"/>
      <c r="AU513" s="765"/>
      <c r="AV513" s="765"/>
      <c r="AW513" s="765"/>
    </row>
    <row r="514" spans="1:49" x14ac:dyDescent="0.25">
      <c r="A514" s="23" t="s">
        <v>3635</v>
      </c>
      <c r="B514" s="108" t="s">
        <v>527</v>
      </c>
      <c r="C514" s="108" t="s">
        <v>3786</v>
      </c>
      <c r="D514" s="108" t="s">
        <v>3787</v>
      </c>
      <c r="E514" s="108" t="s">
        <v>3788</v>
      </c>
      <c r="F514" s="114" t="s">
        <v>694</v>
      </c>
      <c r="G514" s="1077" t="s">
        <v>1120</v>
      </c>
      <c r="H514" s="115" t="s">
        <v>3789</v>
      </c>
      <c r="I514" s="213">
        <v>55280000</v>
      </c>
      <c r="J514" s="109">
        <v>5.2696880000000004</v>
      </c>
      <c r="K514" s="109" t="s">
        <v>696</v>
      </c>
      <c r="L514" s="115">
        <v>1</v>
      </c>
      <c r="M514" s="115">
        <v>76.064414999999997</v>
      </c>
      <c r="N514" s="115">
        <v>76.186381999999995</v>
      </c>
      <c r="O514" s="214">
        <v>0.39522699999999999</v>
      </c>
      <c r="P514" s="115">
        <v>0.1023</v>
      </c>
      <c r="Q514" s="769">
        <v>0.129</v>
      </c>
      <c r="R514" s="216"/>
      <c r="S514" s="216">
        <v>0.129</v>
      </c>
      <c r="T514" s="216">
        <v>27</v>
      </c>
      <c r="U514" s="216">
        <v>591.26499999999999</v>
      </c>
      <c r="V514" s="115">
        <v>59072.855460758561</v>
      </c>
      <c r="W514" s="109"/>
      <c r="X514" s="109">
        <v>37357.9</v>
      </c>
      <c r="Y514" s="109" t="s">
        <v>1874</v>
      </c>
      <c r="Z514" s="109">
        <v>19.613480576426461</v>
      </c>
      <c r="AA514" s="109">
        <v>62.478821820389157</v>
      </c>
      <c r="AB514" s="109"/>
      <c r="AC514" s="109"/>
      <c r="AD514" s="765"/>
      <c r="AE514" s="765" t="s">
        <v>13</v>
      </c>
      <c r="AF514" s="765"/>
      <c r="AG514" s="765" t="s">
        <v>3790</v>
      </c>
      <c r="AH514" s="109" t="s">
        <v>13</v>
      </c>
      <c r="AL514" s="2" t="s">
        <v>680</v>
      </c>
      <c r="AM514" s="2" t="s">
        <v>1885</v>
      </c>
      <c r="AN514" s="2" t="s">
        <v>952</v>
      </c>
      <c r="AO514" s="2">
        <v>1</v>
      </c>
      <c r="AP514" s="2" t="s">
        <v>4673</v>
      </c>
      <c r="AQ514" s="2" t="s">
        <v>4396</v>
      </c>
      <c r="AR514" s="2" t="s">
        <v>4671</v>
      </c>
      <c r="AT514" s="765"/>
      <c r="AU514" s="765"/>
      <c r="AV514" s="765"/>
      <c r="AW514" s="765"/>
    </row>
    <row r="515" spans="1:49" x14ac:dyDescent="0.25">
      <c r="A515" s="23" t="s">
        <v>4616</v>
      </c>
      <c r="B515" s="108" t="s">
        <v>526</v>
      </c>
      <c r="C515" s="108" t="s">
        <v>4751</v>
      </c>
      <c r="D515" s="108" t="s">
        <v>2098</v>
      </c>
      <c r="E515" s="108" t="s">
        <v>4752</v>
      </c>
      <c r="F515" s="114" t="s">
        <v>698</v>
      </c>
      <c r="G515" s="213" t="s">
        <v>4753</v>
      </c>
      <c r="H515" s="115" t="s">
        <v>4754</v>
      </c>
      <c r="I515" s="213">
        <v>550000000</v>
      </c>
      <c r="J515" s="109">
        <v>4.1360000000000001</v>
      </c>
      <c r="K515" s="109" t="s">
        <v>696</v>
      </c>
      <c r="L515" s="115">
        <v>1</v>
      </c>
      <c r="M515" s="115">
        <v>92.984215000000006</v>
      </c>
      <c r="N515" s="115">
        <v>93.162032999999994</v>
      </c>
      <c r="O515" s="214">
        <v>0.53997799999999996</v>
      </c>
      <c r="P515" s="115">
        <v>5.5578000000000003</v>
      </c>
      <c r="Q515" s="769">
        <v>7.1906762025999997</v>
      </c>
      <c r="R515" s="216"/>
      <c r="S515" s="216">
        <v>7.1906762025999997</v>
      </c>
      <c r="T515" s="216">
        <v>46</v>
      </c>
      <c r="U515" s="216">
        <v>5.1669999999999998</v>
      </c>
      <c r="V515" s="115">
        <v>310.43273105395002</v>
      </c>
      <c r="W515" s="109"/>
      <c r="X515" s="109">
        <v>257.35244796452002</v>
      </c>
      <c r="Y515" s="109" t="s">
        <v>662</v>
      </c>
      <c r="Z515" s="109"/>
      <c r="AA515" s="109"/>
      <c r="AB515" s="109"/>
      <c r="AC515" s="109"/>
      <c r="AD515" s="765"/>
      <c r="AE515" s="765" t="s">
        <v>10</v>
      </c>
      <c r="AF515" s="765" t="s">
        <v>10</v>
      </c>
      <c r="AG515" s="765"/>
      <c r="AH515" s="109"/>
      <c r="AI515" s="2" t="s">
        <v>10</v>
      </c>
      <c r="AL515" s="2" t="s">
        <v>680</v>
      </c>
      <c r="AM515" s="2" t="s">
        <v>2897</v>
      </c>
      <c r="AN515" s="2" t="s">
        <v>952</v>
      </c>
      <c r="AO515" s="2">
        <v>1</v>
      </c>
      <c r="AP515" s="2" t="s">
        <v>4755</v>
      </c>
      <c r="AQ515" s="2" t="s">
        <v>3995</v>
      </c>
      <c r="AR515" s="2" t="s">
        <v>4756</v>
      </c>
      <c r="AT515" s="765"/>
      <c r="AU515" s="765"/>
      <c r="AV515" s="765"/>
      <c r="AW515" s="765"/>
    </row>
    <row r="516" spans="1:49" x14ac:dyDescent="0.25">
      <c r="A516" s="23" t="s">
        <v>5016</v>
      </c>
      <c r="B516" s="108" t="s">
        <v>527</v>
      </c>
      <c r="C516" s="108" t="s">
        <v>1624</v>
      </c>
      <c r="D516" s="108" t="s">
        <v>2862</v>
      </c>
      <c r="E516" s="108" t="s">
        <v>5167</v>
      </c>
      <c r="F516" s="114" t="s">
        <v>694</v>
      </c>
      <c r="G516" s="213" t="s">
        <v>1818</v>
      </c>
      <c r="H516" s="115" t="s">
        <v>5168</v>
      </c>
      <c r="I516" s="213">
        <v>81046000</v>
      </c>
      <c r="J516" s="109">
        <v>3.885046</v>
      </c>
      <c r="K516" s="109" t="s">
        <v>696</v>
      </c>
      <c r="L516" s="115">
        <v>1</v>
      </c>
      <c r="M516" s="115">
        <v>70.799308999999994</v>
      </c>
      <c r="N516" s="115">
        <v>71.033043000000006</v>
      </c>
      <c r="O516" s="214">
        <v>0.29137800000000003</v>
      </c>
      <c r="P516" s="115">
        <v>2.5417000000000001</v>
      </c>
      <c r="Q516" s="769">
        <v>2.3730000000000002</v>
      </c>
      <c r="R516" s="216"/>
      <c r="S516" s="216">
        <v>2.3730000000000002</v>
      </c>
      <c r="T516" s="216">
        <v>26</v>
      </c>
      <c r="U516" s="216">
        <v>19.047000000000001</v>
      </c>
      <c r="V516" s="115">
        <v>1656.4315175074389</v>
      </c>
      <c r="W516" s="109"/>
      <c r="X516" s="109">
        <v>1603</v>
      </c>
      <c r="Y516" s="109" t="s">
        <v>1874</v>
      </c>
      <c r="Z516" s="109">
        <v>0</v>
      </c>
      <c r="AA516" s="109">
        <v>0</v>
      </c>
      <c r="AB516" s="109"/>
      <c r="AC516" s="109"/>
      <c r="AD516" s="765"/>
      <c r="AE516" s="765" t="s">
        <v>13</v>
      </c>
      <c r="AF516" s="765"/>
      <c r="AG516" s="765" t="s">
        <v>522</v>
      </c>
      <c r="AH516" s="109" t="s">
        <v>22</v>
      </c>
      <c r="AI516" s="2" t="s">
        <v>21</v>
      </c>
      <c r="AL516" s="2" t="s">
        <v>680</v>
      </c>
      <c r="AM516" s="2" t="s">
        <v>1921</v>
      </c>
      <c r="AN516" s="2" t="s">
        <v>952</v>
      </c>
      <c r="AO516" s="2">
        <v>1</v>
      </c>
      <c r="AP516" s="2" t="s">
        <v>4673</v>
      </c>
      <c r="AQ516" s="2" t="s">
        <v>4396</v>
      </c>
      <c r="AR516" s="2" t="s">
        <v>4671</v>
      </c>
      <c r="AT516" s="765"/>
      <c r="AU516" s="765"/>
      <c r="AV516" s="765"/>
      <c r="AW516" s="765"/>
    </row>
    <row r="517" spans="1:49" x14ac:dyDescent="0.25">
      <c r="A517" s="23" t="s">
        <v>2811</v>
      </c>
      <c r="B517" s="108" t="s">
        <v>527</v>
      </c>
      <c r="C517" s="108" t="s">
        <v>1624</v>
      </c>
      <c r="D517" s="108" t="s">
        <v>2821</v>
      </c>
      <c r="E517" s="108" t="s">
        <v>2812</v>
      </c>
      <c r="F517" s="114" t="s">
        <v>694</v>
      </c>
      <c r="G517" s="213" t="s">
        <v>1152</v>
      </c>
      <c r="H517" s="115" t="s">
        <v>2813</v>
      </c>
      <c r="I517" s="213">
        <v>371704545.72000003</v>
      </c>
      <c r="J517" s="109">
        <v>0.602657</v>
      </c>
      <c r="K517" s="109" t="s">
        <v>696</v>
      </c>
      <c r="L517" s="115">
        <v>0.49354239570000003</v>
      </c>
      <c r="M517" s="115">
        <v>1.5443789999999999</v>
      </c>
      <c r="N517" s="115">
        <v>1.544902</v>
      </c>
      <c r="O517" s="214">
        <v>4.5199000000000003E-2</v>
      </c>
      <c r="P517" s="115">
        <v>2.6648999999999998</v>
      </c>
      <c r="Q517" s="769">
        <v>1.3879999999999999</v>
      </c>
      <c r="R517" s="216"/>
      <c r="S517" s="216">
        <v>1.3879999999999999</v>
      </c>
      <c r="T517" s="216">
        <v>27</v>
      </c>
      <c r="U517" s="216">
        <v>5.19</v>
      </c>
      <c r="V517" s="115">
        <v>267.84155229344208</v>
      </c>
      <c r="W517" s="109"/>
      <c r="X517" s="109">
        <v>789.9</v>
      </c>
      <c r="Y517" s="109" t="s">
        <v>727</v>
      </c>
      <c r="Z517" s="109">
        <v>0</v>
      </c>
      <c r="AA517" s="109">
        <v>7.2329136499598494</v>
      </c>
      <c r="AB517" s="109"/>
      <c r="AC517" s="109"/>
      <c r="AD517" s="765"/>
      <c r="AE517" s="765" t="s">
        <v>7</v>
      </c>
      <c r="AF517" s="765"/>
      <c r="AG517" s="765" t="s">
        <v>1628</v>
      </c>
      <c r="AH517" s="109" t="s">
        <v>7</v>
      </c>
      <c r="AJ517" s="2" t="s">
        <v>7</v>
      </c>
      <c r="AL517" s="2" t="s">
        <v>680</v>
      </c>
      <c r="AM517" s="2" t="s">
        <v>2865</v>
      </c>
      <c r="AN517" s="2" t="s">
        <v>952</v>
      </c>
      <c r="AO517" s="2">
        <v>0.49514120700000003</v>
      </c>
      <c r="AP517" s="2" t="s">
        <v>4673</v>
      </c>
      <c r="AQ517" s="2" t="s">
        <v>4396</v>
      </c>
      <c r="AR517" s="2" t="s">
        <v>4671</v>
      </c>
      <c r="AT517" s="765"/>
      <c r="AU517" s="765"/>
      <c r="AV517" s="765"/>
      <c r="AW517" s="765"/>
    </row>
    <row r="518" spans="1:49" x14ac:dyDescent="0.25">
      <c r="A518" s="23" t="s">
        <v>1623</v>
      </c>
      <c r="B518" s="108" t="s">
        <v>527</v>
      </c>
      <c r="C518" s="108" t="s">
        <v>1624</v>
      </c>
      <c r="D518" s="108" t="s">
        <v>1871</v>
      </c>
      <c r="E518" s="108" t="s">
        <v>1626</v>
      </c>
      <c r="F518" s="114" t="s">
        <v>694</v>
      </c>
      <c r="G518" s="213" t="s">
        <v>1252</v>
      </c>
      <c r="H518" s="115" t="s">
        <v>1627</v>
      </c>
      <c r="I518" s="213">
        <v>803943800.26999998</v>
      </c>
      <c r="J518" s="109">
        <v>0.49145499999999998</v>
      </c>
      <c r="K518" s="109" t="s">
        <v>696</v>
      </c>
      <c r="L518" s="115">
        <v>0.78162831200000005</v>
      </c>
      <c r="M518" s="115">
        <v>1.296505</v>
      </c>
      <c r="N518" s="115">
        <v>1.2969550000000001</v>
      </c>
      <c r="O518" s="214">
        <v>3.6859000000000003E-2</v>
      </c>
      <c r="P518" s="115">
        <v>3.0482</v>
      </c>
      <c r="Q518" s="769">
        <v>1.45</v>
      </c>
      <c r="R518" s="216"/>
      <c r="S518" s="216">
        <v>1.45</v>
      </c>
      <c r="T518" s="216">
        <v>27</v>
      </c>
      <c r="U518" s="216">
        <v>13.974</v>
      </c>
      <c r="V518" s="115">
        <v>1139.105211354595</v>
      </c>
      <c r="W518" s="109"/>
      <c r="X518" s="109">
        <v>1212.0999999999999</v>
      </c>
      <c r="Y518" s="109" t="s">
        <v>727</v>
      </c>
      <c r="Z518" s="109">
        <v>0</v>
      </c>
      <c r="AA518" s="109">
        <v>2.4256250445064298</v>
      </c>
      <c r="AB518" s="109"/>
      <c r="AC518" s="109"/>
      <c r="AD518" s="765"/>
      <c r="AE518" s="765" t="s">
        <v>7</v>
      </c>
      <c r="AF518" s="765"/>
      <c r="AG518" s="765" t="s">
        <v>1628</v>
      </c>
      <c r="AH518" s="109"/>
      <c r="AI518" s="2" t="s">
        <v>7</v>
      </c>
      <c r="AJ518" s="2" t="s">
        <v>7</v>
      </c>
      <c r="AL518" s="2" t="s">
        <v>680</v>
      </c>
      <c r="AM518" s="2" t="s">
        <v>1921</v>
      </c>
      <c r="AN518" s="2" t="s">
        <v>952</v>
      </c>
      <c r="AO518" s="2">
        <v>0.79183125300000001</v>
      </c>
      <c r="AP518" s="2" t="s">
        <v>4673</v>
      </c>
      <c r="AQ518" s="2" t="s">
        <v>4396</v>
      </c>
      <c r="AR518" s="2" t="s">
        <v>4671</v>
      </c>
      <c r="AT518" s="765"/>
      <c r="AU518" s="765"/>
      <c r="AV518" s="765"/>
      <c r="AW518" s="765"/>
    </row>
    <row r="519" spans="1:49" x14ac:dyDescent="0.25">
      <c r="A519" s="23" t="s">
        <v>4610</v>
      </c>
      <c r="B519" s="108" t="s">
        <v>527</v>
      </c>
      <c r="C519" s="108" t="s">
        <v>3786</v>
      </c>
      <c r="D519" s="108" t="s">
        <v>3463</v>
      </c>
      <c r="E519" s="108" t="s">
        <v>4757</v>
      </c>
      <c r="F519" s="114" t="s">
        <v>694</v>
      </c>
      <c r="G519" s="213" t="s">
        <v>1135</v>
      </c>
      <c r="H519" s="115" t="s">
        <v>4758</v>
      </c>
      <c r="I519" s="213">
        <v>110400000</v>
      </c>
      <c r="J519" s="109">
        <v>5.5422000000000002</v>
      </c>
      <c r="K519" s="109" t="s">
        <v>696</v>
      </c>
      <c r="L519" s="115">
        <v>1</v>
      </c>
      <c r="M519" s="115">
        <v>98.618538000000001</v>
      </c>
      <c r="N519" s="115">
        <v>98.664332999999999</v>
      </c>
      <c r="O519" s="214">
        <v>0.41566500000000001</v>
      </c>
      <c r="P519" s="115">
        <v>1.2639</v>
      </c>
      <c r="Q519" s="769">
        <v>1.216</v>
      </c>
      <c r="R519" s="216"/>
      <c r="S519" s="216">
        <v>1.216</v>
      </c>
      <c r="T519" s="216">
        <v>27</v>
      </c>
      <c r="U519" s="216">
        <v>6.6169999999999991</v>
      </c>
      <c r="V519" s="115">
        <v>475.35303510486142</v>
      </c>
      <c r="W519" s="109"/>
      <c r="X519" s="109">
        <v>463.9</v>
      </c>
      <c r="Y519" s="109" t="s">
        <v>1874</v>
      </c>
      <c r="Z519" s="109">
        <v>0</v>
      </c>
      <c r="AA519" s="109">
        <v>0</v>
      </c>
      <c r="AB519" s="109"/>
      <c r="AC519" s="109"/>
      <c r="AD519" s="765"/>
      <c r="AE519" s="765" t="s">
        <v>13</v>
      </c>
      <c r="AF519" s="765" t="s">
        <v>522</v>
      </c>
      <c r="AG519" s="765"/>
      <c r="AH519" s="109"/>
      <c r="AJ519" s="2" t="s">
        <v>3272</v>
      </c>
      <c r="AL519" s="2" t="s">
        <v>680</v>
      </c>
      <c r="AM519" s="2" t="s">
        <v>2976</v>
      </c>
      <c r="AN519" s="2" t="s">
        <v>952</v>
      </c>
      <c r="AO519" s="2">
        <v>1</v>
      </c>
      <c r="AP519" s="2" t="s">
        <v>4673</v>
      </c>
      <c r="AQ519" s="2" t="s">
        <v>4016</v>
      </c>
      <c r="AR519" s="2" t="s">
        <v>3968</v>
      </c>
      <c r="AT519" s="765"/>
      <c r="AU519" s="765"/>
      <c r="AV519" s="765"/>
      <c r="AW519" s="765"/>
    </row>
    <row r="520" spans="1:49" x14ac:dyDescent="0.25">
      <c r="A520" s="23" t="s">
        <v>3046</v>
      </c>
      <c r="B520" s="108" t="s">
        <v>529</v>
      </c>
      <c r="C520" s="108" t="s">
        <v>1630</v>
      </c>
      <c r="D520" s="108" t="s">
        <v>530</v>
      </c>
      <c r="E520" s="108" t="s">
        <v>3099</v>
      </c>
      <c r="F520" s="114" t="s">
        <v>698</v>
      </c>
      <c r="G520" s="213" t="s">
        <v>3100</v>
      </c>
      <c r="H520" s="115" t="s">
        <v>3101</v>
      </c>
      <c r="I520" s="213">
        <v>24750000</v>
      </c>
      <c r="J520" s="109">
        <v>4.3912899999999997</v>
      </c>
      <c r="K520" s="109" t="s">
        <v>695</v>
      </c>
      <c r="L520" s="115">
        <v>1</v>
      </c>
      <c r="M520" s="115">
        <v>0</v>
      </c>
      <c r="N520" s="115">
        <v>0</v>
      </c>
      <c r="O520" s="214">
        <v>0.84166399999999997</v>
      </c>
      <c r="P520" s="115">
        <v>3.6137999999999999</v>
      </c>
      <c r="Q520" s="769"/>
      <c r="R520" s="216"/>
      <c r="S520" s="216">
        <v>3.6137999999999999</v>
      </c>
      <c r="T520" s="216">
        <v>69</v>
      </c>
      <c r="U520" s="216"/>
      <c r="V520" s="115"/>
      <c r="W520" s="109">
        <v>415</v>
      </c>
      <c r="X520" s="109"/>
      <c r="Y520" s="109" t="s">
        <v>532</v>
      </c>
      <c r="Z520" s="109"/>
      <c r="AA520" s="109"/>
      <c r="AB520" s="109"/>
      <c r="AC520" s="109"/>
      <c r="AD520" s="765"/>
      <c r="AE520" s="765" t="s">
        <v>10</v>
      </c>
      <c r="AF520" s="765"/>
      <c r="AG520" s="765" t="s">
        <v>1901</v>
      </c>
      <c r="AH520" s="109" t="s">
        <v>522</v>
      </c>
      <c r="AL520" s="2" t="s">
        <v>680</v>
      </c>
      <c r="AM520" s="2" t="s">
        <v>711</v>
      </c>
      <c r="AN520" s="2" t="s">
        <v>952</v>
      </c>
      <c r="AO520" s="2">
        <v>1</v>
      </c>
      <c r="AP520" s="2" t="s">
        <v>4759</v>
      </c>
      <c r="AQ520" s="2" t="s">
        <v>3194</v>
      </c>
      <c r="AR520" s="2" t="s">
        <v>4661</v>
      </c>
      <c r="AT520" s="765"/>
      <c r="AU520" s="765"/>
      <c r="AV520" s="765"/>
      <c r="AW520" s="765"/>
    </row>
    <row r="521" spans="1:49" x14ac:dyDescent="0.25">
      <c r="A521" s="23" t="s">
        <v>3878</v>
      </c>
      <c r="B521" s="108" t="s">
        <v>528</v>
      </c>
      <c r="C521" s="108" t="s">
        <v>1969</v>
      </c>
      <c r="D521" s="108" t="s">
        <v>3791</v>
      </c>
      <c r="E521" s="108" t="s">
        <v>3904</v>
      </c>
      <c r="F521" s="114" t="s">
        <v>694</v>
      </c>
      <c r="G521" s="213" t="s">
        <v>1358</v>
      </c>
      <c r="H521" s="115" t="s">
        <v>1907</v>
      </c>
      <c r="I521" s="213">
        <v>2551771.1800000002</v>
      </c>
      <c r="J521" s="109">
        <v>3.5</v>
      </c>
      <c r="K521" s="109" t="s">
        <v>696</v>
      </c>
      <c r="L521" s="115">
        <v>2.0848314699999999E-2</v>
      </c>
      <c r="M521" s="115">
        <v>100</v>
      </c>
      <c r="N521" s="115">
        <v>100</v>
      </c>
      <c r="O521" s="214">
        <v>0.26250000000000001</v>
      </c>
      <c r="P521" s="115">
        <v>6.9400000000000003E-2</v>
      </c>
      <c r="Q521" s="769">
        <v>7.119323793E-2</v>
      </c>
      <c r="R521" s="216"/>
      <c r="S521" s="216">
        <v>7.119323793E-2</v>
      </c>
      <c r="T521" s="216">
        <v>27</v>
      </c>
      <c r="U521" s="216">
        <v>0.14000000000000001</v>
      </c>
      <c r="V521" s="115">
        <v>-1.75233338261</v>
      </c>
      <c r="W521" s="109"/>
      <c r="X521" s="109">
        <v>-3.4646418596499999</v>
      </c>
      <c r="Y521" s="109" t="s">
        <v>3905</v>
      </c>
      <c r="Z521" s="109">
        <v>28.336528316248351</v>
      </c>
      <c r="AA521" s="109">
        <v>35.474395594435492</v>
      </c>
      <c r="AB521" s="109" t="s">
        <v>2834</v>
      </c>
      <c r="AC521" s="109" t="s">
        <v>4056</v>
      </c>
      <c r="AD521" s="765" t="s">
        <v>1192</v>
      </c>
      <c r="AE521" s="765" t="s">
        <v>7</v>
      </c>
      <c r="AF521" s="765"/>
      <c r="AG521" s="765" t="s">
        <v>1062</v>
      </c>
      <c r="AH521" s="109" t="s">
        <v>7</v>
      </c>
      <c r="AJ521" s="2" t="s">
        <v>7</v>
      </c>
      <c r="AL521" s="2" t="s">
        <v>680</v>
      </c>
      <c r="AM521" s="2" t="s">
        <v>709</v>
      </c>
      <c r="AN521" s="2" t="s">
        <v>952</v>
      </c>
      <c r="AO521" s="2">
        <v>5.5988384000000002E-2</v>
      </c>
      <c r="AP521" s="2" t="s">
        <v>4673</v>
      </c>
      <c r="AQ521" s="2" t="s">
        <v>4469</v>
      </c>
      <c r="AR521" s="2" t="s">
        <v>4638</v>
      </c>
      <c r="AT521" s="765"/>
      <c r="AU521" s="765"/>
      <c r="AV521" s="765"/>
      <c r="AW521" s="765"/>
    </row>
    <row r="522" spans="1:49" x14ac:dyDescent="0.25">
      <c r="A522" s="23" t="s">
        <v>1629</v>
      </c>
      <c r="B522" s="108" t="s">
        <v>529</v>
      </c>
      <c r="C522" s="108" t="s">
        <v>1630</v>
      </c>
      <c r="D522" s="108" t="s">
        <v>530</v>
      </c>
      <c r="E522" s="108" t="s">
        <v>1631</v>
      </c>
      <c r="F522" s="114" t="s">
        <v>698</v>
      </c>
      <c r="G522" s="213" t="s">
        <v>1632</v>
      </c>
      <c r="H522" s="115" t="s">
        <v>1633</v>
      </c>
      <c r="I522" s="213">
        <v>0</v>
      </c>
      <c r="J522" s="109">
        <v>1.9897499999999999</v>
      </c>
      <c r="K522" s="109" t="s">
        <v>695</v>
      </c>
      <c r="L522" s="115">
        <v>0</v>
      </c>
      <c r="M522" s="115">
        <v>0</v>
      </c>
      <c r="N522" s="115">
        <v>0</v>
      </c>
      <c r="O522" s="214">
        <v>0</v>
      </c>
      <c r="P522" s="115"/>
      <c r="Q522" s="769"/>
      <c r="R522" s="216"/>
      <c r="S522" s="216">
        <v>5.8082191780821919</v>
      </c>
      <c r="T522" s="216">
        <v>71</v>
      </c>
      <c r="U522" s="216"/>
      <c r="V522" s="115"/>
      <c r="W522" s="109">
        <v>180</v>
      </c>
      <c r="X522" s="109"/>
      <c r="Y522" s="109" t="s">
        <v>532</v>
      </c>
      <c r="Z522" s="109"/>
      <c r="AA522" s="109"/>
      <c r="AB522" s="109"/>
      <c r="AC522" s="109"/>
      <c r="AD522" s="765"/>
      <c r="AE522" s="765" t="s">
        <v>522</v>
      </c>
      <c r="AF522" s="765"/>
      <c r="AG522" s="765" t="s">
        <v>1066</v>
      </c>
      <c r="AH522" s="109"/>
      <c r="AL522" s="2" t="s">
        <v>680</v>
      </c>
      <c r="AM522" s="2" t="s">
        <v>711</v>
      </c>
      <c r="AN522" s="2" t="s">
        <v>952</v>
      </c>
      <c r="AO522" s="2">
        <v>1</v>
      </c>
      <c r="AP522" s="2" t="s">
        <v>4667</v>
      </c>
      <c r="AQ522" s="2" t="s">
        <v>2946</v>
      </c>
      <c r="AR522" s="2" t="s">
        <v>4661</v>
      </c>
      <c r="AT522" s="765"/>
      <c r="AU522" s="765"/>
      <c r="AV522" s="765"/>
      <c r="AW522" s="765"/>
    </row>
    <row r="523" spans="1:49" x14ac:dyDescent="0.25">
      <c r="A523" s="23" t="s">
        <v>3647</v>
      </c>
      <c r="B523" s="108" t="s">
        <v>528</v>
      </c>
      <c r="C523" s="108" t="s">
        <v>1969</v>
      </c>
      <c r="D523" s="108" t="s">
        <v>3791</v>
      </c>
      <c r="E523" s="108" t="s">
        <v>3792</v>
      </c>
      <c r="F523" s="114" t="s">
        <v>694</v>
      </c>
      <c r="G523" s="213" t="s">
        <v>1276</v>
      </c>
      <c r="H523" s="115" t="s">
        <v>3793</v>
      </c>
      <c r="I523" s="213">
        <v>14859752.300000001</v>
      </c>
      <c r="J523" s="109">
        <v>3.9103119999999998</v>
      </c>
      <c r="K523" s="109" t="s">
        <v>696</v>
      </c>
      <c r="L523" s="115">
        <v>0.90514419810000002</v>
      </c>
      <c r="M523" s="115">
        <v>100.15479999999999</v>
      </c>
      <c r="N523" s="115">
        <v>100.184158</v>
      </c>
      <c r="O523" s="214">
        <v>0.29327300000000001</v>
      </c>
      <c r="P523" s="115">
        <v>0.80900000000000005</v>
      </c>
      <c r="Q523" s="769">
        <v>4.5607826600300001</v>
      </c>
      <c r="R523" s="216"/>
      <c r="S523" s="216">
        <v>4.5607826600300001</v>
      </c>
      <c r="T523" s="216">
        <v>26</v>
      </c>
      <c r="U523" s="216">
        <v>3.7549999999999999</v>
      </c>
      <c r="V523" s="115">
        <v>197.37469875844999</v>
      </c>
      <c r="W523" s="109"/>
      <c r="X523" s="109">
        <v>79.679258929430006</v>
      </c>
      <c r="Y523" s="109" t="s">
        <v>1874</v>
      </c>
      <c r="Z523" s="109">
        <v>36.296728662581081</v>
      </c>
      <c r="AA523" s="109">
        <v>37.42300564878591</v>
      </c>
      <c r="AB523" s="109" t="s">
        <v>3501</v>
      </c>
      <c r="AC523" s="109" t="s">
        <v>4974</v>
      </c>
      <c r="AD523" s="765" t="s">
        <v>1192</v>
      </c>
      <c r="AE523" s="765" t="s">
        <v>8</v>
      </c>
      <c r="AF523" s="765" t="s">
        <v>17</v>
      </c>
      <c r="AG523" s="765" t="s">
        <v>1628</v>
      </c>
      <c r="AH523" s="109"/>
      <c r="AI523" s="2" t="s">
        <v>8</v>
      </c>
      <c r="AL523" s="2" t="s">
        <v>680</v>
      </c>
      <c r="AM523" s="2" t="s">
        <v>709</v>
      </c>
      <c r="AN523" s="2" t="s">
        <v>952</v>
      </c>
      <c r="AO523" s="2">
        <v>0.90760220400000002</v>
      </c>
      <c r="AP523" s="2" t="s">
        <v>4673</v>
      </c>
      <c r="AQ523" s="2" t="s">
        <v>4469</v>
      </c>
      <c r="AR523" s="2" t="s">
        <v>4638</v>
      </c>
      <c r="AT523" s="765"/>
      <c r="AU523" s="765"/>
      <c r="AV523" s="765"/>
      <c r="AW523" s="765"/>
    </row>
    <row r="524" spans="1:49" x14ac:dyDescent="0.25">
      <c r="A524" s="23" t="s">
        <v>4609</v>
      </c>
      <c r="B524" s="108" t="s">
        <v>527</v>
      </c>
      <c r="C524" s="108" t="s">
        <v>3786</v>
      </c>
      <c r="D524" s="108" t="s">
        <v>2381</v>
      </c>
      <c r="E524" s="108" t="s">
        <v>4760</v>
      </c>
      <c r="F524" s="114" t="s">
        <v>694</v>
      </c>
      <c r="G524" s="213" t="s">
        <v>1138</v>
      </c>
      <c r="H524" s="115" t="s">
        <v>4761</v>
      </c>
      <c r="I524" s="213">
        <v>14980000</v>
      </c>
      <c r="J524" s="109">
        <v>5.2101670000000002</v>
      </c>
      <c r="K524" s="109" t="s">
        <v>696</v>
      </c>
      <c r="L524" s="115">
        <v>1</v>
      </c>
      <c r="M524" s="115">
        <v>0</v>
      </c>
      <c r="N524" s="115">
        <v>0</v>
      </c>
      <c r="O524" s="214">
        <v>0.39076300000000003</v>
      </c>
      <c r="P524" s="115">
        <v>1.7639</v>
      </c>
      <c r="Q524" s="769"/>
      <c r="R524" s="216"/>
      <c r="S524" s="216">
        <v>1.7639</v>
      </c>
      <c r="T524" s="216">
        <v>27</v>
      </c>
      <c r="U524" s="216"/>
      <c r="V524" s="115"/>
      <c r="W524" s="109"/>
      <c r="X524" s="109"/>
      <c r="Y524" s="109" t="s">
        <v>1874</v>
      </c>
      <c r="Z524" s="109">
        <v>0</v>
      </c>
      <c r="AA524" s="109">
        <v>0</v>
      </c>
      <c r="AB524" s="109"/>
      <c r="AC524" s="109"/>
      <c r="AD524" s="765"/>
      <c r="AE524" s="765" t="s">
        <v>13</v>
      </c>
      <c r="AF524" s="765" t="s">
        <v>522</v>
      </c>
      <c r="AG524" s="765"/>
      <c r="AH524" s="109"/>
      <c r="AJ524" s="2" t="s">
        <v>3272</v>
      </c>
      <c r="AL524" s="2" t="s">
        <v>680</v>
      </c>
      <c r="AM524" s="2" t="s">
        <v>1921</v>
      </c>
      <c r="AN524" s="2" t="s">
        <v>952</v>
      </c>
      <c r="AO524" s="2">
        <v>1</v>
      </c>
      <c r="AP524" s="2" t="s">
        <v>4673</v>
      </c>
      <c r="AQ524" s="2" t="s">
        <v>4016</v>
      </c>
      <c r="AR524" s="2" t="s">
        <v>3968</v>
      </c>
      <c r="AT524" s="765"/>
      <c r="AU524" s="765"/>
      <c r="AV524" s="765"/>
      <c r="AW524" s="765"/>
    </row>
    <row r="525" spans="1:49" x14ac:dyDescent="0.25">
      <c r="A525" s="23" t="s">
        <v>4988</v>
      </c>
      <c r="B525" s="108" t="s">
        <v>528</v>
      </c>
      <c r="C525" s="108" t="s">
        <v>1969</v>
      </c>
      <c r="D525" s="108" t="s">
        <v>3575</v>
      </c>
      <c r="E525" s="108" t="s">
        <v>4989</v>
      </c>
      <c r="F525" s="114" t="s">
        <v>694</v>
      </c>
      <c r="G525" s="213" t="s">
        <v>4860</v>
      </c>
      <c r="H525" s="115" t="s">
        <v>5169</v>
      </c>
      <c r="I525" s="213">
        <v>819988291.71000004</v>
      </c>
      <c r="J525" s="109">
        <v>2.5</v>
      </c>
      <c r="K525" s="109" t="s">
        <v>696</v>
      </c>
      <c r="L525" s="115">
        <v>0.98554389779999996</v>
      </c>
      <c r="M525" s="115">
        <v>91.217201000000003</v>
      </c>
      <c r="N525" s="115">
        <v>91.242198999999999</v>
      </c>
      <c r="O525" s="214">
        <v>0.1875</v>
      </c>
      <c r="P525" s="115">
        <v>4.8768000000000002</v>
      </c>
      <c r="Q525" s="769">
        <v>6.5546068184899999</v>
      </c>
      <c r="R525" s="216"/>
      <c r="S525" s="216">
        <v>6.5546068184899999</v>
      </c>
      <c r="T525" s="216">
        <v>26</v>
      </c>
      <c r="U525" s="216">
        <v>4.694</v>
      </c>
      <c r="V525" s="115">
        <v>209.51791914127</v>
      </c>
      <c r="W525" s="109"/>
      <c r="X525" s="109">
        <v>86.622269044480007</v>
      </c>
      <c r="Y525" s="109" t="s">
        <v>2124</v>
      </c>
      <c r="Z525" s="109"/>
      <c r="AA525" s="109"/>
      <c r="AB525" s="109" t="s">
        <v>4854</v>
      </c>
      <c r="AC525" s="109" t="s">
        <v>246</v>
      </c>
      <c r="AD525" s="765" t="s">
        <v>2856</v>
      </c>
      <c r="AE525" s="765" t="s">
        <v>7</v>
      </c>
      <c r="AF525" s="765"/>
      <c r="AG525" s="765" t="s">
        <v>1062</v>
      </c>
      <c r="AH525" s="109" t="s">
        <v>7</v>
      </c>
      <c r="AI525" s="2" t="s">
        <v>7</v>
      </c>
      <c r="AL525" s="2" t="s">
        <v>680</v>
      </c>
      <c r="AM525" s="2" t="s">
        <v>709</v>
      </c>
      <c r="AN525" s="2" t="s">
        <v>952</v>
      </c>
      <c r="AO525" s="2">
        <v>1</v>
      </c>
      <c r="AP525" s="2" t="s">
        <v>4673</v>
      </c>
      <c r="AQ525" s="2" t="s">
        <v>4469</v>
      </c>
      <c r="AR525" s="2" t="s">
        <v>4638</v>
      </c>
      <c r="AT525" s="765"/>
      <c r="AU525" s="765"/>
      <c r="AV525" s="765"/>
      <c r="AW525" s="765"/>
    </row>
    <row r="526" spans="1:49" x14ac:dyDescent="0.25">
      <c r="A526" s="23" t="s">
        <v>1844</v>
      </c>
      <c r="B526" s="108" t="s">
        <v>529</v>
      </c>
      <c r="C526" s="108" t="s">
        <v>1845</v>
      </c>
      <c r="D526" s="108" t="s">
        <v>530</v>
      </c>
      <c r="E526" s="108" t="s">
        <v>1846</v>
      </c>
      <c r="F526" s="114" t="s">
        <v>698</v>
      </c>
      <c r="G526" s="213" t="s">
        <v>1847</v>
      </c>
      <c r="H526" s="115" t="s">
        <v>1848</v>
      </c>
      <c r="I526" s="213">
        <v>20300000</v>
      </c>
      <c r="J526" s="109">
        <v>3.0088599999999999</v>
      </c>
      <c r="K526" s="109" t="s">
        <v>695</v>
      </c>
      <c r="L526" s="115">
        <v>1</v>
      </c>
      <c r="M526" s="115">
        <v>0</v>
      </c>
      <c r="N526" s="115">
        <v>0</v>
      </c>
      <c r="O526" s="214">
        <v>0.52654999999999996</v>
      </c>
      <c r="P526" s="115">
        <v>4.0221999999999998</v>
      </c>
      <c r="Q526" s="769"/>
      <c r="R526" s="216"/>
      <c r="S526" s="216">
        <v>4.0221999999999998</v>
      </c>
      <c r="T526" s="216">
        <v>62</v>
      </c>
      <c r="U526" s="216"/>
      <c r="V526" s="115"/>
      <c r="W526" s="109">
        <v>275</v>
      </c>
      <c r="X526" s="109"/>
      <c r="Y526" s="109" t="s">
        <v>993</v>
      </c>
      <c r="Z526" s="109"/>
      <c r="AA526" s="109"/>
      <c r="AB526" s="109"/>
      <c r="AC526" s="109"/>
      <c r="AD526" s="765"/>
      <c r="AE526" s="765" t="s">
        <v>10</v>
      </c>
      <c r="AF526" s="765" t="s">
        <v>20</v>
      </c>
      <c r="AG526" s="765"/>
      <c r="AH526" s="109"/>
      <c r="AL526" s="2" t="s">
        <v>680</v>
      </c>
      <c r="AM526" s="2" t="s">
        <v>711</v>
      </c>
      <c r="AN526" s="2" t="s">
        <v>952</v>
      </c>
      <c r="AO526" s="2">
        <v>1</v>
      </c>
      <c r="AP526" s="2" t="s">
        <v>4727</v>
      </c>
      <c r="AQ526" s="2" t="s">
        <v>3700</v>
      </c>
      <c r="AR526" s="2" t="s">
        <v>4666</v>
      </c>
      <c r="AT526" s="765"/>
      <c r="AU526" s="765"/>
      <c r="AV526" s="765"/>
      <c r="AW526" s="765"/>
    </row>
    <row r="527" spans="1:49" x14ac:dyDescent="0.25">
      <c r="A527" s="23" t="s">
        <v>3877</v>
      </c>
      <c r="B527" s="108" t="s">
        <v>529</v>
      </c>
      <c r="C527" s="108" t="s">
        <v>1845</v>
      </c>
      <c r="D527" s="108" t="s">
        <v>530</v>
      </c>
      <c r="E527" s="108" t="s">
        <v>3906</v>
      </c>
      <c r="F527" s="114" t="s">
        <v>698</v>
      </c>
      <c r="G527" s="213" t="s">
        <v>3907</v>
      </c>
      <c r="H527" s="115" t="s">
        <v>3908</v>
      </c>
      <c r="I527" s="213">
        <v>24500000</v>
      </c>
      <c r="J527" s="109">
        <v>7.4539999999999997</v>
      </c>
      <c r="K527" s="109" t="s">
        <v>695</v>
      </c>
      <c r="L527" s="115">
        <v>1</v>
      </c>
      <c r="M527" s="115">
        <v>0</v>
      </c>
      <c r="N527" s="115">
        <v>0</v>
      </c>
      <c r="O527" s="214">
        <v>1.3872720000000001</v>
      </c>
      <c r="P527" s="115">
        <v>9.0418000000000003</v>
      </c>
      <c r="Q527" s="769"/>
      <c r="R527" s="216"/>
      <c r="S527" s="216">
        <v>9.0418000000000003</v>
      </c>
      <c r="T527" s="216">
        <v>67</v>
      </c>
      <c r="U527" s="216"/>
      <c r="V527" s="115"/>
      <c r="W527" s="109">
        <v>720</v>
      </c>
      <c r="X527" s="109"/>
      <c r="Y527" s="109" t="s">
        <v>532</v>
      </c>
      <c r="Z527" s="109"/>
      <c r="AA527" s="109"/>
      <c r="AB527" s="109"/>
      <c r="AC527" s="109"/>
      <c r="AD527" s="765"/>
      <c r="AE527" s="765" t="s">
        <v>13</v>
      </c>
      <c r="AF527" s="765"/>
      <c r="AG527" s="765" t="s">
        <v>2796</v>
      </c>
      <c r="AH527" s="109"/>
      <c r="AL527" s="2" t="s">
        <v>680</v>
      </c>
      <c r="AM527" s="2" t="s">
        <v>711</v>
      </c>
      <c r="AN527" s="2" t="s">
        <v>952</v>
      </c>
      <c r="AO527" s="2">
        <v>1</v>
      </c>
      <c r="AP527" s="2" t="s">
        <v>4730</v>
      </c>
      <c r="AQ527" s="2" t="s">
        <v>3404</v>
      </c>
      <c r="AR527" s="2" t="s">
        <v>3969</v>
      </c>
      <c r="AT527" s="765"/>
      <c r="AU527" s="765"/>
      <c r="AV527" s="765"/>
      <c r="AW527" s="765"/>
    </row>
    <row r="528" spans="1:49" x14ac:dyDescent="0.25">
      <c r="A528" s="23" t="s">
        <v>3634</v>
      </c>
      <c r="B528" s="108" t="s">
        <v>529</v>
      </c>
      <c r="C528" s="108" t="s">
        <v>3794</v>
      </c>
      <c r="D528" s="108" t="s">
        <v>1683</v>
      </c>
      <c r="E528" s="108" t="s">
        <v>3795</v>
      </c>
      <c r="F528" s="114" t="s">
        <v>698</v>
      </c>
      <c r="G528" s="213" t="s">
        <v>3796</v>
      </c>
      <c r="H528" s="115" t="s">
        <v>3797</v>
      </c>
      <c r="I528" s="213">
        <v>69875000</v>
      </c>
      <c r="J528" s="109">
        <v>2.6414300000000002</v>
      </c>
      <c r="K528" s="109" t="s">
        <v>695</v>
      </c>
      <c r="L528" s="115">
        <v>1</v>
      </c>
      <c r="M528" s="115">
        <v>0</v>
      </c>
      <c r="N528" s="115">
        <v>0</v>
      </c>
      <c r="O528" s="214">
        <v>8.0710000000000004E-2</v>
      </c>
      <c r="P528" s="115">
        <v>3.7290999999999999</v>
      </c>
      <c r="Q528" s="769"/>
      <c r="R528" s="216"/>
      <c r="S528" s="216">
        <v>3.7290999999999999</v>
      </c>
      <c r="T528" s="216">
        <v>10</v>
      </c>
      <c r="U528" s="216"/>
      <c r="V528" s="115"/>
      <c r="W528" s="109">
        <v>220</v>
      </c>
      <c r="X528" s="109"/>
      <c r="Y528" s="109" t="s">
        <v>3798</v>
      </c>
      <c r="Z528" s="109"/>
      <c r="AA528" s="109"/>
      <c r="AB528" s="109"/>
      <c r="AC528" s="109"/>
      <c r="AD528" s="765"/>
      <c r="AE528" s="765" t="s">
        <v>10</v>
      </c>
      <c r="AF528" s="765"/>
      <c r="AG528" s="765" t="s">
        <v>522</v>
      </c>
      <c r="AH528" s="109"/>
      <c r="AJ528" s="2" t="s">
        <v>10</v>
      </c>
      <c r="AL528" s="2" t="s">
        <v>680</v>
      </c>
      <c r="AM528" s="2" t="s">
        <v>1656</v>
      </c>
      <c r="AN528" s="2" t="s">
        <v>952</v>
      </c>
      <c r="AO528" s="2">
        <v>1</v>
      </c>
      <c r="AP528" s="2" t="s">
        <v>4675</v>
      </c>
      <c r="AQ528" s="2" t="s">
        <v>4639</v>
      </c>
      <c r="AR528" s="2" t="s">
        <v>4671</v>
      </c>
      <c r="AT528" s="765"/>
      <c r="AU528" s="765"/>
      <c r="AV528" s="765"/>
      <c r="AW528" s="765"/>
    </row>
    <row r="529" spans="1:58" x14ac:dyDescent="0.25">
      <c r="A529" s="23" t="s">
        <v>3633</v>
      </c>
      <c r="B529" s="108" t="s">
        <v>529</v>
      </c>
      <c r="C529" s="108" t="s">
        <v>3794</v>
      </c>
      <c r="D529" s="108" t="s">
        <v>1683</v>
      </c>
      <c r="E529" s="108" t="s">
        <v>3799</v>
      </c>
      <c r="F529" s="114" t="s">
        <v>698</v>
      </c>
      <c r="G529" s="213" t="s">
        <v>3796</v>
      </c>
      <c r="H529" s="115" t="s">
        <v>3797</v>
      </c>
      <c r="I529" s="213">
        <v>14625000</v>
      </c>
      <c r="J529" s="109">
        <v>3.2914300000000001</v>
      </c>
      <c r="K529" s="109" t="s">
        <v>695</v>
      </c>
      <c r="L529" s="115">
        <v>1</v>
      </c>
      <c r="M529" s="115">
        <v>0</v>
      </c>
      <c r="N529" s="115">
        <v>0</v>
      </c>
      <c r="O529" s="214">
        <v>0.10057099999999999</v>
      </c>
      <c r="P529" s="115">
        <v>3.7917000000000001</v>
      </c>
      <c r="Q529" s="769"/>
      <c r="R529" s="216"/>
      <c r="S529" s="216">
        <v>3.7917000000000001</v>
      </c>
      <c r="T529" s="216">
        <v>10</v>
      </c>
      <c r="U529" s="216"/>
      <c r="V529" s="115"/>
      <c r="W529" s="109">
        <v>285</v>
      </c>
      <c r="X529" s="109"/>
      <c r="Y529" s="109" t="s">
        <v>3798</v>
      </c>
      <c r="Z529" s="109"/>
      <c r="AA529" s="109"/>
      <c r="AB529" s="109"/>
      <c r="AC529" s="109"/>
      <c r="AD529" s="765"/>
      <c r="AE529" s="765" t="s">
        <v>10</v>
      </c>
      <c r="AF529" s="765"/>
      <c r="AG529" s="765" t="s">
        <v>522</v>
      </c>
      <c r="AH529" s="109"/>
      <c r="AJ529" s="2" t="s">
        <v>1971</v>
      </c>
      <c r="AL529" s="2" t="s">
        <v>680</v>
      </c>
      <c r="AM529" s="2" t="s">
        <v>1656</v>
      </c>
      <c r="AN529" s="2" t="s">
        <v>952</v>
      </c>
      <c r="AO529" s="2">
        <v>1</v>
      </c>
      <c r="AP529" s="2" t="s">
        <v>4675</v>
      </c>
      <c r="AQ529" s="2" t="s">
        <v>4639</v>
      </c>
      <c r="AR529" s="2" t="s">
        <v>4671</v>
      </c>
      <c r="AT529" s="765"/>
      <c r="AU529" s="765"/>
      <c r="AV529" s="765"/>
      <c r="AW529" s="765"/>
    </row>
    <row r="530" spans="1:58" x14ac:dyDescent="0.25">
      <c r="A530" s="23" t="s">
        <v>3447</v>
      </c>
      <c r="B530" s="108" t="s">
        <v>527</v>
      </c>
      <c r="C530" s="108" t="s">
        <v>3125</v>
      </c>
      <c r="D530" s="108" t="s">
        <v>2231</v>
      </c>
      <c r="E530" s="108" t="s">
        <v>3513</v>
      </c>
      <c r="F530" s="114" t="s">
        <v>694</v>
      </c>
      <c r="G530" s="213" t="s">
        <v>1157</v>
      </c>
      <c r="H530" s="115" t="s">
        <v>3514</v>
      </c>
      <c r="I530" s="213">
        <v>35975000</v>
      </c>
      <c r="J530" s="109">
        <v>3.327</v>
      </c>
      <c r="K530" s="109" t="s">
        <v>696</v>
      </c>
      <c r="L530" s="115">
        <v>1</v>
      </c>
      <c r="M530" s="115">
        <v>78.876464999999996</v>
      </c>
      <c r="N530" s="115">
        <v>79.416034999999994</v>
      </c>
      <c r="O530" s="214">
        <v>0.249525</v>
      </c>
      <c r="P530" s="115">
        <v>5.194399999999999</v>
      </c>
      <c r="Q530" s="769">
        <v>4.6559999999999997</v>
      </c>
      <c r="R530" s="216"/>
      <c r="S530" s="216">
        <v>4.6559999999999997</v>
      </c>
      <c r="T530" s="216">
        <v>27</v>
      </c>
      <c r="U530" s="216">
        <v>8.4770000000000003</v>
      </c>
      <c r="V530" s="115">
        <v>588.23227589302485</v>
      </c>
      <c r="W530" s="109"/>
      <c r="X530" s="109">
        <v>550.9</v>
      </c>
      <c r="Y530" s="109" t="s">
        <v>663</v>
      </c>
      <c r="Z530" s="109">
        <v>0</v>
      </c>
      <c r="AA530" s="109">
        <v>0</v>
      </c>
      <c r="AB530" s="109"/>
      <c r="AC530" s="109"/>
      <c r="AD530" s="765"/>
      <c r="AE530" s="765" t="s">
        <v>10</v>
      </c>
      <c r="AF530" s="765"/>
      <c r="AG530" s="765" t="s">
        <v>522</v>
      </c>
      <c r="AH530" s="109" t="s">
        <v>20</v>
      </c>
      <c r="AI530" s="2" t="s">
        <v>20</v>
      </c>
      <c r="AL530" s="2" t="s">
        <v>680</v>
      </c>
      <c r="AM530" s="2" t="s">
        <v>1921</v>
      </c>
      <c r="AN530" s="2" t="s">
        <v>952</v>
      </c>
      <c r="AO530" s="2">
        <v>1</v>
      </c>
      <c r="AP530" s="2" t="s">
        <v>4673</v>
      </c>
      <c r="AQ530" s="2" t="s">
        <v>5106</v>
      </c>
      <c r="AR530" s="2" t="s">
        <v>4787</v>
      </c>
      <c r="AT530" s="765"/>
      <c r="AU530" s="765"/>
      <c r="AV530" s="765"/>
      <c r="AW530" s="765"/>
    </row>
    <row r="531" spans="1:58" s="765" customFormat="1" x14ac:dyDescent="0.25">
      <c r="A531" s="23" t="s">
        <v>3124</v>
      </c>
      <c r="B531" s="108" t="s">
        <v>529</v>
      </c>
      <c r="C531" s="108" t="s">
        <v>3125</v>
      </c>
      <c r="D531" s="108" t="s">
        <v>1683</v>
      </c>
      <c r="E531" s="108" t="s">
        <v>3126</v>
      </c>
      <c r="F531" s="114" t="s">
        <v>698</v>
      </c>
      <c r="G531" s="213" t="s">
        <v>3259</v>
      </c>
      <c r="H531" s="115" t="s">
        <v>3260</v>
      </c>
      <c r="I531" s="213">
        <v>318943000</v>
      </c>
      <c r="J531" s="109">
        <v>1.59657</v>
      </c>
      <c r="K531" s="109" t="s">
        <v>695</v>
      </c>
      <c r="L531" s="115">
        <v>1</v>
      </c>
      <c r="M531" s="115">
        <v>0</v>
      </c>
      <c r="N531" s="115">
        <v>0</v>
      </c>
      <c r="O531" s="214">
        <v>5.7653999999999997E-2</v>
      </c>
      <c r="P531" s="115">
        <v>2.4777</v>
      </c>
      <c r="Q531" s="769"/>
      <c r="R531" s="216"/>
      <c r="S531" s="216">
        <v>2.4777</v>
      </c>
      <c r="T531" s="216">
        <v>12</v>
      </c>
      <c r="U531" s="216"/>
      <c r="V531" s="115"/>
      <c r="W531" s="109">
        <v>120</v>
      </c>
      <c r="X531" s="109"/>
      <c r="Y531" s="109" t="s">
        <v>531</v>
      </c>
      <c r="Z531" s="109"/>
      <c r="AA531" s="109"/>
      <c r="AB531" s="109"/>
      <c r="AC531" s="109"/>
      <c r="AE531" s="765" t="s">
        <v>7</v>
      </c>
      <c r="AG531" s="765" t="s">
        <v>1062</v>
      </c>
      <c r="AH531" s="109"/>
      <c r="AJ531" s="765" t="s">
        <v>7</v>
      </c>
      <c r="AL531" s="765" t="s">
        <v>680</v>
      </c>
      <c r="AM531" s="765" t="s">
        <v>1656</v>
      </c>
      <c r="AN531" s="765" t="s">
        <v>952</v>
      </c>
      <c r="AO531" s="765">
        <v>1</v>
      </c>
      <c r="AP531" s="765" t="s">
        <v>4675</v>
      </c>
      <c r="AQ531" s="765" t="s">
        <v>4396</v>
      </c>
      <c r="AR531" s="765" t="s">
        <v>4671</v>
      </c>
    </row>
    <row r="532" spans="1:58" x14ac:dyDescent="0.25">
      <c r="A532" s="23" t="s">
        <v>2679</v>
      </c>
      <c r="B532" s="108" t="s">
        <v>527</v>
      </c>
      <c r="C532" s="108" t="s">
        <v>2680</v>
      </c>
      <c r="D532" s="108" t="s">
        <v>2676</v>
      </c>
      <c r="E532" s="108" t="s">
        <v>2681</v>
      </c>
      <c r="F532" s="114" t="s">
        <v>694</v>
      </c>
      <c r="G532" s="213" t="s">
        <v>2687</v>
      </c>
      <c r="H532" s="115" t="s">
        <v>2688</v>
      </c>
      <c r="I532" s="213">
        <v>46829000</v>
      </c>
      <c r="J532" s="109">
        <v>4.5851150000000001</v>
      </c>
      <c r="K532" s="109" t="s">
        <v>696</v>
      </c>
      <c r="L532" s="115">
        <v>1</v>
      </c>
      <c r="M532" s="115">
        <v>0</v>
      </c>
      <c r="N532" s="115">
        <v>0</v>
      </c>
      <c r="O532" s="214">
        <v>0.34388400000000002</v>
      </c>
      <c r="P532" s="115">
        <v>3.9350999999999998</v>
      </c>
      <c r="Q532" s="769"/>
      <c r="R532" s="216"/>
      <c r="S532" s="216">
        <v>3.9350999999999998</v>
      </c>
      <c r="T532" s="216">
        <v>27</v>
      </c>
      <c r="U532" s="216"/>
      <c r="V532" s="115"/>
      <c r="W532" s="109"/>
      <c r="X532" s="109"/>
      <c r="Y532" s="109" t="s">
        <v>1874</v>
      </c>
      <c r="Z532" s="109">
        <v>0</v>
      </c>
      <c r="AA532" s="109">
        <v>0</v>
      </c>
      <c r="AB532" s="109"/>
      <c r="AC532" s="109"/>
      <c r="AD532" s="765"/>
      <c r="AE532" s="765" t="s">
        <v>10</v>
      </c>
      <c r="AF532" s="765"/>
      <c r="AG532" s="765" t="s">
        <v>522</v>
      </c>
      <c r="AH532" s="109"/>
      <c r="AJ532" s="2" t="s">
        <v>10</v>
      </c>
      <c r="AL532" s="2" t="s">
        <v>680</v>
      </c>
      <c r="AM532" s="2" t="s">
        <v>1885</v>
      </c>
      <c r="AN532" s="2" t="s">
        <v>952</v>
      </c>
      <c r="AO532" s="2">
        <v>1</v>
      </c>
      <c r="AP532" s="2" t="s">
        <v>4673</v>
      </c>
      <c r="AQ532" s="2" t="s">
        <v>5106</v>
      </c>
      <c r="AR532" s="2" t="s">
        <v>4787</v>
      </c>
      <c r="AT532" s="765"/>
      <c r="AU532" s="765"/>
      <c r="AV532" s="765"/>
      <c r="AW532" s="765"/>
    </row>
    <row r="533" spans="1:58" x14ac:dyDescent="0.25">
      <c r="A533" s="23" t="s">
        <v>3550</v>
      </c>
      <c r="B533" s="108" t="s">
        <v>526</v>
      </c>
      <c r="C533" s="108" t="s">
        <v>3102</v>
      </c>
      <c r="D533" s="108" t="s">
        <v>3103</v>
      </c>
      <c r="E533" s="108" t="s">
        <v>3562</v>
      </c>
      <c r="F533" s="114" t="s">
        <v>698</v>
      </c>
      <c r="G533" s="213" t="s">
        <v>3105</v>
      </c>
      <c r="H533" s="115" t="s">
        <v>3106</v>
      </c>
      <c r="I533" s="213">
        <v>421839338.43000001</v>
      </c>
      <c r="J533" s="109">
        <v>4.3</v>
      </c>
      <c r="K533" s="109" t="s">
        <v>696</v>
      </c>
      <c r="L533" s="115">
        <v>0.69956772540000001</v>
      </c>
      <c r="M533" s="115">
        <v>0</v>
      </c>
      <c r="N533" s="115">
        <v>0</v>
      </c>
      <c r="O533" s="214">
        <v>0.155278</v>
      </c>
      <c r="P533" s="115">
        <v>1.6435999999999999</v>
      </c>
      <c r="Q533" s="769"/>
      <c r="R533" s="216"/>
      <c r="S533" s="216">
        <v>1.6435999999999999</v>
      </c>
      <c r="T533" s="216">
        <v>12</v>
      </c>
      <c r="U533" s="216"/>
      <c r="V533" s="115"/>
      <c r="W533" s="109"/>
      <c r="X533" s="109"/>
      <c r="Y533" s="109" t="s">
        <v>662</v>
      </c>
      <c r="Z533" s="109"/>
      <c r="AA533" s="109"/>
      <c r="AB533" s="109"/>
      <c r="AC533" s="109"/>
      <c r="AD533" s="765"/>
      <c r="AE533" s="765" t="s">
        <v>10</v>
      </c>
      <c r="AF533" s="765" t="s">
        <v>21</v>
      </c>
      <c r="AG533" s="765"/>
      <c r="AH533" s="109"/>
      <c r="AI533" s="2" t="s">
        <v>19</v>
      </c>
      <c r="AL533" s="2" t="s">
        <v>680</v>
      </c>
      <c r="AM533" s="2" t="s">
        <v>3107</v>
      </c>
      <c r="AN533" s="2" t="s">
        <v>952</v>
      </c>
      <c r="AO533" s="2">
        <v>0.70007589000000003</v>
      </c>
      <c r="AP533" s="2" t="s">
        <v>4675</v>
      </c>
      <c r="AQ533" s="2" t="s">
        <v>4396</v>
      </c>
      <c r="AR533" s="2" t="s">
        <v>4671</v>
      </c>
      <c r="AT533" s="765"/>
      <c r="AU533" s="765"/>
      <c r="AV533" s="765"/>
      <c r="AW533" s="765"/>
    </row>
    <row r="534" spans="1:58" x14ac:dyDescent="0.25">
      <c r="A534" s="23" t="s">
        <v>3059</v>
      </c>
      <c r="B534" s="108" t="s">
        <v>526</v>
      </c>
      <c r="C534" s="108" t="s">
        <v>3102</v>
      </c>
      <c r="D534" s="108" t="s">
        <v>3103</v>
      </c>
      <c r="E534" s="108" t="s">
        <v>3104</v>
      </c>
      <c r="F534" s="114" t="s">
        <v>698</v>
      </c>
      <c r="G534" s="213" t="s">
        <v>3105</v>
      </c>
      <c r="H534" s="115" t="s">
        <v>3106</v>
      </c>
      <c r="I534" s="213">
        <v>81758821.379999995</v>
      </c>
      <c r="J534" s="109">
        <v>5.6820000000000004</v>
      </c>
      <c r="K534" s="109" t="s">
        <v>696</v>
      </c>
      <c r="L534" s="115">
        <v>0.7713096357</v>
      </c>
      <c r="M534" s="115">
        <v>0</v>
      </c>
      <c r="N534" s="115">
        <v>0</v>
      </c>
      <c r="O534" s="214">
        <v>0.205183</v>
      </c>
      <c r="P534" s="115">
        <v>1.6435999999999999</v>
      </c>
      <c r="Q534" s="769"/>
      <c r="R534" s="216"/>
      <c r="S534" s="216">
        <v>1.6435999999999999</v>
      </c>
      <c r="T534" s="216">
        <v>12</v>
      </c>
      <c r="U534" s="216"/>
      <c r="V534" s="115"/>
      <c r="W534" s="109"/>
      <c r="X534" s="109"/>
      <c r="Y534" s="109" t="s">
        <v>663</v>
      </c>
      <c r="Z534" s="109"/>
      <c r="AA534" s="109"/>
      <c r="AB534" s="109"/>
      <c r="AC534" s="109"/>
      <c r="AD534" s="765"/>
      <c r="AE534" s="765" t="s">
        <v>13</v>
      </c>
      <c r="AF534" s="765" t="s">
        <v>14</v>
      </c>
      <c r="AG534" s="765"/>
      <c r="AH534" s="109"/>
      <c r="AI534" s="2" t="s">
        <v>21</v>
      </c>
      <c r="AL534" s="2" t="s">
        <v>680</v>
      </c>
      <c r="AM534" s="2" t="s">
        <v>3107</v>
      </c>
      <c r="AN534" s="2" t="s">
        <v>952</v>
      </c>
      <c r="AO534" s="2">
        <v>0.77130963600000002</v>
      </c>
      <c r="AP534" s="2" t="s">
        <v>4675</v>
      </c>
      <c r="AQ534" s="2" t="s">
        <v>4396</v>
      </c>
      <c r="AR534" s="2" t="s">
        <v>4671</v>
      </c>
      <c r="AT534" s="765"/>
      <c r="AU534" s="765"/>
      <c r="AV534" s="765"/>
      <c r="AW534" s="765"/>
    </row>
    <row r="535" spans="1:58" x14ac:dyDescent="0.25">
      <c r="A535" s="23" t="s">
        <v>4762</v>
      </c>
      <c r="B535" s="108"/>
      <c r="C535" s="108"/>
      <c r="D535" s="108"/>
      <c r="E535" s="108"/>
      <c r="F535" s="114"/>
      <c r="G535" s="213">
        <v>1</v>
      </c>
      <c r="H535" s="115">
        <v>1</v>
      </c>
      <c r="I535" s="213"/>
      <c r="J535" s="109">
        <v>0</v>
      </c>
      <c r="K535" s="109"/>
      <c r="L535" s="115">
        <v>1</v>
      </c>
      <c r="M535" s="115">
        <v>0</v>
      </c>
      <c r="N535" s="115">
        <v>0</v>
      </c>
      <c r="O535" s="214">
        <v>0</v>
      </c>
      <c r="P535" s="115"/>
      <c r="Q535" s="769"/>
      <c r="R535" s="216"/>
      <c r="S535" s="216"/>
      <c r="T535" s="216">
        <v>0</v>
      </c>
      <c r="U535" s="216"/>
      <c r="V535" s="115"/>
      <c r="W535" s="109"/>
      <c r="X535" s="109"/>
      <c r="Y535" s="109"/>
      <c r="Z535" s="109"/>
      <c r="AA535" s="109"/>
      <c r="AB535" s="109"/>
      <c r="AC535" s="109"/>
      <c r="AD535" s="765"/>
      <c r="AE535" s="765" t="s">
        <v>522</v>
      </c>
      <c r="AF535" s="765"/>
      <c r="AG535" s="765"/>
      <c r="AH535" s="109"/>
      <c r="AL535" s="2" t="s">
        <v>680</v>
      </c>
      <c r="AM535" s="2" t="s">
        <v>3800</v>
      </c>
      <c r="AN535" s="2" t="s">
        <v>952</v>
      </c>
      <c r="AT535" s="765"/>
      <c r="AU535" s="765"/>
      <c r="AV535" s="765"/>
      <c r="AW535" s="765"/>
    </row>
    <row r="536" spans="1:58" x14ac:dyDescent="0.25">
      <c r="A536" s="23" t="s">
        <v>4951</v>
      </c>
      <c r="B536" s="108"/>
      <c r="C536" s="108"/>
      <c r="D536" s="108"/>
      <c r="E536" s="108"/>
      <c r="F536" s="114"/>
      <c r="G536" s="213">
        <v>1</v>
      </c>
      <c r="H536" s="115">
        <v>1</v>
      </c>
      <c r="I536" s="213"/>
      <c r="J536" s="109">
        <v>0</v>
      </c>
      <c r="K536" s="109"/>
      <c r="L536" s="115">
        <v>1</v>
      </c>
      <c r="M536" s="115">
        <v>0</v>
      </c>
      <c r="N536" s="115">
        <v>0</v>
      </c>
      <c r="O536" s="214">
        <v>0</v>
      </c>
      <c r="P536" s="115"/>
      <c r="Q536" s="769"/>
      <c r="R536" s="216"/>
      <c r="S536" s="216"/>
      <c r="T536" s="216">
        <v>0</v>
      </c>
      <c r="U536" s="216"/>
      <c r="V536" s="115"/>
      <c r="W536" s="109"/>
      <c r="X536" s="109"/>
      <c r="Y536" s="109"/>
      <c r="Z536" s="109"/>
      <c r="AA536" s="109"/>
      <c r="AB536" s="109"/>
      <c r="AC536" s="109"/>
      <c r="AD536" s="765"/>
      <c r="AE536" s="765" t="s">
        <v>522</v>
      </c>
      <c r="AF536" s="765"/>
      <c r="AG536" s="765"/>
      <c r="AH536" s="109"/>
      <c r="AL536" s="2" t="s">
        <v>680</v>
      </c>
      <c r="AM536" s="2" t="s">
        <v>3800</v>
      </c>
      <c r="AN536" s="2" t="s">
        <v>952</v>
      </c>
      <c r="AT536" s="765"/>
      <c r="AU536" s="765"/>
      <c r="AV536" s="765"/>
      <c r="AW536" s="765"/>
    </row>
    <row r="537" spans="1:58" x14ac:dyDescent="0.25">
      <c r="A537" s="23" t="s">
        <v>4763</v>
      </c>
      <c r="B537" s="108"/>
      <c r="C537" s="108"/>
      <c r="D537" s="108"/>
      <c r="E537" s="108"/>
      <c r="F537" s="114"/>
      <c r="G537" s="213">
        <v>1</v>
      </c>
      <c r="H537" s="115">
        <v>1</v>
      </c>
      <c r="I537" s="213"/>
      <c r="J537" s="109">
        <v>0</v>
      </c>
      <c r="K537" s="109"/>
      <c r="L537" s="115">
        <v>1</v>
      </c>
      <c r="M537" s="115">
        <v>0</v>
      </c>
      <c r="N537" s="115">
        <v>0</v>
      </c>
      <c r="O537" s="214">
        <v>0</v>
      </c>
      <c r="P537" s="115"/>
      <c r="Q537" s="769"/>
      <c r="R537" s="216"/>
      <c r="S537" s="216"/>
      <c r="T537" s="216">
        <v>0</v>
      </c>
      <c r="U537" s="216"/>
      <c r="V537" s="115"/>
      <c r="W537" s="109"/>
      <c r="X537" s="109"/>
      <c r="Y537" s="109"/>
      <c r="Z537" s="109"/>
      <c r="AA537" s="109"/>
      <c r="AB537" s="109"/>
      <c r="AC537" s="109"/>
      <c r="AD537" s="765"/>
      <c r="AE537" s="765" t="s">
        <v>522</v>
      </c>
      <c r="AF537" s="765"/>
      <c r="AG537" s="765"/>
      <c r="AH537" s="109"/>
      <c r="AI537" s="765"/>
      <c r="AJ537" s="765"/>
      <c r="AK537" s="765"/>
      <c r="AL537" s="765" t="s">
        <v>680</v>
      </c>
      <c r="AM537" s="765" t="s">
        <v>3800</v>
      </c>
      <c r="AN537" s="765" t="s">
        <v>952</v>
      </c>
      <c r="AO537" s="765"/>
      <c r="AP537" s="765"/>
      <c r="AQ537" s="765"/>
      <c r="AR537" s="765"/>
      <c r="AS537" s="765"/>
      <c r="AT537" s="765"/>
      <c r="AU537" s="765"/>
      <c r="AV537" s="765"/>
      <c r="AW537" s="765"/>
      <c r="AX537" s="765"/>
      <c r="AY537" s="765"/>
      <c r="AZ537" s="765"/>
      <c r="BA537" s="765"/>
      <c r="BB537" s="765"/>
      <c r="BC537" s="765"/>
      <c r="BD537" s="765"/>
      <c r="BE537" s="765"/>
      <c r="BF537" s="765"/>
    </row>
    <row r="538" spans="1:58" x14ac:dyDescent="0.25">
      <c r="A538" s="23" t="s">
        <v>4866</v>
      </c>
      <c r="B538" s="108" t="s">
        <v>4867</v>
      </c>
      <c r="C538" s="108" t="s">
        <v>4868</v>
      </c>
      <c r="D538" s="108"/>
      <c r="E538" s="108" t="s">
        <v>4868</v>
      </c>
      <c r="F538" s="114" t="s">
        <v>699</v>
      </c>
      <c r="G538" s="213" t="s">
        <v>4869</v>
      </c>
      <c r="H538" s="115" t="s">
        <v>4870</v>
      </c>
      <c r="I538" s="213"/>
      <c r="J538" s="109">
        <v>0.48</v>
      </c>
      <c r="K538" s="109" t="s">
        <v>695</v>
      </c>
      <c r="L538" s="115">
        <v>1</v>
      </c>
      <c r="M538" s="115">
        <v>99.99</v>
      </c>
      <c r="N538" s="115">
        <v>99.99</v>
      </c>
      <c r="O538" s="214">
        <v>1.4472E-2</v>
      </c>
      <c r="P538" s="115"/>
      <c r="Q538" s="769"/>
      <c r="R538" s="216"/>
      <c r="S538" s="216">
        <v>0.13424657534246581</v>
      </c>
      <c r="T538" s="216">
        <v>11</v>
      </c>
      <c r="U538" s="216"/>
      <c r="V538" s="115"/>
      <c r="W538" s="109">
        <v>21</v>
      </c>
      <c r="X538" s="109"/>
      <c r="Y538" s="109"/>
      <c r="Z538" s="109"/>
      <c r="AA538" s="109"/>
      <c r="AB538" s="109"/>
      <c r="AC538" s="109"/>
      <c r="AD538" s="765"/>
      <c r="AE538" s="765" t="s">
        <v>4871</v>
      </c>
      <c r="AF538" s="765" t="s">
        <v>4872</v>
      </c>
      <c r="AG538" s="765" t="s">
        <v>4873</v>
      </c>
      <c r="AH538" s="109"/>
      <c r="AL538" s="2" t="s">
        <v>680</v>
      </c>
      <c r="AM538" s="2" t="s">
        <v>3800</v>
      </c>
      <c r="AN538" s="2" t="s">
        <v>952</v>
      </c>
      <c r="AT538" s="765"/>
      <c r="AU538" s="765"/>
      <c r="AV538" s="765"/>
      <c r="AW538" s="765"/>
    </row>
    <row r="539" spans="1:58" x14ac:dyDescent="0.25">
      <c r="A539" s="765" t="s">
        <v>3652</v>
      </c>
      <c r="B539" s="108" t="s">
        <v>526</v>
      </c>
      <c r="C539" s="108" t="s">
        <v>3801</v>
      </c>
      <c r="D539" s="108" t="s">
        <v>5170</v>
      </c>
      <c r="E539" s="108" t="s">
        <v>3802</v>
      </c>
      <c r="F539" s="114" t="s">
        <v>698</v>
      </c>
      <c r="G539" s="213" t="s">
        <v>3803</v>
      </c>
      <c r="H539" s="115" t="s">
        <v>3804</v>
      </c>
      <c r="I539" s="213">
        <v>75000000</v>
      </c>
      <c r="J539" s="109">
        <v>7.6989999999999998</v>
      </c>
      <c r="K539" s="109" t="s">
        <v>696</v>
      </c>
      <c r="L539" s="115">
        <v>1</v>
      </c>
      <c r="M539" s="115">
        <v>0</v>
      </c>
      <c r="N539" s="115">
        <v>0</v>
      </c>
      <c r="O539" s="214">
        <v>0.27801900000000002</v>
      </c>
      <c r="P539" s="115">
        <v>2.9832000000000001</v>
      </c>
      <c r="Q539" s="769"/>
      <c r="R539" s="216"/>
      <c r="S539" s="216">
        <v>2.9832000000000001</v>
      </c>
      <c r="T539" s="216">
        <v>12</v>
      </c>
      <c r="U539" s="216"/>
      <c r="V539" s="115"/>
      <c r="W539" s="109"/>
      <c r="X539" s="109"/>
      <c r="Y539" s="109" t="s">
        <v>663</v>
      </c>
      <c r="Z539" s="109">
        <v>0</v>
      </c>
      <c r="AA539" s="109">
        <v>0</v>
      </c>
      <c r="AB539" s="109"/>
      <c r="AC539" s="109"/>
      <c r="AD539" s="765"/>
      <c r="AE539" s="765" t="s">
        <v>10</v>
      </c>
      <c r="AF539" s="765"/>
      <c r="AG539" s="765"/>
      <c r="AH539" s="109"/>
      <c r="AI539" s="2" t="s">
        <v>20</v>
      </c>
      <c r="AL539" s="2" t="s">
        <v>680</v>
      </c>
      <c r="AM539" s="2" t="s">
        <v>710</v>
      </c>
      <c r="AN539" s="2" t="s">
        <v>952</v>
      </c>
      <c r="AO539" s="2">
        <v>1</v>
      </c>
      <c r="AP539" s="2" t="s">
        <v>4675</v>
      </c>
      <c r="AQ539" s="2" t="s">
        <v>4396</v>
      </c>
      <c r="AR539" s="2" t="s">
        <v>4671</v>
      </c>
      <c r="AT539" s="765"/>
      <c r="AU539" s="765"/>
      <c r="AV539" s="765"/>
      <c r="AW539" s="765"/>
    </row>
    <row r="540" spans="1:58" x14ac:dyDescent="0.25">
      <c r="A540" s="765" t="s">
        <v>5171</v>
      </c>
      <c r="B540" s="108"/>
      <c r="C540" s="108"/>
      <c r="D540" s="108"/>
      <c r="E540" s="108"/>
      <c r="F540" s="114"/>
      <c r="G540" s="213">
        <v>1</v>
      </c>
      <c r="H540" s="115">
        <v>1</v>
      </c>
      <c r="I540" s="213"/>
      <c r="J540" s="109">
        <v>0</v>
      </c>
      <c r="K540" s="109"/>
      <c r="L540" s="115">
        <v>1</v>
      </c>
      <c r="M540" s="115">
        <v>0</v>
      </c>
      <c r="N540" s="115">
        <v>0</v>
      </c>
      <c r="O540" s="214">
        <v>0</v>
      </c>
      <c r="P540" s="115"/>
      <c r="Q540" s="769"/>
      <c r="R540" s="216"/>
      <c r="S540" s="216"/>
      <c r="T540" s="216">
        <v>0</v>
      </c>
      <c r="U540" s="216"/>
      <c r="V540" s="115"/>
      <c r="W540" s="109"/>
      <c r="X540" s="109"/>
      <c r="Y540" s="109"/>
      <c r="Z540" s="109"/>
      <c r="AA540" s="109"/>
      <c r="AB540" s="109"/>
      <c r="AC540" s="109"/>
      <c r="AD540" s="765"/>
      <c r="AE540" s="765" t="s">
        <v>522</v>
      </c>
      <c r="AF540" s="765"/>
      <c r="AG540" s="765"/>
      <c r="AH540" s="109"/>
      <c r="AL540" s="2" t="s">
        <v>680</v>
      </c>
      <c r="AM540" s="2" t="s">
        <v>3800</v>
      </c>
      <c r="AN540" s="2" t="s">
        <v>952</v>
      </c>
      <c r="AT540" s="765"/>
      <c r="AU540" s="765"/>
      <c r="AV540" s="765"/>
      <c r="AW540" s="765"/>
    </row>
    <row r="541" spans="1:58" x14ac:dyDescent="0.25">
      <c r="A541" s="765" t="s">
        <v>2207</v>
      </c>
      <c r="B541" s="108" t="s">
        <v>529</v>
      </c>
      <c r="C541" s="108" t="s">
        <v>2208</v>
      </c>
      <c r="D541" s="108" t="s">
        <v>1683</v>
      </c>
      <c r="E541" s="108" t="s">
        <v>2209</v>
      </c>
      <c r="F541" s="114" t="s">
        <v>698</v>
      </c>
      <c r="G541" s="213" t="s">
        <v>2210</v>
      </c>
      <c r="H541" s="115" t="s">
        <v>2211</v>
      </c>
      <c r="I541" s="213">
        <v>61858000</v>
      </c>
      <c r="J541" s="109">
        <v>3.3465699999999998</v>
      </c>
      <c r="K541" s="109" t="s">
        <v>695</v>
      </c>
      <c r="L541" s="115">
        <v>1</v>
      </c>
      <c r="M541" s="115">
        <v>0</v>
      </c>
      <c r="N541" s="115">
        <v>0</v>
      </c>
      <c r="O541" s="214">
        <v>0.120848</v>
      </c>
      <c r="P541" s="115">
        <v>0.51060000000000005</v>
      </c>
      <c r="Q541" s="769"/>
      <c r="R541" s="216"/>
      <c r="S541" s="216">
        <v>0.51060000000000005</v>
      </c>
      <c r="T541" s="216">
        <v>12</v>
      </c>
      <c r="U541" s="216"/>
      <c r="V541" s="115"/>
      <c r="W541" s="109">
        <v>295</v>
      </c>
      <c r="X541" s="109"/>
      <c r="Y541" s="109" t="s">
        <v>532</v>
      </c>
      <c r="Z541" s="109"/>
      <c r="AA541" s="109"/>
      <c r="AB541" s="109"/>
      <c r="AC541" s="109"/>
      <c r="AD541" s="765"/>
      <c r="AE541" s="765" t="s">
        <v>10</v>
      </c>
      <c r="AF541" s="765"/>
      <c r="AG541" s="765" t="s">
        <v>522</v>
      </c>
      <c r="AH541" s="109"/>
      <c r="AI541" s="2" t="s">
        <v>10</v>
      </c>
      <c r="AL541" s="2" t="s">
        <v>680</v>
      </c>
      <c r="AM541" s="2" t="s">
        <v>1656</v>
      </c>
      <c r="AN541" s="2" t="s">
        <v>952</v>
      </c>
      <c r="AO541" s="2">
        <v>1</v>
      </c>
      <c r="AP541" s="2" t="s">
        <v>4673</v>
      </c>
      <c r="AQ541" s="2" t="s">
        <v>4396</v>
      </c>
      <c r="AR541" s="2" t="s">
        <v>4671</v>
      </c>
      <c r="AT541" s="765"/>
      <c r="AU541" s="765"/>
      <c r="AV541" s="765"/>
      <c r="AW541" s="765"/>
    </row>
    <row r="542" spans="1:58" x14ac:dyDescent="0.25">
      <c r="A542" s="765" t="s">
        <v>3364</v>
      </c>
      <c r="B542" s="108" t="s">
        <v>529</v>
      </c>
      <c r="C542" s="108" t="s">
        <v>3365</v>
      </c>
      <c r="D542" s="108" t="s">
        <v>530</v>
      </c>
      <c r="E542" s="108" t="s">
        <v>3366</v>
      </c>
      <c r="F542" s="114" t="s">
        <v>698</v>
      </c>
      <c r="G542" s="213" t="s">
        <v>3367</v>
      </c>
      <c r="H542" s="115" t="s">
        <v>3276</v>
      </c>
      <c r="I542" s="213">
        <v>26200000</v>
      </c>
      <c r="J542" s="109">
        <v>4.7412900000000002</v>
      </c>
      <c r="K542" s="109" t="s">
        <v>695</v>
      </c>
      <c r="L542" s="115">
        <v>1</v>
      </c>
      <c r="M542" s="115">
        <v>0</v>
      </c>
      <c r="N542" s="115">
        <v>0</v>
      </c>
      <c r="O542" s="214">
        <v>0.90874699999999997</v>
      </c>
      <c r="P542" s="115">
        <v>3.4173</v>
      </c>
      <c r="Q542" s="769"/>
      <c r="R542" s="216"/>
      <c r="S542" s="216">
        <v>3.4173</v>
      </c>
      <c r="T542" s="216">
        <v>68</v>
      </c>
      <c r="U542" s="216"/>
      <c r="V542" s="115"/>
      <c r="W542" s="109">
        <v>450</v>
      </c>
      <c r="X542" s="109"/>
      <c r="Y542" s="109" t="s">
        <v>993</v>
      </c>
      <c r="Z542" s="109"/>
      <c r="AA542" s="109"/>
      <c r="AB542" s="109"/>
      <c r="AC542" s="109"/>
      <c r="AD542" s="765"/>
      <c r="AE542" s="765" t="s">
        <v>13</v>
      </c>
      <c r="AF542" s="765" t="s">
        <v>21</v>
      </c>
      <c r="AG542" s="765"/>
      <c r="AH542" s="109"/>
      <c r="AL542" s="2" t="s">
        <v>680</v>
      </c>
      <c r="AM542" s="2" t="s">
        <v>711</v>
      </c>
      <c r="AN542" s="2" t="s">
        <v>952</v>
      </c>
      <c r="AO542" s="2">
        <v>1</v>
      </c>
      <c r="AP542" s="2" t="s">
        <v>4670</v>
      </c>
      <c r="AQ542" s="2" t="s">
        <v>3194</v>
      </c>
      <c r="AR542" s="2" t="s">
        <v>4730</v>
      </c>
      <c r="AT542" s="765"/>
      <c r="AU542" s="765"/>
      <c r="AV542" s="765"/>
      <c r="AW542" s="765"/>
    </row>
    <row r="543" spans="1:58" x14ac:dyDescent="0.25">
      <c r="A543" s="765" t="s">
        <v>1579</v>
      </c>
      <c r="B543" s="108" t="s">
        <v>656</v>
      </c>
      <c r="C543" s="108" t="s">
        <v>1580</v>
      </c>
      <c r="D543" s="108" t="s">
        <v>539</v>
      </c>
      <c r="E543" s="108" t="s">
        <v>1580</v>
      </c>
      <c r="F543" s="114" t="s">
        <v>699</v>
      </c>
      <c r="G543" s="213" t="s">
        <v>1581</v>
      </c>
      <c r="H543" s="115" t="s">
        <v>1582</v>
      </c>
      <c r="I543" s="213">
        <v>95000000</v>
      </c>
      <c r="J543" s="109">
        <v>6.5</v>
      </c>
      <c r="K543" s="109" t="s">
        <v>696</v>
      </c>
      <c r="L543" s="115">
        <v>1</v>
      </c>
      <c r="M543" s="115">
        <v>100.438</v>
      </c>
      <c r="N543" s="115">
        <v>100.938</v>
      </c>
      <c r="O543" s="214">
        <v>1.588889</v>
      </c>
      <c r="P543" s="115"/>
      <c r="Q543" s="771">
        <v>2.2479034104198599</v>
      </c>
      <c r="R543" s="216">
        <v>2.1893406820148398</v>
      </c>
      <c r="S543" s="216">
        <v>2.2479034104198599</v>
      </c>
      <c r="T543" s="216">
        <v>0</v>
      </c>
      <c r="U543" s="216">
        <v>6.309244381300311</v>
      </c>
      <c r="V543" s="115"/>
      <c r="W543" s="109"/>
      <c r="X543" s="109">
        <v>341.51830778443929</v>
      </c>
      <c r="Y543" s="109"/>
      <c r="Z543" s="109"/>
      <c r="AA543" s="109"/>
      <c r="AB543" s="109"/>
      <c r="AC543" s="109"/>
      <c r="AD543" s="765"/>
      <c r="AE543" s="765" t="s">
        <v>10</v>
      </c>
      <c r="AF543" s="765"/>
      <c r="AG543" s="765"/>
      <c r="AH543" s="109"/>
      <c r="AI543" s="2" t="s">
        <v>10</v>
      </c>
      <c r="AL543" s="2" t="s">
        <v>680</v>
      </c>
      <c r="AM543" s="2" t="s">
        <v>811</v>
      </c>
      <c r="AN543" s="2" t="s">
        <v>952</v>
      </c>
      <c r="AT543" s="765"/>
      <c r="AU543" s="765"/>
      <c r="AV543" s="765"/>
      <c r="AW543" s="765"/>
    </row>
    <row r="544" spans="1:58" x14ac:dyDescent="0.25">
      <c r="A544" s="765" t="s">
        <v>3882</v>
      </c>
      <c r="B544" s="108" t="s">
        <v>527</v>
      </c>
      <c r="C544" s="108" t="s">
        <v>3911</v>
      </c>
      <c r="D544" s="108" t="s">
        <v>4642</v>
      </c>
      <c r="E544" s="108" t="s">
        <v>3913</v>
      </c>
      <c r="F544" s="114" t="s">
        <v>694</v>
      </c>
      <c r="G544" s="213" t="s">
        <v>3914</v>
      </c>
      <c r="H544" s="115" t="s">
        <v>3915</v>
      </c>
      <c r="I544" s="213">
        <v>255851000</v>
      </c>
      <c r="J544" s="109">
        <v>3.6469999999999998</v>
      </c>
      <c r="K544" s="109" t="s">
        <v>695</v>
      </c>
      <c r="L544" s="115">
        <v>1</v>
      </c>
      <c r="M544" s="115">
        <v>94.785622000000004</v>
      </c>
      <c r="N544" s="115">
        <v>94.941849000000005</v>
      </c>
      <c r="O544" s="214">
        <v>0.13169700000000001</v>
      </c>
      <c r="P544" s="115">
        <v>2.5417000000000001</v>
      </c>
      <c r="Q544" s="771">
        <v>-1.4999999999999999E-2</v>
      </c>
      <c r="R544" s="216"/>
      <c r="S544" s="216">
        <v>-1.4999999999999999E-2</v>
      </c>
      <c r="T544" s="216">
        <v>13</v>
      </c>
      <c r="U544" s="216">
        <v>5.9470000000000001</v>
      </c>
      <c r="V544" s="115">
        <v>346.39683140574289</v>
      </c>
      <c r="W544" s="109">
        <v>325</v>
      </c>
      <c r="X544" s="109">
        <v>549.6</v>
      </c>
      <c r="Y544" s="109" t="s">
        <v>1861</v>
      </c>
      <c r="Z544" s="109">
        <v>0</v>
      </c>
      <c r="AA544" s="109"/>
      <c r="AB544" s="109"/>
      <c r="AC544" s="109"/>
      <c r="AD544" s="765"/>
      <c r="AE544" s="765" t="s">
        <v>13</v>
      </c>
      <c r="AF544" s="765"/>
      <c r="AG544" s="765" t="s">
        <v>522</v>
      </c>
      <c r="AH544" s="109"/>
      <c r="AJ544" s="2" t="s">
        <v>3272</v>
      </c>
      <c r="AL544" s="2" t="s">
        <v>680</v>
      </c>
      <c r="AM544" s="2" t="s">
        <v>2976</v>
      </c>
      <c r="AN544" s="2" t="s">
        <v>952</v>
      </c>
      <c r="AO544" s="2">
        <v>1</v>
      </c>
      <c r="AP544" s="2" t="s">
        <v>4675</v>
      </c>
      <c r="AQ544" s="2" t="s">
        <v>4396</v>
      </c>
      <c r="AR544" s="2" t="s">
        <v>4671</v>
      </c>
      <c r="AT544" s="765"/>
      <c r="AU544" s="765"/>
      <c r="AV544" s="765"/>
      <c r="AW544" s="765"/>
    </row>
    <row r="545" spans="1:66" x14ac:dyDescent="0.25">
      <c r="A545" s="120" t="s">
        <v>3600</v>
      </c>
      <c r="B545" s="108" t="s">
        <v>527</v>
      </c>
      <c r="C545" s="108" t="s">
        <v>3805</v>
      </c>
      <c r="D545" s="108" t="s">
        <v>4656</v>
      </c>
      <c r="E545" s="435" t="s">
        <v>3806</v>
      </c>
      <c r="F545" s="114" t="s">
        <v>694</v>
      </c>
      <c r="G545" s="213" t="s">
        <v>3807</v>
      </c>
      <c r="H545" s="109" t="s">
        <v>2588</v>
      </c>
      <c r="I545" s="116">
        <v>65450000</v>
      </c>
      <c r="J545" s="109">
        <v>2.9430499999999999</v>
      </c>
      <c r="K545" s="109" t="s">
        <v>695</v>
      </c>
      <c r="L545" s="109">
        <v>1</v>
      </c>
      <c r="M545" s="115">
        <v>0</v>
      </c>
      <c r="N545" s="115">
        <v>0</v>
      </c>
      <c r="O545" s="115">
        <v>8.9927000000000007E-2</v>
      </c>
      <c r="P545" s="115">
        <v>1.875</v>
      </c>
      <c r="Q545" s="770"/>
      <c r="R545" s="216"/>
      <c r="S545" s="216">
        <v>1.875</v>
      </c>
      <c r="T545" s="216">
        <v>11</v>
      </c>
      <c r="U545" s="216"/>
      <c r="V545" s="115"/>
      <c r="W545" s="115">
        <v>261.44799999999998</v>
      </c>
      <c r="X545" s="115"/>
      <c r="Y545" s="115" t="s">
        <v>532</v>
      </c>
      <c r="Z545" s="115">
        <v>30.03647665353661</v>
      </c>
      <c r="AA545" s="109">
        <v>20.787175314371591</v>
      </c>
      <c r="AB545" s="109"/>
      <c r="AC545" s="109"/>
      <c r="AD545" s="765"/>
      <c r="AE545" s="765" t="s">
        <v>10</v>
      </c>
      <c r="AF545" s="765"/>
      <c r="AG545" s="765" t="s">
        <v>522</v>
      </c>
      <c r="AH545" s="109" t="s">
        <v>522</v>
      </c>
      <c r="AJ545" s="2" t="s">
        <v>10</v>
      </c>
      <c r="AL545" s="2" t="s">
        <v>680</v>
      </c>
      <c r="AM545" s="2" t="s">
        <v>1656</v>
      </c>
      <c r="AN545" s="2" t="s">
        <v>952</v>
      </c>
      <c r="AO545" s="2">
        <v>1</v>
      </c>
      <c r="AP545" s="2" t="s">
        <v>4675</v>
      </c>
      <c r="AQ545" s="2" t="s">
        <v>4639</v>
      </c>
      <c r="AR545" s="2" t="s">
        <v>4671</v>
      </c>
      <c r="AT545" s="765"/>
      <c r="AU545" s="765"/>
      <c r="AV545" s="765"/>
      <c r="AW545" s="765"/>
    </row>
    <row r="546" spans="1:66" x14ac:dyDescent="0.25">
      <c r="A546" s="765" t="s">
        <v>3581</v>
      </c>
      <c r="B546" s="108" t="s">
        <v>529</v>
      </c>
      <c r="C546" s="108" t="s">
        <v>3805</v>
      </c>
      <c r="D546" s="108" t="s">
        <v>1683</v>
      </c>
      <c r="E546" s="108" t="s">
        <v>3808</v>
      </c>
      <c r="F546" s="114" t="s">
        <v>698</v>
      </c>
      <c r="G546" s="213" t="s">
        <v>3809</v>
      </c>
      <c r="H546" s="115" t="s">
        <v>3810</v>
      </c>
      <c r="I546" s="213">
        <v>1243125000</v>
      </c>
      <c r="J546" s="109">
        <v>1.51057</v>
      </c>
      <c r="K546" s="109" t="s">
        <v>695</v>
      </c>
      <c r="L546" s="115">
        <v>1</v>
      </c>
      <c r="M546" s="115">
        <v>0</v>
      </c>
      <c r="N546" s="115">
        <v>0</v>
      </c>
      <c r="O546" s="214">
        <v>5.0352000000000001E-2</v>
      </c>
      <c r="P546" s="115">
        <v>2.2555999999999998</v>
      </c>
      <c r="Q546" s="771"/>
      <c r="R546" s="216"/>
      <c r="S546" s="216">
        <v>2.2555999999999998</v>
      </c>
      <c r="T546" s="216">
        <v>12</v>
      </c>
      <c r="U546" s="216"/>
      <c r="V546" s="115"/>
      <c r="W546" s="109">
        <v>108</v>
      </c>
      <c r="X546" s="109"/>
      <c r="Y546" s="109" t="s">
        <v>531</v>
      </c>
      <c r="Z546" s="109"/>
      <c r="AA546" s="109"/>
      <c r="AB546" s="109"/>
      <c r="AC546" s="109"/>
      <c r="AD546" s="765"/>
      <c r="AE546" s="765" t="s">
        <v>7</v>
      </c>
      <c r="AF546" s="765"/>
      <c r="AG546" s="765" t="s">
        <v>1062</v>
      </c>
      <c r="AH546" s="109"/>
      <c r="AJ546" s="2" t="s">
        <v>7</v>
      </c>
      <c r="AL546" s="2" t="s">
        <v>680</v>
      </c>
      <c r="AM546" s="2" t="s">
        <v>1656</v>
      </c>
      <c r="AN546" s="2" t="s">
        <v>952</v>
      </c>
      <c r="AO546" s="2">
        <v>1</v>
      </c>
      <c r="AP546" s="2" t="s">
        <v>4671</v>
      </c>
      <c r="AQ546" s="2" t="s">
        <v>4676</v>
      </c>
      <c r="AR546" s="2" t="s">
        <v>4661</v>
      </c>
      <c r="AT546" s="765"/>
      <c r="AU546" s="765"/>
      <c r="AV546" s="765"/>
      <c r="AW546" s="765"/>
    </row>
    <row r="547" spans="1:66" x14ac:dyDescent="0.25">
      <c r="A547" s="765" t="s">
        <v>3646</v>
      </c>
      <c r="B547" s="108" t="s">
        <v>684</v>
      </c>
      <c r="C547" s="108" t="s">
        <v>3811</v>
      </c>
      <c r="D547" s="108" t="s">
        <v>3736</v>
      </c>
      <c r="E547" s="108" t="s">
        <v>3812</v>
      </c>
      <c r="F547" s="114" t="s">
        <v>694</v>
      </c>
      <c r="G547" s="213" t="s">
        <v>3813</v>
      </c>
      <c r="H547" s="115" t="s">
        <v>3478</v>
      </c>
      <c r="I547" s="213">
        <v>49707710.670000002</v>
      </c>
      <c r="J547" s="109">
        <v>1.0489999999999999</v>
      </c>
      <c r="K547" s="109" t="s">
        <v>695</v>
      </c>
      <c r="L547" s="115">
        <v>0.93629140460000004</v>
      </c>
      <c r="M547" s="115">
        <v>0</v>
      </c>
      <c r="N547" s="115">
        <v>0</v>
      </c>
      <c r="O547" s="214">
        <v>8.7419999999999998E-3</v>
      </c>
      <c r="P547" s="115">
        <v>6.7549000000000001</v>
      </c>
      <c r="Q547" s="771"/>
      <c r="R547" s="216"/>
      <c r="S547" s="216">
        <v>6.7549000000000001</v>
      </c>
      <c r="T547" s="216">
        <v>3</v>
      </c>
      <c r="U547" s="216"/>
      <c r="V547" s="115"/>
      <c r="W547" s="109">
        <v>95</v>
      </c>
      <c r="X547" s="109"/>
      <c r="Y547" s="109" t="s">
        <v>3814</v>
      </c>
      <c r="Z547" s="109">
        <v>11.06115261296854</v>
      </c>
      <c r="AA547" s="109">
        <v>9.8906279476830505</v>
      </c>
      <c r="AB547" s="109" t="s">
        <v>3268</v>
      </c>
      <c r="AC547" s="109" t="s">
        <v>3896</v>
      </c>
      <c r="AD547" s="765" t="s">
        <v>248</v>
      </c>
      <c r="AE547" s="765" t="s">
        <v>7</v>
      </c>
      <c r="AF547" s="765"/>
      <c r="AG547" s="765" t="s">
        <v>1062</v>
      </c>
      <c r="AH547" s="109"/>
      <c r="AJ547" s="2" t="s">
        <v>7</v>
      </c>
      <c r="AL547" s="2" t="s">
        <v>680</v>
      </c>
      <c r="AM547" s="2" t="s">
        <v>709</v>
      </c>
      <c r="AN547" s="2" t="s">
        <v>952</v>
      </c>
      <c r="AO547" s="2">
        <v>0.94775983500000005</v>
      </c>
      <c r="AP547" s="2" t="s">
        <v>4666</v>
      </c>
      <c r="AQ547" s="2" t="s">
        <v>4469</v>
      </c>
      <c r="AR547" s="2" t="s">
        <v>4638</v>
      </c>
      <c r="AT547" s="765"/>
      <c r="AU547" s="765"/>
      <c r="AV547" s="765"/>
      <c r="AW547" s="765"/>
    </row>
    <row r="548" spans="1:66" x14ac:dyDescent="0.25">
      <c r="A548" s="765" t="s">
        <v>4583</v>
      </c>
      <c r="B548" s="108" t="s">
        <v>527</v>
      </c>
      <c r="C548" s="108" t="s">
        <v>4764</v>
      </c>
      <c r="D548" s="108" t="s">
        <v>5103</v>
      </c>
      <c r="E548" s="108" t="s">
        <v>4765</v>
      </c>
      <c r="F548" s="114" t="s">
        <v>694</v>
      </c>
      <c r="G548" s="213" t="s">
        <v>4766</v>
      </c>
      <c r="H548" s="115" t="s">
        <v>4767</v>
      </c>
      <c r="I548" s="213">
        <v>260563000</v>
      </c>
      <c r="J548" s="109">
        <v>2.4979619999999998</v>
      </c>
      <c r="K548" s="109" t="s">
        <v>695</v>
      </c>
      <c r="L548" s="115">
        <v>1</v>
      </c>
      <c r="M548" s="115">
        <v>97.463470000000001</v>
      </c>
      <c r="N548" s="115">
        <v>97.584911000000005</v>
      </c>
      <c r="O548" s="214">
        <v>9.0204000000000006E-2</v>
      </c>
      <c r="P548" s="115">
        <v>1.0417000000000001</v>
      </c>
      <c r="Q548" s="771">
        <v>4.2000000000000003E-2</v>
      </c>
      <c r="R548" s="216"/>
      <c r="S548" s="216">
        <v>4.2000000000000003E-2</v>
      </c>
      <c r="T548" s="216">
        <v>12</v>
      </c>
      <c r="U548" s="216">
        <v>5.0619999999999994</v>
      </c>
      <c r="V548" s="115">
        <v>335.88073404651431</v>
      </c>
      <c r="W548" s="109">
        <v>210.096</v>
      </c>
      <c r="X548" s="109">
        <v>465.6</v>
      </c>
      <c r="Y548" s="109" t="s">
        <v>1861</v>
      </c>
      <c r="Z548" s="109">
        <v>0</v>
      </c>
      <c r="AA548" s="109">
        <v>0</v>
      </c>
      <c r="AB548" s="109"/>
      <c r="AC548" s="109"/>
      <c r="AD548" s="765"/>
      <c r="AE548" s="765" t="s">
        <v>10</v>
      </c>
      <c r="AF548" s="765"/>
      <c r="AG548" s="765"/>
      <c r="AH548" s="109" t="s">
        <v>522</v>
      </c>
      <c r="AI548" s="2" t="s">
        <v>20</v>
      </c>
      <c r="AL548" s="2" t="s">
        <v>680</v>
      </c>
      <c r="AM548" s="2" t="s">
        <v>2976</v>
      </c>
      <c r="AN548" s="2" t="s">
        <v>952</v>
      </c>
      <c r="AO548" s="2">
        <v>1</v>
      </c>
      <c r="AP548" s="2" t="s">
        <v>4675</v>
      </c>
      <c r="AQ548" s="2" t="s">
        <v>4396</v>
      </c>
      <c r="AR548" s="2" t="s">
        <v>4671</v>
      </c>
      <c r="AT548" s="765"/>
      <c r="AU548" s="765"/>
      <c r="AV548" s="765"/>
      <c r="AW548" s="765"/>
    </row>
    <row r="549" spans="1:66" x14ac:dyDescent="0.25">
      <c r="A549" s="765" t="s">
        <v>2822</v>
      </c>
      <c r="B549" s="108" t="s">
        <v>529</v>
      </c>
      <c r="C549" s="108" t="s">
        <v>2823</v>
      </c>
      <c r="D549" s="108" t="s">
        <v>530</v>
      </c>
      <c r="E549" s="108" t="s">
        <v>2824</v>
      </c>
      <c r="F549" s="114" t="s">
        <v>698</v>
      </c>
      <c r="G549" s="213" t="s">
        <v>2825</v>
      </c>
      <c r="H549" s="115" t="s">
        <v>2826</v>
      </c>
      <c r="I549" s="213">
        <v>25000000</v>
      </c>
      <c r="J549" s="109">
        <v>4.7412900000000002</v>
      </c>
      <c r="K549" s="109" t="s">
        <v>695</v>
      </c>
      <c r="L549" s="115">
        <v>1</v>
      </c>
      <c r="M549" s="115">
        <v>0</v>
      </c>
      <c r="N549" s="115">
        <v>0</v>
      </c>
      <c r="O549" s="214">
        <v>0.90874699999999997</v>
      </c>
      <c r="P549" s="115">
        <v>4.6973000000000003</v>
      </c>
      <c r="Q549" s="771"/>
      <c r="R549" s="216"/>
      <c r="S549" s="216">
        <v>4.6973000000000003</v>
      </c>
      <c r="T549" s="216">
        <v>68</v>
      </c>
      <c r="U549" s="216"/>
      <c r="V549" s="115"/>
      <c r="W549" s="109">
        <v>450</v>
      </c>
      <c r="X549" s="109"/>
      <c r="Y549" s="109" t="s">
        <v>532</v>
      </c>
      <c r="Z549" s="109"/>
      <c r="AA549" s="109"/>
      <c r="AB549" s="109"/>
      <c r="AC549" s="109"/>
      <c r="AD549" s="765"/>
      <c r="AE549" s="765" t="s">
        <v>13</v>
      </c>
      <c r="AF549" s="765" t="s">
        <v>13</v>
      </c>
      <c r="AG549" s="765"/>
      <c r="AH549" s="109" t="s">
        <v>522</v>
      </c>
      <c r="AL549" s="2" t="s">
        <v>680</v>
      </c>
      <c r="AM549" s="2" t="s">
        <v>711</v>
      </c>
      <c r="AN549" s="2" t="s">
        <v>952</v>
      </c>
      <c r="AO549" s="2">
        <v>1</v>
      </c>
      <c r="AP549" s="2" t="s">
        <v>4675</v>
      </c>
      <c r="AQ549" s="2" t="s">
        <v>3194</v>
      </c>
      <c r="AR549" s="2" t="s">
        <v>4671</v>
      </c>
      <c r="AT549" s="765"/>
      <c r="AU549" s="765"/>
      <c r="AV549" s="765"/>
      <c r="AW549" s="765"/>
    </row>
    <row r="550" spans="1:66" x14ac:dyDescent="0.25">
      <c r="A550" s="765" t="s">
        <v>2189</v>
      </c>
      <c r="B550" s="108" t="s">
        <v>656</v>
      </c>
      <c r="C550" s="108" t="s">
        <v>2190</v>
      </c>
      <c r="D550" s="108" t="s">
        <v>539</v>
      </c>
      <c r="E550" s="108" t="s">
        <v>2190</v>
      </c>
      <c r="F550" s="114" t="s">
        <v>699</v>
      </c>
      <c r="G550" s="213" t="s">
        <v>2191</v>
      </c>
      <c r="H550" s="115" t="s">
        <v>2192</v>
      </c>
      <c r="I550" s="213">
        <v>29500000</v>
      </c>
      <c r="J550" s="109">
        <v>7.5</v>
      </c>
      <c r="K550" s="109" t="s">
        <v>696</v>
      </c>
      <c r="L550" s="115">
        <v>1</v>
      </c>
      <c r="M550" s="115">
        <v>0</v>
      </c>
      <c r="N550" s="115">
        <v>0</v>
      </c>
      <c r="O550" s="214">
        <v>2.7708330000000001</v>
      </c>
      <c r="P550" s="115"/>
      <c r="Q550" s="771"/>
      <c r="R550" s="216"/>
      <c r="S550" s="216">
        <v>3.6383561643835618</v>
      </c>
      <c r="T550" s="216">
        <v>132</v>
      </c>
      <c r="U550" s="216"/>
      <c r="V550" s="115"/>
      <c r="W550" s="109"/>
      <c r="X550" s="109"/>
      <c r="Y550" s="109"/>
      <c r="Z550" s="109"/>
      <c r="AA550" s="109"/>
      <c r="AB550" s="109"/>
      <c r="AC550" s="109"/>
      <c r="AD550" s="765"/>
      <c r="AE550" s="765" t="s">
        <v>9</v>
      </c>
      <c r="AF550" s="765"/>
      <c r="AG550" s="765"/>
      <c r="AH550" s="109"/>
      <c r="AK550" s="2" t="s">
        <v>18</v>
      </c>
      <c r="AL550" s="2" t="s">
        <v>680</v>
      </c>
      <c r="AM550" s="2" t="s">
        <v>811</v>
      </c>
      <c r="AN550" s="2" t="s">
        <v>952</v>
      </c>
      <c r="AT550" s="765"/>
      <c r="AU550" s="765"/>
      <c r="AV550" s="765"/>
      <c r="AW550" s="765"/>
    </row>
    <row r="551" spans="1:66" x14ac:dyDescent="0.25">
      <c r="A551" s="765" t="s">
        <v>2224</v>
      </c>
      <c r="B551" s="108" t="s">
        <v>526</v>
      </c>
      <c r="C551" s="108" t="s">
        <v>2225</v>
      </c>
      <c r="D551" s="108" t="s">
        <v>5172</v>
      </c>
      <c r="E551" s="108" t="s">
        <v>2226</v>
      </c>
      <c r="F551" s="114" t="s">
        <v>698</v>
      </c>
      <c r="G551" s="213" t="s">
        <v>2227</v>
      </c>
      <c r="H551" s="115" t="s">
        <v>1949</v>
      </c>
      <c r="I551" s="213">
        <v>2656549.34</v>
      </c>
      <c r="J551" s="109">
        <v>5.03</v>
      </c>
      <c r="K551" s="109" t="s">
        <v>696</v>
      </c>
      <c r="L551" s="115">
        <v>0.10774016860000001</v>
      </c>
      <c r="M551" s="115">
        <v>100.052094</v>
      </c>
      <c r="N551" s="115">
        <v>100.05756</v>
      </c>
      <c r="O551" s="214">
        <v>0.18163899999999999</v>
      </c>
      <c r="P551" s="115">
        <v>4.1700000000000001E-2</v>
      </c>
      <c r="Q551" s="771">
        <v>4.3831002819999999E-2</v>
      </c>
      <c r="R551" s="216"/>
      <c r="S551" s="216">
        <v>4.3831002819999999E-2</v>
      </c>
      <c r="T551" s="216">
        <v>13</v>
      </c>
      <c r="U551" s="216">
        <v>3.8029999999999999</v>
      </c>
      <c r="V551" s="115">
        <v>364.54596924544001</v>
      </c>
      <c r="W551" s="109"/>
      <c r="X551" s="109">
        <v>318.29413188578002</v>
      </c>
      <c r="Y551" s="109" t="s">
        <v>663</v>
      </c>
      <c r="Z551" s="109">
        <v>57.092050059493168</v>
      </c>
      <c r="AA551" s="109">
        <v>47.235855979928317</v>
      </c>
      <c r="AB551" s="109" t="s">
        <v>1304</v>
      </c>
      <c r="AC551" s="109" t="s">
        <v>2418</v>
      </c>
      <c r="AD551" s="765" t="s">
        <v>255</v>
      </c>
      <c r="AE551" s="765" t="s">
        <v>9</v>
      </c>
      <c r="AF551" s="765"/>
      <c r="AG551" s="765"/>
      <c r="AH551" s="109"/>
      <c r="AI551" s="2" t="s">
        <v>17</v>
      </c>
      <c r="AL551" s="2" t="s">
        <v>680</v>
      </c>
      <c r="AM551" s="2" t="s">
        <v>710</v>
      </c>
      <c r="AN551" s="2" t="s">
        <v>952</v>
      </c>
      <c r="AO551" s="2">
        <v>0.146403212</v>
      </c>
      <c r="AP551" s="2" t="s">
        <v>4675</v>
      </c>
      <c r="AQ551" s="2" t="s">
        <v>4396</v>
      </c>
      <c r="AR551" s="2" t="s">
        <v>4671</v>
      </c>
      <c r="AT551" s="765"/>
      <c r="AU551" s="765"/>
      <c r="AV551" s="765"/>
      <c r="AW551" s="765"/>
    </row>
    <row r="552" spans="1:66" x14ac:dyDescent="0.25">
      <c r="A552" s="765" t="s">
        <v>2515</v>
      </c>
      <c r="B552" s="108" t="s">
        <v>526</v>
      </c>
      <c r="C552" s="108" t="s">
        <v>2225</v>
      </c>
      <c r="D552" s="108" t="s">
        <v>5173</v>
      </c>
      <c r="E552" s="108" t="s">
        <v>2516</v>
      </c>
      <c r="F552" s="114" t="s">
        <v>698</v>
      </c>
      <c r="G552" s="213" t="s">
        <v>2534</v>
      </c>
      <c r="H552" s="115" t="s">
        <v>2367</v>
      </c>
      <c r="I552" s="213">
        <v>0</v>
      </c>
      <c r="J552" s="109">
        <v>2.2400000000000002</v>
      </c>
      <c r="K552" s="109" t="s">
        <v>696</v>
      </c>
      <c r="L552" s="115">
        <v>0</v>
      </c>
      <c r="M552" s="115">
        <v>0</v>
      </c>
      <c r="N552" s="115">
        <v>0</v>
      </c>
      <c r="O552" s="214">
        <v>0</v>
      </c>
      <c r="P552" s="115">
        <v>0.86</v>
      </c>
      <c r="Q552" s="771"/>
      <c r="R552" s="216"/>
      <c r="S552" s="216">
        <v>0.86</v>
      </c>
      <c r="T552" s="216">
        <v>15</v>
      </c>
      <c r="U552" s="216"/>
      <c r="V552" s="115"/>
      <c r="W552" s="109"/>
      <c r="X552" s="109"/>
      <c r="Y552" s="109" t="s">
        <v>662</v>
      </c>
      <c r="Z552" s="109">
        <v>36.411308300969011</v>
      </c>
      <c r="AA552" s="109">
        <v>38.441175579688633</v>
      </c>
      <c r="AB552" s="109" t="s">
        <v>1348</v>
      </c>
      <c r="AC552" s="109" t="s">
        <v>1202</v>
      </c>
      <c r="AD552" s="765" t="s">
        <v>1192</v>
      </c>
      <c r="AE552" s="765" t="s">
        <v>7</v>
      </c>
      <c r="AF552" s="765"/>
      <c r="AG552" s="765"/>
      <c r="AH552" s="109"/>
      <c r="AI552" s="2" t="s">
        <v>7</v>
      </c>
      <c r="AL552" s="2" t="s">
        <v>680</v>
      </c>
      <c r="AM552" s="2" t="s">
        <v>710</v>
      </c>
      <c r="AN552" s="2" t="s">
        <v>952</v>
      </c>
      <c r="AO552" s="2">
        <v>8.8911359999999991E-3</v>
      </c>
      <c r="AP552" s="2" t="s">
        <v>4481</v>
      </c>
      <c r="AQ552" s="2" t="s">
        <v>3082</v>
      </c>
      <c r="AR552" s="2" t="s">
        <v>4671</v>
      </c>
      <c r="AT552" s="765"/>
      <c r="AU552" s="765"/>
      <c r="AV552" s="765"/>
      <c r="AW552" s="765"/>
    </row>
    <row r="553" spans="1:66" x14ac:dyDescent="0.25">
      <c r="A553" s="765" t="s">
        <v>2517</v>
      </c>
      <c r="B553" s="108" t="s">
        <v>526</v>
      </c>
      <c r="C553" s="108" t="s">
        <v>2225</v>
      </c>
      <c r="D553" s="108" t="s">
        <v>5173</v>
      </c>
      <c r="E553" s="108" t="s">
        <v>2518</v>
      </c>
      <c r="F553" s="114" t="s">
        <v>698</v>
      </c>
      <c r="G553" s="213" t="s">
        <v>2534</v>
      </c>
      <c r="H553" s="115" t="s">
        <v>2367</v>
      </c>
      <c r="I553" s="213">
        <v>8913674.4000000004</v>
      </c>
      <c r="J553" s="109">
        <v>2.38</v>
      </c>
      <c r="K553" s="109" t="s">
        <v>696</v>
      </c>
      <c r="L553" s="115">
        <v>0.1721318245</v>
      </c>
      <c r="M553" s="115">
        <v>100.004784</v>
      </c>
      <c r="N553" s="115">
        <v>100.00765199999999</v>
      </c>
      <c r="O553" s="214">
        <v>8.5944000000000007E-2</v>
      </c>
      <c r="P553" s="115">
        <v>7.8899999999999998E-2</v>
      </c>
      <c r="Q553" s="771">
        <v>7.8363865889999995E-2</v>
      </c>
      <c r="R553" s="216"/>
      <c r="S553" s="216">
        <v>7.8363865889999995E-2</v>
      </c>
      <c r="T553" s="216">
        <v>12</v>
      </c>
      <c r="U553" s="216">
        <v>2.33</v>
      </c>
      <c r="V553" s="115">
        <v>217.26890602227999</v>
      </c>
      <c r="W553" s="109"/>
      <c r="X553" s="109">
        <v>197.74447172393999</v>
      </c>
      <c r="Y553" s="109" t="s">
        <v>663</v>
      </c>
      <c r="Z553" s="109">
        <v>36.411308300969011</v>
      </c>
      <c r="AA553" s="109">
        <v>38.441175579688633</v>
      </c>
      <c r="AB553" s="109" t="s">
        <v>1348</v>
      </c>
      <c r="AC553" s="109" t="s">
        <v>1202</v>
      </c>
      <c r="AD553" s="765" t="s">
        <v>1192</v>
      </c>
      <c r="AE553" s="765" t="s">
        <v>7</v>
      </c>
      <c r="AF553" s="765"/>
      <c r="AG553" s="765"/>
      <c r="AH553" s="109"/>
      <c r="AI553" s="2" t="s">
        <v>7</v>
      </c>
      <c r="AL553" s="2" t="s">
        <v>680</v>
      </c>
      <c r="AM553" s="2" t="s">
        <v>710</v>
      </c>
      <c r="AN553" s="2" t="s">
        <v>952</v>
      </c>
      <c r="AO553" s="2">
        <v>0.27029140000000001</v>
      </c>
      <c r="AP553" s="2" t="s">
        <v>4675</v>
      </c>
      <c r="AQ553" s="2" t="s">
        <v>4396</v>
      </c>
      <c r="AR553" s="2" t="s">
        <v>4671</v>
      </c>
      <c r="AT553" s="765"/>
      <c r="AU553" s="765"/>
      <c r="AV553" s="765"/>
      <c r="AW553" s="765"/>
    </row>
    <row r="554" spans="1:66" x14ac:dyDescent="0.25">
      <c r="A554" s="765" t="s">
        <v>2519</v>
      </c>
      <c r="B554" s="108" t="s">
        <v>526</v>
      </c>
      <c r="C554" s="108" t="s">
        <v>2225</v>
      </c>
      <c r="D554" s="108" t="s">
        <v>5173</v>
      </c>
      <c r="E554" s="108" t="s">
        <v>2520</v>
      </c>
      <c r="F554" s="114" t="s">
        <v>698</v>
      </c>
      <c r="G554" s="213" t="s">
        <v>2534</v>
      </c>
      <c r="H554" s="115" t="s">
        <v>2367</v>
      </c>
      <c r="I554" s="213">
        <v>17837000</v>
      </c>
      <c r="J554" s="109">
        <v>2.8</v>
      </c>
      <c r="K554" s="109" t="s">
        <v>696</v>
      </c>
      <c r="L554" s="115">
        <v>1</v>
      </c>
      <c r="M554" s="115">
        <v>100.00979599999999</v>
      </c>
      <c r="N554" s="115">
        <v>100.025921</v>
      </c>
      <c r="O554" s="214">
        <v>0.10111100000000001</v>
      </c>
      <c r="P554" s="115">
        <v>0.3251</v>
      </c>
      <c r="Q554" s="771">
        <v>0.31217667660999998</v>
      </c>
      <c r="R554" s="216"/>
      <c r="S554" s="216">
        <v>0.31217667660999998</v>
      </c>
      <c r="T554" s="216">
        <v>12</v>
      </c>
      <c r="U554" s="216">
        <v>2.786</v>
      </c>
      <c r="V554" s="115">
        <v>208.52511631550999</v>
      </c>
      <c r="W554" s="109"/>
      <c r="X554" s="109">
        <v>189.04179358994</v>
      </c>
      <c r="Y554" s="109" t="s">
        <v>663</v>
      </c>
      <c r="Z554" s="109">
        <v>36.411308300969011</v>
      </c>
      <c r="AA554" s="109">
        <v>38.441175579688633</v>
      </c>
      <c r="AB554" s="109" t="s">
        <v>1348</v>
      </c>
      <c r="AC554" s="109" t="s">
        <v>1202</v>
      </c>
      <c r="AD554" s="765" t="s">
        <v>1192</v>
      </c>
      <c r="AE554" s="765" t="s">
        <v>8</v>
      </c>
      <c r="AF554" s="765"/>
      <c r="AG554" s="765"/>
      <c r="AH554" s="109"/>
      <c r="AI554" s="2" t="s">
        <v>15</v>
      </c>
      <c r="AL554" s="2" t="s">
        <v>680</v>
      </c>
      <c r="AM554" s="2" t="s">
        <v>710</v>
      </c>
      <c r="AN554" s="2" t="s">
        <v>952</v>
      </c>
      <c r="AO554" s="2">
        <v>1</v>
      </c>
      <c r="AP554" s="2" t="s">
        <v>4675</v>
      </c>
      <c r="AQ554" s="2" t="s">
        <v>4396</v>
      </c>
      <c r="AR554" s="2" t="s">
        <v>4671</v>
      </c>
      <c r="AT554" s="765"/>
      <c r="AU554" s="765"/>
      <c r="AV554" s="765"/>
      <c r="AW554" s="765"/>
    </row>
    <row r="555" spans="1:66" x14ac:dyDescent="0.25">
      <c r="A555" s="765" t="s">
        <v>2521</v>
      </c>
      <c r="B555" s="108" t="s">
        <v>526</v>
      </c>
      <c r="C555" s="108" t="s">
        <v>2225</v>
      </c>
      <c r="D555" s="108" t="s">
        <v>5173</v>
      </c>
      <c r="E555" s="108" t="s">
        <v>2522</v>
      </c>
      <c r="F555" s="114" t="s">
        <v>698</v>
      </c>
      <c r="G555" s="213" t="s">
        <v>2534</v>
      </c>
      <c r="H555" s="115" t="s">
        <v>2367</v>
      </c>
      <c r="I555" s="213">
        <v>28625000</v>
      </c>
      <c r="J555" s="109">
        <v>3.54</v>
      </c>
      <c r="K555" s="109" t="s">
        <v>696</v>
      </c>
      <c r="L555" s="115">
        <v>1</v>
      </c>
      <c r="M555" s="115">
        <v>99.496764999999996</v>
      </c>
      <c r="N555" s="115">
        <v>99.581772000000001</v>
      </c>
      <c r="O555" s="214">
        <v>0.127833</v>
      </c>
      <c r="P555" s="115">
        <v>1.1856</v>
      </c>
      <c r="Q555" s="771">
        <v>1.10986324929</v>
      </c>
      <c r="R555" s="216"/>
      <c r="S555" s="216">
        <v>1.10986324929</v>
      </c>
      <c r="T555" s="216">
        <v>12</v>
      </c>
      <c r="U555" s="216">
        <v>4.01</v>
      </c>
      <c r="V555" s="115">
        <v>220.54888434486</v>
      </c>
      <c r="W555" s="109"/>
      <c r="X555" s="109">
        <v>195.9290212105</v>
      </c>
      <c r="Y555" s="109" t="s">
        <v>663</v>
      </c>
      <c r="Z555" s="109">
        <v>36.411308300969011</v>
      </c>
      <c r="AA555" s="109">
        <v>38.441175579688633</v>
      </c>
      <c r="AB555" s="109" t="s">
        <v>1348</v>
      </c>
      <c r="AC555" s="109" t="s">
        <v>1202</v>
      </c>
      <c r="AD555" s="765" t="s">
        <v>1192</v>
      </c>
      <c r="AE555" s="765" t="s">
        <v>10</v>
      </c>
      <c r="AF555" s="765"/>
      <c r="AG555" s="765"/>
      <c r="AH555" s="109"/>
      <c r="AI555" s="2" t="s">
        <v>20</v>
      </c>
      <c r="AL555" s="2" t="s">
        <v>680</v>
      </c>
      <c r="AM555" s="2" t="s">
        <v>710</v>
      </c>
      <c r="AN555" s="2" t="s">
        <v>952</v>
      </c>
      <c r="AO555" s="2">
        <v>1</v>
      </c>
      <c r="AP555" s="2" t="s">
        <v>4675</v>
      </c>
      <c r="AQ555" s="2" t="s">
        <v>4396</v>
      </c>
      <c r="AR555" s="2" t="s">
        <v>4671</v>
      </c>
      <c r="AT555" s="765"/>
      <c r="AU555" s="765"/>
      <c r="AV555" s="765"/>
      <c r="AW555" s="765"/>
    </row>
    <row r="556" spans="1:66" x14ac:dyDescent="0.25">
      <c r="A556" s="765" t="s">
        <v>3135</v>
      </c>
      <c r="B556" s="108" t="s">
        <v>529</v>
      </c>
      <c r="C556" s="108" t="s">
        <v>3261</v>
      </c>
      <c r="D556" s="108" t="s">
        <v>530</v>
      </c>
      <c r="E556" s="108" t="s">
        <v>3264</v>
      </c>
      <c r="F556" s="114" t="s">
        <v>698</v>
      </c>
      <c r="G556" s="213" t="s">
        <v>3262</v>
      </c>
      <c r="H556" s="115" t="s">
        <v>3263</v>
      </c>
      <c r="I556" s="213">
        <v>12000000</v>
      </c>
      <c r="J556" s="109">
        <v>7.7312900000000004</v>
      </c>
      <c r="K556" s="109" t="s">
        <v>695</v>
      </c>
      <c r="L556" s="115">
        <v>1</v>
      </c>
      <c r="M556" s="115">
        <v>0</v>
      </c>
      <c r="N556" s="115">
        <v>0</v>
      </c>
      <c r="O556" s="214">
        <v>1.4818309999999999</v>
      </c>
      <c r="P556" s="115">
        <v>7.4729000000000001</v>
      </c>
      <c r="Q556" s="771"/>
      <c r="R556" s="216"/>
      <c r="S556" s="216">
        <v>7.4729000000000001</v>
      </c>
      <c r="T556" s="216">
        <v>69</v>
      </c>
      <c r="U556" s="216"/>
      <c r="V556" s="115"/>
      <c r="W556" s="109">
        <v>749</v>
      </c>
      <c r="X556" s="109"/>
      <c r="Y556" s="109" t="s">
        <v>532</v>
      </c>
      <c r="Z556" s="109"/>
      <c r="AA556" s="109"/>
      <c r="AB556" s="109"/>
      <c r="AC556" s="109"/>
      <c r="AD556" s="765"/>
      <c r="AE556" s="765" t="s">
        <v>13</v>
      </c>
      <c r="AF556" s="765" t="s">
        <v>5</v>
      </c>
      <c r="AG556" s="765"/>
      <c r="AH556" s="109"/>
      <c r="AL556" s="2" t="s">
        <v>680</v>
      </c>
      <c r="AM556" s="2" t="s">
        <v>711</v>
      </c>
      <c r="AN556" s="2" t="s">
        <v>952</v>
      </c>
      <c r="AO556" s="2">
        <v>1</v>
      </c>
      <c r="AP556" s="2" t="s">
        <v>4665</v>
      </c>
      <c r="AQ556" s="2" t="s">
        <v>3194</v>
      </c>
      <c r="AR556" s="2" t="s">
        <v>4661</v>
      </c>
      <c r="AT556" s="765"/>
      <c r="AU556" s="765"/>
      <c r="AV556" s="765"/>
      <c r="AW556" s="765"/>
    </row>
    <row r="557" spans="1:66" x14ac:dyDescent="0.25">
      <c r="A557" s="765" t="s">
        <v>5069</v>
      </c>
      <c r="B557" s="108" t="s">
        <v>684</v>
      </c>
      <c r="C557" s="108" t="s">
        <v>1924</v>
      </c>
      <c r="D557" s="108" t="s">
        <v>3688</v>
      </c>
      <c r="E557" s="108" t="s">
        <v>5174</v>
      </c>
      <c r="F557" s="114" t="s">
        <v>694</v>
      </c>
      <c r="G557" s="213" t="s">
        <v>5175</v>
      </c>
      <c r="H557" s="115" t="s">
        <v>5176</v>
      </c>
      <c r="I557" s="213">
        <v>99922680.890000001</v>
      </c>
      <c r="J557" s="109">
        <v>0.89900000000000002</v>
      </c>
      <c r="K557" s="109" t="s">
        <v>695</v>
      </c>
      <c r="L557" s="115">
        <v>0.98443081379999997</v>
      </c>
      <c r="M557" s="115">
        <v>0</v>
      </c>
      <c r="N557" s="115">
        <v>0</v>
      </c>
      <c r="O557" s="214">
        <v>7.4920000000000004E-3</v>
      </c>
      <c r="P557" s="115">
        <v>4.7755999999999998</v>
      </c>
      <c r="Q557" s="771"/>
      <c r="R557" s="216"/>
      <c r="S557" s="216">
        <v>4.7755999999999998</v>
      </c>
      <c r="T557" s="216">
        <v>3</v>
      </c>
      <c r="U557" s="216"/>
      <c r="V557" s="115"/>
      <c r="W557" s="109">
        <v>80</v>
      </c>
      <c r="X557" s="109"/>
      <c r="Y557" s="109" t="s">
        <v>5177</v>
      </c>
      <c r="Z557" s="109"/>
      <c r="AA557" s="109"/>
      <c r="AB557" s="109" t="s">
        <v>2935</v>
      </c>
      <c r="AC557" s="109" t="s">
        <v>3085</v>
      </c>
      <c r="AD557" s="765" t="s">
        <v>2713</v>
      </c>
      <c r="AE557" s="765" t="s">
        <v>7</v>
      </c>
      <c r="AF557" s="765"/>
      <c r="AG557" s="765" t="s">
        <v>1062</v>
      </c>
      <c r="AH557" s="109"/>
      <c r="AJ557" s="2" t="s">
        <v>7</v>
      </c>
      <c r="AL557" s="2" t="s">
        <v>680</v>
      </c>
      <c r="AM557" s="2" t="s">
        <v>709</v>
      </c>
      <c r="AN557" s="2" t="s">
        <v>952</v>
      </c>
      <c r="AO557" s="2">
        <v>0.98876317300000005</v>
      </c>
      <c r="AP557" s="2" t="s">
        <v>4666</v>
      </c>
      <c r="AQ557" s="2" t="s">
        <v>4469</v>
      </c>
      <c r="AR557" s="2" t="s">
        <v>4638</v>
      </c>
      <c r="AT557" s="765"/>
      <c r="AU557" s="765"/>
      <c r="AV557" s="765"/>
      <c r="AW557" s="765"/>
    </row>
    <row r="558" spans="1:66" x14ac:dyDescent="0.25">
      <c r="A558" s="765" t="s">
        <v>1923</v>
      </c>
      <c r="B558" s="108" t="s">
        <v>528</v>
      </c>
      <c r="C558" s="108" t="s">
        <v>1924</v>
      </c>
      <c r="D558" s="108" t="s">
        <v>1922</v>
      </c>
      <c r="E558" s="108" t="s">
        <v>1925</v>
      </c>
      <c r="F558" s="114" t="s">
        <v>694</v>
      </c>
      <c r="G558" s="213" t="s">
        <v>1926</v>
      </c>
      <c r="H558" s="115" t="s">
        <v>1927</v>
      </c>
      <c r="I558" s="213">
        <v>3109818.47</v>
      </c>
      <c r="J558" s="109">
        <v>4.35527</v>
      </c>
      <c r="K558" s="109" t="s">
        <v>696</v>
      </c>
      <c r="L558" s="115">
        <v>0.92197404979999997</v>
      </c>
      <c r="M558" s="115">
        <v>100</v>
      </c>
      <c r="N558" s="115">
        <v>100</v>
      </c>
      <c r="O558" s="214">
        <v>0.32664500000000002</v>
      </c>
      <c r="P558" s="115">
        <v>3.468</v>
      </c>
      <c r="Q558" s="771">
        <v>4.1480429642200001</v>
      </c>
      <c r="R558" s="216"/>
      <c r="S558" s="216">
        <v>4.1480429642200001</v>
      </c>
      <c r="T558" s="216">
        <v>26</v>
      </c>
      <c r="U558" s="216">
        <v>4.3280000000000003</v>
      </c>
      <c r="V558" s="115">
        <v>171.00444762859999</v>
      </c>
      <c r="W558" s="109"/>
      <c r="X558" s="109">
        <v>127.2012987426</v>
      </c>
      <c r="Y558" s="109" t="s">
        <v>1906</v>
      </c>
      <c r="Z558" s="109">
        <v>1.050683235975791E-2</v>
      </c>
      <c r="AA558" s="109">
        <v>29.29925025662164</v>
      </c>
      <c r="AB558" s="109" t="s">
        <v>2137</v>
      </c>
      <c r="AC558" s="109" t="s">
        <v>2713</v>
      </c>
      <c r="AD558" s="765" t="s">
        <v>4488</v>
      </c>
      <c r="AE558" s="765" t="s">
        <v>8</v>
      </c>
      <c r="AF558" s="765"/>
      <c r="AG558" s="765" t="s">
        <v>1638</v>
      </c>
      <c r="AH558" s="109"/>
      <c r="AJ558" s="2" t="s">
        <v>2213</v>
      </c>
      <c r="AL558" s="2" t="s">
        <v>680</v>
      </c>
      <c r="AM558" s="2" t="s">
        <v>709</v>
      </c>
      <c r="AN558" s="2" t="s">
        <v>952</v>
      </c>
      <c r="AO558" s="2">
        <v>0.92401435799999998</v>
      </c>
      <c r="AP558" s="2" t="s">
        <v>4673</v>
      </c>
      <c r="AQ558" s="2" t="s">
        <v>4469</v>
      </c>
      <c r="AR558" s="2" t="s">
        <v>4638</v>
      </c>
      <c r="AT558" s="765"/>
      <c r="AU558" s="765"/>
      <c r="AV558" s="765"/>
      <c r="AW558" s="765"/>
    </row>
    <row r="559" spans="1:66" x14ac:dyDescent="0.25">
      <c r="A559" s="765" t="s">
        <v>3645</v>
      </c>
      <c r="B559" s="108" t="s">
        <v>528</v>
      </c>
      <c r="C559" s="108" t="s">
        <v>1924</v>
      </c>
      <c r="D559" s="108" t="s">
        <v>3815</v>
      </c>
      <c r="E559" s="108" t="s">
        <v>3816</v>
      </c>
      <c r="F559" s="114" t="s">
        <v>694</v>
      </c>
      <c r="G559" s="213" t="s">
        <v>3084</v>
      </c>
      <c r="H559" s="115" t="s">
        <v>3690</v>
      </c>
      <c r="I559" s="213">
        <v>21939962.620000001</v>
      </c>
      <c r="J559" s="109">
        <v>2.5</v>
      </c>
      <c r="K559" s="109" t="s">
        <v>696</v>
      </c>
      <c r="L559" s="115">
        <v>0.90109917120000005</v>
      </c>
      <c r="M559" s="115">
        <v>90.324280000000002</v>
      </c>
      <c r="N559" s="115">
        <v>90.349281000000005</v>
      </c>
      <c r="O559" s="214">
        <v>0.1875</v>
      </c>
      <c r="P559" s="115">
        <v>6.6984000000000004</v>
      </c>
      <c r="Q559" s="771">
        <v>9.0032100674300004</v>
      </c>
      <c r="R559" s="216"/>
      <c r="S559" s="216">
        <v>9.0032100674300004</v>
      </c>
      <c r="T559" s="216">
        <v>26</v>
      </c>
      <c r="U559" s="216">
        <v>4.3289999999999997</v>
      </c>
      <c r="V559" s="115">
        <v>174.34401038048</v>
      </c>
      <c r="W559" s="109"/>
      <c r="X559" s="109">
        <v>106.11301371376</v>
      </c>
      <c r="Y559" s="109" t="s">
        <v>2039</v>
      </c>
      <c r="Z559" s="109">
        <v>11.84210785132689</v>
      </c>
      <c r="AA559" s="109"/>
      <c r="AB559" s="109" t="s">
        <v>2193</v>
      </c>
      <c r="AC559" s="109" t="s">
        <v>3085</v>
      </c>
      <c r="AD559" s="765" t="s">
        <v>3817</v>
      </c>
      <c r="AE559" s="765" t="s">
        <v>7</v>
      </c>
      <c r="AF559" s="765"/>
      <c r="AG559" s="765" t="s">
        <v>1628</v>
      </c>
      <c r="AH559" s="109"/>
      <c r="AI559" s="765"/>
      <c r="AJ559" s="765" t="s">
        <v>7</v>
      </c>
      <c r="AK559" s="765"/>
      <c r="AL559" s="765" t="s">
        <v>680</v>
      </c>
      <c r="AM559" s="765" t="s">
        <v>709</v>
      </c>
      <c r="AN559" s="765" t="s">
        <v>952</v>
      </c>
      <c r="AO559" s="765">
        <v>0.91306928700000001</v>
      </c>
      <c r="AP559" s="765" t="s">
        <v>4673</v>
      </c>
      <c r="AQ559" s="765" t="s">
        <v>4469</v>
      </c>
      <c r="AR559" s="765" t="s">
        <v>4638</v>
      </c>
      <c r="AS559" s="765"/>
      <c r="AT559" s="765"/>
      <c r="AU559" s="765"/>
      <c r="AV559" s="765"/>
      <c r="AW559" s="765"/>
      <c r="AX559" s="765"/>
      <c r="AY559" s="765"/>
      <c r="AZ559" s="765"/>
      <c r="BA559" s="765"/>
      <c r="BB559" s="765"/>
      <c r="BC559" s="765"/>
      <c r="BD559" s="765"/>
      <c r="BE559" s="765"/>
      <c r="BF559" s="765"/>
      <c r="BG559" s="765"/>
      <c r="BH559" s="765"/>
      <c r="BI559" s="765"/>
      <c r="BJ559" s="765"/>
      <c r="BK559" s="765"/>
      <c r="BL559" s="765"/>
      <c r="BM559" s="765"/>
      <c r="BN559" s="765"/>
    </row>
    <row r="560" spans="1:66" x14ac:dyDescent="0.25">
      <c r="A560" s="765" t="s">
        <v>4835</v>
      </c>
      <c r="B560" s="108" t="s">
        <v>2245</v>
      </c>
      <c r="C560" s="108" t="s">
        <v>1924</v>
      </c>
      <c r="D560" s="108" t="s">
        <v>3815</v>
      </c>
      <c r="E560" s="108" t="s">
        <v>4874</v>
      </c>
      <c r="F560" s="114" t="s">
        <v>694</v>
      </c>
      <c r="G560" s="213" t="s">
        <v>3084</v>
      </c>
      <c r="H560" s="115" t="s">
        <v>3690</v>
      </c>
      <c r="I560" s="213">
        <v>21939962.620000001</v>
      </c>
      <c r="J560" s="109">
        <v>0.35</v>
      </c>
      <c r="K560" s="109" t="s">
        <v>696</v>
      </c>
      <c r="L560" s="115">
        <v>0.90109917120000005</v>
      </c>
      <c r="M560" s="115">
        <v>0</v>
      </c>
      <c r="N560" s="115">
        <v>0</v>
      </c>
      <c r="O560" s="214">
        <v>2.6249999999999999E-2</v>
      </c>
      <c r="P560" s="115">
        <v>6.6984000000000004</v>
      </c>
      <c r="Q560" s="769"/>
      <c r="R560" s="216"/>
      <c r="S560" s="216">
        <v>6.6984000000000004</v>
      </c>
      <c r="T560" s="216">
        <v>27</v>
      </c>
      <c r="U560" s="216"/>
      <c r="V560" s="115"/>
      <c r="W560" s="109"/>
      <c r="X560" s="109"/>
      <c r="Y560" s="109" t="s">
        <v>4848</v>
      </c>
      <c r="Z560" s="109">
        <v>11.84210785132689</v>
      </c>
      <c r="AA560" s="109"/>
      <c r="AB560" s="109" t="s">
        <v>2193</v>
      </c>
      <c r="AC560" s="109" t="s">
        <v>3085</v>
      </c>
      <c r="AD560" s="765" t="s">
        <v>3817</v>
      </c>
      <c r="AE560" s="765" t="s">
        <v>7</v>
      </c>
      <c r="AF560" s="765"/>
      <c r="AG560" s="765" t="s">
        <v>1628</v>
      </c>
      <c r="AH560" s="109"/>
      <c r="AI560" s="765"/>
      <c r="AJ560" s="765" t="s">
        <v>7</v>
      </c>
      <c r="AK560" s="765"/>
      <c r="AL560" s="765" t="s">
        <v>680</v>
      </c>
      <c r="AM560" s="765" t="s">
        <v>3423</v>
      </c>
      <c r="AN560" s="765" t="s">
        <v>952</v>
      </c>
      <c r="AO560" s="765">
        <v>0.91306928700000001</v>
      </c>
      <c r="AP560" s="765" t="s">
        <v>4673</v>
      </c>
      <c r="AQ560" s="2" t="s">
        <v>4469</v>
      </c>
      <c r="AR560" s="2" t="s">
        <v>4638</v>
      </c>
      <c r="AT560" s="765"/>
      <c r="AU560" s="765"/>
      <c r="AV560" s="765"/>
      <c r="AW560" s="765"/>
    </row>
    <row r="561" spans="1:103" x14ac:dyDescent="0.25">
      <c r="A561" s="765" t="s">
        <v>3599</v>
      </c>
      <c r="B561" s="108" t="s">
        <v>538</v>
      </c>
      <c r="C561" s="108" t="s">
        <v>3818</v>
      </c>
      <c r="D561" s="108" t="s">
        <v>541</v>
      </c>
      <c r="E561" s="108" t="s">
        <v>3818</v>
      </c>
      <c r="F561" s="114" t="s">
        <v>699</v>
      </c>
      <c r="G561" s="213" t="s">
        <v>3819</v>
      </c>
      <c r="H561" s="115" t="s">
        <v>1749</v>
      </c>
      <c r="I561" s="213">
        <v>40000000</v>
      </c>
      <c r="J561" s="109">
        <v>5.375</v>
      </c>
      <c r="K561" s="109" t="s">
        <v>696</v>
      </c>
      <c r="L561" s="115">
        <v>1</v>
      </c>
      <c r="M561" s="115">
        <v>106.35</v>
      </c>
      <c r="N561" s="115">
        <v>106.35</v>
      </c>
      <c r="O561" s="214">
        <v>1.3138890000000001</v>
      </c>
      <c r="P561" s="115"/>
      <c r="Q561" s="771"/>
      <c r="R561" s="216">
        <v>2.5304182584430279</v>
      </c>
      <c r="S561" s="216">
        <v>2.5304182584430279</v>
      </c>
      <c r="T561" s="216">
        <v>88</v>
      </c>
      <c r="U561" s="216">
        <v>3.7282217608540198</v>
      </c>
      <c r="V561" s="115"/>
      <c r="W561" s="109">
        <v>395</v>
      </c>
      <c r="X561" s="109"/>
      <c r="Y561" s="109"/>
      <c r="Z561" s="109"/>
      <c r="AA561" s="109"/>
      <c r="AB561" s="109"/>
      <c r="AC561" s="109"/>
      <c r="AD561" s="765"/>
      <c r="AE561" s="765" t="s">
        <v>10</v>
      </c>
      <c r="AF561" s="765"/>
      <c r="AG561" s="765"/>
      <c r="AH561" s="109"/>
      <c r="AI561" s="765"/>
      <c r="AJ561" s="765"/>
      <c r="AK561" s="765" t="s">
        <v>19</v>
      </c>
      <c r="AL561" s="765" t="s">
        <v>680</v>
      </c>
      <c r="AM561" s="765" t="s">
        <v>812</v>
      </c>
      <c r="AN561" s="765" t="s">
        <v>952</v>
      </c>
      <c r="AO561" s="765"/>
      <c r="AP561" s="765"/>
      <c r="AQ561" s="765"/>
      <c r="AR561" s="765"/>
      <c r="AS561" s="765"/>
      <c r="AT561" s="765"/>
      <c r="AU561" s="765"/>
      <c r="AV561" s="765"/>
      <c r="AW561" s="765"/>
      <c r="AX561" s="765"/>
      <c r="AY561" s="765"/>
      <c r="AZ561" s="765"/>
      <c r="BA561" s="765"/>
      <c r="BB561" s="765"/>
      <c r="BC561" s="765"/>
      <c r="BD561" s="765"/>
      <c r="BE561" s="765"/>
      <c r="BF561" s="765"/>
      <c r="BG561" s="765"/>
      <c r="BH561" s="765"/>
      <c r="BI561" s="765"/>
      <c r="BJ561" s="765"/>
      <c r="BK561" s="765"/>
      <c r="BL561" s="765"/>
      <c r="BM561" s="765"/>
      <c r="BN561" s="765"/>
      <c r="BO561" s="765"/>
      <c r="BP561" s="765"/>
      <c r="BQ561" s="765"/>
      <c r="BR561" s="765"/>
      <c r="BS561" s="765"/>
      <c r="BT561" s="765"/>
      <c r="BU561" s="765"/>
      <c r="BV561" s="765"/>
      <c r="BW561" s="765"/>
      <c r="BX561" s="765"/>
      <c r="BY561" s="765"/>
      <c r="BZ561" s="765"/>
      <c r="CA561" s="765"/>
      <c r="CB561" s="765"/>
      <c r="CC561" s="765"/>
      <c r="CD561" s="765"/>
      <c r="CE561" s="765"/>
      <c r="CF561" s="765"/>
      <c r="CG561" s="765"/>
      <c r="CH561" s="765"/>
      <c r="CI561" s="765"/>
      <c r="CJ561" s="765"/>
      <c r="CK561" s="765"/>
      <c r="CL561" s="765"/>
      <c r="CM561" s="765"/>
      <c r="CN561" s="765"/>
      <c r="CO561" s="765"/>
      <c r="CP561" s="765"/>
      <c r="CQ561" s="765"/>
      <c r="CR561" s="765"/>
      <c r="CS561" s="765"/>
      <c r="CT561" s="765"/>
      <c r="CU561" s="765"/>
      <c r="CV561" s="765"/>
      <c r="CW561" s="765"/>
      <c r="CX561" s="765"/>
      <c r="CY561" s="765"/>
    </row>
    <row r="562" spans="1:103" x14ac:dyDescent="0.25">
      <c r="A562" s="765" t="s">
        <v>1894</v>
      </c>
      <c r="B562" s="108" t="s">
        <v>526</v>
      </c>
      <c r="C562" s="108" t="s">
        <v>1895</v>
      </c>
      <c r="D562" s="108" t="s">
        <v>1896</v>
      </c>
      <c r="E562" s="108" t="s">
        <v>1897</v>
      </c>
      <c r="F562" s="114" t="s">
        <v>698</v>
      </c>
      <c r="G562" s="213" t="s">
        <v>1898</v>
      </c>
      <c r="H562" s="115" t="s">
        <v>1899</v>
      </c>
      <c r="I562" s="213">
        <v>8846812.4499999993</v>
      </c>
      <c r="J562" s="109">
        <v>7.63</v>
      </c>
      <c r="K562" s="109" t="s">
        <v>696</v>
      </c>
      <c r="L562" s="115">
        <v>0.2764628891</v>
      </c>
      <c r="M562" s="115">
        <v>0</v>
      </c>
      <c r="N562" s="115">
        <v>0</v>
      </c>
      <c r="O562" s="214">
        <v>0.57225000000000004</v>
      </c>
      <c r="P562" s="115">
        <v>5.01</v>
      </c>
      <c r="Q562" s="769"/>
      <c r="R562" s="216"/>
      <c r="S562" s="216">
        <v>5.01</v>
      </c>
      <c r="T562" s="216">
        <v>26</v>
      </c>
      <c r="U562" s="216"/>
      <c r="V562" s="115"/>
      <c r="W562" s="109"/>
      <c r="X562" s="109"/>
      <c r="Y562" s="109" t="s">
        <v>1900</v>
      </c>
      <c r="Z562" s="109"/>
      <c r="AA562" s="109"/>
      <c r="AB562" s="109"/>
      <c r="AC562" s="109"/>
      <c r="AD562" s="765"/>
      <c r="AE562" s="765" t="s">
        <v>10</v>
      </c>
      <c r="AF562" s="765"/>
      <c r="AG562" s="765" t="s">
        <v>1901</v>
      </c>
      <c r="AH562" s="109" t="s">
        <v>1946</v>
      </c>
      <c r="AI562" s="765"/>
      <c r="AJ562" s="765"/>
      <c r="AK562" s="765"/>
      <c r="AL562" s="765" t="s">
        <v>680</v>
      </c>
      <c r="AM562" s="765" t="s">
        <v>2908</v>
      </c>
      <c r="AN562" s="765" t="s">
        <v>952</v>
      </c>
      <c r="AO562" s="765">
        <v>0.288017631</v>
      </c>
      <c r="AP562" s="765" t="s">
        <v>4673</v>
      </c>
      <c r="AQ562" s="765" t="s">
        <v>4015</v>
      </c>
      <c r="AR562" s="765" t="s">
        <v>4875</v>
      </c>
      <c r="AS562" s="765"/>
      <c r="AT562" s="765"/>
      <c r="AU562" s="765"/>
      <c r="AV562" s="765"/>
      <c r="AW562" s="765"/>
    </row>
    <row r="563" spans="1:103" x14ac:dyDescent="0.25">
      <c r="A563" s="765" t="s">
        <v>1851</v>
      </c>
      <c r="B563" s="108" t="s">
        <v>529</v>
      </c>
      <c r="C563" s="108" t="s">
        <v>1852</v>
      </c>
      <c r="D563" s="108" t="s">
        <v>530</v>
      </c>
      <c r="E563" s="108" t="s">
        <v>1853</v>
      </c>
      <c r="F563" s="114" t="s">
        <v>698</v>
      </c>
      <c r="G563" s="213" t="s">
        <v>1149</v>
      </c>
      <c r="H563" s="115" t="s">
        <v>1150</v>
      </c>
      <c r="I563" s="213">
        <v>20750000</v>
      </c>
      <c r="J563" s="109">
        <v>3.0912899999999999</v>
      </c>
      <c r="K563" s="109" t="s">
        <v>695</v>
      </c>
      <c r="L563" s="115">
        <v>1</v>
      </c>
      <c r="M563" s="115">
        <v>0</v>
      </c>
      <c r="N563" s="115">
        <v>0</v>
      </c>
      <c r="O563" s="214">
        <v>0.59249700000000005</v>
      </c>
      <c r="P563" s="115">
        <v>4.1700000000000001E-2</v>
      </c>
      <c r="Q563" s="771"/>
      <c r="R563" s="216"/>
      <c r="S563" s="216">
        <v>4.1700000000000001E-2</v>
      </c>
      <c r="T563" s="216">
        <v>68</v>
      </c>
      <c r="U563" s="216"/>
      <c r="V563" s="115"/>
      <c r="W563" s="109">
        <v>285</v>
      </c>
      <c r="X563" s="109"/>
      <c r="Y563" s="109" t="s">
        <v>992</v>
      </c>
      <c r="Z563" s="109"/>
      <c r="AA563" s="109"/>
      <c r="AB563" s="109"/>
      <c r="AC563" s="109"/>
      <c r="AD563" s="765"/>
      <c r="AE563" s="765" t="s">
        <v>8</v>
      </c>
      <c r="AF563" s="765" t="s">
        <v>15</v>
      </c>
      <c r="AG563" s="765"/>
      <c r="AH563" s="109"/>
      <c r="AL563" s="2" t="s">
        <v>680</v>
      </c>
      <c r="AM563" s="2" t="s">
        <v>711</v>
      </c>
      <c r="AN563" s="2" t="s">
        <v>952</v>
      </c>
      <c r="AO563" s="2">
        <v>1</v>
      </c>
      <c r="AP563" s="2" t="s">
        <v>4675</v>
      </c>
      <c r="AQ563" s="2" t="s">
        <v>3194</v>
      </c>
      <c r="AR563" s="2" t="s">
        <v>4671</v>
      </c>
      <c r="AT563" s="765"/>
      <c r="AU563" s="765"/>
      <c r="AV563" s="765"/>
      <c r="AW563" s="765"/>
    </row>
    <row r="564" spans="1:103" x14ac:dyDescent="0.25">
      <c r="A564" s="765" t="s">
        <v>3426</v>
      </c>
      <c r="B564" s="108" t="s">
        <v>529</v>
      </c>
      <c r="C564" s="108" t="s">
        <v>1852</v>
      </c>
      <c r="D564" s="108" t="s">
        <v>530</v>
      </c>
      <c r="E564" s="108" t="s">
        <v>3427</v>
      </c>
      <c r="F564" s="114" t="s">
        <v>698</v>
      </c>
      <c r="G564" s="213" t="s">
        <v>3428</v>
      </c>
      <c r="H564" s="115" t="s">
        <v>3429</v>
      </c>
      <c r="I564" s="213">
        <v>23250000</v>
      </c>
      <c r="J564" s="109">
        <v>5.8479999999999999</v>
      </c>
      <c r="K564" s="109" t="s">
        <v>695</v>
      </c>
      <c r="L564" s="115">
        <v>1</v>
      </c>
      <c r="M564" s="115">
        <v>0</v>
      </c>
      <c r="N564" s="115">
        <v>0</v>
      </c>
      <c r="O564" s="214">
        <v>1.104622</v>
      </c>
      <c r="P564" s="115">
        <v>3.5106000000000002</v>
      </c>
      <c r="Q564" s="771"/>
      <c r="R564" s="216"/>
      <c r="S564" s="216">
        <v>3.5106000000000002</v>
      </c>
      <c r="T564" s="216">
        <v>67</v>
      </c>
      <c r="U564" s="216"/>
      <c r="V564" s="115"/>
      <c r="W564" s="109">
        <v>560</v>
      </c>
      <c r="X564" s="109"/>
      <c r="Y564" s="109" t="s">
        <v>992</v>
      </c>
      <c r="Z564" s="109"/>
      <c r="AA564" s="109"/>
      <c r="AB564" s="109"/>
      <c r="AC564" s="109"/>
      <c r="AD564" s="765"/>
      <c r="AE564" s="765" t="s">
        <v>13</v>
      </c>
      <c r="AF564" s="765"/>
      <c r="AG564" s="765" t="s">
        <v>2796</v>
      </c>
      <c r="AH564" s="109"/>
      <c r="AL564" s="2" t="s">
        <v>680</v>
      </c>
      <c r="AM564" s="2" t="s">
        <v>711</v>
      </c>
      <c r="AN564" s="2" t="s">
        <v>952</v>
      </c>
      <c r="AO564" s="2">
        <v>1</v>
      </c>
      <c r="AP564" s="2" t="s">
        <v>4667</v>
      </c>
      <c r="AQ564" s="2" t="s">
        <v>3686</v>
      </c>
      <c r="AR564" s="2" t="s">
        <v>4730</v>
      </c>
      <c r="AT564" s="765"/>
      <c r="AU564" s="765"/>
      <c r="AV564" s="765"/>
      <c r="AW564" s="765"/>
    </row>
    <row r="565" spans="1:103" x14ac:dyDescent="0.25">
      <c r="A565" s="765" t="s">
        <v>3129</v>
      </c>
      <c r="B565" s="108" t="s">
        <v>529</v>
      </c>
      <c r="C565" s="108" t="s">
        <v>1852</v>
      </c>
      <c r="D565" s="108" t="s">
        <v>530</v>
      </c>
      <c r="E565" s="108" t="s">
        <v>3265</v>
      </c>
      <c r="F565" s="114" t="s">
        <v>698</v>
      </c>
      <c r="G565" s="213" t="s">
        <v>3266</v>
      </c>
      <c r="H565" s="115" t="s">
        <v>3267</v>
      </c>
      <c r="I565" s="213">
        <v>34500000</v>
      </c>
      <c r="J565" s="109">
        <v>4.1212900000000001</v>
      </c>
      <c r="K565" s="109" t="s">
        <v>695</v>
      </c>
      <c r="L565" s="115">
        <v>1</v>
      </c>
      <c r="M565" s="115">
        <v>0</v>
      </c>
      <c r="N565" s="115">
        <v>0</v>
      </c>
      <c r="O565" s="214">
        <v>0.78991400000000001</v>
      </c>
      <c r="P565" s="115">
        <v>4.9245000000000001</v>
      </c>
      <c r="Q565" s="771"/>
      <c r="R565" s="216"/>
      <c r="S565" s="216">
        <v>4.9245000000000001</v>
      </c>
      <c r="T565" s="216">
        <v>69</v>
      </c>
      <c r="U565" s="216"/>
      <c r="V565" s="115"/>
      <c r="W565" s="109">
        <v>388</v>
      </c>
      <c r="X565" s="109"/>
      <c r="Y565" s="109" t="s">
        <v>532</v>
      </c>
      <c r="Z565" s="109"/>
      <c r="AA565" s="109"/>
      <c r="AB565" s="109"/>
      <c r="AC565" s="109"/>
      <c r="AD565" s="765"/>
      <c r="AE565" s="765" t="s">
        <v>10</v>
      </c>
      <c r="AF565" s="765"/>
      <c r="AG565" s="765" t="s">
        <v>1901</v>
      </c>
      <c r="AH565" s="109" t="s">
        <v>522</v>
      </c>
      <c r="AI565" s="765"/>
      <c r="AJ565" s="765"/>
      <c r="AK565" s="765"/>
      <c r="AL565" s="765" t="s">
        <v>680</v>
      </c>
      <c r="AM565" s="765" t="s">
        <v>711</v>
      </c>
      <c r="AN565" s="765" t="s">
        <v>952</v>
      </c>
      <c r="AO565" s="765">
        <v>1</v>
      </c>
      <c r="AP565" s="765" t="s">
        <v>4468</v>
      </c>
      <c r="AQ565" s="765" t="s">
        <v>3194</v>
      </c>
      <c r="AR565" s="765" t="s">
        <v>4671</v>
      </c>
      <c r="AS565" s="765"/>
      <c r="AT565" s="765"/>
      <c r="AU565" s="765"/>
      <c r="AV565" s="765"/>
      <c r="AW565" s="765"/>
      <c r="AX565" s="765"/>
      <c r="AY565" s="765"/>
      <c r="AZ565" s="765"/>
      <c r="BA565" s="765"/>
      <c r="BB565" s="765"/>
      <c r="BC565" s="765"/>
      <c r="BD565" s="765"/>
      <c r="BE565" s="765"/>
      <c r="BF565" s="765"/>
      <c r="BG565" s="765"/>
      <c r="BH565" s="765"/>
      <c r="BI565" s="765"/>
      <c r="BJ565" s="765"/>
      <c r="BK565" s="765"/>
      <c r="BL565" s="765"/>
      <c r="BM565" s="765"/>
      <c r="BN565" s="765"/>
    </row>
    <row r="566" spans="1:103" x14ac:dyDescent="0.25">
      <c r="A566" s="765" t="s">
        <v>2491</v>
      </c>
      <c r="B566" s="108" t="s">
        <v>538</v>
      </c>
      <c r="C566" s="108" t="s">
        <v>2492</v>
      </c>
      <c r="D566" s="108" t="s">
        <v>541</v>
      </c>
      <c r="E566" s="108" t="s">
        <v>2492</v>
      </c>
      <c r="F566" s="114" t="s">
        <v>699</v>
      </c>
      <c r="G566" s="213" t="s">
        <v>2493</v>
      </c>
      <c r="H566" s="115" t="s">
        <v>2494</v>
      </c>
      <c r="I566" s="213">
        <v>63750000</v>
      </c>
      <c r="J566" s="109">
        <v>5.75</v>
      </c>
      <c r="K566" s="109" t="s">
        <v>696</v>
      </c>
      <c r="L566" s="115">
        <v>1</v>
      </c>
      <c r="M566" s="115">
        <v>111.80500000000001</v>
      </c>
      <c r="N566" s="115">
        <v>112.26600000000001</v>
      </c>
      <c r="O566" s="214">
        <v>0.92638900000000002</v>
      </c>
      <c r="P566" s="115"/>
      <c r="Q566" s="771">
        <v>3.056908948533628</v>
      </c>
      <c r="R566" s="216">
        <v>3.0432096257689181</v>
      </c>
      <c r="S566" s="216">
        <v>3.056908948533628</v>
      </c>
      <c r="T566" s="216">
        <v>58</v>
      </c>
      <c r="U566" s="216">
        <v>4.1853811806626773</v>
      </c>
      <c r="V566" s="115"/>
      <c r="W566" s="109">
        <v>568</v>
      </c>
      <c r="X566" s="109">
        <v>-64.179272834785053</v>
      </c>
      <c r="Y566" s="109"/>
      <c r="Z566" s="109"/>
      <c r="AA566" s="109"/>
      <c r="AB566" s="109"/>
      <c r="AC566" s="109"/>
      <c r="AD566" s="765"/>
      <c r="AE566" s="765" t="s">
        <v>10</v>
      </c>
      <c r="AF566" s="765"/>
      <c r="AG566" s="765"/>
      <c r="AH566" s="109"/>
      <c r="AI566" s="2" t="s">
        <v>20</v>
      </c>
      <c r="AL566" s="2" t="s">
        <v>680</v>
      </c>
      <c r="AM566" s="2" t="s">
        <v>812</v>
      </c>
      <c r="AN566" s="2" t="s">
        <v>952</v>
      </c>
      <c r="AT566" s="765"/>
      <c r="AU566" s="765"/>
      <c r="AV566" s="765"/>
      <c r="AW566" s="765"/>
    </row>
    <row r="567" spans="1:103" x14ac:dyDescent="0.25">
      <c r="A567" s="765" t="s">
        <v>2219</v>
      </c>
      <c r="B567" s="108" t="s">
        <v>529</v>
      </c>
      <c r="C567" s="108" t="s">
        <v>2220</v>
      </c>
      <c r="D567" s="108" t="s">
        <v>870</v>
      </c>
      <c r="E567" s="108" t="s">
        <v>2221</v>
      </c>
      <c r="F567" s="114" t="s">
        <v>698</v>
      </c>
      <c r="G567" s="213" t="s">
        <v>2222</v>
      </c>
      <c r="H567" s="115" t="s">
        <v>2223</v>
      </c>
      <c r="I567" s="213">
        <v>27000000</v>
      </c>
      <c r="J567" s="109">
        <v>5.2588600000000003</v>
      </c>
      <c r="K567" s="109" t="s">
        <v>695</v>
      </c>
      <c r="L567" s="115">
        <v>1</v>
      </c>
      <c r="M567" s="115">
        <v>0</v>
      </c>
      <c r="N567" s="115">
        <v>0</v>
      </c>
      <c r="O567" s="214">
        <v>0.92030000000000001</v>
      </c>
      <c r="P567" s="115">
        <v>5.0226027397260271</v>
      </c>
      <c r="Q567" s="771"/>
      <c r="R567" s="216"/>
      <c r="S567" s="216">
        <v>5.0226027397260271</v>
      </c>
      <c r="T567" s="216">
        <v>62</v>
      </c>
      <c r="U567" s="216"/>
      <c r="V567" s="115"/>
      <c r="W567" s="109">
        <v>500</v>
      </c>
      <c r="X567" s="109"/>
      <c r="Y567" s="109" t="s">
        <v>532</v>
      </c>
      <c r="Z567" s="109"/>
      <c r="AA567" s="109"/>
      <c r="AB567" s="109"/>
      <c r="AC567" s="109"/>
      <c r="AD567" s="765"/>
      <c r="AE567" s="765" t="s">
        <v>10</v>
      </c>
      <c r="AF567" s="765"/>
      <c r="AG567" s="765" t="s">
        <v>1901</v>
      </c>
      <c r="AH567" s="109" t="s">
        <v>522</v>
      </c>
      <c r="AL567" s="2" t="s">
        <v>680</v>
      </c>
      <c r="AM567" s="2" t="s">
        <v>871</v>
      </c>
      <c r="AN567" s="2" t="s">
        <v>952</v>
      </c>
      <c r="AO567" s="2">
        <v>1</v>
      </c>
      <c r="AP567" s="2" t="s">
        <v>4768</v>
      </c>
      <c r="AQ567" s="2" t="s">
        <v>3700</v>
      </c>
      <c r="AR567" s="2" t="s">
        <v>4666</v>
      </c>
      <c r="AT567" s="765"/>
      <c r="AU567" s="765"/>
      <c r="AV567" s="765"/>
      <c r="AW567" s="765"/>
    </row>
    <row r="568" spans="1:103" x14ac:dyDescent="0.25">
      <c r="A568" s="765" t="s">
        <v>1876</v>
      </c>
      <c r="B568" s="108" t="s">
        <v>527</v>
      </c>
      <c r="C568" s="108" t="s">
        <v>1877</v>
      </c>
      <c r="D568" s="108" t="s">
        <v>1625</v>
      </c>
      <c r="E568" s="108" t="s">
        <v>1878</v>
      </c>
      <c r="F568" s="114" t="s">
        <v>694</v>
      </c>
      <c r="G568" s="213" t="s">
        <v>1145</v>
      </c>
      <c r="H568" s="115" t="s">
        <v>1879</v>
      </c>
      <c r="I568" s="213">
        <v>166250000</v>
      </c>
      <c r="J568" s="109">
        <v>4.2759999999999998</v>
      </c>
      <c r="K568" s="109" t="s">
        <v>696</v>
      </c>
      <c r="L568" s="115">
        <v>1</v>
      </c>
      <c r="M568" s="115">
        <v>101.977684</v>
      </c>
      <c r="N568" s="115">
        <v>102.116066</v>
      </c>
      <c r="O568" s="214">
        <v>0.32069999999999999</v>
      </c>
      <c r="P568" s="115">
        <v>6.2806000000000006</v>
      </c>
      <c r="Q568" s="771">
        <v>5.452</v>
      </c>
      <c r="R568" s="216"/>
      <c r="S568" s="216">
        <v>5.452</v>
      </c>
      <c r="T568" s="216">
        <v>26</v>
      </c>
      <c r="U568" s="216">
        <v>3.9940000000000002</v>
      </c>
      <c r="V568" s="115">
        <v>140.58596432189299</v>
      </c>
      <c r="W568" s="109"/>
      <c r="X568" s="109">
        <v>134.4</v>
      </c>
      <c r="Y568" s="109" t="s">
        <v>1880</v>
      </c>
      <c r="Z568" s="109">
        <v>0</v>
      </c>
      <c r="AA568" s="109">
        <v>0</v>
      </c>
      <c r="AB568" s="109"/>
      <c r="AC568" s="109"/>
      <c r="AD568" s="765"/>
      <c r="AE568" s="765" t="s">
        <v>7</v>
      </c>
      <c r="AF568" s="765"/>
      <c r="AG568" s="765" t="s">
        <v>1062</v>
      </c>
      <c r="AH568" s="109"/>
      <c r="AJ568" s="2" t="s">
        <v>7</v>
      </c>
      <c r="AL568" s="2" t="s">
        <v>680</v>
      </c>
      <c r="AM568" s="2" t="s">
        <v>1885</v>
      </c>
      <c r="AN568" s="2" t="s">
        <v>952</v>
      </c>
      <c r="AO568" s="2">
        <v>1</v>
      </c>
      <c r="AP568" s="2" t="s">
        <v>4673</v>
      </c>
      <c r="AQ568" s="2" t="s">
        <v>5105</v>
      </c>
      <c r="AR568" s="2" t="s">
        <v>4646</v>
      </c>
      <c r="AT568" s="765"/>
      <c r="AU568" s="765"/>
      <c r="AV568" s="765"/>
      <c r="AW568" s="765"/>
    </row>
    <row r="569" spans="1:103" x14ac:dyDescent="0.25">
      <c r="A569" s="765" t="s">
        <v>1959</v>
      </c>
      <c r="B569" s="108" t="s">
        <v>527</v>
      </c>
      <c r="C569" s="108" t="s">
        <v>1877</v>
      </c>
      <c r="D569" s="108" t="s">
        <v>1965</v>
      </c>
      <c r="E569" s="108" t="s">
        <v>1966</v>
      </c>
      <c r="F569" s="114" t="s">
        <v>694</v>
      </c>
      <c r="G569" s="213" t="s">
        <v>1642</v>
      </c>
      <c r="H569" s="115" t="s">
        <v>1967</v>
      </c>
      <c r="I569" s="213">
        <v>44676000</v>
      </c>
      <c r="J569" s="109">
        <v>3.659653</v>
      </c>
      <c r="K569" s="109" t="s">
        <v>696</v>
      </c>
      <c r="L569" s="115">
        <v>1</v>
      </c>
      <c r="M569" s="115">
        <v>90.762077000000005</v>
      </c>
      <c r="N569" s="115">
        <v>91.202793</v>
      </c>
      <c r="O569" s="214">
        <v>0.274474</v>
      </c>
      <c r="P569" s="115">
        <v>7.6249999999999991</v>
      </c>
      <c r="Q569" s="771">
        <v>6.5090000000000003</v>
      </c>
      <c r="R569" s="216"/>
      <c r="S569" s="216">
        <v>6.5090000000000003</v>
      </c>
      <c r="T569" s="216">
        <v>27</v>
      </c>
      <c r="U569" s="216">
        <v>5.2069999999999999</v>
      </c>
      <c r="V569" s="115">
        <v>264.4968508048151</v>
      </c>
      <c r="W569" s="109"/>
      <c r="X569" s="109">
        <v>246.4</v>
      </c>
      <c r="Y569" s="109" t="s">
        <v>1874</v>
      </c>
      <c r="Z569" s="109">
        <v>0</v>
      </c>
      <c r="AA569" s="109">
        <v>0</v>
      </c>
      <c r="AB569" s="109"/>
      <c r="AC569" s="109"/>
      <c r="AD569" s="765"/>
      <c r="AE569" s="765" t="s">
        <v>9</v>
      </c>
      <c r="AF569" s="765" t="s">
        <v>522</v>
      </c>
      <c r="AG569" s="765"/>
      <c r="AH569" s="109" t="s">
        <v>18</v>
      </c>
      <c r="AI569" s="2" t="s">
        <v>18</v>
      </c>
      <c r="AL569" s="2" t="s">
        <v>680</v>
      </c>
      <c r="AM569" s="2" t="s">
        <v>1885</v>
      </c>
      <c r="AN569" s="2" t="s">
        <v>952</v>
      </c>
      <c r="AO569" s="2">
        <v>1</v>
      </c>
      <c r="AP569" s="2" t="s">
        <v>4673</v>
      </c>
      <c r="AQ569" s="2" t="s">
        <v>4396</v>
      </c>
      <c r="AR569" s="2" t="s">
        <v>4671</v>
      </c>
      <c r="AT569" s="765"/>
      <c r="AU569" s="765"/>
      <c r="AV569" s="765"/>
      <c r="AW569" s="765"/>
    </row>
    <row r="570" spans="1:103" x14ac:dyDescent="0.25">
      <c r="A570" s="765" t="s">
        <v>4831</v>
      </c>
      <c r="B570" s="108" t="s">
        <v>527</v>
      </c>
      <c r="C570" s="108" t="s">
        <v>4876</v>
      </c>
      <c r="D570" s="108" t="s">
        <v>3314</v>
      </c>
      <c r="E570" s="108" t="s">
        <v>4877</v>
      </c>
      <c r="F570" s="114" t="s">
        <v>694</v>
      </c>
      <c r="G570" s="213" t="s">
        <v>1788</v>
      </c>
      <c r="H570" s="115" t="s">
        <v>4878</v>
      </c>
      <c r="I570" s="213">
        <v>19145000</v>
      </c>
      <c r="J570" s="109">
        <v>4.763369</v>
      </c>
      <c r="K570" s="109" t="s">
        <v>696</v>
      </c>
      <c r="L570" s="115">
        <v>1</v>
      </c>
      <c r="M570" s="115">
        <v>0</v>
      </c>
      <c r="N570" s="115">
        <v>0</v>
      </c>
      <c r="O570" s="214">
        <v>0.35725299999999999</v>
      </c>
      <c r="P570" s="115">
        <v>1.5417000000000001</v>
      </c>
      <c r="Q570" s="771"/>
      <c r="R570" s="216"/>
      <c r="S570" s="216">
        <v>1.5417000000000001</v>
      </c>
      <c r="T570" s="216">
        <v>27</v>
      </c>
      <c r="U570" s="216"/>
      <c r="V570" s="115"/>
      <c r="W570" s="109"/>
      <c r="X570" s="109"/>
      <c r="Y570" s="109" t="s">
        <v>1874</v>
      </c>
      <c r="Z570" s="109">
        <v>0</v>
      </c>
      <c r="AA570" s="109">
        <v>0</v>
      </c>
      <c r="AB570" s="109"/>
      <c r="AC570" s="109"/>
      <c r="AD570" s="765"/>
      <c r="AE570" s="765" t="s">
        <v>13</v>
      </c>
      <c r="AF570" s="765"/>
      <c r="AG570" s="765" t="s">
        <v>4879</v>
      </c>
      <c r="AH570" s="109" t="s">
        <v>14</v>
      </c>
      <c r="AI570" s="2" t="s">
        <v>13</v>
      </c>
      <c r="AL570" s="2" t="s">
        <v>680</v>
      </c>
      <c r="AM570" s="2" t="s">
        <v>1921</v>
      </c>
      <c r="AN570" s="2" t="s">
        <v>952</v>
      </c>
      <c r="AO570" s="2">
        <v>1</v>
      </c>
      <c r="AP570" s="2" t="s">
        <v>4673</v>
      </c>
      <c r="AQ570" s="2" t="s">
        <v>4396</v>
      </c>
      <c r="AR570" s="2" t="s">
        <v>4671</v>
      </c>
      <c r="AT570" s="765"/>
      <c r="AU570" s="765"/>
      <c r="AV570" s="765"/>
      <c r="AW570" s="765"/>
    </row>
    <row r="571" spans="1:103" x14ac:dyDescent="0.25">
      <c r="A571" s="765" t="s">
        <v>4952</v>
      </c>
      <c r="B571" s="108" t="s">
        <v>527</v>
      </c>
      <c r="C571" s="108" t="s">
        <v>4876</v>
      </c>
      <c r="D571" s="108" t="s">
        <v>4005</v>
      </c>
      <c r="E571" s="108" t="s">
        <v>4953</v>
      </c>
      <c r="F571" s="114" t="s">
        <v>694</v>
      </c>
      <c r="G571" s="213" t="s">
        <v>1259</v>
      </c>
      <c r="H571" s="115" t="s">
        <v>2864</v>
      </c>
      <c r="I571" s="213">
        <v>38031000</v>
      </c>
      <c r="J571" s="109">
        <v>3.2370000000000001</v>
      </c>
      <c r="K571" s="109" t="s">
        <v>696</v>
      </c>
      <c r="L571" s="115">
        <v>1</v>
      </c>
      <c r="M571" s="115">
        <v>88.067565999999999</v>
      </c>
      <c r="N571" s="115">
        <v>88.359306000000004</v>
      </c>
      <c r="O571" s="214">
        <v>0.24277499999999999</v>
      </c>
      <c r="P571" s="115">
        <v>3.625</v>
      </c>
      <c r="Q571" s="771">
        <v>3.379</v>
      </c>
      <c r="R571" s="216"/>
      <c r="S571" s="216">
        <v>3.379</v>
      </c>
      <c r="T571" s="216">
        <v>27</v>
      </c>
      <c r="U571" s="216">
        <v>7.03</v>
      </c>
      <c r="V571" s="115">
        <v>444.3538298944697</v>
      </c>
      <c r="W571" s="109"/>
      <c r="X571" s="109">
        <v>418.3</v>
      </c>
      <c r="Y571" s="109" t="s">
        <v>1874</v>
      </c>
      <c r="Z571" s="109">
        <v>0</v>
      </c>
      <c r="AA571" s="109">
        <v>0.48328217178420507</v>
      </c>
      <c r="AB571" s="109"/>
      <c r="AC571" s="109"/>
      <c r="AD571" s="765"/>
      <c r="AE571" s="765" t="s">
        <v>10</v>
      </c>
      <c r="AF571" s="765"/>
      <c r="AG571" s="765" t="s">
        <v>522</v>
      </c>
      <c r="AH571" s="109"/>
      <c r="AI571" s="2" t="s">
        <v>20</v>
      </c>
      <c r="AJ571" s="2" t="s">
        <v>10</v>
      </c>
      <c r="AL571" s="2" t="s">
        <v>680</v>
      </c>
      <c r="AM571" s="2" t="s">
        <v>1921</v>
      </c>
      <c r="AN571" s="2" t="s">
        <v>952</v>
      </c>
      <c r="AO571" s="2">
        <v>1</v>
      </c>
      <c r="AP571" s="2" t="s">
        <v>4673</v>
      </c>
      <c r="AQ571" s="2" t="s">
        <v>4396</v>
      </c>
      <c r="AR571" s="2" t="s">
        <v>4671</v>
      </c>
      <c r="AT571" s="765"/>
      <c r="AU571" s="765"/>
      <c r="AV571" s="765"/>
      <c r="AW571" s="765"/>
    </row>
    <row r="572" spans="1:103" x14ac:dyDescent="0.25">
      <c r="A572" s="765" t="s">
        <v>3626</v>
      </c>
      <c r="B572" s="108" t="s">
        <v>527</v>
      </c>
      <c r="C572" s="108" t="s">
        <v>1877</v>
      </c>
      <c r="D572" s="108" t="s">
        <v>3697</v>
      </c>
      <c r="E572" s="108" t="s">
        <v>3820</v>
      </c>
      <c r="F572" s="114" t="s">
        <v>694</v>
      </c>
      <c r="G572" s="213" t="s">
        <v>3685</v>
      </c>
      <c r="H572" s="115" t="s">
        <v>3916</v>
      </c>
      <c r="I572" s="213">
        <v>223272000</v>
      </c>
      <c r="J572" s="109">
        <v>2.5739999999999998</v>
      </c>
      <c r="K572" s="109" t="s">
        <v>696</v>
      </c>
      <c r="L572" s="115">
        <v>1</v>
      </c>
      <c r="M572" s="115">
        <v>91.655951999999999</v>
      </c>
      <c r="N572" s="115">
        <v>91.768558999999996</v>
      </c>
      <c r="O572" s="214">
        <v>0.19305</v>
      </c>
      <c r="P572" s="115">
        <v>9.4206000000000003</v>
      </c>
      <c r="Q572" s="771">
        <v>8.1989999999999998</v>
      </c>
      <c r="R572" s="216"/>
      <c r="S572" s="216">
        <v>8.1989999999999998</v>
      </c>
      <c r="T572" s="216">
        <v>26</v>
      </c>
      <c r="U572" s="216">
        <v>3.6349999999999998</v>
      </c>
      <c r="V572" s="115">
        <v>112.9936041476319</v>
      </c>
      <c r="W572" s="109"/>
      <c r="X572" s="109">
        <v>108.3</v>
      </c>
      <c r="Y572" s="109" t="s">
        <v>662</v>
      </c>
      <c r="Z572" s="109">
        <v>0</v>
      </c>
      <c r="AA572" s="109"/>
      <c r="AB572" s="109"/>
      <c r="AC572" s="109"/>
      <c r="AD572" s="765"/>
      <c r="AE572" s="765" t="s">
        <v>7</v>
      </c>
      <c r="AF572" s="765" t="s">
        <v>7</v>
      </c>
      <c r="AG572" s="765"/>
      <c r="AH572" s="109" t="s">
        <v>7</v>
      </c>
      <c r="AI572" s="2" t="s">
        <v>7</v>
      </c>
      <c r="AL572" s="2" t="s">
        <v>680</v>
      </c>
      <c r="AM572" s="2" t="s">
        <v>1885</v>
      </c>
      <c r="AN572" s="2" t="s">
        <v>952</v>
      </c>
      <c r="AO572" s="2">
        <v>1</v>
      </c>
      <c r="AP572" s="2" t="s">
        <v>4673</v>
      </c>
      <c r="AQ572" s="2" t="s">
        <v>4396</v>
      </c>
      <c r="AR572" s="2" t="s">
        <v>4671</v>
      </c>
      <c r="AT572" s="765"/>
      <c r="AU572" s="765"/>
      <c r="AV572" s="765"/>
      <c r="AW572" s="765"/>
    </row>
    <row r="573" spans="1:103" x14ac:dyDescent="0.25">
      <c r="A573" s="765" t="s">
        <v>4401</v>
      </c>
      <c r="B573" s="108" t="s">
        <v>529</v>
      </c>
      <c r="C573" s="108" t="s">
        <v>4402</v>
      </c>
      <c r="D573" s="108" t="s">
        <v>530</v>
      </c>
      <c r="E573" s="108" t="s">
        <v>4403</v>
      </c>
      <c r="F573" s="114" t="s">
        <v>698</v>
      </c>
      <c r="G573" s="213" t="s">
        <v>4480</v>
      </c>
      <c r="H573" s="115" t="s">
        <v>1775</v>
      </c>
      <c r="I573" s="213">
        <v>25500000</v>
      </c>
      <c r="J573" s="109">
        <v>3.8912900000000001</v>
      </c>
      <c r="K573" s="109" t="s">
        <v>695</v>
      </c>
      <c r="L573" s="115">
        <v>1</v>
      </c>
      <c r="M573" s="115">
        <v>0</v>
      </c>
      <c r="N573" s="115">
        <v>0</v>
      </c>
      <c r="O573" s="214">
        <v>0.74583100000000002</v>
      </c>
      <c r="P573" s="115">
        <v>1.9837</v>
      </c>
      <c r="Q573" s="771"/>
      <c r="R573" s="216"/>
      <c r="S573" s="216">
        <v>1.9837</v>
      </c>
      <c r="T573" s="216">
        <v>69</v>
      </c>
      <c r="U573" s="216"/>
      <c r="V573" s="115"/>
      <c r="W573" s="109">
        <v>365</v>
      </c>
      <c r="X573" s="109"/>
      <c r="Y573" s="109" t="s">
        <v>992</v>
      </c>
      <c r="Z573" s="109"/>
      <c r="AA573" s="109"/>
      <c r="AB573" s="109"/>
      <c r="AC573" s="109"/>
      <c r="AD573" s="765"/>
      <c r="AE573" s="765" t="s">
        <v>10</v>
      </c>
      <c r="AF573" s="765" t="s">
        <v>10</v>
      </c>
      <c r="AG573" s="765" t="s">
        <v>522</v>
      </c>
      <c r="AH573" s="109"/>
      <c r="AL573" s="2" t="s">
        <v>680</v>
      </c>
      <c r="AM573" s="2" t="s">
        <v>711</v>
      </c>
      <c r="AN573" s="2" t="s">
        <v>952</v>
      </c>
      <c r="AO573" s="2">
        <v>1</v>
      </c>
      <c r="AP573" s="2" t="s">
        <v>4675</v>
      </c>
      <c r="AQ573" s="2" t="s">
        <v>3194</v>
      </c>
      <c r="AR573" s="2" t="s">
        <v>4671</v>
      </c>
      <c r="AT573" s="765"/>
      <c r="AU573" s="765"/>
      <c r="AV573" s="765"/>
      <c r="AW573" s="765"/>
    </row>
    <row r="574" spans="1:103" x14ac:dyDescent="0.25">
      <c r="A574" s="765" t="s">
        <v>3549</v>
      </c>
      <c r="B574" s="108" t="s">
        <v>529</v>
      </c>
      <c r="C574" s="108" t="s">
        <v>3563</v>
      </c>
      <c r="D574" s="108" t="s">
        <v>530</v>
      </c>
      <c r="E574" s="108" t="s">
        <v>3564</v>
      </c>
      <c r="F574" s="114" t="s">
        <v>698</v>
      </c>
      <c r="G574" s="213" t="s">
        <v>3565</v>
      </c>
      <c r="H574" s="115" t="s">
        <v>2906</v>
      </c>
      <c r="I574" s="213">
        <v>23800000</v>
      </c>
      <c r="J574" s="109">
        <v>4.6112900000000003</v>
      </c>
      <c r="K574" s="109" t="s">
        <v>695</v>
      </c>
      <c r="L574" s="115">
        <v>1</v>
      </c>
      <c r="M574" s="115">
        <v>0</v>
      </c>
      <c r="N574" s="115">
        <v>0</v>
      </c>
      <c r="O574" s="214">
        <v>0.88383100000000003</v>
      </c>
      <c r="P574" s="115">
        <v>6.4343000000000004</v>
      </c>
      <c r="Q574" s="771"/>
      <c r="R574" s="216"/>
      <c r="S574" s="216">
        <v>6.4343000000000004</v>
      </c>
      <c r="T574" s="216">
        <v>69</v>
      </c>
      <c r="U574" s="216"/>
      <c r="V574" s="115"/>
      <c r="W574" s="109">
        <v>437</v>
      </c>
      <c r="X574" s="109"/>
      <c r="Y574" s="109" t="s">
        <v>532</v>
      </c>
      <c r="Z574" s="109"/>
      <c r="AA574" s="109"/>
      <c r="AB574" s="109"/>
      <c r="AC574" s="109"/>
      <c r="AD574" s="765"/>
      <c r="AE574" s="765" t="s">
        <v>10</v>
      </c>
      <c r="AF574" s="765" t="s">
        <v>20</v>
      </c>
      <c r="AG574" s="765" t="s">
        <v>522</v>
      </c>
      <c r="AH574" s="109"/>
      <c r="AL574" s="2" t="s">
        <v>680</v>
      </c>
      <c r="AM574" s="2" t="s">
        <v>711</v>
      </c>
      <c r="AN574" s="2" t="s">
        <v>952</v>
      </c>
      <c r="AO574" s="2">
        <v>1</v>
      </c>
      <c r="AP574" s="2" t="s">
        <v>4673</v>
      </c>
      <c r="AQ574" s="2" t="s">
        <v>3194</v>
      </c>
      <c r="AR574" s="2" t="s">
        <v>4671</v>
      </c>
      <c r="AT574" s="765"/>
      <c r="AU574" s="765"/>
      <c r="AV574" s="765"/>
      <c r="AW574" s="765"/>
    </row>
    <row r="575" spans="1:103" x14ac:dyDescent="0.25">
      <c r="A575" s="765" t="s">
        <v>3288</v>
      </c>
      <c r="B575" s="108" t="s">
        <v>529</v>
      </c>
      <c r="C575" s="108" t="s">
        <v>2212</v>
      </c>
      <c r="D575" s="108" t="s">
        <v>1683</v>
      </c>
      <c r="E575" s="108" t="s">
        <v>3368</v>
      </c>
      <c r="F575" s="114" t="s">
        <v>698</v>
      </c>
      <c r="G575" s="213" t="s">
        <v>1977</v>
      </c>
      <c r="H575" s="115" t="s">
        <v>1964</v>
      </c>
      <c r="I575" s="213">
        <v>51440000</v>
      </c>
      <c r="J575" s="109">
        <v>1.99657</v>
      </c>
      <c r="K575" s="109" t="s">
        <v>695</v>
      </c>
      <c r="L575" s="115">
        <v>1</v>
      </c>
      <c r="M575" s="115">
        <v>0</v>
      </c>
      <c r="N575" s="115">
        <v>0</v>
      </c>
      <c r="O575" s="214">
        <v>7.2097999999999995E-2</v>
      </c>
      <c r="P575" s="115">
        <v>0.1462</v>
      </c>
      <c r="Q575" s="771"/>
      <c r="R575" s="216"/>
      <c r="S575" s="216">
        <v>0.1462</v>
      </c>
      <c r="T575" s="216">
        <v>13</v>
      </c>
      <c r="U575" s="216"/>
      <c r="V575" s="115"/>
      <c r="W575" s="109">
        <v>160</v>
      </c>
      <c r="X575" s="109"/>
      <c r="Y575" s="109" t="s">
        <v>532</v>
      </c>
      <c r="Z575" s="109"/>
      <c r="AA575" s="109"/>
      <c r="AB575" s="109"/>
      <c r="AC575" s="109"/>
      <c r="AD575" s="765"/>
      <c r="AE575" s="765" t="s">
        <v>7</v>
      </c>
      <c r="AF575" s="765"/>
      <c r="AG575" s="765" t="s">
        <v>522</v>
      </c>
      <c r="AH575" s="109"/>
      <c r="AI575" s="2" t="s">
        <v>7</v>
      </c>
      <c r="AL575" s="2" t="s">
        <v>680</v>
      </c>
      <c r="AM575" s="2" t="s">
        <v>3821</v>
      </c>
      <c r="AN575" s="2" t="s">
        <v>952</v>
      </c>
      <c r="AO575" s="2">
        <v>1</v>
      </c>
      <c r="AP575" s="2" t="s">
        <v>4673</v>
      </c>
      <c r="AQ575" s="2" t="s">
        <v>4396</v>
      </c>
      <c r="AR575" s="2" t="s">
        <v>4671</v>
      </c>
      <c r="AT575" s="765"/>
      <c r="AU575" s="765"/>
      <c r="AV575" s="765"/>
      <c r="AW575" s="765"/>
    </row>
    <row r="576" spans="1:103" x14ac:dyDescent="0.25">
      <c r="A576" s="765" t="s">
        <v>2623</v>
      </c>
      <c r="B576" s="108" t="s">
        <v>529</v>
      </c>
      <c r="C576" s="108" t="s">
        <v>2212</v>
      </c>
      <c r="D576" s="108" t="s">
        <v>1683</v>
      </c>
      <c r="E576" s="108" t="s">
        <v>2624</v>
      </c>
      <c r="F576" s="114" t="s">
        <v>698</v>
      </c>
      <c r="G576" s="213" t="s">
        <v>1977</v>
      </c>
      <c r="H576" s="115" t="s">
        <v>1964</v>
      </c>
      <c r="I576" s="213">
        <v>57870000</v>
      </c>
      <c r="J576" s="109">
        <v>2.7465700000000002</v>
      </c>
      <c r="K576" s="109" t="s">
        <v>695</v>
      </c>
      <c r="L576" s="115">
        <v>1</v>
      </c>
      <c r="M576" s="115">
        <v>0</v>
      </c>
      <c r="N576" s="115">
        <v>0</v>
      </c>
      <c r="O576" s="214">
        <v>9.9182000000000006E-2</v>
      </c>
      <c r="P576" s="115">
        <v>0.40810000000000002</v>
      </c>
      <c r="Q576" s="771"/>
      <c r="R576" s="216"/>
      <c r="S576" s="216">
        <v>0.40810000000000002</v>
      </c>
      <c r="T576" s="216">
        <v>13</v>
      </c>
      <c r="U576" s="216"/>
      <c r="V576" s="115"/>
      <c r="W576" s="109">
        <v>235</v>
      </c>
      <c r="X576" s="109"/>
      <c r="Y576" s="109" t="s">
        <v>532</v>
      </c>
      <c r="Z576" s="109"/>
      <c r="AA576" s="109"/>
      <c r="AB576" s="109"/>
      <c r="AC576" s="109"/>
      <c r="AD576" s="765"/>
      <c r="AE576" s="765" t="s">
        <v>9</v>
      </c>
      <c r="AF576" s="765"/>
      <c r="AG576" s="765" t="s">
        <v>522</v>
      </c>
      <c r="AH576" s="109"/>
      <c r="AI576" s="2" t="s">
        <v>18</v>
      </c>
      <c r="AL576" s="2" t="s">
        <v>680</v>
      </c>
      <c r="AM576" s="2" t="s">
        <v>1656</v>
      </c>
      <c r="AN576" s="2" t="s">
        <v>952</v>
      </c>
      <c r="AO576" s="2">
        <v>1</v>
      </c>
      <c r="AP576" s="2" t="s">
        <v>4673</v>
      </c>
      <c r="AQ576" s="2" t="s">
        <v>4396</v>
      </c>
      <c r="AR576" s="2" t="s">
        <v>4671</v>
      </c>
      <c r="AT576" s="765"/>
      <c r="AU576" s="765"/>
      <c r="AV576" s="765"/>
      <c r="AW576" s="765"/>
    </row>
    <row r="577" spans="1:49" x14ac:dyDescent="0.25">
      <c r="A577" s="765" t="s">
        <v>4546</v>
      </c>
      <c r="B577" s="108" t="s">
        <v>529</v>
      </c>
      <c r="C577" s="108" t="s">
        <v>4547</v>
      </c>
      <c r="D577" s="108" t="s">
        <v>530</v>
      </c>
      <c r="E577" s="108" t="s">
        <v>4548</v>
      </c>
      <c r="F577" s="114" t="s">
        <v>698</v>
      </c>
      <c r="G577" s="213" t="s">
        <v>4549</v>
      </c>
      <c r="H577" s="115" t="s">
        <v>4769</v>
      </c>
      <c r="I577" s="213">
        <v>28000000</v>
      </c>
      <c r="J577" s="109">
        <v>2.9212899999999999</v>
      </c>
      <c r="K577" s="109" t="s">
        <v>695</v>
      </c>
      <c r="L577" s="115">
        <v>1</v>
      </c>
      <c r="M577" s="115">
        <v>0</v>
      </c>
      <c r="N577" s="115">
        <v>0</v>
      </c>
      <c r="O577" s="214">
        <v>0.55991400000000002</v>
      </c>
      <c r="P577" s="115">
        <v>4.4123999999999999</v>
      </c>
      <c r="Q577" s="771"/>
      <c r="R577" s="216"/>
      <c r="S577" s="216">
        <v>4.4123999999999999</v>
      </c>
      <c r="T577" s="216">
        <v>69</v>
      </c>
      <c r="U577" s="216"/>
      <c r="V577" s="115"/>
      <c r="W577" s="109">
        <v>268</v>
      </c>
      <c r="X577" s="109"/>
      <c r="Y577" s="109" t="s">
        <v>532</v>
      </c>
      <c r="Z577" s="109"/>
      <c r="AA577" s="109"/>
      <c r="AB577" s="109"/>
      <c r="AC577" s="109"/>
      <c r="AD577" s="765"/>
      <c r="AE577" s="765" t="s">
        <v>13</v>
      </c>
      <c r="AF577" s="765"/>
      <c r="AG577" s="765" t="s">
        <v>2682</v>
      </c>
      <c r="AH577" s="109" t="s">
        <v>522</v>
      </c>
      <c r="AL577" s="2" t="s">
        <v>680</v>
      </c>
      <c r="AM577" s="2" t="s">
        <v>711</v>
      </c>
      <c r="AN577" s="2" t="s">
        <v>952</v>
      </c>
      <c r="AO577" s="2">
        <v>1</v>
      </c>
      <c r="AP577" s="2" t="s">
        <v>4675</v>
      </c>
      <c r="AQ577" s="2" t="s">
        <v>3194</v>
      </c>
      <c r="AR577" s="2" t="s">
        <v>4671</v>
      </c>
      <c r="AT577" s="765"/>
      <c r="AU577" s="765"/>
      <c r="AV577" s="765"/>
      <c r="AW577" s="765"/>
    </row>
    <row r="578" spans="1:49" x14ac:dyDescent="0.25">
      <c r="A578" s="765" t="s">
        <v>2079</v>
      </c>
      <c r="B578" s="108" t="s">
        <v>526</v>
      </c>
      <c r="C578" s="108" t="s">
        <v>2080</v>
      </c>
      <c r="D578" s="108" t="s">
        <v>2081</v>
      </c>
      <c r="E578" s="108" t="s">
        <v>2082</v>
      </c>
      <c r="F578" s="114" t="s">
        <v>698</v>
      </c>
      <c r="G578" s="213" t="s">
        <v>2083</v>
      </c>
      <c r="H578" s="115" t="s">
        <v>2084</v>
      </c>
      <c r="I578" s="213">
        <v>3529694.55</v>
      </c>
      <c r="J578" s="109">
        <v>0.88685999999999998</v>
      </c>
      <c r="K578" s="109" t="s">
        <v>695</v>
      </c>
      <c r="L578" s="115">
        <v>0.12550025070000001</v>
      </c>
      <c r="M578" s="115">
        <v>0</v>
      </c>
      <c r="N578" s="115">
        <v>0</v>
      </c>
      <c r="O578" s="214">
        <v>7.3899999999999999E-3</v>
      </c>
      <c r="P578" s="115"/>
      <c r="Q578" s="771"/>
      <c r="R578" s="216"/>
      <c r="S578" s="216">
        <v>9.4986301369863018</v>
      </c>
      <c r="T578" s="216">
        <v>2</v>
      </c>
      <c r="U578" s="216"/>
      <c r="V578" s="115"/>
      <c r="W578" s="109">
        <v>70</v>
      </c>
      <c r="X578" s="109"/>
      <c r="Y578" s="109" t="s">
        <v>1861</v>
      </c>
      <c r="Z578" s="109"/>
      <c r="AA578" s="109"/>
      <c r="AB578" s="109"/>
      <c r="AC578" s="109"/>
      <c r="AD578" s="765"/>
      <c r="AE578" s="765" t="s">
        <v>7</v>
      </c>
      <c r="AF578" s="765"/>
      <c r="AG578" s="765" t="s">
        <v>1062</v>
      </c>
      <c r="AH578" s="109" t="s">
        <v>9</v>
      </c>
      <c r="AL578" s="2" t="s">
        <v>680</v>
      </c>
      <c r="AM578" s="2" t="s">
        <v>2898</v>
      </c>
      <c r="AN578" s="2" t="s">
        <v>952</v>
      </c>
      <c r="AO578" s="2">
        <v>0.131204339</v>
      </c>
      <c r="AP578" s="2" t="s">
        <v>4637</v>
      </c>
      <c r="AQ578" s="2" t="s">
        <v>4469</v>
      </c>
      <c r="AR578" s="2" t="s">
        <v>4638</v>
      </c>
      <c r="AT578" s="765"/>
      <c r="AU578" s="765"/>
      <c r="AV578" s="765"/>
      <c r="AW578" s="765"/>
    </row>
    <row r="579" spans="1:49" x14ac:dyDescent="0.25">
      <c r="A579" s="765" t="s">
        <v>3296</v>
      </c>
      <c r="B579" s="108" t="s">
        <v>527</v>
      </c>
      <c r="C579" s="108" t="s">
        <v>3369</v>
      </c>
      <c r="D579" s="108" t="s">
        <v>2821</v>
      </c>
      <c r="E579" s="108" t="s">
        <v>3370</v>
      </c>
      <c r="F579" s="114" t="s">
        <v>694</v>
      </c>
      <c r="G579" s="213" t="s">
        <v>2635</v>
      </c>
      <c r="H579" s="115" t="s">
        <v>3371</v>
      </c>
      <c r="I579" s="213">
        <v>47000000</v>
      </c>
      <c r="J579" s="109">
        <v>4.1345999999999998</v>
      </c>
      <c r="K579" s="109" t="s">
        <v>696</v>
      </c>
      <c r="L579" s="115">
        <v>1</v>
      </c>
      <c r="M579" s="115">
        <v>84.820808</v>
      </c>
      <c r="N579" s="115">
        <v>85.015743000000001</v>
      </c>
      <c r="O579" s="214">
        <v>0.31009500000000001</v>
      </c>
      <c r="P579" s="115">
        <v>7.1249999999999991</v>
      </c>
      <c r="Q579" s="771">
        <v>5.992</v>
      </c>
      <c r="R579" s="216"/>
      <c r="S579" s="216">
        <v>5.992</v>
      </c>
      <c r="T579" s="216">
        <v>27</v>
      </c>
      <c r="U579" s="216">
        <v>6.9649999999999999</v>
      </c>
      <c r="V579" s="115">
        <v>438.69422516115532</v>
      </c>
      <c r="W579" s="109"/>
      <c r="X579" s="109">
        <v>425.6</v>
      </c>
      <c r="Y579" s="109" t="s">
        <v>1874</v>
      </c>
      <c r="Z579" s="109">
        <v>0</v>
      </c>
      <c r="AA579" s="109">
        <v>0</v>
      </c>
      <c r="AB579" s="109"/>
      <c r="AC579" s="109"/>
      <c r="AD579" s="765"/>
      <c r="AE579" s="765" t="s">
        <v>13</v>
      </c>
      <c r="AF579" s="765"/>
      <c r="AG579" s="765" t="s">
        <v>3074</v>
      </c>
      <c r="AH579" s="109"/>
      <c r="AL579" s="2" t="s">
        <v>680</v>
      </c>
      <c r="AM579" s="2" t="s">
        <v>2976</v>
      </c>
      <c r="AN579" s="2" t="s">
        <v>952</v>
      </c>
      <c r="AO579" s="2">
        <v>1</v>
      </c>
      <c r="AP579" s="2" t="s">
        <v>4673</v>
      </c>
      <c r="AQ579" s="2" t="s">
        <v>4396</v>
      </c>
      <c r="AR579" s="2" t="s">
        <v>4671</v>
      </c>
      <c r="AT579" s="765"/>
      <c r="AU579" s="765"/>
      <c r="AV579" s="765"/>
      <c r="AW579" s="765"/>
    </row>
    <row r="580" spans="1:49" x14ac:dyDescent="0.25">
      <c r="A580" s="765" t="s">
        <v>5068</v>
      </c>
      <c r="B580" s="108" t="s">
        <v>529</v>
      </c>
      <c r="C580" s="108" t="s">
        <v>5178</v>
      </c>
      <c r="D580" s="108" t="s">
        <v>530</v>
      </c>
      <c r="E580" s="108" t="s">
        <v>5179</v>
      </c>
      <c r="F580" s="114" t="s">
        <v>698</v>
      </c>
      <c r="G580" s="213" t="s">
        <v>5180</v>
      </c>
      <c r="H580" s="115" t="s">
        <v>4812</v>
      </c>
      <c r="I580" s="213">
        <v>279000000</v>
      </c>
      <c r="J580" s="109">
        <v>1.28129</v>
      </c>
      <c r="K580" s="109" t="s">
        <v>695</v>
      </c>
      <c r="L580" s="115">
        <v>1</v>
      </c>
      <c r="M580" s="115">
        <v>0</v>
      </c>
      <c r="N580" s="115">
        <v>0</v>
      </c>
      <c r="O580" s="214">
        <v>0.24558099999999999</v>
      </c>
      <c r="P580" s="115">
        <v>5.1942000000000004</v>
      </c>
      <c r="Q580" s="771"/>
      <c r="R580" s="216"/>
      <c r="S580" s="216">
        <v>5.1942000000000004</v>
      </c>
      <c r="T580" s="216">
        <v>69</v>
      </c>
      <c r="U580" s="216"/>
      <c r="V580" s="115"/>
      <c r="W580" s="109">
        <v>104</v>
      </c>
      <c r="X580" s="109"/>
      <c r="Y580" s="109" t="s">
        <v>994</v>
      </c>
      <c r="Z580" s="109"/>
      <c r="AA580" s="109"/>
      <c r="AB580" s="109"/>
      <c r="AC580" s="109"/>
      <c r="AD580" s="765"/>
      <c r="AE580" s="765" t="s">
        <v>7</v>
      </c>
      <c r="AF580" s="765" t="s">
        <v>7</v>
      </c>
      <c r="AG580" s="765"/>
      <c r="AH580" s="109" t="s">
        <v>7</v>
      </c>
      <c r="AI580" s="765"/>
      <c r="AJ580" s="765"/>
      <c r="AK580" s="765"/>
      <c r="AL580" s="765" t="s">
        <v>680</v>
      </c>
      <c r="AM580" s="765" t="s">
        <v>711</v>
      </c>
      <c r="AN580" s="765" t="s">
        <v>952</v>
      </c>
      <c r="AO580" s="765">
        <v>1</v>
      </c>
      <c r="AP580" s="765" t="s">
        <v>4675</v>
      </c>
      <c r="AQ580" s="2" t="s">
        <v>3194</v>
      </c>
      <c r="AR580" s="2" t="s">
        <v>4671</v>
      </c>
      <c r="AT580" s="765"/>
      <c r="AU580" s="765"/>
      <c r="AV580" s="765"/>
      <c r="AW580" s="765"/>
    </row>
    <row r="581" spans="1:49" x14ac:dyDescent="0.25">
      <c r="A581" s="765" t="s">
        <v>2142</v>
      </c>
      <c r="B581" s="108" t="s">
        <v>528</v>
      </c>
      <c r="C581" s="108" t="s">
        <v>1956</v>
      </c>
      <c r="D581" s="108" t="s">
        <v>5181</v>
      </c>
      <c r="E581" s="108" t="s">
        <v>2143</v>
      </c>
      <c r="F581" s="114" t="s">
        <v>694</v>
      </c>
      <c r="G581" s="213" t="s">
        <v>2144</v>
      </c>
      <c r="H581" s="115" t="s">
        <v>2145</v>
      </c>
      <c r="I581" s="213">
        <v>30156189.329999998</v>
      </c>
      <c r="J581" s="109">
        <v>1.6501699999999999</v>
      </c>
      <c r="K581" s="109" t="s">
        <v>696</v>
      </c>
      <c r="L581" s="115">
        <v>0.25638657819999999</v>
      </c>
      <c r="M581" s="115">
        <v>98.580260999999993</v>
      </c>
      <c r="N581" s="115">
        <v>98.601601000000002</v>
      </c>
      <c r="O581" s="214">
        <v>0.123763</v>
      </c>
      <c r="P581" s="115">
        <v>0.32190000000000002</v>
      </c>
      <c r="Q581" s="771">
        <v>2.3841137403500001</v>
      </c>
      <c r="R581" s="216"/>
      <c r="S581" s="216">
        <v>2.3841137403500001</v>
      </c>
      <c r="T581" s="216">
        <v>27</v>
      </c>
      <c r="U581" s="216">
        <v>5.7510000000000003</v>
      </c>
      <c r="V581" s="115">
        <v>521.42272206144003</v>
      </c>
      <c r="W581" s="109"/>
      <c r="X581" s="109">
        <v>40.875806691869997</v>
      </c>
      <c r="Y581" s="109" t="s">
        <v>1542</v>
      </c>
      <c r="Z581" s="109">
        <v>55.84894319975173</v>
      </c>
      <c r="AA581" s="109">
        <v>48.353294903967722</v>
      </c>
      <c r="AB581" s="109" t="s">
        <v>5182</v>
      </c>
      <c r="AC581" s="109" t="s">
        <v>1566</v>
      </c>
      <c r="AD581" s="765" t="s">
        <v>246</v>
      </c>
      <c r="AE581" s="765" t="s">
        <v>7</v>
      </c>
      <c r="AF581" s="765"/>
      <c r="AG581" s="765"/>
      <c r="AH581" s="109" t="s">
        <v>7</v>
      </c>
      <c r="AI581" s="765" t="s">
        <v>7</v>
      </c>
      <c r="AJ581" s="765"/>
      <c r="AK581" s="765"/>
      <c r="AL581" s="765" t="s">
        <v>680</v>
      </c>
      <c r="AM581" s="765" t="s">
        <v>1668</v>
      </c>
      <c r="AN581" s="765" t="s">
        <v>952</v>
      </c>
      <c r="AO581" s="765">
        <v>0.30057514800000001</v>
      </c>
      <c r="AP581" s="765" t="s">
        <v>4673</v>
      </c>
      <c r="AQ581" s="2" t="s">
        <v>4469</v>
      </c>
      <c r="AR581" s="2" t="s">
        <v>4638</v>
      </c>
      <c r="AT581" s="765"/>
      <c r="AU581" s="765"/>
      <c r="AV581" s="765"/>
      <c r="AW581" s="765"/>
    </row>
    <row r="582" spans="1:49" x14ac:dyDescent="0.25">
      <c r="A582" s="765" t="s">
        <v>4582</v>
      </c>
      <c r="B582" s="108" t="s">
        <v>526</v>
      </c>
      <c r="C582" s="108" t="s">
        <v>1956</v>
      </c>
      <c r="D582" s="108" t="s">
        <v>4770</v>
      </c>
      <c r="E582" s="108" t="s">
        <v>4771</v>
      </c>
      <c r="F582" s="114" t="s">
        <v>698</v>
      </c>
      <c r="G582" s="213" t="s">
        <v>4772</v>
      </c>
      <c r="H582" s="115" t="s">
        <v>4773</v>
      </c>
      <c r="I582" s="213">
        <v>62711000</v>
      </c>
      <c r="J582" s="109">
        <v>3.55</v>
      </c>
      <c r="K582" s="109" t="s">
        <v>696</v>
      </c>
      <c r="L582" s="115">
        <v>1</v>
      </c>
      <c r="M582" s="115">
        <v>94.655144000000007</v>
      </c>
      <c r="N582" s="115">
        <v>94.758915000000002</v>
      </c>
      <c r="O582" s="214">
        <v>0.26624999999999999</v>
      </c>
      <c r="P582" s="115">
        <v>4.8806000000000003</v>
      </c>
      <c r="Q582" s="771">
        <v>4.43</v>
      </c>
      <c r="R582" s="216"/>
      <c r="S582" s="216">
        <v>4.43</v>
      </c>
      <c r="T582" s="216">
        <v>27</v>
      </c>
      <c r="U582" s="216">
        <v>4.79</v>
      </c>
      <c r="V582" s="115">
        <v>219.40102263627799</v>
      </c>
      <c r="W582" s="109"/>
      <c r="X582" s="109">
        <v>211.8</v>
      </c>
      <c r="Y582" s="109" t="s">
        <v>663</v>
      </c>
      <c r="Z582" s="109">
        <v>0</v>
      </c>
      <c r="AA582" s="109"/>
      <c r="AB582" s="109"/>
      <c r="AC582" s="109"/>
      <c r="AD582" s="765"/>
      <c r="AE582" s="765" t="s">
        <v>10</v>
      </c>
      <c r="AF582" s="765"/>
      <c r="AG582" s="765" t="s">
        <v>522</v>
      </c>
      <c r="AH582" s="109"/>
      <c r="AJ582" s="2" t="s">
        <v>10</v>
      </c>
      <c r="AL582" s="2" t="s">
        <v>680</v>
      </c>
      <c r="AM582" s="2" t="s">
        <v>2895</v>
      </c>
      <c r="AN582" s="2" t="s">
        <v>952</v>
      </c>
      <c r="AO582" s="2">
        <v>1</v>
      </c>
      <c r="AP582" s="2" t="s">
        <v>4673</v>
      </c>
      <c r="AQ582" s="2" t="s">
        <v>4639</v>
      </c>
      <c r="AR582" s="2" t="s">
        <v>4793</v>
      </c>
      <c r="AT582" s="765"/>
      <c r="AU582" s="765"/>
      <c r="AV582" s="765"/>
      <c r="AW582" s="765"/>
    </row>
    <row r="583" spans="1:49" x14ac:dyDescent="0.25">
      <c r="A583" s="765" t="s">
        <v>4581</v>
      </c>
      <c r="B583" s="108" t="s">
        <v>526</v>
      </c>
      <c r="C583" s="108" t="s">
        <v>1956</v>
      </c>
      <c r="D583" s="108" t="s">
        <v>4770</v>
      </c>
      <c r="E583" s="108" t="s">
        <v>4774</v>
      </c>
      <c r="F583" s="114" t="s">
        <v>698</v>
      </c>
      <c r="G583" s="213" t="s">
        <v>4772</v>
      </c>
      <c r="H583" s="115" t="s">
        <v>4773</v>
      </c>
      <c r="I583" s="213">
        <v>11837000</v>
      </c>
      <c r="J583" s="109">
        <v>3.7</v>
      </c>
      <c r="K583" s="109" t="s">
        <v>696</v>
      </c>
      <c r="L583" s="115">
        <v>1</v>
      </c>
      <c r="M583" s="115">
        <v>95.603324999999998</v>
      </c>
      <c r="N583" s="115">
        <v>95.707863000000003</v>
      </c>
      <c r="O583" s="214">
        <v>0.27750000000000002</v>
      </c>
      <c r="P583" s="115">
        <v>4.8806000000000003</v>
      </c>
      <c r="Q583" s="771">
        <v>4.4169999999999998</v>
      </c>
      <c r="R583" s="216"/>
      <c r="S583" s="216">
        <v>4.4169999999999998</v>
      </c>
      <c r="T583" s="216">
        <v>26</v>
      </c>
      <c r="U583" s="216">
        <v>4.7169999999999996</v>
      </c>
      <c r="V583" s="115">
        <v>212.14129979875869</v>
      </c>
      <c r="W583" s="109"/>
      <c r="X583" s="109">
        <v>204.7</v>
      </c>
      <c r="Y583" s="109" t="s">
        <v>663</v>
      </c>
      <c r="Z583" s="109">
        <v>0</v>
      </c>
      <c r="AA583" s="109"/>
      <c r="AB583" s="109"/>
      <c r="AC583" s="109"/>
      <c r="AD583" s="765"/>
      <c r="AE583" s="765" t="s">
        <v>10</v>
      </c>
      <c r="AF583" s="765"/>
      <c r="AG583" s="765" t="s">
        <v>522</v>
      </c>
      <c r="AH583" s="109"/>
      <c r="AJ583" s="2" t="s">
        <v>1971</v>
      </c>
      <c r="AL583" s="2" t="s">
        <v>680</v>
      </c>
      <c r="AM583" s="2" t="s">
        <v>2895</v>
      </c>
      <c r="AN583" s="2" t="s">
        <v>952</v>
      </c>
      <c r="AO583" s="2">
        <v>1</v>
      </c>
      <c r="AP583" s="2" t="s">
        <v>4673</v>
      </c>
      <c r="AQ583" s="2" t="s">
        <v>4639</v>
      </c>
      <c r="AR583" s="2" t="s">
        <v>4793</v>
      </c>
      <c r="AT583" s="765"/>
      <c r="AU583" s="765"/>
      <c r="AV583" s="765"/>
      <c r="AW583" s="765"/>
    </row>
    <row r="584" spans="1:49" x14ac:dyDescent="0.25">
      <c r="A584" s="765" t="s">
        <v>2882</v>
      </c>
      <c r="B584" s="108" t="s">
        <v>529</v>
      </c>
      <c r="C584" s="108" t="s">
        <v>2883</v>
      </c>
      <c r="D584" s="108" t="s">
        <v>530</v>
      </c>
      <c r="E584" s="108" t="s">
        <v>2884</v>
      </c>
      <c r="F584" s="114" t="s">
        <v>698</v>
      </c>
      <c r="G584" s="213" t="s">
        <v>2885</v>
      </c>
      <c r="H584" s="115" t="s">
        <v>1458</v>
      </c>
      <c r="I584" s="213">
        <v>15000000</v>
      </c>
      <c r="J584" s="109">
        <v>6.1040000000000001</v>
      </c>
      <c r="K584" s="109" t="s">
        <v>695</v>
      </c>
      <c r="L584" s="115">
        <v>1</v>
      </c>
      <c r="M584" s="115">
        <v>0</v>
      </c>
      <c r="N584" s="115">
        <v>0</v>
      </c>
      <c r="O584" s="214">
        <v>1.1360220000000001</v>
      </c>
      <c r="P584" s="115">
        <v>3.7252000000000001</v>
      </c>
      <c r="Q584" s="771"/>
      <c r="R584" s="216"/>
      <c r="S584" s="216">
        <v>3.7252000000000001</v>
      </c>
      <c r="T584" s="216">
        <v>67</v>
      </c>
      <c r="U584" s="216"/>
      <c r="V584" s="115"/>
      <c r="W584" s="109">
        <v>585</v>
      </c>
      <c r="X584" s="109"/>
      <c r="Y584" s="109" t="s">
        <v>992</v>
      </c>
      <c r="Z584" s="109"/>
      <c r="AA584" s="109"/>
      <c r="AB584" s="109"/>
      <c r="AC584" s="109"/>
      <c r="AD584" s="765"/>
      <c r="AE584" s="765" t="s">
        <v>13</v>
      </c>
      <c r="AF584" s="765" t="s">
        <v>13</v>
      </c>
      <c r="AG584" s="765" t="s">
        <v>522</v>
      </c>
      <c r="AH584" s="109"/>
      <c r="AL584" s="2" t="s">
        <v>680</v>
      </c>
      <c r="AM584" s="2" t="s">
        <v>711</v>
      </c>
      <c r="AN584" s="2" t="s">
        <v>952</v>
      </c>
      <c r="AO584" s="2">
        <v>1</v>
      </c>
      <c r="AP584" s="2" t="s">
        <v>4660</v>
      </c>
      <c r="AQ584" s="2" t="s">
        <v>3404</v>
      </c>
      <c r="AR584" s="2" t="s">
        <v>3969</v>
      </c>
      <c r="AT584" s="765"/>
      <c r="AU584" s="765"/>
      <c r="AV584" s="765"/>
      <c r="AW584" s="765"/>
    </row>
    <row r="585" spans="1:49" x14ac:dyDescent="0.25">
      <c r="A585" s="765" t="s">
        <v>2073</v>
      </c>
      <c r="B585" s="108" t="s">
        <v>656</v>
      </c>
      <c r="C585" s="108" t="s">
        <v>2074</v>
      </c>
      <c r="D585" s="108" t="s">
        <v>541</v>
      </c>
      <c r="E585" s="108" t="s">
        <v>2074</v>
      </c>
      <c r="F585" s="114" t="s">
        <v>699</v>
      </c>
      <c r="G585" s="213" t="s">
        <v>2077</v>
      </c>
      <c r="H585" s="115" t="s">
        <v>2078</v>
      </c>
      <c r="I585" s="213">
        <v>20000000</v>
      </c>
      <c r="J585" s="109">
        <v>6</v>
      </c>
      <c r="K585" s="109" t="s">
        <v>696</v>
      </c>
      <c r="L585" s="115">
        <v>1</v>
      </c>
      <c r="M585" s="115">
        <v>110.16500000000001</v>
      </c>
      <c r="N585" s="115">
        <v>110.655</v>
      </c>
      <c r="O585" s="214">
        <v>2.9666670000000002</v>
      </c>
      <c r="P585" s="115"/>
      <c r="Q585" s="771">
        <v>2.362455353827118</v>
      </c>
      <c r="R585" s="216">
        <v>2.3474586397683619</v>
      </c>
      <c r="S585" s="216">
        <v>2.362455353827118</v>
      </c>
      <c r="T585" s="216">
        <v>0</v>
      </c>
      <c r="U585" s="216">
        <v>4.1406773236685277</v>
      </c>
      <c r="V585" s="115"/>
      <c r="W585" s="109">
        <v>490.5</v>
      </c>
      <c r="X585" s="109">
        <v>-95.119408536362982</v>
      </c>
      <c r="Y585" s="109"/>
      <c r="Z585" s="109"/>
      <c r="AA585" s="109"/>
      <c r="AB585" s="109"/>
      <c r="AC585" s="109"/>
      <c r="AD585" s="765"/>
      <c r="AE585" s="765" t="s">
        <v>9</v>
      </c>
      <c r="AF585" s="765"/>
      <c r="AG585" s="765"/>
      <c r="AH585" s="109"/>
      <c r="AK585" s="2" t="s">
        <v>18</v>
      </c>
      <c r="AL585" s="2" t="s">
        <v>680</v>
      </c>
      <c r="AM585" s="2" t="s">
        <v>812</v>
      </c>
      <c r="AN585" s="2" t="s">
        <v>952</v>
      </c>
      <c r="AT585" s="765"/>
      <c r="AU585" s="765"/>
      <c r="AV585" s="765"/>
      <c r="AW585" s="765"/>
    </row>
    <row r="586" spans="1:49" x14ac:dyDescent="0.25">
      <c r="A586" s="765" t="s">
        <v>2669</v>
      </c>
      <c r="B586" s="108" t="s">
        <v>526</v>
      </c>
      <c r="C586" s="108" t="s">
        <v>2670</v>
      </c>
      <c r="D586" s="108" t="s">
        <v>2671</v>
      </c>
      <c r="E586" s="108" t="s">
        <v>2672</v>
      </c>
      <c r="F586" s="114" t="s">
        <v>698</v>
      </c>
      <c r="G586" s="213" t="s">
        <v>2435</v>
      </c>
      <c r="H586" s="115" t="s">
        <v>2673</v>
      </c>
      <c r="I586" s="213">
        <v>46987000</v>
      </c>
      <c r="J586" s="109">
        <v>1.8560000000000001</v>
      </c>
      <c r="K586" s="109" t="s">
        <v>696</v>
      </c>
      <c r="L586" s="115">
        <v>1</v>
      </c>
      <c r="M586" s="115">
        <v>92.423255999999995</v>
      </c>
      <c r="N586" s="115">
        <v>92.502880000000005</v>
      </c>
      <c r="O586" s="214">
        <v>0.13919999999999999</v>
      </c>
      <c r="P586" s="115">
        <v>3.6305999999999998</v>
      </c>
      <c r="Q586" s="771">
        <v>3.48</v>
      </c>
      <c r="R586" s="216"/>
      <c r="S586" s="216">
        <v>3.48</v>
      </c>
      <c r="T586" s="216">
        <v>27</v>
      </c>
      <c r="U586" s="216">
        <v>4.1149999999999993</v>
      </c>
      <c r="V586" s="115">
        <v>152.84424252635151</v>
      </c>
      <c r="W586" s="109"/>
      <c r="X586" s="109">
        <v>145</v>
      </c>
      <c r="Y586" s="109" t="s">
        <v>663</v>
      </c>
      <c r="Z586" s="109">
        <v>0</v>
      </c>
      <c r="AA586" s="109">
        <v>0</v>
      </c>
      <c r="AB586" s="109"/>
      <c r="AC586" s="109"/>
      <c r="AD586" s="765"/>
      <c r="AE586" s="765" t="s">
        <v>9</v>
      </c>
      <c r="AF586" s="765"/>
      <c r="AG586" s="765" t="s">
        <v>1064</v>
      </c>
      <c r="AH586" s="109"/>
      <c r="AJ586" s="2" t="s">
        <v>2085</v>
      </c>
      <c r="AL586" s="2" t="s">
        <v>680</v>
      </c>
      <c r="AM586" s="2" t="s">
        <v>2895</v>
      </c>
      <c r="AN586" s="2" t="s">
        <v>952</v>
      </c>
      <c r="AO586" s="2">
        <v>1</v>
      </c>
      <c r="AP586" s="2" t="s">
        <v>4673</v>
      </c>
      <c r="AQ586" s="2" t="s">
        <v>4639</v>
      </c>
      <c r="AR586" s="2" t="s">
        <v>4793</v>
      </c>
      <c r="AT586" s="765"/>
      <c r="AU586" s="765"/>
      <c r="AV586" s="765"/>
      <c r="AW586" s="765"/>
    </row>
    <row r="587" spans="1:49" x14ac:dyDescent="0.25">
      <c r="A587" s="765" t="s">
        <v>3372</v>
      </c>
      <c r="B587" s="108" t="s">
        <v>527</v>
      </c>
      <c r="C587" s="108" t="s">
        <v>3373</v>
      </c>
      <c r="D587" s="108" t="s">
        <v>3374</v>
      </c>
      <c r="E587" s="108" t="s">
        <v>3375</v>
      </c>
      <c r="F587" s="114" t="s">
        <v>694</v>
      </c>
      <c r="G587" s="213" t="s">
        <v>2832</v>
      </c>
      <c r="H587" s="115" t="s">
        <v>3376</v>
      </c>
      <c r="I587" s="213">
        <v>31117000</v>
      </c>
      <c r="J587" s="109">
        <v>3.2054999999999998</v>
      </c>
      <c r="K587" s="109" t="s">
        <v>696</v>
      </c>
      <c r="L587" s="115">
        <v>1</v>
      </c>
      <c r="M587" s="115">
        <v>73.991034999999997</v>
      </c>
      <c r="N587" s="115">
        <v>74.203227999999996</v>
      </c>
      <c r="O587" s="214">
        <v>0.24041299999999999</v>
      </c>
      <c r="P587" s="115">
        <v>9.0277999999999992</v>
      </c>
      <c r="Q587" s="771">
        <v>7.4720000000000004</v>
      </c>
      <c r="R587" s="216"/>
      <c r="S587" s="216">
        <v>7.4720000000000004</v>
      </c>
      <c r="T587" s="216">
        <v>27</v>
      </c>
      <c r="U587" s="216">
        <v>7.2679999999999998</v>
      </c>
      <c r="V587" s="115">
        <v>475.04067630066368</v>
      </c>
      <c r="W587" s="109"/>
      <c r="X587" s="109">
        <v>461.1</v>
      </c>
      <c r="Y587" s="109" t="s">
        <v>1874</v>
      </c>
      <c r="Z587" s="109">
        <v>0</v>
      </c>
      <c r="AA587" s="109">
        <v>0</v>
      </c>
      <c r="AB587" s="109"/>
      <c r="AC587" s="109"/>
      <c r="AD587" s="765"/>
      <c r="AE587" s="765" t="s">
        <v>13</v>
      </c>
      <c r="AF587" s="765"/>
      <c r="AG587" s="765" t="s">
        <v>522</v>
      </c>
      <c r="AH587" s="109"/>
      <c r="AJ587" s="2" t="s">
        <v>3272</v>
      </c>
      <c r="AL587" s="2" t="s">
        <v>680</v>
      </c>
      <c r="AM587" s="2" t="s">
        <v>2976</v>
      </c>
      <c r="AN587" s="2" t="s">
        <v>952</v>
      </c>
      <c r="AO587" s="2">
        <v>1</v>
      </c>
      <c r="AP587" s="2" t="s">
        <v>4673</v>
      </c>
      <c r="AQ587" s="2" t="s">
        <v>5106</v>
      </c>
      <c r="AR587" s="2" t="s">
        <v>4787</v>
      </c>
      <c r="AT587" s="765"/>
      <c r="AU587" s="765"/>
      <c r="AV587" s="765"/>
      <c r="AW587" s="765"/>
    </row>
    <row r="588" spans="1:49" x14ac:dyDescent="0.25">
      <c r="A588" s="765" t="s">
        <v>2119</v>
      </c>
      <c r="B588" s="108" t="s">
        <v>528</v>
      </c>
      <c r="C588" s="108" t="s">
        <v>2120</v>
      </c>
      <c r="D588" s="108" t="s">
        <v>2121</v>
      </c>
      <c r="E588" s="108" t="s">
        <v>2122</v>
      </c>
      <c r="F588" s="114" t="s">
        <v>694</v>
      </c>
      <c r="G588" s="213" t="s">
        <v>1926</v>
      </c>
      <c r="H588" s="115" t="s">
        <v>2123</v>
      </c>
      <c r="I588" s="213">
        <v>646613.30000000005</v>
      </c>
      <c r="J588" s="109">
        <v>4.5</v>
      </c>
      <c r="K588" s="109" t="s">
        <v>696</v>
      </c>
      <c r="L588" s="115">
        <v>0.1517871596</v>
      </c>
      <c r="M588" s="115">
        <v>100.748825</v>
      </c>
      <c r="N588" s="115">
        <v>100.79024099999999</v>
      </c>
      <c r="O588" s="214">
        <v>0.33750000000000002</v>
      </c>
      <c r="P588" s="115">
        <v>0.46889999999999998</v>
      </c>
      <c r="Q588" s="771">
        <v>2.0704399555099999</v>
      </c>
      <c r="R588" s="216"/>
      <c r="S588" s="216">
        <v>2.0704399555099999</v>
      </c>
      <c r="T588" s="216">
        <v>27</v>
      </c>
      <c r="U588" s="216">
        <v>2.2559999999999998</v>
      </c>
      <c r="V588" s="115">
        <v>127.7950287318</v>
      </c>
      <c r="W588" s="109"/>
      <c r="X588" s="109">
        <v>108.8810303914</v>
      </c>
      <c r="Y588" s="109" t="s">
        <v>2124</v>
      </c>
      <c r="Z588" s="109">
        <v>48.960847570370937</v>
      </c>
      <c r="AA588" s="109">
        <v>45.008738199591868</v>
      </c>
      <c r="AB588" s="109" t="s">
        <v>3086</v>
      </c>
      <c r="AC588" s="109" t="s">
        <v>4513</v>
      </c>
      <c r="AD588" s="765" t="s">
        <v>4459</v>
      </c>
      <c r="AE588" s="765" t="s">
        <v>7</v>
      </c>
      <c r="AF588" s="765"/>
      <c r="AG588" s="765"/>
      <c r="AH588" s="109" t="s">
        <v>7</v>
      </c>
      <c r="AJ588" s="2" t="s">
        <v>7</v>
      </c>
      <c r="AL588" s="2" t="s">
        <v>680</v>
      </c>
      <c r="AM588" s="2" t="s">
        <v>709</v>
      </c>
      <c r="AN588" s="2" t="s">
        <v>952</v>
      </c>
      <c r="AO588" s="2">
        <v>0.15772208200000001</v>
      </c>
      <c r="AP588" s="2" t="s">
        <v>4673</v>
      </c>
      <c r="AQ588" s="2" t="s">
        <v>4469</v>
      </c>
      <c r="AR588" s="2" t="s">
        <v>4638</v>
      </c>
      <c r="AT588" s="765"/>
      <c r="AU588" s="765"/>
      <c r="AV588" s="765"/>
      <c r="AW588" s="765"/>
    </row>
    <row r="589" spans="1:49" x14ac:dyDescent="0.25">
      <c r="A589" s="765" t="s">
        <v>2125</v>
      </c>
      <c r="B589" s="108" t="s">
        <v>528</v>
      </c>
      <c r="C589" s="108" t="s">
        <v>2120</v>
      </c>
      <c r="D589" s="108" t="s">
        <v>3917</v>
      </c>
      <c r="E589" s="108" t="s">
        <v>2126</v>
      </c>
      <c r="F589" s="114" t="s">
        <v>694</v>
      </c>
      <c r="G589" s="213" t="s">
        <v>1926</v>
      </c>
      <c r="H589" s="115" t="s">
        <v>2123</v>
      </c>
      <c r="I589" s="213">
        <v>1226672.69</v>
      </c>
      <c r="J589" s="109">
        <v>4.5265219999999999</v>
      </c>
      <c r="K589" s="109" t="s">
        <v>696</v>
      </c>
      <c r="L589" s="115">
        <v>0.91270289429999996</v>
      </c>
      <c r="M589" s="115">
        <v>98.727103999999997</v>
      </c>
      <c r="N589" s="115">
        <v>98.848465000000004</v>
      </c>
      <c r="O589" s="214">
        <v>0.33948899999999999</v>
      </c>
      <c r="P589" s="115">
        <v>2.4176000000000002</v>
      </c>
      <c r="Q589" s="771">
        <v>3.8311594957900001</v>
      </c>
      <c r="R589" s="216"/>
      <c r="S589" s="216">
        <v>3.8311594957900001</v>
      </c>
      <c r="T589" s="216">
        <v>27</v>
      </c>
      <c r="U589" s="216">
        <v>5.274</v>
      </c>
      <c r="V589" s="115">
        <v>281.77657887561998</v>
      </c>
      <c r="W589" s="109"/>
      <c r="X589" s="109">
        <v>241.98820221072</v>
      </c>
      <c r="Y589" s="109" t="s">
        <v>2127</v>
      </c>
      <c r="Z589" s="109">
        <v>39.570877733020261</v>
      </c>
      <c r="AA589" s="109">
        <v>41.210457979813988</v>
      </c>
      <c r="AB589" s="109" t="s">
        <v>3837</v>
      </c>
      <c r="AC589" s="109" t="s">
        <v>4056</v>
      </c>
      <c r="AD589" s="765" t="s">
        <v>3430</v>
      </c>
      <c r="AE589" s="765" t="s">
        <v>7</v>
      </c>
      <c r="AF589" s="765"/>
      <c r="AG589" s="765"/>
      <c r="AH589" s="109" t="s">
        <v>7</v>
      </c>
      <c r="AJ589" s="2" t="s">
        <v>8</v>
      </c>
      <c r="AL589" s="2" t="s">
        <v>680</v>
      </c>
      <c r="AM589" s="2" t="s">
        <v>709</v>
      </c>
      <c r="AN589" s="2" t="s">
        <v>952</v>
      </c>
      <c r="AO589" s="2">
        <v>0.91515837099999997</v>
      </c>
      <c r="AP589" s="2" t="s">
        <v>4673</v>
      </c>
      <c r="AQ589" s="2" t="s">
        <v>4469</v>
      </c>
      <c r="AR589" s="2" t="s">
        <v>4638</v>
      </c>
      <c r="AT589" s="765"/>
      <c r="AU589" s="765"/>
      <c r="AV589" s="765"/>
      <c r="AW589" s="765"/>
    </row>
    <row r="590" spans="1:49" x14ac:dyDescent="0.25">
      <c r="A590" s="765" t="s">
        <v>2156</v>
      </c>
      <c r="B590" s="108" t="s">
        <v>528</v>
      </c>
      <c r="C590" s="108" t="s">
        <v>2120</v>
      </c>
      <c r="D590" s="108" t="s">
        <v>3917</v>
      </c>
      <c r="E590" s="108" t="s">
        <v>2157</v>
      </c>
      <c r="F590" s="114" t="s">
        <v>694</v>
      </c>
      <c r="G590" s="213" t="s">
        <v>1926</v>
      </c>
      <c r="H590" s="115" t="s">
        <v>2123</v>
      </c>
      <c r="I590" s="213">
        <v>21151279.41</v>
      </c>
      <c r="J590" s="109">
        <v>4.5265219999999999</v>
      </c>
      <c r="K590" s="109" t="s">
        <v>696</v>
      </c>
      <c r="L590" s="115">
        <v>0.9179445973</v>
      </c>
      <c r="M590" s="115">
        <v>102.513603</v>
      </c>
      <c r="N590" s="115">
        <v>102.591015</v>
      </c>
      <c r="O590" s="214">
        <v>0.33948899999999999</v>
      </c>
      <c r="P590" s="115">
        <v>1.5907</v>
      </c>
      <c r="Q590" s="771">
        <v>3.6342484480300001</v>
      </c>
      <c r="R590" s="216"/>
      <c r="S590" s="216">
        <v>3.6342484480300001</v>
      </c>
      <c r="T590" s="216">
        <v>27</v>
      </c>
      <c r="U590" s="216">
        <v>3.59</v>
      </c>
      <c r="V590" s="115">
        <v>84.298543080040005</v>
      </c>
      <c r="W590" s="109"/>
      <c r="X590" s="109">
        <v>169.93804930608999</v>
      </c>
      <c r="Y590" s="109" t="s">
        <v>2127</v>
      </c>
      <c r="Z590" s="109">
        <v>39.570877733020261</v>
      </c>
      <c r="AA590" s="109">
        <v>41.210457979813988</v>
      </c>
      <c r="AB590" s="109" t="s">
        <v>3837</v>
      </c>
      <c r="AC590" s="109" t="s">
        <v>4056</v>
      </c>
      <c r="AD590" s="765" t="s">
        <v>3430</v>
      </c>
      <c r="AE590" s="765" t="s">
        <v>9</v>
      </c>
      <c r="AF590" s="765"/>
      <c r="AG590" s="765"/>
      <c r="AH590" s="109" t="s">
        <v>2395</v>
      </c>
      <c r="AJ590" s="2" t="s">
        <v>9</v>
      </c>
      <c r="AL590" s="2" t="s">
        <v>680</v>
      </c>
      <c r="AM590" s="2" t="s">
        <v>709</v>
      </c>
      <c r="AN590" s="2" t="s">
        <v>952</v>
      </c>
      <c r="AO590" s="2">
        <v>0.920414179</v>
      </c>
      <c r="AP590" s="2" t="s">
        <v>4673</v>
      </c>
      <c r="AQ590" s="2" t="s">
        <v>4469</v>
      </c>
      <c r="AR590" s="2" t="s">
        <v>4638</v>
      </c>
      <c r="AT590" s="765"/>
      <c r="AU590" s="765"/>
      <c r="AV590" s="765"/>
      <c r="AW590" s="765"/>
    </row>
    <row r="591" spans="1:49" x14ac:dyDescent="0.25">
      <c r="A591" s="765" t="s">
        <v>2148</v>
      </c>
      <c r="B591" s="108" t="s">
        <v>528</v>
      </c>
      <c r="C591" s="108" t="s">
        <v>2120</v>
      </c>
      <c r="D591" s="108" t="s">
        <v>3917</v>
      </c>
      <c r="E591" s="108" t="s">
        <v>2149</v>
      </c>
      <c r="F591" s="114" t="s">
        <v>694</v>
      </c>
      <c r="G591" s="213" t="s">
        <v>1926</v>
      </c>
      <c r="H591" s="115" t="s">
        <v>2123</v>
      </c>
      <c r="I591" s="213">
        <v>9916678.1099999994</v>
      </c>
      <c r="J591" s="109">
        <v>4.5265219999999999</v>
      </c>
      <c r="K591" s="109" t="s">
        <v>696</v>
      </c>
      <c r="L591" s="115">
        <v>0.9389904469</v>
      </c>
      <c r="M591" s="115">
        <v>101.551445</v>
      </c>
      <c r="N591" s="115">
        <v>101.627945</v>
      </c>
      <c r="O591" s="214">
        <v>0.33948899999999999</v>
      </c>
      <c r="P591" s="115">
        <v>1.5907</v>
      </c>
      <c r="Q591" s="771">
        <v>3.6851648589799999</v>
      </c>
      <c r="R591" s="216"/>
      <c r="S591" s="216">
        <v>3.6851648589799999</v>
      </c>
      <c r="T591" s="216">
        <v>27</v>
      </c>
      <c r="U591" s="216">
        <v>4.0090000000000003</v>
      </c>
      <c r="V591" s="115">
        <v>146.47447070691999</v>
      </c>
      <c r="W591" s="109"/>
      <c r="X591" s="109">
        <v>188.36426215626</v>
      </c>
      <c r="Y591" s="109" t="s">
        <v>1908</v>
      </c>
      <c r="Z591" s="109">
        <v>39.570877733020261</v>
      </c>
      <c r="AA591" s="109">
        <v>41.210457979813988</v>
      </c>
      <c r="AB591" s="109" t="s">
        <v>3837</v>
      </c>
      <c r="AC591" s="109" t="s">
        <v>4056</v>
      </c>
      <c r="AD591" s="765" t="s">
        <v>3430</v>
      </c>
      <c r="AE591" s="765" t="s">
        <v>10</v>
      </c>
      <c r="AF591" s="765"/>
      <c r="AG591" s="765"/>
      <c r="AH591" s="109" t="s">
        <v>10</v>
      </c>
      <c r="AJ591" s="2" t="s">
        <v>10</v>
      </c>
      <c r="AL591" s="2" t="s">
        <v>680</v>
      </c>
      <c r="AM591" s="2" t="s">
        <v>709</v>
      </c>
      <c r="AN591" s="2" t="s">
        <v>952</v>
      </c>
      <c r="AO591" s="2">
        <v>0.94151664999999995</v>
      </c>
      <c r="AP591" s="2" t="s">
        <v>4673</v>
      </c>
      <c r="AQ591" s="2" t="s">
        <v>4469</v>
      </c>
      <c r="AR591" s="2" t="s">
        <v>4638</v>
      </c>
      <c r="AT591" s="765"/>
      <c r="AU591" s="765"/>
      <c r="AV591" s="765"/>
      <c r="AW591" s="765"/>
    </row>
    <row r="592" spans="1:49" x14ac:dyDescent="0.25">
      <c r="A592" s="765" t="s">
        <v>1634</v>
      </c>
      <c r="B592" s="108" t="s">
        <v>529</v>
      </c>
      <c r="C592" s="108" t="s">
        <v>1635</v>
      </c>
      <c r="D592" s="108" t="s">
        <v>530</v>
      </c>
      <c r="E592" s="108" t="s">
        <v>1636</v>
      </c>
      <c r="F592" s="114" t="s">
        <v>698</v>
      </c>
      <c r="G592" s="213" t="s">
        <v>1130</v>
      </c>
      <c r="H592" s="115" t="s">
        <v>1637</v>
      </c>
      <c r="I592" s="213">
        <v>0</v>
      </c>
      <c r="J592" s="109">
        <v>2.6837499999999999</v>
      </c>
      <c r="K592" s="109" t="s">
        <v>695</v>
      </c>
      <c r="L592" s="115">
        <v>0</v>
      </c>
      <c r="M592" s="115">
        <v>0</v>
      </c>
      <c r="N592" s="115">
        <v>0</v>
      </c>
      <c r="O592" s="214">
        <v>0</v>
      </c>
      <c r="P592" s="115">
        <v>4.7300000000000004</v>
      </c>
      <c r="Q592" s="771"/>
      <c r="R592" s="216"/>
      <c r="S592" s="216">
        <v>4.7300000000000004</v>
      </c>
      <c r="T592" s="216">
        <v>71</v>
      </c>
      <c r="U592" s="216"/>
      <c r="V592" s="115"/>
      <c r="W592" s="109">
        <v>250</v>
      </c>
      <c r="X592" s="109"/>
      <c r="Y592" s="109" t="s">
        <v>992</v>
      </c>
      <c r="Z592" s="109"/>
      <c r="AA592" s="109"/>
      <c r="AB592" s="109"/>
      <c r="AC592" s="109"/>
      <c r="AD592" s="765"/>
      <c r="AE592" s="765" t="s">
        <v>522</v>
      </c>
      <c r="AF592" s="765" t="s">
        <v>522</v>
      </c>
      <c r="AG592" s="765" t="s">
        <v>522</v>
      </c>
      <c r="AH592" s="109"/>
      <c r="AL592" s="2" t="s">
        <v>680</v>
      </c>
      <c r="AM592" s="2" t="s">
        <v>711</v>
      </c>
      <c r="AN592" s="2" t="s">
        <v>952</v>
      </c>
      <c r="AP592" s="2" t="s">
        <v>4661</v>
      </c>
      <c r="AQ592" s="2" t="s">
        <v>2726</v>
      </c>
      <c r="AR592" s="2" t="s">
        <v>4730</v>
      </c>
      <c r="AT592" s="765"/>
      <c r="AU592" s="765"/>
      <c r="AV592" s="765"/>
      <c r="AW592" s="765"/>
    </row>
    <row r="593" spans="1:49" x14ac:dyDescent="0.25">
      <c r="A593" s="765" t="s">
        <v>3108</v>
      </c>
      <c r="B593" s="108" t="s">
        <v>529</v>
      </c>
      <c r="C593" s="108" t="s">
        <v>2909</v>
      </c>
      <c r="D593" s="108" t="s">
        <v>530</v>
      </c>
      <c r="E593" s="108" t="s">
        <v>3109</v>
      </c>
      <c r="F593" s="114" t="s">
        <v>698</v>
      </c>
      <c r="G593" s="213" t="s">
        <v>3110</v>
      </c>
      <c r="H593" s="115" t="s">
        <v>3111</v>
      </c>
      <c r="I593" s="213">
        <v>31500000</v>
      </c>
      <c r="J593" s="109">
        <v>6.3212900000000003</v>
      </c>
      <c r="K593" s="109" t="s">
        <v>695</v>
      </c>
      <c r="L593" s="115">
        <v>1</v>
      </c>
      <c r="M593" s="115">
        <v>0</v>
      </c>
      <c r="N593" s="115">
        <v>0</v>
      </c>
      <c r="O593" s="214">
        <v>1.211581</v>
      </c>
      <c r="P593" s="115">
        <v>5.4364999999999997</v>
      </c>
      <c r="Q593" s="771"/>
      <c r="R593" s="216"/>
      <c r="S593" s="216">
        <v>5.4364999999999997</v>
      </c>
      <c r="T593" s="216">
        <v>69</v>
      </c>
      <c r="U593" s="216"/>
      <c r="V593" s="115"/>
      <c r="W593" s="109">
        <v>608</v>
      </c>
      <c r="X593" s="109"/>
      <c r="Y593" s="109" t="s">
        <v>993</v>
      </c>
      <c r="Z593" s="109"/>
      <c r="AA593" s="109"/>
      <c r="AB593" s="109"/>
      <c r="AC593" s="109"/>
      <c r="AD593" s="765"/>
      <c r="AE593" s="765" t="s">
        <v>13</v>
      </c>
      <c r="AF593" s="765"/>
      <c r="AG593" s="765" t="s">
        <v>3074</v>
      </c>
      <c r="AH593" s="109" t="s">
        <v>522</v>
      </c>
      <c r="AL593" s="2" t="s">
        <v>680</v>
      </c>
      <c r="AM593" s="2" t="s">
        <v>711</v>
      </c>
      <c r="AN593" s="2" t="s">
        <v>952</v>
      </c>
      <c r="AO593" s="2">
        <v>1</v>
      </c>
      <c r="AP593" s="2" t="s">
        <v>4675</v>
      </c>
      <c r="AQ593" s="2" t="s">
        <v>3194</v>
      </c>
      <c r="AR593" s="2" t="s">
        <v>4661</v>
      </c>
      <c r="AT593" s="765"/>
      <c r="AU593" s="765"/>
      <c r="AV593" s="765"/>
      <c r="AW593" s="765"/>
    </row>
    <row r="594" spans="1:49" x14ac:dyDescent="0.25">
      <c r="A594" s="765" t="s">
        <v>3592</v>
      </c>
      <c r="B594" s="108" t="s">
        <v>529</v>
      </c>
      <c r="C594" s="108" t="s">
        <v>2909</v>
      </c>
      <c r="D594" s="108" t="s">
        <v>530</v>
      </c>
      <c r="E594" s="108" t="s">
        <v>3822</v>
      </c>
      <c r="F594" s="114" t="s">
        <v>698</v>
      </c>
      <c r="G594" s="213" t="s">
        <v>3823</v>
      </c>
      <c r="H594" s="115" t="s">
        <v>3824</v>
      </c>
      <c r="I594" s="213">
        <v>25075000</v>
      </c>
      <c r="J594" s="109">
        <v>5.6989999999999998</v>
      </c>
      <c r="K594" s="109" t="s">
        <v>695</v>
      </c>
      <c r="L594" s="115">
        <v>1</v>
      </c>
      <c r="M594" s="115">
        <v>0</v>
      </c>
      <c r="N594" s="115">
        <v>0</v>
      </c>
      <c r="O594" s="214">
        <v>0.88651100000000005</v>
      </c>
      <c r="P594" s="115">
        <v>3.25</v>
      </c>
      <c r="Q594" s="771"/>
      <c r="R594" s="216"/>
      <c r="S594" s="216">
        <v>3.25</v>
      </c>
      <c r="T594" s="216">
        <v>56</v>
      </c>
      <c r="U594" s="216"/>
      <c r="V594" s="115"/>
      <c r="W594" s="109">
        <v>540</v>
      </c>
      <c r="X594" s="109"/>
      <c r="Y594" s="109" t="s">
        <v>532</v>
      </c>
      <c r="Z594" s="109"/>
      <c r="AA594" s="109"/>
      <c r="AB594" s="109"/>
      <c r="AC594" s="109"/>
      <c r="AD594" s="765"/>
      <c r="AE594" s="765" t="s">
        <v>13</v>
      </c>
      <c r="AF594" s="765"/>
      <c r="AG594" s="765" t="s">
        <v>2682</v>
      </c>
      <c r="AH594" s="109" t="s">
        <v>522</v>
      </c>
      <c r="AL594" s="2" t="s">
        <v>680</v>
      </c>
      <c r="AM594" s="2" t="s">
        <v>711</v>
      </c>
      <c r="AN594" s="2" t="s">
        <v>952</v>
      </c>
      <c r="AO594" s="2">
        <v>1</v>
      </c>
      <c r="AP594" s="2" t="s">
        <v>4646</v>
      </c>
      <c r="AQ594" s="2" t="s">
        <v>3887</v>
      </c>
      <c r="AR594" s="2" t="s">
        <v>4647</v>
      </c>
      <c r="AT594" s="765"/>
      <c r="AU594" s="765"/>
      <c r="AV594" s="765"/>
      <c r="AW594" s="765"/>
    </row>
    <row r="595" spans="1:49" x14ac:dyDescent="0.25">
      <c r="A595" s="765" t="s">
        <v>2150</v>
      </c>
      <c r="B595" s="108" t="s">
        <v>528</v>
      </c>
      <c r="C595" s="108" t="s">
        <v>2120</v>
      </c>
      <c r="D595" s="108" t="s">
        <v>4489</v>
      </c>
      <c r="E595" s="108" t="s">
        <v>2151</v>
      </c>
      <c r="F595" s="114" t="s">
        <v>694</v>
      </c>
      <c r="G595" s="213" t="s">
        <v>1587</v>
      </c>
      <c r="H595" s="115" t="s">
        <v>2130</v>
      </c>
      <c r="I595" s="213">
        <v>9655918.4399999995</v>
      </c>
      <c r="J595" s="109">
        <v>4.9876389999999997</v>
      </c>
      <c r="K595" s="109" t="s">
        <v>696</v>
      </c>
      <c r="L595" s="115">
        <v>0.96481998800000002</v>
      </c>
      <c r="M595" s="115">
        <v>102.50095399999999</v>
      </c>
      <c r="N595" s="115">
        <v>102.595989</v>
      </c>
      <c r="O595" s="214">
        <v>0.37407299999999999</v>
      </c>
      <c r="P595" s="115">
        <v>1.3640000000000001</v>
      </c>
      <c r="Q595" s="771">
        <v>4.0358747251000002</v>
      </c>
      <c r="R595" s="216"/>
      <c r="S595" s="216">
        <v>4.0358747251000002</v>
      </c>
      <c r="T595" s="216">
        <v>27</v>
      </c>
      <c r="U595" s="216">
        <v>3.6560000000000001</v>
      </c>
      <c r="V595" s="115">
        <v>113.13085604587999</v>
      </c>
      <c r="W595" s="109"/>
      <c r="X595" s="109">
        <v>221.85612178264</v>
      </c>
      <c r="Y595" s="109" t="s">
        <v>1908</v>
      </c>
      <c r="Z595" s="109">
        <v>56.763657256750243</v>
      </c>
      <c r="AA595" s="109">
        <v>46.471363112290319</v>
      </c>
      <c r="AB595" s="109" t="s">
        <v>5183</v>
      </c>
      <c r="AC595" s="109" t="s">
        <v>3501</v>
      </c>
      <c r="AD595" s="765" t="s">
        <v>1752</v>
      </c>
      <c r="AE595" s="765" t="s">
        <v>10</v>
      </c>
      <c r="AF595" s="765"/>
      <c r="AG595" s="765"/>
      <c r="AH595" s="109" t="s">
        <v>2022</v>
      </c>
      <c r="AI595" s="2" t="s">
        <v>20</v>
      </c>
      <c r="AL595" s="2" t="s">
        <v>680</v>
      </c>
      <c r="AM595" s="2" t="s">
        <v>709</v>
      </c>
      <c r="AN595" s="2" t="s">
        <v>952</v>
      </c>
      <c r="AO595" s="2">
        <v>0.96662384400000001</v>
      </c>
      <c r="AP595" s="2" t="s">
        <v>4673</v>
      </c>
      <c r="AQ595" s="2" t="s">
        <v>4469</v>
      </c>
      <c r="AR595" s="2" t="s">
        <v>4638</v>
      </c>
      <c r="AT595" s="765"/>
      <c r="AU595" s="765"/>
      <c r="AV595" s="765"/>
      <c r="AW595" s="765"/>
    </row>
    <row r="596" spans="1:49" x14ac:dyDescent="0.25">
      <c r="A596" s="765" t="s">
        <v>2128</v>
      </c>
      <c r="B596" s="108" t="s">
        <v>528</v>
      </c>
      <c r="C596" s="108" t="s">
        <v>2120</v>
      </c>
      <c r="D596" s="108" t="s">
        <v>4489</v>
      </c>
      <c r="E596" s="108" t="s">
        <v>2129</v>
      </c>
      <c r="F596" s="114" t="s">
        <v>694</v>
      </c>
      <c r="G596" s="213" t="s">
        <v>1587</v>
      </c>
      <c r="H596" s="115" t="s">
        <v>2130</v>
      </c>
      <c r="I596" s="213">
        <v>8881133.3900000006</v>
      </c>
      <c r="J596" s="109">
        <v>4.9876389999999997</v>
      </c>
      <c r="K596" s="109" t="s">
        <v>696</v>
      </c>
      <c r="L596" s="115">
        <v>0.95403731759999999</v>
      </c>
      <c r="M596" s="115">
        <v>102.527039</v>
      </c>
      <c r="N596" s="115">
        <v>102.622108</v>
      </c>
      <c r="O596" s="214">
        <v>0.37407299999999999</v>
      </c>
      <c r="P596" s="115">
        <v>1.3640000000000001</v>
      </c>
      <c r="Q596" s="771">
        <v>4.0350810888000002</v>
      </c>
      <c r="R596" s="216"/>
      <c r="S596" s="216">
        <v>4.0350810888000002</v>
      </c>
      <c r="T596" s="216">
        <v>27</v>
      </c>
      <c r="U596" s="216">
        <v>3.6419999999999999</v>
      </c>
      <c r="V596" s="115">
        <v>111.18251068642</v>
      </c>
      <c r="W596" s="109"/>
      <c r="X596" s="109">
        <v>221.42707213648001</v>
      </c>
      <c r="Y596" s="109" t="s">
        <v>2127</v>
      </c>
      <c r="Z596" s="109">
        <v>56.763657256750243</v>
      </c>
      <c r="AA596" s="109">
        <v>46.471363112290319</v>
      </c>
      <c r="AB596" s="109" t="s">
        <v>5183</v>
      </c>
      <c r="AC596" s="109" t="s">
        <v>3501</v>
      </c>
      <c r="AD596" s="765" t="s">
        <v>1752</v>
      </c>
      <c r="AE596" s="765" t="s">
        <v>9</v>
      </c>
      <c r="AF596" s="765"/>
      <c r="AG596" s="765"/>
      <c r="AH596" s="109" t="s">
        <v>1801</v>
      </c>
      <c r="AI596" s="2" t="s">
        <v>9</v>
      </c>
      <c r="AL596" s="2" t="s">
        <v>680</v>
      </c>
      <c r="AM596" s="2" t="s">
        <v>709</v>
      </c>
      <c r="AN596" s="2" t="s">
        <v>952</v>
      </c>
      <c r="AO596" s="2">
        <v>0.95582101500000005</v>
      </c>
      <c r="AP596" s="2" t="s">
        <v>4673</v>
      </c>
      <c r="AQ596" s="2" t="s">
        <v>4469</v>
      </c>
      <c r="AR596" s="2" t="s">
        <v>4638</v>
      </c>
      <c r="AT596" s="765"/>
      <c r="AU596" s="765"/>
      <c r="AV596" s="765"/>
      <c r="AW596" s="765"/>
    </row>
    <row r="597" spans="1:49" x14ac:dyDescent="0.25">
      <c r="A597" s="765" t="s">
        <v>4834</v>
      </c>
      <c r="B597" s="108" t="s">
        <v>2245</v>
      </c>
      <c r="C597" s="108" t="s">
        <v>2120</v>
      </c>
      <c r="D597" s="108" t="s">
        <v>3228</v>
      </c>
      <c r="E597" s="108" t="s">
        <v>4881</v>
      </c>
      <c r="F597" s="114" t="s">
        <v>694</v>
      </c>
      <c r="G597" s="213" t="s">
        <v>2832</v>
      </c>
      <c r="H597" s="115" t="s">
        <v>2874</v>
      </c>
      <c r="I597" s="213">
        <v>269047639.63999999</v>
      </c>
      <c r="J597" s="109">
        <v>0.5</v>
      </c>
      <c r="K597" s="109" t="s">
        <v>696</v>
      </c>
      <c r="L597" s="115">
        <v>0.89454735149999998</v>
      </c>
      <c r="M597" s="115">
        <v>0</v>
      </c>
      <c r="N597" s="115">
        <v>0</v>
      </c>
      <c r="O597" s="214">
        <v>3.7499999999999999E-2</v>
      </c>
      <c r="P597" s="115">
        <v>9.2370000000000001</v>
      </c>
      <c r="Q597" s="771"/>
      <c r="R597" s="216"/>
      <c r="S597" s="216">
        <v>9.2370000000000001</v>
      </c>
      <c r="T597" s="216">
        <v>26</v>
      </c>
      <c r="U597" s="216"/>
      <c r="V597" s="115"/>
      <c r="W597" s="109"/>
      <c r="X597" s="109"/>
      <c r="Y597" s="109" t="s">
        <v>3828</v>
      </c>
      <c r="Z597" s="109">
        <v>5.9875906478417562</v>
      </c>
      <c r="AA597" s="109">
        <v>11.47597611528486</v>
      </c>
      <c r="AB597" s="109" t="s">
        <v>2803</v>
      </c>
      <c r="AC597" s="109" t="s">
        <v>3204</v>
      </c>
      <c r="AD597" s="765" t="s">
        <v>4693</v>
      </c>
      <c r="AE597" s="765" t="s">
        <v>7</v>
      </c>
      <c r="AF597" s="765"/>
      <c r="AG597" s="765" t="s">
        <v>1062</v>
      </c>
      <c r="AH597" s="109" t="s">
        <v>7</v>
      </c>
      <c r="AL597" s="2" t="s">
        <v>680</v>
      </c>
      <c r="AM597" s="2" t="s">
        <v>3423</v>
      </c>
      <c r="AN597" s="2" t="s">
        <v>952</v>
      </c>
      <c r="AO597" s="2">
        <v>0.90108370800000004</v>
      </c>
      <c r="AP597" s="2" t="s">
        <v>4673</v>
      </c>
      <c r="AQ597" s="2" t="s">
        <v>4469</v>
      </c>
      <c r="AR597" s="2" t="s">
        <v>4638</v>
      </c>
      <c r="AT597" s="765"/>
      <c r="AU597" s="765"/>
      <c r="AV597" s="765"/>
      <c r="AW597" s="765"/>
    </row>
    <row r="598" spans="1:49" x14ac:dyDescent="0.25">
      <c r="A598" s="765" t="s">
        <v>2495</v>
      </c>
      <c r="B598" s="108" t="s">
        <v>656</v>
      </c>
      <c r="C598" s="108" t="s">
        <v>2496</v>
      </c>
      <c r="D598" s="108" t="s">
        <v>539</v>
      </c>
      <c r="E598" s="108" t="s">
        <v>2496</v>
      </c>
      <c r="F598" s="114" t="s">
        <v>699</v>
      </c>
      <c r="G598" s="213" t="s">
        <v>2497</v>
      </c>
      <c r="H598" s="115" t="s">
        <v>2498</v>
      </c>
      <c r="I598" s="213">
        <v>23000000</v>
      </c>
      <c r="J598" s="109">
        <v>6.5</v>
      </c>
      <c r="K598" s="109" t="s">
        <v>696</v>
      </c>
      <c r="L598" s="115">
        <v>1</v>
      </c>
      <c r="M598" s="115">
        <v>92.406000000000006</v>
      </c>
      <c r="N598" s="115">
        <v>92.906000000000006</v>
      </c>
      <c r="O598" s="214">
        <v>1.588889</v>
      </c>
      <c r="P598" s="115"/>
      <c r="Q598" s="771"/>
      <c r="R598" s="216">
        <v>3.1773107282579329</v>
      </c>
      <c r="S598" s="216">
        <v>3.1773107282579329</v>
      </c>
      <c r="T598" s="216">
        <v>88</v>
      </c>
      <c r="U598" s="216">
        <v>8.9214311055513296</v>
      </c>
      <c r="V598" s="115"/>
      <c r="W598" s="109"/>
      <c r="X598" s="109"/>
      <c r="Y598" s="109"/>
      <c r="Z598" s="109"/>
      <c r="AA598" s="109"/>
      <c r="AB598" s="109"/>
      <c r="AC598" s="109"/>
      <c r="AD598" s="109"/>
      <c r="AE598" s="109" t="s">
        <v>10</v>
      </c>
      <c r="AF598" s="109"/>
      <c r="AG598" s="109"/>
      <c r="AH598" s="109"/>
      <c r="AI598" s="2" t="s">
        <v>20</v>
      </c>
      <c r="AL598" s="2" t="s">
        <v>680</v>
      </c>
      <c r="AM598" s="2" t="s">
        <v>811</v>
      </c>
      <c r="AN598" s="2" t="s">
        <v>952</v>
      </c>
      <c r="AT598" s="765"/>
      <c r="AU598" s="765"/>
      <c r="AV598" s="765"/>
      <c r="AW598" s="765"/>
    </row>
    <row r="599" spans="1:49" x14ac:dyDescent="0.25">
      <c r="A599" s="765" t="s">
        <v>2058</v>
      </c>
      <c r="B599" s="108" t="s">
        <v>656</v>
      </c>
      <c r="C599" s="108" t="s">
        <v>2059</v>
      </c>
      <c r="D599" s="108" t="s">
        <v>539</v>
      </c>
      <c r="E599" s="108" t="s">
        <v>2059</v>
      </c>
      <c r="F599" s="114" t="s">
        <v>699</v>
      </c>
      <c r="G599" s="213" t="s">
        <v>2060</v>
      </c>
      <c r="H599" s="115" t="s">
        <v>2061</v>
      </c>
      <c r="I599" s="213">
        <v>250000000</v>
      </c>
      <c r="J599" s="109">
        <v>6.625</v>
      </c>
      <c r="K599" s="109" t="s">
        <v>696</v>
      </c>
      <c r="L599" s="115">
        <v>1</v>
      </c>
      <c r="M599" s="115">
        <v>106.982</v>
      </c>
      <c r="N599" s="115">
        <v>107.37649999999999</v>
      </c>
      <c r="O599" s="214">
        <v>2.7052079999999998</v>
      </c>
      <c r="P599" s="115"/>
      <c r="Q599" s="771">
        <v>6.6859178383601368</v>
      </c>
      <c r="R599" s="216">
        <v>6.6937692130891406</v>
      </c>
      <c r="S599" s="216">
        <v>6.6859178383601368</v>
      </c>
      <c r="T599" s="216">
        <v>146</v>
      </c>
      <c r="U599" s="216">
        <v>5.6317986040481678</v>
      </c>
      <c r="V599" s="115"/>
      <c r="W599" s="109"/>
      <c r="X599" s="109">
        <v>300.5462465552273</v>
      </c>
      <c r="Y599" s="109"/>
      <c r="Z599" s="109"/>
      <c r="AA599" s="109"/>
      <c r="AB599" s="109"/>
      <c r="AC599" s="109"/>
      <c r="AD599" s="109"/>
      <c r="AE599" s="109" t="s">
        <v>10</v>
      </c>
      <c r="AF599" s="109" t="s">
        <v>522</v>
      </c>
      <c r="AG599" s="109" t="s">
        <v>1901</v>
      </c>
      <c r="AH599" s="109" t="s">
        <v>20</v>
      </c>
      <c r="AL599" s="2" t="s">
        <v>680</v>
      </c>
      <c r="AM599" s="2" t="s">
        <v>811</v>
      </c>
      <c r="AN599" s="2" t="s">
        <v>952</v>
      </c>
      <c r="AT599" s="765"/>
      <c r="AU599" s="765"/>
      <c r="AV599" s="765"/>
      <c r="AW599" s="765"/>
    </row>
    <row r="600" spans="1:49" x14ac:dyDescent="0.25">
      <c r="A600" s="765" t="s">
        <v>2956</v>
      </c>
      <c r="B600" s="108" t="s">
        <v>526</v>
      </c>
      <c r="C600" s="108" t="s">
        <v>2957</v>
      </c>
      <c r="D600" s="108" t="s">
        <v>4820</v>
      </c>
      <c r="E600" s="108" t="s">
        <v>2958</v>
      </c>
      <c r="F600" s="114" t="s">
        <v>698</v>
      </c>
      <c r="G600" s="213" t="s">
        <v>3112</v>
      </c>
      <c r="H600" s="115" t="s">
        <v>3113</v>
      </c>
      <c r="I600" s="213">
        <v>20527000</v>
      </c>
      <c r="J600" s="109">
        <v>4.9400000000000004</v>
      </c>
      <c r="K600" s="109" t="s">
        <v>696</v>
      </c>
      <c r="L600" s="115">
        <v>1</v>
      </c>
      <c r="M600" s="115">
        <v>0</v>
      </c>
      <c r="N600" s="115">
        <v>0</v>
      </c>
      <c r="O600" s="214">
        <v>0.15094399999999999</v>
      </c>
      <c r="P600" s="115">
        <v>2.9342999999999999</v>
      </c>
      <c r="Q600" s="771"/>
      <c r="R600" s="216"/>
      <c r="S600" s="216">
        <v>2.9342999999999999</v>
      </c>
      <c r="T600" s="216">
        <v>10</v>
      </c>
      <c r="U600" s="216"/>
      <c r="V600" s="115"/>
      <c r="W600" s="109"/>
      <c r="X600" s="109"/>
      <c r="Y600" s="109" t="s">
        <v>663</v>
      </c>
      <c r="Z600" s="109"/>
      <c r="AA600" s="109"/>
      <c r="AB600" s="109"/>
      <c r="AC600" s="109"/>
      <c r="AD600" s="109"/>
      <c r="AE600" s="109" t="s">
        <v>13</v>
      </c>
      <c r="AF600" s="109"/>
      <c r="AG600" s="109"/>
      <c r="AH600" s="109"/>
      <c r="AI600" s="2" t="s">
        <v>21</v>
      </c>
      <c r="AJ600" s="2" t="s">
        <v>13</v>
      </c>
      <c r="AL600" s="2" t="s">
        <v>680</v>
      </c>
      <c r="AM600" s="2" t="s">
        <v>710</v>
      </c>
      <c r="AN600" s="2" t="s">
        <v>952</v>
      </c>
      <c r="AO600" s="2">
        <v>1</v>
      </c>
      <c r="AP600" s="2" t="s">
        <v>4671</v>
      </c>
      <c r="AQ600" s="2" t="s">
        <v>4639</v>
      </c>
      <c r="AR600" s="2" t="s">
        <v>4793</v>
      </c>
      <c r="AT600" s="765"/>
      <c r="AU600" s="765"/>
      <c r="AV600" s="765"/>
      <c r="AW600" s="765"/>
    </row>
    <row r="601" spans="1:49" x14ac:dyDescent="0.25">
      <c r="A601" s="765" t="s">
        <v>2062</v>
      </c>
      <c r="B601" s="108" t="s">
        <v>527</v>
      </c>
      <c r="C601" s="108" t="s">
        <v>2063</v>
      </c>
      <c r="D601" s="108" t="s">
        <v>2381</v>
      </c>
      <c r="E601" s="108" t="s">
        <v>2064</v>
      </c>
      <c r="F601" s="114" t="s">
        <v>694</v>
      </c>
      <c r="G601" s="213" t="s">
        <v>1687</v>
      </c>
      <c r="H601" s="115" t="s">
        <v>2065</v>
      </c>
      <c r="I601" s="213">
        <v>19953000</v>
      </c>
      <c r="J601" s="109">
        <v>3.2305700000000002</v>
      </c>
      <c r="K601" s="109" t="s">
        <v>695</v>
      </c>
      <c r="L601" s="115">
        <v>1</v>
      </c>
      <c r="M601" s="115">
        <v>0</v>
      </c>
      <c r="N601" s="115">
        <v>0</v>
      </c>
      <c r="O601" s="214">
        <v>0.107686</v>
      </c>
      <c r="P601" s="115">
        <v>0.62219999999999998</v>
      </c>
      <c r="Q601" s="771"/>
      <c r="R601" s="216"/>
      <c r="S601" s="216">
        <v>0.62219999999999998</v>
      </c>
      <c r="T601" s="216">
        <v>12</v>
      </c>
      <c r="U601" s="216"/>
      <c r="V601" s="115"/>
      <c r="W601" s="109">
        <v>280</v>
      </c>
      <c r="X601" s="109"/>
      <c r="Y601" s="109" t="s">
        <v>1980</v>
      </c>
      <c r="Z601" s="109">
        <v>0</v>
      </c>
      <c r="AA601" s="109">
        <v>22.13289709914427</v>
      </c>
      <c r="AB601" s="109"/>
      <c r="AC601" s="109"/>
      <c r="AD601" s="109"/>
      <c r="AE601" s="109" t="s">
        <v>10</v>
      </c>
      <c r="AF601" s="109"/>
      <c r="AG601" s="109" t="s">
        <v>522</v>
      </c>
      <c r="AH601" s="109"/>
      <c r="AJ601" s="2" t="s">
        <v>1971</v>
      </c>
      <c r="AL601" s="2" t="s">
        <v>680</v>
      </c>
      <c r="AM601" s="2" t="s">
        <v>1656</v>
      </c>
      <c r="AN601" s="2" t="s">
        <v>952</v>
      </c>
      <c r="AO601" s="2">
        <v>1</v>
      </c>
      <c r="AP601" s="2" t="s">
        <v>4673</v>
      </c>
      <c r="AQ601" s="2" t="s">
        <v>4663</v>
      </c>
      <c r="AR601" s="2" t="s">
        <v>4671</v>
      </c>
      <c r="AT601" s="765"/>
      <c r="AU601" s="765"/>
      <c r="AV601" s="765"/>
      <c r="AW601" s="765"/>
    </row>
    <row r="602" spans="1:49" x14ac:dyDescent="0.25">
      <c r="A602" s="765" t="s">
        <v>5061</v>
      </c>
      <c r="B602" s="108" t="s">
        <v>527</v>
      </c>
      <c r="C602" s="108" t="s">
        <v>2063</v>
      </c>
      <c r="D602" s="108" t="s">
        <v>4656</v>
      </c>
      <c r="E602" s="108" t="s">
        <v>5184</v>
      </c>
      <c r="F602" s="114" t="s">
        <v>694</v>
      </c>
      <c r="G602" s="213" t="s">
        <v>5185</v>
      </c>
      <c r="H602" s="115" t="s">
        <v>5186</v>
      </c>
      <c r="I602" s="213">
        <v>72325000</v>
      </c>
      <c r="J602" s="109">
        <v>2.5805699999999998</v>
      </c>
      <c r="K602" s="109" t="s">
        <v>695</v>
      </c>
      <c r="L602" s="115">
        <v>1</v>
      </c>
      <c r="M602" s="115">
        <v>0</v>
      </c>
      <c r="N602" s="115">
        <v>0</v>
      </c>
      <c r="O602" s="214">
        <v>8.6018999999999998E-2</v>
      </c>
      <c r="P602" s="115">
        <v>2.2888999999999999</v>
      </c>
      <c r="Q602" s="771"/>
      <c r="R602" s="216"/>
      <c r="S602" s="216">
        <v>2.2888999999999999</v>
      </c>
      <c r="T602" s="216">
        <v>11</v>
      </c>
      <c r="U602" s="216"/>
      <c r="V602" s="115"/>
      <c r="W602" s="109">
        <v>215</v>
      </c>
      <c r="X602" s="109"/>
      <c r="Y602" s="109" t="s">
        <v>1980</v>
      </c>
      <c r="Z602" s="109">
        <v>27.58715336820271</v>
      </c>
      <c r="AA602" s="109">
        <v>5.2376250080371616</v>
      </c>
      <c r="AB602" s="109"/>
      <c r="AC602" s="109"/>
      <c r="AD602" s="109"/>
      <c r="AE602" s="109" t="s">
        <v>10</v>
      </c>
      <c r="AF602" s="109"/>
      <c r="AG602" s="109" t="s">
        <v>522</v>
      </c>
      <c r="AH602" s="109"/>
      <c r="AJ602" s="2" t="s">
        <v>10</v>
      </c>
      <c r="AL602" s="2" t="s">
        <v>680</v>
      </c>
      <c r="AM602" s="2" t="s">
        <v>1656</v>
      </c>
      <c r="AN602" s="2" t="s">
        <v>952</v>
      </c>
      <c r="AO602" s="2">
        <v>1</v>
      </c>
      <c r="AP602" s="2" t="s">
        <v>4673</v>
      </c>
      <c r="AQ602" s="2" t="s">
        <v>4663</v>
      </c>
      <c r="AR602" s="2" t="s">
        <v>4671</v>
      </c>
      <c r="AT602" s="765"/>
      <c r="AU602" s="765"/>
      <c r="AV602" s="765"/>
      <c r="AW602" s="765"/>
    </row>
    <row r="603" spans="1:49" x14ac:dyDescent="0.25">
      <c r="A603" s="765" t="s">
        <v>3515</v>
      </c>
      <c r="B603" s="108" t="s">
        <v>529</v>
      </c>
      <c r="C603" s="108" t="s">
        <v>3431</v>
      </c>
      <c r="D603" s="108" t="s">
        <v>530</v>
      </c>
      <c r="E603" s="108" t="s">
        <v>3516</v>
      </c>
      <c r="F603" s="114" t="s">
        <v>698</v>
      </c>
      <c r="G603" s="213" t="s">
        <v>3517</v>
      </c>
      <c r="H603" s="115" t="s">
        <v>3518</v>
      </c>
      <c r="I603" s="213">
        <v>17500000</v>
      </c>
      <c r="J603" s="109">
        <v>5.8295700000000004</v>
      </c>
      <c r="K603" s="109" t="s">
        <v>695</v>
      </c>
      <c r="L603" s="109">
        <v>1</v>
      </c>
      <c r="M603" s="109">
        <v>0</v>
      </c>
      <c r="N603" s="109">
        <v>0</v>
      </c>
      <c r="O603" s="109">
        <v>0.55057100000000003</v>
      </c>
      <c r="P603" s="115">
        <v>3.6269999999999998</v>
      </c>
      <c r="Q603" s="771"/>
      <c r="R603" s="216"/>
      <c r="S603" s="216">
        <v>3.6269999999999998</v>
      </c>
      <c r="T603" s="216">
        <v>34</v>
      </c>
      <c r="U603" s="216"/>
      <c r="V603" s="115"/>
      <c r="W603" s="109">
        <v>535</v>
      </c>
      <c r="X603" s="109"/>
      <c r="Y603" s="109" t="s">
        <v>532</v>
      </c>
      <c r="Z603" s="109"/>
      <c r="AA603" s="109"/>
      <c r="AB603" s="109"/>
      <c r="AC603" s="109"/>
      <c r="AD603" s="109"/>
      <c r="AE603" s="109" t="s">
        <v>10</v>
      </c>
      <c r="AF603" s="109"/>
      <c r="AG603" s="109"/>
      <c r="AH603" s="109" t="s">
        <v>19</v>
      </c>
      <c r="AL603" s="2" t="s">
        <v>680</v>
      </c>
      <c r="AM603" s="2" t="s">
        <v>711</v>
      </c>
      <c r="AN603" s="2" t="s">
        <v>952</v>
      </c>
      <c r="AO603" s="2">
        <v>1</v>
      </c>
      <c r="AP603" s="2" t="s">
        <v>4729</v>
      </c>
      <c r="AQ603" s="2" t="s">
        <v>3971</v>
      </c>
      <c r="AR603" s="2" t="s">
        <v>4819</v>
      </c>
      <c r="AT603" s="765"/>
      <c r="AU603" s="765"/>
      <c r="AV603" s="765"/>
      <c r="AW603" s="765"/>
    </row>
    <row r="604" spans="1:49" x14ac:dyDescent="0.25">
      <c r="A604" s="765" t="s">
        <v>5010</v>
      </c>
      <c r="B604" s="108" t="s">
        <v>2245</v>
      </c>
      <c r="C604" s="108" t="s">
        <v>3825</v>
      </c>
      <c r="D604" s="108" t="s">
        <v>3228</v>
      </c>
      <c r="E604" s="108" t="s">
        <v>5187</v>
      </c>
      <c r="F604" s="114" t="s">
        <v>694</v>
      </c>
      <c r="G604" s="213" t="s">
        <v>3497</v>
      </c>
      <c r="H604" s="115" t="s">
        <v>3827</v>
      </c>
      <c r="I604" s="213">
        <v>415646400.62</v>
      </c>
      <c r="J604" s="109">
        <v>0.13949</v>
      </c>
      <c r="K604" s="109" t="s">
        <v>696</v>
      </c>
      <c r="L604" s="109">
        <v>0.93534002569999997</v>
      </c>
      <c r="M604" s="109">
        <v>0</v>
      </c>
      <c r="N604" s="109">
        <v>0</v>
      </c>
      <c r="O604" s="109">
        <v>1.0462000000000001E-2</v>
      </c>
      <c r="P604" s="115">
        <v>6.8379000000000003</v>
      </c>
      <c r="Q604" s="771"/>
      <c r="R604" s="216"/>
      <c r="S604" s="216">
        <v>6.8379000000000003</v>
      </c>
      <c r="T604" s="216">
        <v>26</v>
      </c>
      <c r="U604" s="216"/>
      <c r="V604" s="115"/>
      <c r="W604" s="109"/>
      <c r="X604" s="109"/>
      <c r="Y604" s="109" t="s">
        <v>5188</v>
      </c>
      <c r="Z604" s="109">
        <v>9.9326924306091016</v>
      </c>
      <c r="AA604" s="109">
        <v>10.22105974756195</v>
      </c>
      <c r="AB604" s="109" t="s">
        <v>3268</v>
      </c>
      <c r="AC604" s="109" t="s">
        <v>3896</v>
      </c>
      <c r="AD604" s="109" t="s">
        <v>3897</v>
      </c>
      <c r="AE604" s="109" t="s">
        <v>7</v>
      </c>
      <c r="AF604" s="109"/>
      <c r="AG604" s="109" t="s">
        <v>1628</v>
      </c>
      <c r="AH604" s="109"/>
      <c r="AI604" s="2" t="s">
        <v>7</v>
      </c>
      <c r="AL604" s="2" t="s">
        <v>680</v>
      </c>
      <c r="AM604" s="2" t="s">
        <v>3423</v>
      </c>
      <c r="AN604" s="2" t="s">
        <v>952</v>
      </c>
      <c r="AO604" s="2">
        <v>0.94558423300000005</v>
      </c>
      <c r="AP604" s="2" t="s">
        <v>4673</v>
      </c>
      <c r="AQ604" s="2" t="s">
        <v>4469</v>
      </c>
      <c r="AR604" s="2" t="s">
        <v>4638</v>
      </c>
      <c r="AT604" s="765"/>
      <c r="AU604" s="765"/>
      <c r="AV604" s="765"/>
      <c r="AW604" s="765"/>
    </row>
    <row r="605" spans="1:49" x14ac:dyDescent="0.25">
      <c r="A605" s="765" t="s">
        <v>3631</v>
      </c>
      <c r="B605" s="108" t="s">
        <v>2245</v>
      </c>
      <c r="C605" s="108" t="s">
        <v>3825</v>
      </c>
      <c r="D605" s="108" t="s">
        <v>3228</v>
      </c>
      <c r="E605" s="108" t="s">
        <v>3826</v>
      </c>
      <c r="F605" s="114" t="s">
        <v>694</v>
      </c>
      <c r="G605" s="213" t="s">
        <v>3497</v>
      </c>
      <c r="H605" s="115" t="s">
        <v>3827</v>
      </c>
      <c r="I605" s="213">
        <v>367064839.68000001</v>
      </c>
      <c r="J605" s="109">
        <v>0.5</v>
      </c>
      <c r="K605" s="109" t="s">
        <v>696</v>
      </c>
      <c r="L605" s="109">
        <v>0.93534002569999997</v>
      </c>
      <c r="M605" s="109">
        <v>0</v>
      </c>
      <c r="N605" s="109">
        <v>0</v>
      </c>
      <c r="O605" s="109">
        <v>3.7499999999999999E-2</v>
      </c>
      <c r="P605" s="115">
        <v>6.8379000000000003</v>
      </c>
      <c r="Q605" s="771"/>
      <c r="R605" s="216"/>
      <c r="S605" s="216">
        <v>6.8379000000000003</v>
      </c>
      <c r="T605" s="216">
        <v>26</v>
      </c>
      <c r="U605" s="216"/>
      <c r="V605" s="115"/>
      <c r="W605" s="109"/>
      <c r="X605" s="109"/>
      <c r="Y605" s="109" t="s">
        <v>3828</v>
      </c>
      <c r="Z605" s="109">
        <v>9.9326924306091016</v>
      </c>
      <c r="AA605" s="109">
        <v>10.22105974756195</v>
      </c>
      <c r="AB605" s="109" t="s">
        <v>3268</v>
      </c>
      <c r="AC605" s="109" t="s">
        <v>3896</v>
      </c>
      <c r="AD605" s="109" t="s">
        <v>3897</v>
      </c>
      <c r="AE605" s="109" t="s">
        <v>7</v>
      </c>
      <c r="AF605" s="109"/>
      <c r="AG605" s="109" t="s">
        <v>1062</v>
      </c>
      <c r="AH605" s="109"/>
      <c r="AI605" s="2" t="s">
        <v>7</v>
      </c>
      <c r="AL605" s="2" t="s">
        <v>680</v>
      </c>
      <c r="AM605" s="2" t="s">
        <v>3423</v>
      </c>
      <c r="AN605" s="2" t="s">
        <v>952</v>
      </c>
      <c r="AO605" s="2">
        <v>0.94558423300000005</v>
      </c>
      <c r="AP605" s="2" t="s">
        <v>4673</v>
      </c>
      <c r="AQ605" s="2" t="s">
        <v>4469</v>
      </c>
      <c r="AR605" s="2" t="s">
        <v>4638</v>
      </c>
      <c r="AT605" s="765"/>
      <c r="AU605" s="765"/>
      <c r="AV605" s="765"/>
      <c r="AW605" s="765"/>
    </row>
    <row r="606" spans="1:49" x14ac:dyDescent="0.25">
      <c r="A606" s="765" t="s">
        <v>5009</v>
      </c>
      <c r="B606" s="108" t="s">
        <v>2245</v>
      </c>
      <c r="C606" s="108" t="s">
        <v>3825</v>
      </c>
      <c r="D606" s="108" t="s">
        <v>3575</v>
      </c>
      <c r="E606" s="108" t="s">
        <v>5189</v>
      </c>
      <c r="F606" s="114" t="s">
        <v>694</v>
      </c>
      <c r="G606" s="213" t="s">
        <v>4654</v>
      </c>
      <c r="H606" s="115" t="s">
        <v>4809</v>
      </c>
      <c r="I606" s="213">
        <v>219459444.87</v>
      </c>
      <c r="J606" s="109">
        <v>0.39976</v>
      </c>
      <c r="K606" s="109" t="s">
        <v>696</v>
      </c>
      <c r="L606" s="109">
        <v>0.9686179775</v>
      </c>
      <c r="M606" s="109">
        <v>0</v>
      </c>
      <c r="N606" s="109">
        <v>0</v>
      </c>
      <c r="O606" s="109">
        <v>2.9982000000000002E-2</v>
      </c>
      <c r="P606" s="115">
        <v>4.8715000000000002</v>
      </c>
      <c r="Q606" s="771"/>
      <c r="R606" s="216"/>
      <c r="S606" s="216">
        <v>4.8715000000000002</v>
      </c>
      <c r="T606" s="216">
        <v>26</v>
      </c>
      <c r="U606" s="216"/>
      <c r="V606" s="115"/>
      <c r="W606" s="109"/>
      <c r="X606" s="109"/>
      <c r="Y606" s="109" t="s">
        <v>4848</v>
      </c>
      <c r="Z606" s="109">
        <v>17.357053299390131</v>
      </c>
      <c r="AA606" s="109"/>
      <c r="AB606" s="109" t="s">
        <v>3559</v>
      </c>
      <c r="AC606" s="109" t="s">
        <v>1268</v>
      </c>
      <c r="AD606" s="109" t="s">
        <v>4909</v>
      </c>
      <c r="AE606" s="109" t="s">
        <v>7</v>
      </c>
      <c r="AF606" s="109"/>
      <c r="AG606" s="109" t="s">
        <v>1628</v>
      </c>
      <c r="AH606" s="109"/>
      <c r="AI606" s="2" t="s">
        <v>7</v>
      </c>
      <c r="AL606" s="2" t="s">
        <v>680</v>
      </c>
      <c r="AM606" s="2" t="s">
        <v>3423</v>
      </c>
      <c r="AN606" s="2" t="s">
        <v>952</v>
      </c>
      <c r="AO606" s="2">
        <v>0.97236032800000005</v>
      </c>
      <c r="AP606" s="2" t="s">
        <v>4673</v>
      </c>
      <c r="AQ606" s="2" t="s">
        <v>4469</v>
      </c>
      <c r="AR606" s="2" t="s">
        <v>4638</v>
      </c>
      <c r="AT606" s="765"/>
      <c r="AU606" s="765"/>
      <c r="AV606" s="765"/>
      <c r="AW606" s="765"/>
    </row>
    <row r="607" spans="1:49" x14ac:dyDescent="0.25">
      <c r="A607" s="765" t="s">
        <v>5008</v>
      </c>
      <c r="B607" s="108" t="s">
        <v>2245</v>
      </c>
      <c r="C607" s="108" t="s">
        <v>3825</v>
      </c>
      <c r="D607" s="108" t="s">
        <v>5190</v>
      </c>
      <c r="E607" s="108" t="s">
        <v>5191</v>
      </c>
      <c r="F607" s="114" t="s">
        <v>694</v>
      </c>
      <c r="G607" s="213" t="s">
        <v>4654</v>
      </c>
      <c r="H607" s="115" t="s">
        <v>4809</v>
      </c>
      <c r="I607" s="213">
        <v>110287414.93000001</v>
      </c>
      <c r="J607" s="109">
        <v>0.17651</v>
      </c>
      <c r="K607" s="109" t="s">
        <v>696</v>
      </c>
      <c r="L607" s="109">
        <v>0.9604044746</v>
      </c>
      <c r="M607" s="109">
        <v>0</v>
      </c>
      <c r="N607" s="109">
        <v>0</v>
      </c>
      <c r="O607" s="109">
        <v>1.3238E-2</v>
      </c>
      <c r="P607" s="115">
        <v>4.6589</v>
      </c>
      <c r="Q607" s="771"/>
      <c r="R607" s="216"/>
      <c r="S607" s="216">
        <v>4.6589</v>
      </c>
      <c r="T607" s="216">
        <v>26</v>
      </c>
      <c r="U607" s="216"/>
      <c r="V607" s="765"/>
      <c r="W607" s="109"/>
      <c r="X607" s="109"/>
      <c r="Y607" s="109" t="s">
        <v>4848</v>
      </c>
      <c r="Z607" s="109">
        <v>10.08478607030913</v>
      </c>
      <c r="AA607" s="109"/>
      <c r="AB607" s="109" t="s">
        <v>2552</v>
      </c>
      <c r="AC607" s="109" t="s">
        <v>1663</v>
      </c>
      <c r="AD607" s="109" t="s">
        <v>4709</v>
      </c>
      <c r="AE607" s="109" t="s">
        <v>7</v>
      </c>
      <c r="AF607" s="109"/>
      <c r="AG607" s="109" t="s">
        <v>1062</v>
      </c>
      <c r="AH607" s="109"/>
      <c r="AI607" s="2" t="s">
        <v>7</v>
      </c>
      <c r="AL607" s="2" t="s">
        <v>680</v>
      </c>
      <c r="AM607" s="2" t="s">
        <v>3423</v>
      </c>
      <c r="AN607" s="2" t="s">
        <v>952</v>
      </c>
      <c r="AO607" s="2">
        <v>0.96945784499999998</v>
      </c>
      <c r="AP607" s="2" t="s">
        <v>4673</v>
      </c>
      <c r="AQ607" s="2" t="s">
        <v>4469</v>
      </c>
      <c r="AR607" s="2" t="s">
        <v>4638</v>
      </c>
      <c r="AT607" s="765"/>
      <c r="AU607" s="765"/>
      <c r="AV607" s="765"/>
      <c r="AW607" s="765"/>
    </row>
    <row r="608" spans="1:49" x14ac:dyDescent="0.25">
      <c r="A608" s="765" t="s">
        <v>5007</v>
      </c>
      <c r="B608" s="108" t="s">
        <v>2245</v>
      </c>
      <c r="C608" s="108" t="s">
        <v>3825</v>
      </c>
      <c r="D608" s="108" t="s">
        <v>3575</v>
      </c>
      <c r="E608" s="108" t="s">
        <v>5192</v>
      </c>
      <c r="F608" s="114" t="s">
        <v>694</v>
      </c>
      <c r="G608" s="213" t="s">
        <v>4654</v>
      </c>
      <c r="H608" s="115" t="s">
        <v>4809</v>
      </c>
      <c r="I608" s="213">
        <v>194820071.05000001</v>
      </c>
      <c r="J608" s="109">
        <v>0.5</v>
      </c>
      <c r="K608" s="109" t="s">
        <v>696</v>
      </c>
      <c r="L608" s="109">
        <v>0.9686179775</v>
      </c>
      <c r="M608" s="109">
        <v>0</v>
      </c>
      <c r="N608" s="109">
        <v>0</v>
      </c>
      <c r="O608" s="109">
        <v>3.7499999999999999E-2</v>
      </c>
      <c r="P608" s="115">
        <v>4.8715000000000002</v>
      </c>
      <c r="Q608" s="771"/>
      <c r="R608" s="216"/>
      <c r="S608" s="216">
        <v>4.8715000000000002</v>
      </c>
      <c r="T608" s="216">
        <v>26</v>
      </c>
      <c r="U608" s="216"/>
      <c r="V608" s="765"/>
      <c r="W608" s="109"/>
      <c r="X608" s="109"/>
      <c r="Y608" s="109" t="s">
        <v>3828</v>
      </c>
      <c r="Z608" s="109">
        <v>17.357053299390131</v>
      </c>
      <c r="AA608" s="109"/>
      <c r="AB608" s="109" t="s">
        <v>3559</v>
      </c>
      <c r="AC608" s="109" t="s">
        <v>1268</v>
      </c>
      <c r="AD608" s="109" t="s">
        <v>4909</v>
      </c>
      <c r="AE608" s="109" t="s">
        <v>7</v>
      </c>
      <c r="AF608" s="109"/>
      <c r="AG608" s="109" t="s">
        <v>1062</v>
      </c>
      <c r="AH608" s="109"/>
      <c r="AI608" s="2" t="s">
        <v>7</v>
      </c>
      <c r="AL608" s="2" t="s">
        <v>680</v>
      </c>
      <c r="AM608" s="2" t="s">
        <v>3423</v>
      </c>
      <c r="AN608" s="2" t="s">
        <v>952</v>
      </c>
      <c r="AO608" s="2">
        <v>0.97236032800000005</v>
      </c>
      <c r="AP608" s="2" t="s">
        <v>4673</v>
      </c>
      <c r="AQ608" s="2" t="s">
        <v>4469</v>
      </c>
      <c r="AR608" s="2" t="s">
        <v>4638</v>
      </c>
      <c r="AT608" s="765"/>
      <c r="AU608" s="765"/>
      <c r="AV608" s="765"/>
      <c r="AW608" s="765"/>
    </row>
    <row r="609" spans="1:49" x14ac:dyDescent="0.25">
      <c r="A609" s="765" t="s">
        <v>4833</v>
      </c>
      <c r="B609" s="108" t="s">
        <v>2245</v>
      </c>
      <c r="C609" s="108" t="s">
        <v>4882</v>
      </c>
      <c r="D609" s="108" t="s">
        <v>3228</v>
      </c>
      <c r="E609" s="108" t="s">
        <v>4883</v>
      </c>
      <c r="F609" s="114" t="s">
        <v>694</v>
      </c>
      <c r="G609" s="213" t="s">
        <v>4654</v>
      </c>
      <c r="H609" s="115" t="s">
        <v>4809</v>
      </c>
      <c r="I609" s="213">
        <v>398995282.44</v>
      </c>
      <c r="J609" s="109">
        <v>0.13390299999999999</v>
      </c>
      <c r="K609" s="109" t="s">
        <v>696</v>
      </c>
      <c r="L609" s="109">
        <v>0.97580102820000003</v>
      </c>
      <c r="M609" s="109">
        <v>0</v>
      </c>
      <c r="N609" s="109">
        <v>0</v>
      </c>
      <c r="O609" s="109">
        <v>1.0043E-2</v>
      </c>
      <c r="P609" s="115">
        <v>13.615600000000001</v>
      </c>
      <c r="Q609" s="771"/>
      <c r="R609" s="216"/>
      <c r="S609" s="216">
        <v>13.615600000000001</v>
      </c>
      <c r="T609" s="216">
        <v>26</v>
      </c>
      <c r="U609" s="216"/>
      <c r="V609" s="765"/>
      <c r="W609" s="109"/>
      <c r="X609" s="109"/>
      <c r="Y609" s="109" t="s">
        <v>727</v>
      </c>
      <c r="Z609" s="109">
        <v>1.2705637734980459</v>
      </c>
      <c r="AA609" s="109"/>
      <c r="AB609" s="109" t="s">
        <v>2137</v>
      </c>
      <c r="AC609" s="109" t="s">
        <v>4885</v>
      </c>
      <c r="AD609" s="109" t="s">
        <v>4886</v>
      </c>
      <c r="AE609" s="109" t="s">
        <v>7</v>
      </c>
      <c r="AF609" s="109"/>
      <c r="AG609" s="109"/>
      <c r="AH609" s="109" t="s">
        <v>7</v>
      </c>
      <c r="AJ609" s="2" t="s">
        <v>7</v>
      </c>
      <c r="AL609" s="2" t="s">
        <v>680</v>
      </c>
      <c r="AM609" s="2" t="s">
        <v>3423</v>
      </c>
      <c r="AN609" s="2" t="s">
        <v>952</v>
      </c>
      <c r="AO609" s="2">
        <v>0.97865653399999997</v>
      </c>
      <c r="AP609" s="2" t="s">
        <v>4666</v>
      </c>
      <c r="AQ609" s="2" t="s">
        <v>4469</v>
      </c>
      <c r="AR609" s="2" t="s">
        <v>4638</v>
      </c>
      <c r="AT609" s="765"/>
      <c r="AU609" s="765"/>
      <c r="AV609" s="765"/>
      <c r="AW609" s="765"/>
    </row>
    <row r="610" spans="1:49" x14ac:dyDescent="0.25">
      <c r="A610" s="765" t="s">
        <v>4832</v>
      </c>
      <c r="B610" s="108" t="s">
        <v>2245</v>
      </c>
      <c r="C610" s="108" t="s">
        <v>4882</v>
      </c>
      <c r="D610" s="108" t="s">
        <v>3228</v>
      </c>
      <c r="E610" s="108" t="s">
        <v>4887</v>
      </c>
      <c r="F610" s="114" t="s">
        <v>694</v>
      </c>
      <c r="G610" s="213" t="s">
        <v>4746</v>
      </c>
      <c r="H610" s="115" t="s">
        <v>4851</v>
      </c>
      <c r="I610" s="213">
        <v>599132653.48000002</v>
      </c>
      <c r="J610" s="109">
        <v>0.10057099999999999</v>
      </c>
      <c r="K610" s="109" t="s">
        <v>696</v>
      </c>
      <c r="L610" s="109">
        <v>0.98887335229999995</v>
      </c>
      <c r="M610" s="109">
        <v>0</v>
      </c>
      <c r="N610" s="109">
        <v>0</v>
      </c>
      <c r="O610" s="109">
        <v>7.5430000000000002E-3</v>
      </c>
      <c r="P610" s="115">
        <v>9.4590999999999994</v>
      </c>
      <c r="Q610" s="771"/>
      <c r="R610" s="216"/>
      <c r="S610" s="216">
        <v>9.4590999999999994</v>
      </c>
      <c r="T610" s="216">
        <v>26</v>
      </c>
      <c r="U610" s="216"/>
      <c r="V610" s="765"/>
      <c r="W610" s="109"/>
      <c r="X610" s="109"/>
      <c r="Y610" s="109" t="s">
        <v>4884</v>
      </c>
      <c r="Z610" s="109">
        <v>5.6481307334408033</v>
      </c>
      <c r="AA610" s="109"/>
      <c r="AB610" s="109" t="s">
        <v>3086</v>
      </c>
      <c r="AC610" s="109" t="s">
        <v>3329</v>
      </c>
      <c r="AD610" s="109" t="s">
        <v>4488</v>
      </c>
      <c r="AE610" s="109" t="s">
        <v>7</v>
      </c>
      <c r="AF610" s="109"/>
      <c r="AG610" s="109" t="s">
        <v>1628</v>
      </c>
      <c r="AH610" s="109"/>
      <c r="AI610" s="2" t="s">
        <v>7</v>
      </c>
      <c r="AL610" s="2" t="s">
        <v>680</v>
      </c>
      <c r="AM610" s="2" t="s">
        <v>3423</v>
      </c>
      <c r="AN610" s="2" t="s">
        <v>952</v>
      </c>
      <c r="AO610" s="2">
        <v>0.99564609100000001</v>
      </c>
      <c r="AP610" s="2" t="s">
        <v>4673</v>
      </c>
      <c r="AQ610" s="2" t="s">
        <v>4469</v>
      </c>
      <c r="AR610" s="2" t="s">
        <v>4638</v>
      </c>
      <c r="AT610" s="765"/>
      <c r="AU610" s="765"/>
      <c r="AV610" s="765"/>
      <c r="AW610" s="765"/>
    </row>
    <row r="611" spans="1:49" x14ac:dyDescent="0.25">
      <c r="A611" s="765" t="s">
        <v>2616</v>
      </c>
      <c r="B611" s="108" t="s">
        <v>526</v>
      </c>
      <c r="C611" s="108" t="s">
        <v>2617</v>
      </c>
      <c r="D611" s="108" t="s">
        <v>4888</v>
      </c>
      <c r="E611" s="108" t="s">
        <v>2618</v>
      </c>
      <c r="F611" s="114" t="s">
        <v>698</v>
      </c>
      <c r="G611" s="213" t="s">
        <v>2621</v>
      </c>
      <c r="H611" s="115" t="s">
        <v>2622</v>
      </c>
      <c r="I611" s="213">
        <v>3131221.31</v>
      </c>
      <c r="J611" s="109">
        <v>2.3065699999999998</v>
      </c>
      <c r="K611" s="109" t="s">
        <v>695</v>
      </c>
      <c r="L611" s="109">
        <v>0.62499427350000003</v>
      </c>
      <c r="M611" s="109">
        <v>0</v>
      </c>
      <c r="N611" s="109">
        <v>0</v>
      </c>
      <c r="O611" s="109">
        <v>1.9220999999999999E-2</v>
      </c>
      <c r="P611" s="115">
        <v>0.93069999999999997</v>
      </c>
      <c r="Q611" s="771"/>
      <c r="R611" s="216"/>
      <c r="S611" s="216">
        <v>0.93069999999999997</v>
      </c>
      <c r="T611" s="216">
        <v>2</v>
      </c>
      <c r="U611" s="216"/>
      <c r="V611" s="765"/>
      <c r="W611" s="109">
        <v>185</v>
      </c>
      <c r="X611" s="109"/>
      <c r="Y611" s="109" t="s">
        <v>2619</v>
      </c>
      <c r="Z611" s="109"/>
      <c r="AA611" s="109"/>
      <c r="AB611" s="109"/>
      <c r="AC611" s="109"/>
      <c r="AD611" s="109"/>
      <c r="AE611" s="109" t="s">
        <v>9</v>
      </c>
      <c r="AF611" s="109" t="s">
        <v>17</v>
      </c>
      <c r="AG611" s="109" t="s">
        <v>1598</v>
      </c>
      <c r="AH611" s="109" t="s">
        <v>1946</v>
      </c>
      <c r="AL611" s="2" t="s">
        <v>680</v>
      </c>
      <c r="AM611" s="2" t="s">
        <v>813</v>
      </c>
      <c r="AN611" s="2" t="s">
        <v>952</v>
      </c>
      <c r="AO611" s="2">
        <v>0.66271752500000003</v>
      </c>
      <c r="AP611" s="2" t="s">
        <v>4637</v>
      </c>
      <c r="AQ611" s="2" t="s">
        <v>4469</v>
      </c>
      <c r="AR611" s="2" t="s">
        <v>4638</v>
      </c>
      <c r="AT611" s="765"/>
      <c r="AU611" s="765"/>
      <c r="AV611" s="765"/>
      <c r="AW611" s="765"/>
    </row>
    <row r="612" spans="1:49" x14ac:dyDescent="0.25">
      <c r="A612" s="765" t="s">
        <v>5015</v>
      </c>
      <c r="B612" s="108" t="s">
        <v>526</v>
      </c>
      <c r="C612" s="108" t="s">
        <v>5193</v>
      </c>
      <c r="D612" s="108" t="s">
        <v>5194</v>
      </c>
      <c r="E612" s="108" t="s">
        <v>5195</v>
      </c>
      <c r="F612" s="114" t="s">
        <v>698</v>
      </c>
      <c r="G612" s="213" t="s">
        <v>5196</v>
      </c>
      <c r="H612" s="115" t="s">
        <v>5197</v>
      </c>
      <c r="I612" s="213">
        <v>455236861.56</v>
      </c>
      <c r="J612" s="109">
        <v>3.9670000000000001</v>
      </c>
      <c r="K612" s="109" t="s">
        <v>696</v>
      </c>
      <c r="L612" s="109">
        <v>0.69205968620000002</v>
      </c>
      <c r="M612" s="109">
        <v>0</v>
      </c>
      <c r="N612" s="109">
        <v>0</v>
      </c>
      <c r="O612" s="109">
        <v>0.14325299999999999</v>
      </c>
      <c r="P612" s="115">
        <v>2.2256</v>
      </c>
      <c r="Q612" s="771"/>
      <c r="R612" s="216"/>
      <c r="S612" s="216">
        <v>2.2256</v>
      </c>
      <c r="T612" s="216">
        <v>12</v>
      </c>
      <c r="U612" s="216"/>
      <c r="V612" s="765"/>
      <c r="W612" s="109"/>
      <c r="X612" s="109"/>
      <c r="Y612" s="109" t="s">
        <v>662</v>
      </c>
      <c r="Z612" s="109"/>
      <c r="AA612" s="109"/>
      <c r="AB612" s="109"/>
      <c r="AC612" s="109"/>
      <c r="AD612" s="109"/>
      <c r="AE612" s="109" t="s">
        <v>10</v>
      </c>
      <c r="AF612" s="109" t="s">
        <v>2022</v>
      </c>
      <c r="AG612" s="109"/>
      <c r="AH612" s="109"/>
      <c r="AI612" s="2" t="s">
        <v>5198</v>
      </c>
      <c r="AL612" s="2" t="s">
        <v>680</v>
      </c>
      <c r="AM612" s="2" t="s">
        <v>3107</v>
      </c>
      <c r="AN612" s="2" t="s">
        <v>952</v>
      </c>
      <c r="AO612" s="2">
        <v>0.69668696399999996</v>
      </c>
      <c r="AP612" s="2" t="s">
        <v>4787</v>
      </c>
      <c r="AQ612" s="2" t="s">
        <v>4396</v>
      </c>
      <c r="AR612" s="2" t="s">
        <v>4671</v>
      </c>
      <c r="AT612" s="765"/>
      <c r="AU612" s="765"/>
      <c r="AV612" s="765"/>
      <c r="AW612" s="765"/>
    </row>
    <row r="613" spans="1:49" x14ac:dyDescent="0.25">
      <c r="A613" s="765" t="s">
        <v>1981</v>
      </c>
      <c r="B613" s="108" t="s">
        <v>526</v>
      </c>
      <c r="C613" s="108" t="s">
        <v>1972</v>
      </c>
      <c r="D613" s="108" t="s">
        <v>5199</v>
      </c>
      <c r="E613" s="108" t="s">
        <v>1982</v>
      </c>
      <c r="F613" s="114" t="s">
        <v>698</v>
      </c>
      <c r="G613" s="213" t="s">
        <v>2006</v>
      </c>
      <c r="H613" s="115" t="s">
        <v>2007</v>
      </c>
      <c r="I613" s="213">
        <v>325880491.49000001</v>
      </c>
      <c r="J613" s="109">
        <v>1.1160000000000001</v>
      </c>
      <c r="K613" s="109" t="s">
        <v>695</v>
      </c>
      <c r="L613" s="109">
        <v>0.46554355930000002</v>
      </c>
      <c r="M613" s="109">
        <v>96.351241999999999</v>
      </c>
      <c r="N613" s="109">
        <v>96.405002999999994</v>
      </c>
      <c r="O613" s="109">
        <v>4.0300000000000002E-2</v>
      </c>
      <c r="P613" s="115">
        <v>5.6059000000000001</v>
      </c>
      <c r="Q613" s="771">
        <v>0.14931376968000001</v>
      </c>
      <c r="R613" s="216"/>
      <c r="S613" s="216">
        <v>0.14931376968000001</v>
      </c>
      <c r="T613" s="216">
        <v>13</v>
      </c>
      <c r="U613" s="216">
        <v>1.9610000000000001</v>
      </c>
      <c r="V613" s="765">
        <v>-63.326306629329999</v>
      </c>
      <c r="W613" s="109">
        <v>29</v>
      </c>
      <c r="X613" s="109">
        <v>105.06093901331</v>
      </c>
      <c r="Y613" s="109" t="s">
        <v>531</v>
      </c>
      <c r="Z613" s="109"/>
      <c r="AA613" s="109"/>
      <c r="AB613" s="109"/>
      <c r="AC613" s="109"/>
      <c r="AD613" s="109"/>
      <c r="AE613" s="109" t="s">
        <v>7</v>
      </c>
      <c r="AF613" s="109" t="s">
        <v>7</v>
      </c>
      <c r="AG613" s="109" t="s">
        <v>1062</v>
      </c>
      <c r="AH613" s="109" t="s">
        <v>17</v>
      </c>
      <c r="AL613" s="2" t="s">
        <v>680</v>
      </c>
      <c r="AM613" s="2" t="s">
        <v>2898</v>
      </c>
      <c r="AN613" s="2" t="s">
        <v>952</v>
      </c>
      <c r="AO613" s="2">
        <v>0.48465525399999998</v>
      </c>
      <c r="AP613" s="2" t="s">
        <v>5200</v>
      </c>
      <c r="AQ613" s="2" t="s">
        <v>4396</v>
      </c>
      <c r="AR613" s="2" t="s">
        <v>5115</v>
      </c>
      <c r="AT613" s="765"/>
      <c r="AU613" s="765"/>
      <c r="AV613" s="765"/>
      <c r="AW613" s="765"/>
    </row>
    <row r="614" spans="1:49" x14ac:dyDescent="0.25">
      <c r="A614" s="765" t="s">
        <v>2733</v>
      </c>
      <c r="B614" s="108" t="s">
        <v>526</v>
      </c>
      <c r="C614" s="108" t="s">
        <v>1972</v>
      </c>
      <c r="D614" s="108" t="s">
        <v>5201</v>
      </c>
      <c r="E614" s="108" t="s">
        <v>2814</v>
      </c>
      <c r="F614" s="114" t="s">
        <v>698</v>
      </c>
      <c r="G614" s="213" t="s">
        <v>2815</v>
      </c>
      <c r="H614" s="115" t="s">
        <v>2816</v>
      </c>
      <c r="I614" s="213">
        <v>32270038.25</v>
      </c>
      <c r="J614" s="109">
        <v>3.5</v>
      </c>
      <c r="K614" s="109" t="s">
        <v>696</v>
      </c>
      <c r="L614" s="109">
        <v>0.48164236189999998</v>
      </c>
      <c r="M614" s="109">
        <v>100.041573</v>
      </c>
      <c r="N614" s="109">
        <v>100.042671</v>
      </c>
      <c r="O614" s="109">
        <v>0.126389</v>
      </c>
      <c r="P614" s="115">
        <v>4.1700000000000001E-2</v>
      </c>
      <c r="Q614" s="771">
        <v>0.56380951965000004</v>
      </c>
      <c r="R614" s="216"/>
      <c r="S614" s="216">
        <v>0.56380951965000004</v>
      </c>
      <c r="T614" s="216">
        <v>13</v>
      </c>
      <c r="U614" s="216">
        <v>3.4529999999999998</v>
      </c>
      <c r="V614" s="765">
        <v>235.47508553645</v>
      </c>
      <c r="W614" s="109"/>
      <c r="X614" s="109">
        <v>205.26141916896</v>
      </c>
      <c r="Y614" s="109" t="s">
        <v>663</v>
      </c>
      <c r="Z614" s="109"/>
      <c r="AA614" s="109"/>
      <c r="AB614" s="109"/>
      <c r="AC614" s="109"/>
      <c r="AD614" s="109"/>
      <c r="AE614" s="109" t="s">
        <v>7</v>
      </c>
      <c r="AF614" s="109" t="s">
        <v>7</v>
      </c>
      <c r="AG614" s="109" t="s">
        <v>1062</v>
      </c>
      <c r="AH614" s="109"/>
      <c r="AL614" s="2" t="s">
        <v>680</v>
      </c>
      <c r="AM614" s="2" t="s">
        <v>2898</v>
      </c>
      <c r="AN614" s="2" t="s">
        <v>952</v>
      </c>
      <c r="AO614" s="2">
        <v>0.53575578800000001</v>
      </c>
      <c r="AP614" s="2" t="s">
        <v>4675</v>
      </c>
      <c r="AQ614" s="2" t="s">
        <v>4396</v>
      </c>
      <c r="AR614" s="2" t="s">
        <v>4671</v>
      </c>
      <c r="AT614" s="765"/>
      <c r="AU614" s="765"/>
      <c r="AV614" s="765"/>
      <c r="AW614" s="765"/>
    </row>
    <row r="615" spans="1:49" x14ac:dyDescent="0.25">
      <c r="A615" s="765" t="s">
        <v>4613</v>
      </c>
      <c r="B615" s="108" t="s">
        <v>528</v>
      </c>
      <c r="C615" s="108" t="s">
        <v>1929</v>
      </c>
      <c r="D615" s="108" t="s">
        <v>1740</v>
      </c>
      <c r="E615" s="108" t="s">
        <v>4775</v>
      </c>
      <c r="F615" s="114" t="s">
        <v>694</v>
      </c>
      <c r="G615" s="213" t="s">
        <v>1475</v>
      </c>
      <c r="H615" s="115" t="s">
        <v>4776</v>
      </c>
      <c r="I615" s="213">
        <v>3617634.5</v>
      </c>
      <c r="J615" s="109">
        <v>3.73861</v>
      </c>
      <c r="K615" s="109" t="s">
        <v>696</v>
      </c>
      <c r="L615" s="109">
        <v>0.87340282469999997</v>
      </c>
      <c r="M615" s="109">
        <v>99.887137999999993</v>
      </c>
      <c r="N615" s="109">
        <v>99.975605000000002</v>
      </c>
      <c r="O615" s="109">
        <v>0.28039599999999998</v>
      </c>
      <c r="P615" s="115">
        <v>2.7951000000000001</v>
      </c>
      <c r="Q615" s="771">
        <v>4.8940533607300001</v>
      </c>
      <c r="R615" s="216"/>
      <c r="S615" s="216">
        <v>4.8940533607300001</v>
      </c>
      <c r="T615" s="216">
        <v>27</v>
      </c>
      <c r="U615" s="216">
        <v>3.7410000000000001</v>
      </c>
      <c r="V615" s="765">
        <v>117.17263749737999</v>
      </c>
      <c r="W615" s="109"/>
      <c r="X615" s="109">
        <v>89.435428050279995</v>
      </c>
      <c r="Y615" s="109" t="s">
        <v>1874</v>
      </c>
      <c r="Z615" s="109">
        <v>14.170328448992541</v>
      </c>
      <c r="AA615" s="109">
        <v>33.051816034672463</v>
      </c>
      <c r="AB615" s="109" t="s">
        <v>1893</v>
      </c>
      <c r="AC615" s="109" t="s">
        <v>243</v>
      </c>
      <c r="AD615" s="109" t="s">
        <v>830</v>
      </c>
      <c r="AE615" s="109" t="s">
        <v>9</v>
      </c>
      <c r="AF615" s="109"/>
      <c r="AG615" s="109" t="s">
        <v>1064</v>
      </c>
      <c r="AH615" s="109"/>
      <c r="AI615" s="2" t="s">
        <v>9</v>
      </c>
      <c r="AL615" s="2" t="s">
        <v>680</v>
      </c>
      <c r="AM615" s="2" t="s">
        <v>2897</v>
      </c>
      <c r="AN615" s="2" t="s">
        <v>952</v>
      </c>
      <c r="AO615" s="2">
        <v>0.87592883399999999</v>
      </c>
      <c r="AP615" s="2" t="s">
        <v>4673</v>
      </c>
      <c r="AQ615" s="2" t="s">
        <v>4469</v>
      </c>
      <c r="AR615" s="2" t="s">
        <v>4638</v>
      </c>
      <c r="AT615" s="765"/>
      <c r="AU615" s="765"/>
      <c r="AV615" s="765"/>
      <c r="AW615" s="765"/>
    </row>
    <row r="616" spans="1:49" x14ac:dyDescent="0.25">
      <c r="A616" s="765" t="s">
        <v>3406</v>
      </c>
      <c r="B616" s="108" t="s">
        <v>528</v>
      </c>
      <c r="C616" s="108" t="s">
        <v>1929</v>
      </c>
      <c r="D616" s="108" t="s">
        <v>4777</v>
      </c>
      <c r="E616" s="108" t="s">
        <v>3407</v>
      </c>
      <c r="F616" s="114" t="s">
        <v>694</v>
      </c>
      <c r="G616" s="213" t="s">
        <v>1136</v>
      </c>
      <c r="H616" s="115" t="s">
        <v>3198</v>
      </c>
      <c r="I616" s="213">
        <v>10794546.59</v>
      </c>
      <c r="J616" s="109">
        <v>4.9138640000000002</v>
      </c>
      <c r="K616" s="109" t="s">
        <v>696</v>
      </c>
      <c r="L616" s="109">
        <v>0.94664093569999996</v>
      </c>
      <c r="M616" s="109">
        <v>99.813179000000005</v>
      </c>
      <c r="N616" s="109">
        <v>99.815005999999997</v>
      </c>
      <c r="O616" s="109">
        <v>0.36853999999999998</v>
      </c>
      <c r="P616" s="115">
        <v>6.9400000000000003E-2</v>
      </c>
      <c r="Q616" s="771">
        <v>3.2912472588299999</v>
      </c>
      <c r="R616" s="216"/>
      <c r="S616" s="216">
        <v>3.2912472588299999</v>
      </c>
      <c r="T616" s="216">
        <v>27</v>
      </c>
      <c r="U616" s="216">
        <v>4.7910000000000004</v>
      </c>
      <c r="V616" s="765">
        <v>274.15159396289999</v>
      </c>
      <c r="W616" s="109"/>
      <c r="X616" s="109">
        <v>190.28200279756999</v>
      </c>
      <c r="Y616" s="109" t="s">
        <v>2118</v>
      </c>
      <c r="Z616" s="109">
        <v>60.925519797949157</v>
      </c>
      <c r="AA616" s="109">
        <v>49.82672558806933</v>
      </c>
      <c r="AB616" s="109" t="s">
        <v>242</v>
      </c>
      <c r="AC616" s="109" t="s">
        <v>243</v>
      </c>
      <c r="AD616" s="109" t="s">
        <v>246</v>
      </c>
      <c r="AE616" s="109" t="s">
        <v>7</v>
      </c>
      <c r="AF616" s="109"/>
      <c r="AG616" s="109" t="s">
        <v>1062</v>
      </c>
      <c r="AH616" s="109"/>
      <c r="AI616" s="2" t="s">
        <v>7</v>
      </c>
      <c r="AL616" s="2" t="s">
        <v>680</v>
      </c>
      <c r="AM616" s="2" t="s">
        <v>709</v>
      </c>
      <c r="AN616" s="2" t="s">
        <v>952</v>
      </c>
      <c r="AO616" s="2">
        <v>0.948298745</v>
      </c>
      <c r="AP616" s="2" t="s">
        <v>4673</v>
      </c>
      <c r="AQ616" s="2" t="s">
        <v>4469</v>
      </c>
      <c r="AR616" s="2" t="s">
        <v>4638</v>
      </c>
      <c r="AT616" s="765"/>
      <c r="AU616" s="765"/>
      <c r="AV616" s="765"/>
      <c r="AW616" s="765"/>
    </row>
    <row r="617" spans="1:49" x14ac:dyDescent="0.25">
      <c r="A617" s="765" t="s">
        <v>1928</v>
      </c>
      <c r="B617" s="108" t="s">
        <v>528</v>
      </c>
      <c r="C617" s="108" t="s">
        <v>1929</v>
      </c>
      <c r="D617" s="108" t="s">
        <v>1904</v>
      </c>
      <c r="E617" s="108" t="s">
        <v>1930</v>
      </c>
      <c r="F617" s="114" t="s">
        <v>694</v>
      </c>
      <c r="G617" s="213" t="s">
        <v>1931</v>
      </c>
      <c r="H617" s="115" t="s">
        <v>1932</v>
      </c>
      <c r="I617" s="213">
        <v>2352039.4</v>
      </c>
      <c r="J617" s="109">
        <v>3.8491050000000002</v>
      </c>
      <c r="K617" s="109" t="s">
        <v>696</v>
      </c>
      <c r="L617" s="109">
        <v>0.95456144480000005</v>
      </c>
      <c r="M617" s="109">
        <v>99.507378000000003</v>
      </c>
      <c r="N617" s="109">
        <v>99.629035999999999</v>
      </c>
      <c r="O617" s="109">
        <v>0.28868300000000002</v>
      </c>
      <c r="P617" s="115">
        <v>1.7687999999999999</v>
      </c>
      <c r="Q617" s="771">
        <v>5.82799845094</v>
      </c>
      <c r="R617" s="216"/>
      <c r="S617" s="216">
        <v>5.82799845094</v>
      </c>
      <c r="T617" s="216">
        <v>26</v>
      </c>
      <c r="U617" s="216">
        <v>3.9390000000000001</v>
      </c>
      <c r="V617" s="765">
        <v>134.32846828888</v>
      </c>
      <c r="W617" s="109"/>
      <c r="X617" s="109">
        <v>116.83588369999001</v>
      </c>
      <c r="Y617" s="109" t="s">
        <v>1874</v>
      </c>
      <c r="Z617" s="109">
        <v>42.069857654887088</v>
      </c>
      <c r="AA617" s="109">
        <v>33.75077523759542</v>
      </c>
      <c r="AB617" s="109" t="s">
        <v>1353</v>
      </c>
      <c r="AC617" s="109" t="s">
        <v>1379</v>
      </c>
      <c r="AD617" s="109" t="s">
        <v>4482</v>
      </c>
      <c r="AE617" s="109" t="s">
        <v>9</v>
      </c>
      <c r="AF617" s="109"/>
      <c r="AG617" s="109"/>
      <c r="AH617" s="109" t="s">
        <v>9</v>
      </c>
      <c r="AI617" s="2" t="s">
        <v>19</v>
      </c>
      <c r="AL617" s="2" t="s">
        <v>680</v>
      </c>
      <c r="AM617" s="2" t="s">
        <v>709</v>
      </c>
      <c r="AN617" s="2" t="s">
        <v>952</v>
      </c>
      <c r="AO617" s="2">
        <v>0.95699771899999997</v>
      </c>
      <c r="AP617" s="2" t="s">
        <v>4673</v>
      </c>
      <c r="AQ617" s="2" t="s">
        <v>4469</v>
      </c>
      <c r="AR617" s="2" t="s">
        <v>4638</v>
      </c>
      <c r="AT617" s="765"/>
      <c r="AU617" s="765"/>
      <c r="AV617" s="765"/>
      <c r="AW617" s="765"/>
    </row>
    <row r="618" spans="1:49" x14ac:dyDescent="0.25">
      <c r="A618" s="765" t="s">
        <v>3176</v>
      </c>
      <c r="B618" s="108" t="s">
        <v>526</v>
      </c>
      <c r="C618" s="108" t="s">
        <v>3269</v>
      </c>
      <c r="D618" s="108" t="s">
        <v>2098</v>
      </c>
      <c r="E618" s="108" t="s">
        <v>3270</v>
      </c>
      <c r="F618" s="114" t="s">
        <v>698</v>
      </c>
      <c r="G618" s="213" t="s">
        <v>4051</v>
      </c>
      <c r="H618" s="115" t="s">
        <v>4052</v>
      </c>
      <c r="I618" s="213">
        <v>149250000</v>
      </c>
      <c r="J618" s="109">
        <v>2.8650000000000002</v>
      </c>
      <c r="K618" s="109" t="s">
        <v>696</v>
      </c>
      <c r="L618" s="109">
        <v>0.995</v>
      </c>
      <c r="M618" s="109">
        <v>89.324477999999999</v>
      </c>
      <c r="N618" s="109">
        <v>89.691299000000001</v>
      </c>
      <c r="O618" s="109">
        <v>0.46158300000000002</v>
      </c>
      <c r="P618" s="115">
        <v>3.2761999999999998</v>
      </c>
      <c r="Q618" s="771">
        <v>5.5015034083699996</v>
      </c>
      <c r="R618" s="216"/>
      <c r="S618" s="216">
        <v>5.5015034083699996</v>
      </c>
      <c r="T618" s="216">
        <v>57</v>
      </c>
      <c r="U618" s="216">
        <v>4.9279999999999999</v>
      </c>
      <c r="V618" s="765">
        <v>404.34067879589003</v>
      </c>
      <c r="W618" s="109"/>
      <c r="X618" s="109">
        <v>217.14988002366999</v>
      </c>
      <c r="Y618" s="109" t="s">
        <v>662</v>
      </c>
      <c r="Z618" s="109"/>
      <c r="AA618" s="109"/>
      <c r="AB618" s="109"/>
      <c r="AC618" s="109"/>
      <c r="AD618" s="109"/>
      <c r="AE618" s="109" t="s">
        <v>10</v>
      </c>
      <c r="AF618" s="109" t="s">
        <v>20</v>
      </c>
      <c r="AG618" s="109"/>
      <c r="AH618" s="109"/>
      <c r="AI618" s="2" t="s">
        <v>10</v>
      </c>
      <c r="AL618" s="2" t="s">
        <v>680</v>
      </c>
      <c r="AM618" s="2" t="s">
        <v>2897</v>
      </c>
      <c r="AN618" s="2" t="s">
        <v>952</v>
      </c>
      <c r="AO618" s="2">
        <v>0.99750000000000005</v>
      </c>
      <c r="AP618" s="2" t="s">
        <v>4673</v>
      </c>
      <c r="AQ618" s="2" t="s">
        <v>3898</v>
      </c>
      <c r="AR618" s="2" t="s">
        <v>4718</v>
      </c>
      <c r="AT618" s="765"/>
      <c r="AU618" s="765"/>
      <c r="AV618" s="765"/>
      <c r="AW618" s="765"/>
    </row>
    <row r="619" spans="1:49" x14ac:dyDescent="0.25">
      <c r="A619" s="765" t="s">
        <v>4615</v>
      </c>
      <c r="B619" s="108" t="s">
        <v>527</v>
      </c>
      <c r="C619" s="108" t="s">
        <v>3829</v>
      </c>
      <c r="D619" s="108" t="s">
        <v>1625</v>
      </c>
      <c r="E619" s="108" t="s">
        <v>4778</v>
      </c>
      <c r="F619" s="114" t="s">
        <v>694</v>
      </c>
      <c r="G619" s="213" t="s">
        <v>3830</v>
      </c>
      <c r="H619" s="115" t="s">
        <v>1514</v>
      </c>
      <c r="I619" s="213">
        <v>19289000</v>
      </c>
      <c r="J619" s="109">
        <v>2.9965700000000002</v>
      </c>
      <c r="K619" s="109" t="s">
        <v>695</v>
      </c>
      <c r="L619" s="109">
        <v>1</v>
      </c>
      <c r="M619" s="109">
        <v>0</v>
      </c>
      <c r="N619" s="109">
        <v>0</v>
      </c>
      <c r="O619" s="109">
        <v>0.108209</v>
      </c>
      <c r="P619" s="115">
        <v>2.3672</v>
      </c>
      <c r="Q619" s="771"/>
      <c r="R619" s="216"/>
      <c r="S619" s="216">
        <v>2.3672</v>
      </c>
      <c r="T619" s="216">
        <v>12</v>
      </c>
      <c r="U619" s="216"/>
      <c r="V619" s="765"/>
      <c r="W619" s="109">
        <v>260</v>
      </c>
      <c r="X619" s="109"/>
      <c r="Y619" s="109" t="s">
        <v>4464</v>
      </c>
      <c r="Z619" s="109">
        <v>0</v>
      </c>
      <c r="AA619" s="109">
        <v>8.7046664941750613</v>
      </c>
      <c r="AB619" s="109"/>
      <c r="AC619" s="109"/>
      <c r="AD619" s="109"/>
      <c r="AE619" s="109" t="s">
        <v>10</v>
      </c>
      <c r="AF619" s="109"/>
      <c r="AG619" s="109" t="s">
        <v>522</v>
      </c>
      <c r="AH619" s="109"/>
      <c r="AJ619" s="2" t="s">
        <v>1544</v>
      </c>
      <c r="AL619" s="2" t="s">
        <v>680</v>
      </c>
      <c r="AM619" s="2" t="s">
        <v>1656</v>
      </c>
      <c r="AN619" s="2" t="s">
        <v>952</v>
      </c>
      <c r="AO619" s="2">
        <v>1</v>
      </c>
      <c r="AP619" s="2" t="s">
        <v>4675</v>
      </c>
      <c r="AQ619" s="2" t="s">
        <v>4396</v>
      </c>
      <c r="AR619" s="2" t="s">
        <v>4671</v>
      </c>
      <c r="AT619" s="765"/>
      <c r="AU619" s="765"/>
      <c r="AV619" s="765"/>
      <c r="AW619" s="765"/>
    </row>
    <row r="620" spans="1:49" x14ac:dyDescent="0.25">
      <c r="A620" s="765" t="s">
        <v>4614</v>
      </c>
      <c r="B620" s="108" t="s">
        <v>527</v>
      </c>
      <c r="C620" s="108" t="s">
        <v>3829</v>
      </c>
      <c r="D620" s="108" t="s">
        <v>1625</v>
      </c>
      <c r="E620" s="108" t="s">
        <v>4779</v>
      </c>
      <c r="F620" s="114" t="s">
        <v>694</v>
      </c>
      <c r="G620" s="213" t="s">
        <v>3830</v>
      </c>
      <c r="H620" s="115" t="s">
        <v>1514</v>
      </c>
      <c r="I620" s="213">
        <v>5105000</v>
      </c>
      <c r="J620" s="109">
        <v>3.3965700000000001</v>
      </c>
      <c r="K620" s="109" t="s">
        <v>695</v>
      </c>
      <c r="L620" s="109">
        <v>1</v>
      </c>
      <c r="M620" s="109">
        <v>0</v>
      </c>
      <c r="N620" s="109">
        <v>0</v>
      </c>
      <c r="O620" s="109">
        <v>0.122654</v>
      </c>
      <c r="P620" s="115">
        <v>2.375</v>
      </c>
      <c r="Q620" s="771"/>
      <c r="R620" s="216"/>
      <c r="S620" s="216">
        <v>2.375</v>
      </c>
      <c r="T620" s="216">
        <v>12</v>
      </c>
      <c r="U620" s="216"/>
      <c r="V620" s="765"/>
      <c r="W620" s="109">
        <v>300</v>
      </c>
      <c r="X620" s="109"/>
      <c r="Y620" s="109" t="s">
        <v>4464</v>
      </c>
      <c r="Z620" s="109">
        <v>0</v>
      </c>
      <c r="AA620" s="109">
        <v>8.7046664941750613</v>
      </c>
      <c r="AB620" s="109"/>
      <c r="AC620" s="109"/>
      <c r="AD620" s="109"/>
      <c r="AE620" s="109" t="s">
        <v>10</v>
      </c>
      <c r="AF620" s="109"/>
      <c r="AG620" s="109" t="s">
        <v>522</v>
      </c>
      <c r="AH620" s="109"/>
      <c r="AJ620" s="2" t="s">
        <v>10</v>
      </c>
      <c r="AL620" s="2" t="s">
        <v>680</v>
      </c>
      <c r="AM620" s="2" t="s">
        <v>1656</v>
      </c>
      <c r="AN620" s="2" t="s">
        <v>952</v>
      </c>
      <c r="AO620" s="2">
        <v>1</v>
      </c>
      <c r="AP620" s="2" t="s">
        <v>4675</v>
      </c>
      <c r="AQ620" s="2" t="s">
        <v>4396</v>
      </c>
      <c r="AR620" s="2" t="s">
        <v>4671</v>
      </c>
      <c r="AT620" s="765"/>
      <c r="AU620" s="765"/>
      <c r="AV620" s="765"/>
    </row>
    <row r="621" spans="1:49" x14ac:dyDescent="0.25">
      <c r="A621" s="765" t="s">
        <v>1933</v>
      </c>
      <c r="B621" s="108" t="s">
        <v>656</v>
      </c>
      <c r="C621" s="108" t="s">
        <v>1934</v>
      </c>
      <c r="D621" s="108" t="s">
        <v>539</v>
      </c>
      <c r="E621" s="108" t="s">
        <v>1934</v>
      </c>
      <c r="F621" s="114" t="s">
        <v>699</v>
      </c>
      <c r="G621" s="213" t="s">
        <v>1935</v>
      </c>
      <c r="H621" s="115" t="s">
        <v>1936</v>
      </c>
      <c r="I621" s="213">
        <v>45000000</v>
      </c>
      <c r="J621" s="109">
        <v>5.5</v>
      </c>
      <c r="K621" s="109" t="s">
        <v>696</v>
      </c>
      <c r="L621" s="109">
        <v>1</v>
      </c>
      <c r="M621" s="109">
        <v>101.89700000000001</v>
      </c>
      <c r="N621" s="109">
        <v>101.93</v>
      </c>
      <c r="O621" s="109">
        <v>1.7875000000000001</v>
      </c>
      <c r="P621" s="115"/>
      <c r="Q621" s="771">
        <v>0.65942058151053029</v>
      </c>
      <c r="R621" s="216">
        <v>0.64792980463561445</v>
      </c>
      <c r="S621" s="216">
        <v>0.65942058151053029</v>
      </c>
      <c r="T621" s="216">
        <v>116</v>
      </c>
      <c r="U621" s="216">
        <v>4.1140943525552736</v>
      </c>
      <c r="V621" s="765"/>
      <c r="W621" s="109">
        <v>333.8</v>
      </c>
      <c r="X621" s="109">
        <v>117.55318311464249</v>
      </c>
      <c r="Y621" s="109"/>
      <c r="Z621" s="109"/>
      <c r="AA621" s="109"/>
      <c r="AB621" s="109"/>
      <c r="AC621" s="109"/>
      <c r="AD621" s="109"/>
      <c r="AE621" s="109" t="s">
        <v>9</v>
      </c>
      <c r="AF621" s="109"/>
      <c r="AG621" s="109"/>
      <c r="AH621" s="109"/>
      <c r="AI621" s="2" t="s">
        <v>20</v>
      </c>
      <c r="AK621" s="2" t="s">
        <v>18</v>
      </c>
      <c r="AL621" s="2" t="s">
        <v>680</v>
      </c>
      <c r="AM621" s="2" t="s">
        <v>811</v>
      </c>
      <c r="AN621" s="2" t="s">
        <v>952</v>
      </c>
      <c r="AT621" s="765"/>
      <c r="AU621" s="765"/>
      <c r="AV621" s="765"/>
    </row>
    <row r="622" spans="1:49" x14ac:dyDescent="0.25">
      <c r="A622" s="765" t="s">
        <v>1076</v>
      </c>
      <c r="B622" s="108" t="s">
        <v>656</v>
      </c>
      <c r="C622" s="108" t="s">
        <v>1077</v>
      </c>
      <c r="D622" s="108" t="s">
        <v>541</v>
      </c>
      <c r="E622" s="108" t="s">
        <v>1077</v>
      </c>
      <c r="F622" s="114" t="s">
        <v>699</v>
      </c>
      <c r="G622" s="213" t="s">
        <v>1146</v>
      </c>
      <c r="H622" s="115" t="s">
        <v>1147</v>
      </c>
      <c r="I622" s="213">
        <v>40000000</v>
      </c>
      <c r="J622" s="109">
        <v>5.625</v>
      </c>
      <c r="K622" s="109" t="s">
        <v>696</v>
      </c>
      <c r="L622" s="109">
        <v>1</v>
      </c>
      <c r="M622" s="109">
        <v>101.408</v>
      </c>
      <c r="N622" s="109">
        <v>101.80249999999999</v>
      </c>
      <c r="O622" s="109">
        <v>2.75</v>
      </c>
      <c r="P622" s="115"/>
      <c r="Q622" s="771">
        <v>1.409048931919499</v>
      </c>
      <c r="R622" s="216">
        <v>1.3955184033008079</v>
      </c>
      <c r="S622" s="216">
        <v>1.409048931919499</v>
      </c>
      <c r="T622" s="216">
        <v>176</v>
      </c>
      <c r="U622" s="216">
        <v>3.829869614167714</v>
      </c>
      <c r="V622" s="765"/>
      <c r="W622" s="109">
        <v>255</v>
      </c>
      <c r="X622" s="109">
        <v>196.84972948458989</v>
      </c>
      <c r="Y622" s="109"/>
      <c r="Z622" s="109"/>
      <c r="AA622" s="109"/>
      <c r="AB622" s="109"/>
      <c r="AC622" s="109"/>
      <c r="AD622" s="109"/>
      <c r="AE622" s="109" t="s">
        <v>10</v>
      </c>
      <c r="AF622" s="109"/>
      <c r="AG622" s="109"/>
      <c r="AH622" s="109"/>
      <c r="AI622" s="2" t="s">
        <v>20</v>
      </c>
      <c r="AL622" s="2" t="s">
        <v>680</v>
      </c>
      <c r="AM622" s="2" t="s">
        <v>812</v>
      </c>
      <c r="AN622" s="2" t="s">
        <v>952</v>
      </c>
      <c r="AT622" s="765"/>
      <c r="AU622" s="765"/>
      <c r="AV622" s="765"/>
    </row>
    <row r="623" spans="1:49" x14ac:dyDescent="0.25">
      <c r="A623" s="765" t="s">
        <v>2101</v>
      </c>
      <c r="B623" s="108" t="s">
        <v>526</v>
      </c>
      <c r="C623" s="108" t="s">
        <v>2097</v>
      </c>
      <c r="D623" s="108" t="s">
        <v>2098</v>
      </c>
      <c r="E623" s="108" t="s">
        <v>2102</v>
      </c>
      <c r="F623" s="114" t="s">
        <v>698</v>
      </c>
      <c r="G623" s="213" t="s">
        <v>2099</v>
      </c>
      <c r="H623" s="115" t="s">
        <v>2100</v>
      </c>
      <c r="I623" s="213">
        <v>246041666.72999999</v>
      </c>
      <c r="J623" s="109">
        <v>4.3360000000000003</v>
      </c>
      <c r="K623" s="109" t="s">
        <v>696</v>
      </c>
      <c r="L623" s="109">
        <v>0.98416666689999999</v>
      </c>
      <c r="M623" s="109">
        <v>99.427368000000001</v>
      </c>
      <c r="N623" s="109">
        <v>99.895786000000001</v>
      </c>
      <c r="O623" s="109">
        <v>9.6355999999999997E-2</v>
      </c>
      <c r="P623" s="115">
        <v>3.7324999999999999</v>
      </c>
      <c r="Q623" s="771">
        <v>6.3120658606399997</v>
      </c>
      <c r="R623" s="216"/>
      <c r="S623" s="216">
        <v>6.3120658606399997</v>
      </c>
      <c r="T623" s="216">
        <v>8</v>
      </c>
      <c r="U623" s="216">
        <v>4.4669999999999996</v>
      </c>
      <c r="V623" s="765">
        <v>201.31678409003999</v>
      </c>
      <c r="W623" s="109"/>
      <c r="X623" s="109">
        <v>175.08184079185</v>
      </c>
      <c r="Y623" s="109" t="s">
        <v>662</v>
      </c>
      <c r="Z623" s="109"/>
      <c r="AA623" s="109"/>
      <c r="AB623" s="109"/>
      <c r="AC623" s="109"/>
      <c r="AD623" s="109"/>
      <c r="AE623" s="109" t="s">
        <v>10</v>
      </c>
      <c r="AF623" s="109" t="s">
        <v>10</v>
      </c>
      <c r="AG623" s="109"/>
      <c r="AH623" s="109"/>
      <c r="AI623" s="2" t="s">
        <v>10</v>
      </c>
      <c r="AL623" s="2" t="s">
        <v>680</v>
      </c>
      <c r="AM623" s="2" t="s">
        <v>2897</v>
      </c>
      <c r="AN623" s="2" t="s">
        <v>952</v>
      </c>
      <c r="AO623" s="2">
        <v>0.98499999999999999</v>
      </c>
      <c r="AP623" s="2" t="s">
        <v>4673</v>
      </c>
      <c r="AQ623" s="2" t="s">
        <v>4668</v>
      </c>
      <c r="AR623" s="2" t="s">
        <v>3969</v>
      </c>
      <c r="AT623" s="765"/>
      <c r="AU623" s="765"/>
    </row>
    <row r="624" spans="1:49" x14ac:dyDescent="0.25">
      <c r="A624" s="765" t="s">
        <v>3870</v>
      </c>
      <c r="B624" s="108" t="s">
        <v>529</v>
      </c>
      <c r="C624" s="108" t="s">
        <v>3520</v>
      </c>
      <c r="D624" s="108" t="s">
        <v>530</v>
      </c>
      <c r="E624" s="108" t="s">
        <v>3918</v>
      </c>
      <c r="F624" s="114" t="s">
        <v>698</v>
      </c>
      <c r="G624" s="213" t="s">
        <v>3217</v>
      </c>
      <c r="H624" s="115" t="s">
        <v>3919</v>
      </c>
      <c r="I624" s="213">
        <v>20000000</v>
      </c>
      <c r="J624" s="109">
        <v>3.9912899999999998</v>
      </c>
      <c r="K624" s="109" t="s">
        <v>695</v>
      </c>
      <c r="L624" s="109">
        <v>1</v>
      </c>
      <c r="M624" s="109">
        <v>0</v>
      </c>
      <c r="N624" s="109">
        <v>0</v>
      </c>
      <c r="O624" s="109">
        <v>0.76499700000000004</v>
      </c>
      <c r="P624" s="115">
        <v>4.7881</v>
      </c>
      <c r="Q624" s="771"/>
      <c r="R624" s="216"/>
      <c r="S624" s="216">
        <v>4.7881</v>
      </c>
      <c r="T624" s="216">
        <v>68</v>
      </c>
      <c r="U624" s="216"/>
      <c r="V624" s="765"/>
      <c r="W624" s="109">
        <v>375</v>
      </c>
      <c r="X624" s="109"/>
      <c r="Y624" s="109" t="s">
        <v>532</v>
      </c>
      <c r="Z624" s="109"/>
      <c r="AA624" s="109"/>
      <c r="AB624" s="109"/>
      <c r="AC624" s="109"/>
      <c r="AD624" s="109"/>
      <c r="AE624" s="109" t="s">
        <v>13</v>
      </c>
      <c r="AF624" s="109"/>
      <c r="AG624" s="109" t="s">
        <v>2682</v>
      </c>
      <c r="AH624" s="109" t="s">
        <v>522</v>
      </c>
      <c r="AL624" s="2" t="s">
        <v>680</v>
      </c>
      <c r="AM624" s="2" t="s">
        <v>711</v>
      </c>
      <c r="AN624" s="2" t="s">
        <v>952</v>
      </c>
      <c r="AO624" s="2">
        <v>1</v>
      </c>
      <c r="AP624" s="2" t="s">
        <v>4780</v>
      </c>
      <c r="AQ624" s="2" t="s">
        <v>3194</v>
      </c>
      <c r="AR624" s="2" t="s">
        <v>4671</v>
      </c>
      <c r="AT624" s="765"/>
      <c r="AU624" s="765"/>
    </row>
    <row r="625" spans="1:47" x14ac:dyDescent="0.25">
      <c r="A625" s="765" t="s">
        <v>3869</v>
      </c>
      <c r="B625" s="108" t="s">
        <v>529</v>
      </c>
      <c r="C625" s="108" t="s">
        <v>3520</v>
      </c>
      <c r="D625" s="108" t="s">
        <v>530</v>
      </c>
      <c r="E625" s="108" t="s">
        <v>3920</v>
      </c>
      <c r="F625" s="114" t="s">
        <v>698</v>
      </c>
      <c r="G625" s="213" t="s">
        <v>3921</v>
      </c>
      <c r="H625" s="115" t="s">
        <v>3919</v>
      </c>
      <c r="I625" s="213">
        <v>14000000</v>
      </c>
      <c r="J625" s="109">
        <v>5.3912899999999997</v>
      </c>
      <c r="K625" s="109" t="s">
        <v>695</v>
      </c>
      <c r="L625" s="109">
        <v>1</v>
      </c>
      <c r="M625" s="109">
        <v>0</v>
      </c>
      <c r="N625" s="109">
        <v>0</v>
      </c>
      <c r="O625" s="109">
        <v>1.033331</v>
      </c>
      <c r="P625" s="115">
        <v>4.7881</v>
      </c>
      <c r="Q625" s="771"/>
      <c r="R625" s="216"/>
      <c r="S625" s="216">
        <v>4.7881</v>
      </c>
      <c r="T625" s="216">
        <v>69</v>
      </c>
      <c r="U625" s="216"/>
      <c r="V625" s="765"/>
      <c r="W625" s="109">
        <v>515</v>
      </c>
      <c r="X625" s="109"/>
      <c r="Y625" s="109" t="s">
        <v>992</v>
      </c>
      <c r="Z625" s="109"/>
      <c r="AA625" s="109"/>
      <c r="AB625" s="109"/>
      <c r="AC625" s="109"/>
      <c r="AD625" s="109"/>
      <c r="AE625" s="109" t="s">
        <v>13</v>
      </c>
      <c r="AF625" s="109"/>
      <c r="AG625" s="109" t="s">
        <v>2682</v>
      </c>
      <c r="AH625" s="109" t="s">
        <v>522</v>
      </c>
      <c r="AL625" s="2" t="s">
        <v>680</v>
      </c>
      <c r="AM625" s="2" t="s">
        <v>711</v>
      </c>
      <c r="AN625" s="2" t="s">
        <v>952</v>
      </c>
      <c r="AO625" s="2">
        <v>1</v>
      </c>
      <c r="AP625" s="2" t="s">
        <v>4469</v>
      </c>
      <c r="AQ625" s="2" t="s">
        <v>3194</v>
      </c>
      <c r="AR625" s="2" t="s">
        <v>4671</v>
      </c>
      <c r="AT625" s="765"/>
      <c r="AU625" s="765"/>
    </row>
    <row r="626" spans="1:47" x14ac:dyDescent="0.25">
      <c r="A626" s="765" t="s">
        <v>3446</v>
      </c>
      <c r="B626" s="108" t="s">
        <v>529</v>
      </c>
      <c r="C626" s="108" t="s">
        <v>3520</v>
      </c>
      <c r="D626" s="108" t="s">
        <v>530</v>
      </c>
      <c r="E626" s="108" t="s">
        <v>3521</v>
      </c>
      <c r="F626" s="114" t="s">
        <v>698</v>
      </c>
      <c r="G626" s="213" t="s">
        <v>3522</v>
      </c>
      <c r="H626" s="115" t="s">
        <v>3523</v>
      </c>
      <c r="I626" s="213">
        <v>25000000</v>
      </c>
      <c r="J626" s="109">
        <v>2.754</v>
      </c>
      <c r="K626" s="109" t="s">
        <v>695</v>
      </c>
      <c r="L626" s="109">
        <v>1</v>
      </c>
      <c r="M626" s="109">
        <v>0</v>
      </c>
      <c r="N626" s="109">
        <v>0</v>
      </c>
      <c r="O626" s="109">
        <v>0.51254999999999995</v>
      </c>
      <c r="P626" s="115">
        <v>6.1694000000000004</v>
      </c>
      <c r="Q626" s="771"/>
      <c r="R626" s="216"/>
      <c r="S626" s="216">
        <v>6.1694000000000004</v>
      </c>
      <c r="T626" s="216">
        <v>66</v>
      </c>
      <c r="U626" s="216"/>
      <c r="V626" s="765"/>
      <c r="W626" s="109">
        <v>250</v>
      </c>
      <c r="X626" s="109"/>
      <c r="Y626" s="109" t="s">
        <v>992</v>
      </c>
      <c r="Z626" s="109"/>
      <c r="AA626" s="109"/>
      <c r="AB626" s="109"/>
      <c r="AC626" s="109"/>
      <c r="AD626" s="109"/>
      <c r="AE626" s="109" t="s">
        <v>9</v>
      </c>
      <c r="AF626" s="109"/>
      <c r="AG626" s="109" t="s">
        <v>1064</v>
      </c>
      <c r="AH626" s="109"/>
      <c r="AL626" s="2" t="s">
        <v>680</v>
      </c>
      <c r="AM626" s="2" t="s">
        <v>711</v>
      </c>
      <c r="AN626" s="2" t="s">
        <v>952</v>
      </c>
      <c r="AO626" s="2">
        <v>1</v>
      </c>
      <c r="AP626" s="2" t="s">
        <v>3968</v>
      </c>
      <c r="AQ626" s="2" t="s">
        <v>3404</v>
      </c>
      <c r="AR626" s="2" t="s">
        <v>3969</v>
      </c>
      <c r="AT626" s="765"/>
      <c r="AU626" s="765"/>
    </row>
    <row r="627" spans="1:47" x14ac:dyDescent="0.25">
      <c r="A627" s="765" t="s">
        <v>3644</v>
      </c>
      <c r="B627" s="108" t="s">
        <v>529</v>
      </c>
      <c r="C627" s="108" t="s">
        <v>3520</v>
      </c>
      <c r="D627" s="108" t="s">
        <v>530</v>
      </c>
      <c r="E627" s="108" t="s">
        <v>3831</v>
      </c>
      <c r="F627" s="114" t="s">
        <v>698</v>
      </c>
      <c r="G627" s="213" t="s">
        <v>3522</v>
      </c>
      <c r="H627" s="115" t="s">
        <v>3523</v>
      </c>
      <c r="I627" s="213">
        <v>30500000</v>
      </c>
      <c r="J627" s="109">
        <v>4.7539999999999996</v>
      </c>
      <c r="K627" s="109" t="s">
        <v>695</v>
      </c>
      <c r="L627" s="109">
        <v>1</v>
      </c>
      <c r="M627" s="109">
        <v>0</v>
      </c>
      <c r="N627" s="109">
        <v>0</v>
      </c>
      <c r="O627" s="109">
        <v>0.884772</v>
      </c>
      <c r="P627" s="115">
        <v>6.5694999999999997</v>
      </c>
      <c r="Q627" s="771"/>
      <c r="R627" s="216"/>
      <c r="S627" s="216">
        <v>6.5694999999999997</v>
      </c>
      <c r="T627" s="216">
        <v>67</v>
      </c>
      <c r="U627" s="216"/>
      <c r="V627" s="765"/>
      <c r="W627" s="109">
        <v>450</v>
      </c>
      <c r="X627" s="109"/>
      <c r="Y627" s="109" t="s">
        <v>992</v>
      </c>
      <c r="Z627" s="109"/>
      <c r="AA627" s="109"/>
      <c r="AB627" s="109"/>
      <c r="AC627" s="109"/>
      <c r="AD627" s="109"/>
      <c r="AE627" s="109" t="s">
        <v>10</v>
      </c>
      <c r="AF627" s="109"/>
      <c r="AG627" s="109" t="s">
        <v>1901</v>
      </c>
      <c r="AH627" s="109"/>
      <c r="AL627" s="2" t="s">
        <v>680</v>
      </c>
      <c r="AM627" s="2" t="s">
        <v>711</v>
      </c>
      <c r="AN627" s="2" t="s">
        <v>952</v>
      </c>
      <c r="AO627" s="2">
        <v>1</v>
      </c>
      <c r="AP627" s="2" t="s">
        <v>3968</v>
      </c>
      <c r="AQ627" s="2" t="s">
        <v>3404</v>
      </c>
      <c r="AR627" s="2" t="s">
        <v>3969</v>
      </c>
      <c r="AT627" s="765"/>
      <c r="AU627" s="765"/>
    </row>
    <row r="628" spans="1:47" x14ac:dyDescent="0.25">
      <c r="A628" s="765" t="s">
        <v>3643</v>
      </c>
      <c r="B628" s="108" t="s">
        <v>529</v>
      </c>
      <c r="C628" s="108" t="s">
        <v>3520</v>
      </c>
      <c r="D628" s="108" t="s">
        <v>530</v>
      </c>
      <c r="E628" s="108" t="s">
        <v>3832</v>
      </c>
      <c r="F628" s="114" t="s">
        <v>698</v>
      </c>
      <c r="G628" s="213" t="s">
        <v>3833</v>
      </c>
      <c r="H628" s="115" t="s">
        <v>1576</v>
      </c>
      <c r="I628" s="213">
        <v>42000000</v>
      </c>
      <c r="J628" s="109">
        <v>2.3039999999999998</v>
      </c>
      <c r="K628" s="109" t="s">
        <v>695</v>
      </c>
      <c r="L628" s="109">
        <v>1</v>
      </c>
      <c r="M628" s="109">
        <v>0</v>
      </c>
      <c r="N628" s="109">
        <v>0</v>
      </c>
      <c r="O628" s="109">
        <v>0.42880000000000001</v>
      </c>
      <c r="P628" s="115">
        <v>3.1568999999999998</v>
      </c>
      <c r="Q628" s="771"/>
      <c r="R628" s="216"/>
      <c r="S628" s="216">
        <v>3.1568999999999998</v>
      </c>
      <c r="T628" s="216">
        <v>67</v>
      </c>
      <c r="U628" s="216"/>
      <c r="V628" s="765"/>
      <c r="W628" s="109">
        <v>205</v>
      </c>
      <c r="X628" s="109"/>
      <c r="Y628" s="109" t="s">
        <v>532</v>
      </c>
      <c r="Z628" s="109"/>
      <c r="AA628" s="109"/>
      <c r="AB628" s="109"/>
      <c r="AC628" s="109"/>
      <c r="AD628" s="109"/>
      <c r="AE628" s="109" t="s">
        <v>9</v>
      </c>
      <c r="AF628" s="109"/>
      <c r="AG628" s="109" t="s">
        <v>2425</v>
      </c>
      <c r="AH628" s="109"/>
      <c r="AL628" s="2" t="s">
        <v>680</v>
      </c>
      <c r="AM628" s="2" t="s">
        <v>711</v>
      </c>
      <c r="AN628" s="2" t="s">
        <v>952</v>
      </c>
      <c r="AO628" s="2">
        <v>1</v>
      </c>
      <c r="AP628" s="2" t="s">
        <v>4730</v>
      </c>
      <c r="AQ628" s="2" t="s">
        <v>3404</v>
      </c>
      <c r="AR628" s="2" t="s">
        <v>3969</v>
      </c>
      <c r="AT628" s="765"/>
      <c r="AU628" s="765"/>
    </row>
    <row r="629" spans="1:47" x14ac:dyDescent="0.25">
      <c r="A629" s="765" t="s">
        <v>2732</v>
      </c>
      <c r="B629" s="108" t="s">
        <v>2707</v>
      </c>
      <c r="C629" s="108" t="s">
        <v>2817</v>
      </c>
      <c r="D629" s="108" t="s">
        <v>2709</v>
      </c>
      <c r="E629" s="108" t="s">
        <v>2818</v>
      </c>
      <c r="F629" s="114" t="s">
        <v>698</v>
      </c>
      <c r="G629" s="213" t="s">
        <v>2819</v>
      </c>
      <c r="H629" s="115" t="s">
        <v>2592</v>
      </c>
      <c r="I629" s="213">
        <v>60599231.530000001</v>
      </c>
      <c r="J629" s="109">
        <v>1.9565699999999999</v>
      </c>
      <c r="K629" s="109" t="s">
        <v>695</v>
      </c>
      <c r="L629" s="109">
        <v>0.30543967509999997</v>
      </c>
      <c r="M629" s="109">
        <v>100.147537</v>
      </c>
      <c r="N629" s="109">
        <v>100.243782</v>
      </c>
      <c r="O629" s="109">
        <v>1.6305E-2</v>
      </c>
      <c r="P629" s="115">
        <v>2.9796</v>
      </c>
      <c r="Q629" s="771">
        <v>8.570720557E-2</v>
      </c>
      <c r="R629" s="216"/>
      <c r="S629" s="216">
        <v>8.570720557E-2</v>
      </c>
      <c r="T629" s="216">
        <v>3</v>
      </c>
      <c r="U629" s="216">
        <v>1.9019999999999999</v>
      </c>
      <c r="V629" s="765">
        <v>-68.302414389540004</v>
      </c>
      <c r="W629" s="109">
        <v>150</v>
      </c>
      <c r="X629" s="109">
        <v>139.25031319192999</v>
      </c>
      <c r="Y629" s="109" t="s">
        <v>531</v>
      </c>
      <c r="Z629" s="109"/>
      <c r="AA629" s="109"/>
      <c r="AB629" s="109"/>
      <c r="AC629" s="109"/>
      <c r="AD629" s="109"/>
      <c r="AE629" s="109" t="s">
        <v>7</v>
      </c>
      <c r="AF629" s="109" t="s">
        <v>7</v>
      </c>
      <c r="AG629" s="109"/>
      <c r="AH629" s="109" t="s">
        <v>9</v>
      </c>
      <c r="AL629" s="2" t="s">
        <v>680</v>
      </c>
      <c r="AM629" s="2" t="s">
        <v>2898</v>
      </c>
      <c r="AN629" s="2" t="s">
        <v>952</v>
      </c>
      <c r="AO629" s="2">
        <v>0.314067123</v>
      </c>
      <c r="AP629" s="2" t="s">
        <v>4637</v>
      </c>
      <c r="AQ629" s="2" t="s">
        <v>4067</v>
      </c>
      <c r="AR629" s="2" t="s">
        <v>4638</v>
      </c>
      <c r="AT629" s="765"/>
      <c r="AU629" s="765"/>
    </row>
    <row r="630" spans="1:47" x14ac:dyDescent="0.25">
      <c r="A630" s="765" t="s">
        <v>2131</v>
      </c>
      <c r="B630" s="108" t="s">
        <v>540</v>
      </c>
      <c r="C630" s="108" t="s">
        <v>2717</v>
      </c>
      <c r="D630" s="108" t="s">
        <v>541</v>
      </c>
      <c r="E630" s="108" t="s">
        <v>2717</v>
      </c>
      <c r="F630" s="114" t="s">
        <v>699</v>
      </c>
      <c r="G630" s="213" t="s">
        <v>2138</v>
      </c>
      <c r="H630" s="115" t="s">
        <v>2133</v>
      </c>
      <c r="I630" s="213">
        <v>60000000</v>
      </c>
      <c r="J630" s="109">
        <v>5.4</v>
      </c>
      <c r="K630" s="109" t="s">
        <v>696</v>
      </c>
      <c r="L630" s="109">
        <v>1</v>
      </c>
      <c r="M630" s="109">
        <v>102.896</v>
      </c>
      <c r="N630" s="109">
        <v>103.82250000000001</v>
      </c>
      <c r="O630" s="109">
        <v>0.40500000000000003</v>
      </c>
      <c r="P630" s="115"/>
      <c r="Q630" s="771">
        <v>3.1108726774167521</v>
      </c>
      <c r="R630" s="216">
        <v>3.0963292281377068</v>
      </c>
      <c r="S630" s="216">
        <v>3.1108726774167521</v>
      </c>
      <c r="T630" s="216">
        <v>27</v>
      </c>
      <c r="U630" s="216">
        <v>5.0888875319965106</v>
      </c>
      <c r="V630" s="765"/>
      <c r="W630" s="109">
        <v>531</v>
      </c>
      <c r="X630" s="109">
        <v>145.69734658064249</v>
      </c>
      <c r="Y630" s="109"/>
      <c r="Z630" s="109"/>
      <c r="AA630" s="109"/>
      <c r="AB630" s="109"/>
      <c r="AC630" s="109"/>
      <c r="AD630" s="109"/>
      <c r="AE630" s="109" t="s">
        <v>10</v>
      </c>
      <c r="AF630" s="109"/>
      <c r="AG630" s="109"/>
      <c r="AH630" s="109"/>
      <c r="AI630" s="2" t="s">
        <v>20</v>
      </c>
      <c r="AL630" s="2" t="s">
        <v>680</v>
      </c>
      <c r="AM630" s="2" t="s">
        <v>812</v>
      </c>
      <c r="AN630" s="2" t="s">
        <v>952</v>
      </c>
      <c r="AT630" s="765"/>
      <c r="AU630" s="765"/>
    </row>
    <row r="631" spans="1:47" x14ac:dyDescent="0.25">
      <c r="A631" s="765" t="s">
        <v>3058</v>
      </c>
      <c r="B631" s="108" t="s">
        <v>526</v>
      </c>
      <c r="C631" s="108" t="s">
        <v>3114</v>
      </c>
      <c r="D631" s="108" t="s">
        <v>3115</v>
      </c>
      <c r="E631" s="108" t="s">
        <v>3116</v>
      </c>
      <c r="F631" s="114" t="s">
        <v>698</v>
      </c>
      <c r="G631" s="213" t="s">
        <v>3117</v>
      </c>
      <c r="H631" s="115" t="s">
        <v>2211</v>
      </c>
      <c r="I631" s="213">
        <v>0</v>
      </c>
      <c r="J631" s="109">
        <v>5.25</v>
      </c>
      <c r="K631" s="109" t="s">
        <v>696</v>
      </c>
      <c r="L631" s="109">
        <v>0</v>
      </c>
      <c r="M631" s="109">
        <v>0</v>
      </c>
      <c r="N631" s="109">
        <v>0</v>
      </c>
      <c r="O631" s="109">
        <v>0</v>
      </c>
      <c r="P631" s="115">
        <v>6.7</v>
      </c>
      <c r="Q631" s="771"/>
      <c r="R631" s="216"/>
      <c r="S631" s="216">
        <v>6.7</v>
      </c>
      <c r="T631" s="216">
        <v>15</v>
      </c>
      <c r="U631" s="216"/>
      <c r="V631" s="765"/>
      <c r="W631" s="109"/>
      <c r="X631" s="109"/>
      <c r="Y631" s="109" t="s">
        <v>663</v>
      </c>
      <c r="Z631" s="109">
        <v>44.769046041795093</v>
      </c>
      <c r="AA631" s="109">
        <v>43.662875079764113</v>
      </c>
      <c r="AB631" s="109"/>
      <c r="AC631" s="109"/>
      <c r="AD631" s="109"/>
      <c r="AE631" s="109" t="s">
        <v>9</v>
      </c>
      <c r="AF631" s="109" t="s">
        <v>522</v>
      </c>
      <c r="AG631" s="109"/>
      <c r="AH631" s="109"/>
      <c r="AI631" s="2" t="s">
        <v>17</v>
      </c>
      <c r="AJ631" s="2" t="s">
        <v>522</v>
      </c>
      <c r="AL631" s="2" t="s">
        <v>680</v>
      </c>
      <c r="AM631" s="2" t="s">
        <v>710</v>
      </c>
      <c r="AN631" s="2" t="s">
        <v>952</v>
      </c>
      <c r="AO631" s="2">
        <v>1</v>
      </c>
      <c r="AP631" s="2" t="s">
        <v>4675</v>
      </c>
      <c r="AQ631" s="2" t="s">
        <v>3082</v>
      </c>
      <c r="AR631" s="2" t="s">
        <v>4671</v>
      </c>
      <c r="AT631" s="765"/>
      <c r="AU631" s="765"/>
    </row>
    <row r="632" spans="1:47" x14ac:dyDescent="0.25">
      <c r="A632" s="765" t="s">
        <v>3057</v>
      </c>
      <c r="B632" s="108" t="s">
        <v>526</v>
      </c>
      <c r="C632" s="108" t="s">
        <v>3114</v>
      </c>
      <c r="D632" s="108" t="s">
        <v>3115</v>
      </c>
      <c r="E632" s="108" t="s">
        <v>3118</v>
      </c>
      <c r="F632" s="114" t="s">
        <v>698</v>
      </c>
      <c r="G632" s="213" t="s">
        <v>3117</v>
      </c>
      <c r="H632" s="115" t="s">
        <v>2211</v>
      </c>
      <c r="I632" s="213">
        <v>0</v>
      </c>
      <c r="J632" s="109">
        <v>6.5</v>
      </c>
      <c r="K632" s="109" t="s">
        <v>696</v>
      </c>
      <c r="L632" s="109">
        <v>0</v>
      </c>
      <c r="M632" s="109">
        <v>0</v>
      </c>
      <c r="N632" s="109">
        <v>0</v>
      </c>
      <c r="O632" s="109">
        <v>0</v>
      </c>
      <c r="P632" s="115">
        <v>6.96</v>
      </c>
      <c r="Q632" s="771"/>
      <c r="R632" s="216"/>
      <c r="S632" s="216">
        <v>6.96</v>
      </c>
      <c r="T632" s="216">
        <v>15</v>
      </c>
      <c r="U632" s="216"/>
      <c r="V632" s="765"/>
      <c r="W632" s="109"/>
      <c r="X632" s="109"/>
      <c r="Y632" s="109" t="s">
        <v>663</v>
      </c>
      <c r="Z632" s="109">
        <v>44.769046041795093</v>
      </c>
      <c r="AA632" s="109">
        <v>43.662875079764113</v>
      </c>
      <c r="AB632" s="109"/>
      <c r="AC632" s="109"/>
      <c r="AD632" s="109"/>
      <c r="AE632" s="109" t="s">
        <v>10</v>
      </c>
      <c r="AF632" s="109" t="s">
        <v>522</v>
      </c>
      <c r="AG632" s="109"/>
      <c r="AH632" s="109"/>
      <c r="AI632" s="2" t="s">
        <v>19</v>
      </c>
      <c r="AJ632" s="2" t="s">
        <v>522</v>
      </c>
      <c r="AL632" s="2" t="s">
        <v>680</v>
      </c>
      <c r="AM632" s="2" t="s">
        <v>710</v>
      </c>
      <c r="AN632" s="2" t="s">
        <v>952</v>
      </c>
      <c r="AO632" s="2">
        <v>1</v>
      </c>
      <c r="AP632" s="2" t="s">
        <v>4675</v>
      </c>
      <c r="AQ632" s="2" t="s">
        <v>3082</v>
      </c>
      <c r="AR632" s="2" t="s">
        <v>4671</v>
      </c>
      <c r="AT632" s="765"/>
      <c r="AU632" s="765"/>
    </row>
    <row r="633" spans="1:47" x14ac:dyDescent="0.25">
      <c r="A633" s="765" t="s">
        <v>4889</v>
      </c>
      <c r="B633" s="108" t="s">
        <v>526</v>
      </c>
      <c r="C633" s="108" t="s">
        <v>4890</v>
      </c>
      <c r="D633" s="108" t="s">
        <v>5202</v>
      </c>
      <c r="E633" s="108" t="s">
        <v>4891</v>
      </c>
      <c r="F633" s="114" t="s">
        <v>698</v>
      </c>
      <c r="G633" s="213" t="s">
        <v>4954</v>
      </c>
      <c r="H633" s="115" t="s">
        <v>4955</v>
      </c>
      <c r="I633" s="213">
        <v>36709000</v>
      </c>
      <c r="J633" s="109">
        <v>2.1419999999999999</v>
      </c>
      <c r="K633" s="109" t="s">
        <v>695</v>
      </c>
      <c r="L633" s="109">
        <v>1</v>
      </c>
      <c r="M633" s="109">
        <v>99.417518999999999</v>
      </c>
      <c r="N633" s="109">
        <v>99.515304999999998</v>
      </c>
      <c r="O633" s="109">
        <v>6.5449999999999994E-2</v>
      </c>
      <c r="P633" s="115">
        <v>1.0471999999999999</v>
      </c>
      <c r="Q633" s="771">
        <v>5.6000000000000001E-2</v>
      </c>
      <c r="R633" s="216"/>
      <c r="S633" s="216">
        <v>5.6000000000000001E-2</v>
      </c>
      <c r="T633" s="216">
        <v>10</v>
      </c>
      <c r="U633" s="216">
        <v>2.7170000000000001</v>
      </c>
      <c r="V633" s="765">
        <v>100.9716684330657</v>
      </c>
      <c r="W633" s="109">
        <v>170</v>
      </c>
      <c r="X633" s="109">
        <v>233.4</v>
      </c>
      <c r="Y633" s="109" t="s">
        <v>1861</v>
      </c>
      <c r="Z633" s="109">
        <v>0</v>
      </c>
      <c r="AA633" s="109">
        <v>0</v>
      </c>
      <c r="AB633" s="109"/>
      <c r="AC633" s="109"/>
      <c r="AD633" s="109"/>
      <c r="AE633" s="109" t="s">
        <v>10</v>
      </c>
      <c r="AF633" s="109"/>
      <c r="AG633" s="109" t="s">
        <v>522</v>
      </c>
      <c r="AH633" s="109"/>
      <c r="AJ633" s="2" t="s">
        <v>1971</v>
      </c>
      <c r="AL633" s="2" t="s">
        <v>680</v>
      </c>
      <c r="AM633" s="2" t="s">
        <v>2895</v>
      </c>
      <c r="AN633" s="2" t="s">
        <v>952</v>
      </c>
      <c r="AO633" s="2">
        <v>1</v>
      </c>
      <c r="AP633" s="2" t="s">
        <v>4675</v>
      </c>
      <c r="AQ633" s="2" t="s">
        <v>4639</v>
      </c>
      <c r="AR633" s="2" t="s">
        <v>4793</v>
      </c>
      <c r="AT633" s="765"/>
      <c r="AU633" s="765"/>
    </row>
    <row r="634" spans="1:47" x14ac:dyDescent="0.25">
      <c r="A634" s="765" t="s">
        <v>3524</v>
      </c>
      <c r="B634" s="108" t="s">
        <v>538</v>
      </c>
      <c r="C634" s="108" t="s">
        <v>3525</v>
      </c>
      <c r="D634" s="108" t="s">
        <v>541</v>
      </c>
      <c r="E634" s="108" t="s">
        <v>3525</v>
      </c>
      <c r="F634" s="114" t="s">
        <v>699</v>
      </c>
      <c r="G634" s="213" t="s">
        <v>2441</v>
      </c>
      <c r="H634" s="115" t="s">
        <v>2471</v>
      </c>
      <c r="I634" s="213">
        <v>225000000</v>
      </c>
      <c r="J634" s="109">
        <v>3.875</v>
      </c>
      <c r="K634" s="109" t="s">
        <v>696</v>
      </c>
      <c r="L634" s="109">
        <v>1</v>
      </c>
      <c r="M634" s="109">
        <v>100.806</v>
      </c>
      <c r="N634" s="109">
        <v>101.5895</v>
      </c>
      <c r="O634" s="109">
        <v>1.582292</v>
      </c>
      <c r="P634" s="115"/>
      <c r="Q634" s="771">
        <v>3.293058963016084</v>
      </c>
      <c r="R634" s="216">
        <v>3.2768949243147718</v>
      </c>
      <c r="S634" s="216">
        <v>3.293058963016084</v>
      </c>
      <c r="T634" s="216">
        <v>147</v>
      </c>
      <c r="U634" s="216">
        <v>3.8199746656402711</v>
      </c>
      <c r="V634" s="765"/>
      <c r="W634" s="109">
        <v>369</v>
      </c>
      <c r="X634" s="109">
        <v>72.08960005341352</v>
      </c>
      <c r="Y634" s="109"/>
      <c r="Z634" s="109"/>
      <c r="AA634" s="109"/>
      <c r="AB634" s="109"/>
      <c r="AC634" s="109"/>
      <c r="AD634" s="109"/>
      <c r="AE634" s="109" t="s">
        <v>10</v>
      </c>
      <c r="AF634" s="109"/>
      <c r="AG634" s="109"/>
      <c r="AH634" s="109"/>
      <c r="AI634" s="2" t="s">
        <v>19</v>
      </c>
      <c r="AL634" s="2" t="s">
        <v>680</v>
      </c>
      <c r="AM634" s="2" t="s">
        <v>812</v>
      </c>
      <c r="AN634" s="2" t="s">
        <v>952</v>
      </c>
      <c r="AT634" s="765"/>
      <c r="AU634" s="765"/>
    </row>
    <row r="635" spans="1:47" x14ac:dyDescent="0.25">
      <c r="A635" s="765" t="s">
        <v>3048</v>
      </c>
      <c r="B635" s="108" t="s">
        <v>529</v>
      </c>
      <c r="C635" s="108" t="s">
        <v>3119</v>
      </c>
      <c r="D635" s="108" t="s">
        <v>530</v>
      </c>
      <c r="E635" s="108" t="s">
        <v>3120</v>
      </c>
      <c r="F635" s="114" t="s">
        <v>698</v>
      </c>
      <c r="G635" s="213" t="s">
        <v>1850</v>
      </c>
      <c r="H635" s="115" t="s">
        <v>3121</v>
      </c>
      <c r="I635" s="213">
        <v>48000000</v>
      </c>
      <c r="J635" s="109">
        <v>4.8384299999999998</v>
      </c>
      <c r="K635" s="109" t="s">
        <v>695</v>
      </c>
      <c r="L635" s="109">
        <v>1</v>
      </c>
      <c r="M635" s="109">
        <v>0</v>
      </c>
      <c r="N635" s="109">
        <v>0</v>
      </c>
      <c r="O635" s="109">
        <v>0.98112600000000005</v>
      </c>
      <c r="P635" s="115"/>
      <c r="Q635" s="771"/>
      <c r="R635" s="216"/>
      <c r="S635" s="216">
        <v>4.2958904109589042</v>
      </c>
      <c r="T635" s="216">
        <v>73</v>
      </c>
      <c r="U635" s="216"/>
      <c r="V635" s="765"/>
      <c r="W635" s="109">
        <v>460</v>
      </c>
      <c r="X635" s="109"/>
      <c r="Y635" s="109" t="s">
        <v>532</v>
      </c>
      <c r="Z635" s="109"/>
      <c r="AA635" s="109"/>
      <c r="AB635" s="109"/>
      <c r="AC635" s="109"/>
      <c r="AD635" s="109"/>
      <c r="AE635" s="109" t="s">
        <v>13</v>
      </c>
      <c r="AF635" s="109"/>
      <c r="AG635" s="109" t="s">
        <v>2796</v>
      </c>
      <c r="AH635" s="109" t="s">
        <v>522</v>
      </c>
      <c r="AL635" s="2" t="s">
        <v>680</v>
      </c>
      <c r="AM635" s="2" t="s">
        <v>711</v>
      </c>
      <c r="AN635" s="2" t="s">
        <v>952</v>
      </c>
      <c r="AO635" s="2">
        <v>1</v>
      </c>
      <c r="AP635" s="2" t="s">
        <v>4672</v>
      </c>
      <c r="AQ635" s="2" t="s">
        <v>3705</v>
      </c>
      <c r="AR635" s="2" t="s">
        <v>4675</v>
      </c>
      <c r="AT635" s="765"/>
      <c r="AU635" s="765"/>
    </row>
    <row r="636" spans="1:47" x14ac:dyDescent="0.25">
      <c r="A636" s="765" t="s">
        <v>5067</v>
      </c>
      <c r="B636" s="108" t="s">
        <v>529</v>
      </c>
      <c r="C636" s="108" t="s">
        <v>5203</v>
      </c>
      <c r="D636" s="108" t="s">
        <v>530</v>
      </c>
      <c r="E636" s="108" t="s">
        <v>5204</v>
      </c>
      <c r="F636" s="114" t="s">
        <v>698</v>
      </c>
      <c r="G636" s="213" t="s">
        <v>2581</v>
      </c>
      <c r="H636" s="115" t="s">
        <v>1963</v>
      </c>
      <c r="I636" s="213">
        <v>240000000</v>
      </c>
      <c r="J636" s="109">
        <v>1.3612899999999999</v>
      </c>
      <c r="K636" s="109" t="s">
        <v>695</v>
      </c>
      <c r="L636" s="109">
        <v>1</v>
      </c>
      <c r="M636" s="109">
        <v>0</v>
      </c>
      <c r="N636" s="109">
        <v>0</v>
      </c>
      <c r="O636" s="109">
        <v>0.26091399999999998</v>
      </c>
      <c r="P636" s="115">
        <v>4.9255000000000004</v>
      </c>
      <c r="Q636" s="771"/>
      <c r="R636" s="216"/>
      <c r="S636" s="216">
        <v>4.9255000000000004</v>
      </c>
      <c r="T636" s="216">
        <v>68</v>
      </c>
      <c r="U636" s="216"/>
      <c r="V636" s="765"/>
      <c r="W636" s="109">
        <v>112</v>
      </c>
      <c r="X636" s="109"/>
      <c r="Y636" s="109" t="s">
        <v>994</v>
      </c>
      <c r="Z636" s="109"/>
      <c r="AA636" s="109"/>
      <c r="AB636" s="109"/>
      <c r="AC636" s="109"/>
      <c r="AD636" s="109"/>
      <c r="AE636" s="109" t="s">
        <v>7</v>
      </c>
      <c r="AF636" s="109" t="s">
        <v>7</v>
      </c>
      <c r="AG636" s="109"/>
      <c r="AH636" s="109"/>
      <c r="AL636" s="2" t="s">
        <v>680</v>
      </c>
      <c r="AM636" s="2" t="s">
        <v>711</v>
      </c>
      <c r="AN636" s="2" t="s">
        <v>952</v>
      </c>
      <c r="AO636" s="2">
        <v>1</v>
      </c>
      <c r="AP636" s="2" t="s">
        <v>4675</v>
      </c>
      <c r="AQ636" s="2" t="s">
        <v>3194</v>
      </c>
      <c r="AR636" s="2" t="s">
        <v>4671</v>
      </c>
      <c r="AT636" s="765"/>
      <c r="AU636" s="765"/>
    </row>
    <row r="637" spans="1:47" x14ac:dyDescent="0.25">
      <c r="A637" s="765" t="s">
        <v>4573</v>
      </c>
      <c r="B637" s="108" t="s">
        <v>527</v>
      </c>
      <c r="C637" s="108" t="s">
        <v>4781</v>
      </c>
      <c r="D637" s="108" t="s">
        <v>4782</v>
      </c>
      <c r="E637" s="108" t="s">
        <v>4783</v>
      </c>
      <c r="F637" s="114" t="s">
        <v>694</v>
      </c>
      <c r="G637" s="213" t="s">
        <v>1818</v>
      </c>
      <c r="H637" s="115" t="s">
        <v>4784</v>
      </c>
      <c r="I637" s="213">
        <v>30000000</v>
      </c>
      <c r="J637" s="109">
        <v>3.8349329999999999</v>
      </c>
      <c r="K637" s="109" t="s">
        <v>696</v>
      </c>
      <c r="L637" s="109">
        <v>1</v>
      </c>
      <c r="M637" s="109">
        <v>97.197815000000006</v>
      </c>
      <c r="N637" s="109">
        <v>97.271113999999997</v>
      </c>
      <c r="O637" s="109">
        <v>0.28761999999999999</v>
      </c>
      <c r="P637" s="115">
        <v>2.5278</v>
      </c>
      <c r="Q637" s="771">
        <v>2.391</v>
      </c>
      <c r="R637" s="216"/>
      <c r="S637" s="216">
        <v>2.391</v>
      </c>
      <c r="T637" s="216">
        <v>27</v>
      </c>
      <c r="U637" s="216">
        <v>5.0890000000000004</v>
      </c>
      <c r="V637" s="765">
        <v>260.99730193797052</v>
      </c>
      <c r="W637" s="109"/>
      <c r="X637" s="109">
        <v>250.1</v>
      </c>
      <c r="Y637" s="109" t="s">
        <v>1874</v>
      </c>
      <c r="Z637" s="109">
        <v>0</v>
      </c>
      <c r="AA637" s="109">
        <v>0</v>
      </c>
      <c r="AB637" s="109"/>
      <c r="AC637" s="109"/>
      <c r="AD637" s="109"/>
      <c r="AE637" s="109" t="s">
        <v>10</v>
      </c>
      <c r="AF637" s="109"/>
      <c r="AG637" s="109" t="s">
        <v>1735</v>
      </c>
      <c r="AH637" s="109"/>
      <c r="AJ637" s="2" t="s">
        <v>10</v>
      </c>
      <c r="AL637" s="2" t="s">
        <v>680</v>
      </c>
      <c r="AM637" s="2" t="s">
        <v>2976</v>
      </c>
      <c r="AN637" s="2" t="s">
        <v>952</v>
      </c>
      <c r="AO637" s="2">
        <v>1</v>
      </c>
      <c r="AP637" s="2" t="s">
        <v>4673</v>
      </c>
      <c r="AQ637" s="2" t="s">
        <v>5106</v>
      </c>
      <c r="AR637" s="2" t="s">
        <v>4787</v>
      </c>
      <c r="AT637" s="765"/>
      <c r="AU637" s="765"/>
    </row>
    <row r="638" spans="1:47" x14ac:dyDescent="0.25">
      <c r="A638" s="765" t="s">
        <v>3630</v>
      </c>
      <c r="B638" s="108" t="s">
        <v>529</v>
      </c>
      <c r="C638" s="108" t="s">
        <v>2198</v>
      </c>
      <c r="D638" s="108" t="s">
        <v>1683</v>
      </c>
      <c r="E638" s="108" t="s">
        <v>3834</v>
      </c>
      <c r="F638" s="114" t="s">
        <v>698</v>
      </c>
      <c r="G638" s="213" t="s">
        <v>2199</v>
      </c>
      <c r="H638" s="115" t="s">
        <v>2200</v>
      </c>
      <c r="I638" s="213">
        <v>50751000</v>
      </c>
      <c r="J638" s="109">
        <v>2.6144799999999999</v>
      </c>
      <c r="K638" s="109" t="s">
        <v>695</v>
      </c>
      <c r="L638" s="109">
        <v>1</v>
      </c>
      <c r="M638" s="109">
        <v>0</v>
      </c>
      <c r="N638" s="109">
        <v>0</v>
      </c>
      <c r="O638" s="109">
        <v>7.9887E-2</v>
      </c>
      <c r="P638" s="115">
        <v>0.74280000000000002</v>
      </c>
      <c r="Q638" s="771"/>
      <c r="R638" s="216"/>
      <c r="S638" s="216">
        <v>0.74280000000000002</v>
      </c>
      <c r="T638" s="216">
        <v>10</v>
      </c>
      <c r="U638" s="216"/>
      <c r="V638" s="765"/>
      <c r="W638" s="109">
        <v>256.44799999999998</v>
      </c>
      <c r="X638" s="109"/>
      <c r="Y638" s="109" t="s">
        <v>532</v>
      </c>
      <c r="Z638" s="109"/>
      <c r="AA638" s="109"/>
      <c r="AB638" s="109"/>
      <c r="AC638" s="109"/>
      <c r="AD638" s="109"/>
      <c r="AE638" s="109" t="s">
        <v>10</v>
      </c>
      <c r="AF638" s="109"/>
      <c r="AG638" s="109" t="s">
        <v>522</v>
      </c>
      <c r="AH638" s="109"/>
      <c r="AJ638" s="2" t="s">
        <v>1544</v>
      </c>
      <c r="AL638" s="2" t="s">
        <v>680</v>
      </c>
      <c r="AM638" s="2" t="s">
        <v>1656</v>
      </c>
      <c r="AN638" s="2" t="s">
        <v>952</v>
      </c>
      <c r="AO638" s="2">
        <v>1</v>
      </c>
      <c r="AP638" s="2" t="s">
        <v>4671</v>
      </c>
      <c r="AQ638" s="2" t="s">
        <v>4639</v>
      </c>
      <c r="AR638" s="2" t="s">
        <v>4671</v>
      </c>
      <c r="AT638" s="765"/>
      <c r="AU638" s="765"/>
    </row>
    <row r="639" spans="1:47" x14ac:dyDescent="0.25">
      <c r="A639" s="765" t="s">
        <v>3432</v>
      </c>
      <c r="B639" s="108" t="s">
        <v>529</v>
      </c>
      <c r="C639" s="108" t="s">
        <v>2198</v>
      </c>
      <c r="D639" s="108" t="s">
        <v>1683</v>
      </c>
      <c r="E639" s="108" t="s">
        <v>3433</v>
      </c>
      <c r="F639" s="114" t="s">
        <v>698</v>
      </c>
      <c r="G639" s="213" t="s">
        <v>2199</v>
      </c>
      <c r="H639" s="115" t="s">
        <v>2200</v>
      </c>
      <c r="I639" s="213">
        <v>43062000</v>
      </c>
      <c r="J639" s="109">
        <v>2.8644799999999999</v>
      </c>
      <c r="K639" s="109" t="s">
        <v>695</v>
      </c>
      <c r="L639" s="109">
        <v>1</v>
      </c>
      <c r="M639" s="109">
        <v>0</v>
      </c>
      <c r="N639" s="109">
        <v>0</v>
      </c>
      <c r="O639" s="109">
        <v>8.7526000000000007E-2</v>
      </c>
      <c r="P639" s="115">
        <v>0.79169999999999996</v>
      </c>
      <c r="Q639" s="771"/>
      <c r="R639" s="216"/>
      <c r="S639" s="216">
        <v>0.79169999999999996</v>
      </c>
      <c r="T639" s="216">
        <v>10</v>
      </c>
      <c r="U639" s="216"/>
      <c r="V639" s="765"/>
      <c r="W639" s="109">
        <v>281.44799999999998</v>
      </c>
      <c r="X639" s="109"/>
      <c r="Y639" s="109" t="s">
        <v>532</v>
      </c>
      <c r="Z639" s="109"/>
      <c r="AA639" s="109"/>
      <c r="AB639" s="109"/>
      <c r="AC639" s="109"/>
      <c r="AD639" s="109"/>
      <c r="AE639" s="109" t="s">
        <v>10</v>
      </c>
      <c r="AF639" s="109"/>
      <c r="AG639" s="109" t="s">
        <v>522</v>
      </c>
      <c r="AH639" s="109"/>
      <c r="AJ639" s="2" t="s">
        <v>1971</v>
      </c>
      <c r="AL639" s="2" t="s">
        <v>680</v>
      </c>
      <c r="AM639" s="2" t="s">
        <v>1656</v>
      </c>
      <c r="AN639" s="2" t="s">
        <v>952</v>
      </c>
      <c r="AO639" s="2">
        <v>1</v>
      </c>
      <c r="AP639" s="2" t="s">
        <v>4671</v>
      </c>
      <c r="AQ639" s="2" t="s">
        <v>4639</v>
      </c>
      <c r="AR639" s="2" t="s">
        <v>4671</v>
      </c>
      <c r="AT639" s="765"/>
      <c r="AU639" s="765"/>
    </row>
    <row r="640" spans="1:47" x14ac:dyDescent="0.25">
      <c r="A640" s="765" t="s">
        <v>2108</v>
      </c>
      <c r="B640" s="108" t="s">
        <v>529</v>
      </c>
      <c r="C640" s="108" t="s">
        <v>862</v>
      </c>
      <c r="D640" s="108" t="s">
        <v>530</v>
      </c>
      <c r="E640" s="108" t="s">
        <v>2109</v>
      </c>
      <c r="F640" s="114" t="s">
        <v>698</v>
      </c>
      <c r="G640" s="213" t="s">
        <v>2110</v>
      </c>
      <c r="H640" s="115" t="s">
        <v>2111</v>
      </c>
      <c r="I640" s="213">
        <v>30300000</v>
      </c>
      <c r="J640" s="109">
        <v>3.9912899999999998</v>
      </c>
      <c r="K640" s="109" t="s">
        <v>695</v>
      </c>
      <c r="L640" s="109">
        <v>1</v>
      </c>
      <c r="M640" s="109">
        <v>0</v>
      </c>
      <c r="N640" s="109">
        <v>0</v>
      </c>
      <c r="O640" s="109">
        <v>0.76499700000000004</v>
      </c>
      <c r="P640" s="115">
        <v>2.5076999999999998</v>
      </c>
      <c r="Q640" s="771"/>
      <c r="R640" s="216"/>
      <c r="S640" s="216">
        <v>2.5076999999999998</v>
      </c>
      <c r="T640" s="216">
        <v>68</v>
      </c>
      <c r="U640" s="216"/>
      <c r="V640" s="765"/>
      <c r="W640" s="109">
        <v>375</v>
      </c>
      <c r="X640" s="109"/>
      <c r="Y640" s="109" t="s">
        <v>993</v>
      </c>
      <c r="Z640" s="109"/>
      <c r="AA640" s="109"/>
      <c r="AB640" s="109"/>
      <c r="AC640" s="109"/>
      <c r="AD640" s="109"/>
      <c r="AE640" s="109" t="s">
        <v>9</v>
      </c>
      <c r="AF640" s="109"/>
      <c r="AG640" s="109" t="s">
        <v>1064</v>
      </c>
      <c r="AH640" s="109" t="s">
        <v>522</v>
      </c>
      <c r="AL640" s="2" t="s">
        <v>680</v>
      </c>
      <c r="AM640" s="2" t="s">
        <v>711</v>
      </c>
      <c r="AN640" s="2" t="s">
        <v>952</v>
      </c>
      <c r="AO640" s="2">
        <v>1</v>
      </c>
      <c r="AP640" s="2" t="s">
        <v>4665</v>
      </c>
      <c r="AQ640" s="2" t="s">
        <v>3194</v>
      </c>
      <c r="AR640" s="2" t="s">
        <v>4661</v>
      </c>
      <c r="AT640" s="765"/>
      <c r="AU640" s="765"/>
    </row>
    <row r="641" spans="1:47" x14ac:dyDescent="0.25">
      <c r="A641" s="765" t="s">
        <v>1854</v>
      </c>
      <c r="B641" s="108" t="s">
        <v>529</v>
      </c>
      <c r="C641" s="108" t="s">
        <v>862</v>
      </c>
      <c r="D641" s="108" t="s">
        <v>530</v>
      </c>
      <c r="E641" s="108" t="s">
        <v>1855</v>
      </c>
      <c r="F641" s="114" t="s">
        <v>698</v>
      </c>
      <c r="G641" s="213" t="s">
        <v>1110</v>
      </c>
      <c r="H641" s="115" t="s">
        <v>1856</v>
      </c>
      <c r="I641" s="213">
        <v>22000000</v>
      </c>
      <c r="J641" s="109">
        <v>2.8412899999999999</v>
      </c>
      <c r="K641" s="109" t="s">
        <v>695</v>
      </c>
      <c r="L641" s="109">
        <v>1</v>
      </c>
      <c r="M641" s="109">
        <v>0</v>
      </c>
      <c r="N641" s="109">
        <v>0</v>
      </c>
      <c r="O641" s="109">
        <v>0.54458099999999998</v>
      </c>
      <c r="P641" s="115">
        <v>0.88180000000000003</v>
      </c>
      <c r="Q641" s="771"/>
      <c r="R641" s="216"/>
      <c r="S641" s="216">
        <v>0.88180000000000003</v>
      </c>
      <c r="T641" s="216">
        <v>68</v>
      </c>
      <c r="U641" s="216"/>
      <c r="V641" s="765"/>
      <c r="W641" s="109">
        <v>260</v>
      </c>
      <c r="X641" s="109"/>
      <c r="Y641" s="109" t="s">
        <v>992</v>
      </c>
      <c r="Z641" s="109"/>
      <c r="AA641" s="109"/>
      <c r="AB641" s="109"/>
      <c r="AC641" s="109"/>
      <c r="AD641" s="109"/>
      <c r="AE641" s="109" t="s">
        <v>8</v>
      </c>
      <c r="AF641" s="109" t="s">
        <v>16</v>
      </c>
      <c r="AG641" s="109" t="s">
        <v>522</v>
      </c>
      <c r="AH641" s="109"/>
      <c r="AL641" s="2" t="s">
        <v>680</v>
      </c>
      <c r="AM641" s="2" t="s">
        <v>711</v>
      </c>
      <c r="AN641" s="2" t="s">
        <v>952</v>
      </c>
      <c r="AO641" s="2">
        <v>1</v>
      </c>
      <c r="AP641" s="2" t="s">
        <v>4468</v>
      </c>
      <c r="AQ641" s="2" t="s">
        <v>3194</v>
      </c>
      <c r="AR641" s="2" t="s">
        <v>4661</v>
      </c>
      <c r="AT641" s="765"/>
      <c r="AU641" s="765"/>
    </row>
    <row r="642" spans="1:47" x14ac:dyDescent="0.25">
      <c r="A642" s="765" t="s">
        <v>2828</v>
      </c>
      <c r="B642" s="108" t="s">
        <v>529</v>
      </c>
      <c r="C642" s="108" t="s">
        <v>862</v>
      </c>
      <c r="D642" s="108" t="s">
        <v>530</v>
      </c>
      <c r="E642" s="108" t="s">
        <v>2829</v>
      </c>
      <c r="F642" s="114" t="s">
        <v>698</v>
      </c>
      <c r="G642" s="213" t="s">
        <v>1110</v>
      </c>
      <c r="H642" s="115" t="s">
        <v>1856</v>
      </c>
      <c r="I642" s="213">
        <v>20500000</v>
      </c>
      <c r="J642" s="109">
        <v>3.94129</v>
      </c>
      <c r="K642" s="109" t="s">
        <v>695</v>
      </c>
      <c r="L642" s="109">
        <v>1</v>
      </c>
      <c r="M642" s="109">
        <v>0</v>
      </c>
      <c r="N642" s="109">
        <v>0</v>
      </c>
      <c r="O642" s="109">
        <v>0.75541400000000003</v>
      </c>
      <c r="P642" s="115">
        <v>1.978</v>
      </c>
      <c r="Q642" s="771"/>
      <c r="R642" s="216"/>
      <c r="S642" s="216">
        <v>1.978</v>
      </c>
      <c r="T642" s="216">
        <v>69</v>
      </c>
      <c r="U642" s="216"/>
      <c r="V642" s="765"/>
      <c r="W642" s="109">
        <v>370</v>
      </c>
      <c r="X642" s="109"/>
      <c r="Y642" s="109" t="s">
        <v>992</v>
      </c>
      <c r="Z642" s="109"/>
      <c r="AA642" s="109"/>
      <c r="AB642" s="109"/>
      <c r="AC642" s="109"/>
      <c r="AD642" s="109"/>
      <c r="AE642" s="109" t="s">
        <v>13</v>
      </c>
      <c r="AF642" s="109" t="s">
        <v>13</v>
      </c>
      <c r="AG642" s="109" t="s">
        <v>522</v>
      </c>
      <c r="AH642" s="109"/>
      <c r="AL642" s="2" t="s">
        <v>680</v>
      </c>
      <c r="AM642" s="2" t="s">
        <v>711</v>
      </c>
      <c r="AN642" s="2" t="s">
        <v>952</v>
      </c>
      <c r="AO642" s="2">
        <v>1</v>
      </c>
      <c r="AP642" s="2" t="s">
        <v>4468</v>
      </c>
      <c r="AQ642" s="2" t="s">
        <v>3194</v>
      </c>
      <c r="AR642" s="2" t="s">
        <v>4661</v>
      </c>
      <c r="AT642" s="765"/>
      <c r="AU642" s="765"/>
    </row>
    <row r="643" spans="1:47" x14ac:dyDescent="0.25">
      <c r="A643" s="765" t="s">
        <v>2499</v>
      </c>
      <c r="B643" s="108" t="s">
        <v>526</v>
      </c>
      <c r="C643" s="108" t="s">
        <v>2500</v>
      </c>
      <c r="D643" s="108" t="s">
        <v>2501</v>
      </c>
      <c r="E643" s="108" t="s">
        <v>2502</v>
      </c>
      <c r="F643" s="114" t="s">
        <v>698</v>
      </c>
      <c r="G643" s="213" t="s">
        <v>2503</v>
      </c>
      <c r="H643" s="115" t="s">
        <v>1775</v>
      </c>
      <c r="I643" s="213">
        <v>28350000</v>
      </c>
      <c r="J643" s="109">
        <v>3.95</v>
      </c>
      <c r="K643" s="109" t="s">
        <v>696</v>
      </c>
      <c r="L643" s="109">
        <v>1</v>
      </c>
      <c r="M643" s="109">
        <v>100.399727</v>
      </c>
      <c r="N643" s="109">
        <v>100.412487</v>
      </c>
      <c r="O643" s="109">
        <v>0.14263899999999999</v>
      </c>
      <c r="P643" s="115">
        <v>0.35830000000000001</v>
      </c>
      <c r="Q643" s="771">
        <v>0.35647523047000002</v>
      </c>
      <c r="R643" s="216"/>
      <c r="S643" s="216">
        <v>0.35647523047000002</v>
      </c>
      <c r="T643" s="216">
        <v>13</v>
      </c>
      <c r="U643" s="216">
        <v>2.8420000000000001</v>
      </c>
      <c r="V643" s="765">
        <v>207.79088645548001</v>
      </c>
      <c r="W643" s="109"/>
      <c r="X643" s="109">
        <v>179.75045468379</v>
      </c>
      <c r="Y643" s="109" t="s">
        <v>663</v>
      </c>
      <c r="Z643" s="109"/>
      <c r="AA643" s="109"/>
      <c r="AB643" s="109"/>
      <c r="AC643" s="109"/>
      <c r="AD643" s="109"/>
      <c r="AE643" s="109" t="s">
        <v>9</v>
      </c>
      <c r="AF643" s="109"/>
      <c r="AG643" s="109"/>
      <c r="AH643" s="109"/>
      <c r="AI643" s="2" t="s">
        <v>18</v>
      </c>
      <c r="AL643" s="2" t="s">
        <v>680</v>
      </c>
      <c r="AM643" s="2" t="s">
        <v>2900</v>
      </c>
      <c r="AN643" s="2" t="s">
        <v>952</v>
      </c>
      <c r="AO643" s="2">
        <v>1</v>
      </c>
      <c r="AP643" s="2" t="s">
        <v>4675</v>
      </c>
      <c r="AQ643" s="2" t="s">
        <v>4396</v>
      </c>
      <c r="AR643" s="2" t="s">
        <v>4671</v>
      </c>
      <c r="AT643" s="765"/>
      <c r="AU643" s="765"/>
    </row>
    <row r="644" spans="1:47" x14ac:dyDescent="0.25">
      <c r="A644" s="765" t="s">
        <v>1937</v>
      </c>
      <c r="B644" s="108" t="s">
        <v>528</v>
      </c>
      <c r="C644" s="108" t="s">
        <v>1938</v>
      </c>
      <c r="D644" s="108" t="s">
        <v>2390</v>
      </c>
      <c r="E644" s="108" t="s">
        <v>1939</v>
      </c>
      <c r="F644" s="114" t="s">
        <v>694</v>
      </c>
      <c r="G644" s="213" t="s">
        <v>1926</v>
      </c>
      <c r="H644" s="115" t="s">
        <v>1907</v>
      </c>
      <c r="I644" s="109">
        <v>3239855.45</v>
      </c>
      <c r="J644" s="109">
        <v>4.1842350000000001</v>
      </c>
      <c r="K644" s="109" t="s">
        <v>696</v>
      </c>
      <c r="L644" s="109">
        <v>0.92146059300000005</v>
      </c>
      <c r="M644" s="109">
        <v>100.49334</v>
      </c>
      <c r="N644" s="109">
        <v>100.632347</v>
      </c>
      <c r="O644" s="109">
        <v>0.31381799999999999</v>
      </c>
      <c r="P644" s="115">
        <v>0.23549999999999999</v>
      </c>
      <c r="Q644" s="771">
        <v>5.0461892921100002</v>
      </c>
      <c r="R644" s="216"/>
      <c r="S644" s="216">
        <v>5.0461892921100002</v>
      </c>
      <c r="T644" s="216">
        <v>27</v>
      </c>
      <c r="U644" s="216">
        <v>3.5739999999999998</v>
      </c>
      <c r="V644" s="765">
        <v>35.634518673510001</v>
      </c>
      <c r="W644" s="109"/>
      <c r="X644" s="109">
        <v>104.64736258606</v>
      </c>
      <c r="Y644" s="109" t="s">
        <v>1874</v>
      </c>
      <c r="Z644" s="109">
        <v>67.798593048992615</v>
      </c>
      <c r="AA644" s="109">
        <v>41.956013067853327</v>
      </c>
      <c r="AB644" s="109" t="s">
        <v>238</v>
      </c>
      <c r="AC644" s="109" t="s">
        <v>4981</v>
      </c>
      <c r="AD644" s="109" t="s">
        <v>251</v>
      </c>
      <c r="AE644" s="109" t="s">
        <v>8</v>
      </c>
      <c r="AF644" s="109"/>
      <c r="AG644" s="109" t="s">
        <v>1063</v>
      </c>
      <c r="AH644" s="109"/>
      <c r="AJ644" s="2" t="s">
        <v>10</v>
      </c>
      <c r="AL644" s="2" t="s">
        <v>680</v>
      </c>
      <c r="AM644" s="2" t="s">
        <v>709</v>
      </c>
      <c r="AN644" s="2" t="s">
        <v>952</v>
      </c>
      <c r="AO644" s="2">
        <v>0.92336598299999995</v>
      </c>
      <c r="AP644" s="2" t="s">
        <v>4673</v>
      </c>
      <c r="AQ644" s="2" t="s">
        <v>4469</v>
      </c>
      <c r="AR644" s="2" t="s">
        <v>4638</v>
      </c>
      <c r="AT644" s="765"/>
      <c r="AU644" s="765"/>
    </row>
    <row r="645" spans="1:47" x14ac:dyDescent="0.25">
      <c r="A645" s="765" t="s">
        <v>728</v>
      </c>
      <c r="B645" s="108" t="s">
        <v>528</v>
      </c>
      <c r="C645" s="108" t="s">
        <v>1539</v>
      </c>
      <c r="D645" s="108" t="s">
        <v>5205</v>
      </c>
      <c r="E645" s="108" t="s">
        <v>729</v>
      </c>
      <c r="F645" s="114" t="s">
        <v>694</v>
      </c>
      <c r="G645" s="213" t="s">
        <v>1128</v>
      </c>
      <c r="H645" s="115" t="s">
        <v>1540</v>
      </c>
      <c r="I645" s="109">
        <v>171691439.03</v>
      </c>
      <c r="J645" s="109">
        <v>2.75</v>
      </c>
      <c r="K645" s="109" t="s">
        <v>696</v>
      </c>
      <c r="L645" s="109">
        <v>0.1264237661</v>
      </c>
      <c r="M645" s="109">
        <v>0</v>
      </c>
      <c r="N645" s="109">
        <v>0</v>
      </c>
      <c r="O645" s="109">
        <v>0.20624999999999999</v>
      </c>
      <c r="P645" s="115">
        <v>0.42670000000000002</v>
      </c>
      <c r="Q645" s="771"/>
      <c r="R645" s="216"/>
      <c r="S645" s="216">
        <v>0.42670000000000002</v>
      </c>
      <c r="T645" s="216">
        <v>26</v>
      </c>
      <c r="U645" s="216"/>
      <c r="V645" s="765"/>
      <c r="W645" s="109"/>
      <c r="X645" s="109"/>
      <c r="Y645" s="109" t="s">
        <v>730</v>
      </c>
      <c r="Z645" s="109">
        <v>19.329961791557938</v>
      </c>
      <c r="AA645" s="109">
        <v>17.73526237450557</v>
      </c>
      <c r="AB645" s="109" t="s">
        <v>2712</v>
      </c>
      <c r="AC645" s="109" t="s">
        <v>1802</v>
      </c>
      <c r="AD645" s="109" t="s">
        <v>2714</v>
      </c>
      <c r="AE645" s="109" t="s">
        <v>7</v>
      </c>
      <c r="AF645" s="109"/>
      <c r="AG645" s="109" t="s">
        <v>1062</v>
      </c>
      <c r="AH645" s="109" t="s">
        <v>7</v>
      </c>
      <c r="AJ645" s="2" t="s">
        <v>7</v>
      </c>
      <c r="AL645" s="2" t="s">
        <v>680</v>
      </c>
      <c r="AM645" s="2" t="s">
        <v>709</v>
      </c>
      <c r="AN645" s="2" t="s">
        <v>952</v>
      </c>
      <c r="AO645" s="2">
        <v>0.14009301599999999</v>
      </c>
      <c r="AP645" s="2" t="s">
        <v>4673</v>
      </c>
      <c r="AQ645" s="2" t="s">
        <v>4469</v>
      </c>
      <c r="AR645" s="2" t="s">
        <v>4638</v>
      </c>
      <c r="AT645" s="765"/>
      <c r="AU645" s="765"/>
    </row>
    <row r="646" spans="1:47" x14ac:dyDescent="0.25">
      <c r="A646" s="765" t="s">
        <v>685</v>
      </c>
      <c r="B646" s="108" t="s">
        <v>528</v>
      </c>
      <c r="C646" s="108" t="s">
        <v>1539</v>
      </c>
      <c r="D646" s="108" t="s">
        <v>2390</v>
      </c>
      <c r="E646" s="108" t="s">
        <v>702</v>
      </c>
      <c r="F646" s="114" t="s">
        <v>694</v>
      </c>
      <c r="G646" s="213" t="s">
        <v>1124</v>
      </c>
      <c r="H646" s="115" t="s">
        <v>1541</v>
      </c>
      <c r="I646" s="109">
        <v>44713000</v>
      </c>
      <c r="J646" s="109">
        <v>3.25</v>
      </c>
      <c r="K646" s="109" t="s">
        <v>696</v>
      </c>
      <c r="L646" s="109">
        <v>1</v>
      </c>
      <c r="M646" s="109">
        <v>0</v>
      </c>
      <c r="N646" s="109">
        <v>0</v>
      </c>
      <c r="O646" s="109">
        <v>0.24374999999999999</v>
      </c>
      <c r="P646" s="115">
        <v>1.9228000000000001</v>
      </c>
      <c r="Q646" s="771"/>
      <c r="R646" s="216"/>
      <c r="S646" s="216">
        <v>1.9228000000000001</v>
      </c>
      <c r="T646" s="216">
        <v>26</v>
      </c>
      <c r="U646" s="216"/>
      <c r="V646" s="765"/>
      <c r="W646" s="109"/>
      <c r="X646" s="109"/>
      <c r="Y646" s="109" t="s">
        <v>1542</v>
      </c>
      <c r="Z646" s="109">
        <v>20.128823160762082</v>
      </c>
      <c r="AA646" s="109">
        <v>16.223792980840461</v>
      </c>
      <c r="AB646" s="109" t="s">
        <v>240</v>
      </c>
      <c r="AC646" s="109" t="s">
        <v>830</v>
      </c>
      <c r="AD646" s="109" t="s">
        <v>1940</v>
      </c>
      <c r="AE646" s="109" t="s">
        <v>7</v>
      </c>
      <c r="AF646" s="109"/>
      <c r="AG646" s="109" t="s">
        <v>1062</v>
      </c>
      <c r="AH646" s="109" t="s">
        <v>7</v>
      </c>
      <c r="AJ646" s="2" t="s">
        <v>1543</v>
      </c>
      <c r="AL646" s="2" t="s">
        <v>680</v>
      </c>
      <c r="AM646" s="2" t="s">
        <v>709</v>
      </c>
      <c r="AN646" s="2" t="s">
        <v>952</v>
      </c>
      <c r="AO646" s="2">
        <v>1</v>
      </c>
      <c r="AP646" s="2" t="s">
        <v>4673</v>
      </c>
      <c r="AQ646" s="2" t="s">
        <v>4469</v>
      </c>
      <c r="AR646" s="2" t="s">
        <v>4638</v>
      </c>
      <c r="AT646" s="765"/>
      <c r="AU646" s="765"/>
    </row>
    <row r="647" spans="1:47" x14ac:dyDescent="0.25">
      <c r="A647" s="765" t="s">
        <v>686</v>
      </c>
      <c r="B647" s="108" t="s">
        <v>528</v>
      </c>
      <c r="C647" s="108" t="s">
        <v>1539</v>
      </c>
      <c r="D647" s="108" t="s">
        <v>2390</v>
      </c>
      <c r="E647" s="108" t="s">
        <v>703</v>
      </c>
      <c r="F647" s="114" t="s">
        <v>694</v>
      </c>
      <c r="G647" s="213" t="s">
        <v>1124</v>
      </c>
      <c r="H647" s="115" t="s">
        <v>1541</v>
      </c>
      <c r="I647" s="109">
        <v>34932000</v>
      </c>
      <c r="J647" s="109">
        <v>3.5</v>
      </c>
      <c r="K647" s="109" t="s">
        <v>696</v>
      </c>
      <c r="L647" s="109">
        <v>1</v>
      </c>
      <c r="M647" s="109">
        <v>0</v>
      </c>
      <c r="N647" s="109">
        <v>0</v>
      </c>
      <c r="O647" s="109">
        <v>0.26250000000000001</v>
      </c>
      <c r="P647" s="115">
        <v>2.6217000000000001</v>
      </c>
      <c r="Q647" s="771"/>
      <c r="R647" s="216"/>
      <c r="S647" s="216">
        <v>2.6217000000000001</v>
      </c>
      <c r="T647" s="216">
        <v>27</v>
      </c>
      <c r="U647" s="216"/>
      <c r="V647" s="765"/>
      <c r="W647" s="109"/>
      <c r="X647" s="109"/>
      <c r="Y647" s="109" t="s">
        <v>687</v>
      </c>
      <c r="Z647" s="109">
        <v>20.128823160762082</v>
      </c>
      <c r="AA647" s="109">
        <v>16.223792980840461</v>
      </c>
      <c r="AB647" s="109" t="s">
        <v>240</v>
      </c>
      <c r="AC647" s="109" t="s">
        <v>830</v>
      </c>
      <c r="AD647" s="109" t="s">
        <v>1940</v>
      </c>
      <c r="AE647" s="109" t="s">
        <v>7</v>
      </c>
      <c r="AF647" s="109"/>
      <c r="AG647" s="109" t="s">
        <v>1062</v>
      </c>
      <c r="AH647" s="109" t="s">
        <v>8</v>
      </c>
      <c r="AJ647" s="2" t="s">
        <v>2085</v>
      </c>
      <c r="AL647" s="2" t="s">
        <v>680</v>
      </c>
      <c r="AM647" s="2" t="s">
        <v>709</v>
      </c>
      <c r="AN647" s="2" t="s">
        <v>952</v>
      </c>
      <c r="AO647" s="2">
        <v>1</v>
      </c>
      <c r="AP647" s="2" t="s">
        <v>4673</v>
      </c>
      <c r="AQ647" s="2" t="s">
        <v>4469</v>
      </c>
      <c r="AR647" s="2" t="s">
        <v>4638</v>
      </c>
      <c r="AT647" s="765"/>
      <c r="AU647" s="765"/>
    </row>
    <row r="648" spans="1:47" x14ac:dyDescent="0.25">
      <c r="A648" s="765" t="s">
        <v>688</v>
      </c>
      <c r="B648" s="108" t="s">
        <v>528</v>
      </c>
      <c r="C648" s="108" t="s">
        <v>1539</v>
      </c>
      <c r="D648" s="108" t="s">
        <v>2390</v>
      </c>
      <c r="E648" s="108" t="s">
        <v>704</v>
      </c>
      <c r="F648" s="114" t="s">
        <v>694</v>
      </c>
      <c r="G648" s="213" t="s">
        <v>1124</v>
      </c>
      <c r="H648" s="115" t="s">
        <v>1541</v>
      </c>
      <c r="I648" s="109">
        <v>34932000</v>
      </c>
      <c r="J648" s="109">
        <v>3.75</v>
      </c>
      <c r="K648" s="109" t="s">
        <v>696</v>
      </c>
      <c r="L648" s="109">
        <v>1</v>
      </c>
      <c r="M648" s="109">
        <v>0</v>
      </c>
      <c r="N648" s="109">
        <v>0</v>
      </c>
      <c r="O648" s="109">
        <v>0.28125</v>
      </c>
      <c r="P648" s="115">
        <v>3.3574999999999999</v>
      </c>
      <c r="Q648" s="771"/>
      <c r="R648" s="216"/>
      <c r="S648" s="216">
        <v>3.3574999999999999</v>
      </c>
      <c r="T648" s="216">
        <v>27</v>
      </c>
      <c r="U648" s="216"/>
      <c r="V648" s="765"/>
      <c r="W648" s="109"/>
      <c r="X648" s="109"/>
      <c r="Y648" s="109" t="s">
        <v>687</v>
      </c>
      <c r="Z648" s="109">
        <v>20.128823160762082</v>
      </c>
      <c r="AA648" s="109">
        <v>16.223792980840461</v>
      </c>
      <c r="AB648" s="109" t="s">
        <v>240</v>
      </c>
      <c r="AC648" s="109" t="s">
        <v>830</v>
      </c>
      <c r="AD648" s="109" t="s">
        <v>1940</v>
      </c>
      <c r="AE648" s="109" t="s">
        <v>8</v>
      </c>
      <c r="AF648" s="109"/>
      <c r="AG648" s="109" t="s">
        <v>1063</v>
      </c>
      <c r="AH648" s="109" t="s">
        <v>9</v>
      </c>
      <c r="AJ648" s="2" t="s">
        <v>9</v>
      </c>
      <c r="AL648" s="2" t="s">
        <v>680</v>
      </c>
      <c r="AM648" s="2" t="s">
        <v>709</v>
      </c>
      <c r="AN648" s="2" t="s">
        <v>952</v>
      </c>
      <c r="AO648" s="2">
        <v>1</v>
      </c>
      <c r="AP648" s="2" t="s">
        <v>4673</v>
      </c>
      <c r="AQ648" s="2" t="s">
        <v>4469</v>
      </c>
      <c r="AR648" s="2" t="s">
        <v>4638</v>
      </c>
      <c r="AT648" s="765"/>
      <c r="AU648" s="765"/>
    </row>
    <row r="649" spans="1:47" x14ac:dyDescent="0.25">
      <c r="A649" s="765" t="s">
        <v>723</v>
      </c>
      <c r="B649" s="108" t="s">
        <v>528</v>
      </c>
      <c r="C649" s="108" t="s">
        <v>1539</v>
      </c>
      <c r="D649" s="108" t="s">
        <v>2390</v>
      </c>
      <c r="E649" s="108" t="s">
        <v>722</v>
      </c>
      <c r="F649" s="114" t="s">
        <v>694</v>
      </c>
      <c r="G649" s="213" t="s">
        <v>1124</v>
      </c>
      <c r="H649" s="115" t="s">
        <v>1541</v>
      </c>
      <c r="I649" s="109">
        <v>20959000</v>
      </c>
      <c r="J649" s="109">
        <v>3.7184879999999998</v>
      </c>
      <c r="K649" s="109" t="s">
        <v>696</v>
      </c>
      <c r="L649" s="109">
        <v>1</v>
      </c>
      <c r="M649" s="109">
        <v>0</v>
      </c>
      <c r="N649" s="109">
        <v>0</v>
      </c>
      <c r="O649" s="109">
        <v>0.278887</v>
      </c>
      <c r="P649" s="115">
        <v>4.0590999999999999</v>
      </c>
      <c r="Q649" s="771"/>
      <c r="R649" s="216"/>
      <c r="S649" s="216">
        <v>4.0590999999999999</v>
      </c>
      <c r="T649" s="216">
        <v>27</v>
      </c>
      <c r="U649" s="216"/>
      <c r="V649" s="765"/>
      <c r="W649" s="109"/>
      <c r="X649" s="109"/>
      <c r="Y649" s="109" t="s">
        <v>730</v>
      </c>
      <c r="Z649" s="109">
        <v>20.128823160762082</v>
      </c>
      <c r="AA649" s="109">
        <v>16.223792980840461</v>
      </c>
      <c r="AB649" s="109" t="s">
        <v>240</v>
      </c>
      <c r="AC649" s="109" t="s">
        <v>830</v>
      </c>
      <c r="AD649" s="109" t="s">
        <v>1940</v>
      </c>
      <c r="AE649" s="109" t="s">
        <v>9</v>
      </c>
      <c r="AF649" s="109"/>
      <c r="AG649" s="109" t="s">
        <v>1064</v>
      </c>
      <c r="AH649" s="109" t="s">
        <v>10</v>
      </c>
      <c r="AJ649" s="2" t="s">
        <v>10</v>
      </c>
      <c r="AL649" s="2" t="s">
        <v>680</v>
      </c>
      <c r="AM649" s="2" t="s">
        <v>709</v>
      </c>
      <c r="AN649" s="2" t="s">
        <v>952</v>
      </c>
      <c r="AO649" s="2">
        <v>1</v>
      </c>
      <c r="AP649" s="2" t="s">
        <v>4673</v>
      </c>
      <c r="AQ649" s="2" t="s">
        <v>4469</v>
      </c>
      <c r="AR649" s="2" t="s">
        <v>4638</v>
      </c>
      <c r="AT649" s="765"/>
      <c r="AU649" s="765"/>
    </row>
    <row r="650" spans="1:47" x14ac:dyDescent="0.25">
      <c r="A650" s="765" t="s">
        <v>1701</v>
      </c>
      <c r="B650" s="108" t="s">
        <v>538</v>
      </c>
      <c r="C650" s="108" t="s">
        <v>1702</v>
      </c>
      <c r="D650" s="108" t="s">
        <v>541</v>
      </c>
      <c r="E650" s="108" t="s">
        <v>1702</v>
      </c>
      <c r="F650" s="114" t="s">
        <v>699</v>
      </c>
      <c r="G650" s="213" t="s">
        <v>1703</v>
      </c>
      <c r="H650" s="115" t="s">
        <v>1704</v>
      </c>
      <c r="I650" s="109">
        <v>39500000</v>
      </c>
      <c r="J650" s="109">
        <v>4.875</v>
      </c>
      <c r="K650" s="109" t="s">
        <v>696</v>
      </c>
      <c r="L650" s="109">
        <v>1</v>
      </c>
      <c r="M650" s="109">
        <v>0</v>
      </c>
      <c r="N650" s="109">
        <v>0</v>
      </c>
      <c r="O650" s="109">
        <v>1.6385419999999999</v>
      </c>
      <c r="P650" s="115"/>
      <c r="Q650" s="771"/>
      <c r="R650" s="216"/>
      <c r="S650" s="216">
        <v>7.6712328767123283</v>
      </c>
      <c r="T650" s="216">
        <v>121</v>
      </c>
      <c r="U650" s="216"/>
      <c r="V650" s="765"/>
      <c r="W650" s="109">
        <v>359.161</v>
      </c>
      <c r="X650" s="109"/>
      <c r="Y650" s="109"/>
      <c r="Z650" s="109"/>
      <c r="AA650" s="109"/>
      <c r="AB650" s="109"/>
      <c r="AC650" s="109"/>
      <c r="AD650" s="109"/>
      <c r="AE650" s="109" t="s">
        <v>9</v>
      </c>
      <c r="AF650" s="109"/>
      <c r="AG650" s="109"/>
      <c r="AH650" s="109"/>
      <c r="AI650" s="2" t="s">
        <v>1066</v>
      </c>
      <c r="AK650" s="2" t="s">
        <v>18</v>
      </c>
      <c r="AL650" s="2" t="s">
        <v>680</v>
      </c>
      <c r="AM650" s="2" t="s">
        <v>812</v>
      </c>
      <c r="AN650" s="2" t="s">
        <v>952</v>
      </c>
      <c r="AT650" s="765"/>
      <c r="AU650" s="765"/>
    </row>
    <row r="651" spans="1:47" s="765" customFormat="1" x14ac:dyDescent="0.25">
      <c r="A651" s="765" t="s">
        <v>3590</v>
      </c>
      <c r="B651" s="108" t="s">
        <v>528</v>
      </c>
      <c r="C651" s="108" t="s">
        <v>3835</v>
      </c>
      <c r="D651" s="108" t="s">
        <v>3688</v>
      </c>
      <c r="E651" s="108" t="s">
        <v>3836</v>
      </c>
      <c r="F651" s="114" t="s">
        <v>694</v>
      </c>
      <c r="G651" s="213" t="s">
        <v>3222</v>
      </c>
      <c r="H651" s="115" t="s">
        <v>3478</v>
      </c>
      <c r="I651" s="109">
        <v>29674838.039999999</v>
      </c>
      <c r="J651" s="109">
        <v>2.5</v>
      </c>
      <c r="K651" s="109" t="s">
        <v>696</v>
      </c>
      <c r="L651" s="109">
        <v>0.94169960779999995</v>
      </c>
      <c r="M651" s="109">
        <v>90.324119999999994</v>
      </c>
      <c r="N651" s="109">
        <v>90.349117000000007</v>
      </c>
      <c r="O651" s="109">
        <v>0.1875</v>
      </c>
      <c r="P651" s="115">
        <v>7.9187000000000003</v>
      </c>
      <c r="Q651" s="771">
        <v>9.0014724087100006</v>
      </c>
      <c r="R651" s="216"/>
      <c r="S651" s="216">
        <v>9.0014724087100006</v>
      </c>
      <c r="T651" s="216">
        <v>26</v>
      </c>
      <c r="U651" s="216">
        <v>4.0739999999999998</v>
      </c>
      <c r="V651" s="765">
        <v>152.17879283529999</v>
      </c>
      <c r="W651" s="109"/>
      <c r="X651" s="109">
        <v>113.49666450517</v>
      </c>
      <c r="Y651" s="109" t="s">
        <v>2039</v>
      </c>
      <c r="Z651" s="109">
        <v>7.5142366837623316</v>
      </c>
      <c r="AA651" s="109">
        <v>6.9257583899651749</v>
      </c>
      <c r="AB651" s="109" t="s">
        <v>3837</v>
      </c>
      <c r="AC651" s="109" t="s">
        <v>3502</v>
      </c>
      <c r="AD651" s="109" t="s">
        <v>1752</v>
      </c>
      <c r="AE651" s="109" t="s">
        <v>7</v>
      </c>
      <c r="AF651" s="109"/>
      <c r="AG651" s="109" t="s">
        <v>1628</v>
      </c>
      <c r="AH651" s="109"/>
      <c r="AI651" s="765" t="s">
        <v>7</v>
      </c>
      <c r="AL651" s="765" t="s">
        <v>680</v>
      </c>
      <c r="AM651" s="765" t="s">
        <v>709</v>
      </c>
      <c r="AN651" s="765" t="s">
        <v>952</v>
      </c>
      <c r="AO651" s="765">
        <v>0.94995800600000002</v>
      </c>
      <c r="AP651" s="765" t="s">
        <v>4673</v>
      </c>
      <c r="AQ651" s="765" t="s">
        <v>4469</v>
      </c>
      <c r="AR651" s="765" t="s">
        <v>4638</v>
      </c>
    </row>
    <row r="652" spans="1:47" x14ac:dyDescent="0.25">
      <c r="A652" s="765" t="s">
        <v>1054</v>
      </c>
      <c r="B652" s="108" t="s">
        <v>538</v>
      </c>
      <c r="C652" s="108" t="s">
        <v>1055</v>
      </c>
      <c r="D652" s="108" t="s">
        <v>539</v>
      </c>
      <c r="E652" s="108" t="s">
        <v>1055</v>
      </c>
      <c r="F652" s="114" t="s">
        <v>699</v>
      </c>
      <c r="G652" s="213" t="s">
        <v>1056</v>
      </c>
      <c r="H652" s="115" t="s">
        <v>657</v>
      </c>
      <c r="I652" s="109">
        <v>150000000</v>
      </c>
      <c r="J652" s="109">
        <v>6.25</v>
      </c>
      <c r="K652" s="109" t="s">
        <v>696</v>
      </c>
      <c r="L652" s="109">
        <v>1</v>
      </c>
      <c r="M652" s="109">
        <v>98.537000000000006</v>
      </c>
      <c r="N652" s="109">
        <v>99.016499999999994</v>
      </c>
      <c r="O652" s="109">
        <v>1.7881940000000001</v>
      </c>
      <c r="P652" s="115"/>
      <c r="Q652" s="771">
        <v>4.6074341645688728</v>
      </c>
      <c r="R652" s="216">
        <v>4.6472535340379206</v>
      </c>
      <c r="S652" s="216">
        <v>4.6074341645688728</v>
      </c>
      <c r="T652" s="216">
        <v>102</v>
      </c>
      <c r="U652" s="216">
        <v>6.5587777793458661</v>
      </c>
      <c r="V652" s="765"/>
      <c r="W652" s="109"/>
      <c r="X652" s="109">
        <v>374.2848590822752</v>
      </c>
      <c r="Y652" s="109"/>
      <c r="Z652" s="109"/>
      <c r="AA652" s="109"/>
      <c r="AB652" s="109"/>
      <c r="AC652" s="109"/>
      <c r="AD652" s="109"/>
      <c r="AE652" s="109" t="s">
        <v>10</v>
      </c>
      <c r="AF652" s="109"/>
      <c r="AG652" s="109"/>
      <c r="AH652" s="109"/>
      <c r="AI652" s="2" t="s">
        <v>20</v>
      </c>
      <c r="AL652" s="2" t="s">
        <v>680</v>
      </c>
      <c r="AM652" s="2" t="s">
        <v>811</v>
      </c>
      <c r="AN652" s="2" t="s">
        <v>952</v>
      </c>
      <c r="AT652" s="765"/>
      <c r="AU652" s="765"/>
    </row>
    <row r="653" spans="1:47" x14ac:dyDescent="0.25">
      <c r="A653" s="765" t="s">
        <v>665</v>
      </c>
      <c r="B653" s="108" t="s">
        <v>159</v>
      </c>
      <c r="C653" s="108" t="s">
        <v>160</v>
      </c>
      <c r="D653" s="108" t="s">
        <v>161</v>
      </c>
      <c r="E653" s="108" t="s">
        <v>160</v>
      </c>
      <c r="F653" s="114" t="s">
        <v>697</v>
      </c>
      <c r="G653" s="213" t="s">
        <v>1545</v>
      </c>
      <c r="H653" s="115" t="s">
        <v>1546</v>
      </c>
      <c r="I653" s="109">
        <v>0</v>
      </c>
      <c r="J653" s="109">
        <v>2.25</v>
      </c>
      <c r="K653" s="109" t="s">
        <v>696</v>
      </c>
      <c r="L653" s="109">
        <v>1</v>
      </c>
      <c r="M653" s="109">
        <v>0</v>
      </c>
      <c r="N653" s="109">
        <v>0</v>
      </c>
      <c r="O653" s="109">
        <v>0</v>
      </c>
      <c r="P653" s="115"/>
      <c r="Q653" s="771"/>
      <c r="R653" s="216"/>
      <c r="S653" s="216">
        <v>-1.9945205479452059</v>
      </c>
      <c r="T653" s="216">
        <v>0</v>
      </c>
      <c r="U653" s="216"/>
      <c r="V653" s="765"/>
      <c r="W653" s="109"/>
      <c r="X653" s="109"/>
      <c r="Y653" s="109"/>
      <c r="Z653" s="109"/>
      <c r="AA653" s="109"/>
      <c r="AB653" s="109"/>
      <c r="AC653" s="109"/>
      <c r="AD653" s="109"/>
      <c r="AE653" s="109" t="s">
        <v>625</v>
      </c>
      <c r="AF653" s="109"/>
      <c r="AG653" s="109" t="s">
        <v>1066</v>
      </c>
      <c r="AH653" s="109" t="s">
        <v>522</v>
      </c>
      <c r="AJ653" s="2" t="s">
        <v>7</v>
      </c>
      <c r="AL653" s="2" t="s">
        <v>679</v>
      </c>
      <c r="AM653" s="2" t="s">
        <v>809</v>
      </c>
      <c r="AN653" s="2" t="s">
        <v>952</v>
      </c>
      <c r="AT653" s="765"/>
      <c r="AU653" s="765"/>
    </row>
    <row r="654" spans="1:47" x14ac:dyDescent="0.25">
      <c r="A654" s="765" t="s">
        <v>3284</v>
      </c>
      <c r="B654" s="108" t="s">
        <v>159</v>
      </c>
      <c r="C654" s="108" t="s">
        <v>3377</v>
      </c>
      <c r="D654" s="108"/>
      <c r="E654" s="108" t="s">
        <v>3377</v>
      </c>
      <c r="F654" s="114" t="s">
        <v>697</v>
      </c>
      <c r="G654" s="213" t="s">
        <v>1548</v>
      </c>
      <c r="H654" s="115" t="s">
        <v>3267</v>
      </c>
      <c r="I654" s="109">
        <v>39802000000</v>
      </c>
      <c r="J654" s="109">
        <v>0.25</v>
      </c>
      <c r="K654" s="109" t="s">
        <v>696</v>
      </c>
      <c r="L654" s="109">
        <v>1</v>
      </c>
      <c r="M654" s="109">
        <v>106.632812</v>
      </c>
      <c r="N654" s="109">
        <v>106.734375</v>
      </c>
      <c r="O654" s="109">
        <v>4.9723999999999997E-2</v>
      </c>
      <c r="P654" s="115"/>
      <c r="Q654" s="771">
        <v>7.1623284899407587</v>
      </c>
      <c r="R654" s="216">
        <v>3.627045560163201</v>
      </c>
      <c r="S654" s="216">
        <v>7.1623284899407587</v>
      </c>
      <c r="T654" s="216">
        <v>72</v>
      </c>
      <c r="U654" s="216">
        <v>-0.63641519035199734</v>
      </c>
      <c r="V654" s="765"/>
      <c r="W654" s="109"/>
      <c r="X654" s="109">
        <v>33.039214374388727</v>
      </c>
      <c r="Y654" s="109"/>
      <c r="Z654" s="109"/>
      <c r="AA654" s="109"/>
      <c r="AB654" s="109"/>
      <c r="AC654" s="109"/>
      <c r="AD654" s="109"/>
      <c r="AE654" s="109" t="s">
        <v>625</v>
      </c>
      <c r="AF654" s="109"/>
      <c r="AG654" s="109" t="s">
        <v>1062</v>
      </c>
      <c r="AH654" s="109" t="s">
        <v>1061</v>
      </c>
      <c r="AJ654" s="2" t="s">
        <v>1061</v>
      </c>
      <c r="AL654" s="2" t="s">
        <v>679</v>
      </c>
      <c r="AM654" s="2" t="s">
        <v>1953</v>
      </c>
      <c r="AN654" s="2" t="s">
        <v>952</v>
      </c>
      <c r="AT654" s="765"/>
      <c r="AU654" s="765"/>
    </row>
    <row r="655" spans="1:47" x14ac:dyDescent="0.25">
      <c r="A655" s="765" t="s">
        <v>1547</v>
      </c>
      <c r="B655" s="108" t="s">
        <v>159</v>
      </c>
      <c r="C655" s="108" t="s">
        <v>160</v>
      </c>
      <c r="D655" s="108" t="s">
        <v>161</v>
      </c>
      <c r="E655" s="108" t="s">
        <v>160</v>
      </c>
      <c r="F655" s="114" t="s">
        <v>697</v>
      </c>
      <c r="G655" s="213" t="s">
        <v>1548</v>
      </c>
      <c r="H655" s="115" t="s">
        <v>1549</v>
      </c>
      <c r="I655" s="109">
        <v>0</v>
      </c>
      <c r="J655" s="109">
        <v>1.75</v>
      </c>
      <c r="K655" s="109" t="s">
        <v>696</v>
      </c>
      <c r="L655" s="109">
        <v>1</v>
      </c>
      <c r="M655" s="109">
        <v>0</v>
      </c>
      <c r="N655" s="109">
        <v>0</v>
      </c>
      <c r="O655" s="109">
        <v>0</v>
      </c>
      <c r="P655" s="115"/>
      <c r="Q655" s="771"/>
      <c r="R655" s="216"/>
      <c r="S655" s="216">
        <v>-0.66027397260273968</v>
      </c>
      <c r="T655" s="216">
        <v>0</v>
      </c>
      <c r="U655" s="216"/>
      <c r="V655" s="765"/>
      <c r="W655" s="109"/>
      <c r="X655" s="109"/>
      <c r="Y655" s="109"/>
      <c r="Z655" s="109"/>
      <c r="AA655" s="109"/>
      <c r="AB655" s="109"/>
      <c r="AC655" s="109"/>
      <c r="AD655" s="109"/>
      <c r="AE655" s="109" t="s">
        <v>625</v>
      </c>
      <c r="AF655" s="109"/>
      <c r="AG655" s="109" t="s">
        <v>1066</v>
      </c>
      <c r="AH655" s="109" t="s">
        <v>522</v>
      </c>
      <c r="AJ655" s="2" t="s">
        <v>1061</v>
      </c>
      <c r="AL655" s="2" t="s">
        <v>679</v>
      </c>
      <c r="AM655" s="2" t="s">
        <v>809</v>
      </c>
      <c r="AN655" s="2" t="s">
        <v>952</v>
      </c>
      <c r="AT655" s="765"/>
      <c r="AU655" s="765"/>
    </row>
    <row r="656" spans="1:47" x14ac:dyDescent="0.25">
      <c r="A656" s="765" t="s">
        <v>1019</v>
      </c>
      <c r="B656" s="108" t="s">
        <v>159</v>
      </c>
      <c r="C656" s="108" t="s">
        <v>160</v>
      </c>
      <c r="D656" s="108" t="s">
        <v>161</v>
      </c>
      <c r="E656" s="108" t="s">
        <v>160</v>
      </c>
      <c r="F656" s="114" t="s">
        <v>697</v>
      </c>
      <c r="G656" s="213" t="s">
        <v>1550</v>
      </c>
      <c r="H656" s="115" t="s">
        <v>1551</v>
      </c>
      <c r="I656" s="109">
        <v>0</v>
      </c>
      <c r="J656" s="109">
        <v>1.125</v>
      </c>
      <c r="K656" s="109" t="s">
        <v>696</v>
      </c>
      <c r="L656" s="109">
        <v>1</v>
      </c>
      <c r="M656" s="109">
        <v>0</v>
      </c>
      <c r="N656" s="109">
        <v>0</v>
      </c>
      <c r="O656" s="109">
        <v>0</v>
      </c>
      <c r="P656" s="115"/>
      <c r="Q656" s="771"/>
      <c r="R656" s="216"/>
      <c r="S656" s="216">
        <v>-1.079452054794521</v>
      </c>
      <c r="T656" s="216">
        <v>0</v>
      </c>
      <c r="U656" s="216"/>
      <c r="V656" s="765"/>
      <c r="W656" s="109"/>
      <c r="X656" s="109"/>
      <c r="Y656" s="109"/>
      <c r="Z656" s="109"/>
      <c r="AA656" s="109"/>
      <c r="AB656" s="109"/>
      <c r="AC656" s="109"/>
      <c r="AD656" s="109"/>
      <c r="AE656" s="109" t="s">
        <v>625</v>
      </c>
      <c r="AF656" s="109"/>
      <c r="AG656" s="109" t="s">
        <v>1066</v>
      </c>
      <c r="AH656" s="109" t="s">
        <v>522</v>
      </c>
      <c r="AJ656" s="2" t="s">
        <v>1061</v>
      </c>
      <c r="AL656" s="2" t="s">
        <v>679</v>
      </c>
      <c r="AM656" s="2" t="s">
        <v>809</v>
      </c>
      <c r="AN656" s="2" t="s">
        <v>952</v>
      </c>
      <c r="AT656" s="765"/>
      <c r="AU656" s="765"/>
    </row>
    <row r="657" spans="1:79" x14ac:dyDescent="0.25">
      <c r="A657" s="765" t="s">
        <v>4579</v>
      </c>
      <c r="B657" s="108" t="s">
        <v>159</v>
      </c>
      <c r="C657" s="108" t="s">
        <v>160</v>
      </c>
      <c r="D657" s="108" t="s">
        <v>161</v>
      </c>
      <c r="E657" s="108" t="s">
        <v>160</v>
      </c>
      <c r="F657" s="114" t="s">
        <v>697</v>
      </c>
      <c r="G657" s="213" t="s">
        <v>1314</v>
      </c>
      <c r="H657" s="115" t="s">
        <v>4785</v>
      </c>
      <c r="I657" s="109">
        <v>31819000000</v>
      </c>
      <c r="J657" s="109">
        <v>2</v>
      </c>
      <c r="K657" s="109" t="s">
        <v>696</v>
      </c>
      <c r="L657" s="109">
        <v>1</v>
      </c>
      <c r="M657" s="109">
        <v>99.101562000000001</v>
      </c>
      <c r="N657" s="109">
        <v>99.144531000000001</v>
      </c>
      <c r="O657" s="109">
        <v>0.81767999999999996</v>
      </c>
      <c r="P657" s="115"/>
      <c r="Q657" s="771">
        <v>2.0249946009890931</v>
      </c>
      <c r="R657" s="216">
        <v>2.0146826521194812</v>
      </c>
      <c r="S657" s="216">
        <v>2.0249946009890931</v>
      </c>
      <c r="T657" s="216">
        <v>148</v>
      </c>
      <c r="U657" s="216">
        <v>2.4434589415441752</v>
      </c>
      <c r="V657" s="765"/>
      <c r="W657" s="109"/>
      <c r="X657" s="109">
        <v>-1.238397824615834</v>
      </c>
      <c r="Y657" s="109"/>
      <c r="Z657" s="109"/>
      <c r="AA657" s="109"/>
      <c r="AB657" s="109"/>
      <c r="AC657" s="109"/>
      <c r="AD657" s="109"/>
      <c r="AE657" s="109" t="s">
        <v>625</v>
      </c>
      <c r="AF657" s="109"/>
      <c r="AG657" s="109" t="s">
        <v>1062</v>
      </c>
      <c r="AH657" s="109" t="s">
        <v>1061</v>
      </c>
      <c r="AJ657" s="2" t="s">
        <v>1061</v>
      </c>
      <c r="AL657" s="2" t="s">
        <v>679</v>
      </c>
      <c r="AM657" s="2" t="s">
        <v>1953</v>
      </c>
      <c r="AN657" s="2" t="s">
        <v>952</v>
      </c>
      <c r="AT657" s="765"/>
      <c r="AU657" s="765"/>
    </row>
    <row r="658" spans="1:79" x14ac:dyDescent="0.25">
      <c r="A658" s="765" t="s">
        <v>1552</v>
      </c>
      <c r="B658" s="108" t="s">
        <v>159</v>
      </c>
      <c r="C658" s="108" t="s">
        <v>160</v>
      </c>
      <c r="D658" s="108" t="s">
        <v>161</v>
      </c>
      <c r="E658" s="108" t="s">
        <v>160</v>
      </c>
      <c r="F658" s="114" t="s">
        <v>697</v>
      </c>
      <c r="G658" s="213" t="s">
        <v>1548</v>
      </c>
      <c r="H658" s="115" t="s">
        <v>1553</v>
      </c>
      <c r="I658" s="109">
        <v>33271000000</v>
      </c>
      <c r="J658" s="109">
        <v>1.875</v>
      </c>
      <c r="K658" s="109" t="s">
        <v>696</v>
      </c>
      <c r="L658" s="109">
        <v>1</v>
      </c>
      <c r="M658" s="109">
        <v>96.882812000000001</v>
      </c>
      <c r="N658" s="109">
        <v>96.910156000000001</v>
      </c>
      <c r="O658" s="109">
        <v>0.29005500000000001</v>
      </c>
      <c r="P658" s="115"/>
      <c r="Q658" s="771">
        <v>4.1334584055034318</v>
      </c>
      <c r="R658" s="216">
        <v>4.1213595939246073</v>
      </c>
      <c r="S658" s="216">
        <v>4.1334584055034318</v>
      </c>
      <c r="T658" s="216">
        <v>55</v>
      </c>
      <c r="U658" s="216">
        <v>2.6391403703705749</v>
      </c>
      <c r="V658" s="765"/>
      <c r="W658" s="109"/>
      <c r="X658" s="109">
        <v>3.3918973711253901</v>
      </c>
      <c r="Y658" s="109"/>
      <c r="Z658" s="109"/>
      <c r="AA658" s="109"/>
      <c r="AB658" s="109"/>
      <c r="AC658" s="109"/>
      <c r="AD658" s="109"/>
      <c r="AE658" s="109" t="s">
        <v>625</v>
      </c>
      <c r="AF658" s="109"/>
      <c r="AG658" s="109" t="s">
        <v>1062</v>
      </c>
      <c r="AH658" s="109" t="s">
        <v>1061</v>
      </c>
      <c r="AJ658" s="2" t="s">
        <v>1061</v>
      </c>
      <c r="AL658" s="2" t="s">
        <v>679</v>
      </c>
      <c r="AM658" s="2" t="s">
        <v>809</v>
      </c>
      <c r="AN658" s="2" t="s">
        <v>952</v>
      </c>
      <c r="AT658" s="765"/>
      <c r="AU658" s="765"/>
    </row>
    <row r="659" spans="1:79" x14ac:dyDescent="0.25">
      <c r="A659" s="765" t="s">
        <v>3526</v>
      </c>
      <c r="B659" s="108" t="s">
        <v>526</v>
      </c>
      <c r="C659" s="108" t="s">
        <v>2910</v>
      </c>
      <c r="D659" s="108" t="s">
        <v>2899</v>
      </c>
      <c r="E659" s="108" t="s">
        <v>3527</v>
      </c>
      <c r="F659" s="114" t="s">
        <v>698</v>
      </c>
      <c r="G659" s="213" t="s">
        <v>3528</v>
      </c>
      <c r="H659" s="115" t="s">
        <v>3529</v>
      </c>
      <c r="I659" s="109">
        <v>10299454.75</v>
      </c>
      <c r="J659" s="109">
        <v>6.548</v>
      </c>
      <c r="K659" s="109" t="s">
        <v>696</v>
      </c>
      <c r="L659" s="109">
        <v>0.42775374820000001</v>
      </c>
      <c r="M659" s="109">
        <v>0</v>
      </c>
      <c r="N659" s="109">
        <v>0</v>
      </c>
      <c r="O659" s="109">
        <v>0.145511</v>
      </c>
      <c r="P659" s="115">
        <v>0.2782</v>
      </c>
      <c r="Q659" s="771"/>
      <c r="R659" s="216"/>
      <c r="S659" s="216">
        <v>0.2782</v>
      </c>
      <c r="T659" s="216">
        <v>7</v>
      </c>
      <c r="U659" s="216"/>
      <c r="V659" s="765"/>
      <c r="W659" s="109"/>
      <c r="X659" s="109"/>
      <c r="Y659" s="109" t="s">
        <v>663</v>
      </c>
      <c r="Z659" s="109">
        <v>51.126118115447703</v>
      </c>
      <c r="AA659" s="109">
        <v>43.125087304655388</v>
      </c>
      <c r="AB659" s="109"/>
      <c r="AC659" s="109"/>
      <c r="AD659" s="109"/>
      <c r="AE659" s="109" t="s">
        <v>10</v>
      </c>
      <c r="AF659" s="109"/>
      <c r="AG659" s="109"/>
      <c r="AH659" s="109"/>
      <c r="AI659" s="2" t="s">
        <v>10</v>
      </c>
      <c r="AL659" s="2" t="s">
        <v>680</v>
      </c>
      <c r="AM659" s="2" t="s">
        <v>710</v>
      </c>
      <c r="AN659" s="2" t="s">
        <v>952</v>
      </c>
      <c r="AO659" s="2">
        <v>0.50805095700000003</v>
      </c>
      <c r="AP659" s="2" t="s">
        <v>4730</v>
      </c>
      <c r="AQ659" s="2" t="s">
        <v>4668</v>
      </c>
      <c r="AR659" s="2" t="s">
        <v>3969</v>
      </c>
      <c r="AT659" s="765"/>
      <c r="AU659" s="765"/>
    </row>
    <row r="660" spans="1:79" x14ac:dyDescent="0.25">
      <c r="A660" s="765" t="s">
        <v>2523</v>
      </c>
      <c r="B660" s="108" t="s">
        <v>656</v>
      </c>
      <c r="C660" s="108" t="s">
        <v>2524</v>
      </c>
      <c r="D660" s="108" t="s">
        <v>541</v>
      </c>
      <c r="E660" s="108" t="s">
        <v>2524</v>
      </c>
      <c r="F660" s="114" t="s">
        <v>699</v>
      </c>
      <c r="G660" s="213" t="s">
        <v>2441</v>
      </c>
      <c r="H660" s="115" t="s">
        <v>2471</v>
      </c>
      <c r="I660" s="109">
        <v>16000000</v>
      </c>
      <c r="J660" s="109">
        <v>5.65</v>
      </c>
      <c r="K660" s="109" t="s">
        <v>696</v>
      </c>
      <c r="L660" s="109">
        <v>1</v>
      </c>
      <c r="M660" s="109">
        <v>0</v>
      </c>
      <c r="N660" s="109">
        <v>0</v>
      </c>
      <c r="O660" s="109">
        <v>2.307083</v>
      </c>
      <c r="P660" s="115"/>
      <c r="Q660" s="771"/>
      <c r="R660" s="216"/>
      <c r="S660" s="216">
        <v>8.6</v>
      </c>
      <c r="T660" s="216">
        <v>146</v>
      </c>
      <c r="U660" s="216"/>
      <c r="V660" s="765"/>
      <c r="W660" s="109">
        <v>543</v>
      </c>
      <c r="X660" s="109"/>
      <c r="Y660" s="109"/>
      <c r="Z660" s="109"/>
      <c r="AA660" s="109"/>
      <c r="AB660" s="109"/>
      <c r="AC660" s="109"/>
      <c r="AD660" s="109"/>
      <c r="AE660" s="109" t="s">
        <v>10</v>
      </c>
      <c r="AF660" s="109"/>
      <c r="AG660" s="109"/>
      <c r="AH660" s="109"/>
      <c r="AK660" s="2" t="s">
        <v>19</v>
      </c>
      <c r="AL660" s="2" t="s">
        <v>680</v>
      </c>
      <c r="AM660" s="2" t="s">
        <v>812</v>
      </c>
      <c r="AN660" s="2" t="s">
        <v>952</v>
      </c>
      <c r="AT660" s="765"/>
      <c r="AU660" s="765"/>
    </row>
    <row r="661" spans="1:79" x14ac:dyDescent="0.25">
      <c r="A661" s="765" t="s">
        <v>5051</v>
      </c>
      <c r="B661" s="108" t="s">
        <v>528</v>
      </c>
      <c r="C661" s="108" t="s">
        <v>3835</v>
      </c>
      <c r="D661" s="108" t="s">
        <v>3688</v>
      </c>
      <c r="E661" s="108" t="s">
        <v>5206</v>
      </c>
      <c r="F661" s="114" t="s">
        <v>694</v>
      </c>
      <c r="G661" s="213" t="s">
        <v>4654</v>
      </c>
      <c r="H661" s="115" t="s">
        <v>3738</v>
      </c>
      <c r="I661" s="109">
        <v>507500249.63</v>
      </c>
      <c r="J661" s="109">
        <v>2.5</v>
      </c>
      <c r="K661" s="109" t="s">
        <v>696</v>
      </c>
      <c r="L661" s="109">
        <v>0.97899690890000002</v>
      </c>
      <c r="M661" s="109">
        <v>91.436096000000006</v>
      </c>
      <c r="N661" s="109">
        <v>91.461098000000007</v>
      </c>
      <c r="O661" s="109">
        <v>0.1875</v>
      </c>
      <c r="P661" s="115">
        <v>9.4221000000000004</v>
      </c>
      <c r="Q661" s="771"/>
      <c r="R661" s="216"/>
      <c r="S661" s="216">
        <v>9.4221000000000004</v>
      </c>
      <c r="T661" s="216">
        <v>26</v>
      </c>
      <c r="U661" s="216">
        <v>3.6760000000000002</v>
      </c>
      <c r="V661" s="765">
        <v>117.14359966264</v>
      </c>
      <c r="W661" s="109"/>
      <c r="X661" s="109"/>
      <c r="Y661" s="109" t="s">
        <v>2124</v>
      </c>
      <c r="Z661" s="109">
        <v>6.1276897994586239</v>
      </c>
      <c r="AA661" s="109"/>
      <c r="AB661" s="109" t="s">
        <v>3837</v>
      </c>
      <c r="AC661" s="109" t="s">
        <v>1192</v>
      </c>
      <c r="AD661" s="109" t="s">
        <v>3502</v>
      </c>
      <c r="AE661" s="109" t="s">
        <v>7</v>
      </c>
      <c r="AF661" s="109"/>
      <c r="AG661" s="109" t="s">
        <v>1062</v>
      </c>
      <c r="AH661" s="109"/>
      <c r="AI661" s="2" t="s">
        <v>7</v>
      </c>
      <c r="AL661" s="2" t="s">
        <v>680</v>
      </c>
      <c r="AM661" s="2" t="s">
        <v>709</v>
      </c>
      <c r="AN661" s="2" t="s">
        <v>952</v>
      </c>
      <c r="AO661" s="2">
        <v>0.98626185300000002</v>
      </c>
      <c r="AP661" s="2" t="s">
        <v>4673</v>
      </c>
      <c r="AQ661" s="2" t="s">
        <v>4469</v>
      </c>
      <c r="AR661" s="2" t="s">
        <v>4638</v>
      </c>
      <c r="AT661" s="765"/>
      <c r="AU661" s="765"/>
    </row>
    <row r="662" spans="1:79" x14ac:dyDescent="0.25">
      <c r="A662" s="765" t="s">
        <v>3629</v>
      </c>
      <c r="B662" s="108" t="s">
        <v>527</v>
      </c>
      <c r="C662" s="108" t="s">
        <v>2066</v>
      </c>
      <c r="D662" s="108" t="s">
        <v>3838</v>
      </c>
      <c r="E662" s="108" t="s">
        <v>3839</v>
      </c>
      <c r="F662" s="114" t="s">
        <v>694</v>
      </c>
      <c r="G662" s="213" t="s">
        <v>3840</v>
      </c>
      <c r="H662" s="115" t="s">
        <v>3841</v>
      </c>
      <c r="I662" s="109">
        <v>21959000</v>
      </c>
      <c r="J662" s="109">
        <v>3.19143</v>
      </c>
      <c r="K662" s="109" t="s">
        <v>695</v>
      </c>
      <c r="L662" s="109">
        <v>1</v>
      </c>
      <c r="M662" s="109">
        <v>0</v>
      </c>
      <c r="N662" s="109">
        <v>0</v>
      </c>
      <c r="O662" s="109">
        <v>9.7516000000000005E-2</v>
      </c>
      <c r="P662" s="115">
        <v>0.219</v>
      </c>
      <c r="Q662" s="771"/>
      <c r="R662" s="216"/>
      <c r="S662" s="216">
        <v>0.219</v>
      </c>
      <c r="T662" s="216">
        <v>11</v>
      </c>
      <c r="U662" s="216"/>
      <c r="V662" s="765"/>
      <c r="W662" s="109">
        <v>275</v>
      </c>
      <c r="X662" s="109"/>
      <c r="Y662" s="109" t="s">
        <v>2056</v>
      </c>
      <c r="Z662" s="109">
        <v>0</v>
      </c>
      <c r="AA662" s="109">
        <v>24.191716283631511</v>
      </c>
      <c r="AB662" s="109"/>
      <c r="AC662" s="109"/>
      <c r="AD662" s="109"/>
      <c r="AE662" s="109" t="s">
        <v>9</v>
      </c>
      <c r="AF662" s="109"/>
      <c r="AG662" s="109" t="s">
        <v>522</v>
      </c>
      <c r="AH662" s="109" t="s">
        <v>522</v>
      </c>
      <c r="AI662" s="2" t="s">
        <v>18</v>
      </c>
      <c r="AL662" s="2" t="s">
        <v>680</v>
      </c>
      <c r="AM662" s="2" t="s">
        <v>1656</v>
      </c>
      <c r="AN662" s="2" t="s">
        <v>952</v>
      </c>
      <c r="AO662" s="2">
        <v>1</v>
      </c>
      <c r="AP662" s="2" t="s">
        <v>4468</v>
      </c>
      <c r="AQ662" s="2" t="s">
        <v>4639</v>
      </c>
      <c r="AR662" s="2" t="s">
        <v>4671</v>
      </c>
      <c r="AT662" s="765"/>
      <c r="AU662" s="765"/>
    </row>
    <row r="663" spans="1:79" s="765" customFormat="1" x14ac:dyDescent="0.25">
      <c r="A663" s="765" t="s">
        <v>2576</v>
      </c>
      <c r="B663" s="108" t="s">
        <v>527</v>
      </c>
      <c r="C663" s="108" t="s">
        <v>2066</v>
      </c>
      <c r="D663" s="108" t="s">
        <v>5207</v>
      </c>
      <c r="E663" s="108" t="s">
        <v>2577</v>
      </c>
      <c r="F663" s="114" t="s">
        <v>694</v>
      </c>
      <c r="G663" s="213" t="s">
        <v>2067</v>
      </c>
      <c r="H663" s="115" t="s">
        <v>1514</v>
      </c>
      <c r="I663" s="109">
        <v>40081086.509999998</v>
      </c>
      <c r="J663" s="109">
        <v>2.4914299999999998</v>
      </c>
      <c r="K663" s="109" t="s">
        <v>695</v>
      </c>
      <c r="L663" s="109">
        <v>0.88096108559999997</v>
      </c>
      <c r="M663" s="109">
        <v>0</v>
      </c>
      <c r="N663" s="109">
        <v>0</v>
      </c>
      <c r="O663" s="109">
        <v>7.6127E-2</v>
      </c>
      <c r="P663" s="115">
        <v>0.55870000000000009</v>
      </c>
      <c r="Q663" s="771"/>
      <c r="R663" s="216"/>
      <c r="S663" s="216">
        <v>0.55870000000000009</v>
      </c>
      <c r="T663" s="216">
        <v>11</v>
      </c>
      <c r="U663" s="216"/>
      <c r="W663" s="109">
        <v>205</v>
      </c>
      <c r="X663" s="109"/>
      <c r="Y663" s="109" t="s">
        <v>2056</v>
      </c>
      <c r="Z663" s="109">
        <v>31.203632096633651</v>
      </c>
      <c r="AA663" s="109">
        <v>37.15440803697264</v>
      </c>
      <c r="AB663" s="109"/>
      <c r="AC663" s="109"/>
      <c r="AD663" s="109"/>
      <c r="AE663" s="109" t="s">
        <v>9</v>
      </c>
      <c r="AF663" s="109"/>
      <c r="AG663" s="109" t="s">
        <v>522</v>
      </c>
      <c r="AH663" s="109"/>
      <c r="AI663" s="765" t="s">
        <v>18</v>
      </c>
      <c r="AL663" s="765" t="s">
        <v>680</v>
      </c>
      <c r="AM663" s="765" t="s">
        <v>1885</v>
      </c>
      <c r="AN663" s="765" t="s">
        <v>952</v>
      </c>
      <c r="AO663" s="765">
        <v>0.880961086</v>
      </c>
      <c r="AP663" s="765" t="s">
        <v>4673</v>
      </c>
      <c r="AQ663" s="765" t="s">
        <v>4639</v>
      </c>
      <c r="AR663" s="765" t="s">
        <v>4671</v>
      </c>
    </row>
    <row r="664" spans="1:79" x14ac:dyDescent="0.25">
      <c r="A664" s="765" t="s">
        <v>2911</v>
      </c>
      <c r="B664" s="108" t="s">
        <v>527</v>
      </c>
      <c r="C664" s="108" t="s">
        <v>2066</v>
      </c>
      <c r="D664" s="108" t="s">
        <v>4005</v>
      </c>
      <c r="E664" s="108" t="s">
        <v>2912</v>
      </c>
      <c r="F664" s="114" t="s">
        <v>694</v>
      </c>
      <c r="G664" s="213" t="s">
        <v>2913</v>
      </c>
      <c r="H664" s="115" t="s">
        <v>2914</v>
      </c>
      <c r="I664" s="109">
        <v>62631000</v>
      </c>
      <c r="J664" s="109">
        <v>2.7175699999999998</v>
      </c>
      <c r="K664" s="109" t="s">
        <v>695</v>
      </c>
      <c r="L664" s="109">
        <v>1</v>
      </c>
      <c r="M664" s="109">
        <v>0</v>
      </c>
      <c r="N664" s="109">
        <v>0</v>
      </c>
      <c r="O664" s="109">
        <v>7.5488E-2</v>
      </c>
      <c r="P664" s="115">
        <v>2.1286</v>
      </c>
      <c r="Q664" s="771"/>
      <c r="R664" s="216"/>
      <c r="S664" s="216">
        <v>2.1286</v>
      </c>
      <c r="T664" s="216">
        <v>9</v>
      </c>
      <c r="U664" s="216"/>
      <c r="V664" s="765"/>
      <c r="W664" s="109">
        <v>225</v>
      </c>
      <c r="X664" s="109"/>
      <c r="Y664" s="109" t="s">
        <v>2056</v>
      </c>
      <c r="Z664" s="109">
        <v>0</v>
      </c>
      <c r="AA664" s="109">
        <v>9.9404283752197777</v>
      </c>
      <c r="AB664" s="109"/>
      <c r="AC664" s="109"/>
      <c r="AD664" s="109"/>
      <c r="AE664" s="109" t="s">
        <v>9</v>
      </c>
      <c r="AF664" s="109"/>
      <c r="AG664" s="109" t="s">
        <v>522</v>
      </c>
      <c r="AH664" s="109"/>
      <c r="AJ664" s="2" t="s">
        <v>2213</v>
      </c>
      <c r="AL664" s="2" t="s">
        <v>680</v>
      </c>
      <c r="AM664" s="2" t="s">
        <v>1656</v>
      </c>
      <c r="AN664" s="2" t="s">
        <v>952</v>
      </c>
      <c r="AO664" s="2">
        <v>1</v>
      </c>
      <c r="AP664" s="2" t="s">
        <v>4665</v>
      </c>
      <c r="AQ664" s="2" t="s">
        <v>4676</v>
      </c>
      <c r="AR664" s="2" t="s">
        <v>4661</v>
      </c>
      <c r="AT664" s="765"/>
    </row>
    <row r="665" spans="1:79" x14ac:dyDescent="0.25">
      <c r="A665" s="765" t="s">
        <v>2578</v>
      </c>
      <c r="B665" s="108" t="s">
        <v>529</v>
      </c>
      <c r="C665" s="108" t="s">
        <v>2579</v>
      </c>
      <c r="D665" s="108" t="s">
        <v>530</v>
      </c>
      <c r="E665" s="108" t="s">
        <v>2580</v>
      </c>
      <c r="F665" s="114" t="s">
        <v>698</v>
      </c>
      <c r="G665" s="213" t="s">
        <v>2175</v>
      </c>
      <c r="H665" s="115" t="s">
        <v>1141</v>
      </c>
      <c r="I665" s="109">
        <v>36750000</v>
      </c>
      <c r="J665" s="109">
        <v>3.04129</v>
      </c>
      <c r="K665" s="109" t="s">
        <v>695</v>
      </c>
      <c r="L665" s="109">
        <v>1</v>
      </c>
      <c r="M665" s="109">
        <v>0</v>
      </c>
      <c r="N665" s="109">
        <v>0</v>
      </c>
      <c r="O665" s="109">
        <v>0.58291400000000004</v>
      </c>
      <c r="P665" s="115">
        <v>3.1021999999999998</v>
      </c>
      <c r="Q665" s="771"/>
      <c r="R665" s="216"/>
      <c r="S665" s="216">
        <v>3.1021999999999998</v>
      </c>
      <c r="T665" s="216">
        <v>69</v>
      </c>
      <c r="U665" s="216"/>
      <c r="V665" s="765"/>
      <c r="W665" s="109">
        <v>280</v>
      </c>
      <c r="X665" s="109"/>
      <c r="Y665" s="109" t="s">
        <v>992</v>
      </c>
      <c r="Z665" s="109"/>
      <c r="AA665" s="109"/>
      <c r="AB665" s="109"/>
      <c r="AC665" s="109"/>
      <c r="AD665" s="109"/>
      <c r="AE665" s="109" t="s">
        <v>9</v>
      </c>
      <c r="AF665" s="109" t="s">
        <v>9</v>
      </c>
      <c r="AG665" s="109" t="s">
        <v>522</v>
      </c>
      <c r="AH665" s="109"/>
      <c r="AL665" s="2" t="s">
        <v>680</v>
      </c>
      <c r="AM665" s="2" t="s">
        <v>711</v>
      </c>
      <c r="AN665" s="2" t="s">
        <v>952</v>
      </c>
      <c r="AO665" s="2">
        <v>1</v>
      </c>
      <c r="AP665" s="2" t="s">
        <v>4671</v>
      </c>
      <c r="AQ665" s="2" t="s">
        <v>3194</v>
      </c>
      <c r="AR665" s="2" t="s">
        <v>4671</v>
      </c>
      <c r="AT665" s="765"/>
    </row>
    <row r="666" spans="1:79" s="765" customFormat="1" x14ac:dyDescent="0.25">
      <c r="A666" s="765" t="s">
        <v>3591</v>
      </c>
      <c r="B666" s="108" t="s">
        <v>529</v>
      </c>
      <c r="C666" s="108" t="s">
        <v>3842</v>
      </c>
      <c r="D666" s="108" t="s">
        <v>530</v>
      </c>
      <c r="E666" s="108" t="s">
        <v>3843</v>
      </c>
      <c r="F666" s="114" t="s">
        <v>698</v>
      </c>
      <c r="G666" s="213" t="s">
        <v>3844</v>
      </c>
      <c r="H666" s="115" t="s">
        <v>3845</v>
      </c>
      <c r="I666" s="109">
        <v>28875000</v>
      </c>
      <c r="J666" s="109">
        <v>4.5039999999999996</v>
      </c>
      <c r="K666" s="109" t="s">
        <v>695</v>
      </c>
      <c r="L666" s="109">
        <v>1</v>
      </c>
      <c r="M666" s="109">
        <v>0</v>
      </c>
      <c r="N666" s="109">
        <v>0</v>
      </c>
      <c r="O666" s="109">
        <v>0.83824399999999999</v>
      </c>
      <c r="P666" s="115">
        <v>4.3540000000000001</v>
      </c>
      <c r="Q666" s="771"/>
      <c r="R666" s="216"/>
      <c r="S666" s="216">
        <v>4.3540000000000001</v>
      </c>
      <c r="T666" s="216">
        <v>66</v>
      </c>
      <c r="U666" s="216"/>
      <c r="W666" s="109">
        <v>425</v>
      </c>
      <c r="X666" s="109"/>
      <c r="Y666" s="109" t="s">
        <v>532</v>
      </c>
      <c r="Z666" s="109"/>
      <c r="AA666" s="109"/>
      <c r="AB666" s="109"/>
      <c r="AC666" s="109"/>
      <c r="AD666" s="109"/>
      <c r="AE666" s="109" t="s">
        <v>10</v>
      </c>
      <c r="AF666" s="109"/>
      <c r="AG666" s="109" t="s">
        <v>1065</v>
      </c>
      <c r="AH666" s="109" t="s">
        <v>522</v>
      </c>
      <c r="AL666" s="765" t="s">
        <v>680</v>
      </c>
      <c r="AM666" s="765" t="s">
        <v>711</v>
      </c>
      <c r="AN666" s="765" t="s">
        <v>952</v>
      </c>
      <c r="AO666" s="765">
        <v>1</v>
      </c>
      <c r="AP666" s="765" t="s">
        <v>4786</v>
      </c>
      <c r="AQ666" s="765" t="s">
        <v>3404</v>
      </c>
      <c r="AR666" s="765" t="s">
        <v>3969</v>
      </c>
    </row>
    <row r="667" spans="1:79" x14ac:dyDescent="0.25">
      <c r="A667" s="765" t="s">
        <v>2024</v>
      </c>
      <c r="B667" s="108" t="s">
        <v>528</v>
      </c>
      <c r="C667" s="108" t="s">
        <v>2025</v>
      </c>
      <c r="D667" s="108" t="s">
        <v>4967</v>
      </c>
      <c r="E667" s="108" t="s">
        <v>2026</v>
      </c>
      <c r="F667" s="114" t="s">
        <v>694</v>
      </c>
      <c r="G667" s="213" t="s">
        <v>2017</v>
      </c>
      <c r="H667" s="115" t="s">
        <v>2107</v>
      </c>
      <c r="I667" s="109">
        <v>16093000</v>
      </c>
      <c r="J667" s="109">
        <v>5.5</v>
      </c>
      <c r="K667" s="109" t="s">
        <v>696</v>
      </c>
      <c r="L667" s="109">
        <v>1</v>
      </c>
      <c r="M667" s="109">
        <v>100.354668</v>
      </c>
      <c r="N667" s="109">
        <v>100.382282</v>
      </c>
      <c r="O667" s="109">
        <v>0.41249999999999998</v>
      </c>
      <c r="P667" s="115">
        <v>1.1528</v>
      </c>
      <c r="Q667" s="771">
        <v>3.67490411011</v>
      </c>
      <c r="R667" s="216"/>
      <c r="S667" s="216">
        <v>3.67490411011</v>
      </c>
      <c r="T667" s="216">
        <v>26</v>
      </c>
      <c r="U667" s="216">
        <v>5.2919999999999998</v>
      </c>
      <c r="V667" s="765">
        <v>315.87631375934001</v>
      </c>
      <c r="W667" s="109"/>
      <c r="X667" s="109">
        <v>275.18145615568</v>
      </c>
      <c r="Y667" s="109" t="s">
        <v>2027</v>
      </c>
      <c r="Z667" s="109">
        <v>33.657928588820873</v>
      </c>
      <c r="AA667" s="109">
        <v>34.196695318629082</v>
      </c>
      <c r="AB667" s="109" t="s">
        <v>1893</v>
      </c>
      <c r="AC667" s="109" t="s">
        <v>2923</v>
      </c>
      <c r="AD667" s="109" t="s">
        <v>2029</v>
      </c>
      <c r="AE667" s="109" t="s">
        <v>10</v>
      </c>
      <c r="AF667" s="109" t="s">
        <v>20</v>
      </c>
      <c r="AG667" s="109"/>
      <c r="AH667" s="109"/>
      <c r="AI667" s="2" t="s">
        <v>522</v>
      </c>
      <c r="AL667" s="2" t="s">
        <v>680</v>
      </c>
      <c r="AM667" s="2" t="s">
        <v>1668</v>
      </c>
      <c r="AN667" s="2" t="s">
        <v>952</v>
      </c>
      <c r="AO667" s="2">
        <v>1</v>
      </c>
      <c r="AP667" s="2" t="s">
        <v>4673</v>
      </c>
      <c r="AQ667" s="2" t="s">
        <v>4469</v>
      </c>
      <c r="AR667" s="2" t="s">
        <v>4638</v>
      </c>
      <c r="AT667" s="765"/>
    </row>
    <row r="668" spans="1:79" x14ac:dyDescent="0.25">
      <c r="A668" s="765" t="s">
        <v>1950</v>
      </c>
      <c r="B668" s="108" t="s">
        <v>528</v>
      </c>
      <c r="C668" s="108" t="s">
        <v>1941</v>
      </c>
      <c r="D668" s="108" t="s">
        <v>3846</v>
      </c>
      <c r="E668" s="108" t="s">
        <v>1951</v>
      </c>
      <c r="F668" s="114" t="s">
        <v>694</v>
      </c>
      <c r="G668" s="213" t="s">
        <v>1954</v>
      </c>
      <c r="H668" s="115" t="s">
        <v>1955</v>
      </c>
      <c r="I668" s="109">
        <v>15447746.35</v>
      </c>
      <c r="J668" s="109">
        <v>2.5194169999999998</v>
      </c>
      <c r="K668" s="109" t="s">
        <v>695</v>
      </c>
      <c r="L668" s="109">
        <v>6.81267755E-2</v>
      </c>
      <c r="M668" s="109">
        <v>100</v>
      </c>
      <c r="N668" s="109">
        <v>100</v>
      </c>
      <c r="O668" s="109">
        <v>0.18895600000000001</v>
      </c>
      <c r="P668" s="115">
        <v>6.9400000000000003E-2</v>
      </c>
      <c r="Q668" s="771">
        <v>1.77152619139</v>
      </c>
      <c r="R668" s="216"/>
      <c r="S668" s="216">
        <v>1.77152619139</v>
      </c>
      <c r="T668" s="216">
        <v>26</v>
      </c>
      <c r="U668" s="216">
        <v>3.669</v>
      </c>
      <c r="V668" s="765">
        <v>-5.61633731539</v>
      </c>
      <c r="W668" s="109"/>
      <c r="X668" s="109">
        <v>174.38061211681</v>
      </c>
      <c r="Y668" s="109" t="s">
        <v>1952</v>
      </c>
      <c r="Z668" s="109">
        <v>20.55444013550478</v>
      </c>
      <c r="AA668" s="109">
        <v>3.5403416495210061</v>
      </c>
      <c r="AB668" s="109" t="s">
        <v>5208</v>
      </c>
      <c r="AC668" s="109" t="s">
        <v>4056</v>
      </c>
      <c r="AD668" s="109" t="s">
        <v>2393</v>
      </c>
      <c r="AE668" s="109" t="s">
        <v>9</v>
      </c>
      <c r="AF668" s="109" t="s">
        <v>0</v>
      </c>
      <c r="AG668" s="109" t="s">
        <v>1735</v>
      </c>
      <c r="AH668" s="109" t="s">
        <v>9</v>
      </c>
      <c r="AL668" s="2" t="s">
        <v>680</v>
      </c>
      <c r="AM668" s="2" t="s">
        <v>813</v>
      </c>
      <c r="AN668" s="2" t="s">
        <v>952</v>
      </c>
      <c r="AO668" s="2">
        <v>6.9826545000000004E-2</v>
      </c>
      <c r="AP668" s="2" t="s">
        <v>4673</v>
      </c>
      <c r="AQ668" s="2" t="s">
        <v>4469</v>
      </c>
      <c r="AR668" s="2" t="s">
        <v>4638</v>
      </c>
      <c r="AT668" s="765"/>
    </row>
    <row r="669" spans="1:79" x14ac:dyDescent="0.25">
      <c r="A669" s="765" t="s">
        <v>4956</v>
      </c>
      <c r="B669" s="108" t="s">
        <v>527</v>
      </c>
      <c r="C669" s="108" t="s">
        <v>4957</v>
      </c>
      <c r="D669" s="108" t="s">
        <v>1625</v>
      </c>
      <c r="E669" s="108" t="s">
        <v>4958</v>
      </c>
      <c r="F669" s="114" t="s">
        <v>694</v>
      </c>
      <c r="G669" s="213" t="s">
        <v>4959</v>
      </c>
      <c r="H669" s="115" t="s">
        <v>4960</v>
      </c>
      <c r="I669" s="109">
        <v>76444000</v>
      </c>
      <c r="J669" s="109">
        <v>4.003762</v>
      </c>
      <c r="K669" s="109" t="s">
        <v>696</v>
      </c>
      <c r="L669" s="109">
        <v>1</v>
      </c>
      <c r="M669" s="109">
        <v>93.602951000000004</v>
      </c>
      <c r="N669" s="109">
        <v>93.765224000000003</v>
      </c>
      <c r="O669" s="109">
        <v>0.30028199999999999</v>
      </c>
      <c r="P669" s="115">
        <v>2.5118999999999998</v>
      </c>
      <c r="Q669" s="771">
        <v>2.3690000000000002</v>
      </c>
      <c r="R669" s="216"/>
      <c r="S669" s="216">
        <v>2.3690000000000002</v>
      </c>
      <c r="T669" s="216">
        <v>27</v>
      </c>
      <c r="U669" s="216">
        <v>6.875</v>
      </c>
      <c r="V669" s="765">
        <v>439.92841813474558</v>
      </c>
      <c r="W669" s="109"/>
      <c r="X669" s="109">
        <v>418.2</v>
      </c>
      <c r="Y669" s="109" t="s">
        <v>1874</v>
      </c>
      <c r="Z669" s="109">
        <v>9.4646107462039826</v>
      </c>
      <c r="AA669" s="109">
        <v>1.6508275865854021</v>
      </c>
      <c r="AB669" s="109"/>
      <c r="AC669" s="109"/>
      <c r="AD669" s="109"/>
      <c r="AE669" s="109" t="s">
        <v>10</v>
      </c>
      <c r="AF669" s="109"/>
      <c r="AG669" s="109" t="s">
        <v>522</v>
      </c>
      <c r="AH669" s="109" t="s">
        <v>20</v>
      </c>
      <c r="AJ669" s="2" t="s">
        <v>1971</v>
      </c>
      <c r="AL669" s="2" t="s">
        <v>680</v>
      </c>
      <c r="AM669" s="2" t="s">
        <v>1921</v>
      </c>
      <c r="AN669" s="2" t="s">
        <v>952</v>
      </c>
      <c r="AO669" s="2">
        <v>1</v>
      </c>
      <c r="AP669" s="2" t="s">
        <v>4673</v>
      </c>
      <c r="AQ669" s="2" t="s">
        <v>4396</v>
      </c>
      <c r="AR669" s="2" t="s">
        <v>4671</v>
      </c>
      <c r="AT669" s="765"/>
    </row>
    <row r="670" spans="1:79" x14ac:dyDescent="0.25">
      <c r="A670" s="765" t="s">
        <v>4612</v>
      </c>
      <c r="B670" s="108" t="s">
        <v>529</v>
      </c>
      <c r="C670" s="108" t="s">
        <v>4788</v>
      </c>
      <c r="D670" s="108" t="s">
        <v>530</v>
      </c>
      <c r="E670" s="108" t="s">
        <v>4789</v>
      </c>
      <c r="F670" s="114" t="s">
        <v>698</v>
      </c>
      <c r="G670" s="213" t="s">
        <v>4790</v>
      </c>
      <c r="H670" s="115" t="s">
        <v>1458</v>
      </c>
      <c r="I670" s="109">
        <v>20000000</v>
      </c>
      <c r="J670" s="109">
        <v>6.0540000000000003</v>
      </c>
      <c r="K670" s="109" t="s">
        <v>695</v>
      </c>
      <c r="L670" s="109">
        <v>1</v>
      </c>
      <c r="M670" s="109">
        <v>0</v>
      </c>
      <c r="N670" s="109">
        <v>0</v>
      </c>
      <c r="O670" s="109">
        <v>1.126717</v>
      </c>
      <c r="P670" s="115">
        <v>3.7408999999999999</v>
      </c>
      <c r="Q670" s="771"/>
      <c r="R670" s="216"/>
      <c r="S670" s="216">
        <v>3.7408999999999999</v>
      </c>
      <c r="T670" s="216">
        <v>67</v>
      </c>
      <c r="U670" s="216"/>
      <c r="V670" s="765"/>
      <c r="W670" s="109">
        <v>580</v>
      </c>
      <c r="X670" s="109"/>
      <c r="Y670" s="109" t="s">
        <v>993</v>
      </c>
      <c r="Z670" s="109"/>
      <c r="AA670" s="109"/>
      <c r="AB670" s="109"/>
      <c r="AC670" s="109"/>
      <c r="AD670" s="109"/>
      <c r="AE670" s="109" t="s">
        <v>13</v>
      </c>
      <c r="AF670" s="109"/>
      <c r="AG670" s="109" t="s">
        <v>2796</v>
      </c>
      <c r="AH670" s="109" t="s">
        <v>522</v>
      </c>
      <c r="AL670" s="2" t="s">
        <v>680</v>
      </c>
      <c r="AM670" s="2" t="s">
        <v>711</v>
      </c>
      <c r="AN670" s="2" t="s">
        <v>952</v>
      </c>
      <c r="AO670" s="2">
        <v>1</v>
      </c>
      <c r="AP670" s="2" t="s">
        <v>4730</v>
      </c>
      <c r="AQ670" s="2" t="s">
        <v>3404</v>
      </c>
      <c r="AR670" s="2" t="s">
        <v>3969</v>
      </c>
      <c r="AT670" s="765"/>
    </row>
    <row r="671" spans="1:79" x14ac:dyDescent="0.25">
      <c r="A671" s="765" t="s">
        <v>3130</v>
      </c>
      <c r="B671" s="108" t="s">
        <v>527</v>
      </c>
      <c r="C671" s="108" t="s">
        <v>2861</v>
      </c>
      <c r="D671" s="108" t="s">
        <v>1625</v>
      </c>
      <c r="E671" s="108" t="s">
        <v>3271</v>
      </c>
      <c r="F671" s="114" t="s">
        <v>694</v>
      </c>
      <c r="G671" s="213" t="s">
        <v>1815</v>
      </c>
      <c r="H671" s="115" t="s">
        <v>2864</v>
      </c>
      <c r="I671" s="109">
        <v>29885000</v>
      </c>
      <c r="J671" s="109">
        <v>2.84</v>
      </c>
      <c r="K671" s="109" t="s">
        <v>696</v>
      </c>
      <c r="L671" s="109">
        <v>1</v>
      </c>
      <c r="M671" s="109">
        <v>0</v>
      </c>
      <c r="N671" s="109">
        <v>0</v>
      </c>
      <c r="O671" s="109">
        <v>0.21299999999999999</v>
      </c>
      <c r="P671" s="115">
        <v>2.7776000000000001</v>
      </c>
      <c r="Q671" s="771"/>
      <c r="R671" s="216"/>
      <c r="S671" s="216">
        <v>2.7776000000000001</v>
      </c>
      <c r="T671" s="216">
        <v>26</v>
      </c>
      <c r="U671" s="216"/>
      <c r="V671" s="765"/>
      <c r="W671" s="109"/>
      <c r="X671" s="109"/>
      <c r="Y671" s="109" t="s">
        <v>663</v>
      </c>
      <c r="Z671" s="109">
        <v>0</v>
      </c>
      <c r="AA671" s="109">
        <v>0</v>
      </c>
      <c r="AB671" s="109"/>
      <c r="AC671" s="109"/>
      <c r="AD671" s="109"/>
      <c r="AE671" s="109" t="s">
        <v>13</v>
      </c>
      <c r="AF671" s="109"/>
      <c r="AG671" s="109" t="s">
        <v>522</v>
      </c>
      <c r="AH671" s="109"/>
      <c r="AI671" s="2" t="s">
        <v>5</v>
      </c>
      <c r="AJ671" s="2" t="s">
        <v>3272</v>
      </c>
      <c r="AL671" s="2" t="s">
        <v>680</v>
      </c>
      <c r="AM671" s="2" t="s">
        <v>1885</v>
      </c>
      <c r="AN671" s="2" t="s">
        <v>952</v>
      </c>
      <c r="AO671" s="2">
        <v>1</v>
      </c>
      <c r="AP671" s="2" t="s">
        <v>4673</v>
      </c>
      <c r="AQ671" s="2" t="s">
        <v>4396</v>
      </c>
      <c r="AR671" s="2" t="s">
        <v>4671</v>
      </c>
      <c r="AT671" s="765"/>
    </row>
    <row r="672" spans="1:79" x14ac:dyDescent="0.25">
      <c r="A672" s="765" t="s">
        <v>2854</v>
      </c>
      <c r="B672" s="108" t="s">
        <v>527</v>
      </c>
      <c r="C672" s="108" t="s">
        <v>2861</v>
      </c>
      <c r="D672" s="108" t="s">
        <v>1625</v>
      </c>
      <c r="E672" s="108" t="s">
        <v>2863</v>
      </c>
      <c r="F672" s="114" t="s">
        <v>694</v>
      </c>
      <c r="G672" s="213" t="s">
        <v>1815</v>
      </c>
      <c r="H672" s="115" t="s">
        <v>2864</v>
      </c>
      <c r="I672" s="109">
        <v>689330484.89999998</v>
      </c>
      <c r="J672" s="109">
        <v>1.0340009999999999</v>
      </c>
      <c r="K672" s="109" t="s">
        <v>696</v>
      </c>
      <c r="L672" s="109">
        <v>0.77131338449999998</v>
      </c>
      <c r="M672" s="109">
        <v>2.1167880000000001</v>
      </c>
      <c r="N672" s="109">
        <v>2.1174309999999998</v>
      </c>
      <c r="O672" s="109">
        <v>7.7549999999999994E-2</v>
      </c>
      <c r="P672" s="115">
        <v>2.3250000000000002</v>
      </c>
      <c r="Q672" s="771">
        <v>1.246</v>
      </c>
      <c r="R672" s="216"/>
      <c r="S672" s="216">
        <v>1.246</v>
      </c>
      <c r="T672" s="216">
        <v>26</v>
      </c>
      <c r="U672" s="216">
        <v>11.333</v>
      </c>
      <c r="V672" s="765">
        <v>890.11276821053332</v>
      </c>
      <c r="W672" s="109"/>
      <c r="X672" s="109">
        <v>986.2</v>
      </c>
      <c r="Y672" s="109" t="s">
        <v>727</v>
      </c>
      <c r="Z672" s="109">
        <v>0</v>
      </c>
      <c r="AA672" s="109">
        <v>0</v>
      </c>
      <c r="AB672" s="109"/>
      <c r="AC672" s="109"/>
      <c r="AD672" s="109"/>
      <c r="AE672" s="109" t="s">
        <v>7</v>
      </c>
      <c r="AF672" s="109"/>
      <c r="AG672" s="109" t="s">
        <v>522</v>
      </c>
      <c r="AH672" s="109"/>
      <c r="AI672" s="765" t="s">
        <v>7</v>
      </c>
      <c r="AJ672" s="765" t="s">
        <v>7</v>
      </c>
      <c r="AK672" s="765"/>
      <c r="AL672" s="765" t="s">
        <v>680</v>
      </c>
      <c r="AM672" s="765" t="s">
        <v>2865</v>
      </c>
      <c r="AN672" s="765" t="s">
        <v>952</v>
      </c>
      <c r="AO672" s="765">
        <v>0.77332816000000004</v>
      </c>
      <c r="AP672" s="765" t="s">
        <v>4673</v>
      </c>
      <c r="AQ672" s="765" t="s">
        <v>4396</v>
      </c>
      <c r="AR672" s="765" t="s">
        <v>4671</v>
      </c>
      <c r="AS672" s="765"/>
      <c r="AT672" s="765"/>
      <c r="AU672" s="765"/>
      <c r="AV672" s="765"/>
      <c r="AW672" s="765"/>
      <c r="AX672" s="765"/>
      <c r="AY672" s="765"/>
      <c r="AZ672" s="765"/>
      <c r="BA672" s="765"/>
      <c r="BB672" s="765"/>
      <c r="BC672" s="765"/>
      <c r="BD672" s="765"/>
      <c r="BE672" s="765"/>
      <c r="BF672" s="765"/>
      <c r="BG672" s="765"/>
      <c r="BH672" s="765"/>
      <c r="BI672" s="765"/>
      <c r="BJ672" s="765"/>
      <c r="BK672" s="765"/>
      <c r="BL672" s="765"/>
      <c r="BM672" s="765"/>
      <c r="BN672" s="765"/>
      <c r="BO672" s="765"/>
      <c r="BP672" s="765"/>
      <c r="BQ672" s="765"/>
      <c r="BR672" s="765"/>
      <c r="BS672" s="765"/>
      <c r="BT672" s="765"/>
      <c r="BU672" s="765"/>
      <c r="BV672" s="765"/>
      <c r="BW672" s="765"/>
      <c r="BX672" s="765"/>
      <c r="BY672" s="765"/>
      <c r="BZ672" s="765"/>
      <c r="CA672" s="765"/>
    </row>
    <row r="673" spans="1:49" x14ac:dyDescent="0.25">
      <c r="A673" s="765" t="s">
        <v>2855</v>
      </c>
      <c r="B673" s="108" t="s">
        <v>527</v>
      </c>
      <c r="C673" s="108" t="s">
        <v>2861</v>
      </c>
      <c r="D673" s="108" t="s">
        <v>1871</v>
      </c>
      <c r="E673" s="108" t="s">
        <v>2866</v>
      </c>
      <c r="F673" s="114" t="s">
        <v>694</v>
      </c>
      <c r="G673" s="213" t="s">
        <v>1142</v>
      </c>
      <c r="H673" s="115" t="s">
        <v>2867</v>
      </c>
      <c r="I673" s="109">
        <v>591853347.97000003</v>
      </c>
      <c r="J673" s="109">
        <v>0.856429</v>
      </c>
      <c r="K673" s="109" t="s">
        <v>696</v>
      </c>
      <c r="L673" s="109">
        <v>0.72765037079999995</v>
      </c>
      <c r="M673" s="109">
        <v>2.0218720000000001</v>
      </c>
      <c r="N673" s="109">
        <v>2.0224989999999998</v>
      </c>
      <c r="O673" s="109">
        <v>6.4231999999999997E-2</v>
      </c>
      <c r="P673" s="115">
        <v>2.7098</v>
      </c>
      <c r="Q673" s="771">
        <v>1.3009999999999999</v>
      </c>
      <c r="R673" s="216"/>
      <c r="S673" s="216">
        <v>1.3009999999999999</v>
      </c>
      <c r="T673" s="216">
        <v>26</v>
      </c>
      <c r="U673" s="216">
        <v>12.978</v>
      </c>
      <c r="V673" s="765">
        <v>1045.6094764108491</v>
      </c>
      <c r="W673" s="109"/>
      <c r="X673" s="109">
        <v>1106.9000000000001</v>
      </c>
      <c r="Y673" s="109" t="s">
        <v>727</v>
      </c>
      <c r="Z673" s="109">
        <v>0</v>
      </c>
      <c r="AA673" s="109">
        <v>1.6655275203724229</v>
      </c>
      <c r="AB673" s="109"/>
      <c r="AC673" s="109"/>
      <c r="AD673" s="109"/>
      <c r="AE673" s="109" t="s">
        <v>7</v>
      </c>
      <c r="AF673" s="109"/>
      <c r="AG673" s="109" t="s">
        <v>522</v>
      </c>
      <c r="AH673" s="109"/>
      <c r="AI673" s="2" t="s">
        <v>7</v>
      </c>
      <c r="AJ673" s="2" t="s">
        <v>7</v>
      </c>
      <c r="AL673" s="2" t="s">
        <v>680</v>
      </c>
      <c r="AM673" s="2" t="s">
        <v>2865</v>
      </c>
      <c r="AN673" s="2" t="s">
        <v>952</v>
      </c>
      <c r="AO673" s="2">
        <v>0.72963005199999997</v>
      </c>
      <c r="AP673" s="2" t="s">
        <v>4673</v>
      </c>
      <c r="AQ673" s="2" t="s">
        <v>4396</v>
      </c>
      <c r="AR673" s="2" t="s">
        <v>4671</v>
      </c>
      <c r="AT673" s="765"/>
    </row>
    <row r="674" spans="1:49" x14ac:dyDescent="0.25">
      <c r="A674" s="765" t="s">
        <v>3642</v>
      </c>
      <c r="B674" s="108" t="s">
        <v>529</v>
      </c>
      <c r="C674" s="108" t="s">
        <v>3847</v>
      </c>
      <c r="D674" s="108" t="s">
        <v>530</v>
      </c>
      <c r="E674" s="108" t="s">
        <v>3848</v>
      </c>
      <c r="F674" s="114" t="s">
        <v>698</v>
      </c>
      <c r="G674" s="213" t="s">
        <v>3849</v>
      </c>
      <c r="H674" s="115" t="s">
        <v>2011</v>
      </c>
      <c r="I674" s="109">
        <v>25000000</v>
      </c>
      <c r="J674" s="109">
        <v>3.8912900000000001</v>
      </c>
      <c r="K674" s="109" t="s">
        <v>695</v>
      </c>
      <c r="L674" s="109">
        <v>1</v>
      </c>
      <c r="M674" s="109">
        <v>0</v>
      </c>
      <c r="N674" s="109">
        <v>0</v>
      </c>
      <c r="O674" s="109">
        <v>0.74583100000000002</v>
      </c>
      <c r="P674" s="115">
        <v>6.1558999999999999</v>
      </c>
      <c r="Q674" s="771"/>
      <c r="R674" s="216"/>
      <c r="S674" s="216">
        <v>6.1558999999999999</v>
      </c>
      <c r="T674" s="216">
        <v>69</v>
      </c>
      <c r="U674" s="216"/>
      <c r="V674" s="765"/>
      <c r="W674" s="109">
        <v>365</v>
      </c>
      <c r="X674" s="109"/>
      <c r="Y674" s="109" t="s">
        <v>532</v>
      </c>
      <c r="Z674" s="109"/>
      <c r="AA674" s="109"/>
      <c r="AB674" s="109"/>
      <c r="AC674" s="109"/>
      <c r="AD674" s="109"/>
      <c r="AE674" s="109" t="s">
        <v>10</v>
      </c>
      <c r="AF674" s="109" t="s">
        <v>20</v>
      </c>
      <c r="AG674" s="109"/>
      <c r="AH674" s="109" t="s">
        <v>522</v>
      </c>
      <c r="AL674" s="2" t="s">
        <v>680</v>
      </c>
      <c r="AM674" s="2" t="s">
        <v>711</v>
      </c>
      <c r="AN674" s="2" t="s">
        <v>952</v>
      </c>
      <c r="AO674" s="2">
        <v>1</v>
      </c>
      <c r="AP674" s="2" t="s">
        <v>4675</v>
      </c>
      <c r="AQ674" s="2" t="s">
        <v>3194</v>
      </c>
      <c r="AR674" s="2" t="s">
        <v>4671</v>
      </c>
      <c r="AT674" s="765"/>
    </row>
    <row r="675" spans="1:49" x14ac:dyDescent="0.25">
      <c r="A675" s="765" t="s">
        <v>3445</v>
      </c>
      <c r="B675" s="108" t="s">
        <v>529</v>
      </c>
      <c r="C675" s="108" t="s">
        <v>3868</v>
      </c>
      <c r="D675" s="108" t="s">
        <v>530</v>
      </c>
      <c r="E675" s="108" t="s">
        <v>3850</v>
      </c>
      <c r="F675" s="114" t="s">
        <v>698</v>
      </c>
      <c r="G675" s="213" t="s">
        <v>3530</v>
      </c>
      <c r="H675" s="115" t="s">
        <v>3531</v>
      </c>
      <c r="I675" s="109">
        <v>28000000</v>
      </c>
      <c r="J675" s="109">
        <v>5.9088599999999998</v>
      </c>
      <c r="K675" s="109" t="s">
        <v>695</v>
      </c>
      <c r="L675" s="109">
        <v>1</v>
      </c>
      <c r="M675" s="109">
        <v>0</v>
      </c>
      <c r="N675" s="109">
        <v>0</v>
      </c>
      <c r="O675" s="109">
        <v>1.0340499999999999</v>
      </c>
      <c r="P675" s="115">
        <v>6.1962000000000002</v>
      </c>
      <c r="Q675" s="771"/>
      <c r="R675" s="216"/>
      <c r="S675" s="216">
        <v>6.1962000000000002</v>
      </c>
      <c r="T675" s="216">
        <v>62</v>
      </c>
      <c r="U675" s="216"/>
      <c r="V675" s="765"/>
      <c r="W675" s="109">
        <v>565</v>
      </c>
      <c r="X675" s="109"/>
      <c r="Y675" s="109" t="s">
        <v>993</v>
      </c>
      <c r="Z675" s="109"/>
      <c r="AA675" s="109"/>
      <c r="AB675" s="109"/>
      <c r="AC675" s="109"/>
      <c r="AD675" s="109"/>
      <c r="AE675" s="109" t="s">
        <v>13</v>
      </c>
      <c r="AF675" s="109"/>
      <c r="AG675" s="109" t="s">
        <v>2796</v>
      </c>
      <c r="AH675" s="109" t="s">
        <v>522</v>
      </c>
      <c r="AL675" s="2" t="s">
        <v>680</v>
      </c>
      <c r="AM675" s="2" t="s">
        <v>711</v>
      </c>
      <c r="AN675" s="2" t="s">
        <v>952</v>
      </c>
      <c r="AO675" s="2">
        <v>1</v>
      </c>
      <c r="AP675" s="2" t="s">
        <v>4727</v>
      </c>
      <c r="AQ675" s="2" t="s">
        <v>3700</v>
      </c>
      <c r="AR675" s="2" t="s">
        <v>4666</v>
      </c>
      <c r="AT675" s="765"/>
    </row>
    <row r="676" spans="1:49" x14ac:dyDescent="0.25">
      <c r="A676" s="765" t="s">
        <v>3444</v>
      </c>
      <c r="B676" s="108" t="s">
        <v>529</v>
      </c>
      <c r="C676" s="108" t="s">
        <v>3868</v>
      </c>
      <c r="D676" s="108" t="s">
        <v>530</v>
      </c>
      <c r="E676" s="108" t="s">
        <v>3851</v>
      </c>
      <c r="F676" s="114" t="s">
        <v>698</v>
      </c>
      <c r="G676" s="213" t="s">
        <v>3532</v>
      </c>
      <c r="H676" s="115" t="s">
        <v>3533</v>
      </c>
      <c r="I676" s="109">
        <v>31655000</v>
      </c>
      <c r="J676" s="109">
        <v>6.6539999999999999</v>
      </c>
      <c r="K676" s="109" t="s">
        <v>695</v>
      </c>
      <c r="L676" s="109">
        <v>1</v>
      </c>
      <c r="M676" s="109">
        <v>0</v>
      </c>
      <c r="N676" s="109">
        <v>0</v>
      </c>
      <c r="O676" s="109">
        <v>1.238383</v>
      </c>
      <c r="P676" s="115">
        <v>4.8785999999999996</v>
      </c>
      <c r="Q676" s="771"/>
      <c r="R676" s="216"/>
      <c r="S676" s="216">
        <v>4.8785999999999996</v>
      </c>
      <c r="T676" s="216">
        <v>66</v>
      </c>
      <c r="U676" s="216"/>
      <c r="V676" s="765"/>
      <c r="W676" s="109">
        <v>640</v>
      </c>
      <c r="X676" s="109"/>
      <c r="Y676" s="109" t="s">
        <v>993</v>
      </c>
      <c r="Z676" s="109"/>
      <c r="AA676" s="109"/>
      <c r="AB676" s="109"/>
      <c r="AC676" s="109"/>
      <c r="AD676" s="109"/>
      <c r="AE676" s="109" t="s">
        <v>13</v>
      </c>
      <c r="AF676" s="109"/>
      <c r="AG676" s="109" t="s">
        <v>2796</v>
      </c>
      <c r="AH676" s="109"/>
      <c r="AL676" s="2" t="s">
        <v>680</v>
      </c>
      <c r="AM676" s="2" t="s">
        <v>711</v>
      </c>
      <c r="AN676" s="2" t="s">
        <v>952</v>
      </c>
      <c r="AO676" s="2">
        <v>1</v>
      </c>
      <c r="AP676" s="2" t="s">
        <v>4791</v>
      </c>
      <c r="AQ676" s="2" t="s">
        <v>3404</v>
      </c>
      <c r="AR676" s="2" t="s">
        <v>3969</v>
      </c>
      <c r="AT676" s="765"/>
    </row>
    <row r="677" spans="1:49" x14ac:dyDescent="0.25">
      <c r="A677" s="765" t="s">
        <v>3154</v>
      </c>
      <c r="B677" s="108" t="s">
        <v>529</v>
      </c>
      <c r="C677" s="108" t="s">
        <v>3273</v>
      </c>
      <c r="D677" s="108" t="s">
        <v>530</v>
      </c>
      <c r="E677" s="108" t="s">
        <v>3274</v>
      </c>
      <c r="F677" s="114" t="s">
        <v>698</v>
      </c>
      <c r="G677" s="213" t="s">
        <v>3275</v>
      </c>
      <c r="H677" s="115" t="s">
        <v>3276</v>
      </c>
      <c r="I677" s="109">
        <v>27000000</v>
      </c>
      <c r="J677" s="109">
        <v>2.8912900000000001</v>
      </c>
      <c r="K677" s="109" t="s">
        <v>695</v>
      </c>
      <c r="L677" s="109">
        <v>1</v>
      </c>
      <c r="M677" s="109">
        <v>0</v>
      </c>
      <c r="N677" s="109">
        <v>0</v>
      </c>
      <c r="O677" s="109">
        <v>0.55416399999999999</v>
      </c>
      <c r="P677" s="115">
        <v>3.6473</v>
      </c>
      <c r="Q677" s="771"/>
      <c r="R677" s="216"/>
      <c r="S677" s="216">
        <v>3.6473</v>
      </c>
      <c r="T677" s="216">
        <v>68</v>
      </c>
      <c r="U677" s="216"/>
      <c r="V677" s="765"/>
      <c r="W677" s="109">
        <v>265</v>
      </c>
      <c r="X677" s="109"/>
      <c r="Y677" s="109" t="s">
        <v>532</v>
      </c>
      <c r="Z677" s="109"/>
      <c r="AA677" s="109"/>
      <c r="AB677" s="109"/>
      <c r="AC677" s="109"/>
      <c r="AD677" s="109"/>
      <c r="AE677" s="109" t="s">
        <v>10</v>
      </c>
      <c r="AF677" s="109" t="s">
        <v>19</v>
      </c>
      <c r="AG677" s="109"/>
      <c r="AH677" s="109" t="s">
        <v>522</v>
      </c>
      <c r="AL677" s="2" t="s">
        <v>680</v>
      </c>
      <c r="AM677" s="2" t="s">
        <v>711</v>
      </c>
      <c r="AN677" s="2" t="s">
        <v>952</v>
      </c>
      <c r="AO677" s="2">
        <v>1</v>
      </c>
      <c r="AP677" s="2" t="s">
        <v>4675</v>
      </c>
      <c r="AQ677" s="2" t="s">
        <v>3194</v>
      </c>
      <c r="AR677" s="2" t="s">
        <v>4671</v>
      </c>
      <c r="AT677" s="765"/>
    </row>
    <row r="678" spans="1:49" x14ac:dyDescent="0.25">
      <c r="A678" s="765" t="s">
        <v>3131</v>
      </c>
      <c r="B678" s="108" t="s">
        <v>1616</v>
      </c>
      <c r="C678" s="108" t="s">
        <v>3277</v>
      </c>
      <c r="D678" s="108" t="s">
        <v>1557</v>
      </c>
      <c r="E678" s="108" t="s">
        <v>3277</v>
      </c>
      <c r="F678" s="114" t="s">
        <v>1558</v>
      </c>
      <c r="G678" s="213" t="s">
        <v>3278</v>
      </c>
      <c r="H678" s="115" t="s">
        <v>2715</v>
      </c>
      <c r="I678" s="109">
        <v>8333000</v>
      </c>
      <c r="J678" s="109">
        <v>4.1500000000000004</v>
      </c>
      <c r="K678" s="109" t="s">
        <v>696</v>
      </c>
      <c r="L678" s="109">
        <v>1</v>
      </c>
      <c r="M678" s="109">
        <v>100</v>
      </c>
      <c r="N678" s="109">
        <v>100</v>
      </c>
      <c r="O678" s="109">
        <v>0.14986099999999999</v>
      </c>
      <c r="P678" s="115"/>
      <c r="Q678" s="771"/>
      <c r="R678" s="216">
        <v>6.0079601937657623</v>
      </c>
      <c r="S678" s="216">
        <v>6.0079601937657623</v>
      </c>
      <c r="T678" s="216">
        <v>12</v>
      </c>
      <c r="U678" s="216">
        <v>4.2088891063743414</v>
      </c>
      <c r="V678" s="765"/>
      <c r="W678" s="109"/>
      <c r="X678" s="109"/>
      <c r="Y678" s="109"/>
      <c r="Z678" s="109"/>
      <c r="AA678" s="109"/>
      <c r="AB678" s="109"/>
      <c r="AC678" s="109"/>
      <c r="AD678" s="109"/>
      <c r="AE678" s="109" t="s">
        <v>9</v>
      </c>
      <c r="AF678" s="109"/>
      <c r="AG678" s="109"/>
      <c r="AH678" s="109"/>
      <c r="AI678" s="765"/>
      <c r="AJ678" s="765"/>
      <c r="AK678" s="765"/>
      <c r="AL678" s="765" t="s">
        <v>1741</v>
      </c>
      <c r="AM678" s="765" t="s">
        <v>710</v>
      </c>
      <c r="AN678" s="765" t="s">
        <v>952</v>
      </c>
      <c r="AO678" s="765"/>
      <c r="AP678" s="765"/>
      <c r="AQ678" s="765"/>
      <c r="AR678" s="765"/>
      <c r="AS678" s="765"/>
      <c r="AT678" s="765"/>
      <c r="AU678" s="765"/>
      <c r="AV678" s="765"/>
      <c r="AW678" s="765"/>
    </row>
    <row r="679" spans="1:49" x14ac:dyDescent="0.25">
      <c r="A679" s="765" t="s">
        <v>2982</v>
      </c>
      <c r="B679" s="108" t="s">
        <v>1616</v>
      </c>
      <c r="C679" s="108" t="s">
        <v>3279</v>
      </c>
      <c r="D679" s="108" t="s">
        <v>1557</v>
      </c>
      <c r="E679" s="108" t="s">
        <v>3279</v>
      </c>
      <c r="F679" s="114" t="s">
        <v>1558</v>
      </c>
      <c r="G679" s="213" t="s">
        <v>3122</v>
      </c>
      <c r="H679" s="115" t="s">
        <v>2715</v>
      </c>
      <c r="I679" s="109">
        <v>25000000</v>
      </c>
      <c r="J679" s="109">
        <v>5.476</v>
      </c>
      <c r="K679" s="109" t="s">
        <v>696</v>
      </c>
      <c r="L679" s="109">
        <v>1</v>
      </c>
      <c r="M679" s="109">
        <v>100</v>
      </c>
      <c r="N679" s="109">
        <v>100</v>
      </c>
      <c r="O679" s="109">
        <v>0.197744</v>
      </c>
      <c r="P679" s="115"/>
      <c r="Q679" s="771"/>
      <c r="R679" s="216">
        <v>5.8314419064431018</v>
      </c>
      <c r="S679" s="216">
        <v>5.8314419064431018</v>
      </c>
      <c r="T679" s="216">
        <v>12</v>
      </c>
      <c r="U679" s="216">
        <v>5.5535427572053946</v>
      </c>
      <c r="V679" s="765"/>
      <c r="W679" s="109"/>
      <c r="X679" s="109"/>
      <c r="Y679" s="109"/>
      <c r="Z679" s="109"/>
      <c r="AA679" s="109"/>
      <c r="AB679" s="109"/>
      <c r="AC679" s="109"/>
      <c r="AD679" s="109"/>
      <c r="AE679" s="109" t="s">
        <v>9</v>
      </c>
      <c r="AF679" s="109"/>
      <c r="AG679" s="109"/>
      <c r="AH679" s="109"/>
      <c r="AL679" s="2" t="s">
        <v>1741</v>
      </c>
      <c r="AM679" s="2" t="s">
        <v>710</v>
      </c>
      <c r="AN679" s="2" t="s">
        <v>952</v>
      </c>
      <c r="AT679" s="765"/>
    </row>
    <row r="680" spans="1:49" x14ac:dyDescent="0.25">
      <c r="A680" s="765" t="s">
        <v>5070</v>
      </c>
      <c r="B680" s="108" t="s">
        <v>1616</v>
      </c>
      <c r="C680" s="108" t="s">
        <v>5209</v>
      </c>
      <c r="D680" s="108" t="s">
        <v>1557</v>
      </c>
      <c r="E680" s="108" t="s">
        <v>5209</v>
      </c>
      <c r="F680" s="114" t="s">
        <v>1558</v>
      </c>
      <c r="G680" s="213" t="s">
        <v>5210</v>
      </c>
      <c r="H680" s="115" t="s">
        <v>2715</v>
      </c>
      <c r="I680" s="109">
        <v>25000000</v>
      </c>
      <c r="J680" s="109">
        <v>5.476</v>
      </c>
      <c r="K680" s="109" t="s">
        <v>696</v>
      </c>
      <c r="L680" s="109">
        <v>1</v>
      </c>
      <c r="M680" s="109">
        <v>100</v>
      </c>
      <c r="N680" s="109">
        <v>100</v>
      </c>
      <c r="O680" s="109">
        <v>9.1267000000000001E-2</v>
      </c>
      <c r="P680" s="115"/>
      <c r="Q680" s="771"/>
      <c r="R680" s="216">
        <v>5.8379670799982328</v>
      </c>
      <c r="S680" s="216">
        <v>5.8379670799982328</v>
      </c>
      <c r="T680" s="216">
        <v>6</v>
      </c>
      <c r="U680" s="216">
        <v>5.5532129815245383</v>
      </c>
      <c r="V680" s="765"/>
      <c r="W680" s="109"/>
      <c r="X680" s="109"/>
      <c r="Y680" s="109"/>
      <c r="Z680" s="109"/>
      <c r="AA680" s="109"/>
      <c r="AB680" s="109"/>
      <c r="AC680" s="109"/>
      <c r="AD680" s="109"/>
      <c r="AE680" s="109" t="s">
        <v>9</v>
      </c>
      <c r="AF680" s="109"/>
      <c r="AG680" s="109"/>
      <c r="AH680" s="109"/>
      <c r="AL680" s="2" t="s">
        <v>1741</v>
      </c>
      <c r="AM680" s="2" t="s">
        <v>710</v>
      </c>
      <c r="AN680" s="2" t="s">
        <v>952</v>
      </c>
      <c r="AT680" s="765"/>
    </row>
    <row r="681" spans="1:49" x14ac:dyDescent="0.25">
      <c r="A681" s="765" t="s">
        <v>3378</v>
      </c>
      <c r="B681" s="108" t="s">
        <v>1616</v>
      </c>
      <c r="C681" s="108" t="s">
        <v>3379</v>
      </c>
      <c r="D681" s="108" t="s">
        <v>1557</v>
      </c>
      <c r="E681" s="108" t="s">
        <v>3379</v>
      </c>
      <c r="F681" s="114" t="s">
        <v>1558</v>
      </c>
      <c r="G681" s="213" t="s">
        <v>4538</v>
      </c>
      <c r="H681" s="115" t="s">
        <v>2715</v>
      </c>
      <c r="I681" s="109">
        <v>25000000</v>
      </c>
      <c r="J681" s="109">
        <v>0</v>
      </c>
      <c r="K681" s="109" t="s">
        <v>696</v>
      </c>
      <c r="L681" s="109">
        <v>1</v>
      </c>
      <c r="M681" s="109">
        <v>100</v>
      </c>
      <c r="N681" s="109">
        <v>100</v>
      </c>
      <c r="O681" s="109">
        <v>0.175238</v>
      </c>
      <c r="P681" s="115"/>
      <c r="Q681" s="771"/>
      <c r="R681" s="216">
        <v>5.9715329054840849</v>
      </c>
      <c r="S681" s="216">
        <v>5.9715329054840849</v>
      </c>
      <c r="T681" s="216">
        <v>12</v>
      </c>
      <c r="U681" s="216">
        <v>4.9215360010084366</v>
      </c>
      <c r="V681" s="765"/>
      <c r="W681" s="109"/>
      <c r="X681" s="109"/>
      <c r="Y681" s="109"/>
      <c r="Z681" s="109"/>
      <c r="AA681" s="109"/>
      <c r="AB681" s="109"/>
      <c r="AC681" s="109"/>
      <c r="AD681" s="109"/>
      <c r="AE681" s="109" t="s">
        <v>9</v>
      </c>
      <c r="AF681" s="109"/>
      <c r="AG681" s="109"/>
      <c r="AH681" s="109"/>
      <c r="AL681" s="2" t="s">
        <v>1741</v>
      </c>
      <c r="AM681" s="2" t="s">
        <v>710</v>
      </c>
      <c r="AN681" s="2" t="s">
        <v>952</v>
      </c>
      <c r="AT681" s="765"/>
    </row>
    <row r="682" spans="1:49" x14ac:dyDescent="0.25">
      <c r="A682" s="765" t="s">
        <v>4506</v>
      </c>
      <c r="B682" s="108" t="s">
        <v>1616</v>
      </c>
      <c r="C682" s="108" t="s">
        <v>4539</v>
      </c>
      <c r="D682" s="108" t="s">
        <v>1557</v>
      </c>
      <c r="E682" s="108" t="s">
        <v>4539</v>
      </c>
      <c r="F682" s="114" t="s">
        <v>1558</v>
      </c>
      <c r="G682" s="213" t="s">
        <v>2941</v>
      </c>
      <c r="H682" s="115" t="s">
        <v>2715</v>
      </c>
      <c r="I682" s="109">
        <v>14000000</v>
      </c>
      <c r="J682" s="109">
        <v>0</v>
      </c>
      <c r="K682" s="109" t="s">
        <v>696</v>
      </c>
      <c r="L682" s="109">
        <v>1</v>
      </c>
      <c r="M682" s="109">
        <v>100</v>
      </c>
      <c r="N682" s="109">
        <v>100</v>
      </c>
      <c r="O682" s="109">
        <v>0.62007400000000001</v>
      </c>
      <c r="P682" s="115"/>
      <c r="Q682" s="771"/>
      <c r="R682" s="216">
        <v>5.942317635255896</v>
      </c>
      <c r="S682" s="216">
        <v>5.942317635255896</v>
      </c>
      <c r="T682" s="216">
        <v>46</v>
      </c>
      <c r="U682" s="216">
        <v>4.9237525524042827</v>
      </c>
      <c r="V682" s="765"/>
      <c r="W682" s="109"/>
      <c r="X682" s="109"/>
      <c r="Y682" s="109"/>
      <c r="Z682" s="109"/>
      <c r="AA682" s="109"/>
      <c r="AB682" s="109"/>
      <c r="AC682" s="109"/>
      <c r="AD682" s="109"/>
      <c r="AE682" s="109" t="s">
        <v>9</v>
      </c>
      <c r="AF682" s="109"/>
      <c r="AG682" s="109"/>
      <c r="AH682" s="109"/>
      <c r="AL682" s="2" t="s">
        <v>1741</v>
      </c>
      <c r="AM682" s="2" t="s">
        <v>710</v>
      </c>
      <c r="AN682" s="2" t="s">
        <v>952</v>
      </c>
      <c r="AT682" s="765"/>
    </row>
    <row r="683" spans="1:49" x14ac:dyDescent="0.25">
      <c r="A683" s="765" t="s">
        <v>4968</v>
      </c>
      <c r="B683" s="108"/>
      <c r="C683" s="108"/>
      <c r="D683" s="108"/>
      <c r="E683" s="108"/>
      <c r="F683" s="114"/>
      <c r="G683" s="213">
        <v>1</v>
      </c>
      <c r="H683" s="115">
        <v>1</v>
      </c>
      <c r="I683" s="109"/>
      <c r="J683" s="109">
        <v>0</v>
      </c>
      <c r="K683" s="109"/>
      <c r="L683" s="109">
        <v>1</v>
      </c>
      <c r="M683" s="109">
        <v>0</v>
      </c>
      <c r="N683" s="109">
        <v>0</v>
      </c>
      <c r="O683" s="109">
        <v>0</v>
      </c>
      <c r="P683" s="115"/>
      <c r="Q683" s="771"/>
      <c r="R683" s="216"/>
      <c r="S683" s="216"/>
      <c r="T683" s="216">
        <v>0</v>
      </c>
      <c r="U683" s="216"/>
      <c r="V683" s="765"/>
      <c r="W683" s="109"/>
      <c r="X683" s="109"/>
      <c r="Y683" s="109"/>
      <c r="Z683" s="109"/>
      <c r="AA683" s="109"/>
      <c r="AB683" s="109"/>
      <c r="AC683" s="109"/>
      <c r="AD683" s="109"/>
      <c r="AE683" s="109" t="s">
        <v>9</v>
      </c>
      <c r="AF683" s="109"/>
      <c r="AG683" s="109"/>
      <c r="AH683" s="109"/>
      <c r="AL683" s="2" t="s">
        <v>680</v>
      </c>
      <c r="AM683" s="2" t="s">
        <v>710</v>
      </c>
      <c r="AN683" s="2" t="s">
        <v>952</v>
      </c>
      <c r="AT683" s="765"/>
    </row>
    <row r="684" spans="1:49" x14ac:dyDescent="0.25">
      <c r="A684" s="765" t="s">
        <v>980</v>
      </c>
      <c r="B684" s="108"/>
      <c r="C684" s="108"/>
      <c r="D684" s="108"/>
      <c r="E684" s="108"/>
      <c r="F684" s="114"/>
      <c r="G684" s="213">
        <v>1</v>
      </c>
      <c r="H684" s="115">
        <v>1</v>
      </c>
      <c r="I684" s="109"/>
      <c r="J684" s="109">
        <v>0</v>
      </c>
      <c r="K684" s="109"/>
      <c r="L684" s="109">
        <v>1</v>
      </c>
      <c r="M684" s="109">
        <v>0</v>
      </c>
      <c r="N684" s="109">
        <v>0</v>
      </c>
      <c r="O684" s="109">
        <v>0</v>
      </c>
      <c r="P684" s="115"/>
      <c r="Q684" s="771"/>
      <c r="R684" s="216"/>
      <c r="S684" s="216"/>
      <c r="T684" s="216">
        <v>0</v>
      </c>
      <c r="U684" s="216"/>
      <c r="V684" s="765"/>
      <c r="W684" s="109"/>
      <c r="X684" s="109"/>
      <c r="Y684" s="109"/>
      <c r="Z684" s="109"/>
      <c r="AA684" s="109"/>
      <c r="AB684" s="109"/>
      <c r="AC684" s="109"/>
      <c r="AD684" s="109"/>
      <c r="AE684" s="109" t="s">
        <v>9</v>
      </c>
      <c r="AF684" s="109"/>
      <c r="AG684" s="109"/>
      <c r="AH684" s="109"/>
      <c r="AL684" s="2" t="s">
        <v>680</v>
      </c>
      <c r="AM684" s="2" t="s">
        <v>3280</v>
      </c>
      <c r="AN684" s="2" t="s">
        <v>952</v>
      </c>
      <c r="AT684" s="765"/>
    </row>
    <row r="685" spans="1:49" x14ac:dyDescent="0.25">
      <c r="A685" s="765" t="s">
        <v>4420</v>
      </c>
      <c r="B685" s="108" t="s">
        <v>953</v>
      </c>
      <c r="C685" s="108" t="s">
        <v>4421</v>
      </c>
      <c r="D685" s="108" t="s">
        <v>954</v>
      </c>
      <c r="E685" s="108" t="s">
        <v>4421</v>
      </c>
      <c r="F685" s="114" t="s">
        <v>697</v>
      </c>
      <c r="G685" s="213" t="s">
        <v>4484</v>
      </c>
      <c r="H685" s="115" t="s">
        <v>1108</v>
      </c>
      <c r="I685" s="109">
        <v>44202000000</v>
      </c>
      <c r="J685" s="109">
        <v>3.5</v>
      </c>
      <c r="K685" s="109" t="s">
        <v>696</v>
      </c>
      <c r="L685" s="109">
        <v>1</v>
      </c>
      <c r="M685" s="109">
        <v>112.459</v>
      </c>
      <c r="N685" s="109">
        <v>112.5125</v>
      </c>
      <c r="O685" s="109">
        <v>3.2315070000000001</v>
      </c>
      <c r="P685" s="115"/>
      <c r="Q685" s="771">
        <v>3.7817263423107299</v>
      </c>
      <c r="R685" s="216">
        <v>3.755309314903954</v>
      </c>
      <c r="S685" s="216">
        <v>3.7817263423107299</v>
      </c>
      <c r="T685" s="216">
        <v>337</v>
      </c>
      <c r="U685" s="216">
        <v>0.40791220104897757</v>
      </c>
      <c r="V685" s="765"/>
      <c r="W685" s="109"/>
      <c r="X685" s="109">
        <v>10.616108094427011</v>
      </c>
      <c r="Y685" s="109"/>
      <c r="Z685" s="109"/>
      <c r="AA685" s="109"/>
      <c r="AB685" s="109"/>
      <c r="AC685" s="109"/>
      <c r="AD685" s="109"/>
      <c r="AE685" s="109" t="s">
        <v>8</v>
      </c>
      <c r="AF685" s="109"/>
      <c r="AG685" s="109" t="s">
        <v>4422</v>
      </c>
      <c r="AH685" s="109" t="s">
        <v>4423</v>
      </c>
      <c r="AJ685" s="2" t="s">
        <v>4424</v>
      </c>
      <c r="AL685" s="2" t="s">
        <v>1583</v>
      </c>
      <c r="AM685" s="2" t="s">
        <v>1665</v>
      </c>
      <c r="AN685" s="2" t="s">
        <v>951</v>
      </c>
      <c r="AT685" s="765"/>
    </row>
    <row r="686" spans="1:49" x14ac:dyDescent="0.25">
      <c r="A686" s="765" t="s">
        <v>4510</v>
      </c>
      <c r="B686" s="108" t="s">
        <v>1615</v>
      </c>
      <c r="C686" s="108" t="s">
        <v>4540</v>
      </c>
      <c r="D686" s="108" t="s">
        <v>1557</v>
      </c>
      <c r="E686" s="108" t="s">
        <v>4540</v>
      </c>
      <c r="F686" s="114" t="s">
        <v>1558</v>
      </c>
      <c r="G686" s="213" t="s">
        <v>5211</v>
      </c>
      <c r="H686" s="115" t="s">
        <v>5212</v>
      </c>
      <c r="I686" s="109">
        <v>66202000</v>
      </c>
      <c r="J686" s="109">
        <v>1.363</v>
      </c>
      <c r="K686" s="109" t="s">
        <v>696</v>
      </c>
      <c r="L686" s="109">
        <v>1</v>
      </c>
      <c r="M686" s="109">
        <v>100</v>
      </c>
      <c r="N686" s="109">
        <v>100</v>
      </c>
      <c r="O686" s="109">
        <v>2.2717000000000001E-2</v>
      </c>
      <c r="P686" s="115"/>
      <c r="Q686" s="771"/>
      <c r="R686" s="216">
        <v>6.459985883068204</v>
      </c>
      <c r="S686" s="216">
        <v>6.459985883068204</v>
      </c>
      <c r="T686" s="216">
        <v>6</v>
      </c>
      <c r="U686" s="216">
        <v>4.9128989344601692E-2</v>
      </c>
      <c r="V686" s="765"/>
      <c r="W686" s="109"/>
      <c r="X686" s="109"/>
      <c r="Y686" s="109"/>
      <c r="Z686" s="109"/>
      <c r="AA686" s="109"/>
      <c r="AB686" s="109"/>
      <c r="AC686" s="109"/>
      <c r="AD686" s="109"/>
      <c r="AE686" s="109" t="s">
        <v>9</v>
      </c>
      <c r="AF686" s="109"/>
      <c r="AG686" s="109"/>
      <c r="AH686" s="109"/>
      <c r="AL686" s="2" t="s">
        <v>1741</v>
      </c>
      <c r="AM686" s="2" t="s">
        <v>710</v>
      </c>
      <c r="AN686" s="2" t="s">
        <v>952</v>
      </c>
      <c r="AT686" s="765"/>
    </row>
    <row r="687" spans="1:49" x14ac:dyDescent="0.25">
      <c r="A687" s="765" t="s">
        <v>4509</v>
      </c>
      <c r="B687" s="108" t="s">
        <v>1615</v>
      </c>
      <c r="C687" s="108" t="s">
        <v>4541</v>
      </c>
      <c r="D687" s="108" t="s">
        <v>1557</v>
      </c>
      <c r="E687" s="108" t="s">
        <v>4541</v>
      </c>
      <c r="F687" s="114" t="s">
        <v>1558</v>
      </c>
      <c r="G687" s="213" t="s">
        <v>5211</v>
      </c>
      <c r="H687" s="115" t="s">
        <v>5212</v>
      </c>
      <c r="I687" s="109">
        <v>3808000</v>
      </c>
      <c r="J687" s="109">
        <v>1.363</v>
      </c>
      <c r="K687" s="109" t="s">
        <v>696</v>
      </c>
      <c r="L687" s="109">
        <v>1</v>
      </c>
      <c r="M687" s="109">
        <v>100</v>
      </c>
      <c r="N687" s="109">
        <v>100</v>
      </c>
      <c r="O687" s="109">
        <v>2.2717000000000001E-2</v>
      </c>
      <c r="P687" s="115"/>
      <c r="Q687" s="771"/>
      <c r="R687" s="216">
        <v>6.459985883068204</v>
      </c>
      <c r="S687" s="216">
        <v>6.459985883068204</v>
      </c>
      <c r="T687" s="216">
        <v>6</v>
      </c>
      <c r="U687" s="216">
        <v>4.9128989344601692E-2</v>
      </c>
      <c r="V687" s="765"/>
      <c r="W687" s="109"/>
      <c r="X687" s="109"/>
      <c r="Y687" s="109"/>
      <c r="Z687" s="109"/>
      <c r="AA687" s="109"/>
      <c r="AB687" s="109"/>
      <c r="AC687" s="109"/>
      <c r="AD687" s="109"/>
      <c r="AE687" s="109" t="s">
        <v>9</v>
      </c>
      <c r="AF687" s="109"/>
      <c r="AG687" s="109"/>
      <c r="AH687" s="109"/>
      <c r="AL687" s="2" t="s">
        <v>1741</v>
      </c>
      <c r="AM687" s="2" t="s">
        <v>710</v>
      </c>
      <c r="AN687" s="2" t="s">
        <v>952</v>
      </c>
      <c r="AT687" s="765"/>
    </row>
    <row r="688" spans="1:49" x14ac:dyDescent="0.25">
      <c r="A688" s="765" t="s">
        <v>4599</v>
      </c>
      <c r="B688" s="108" t="s">
        <v>1616</v>
      </c>
      <c r="C688" s="108" t="s">
        <v>4821</v>
      </c>
      <c r="D688" s="108" t="s">
        <v>1557</v>
      </c>
      <c r="E688" s="108" t="s">
        <v>4821</v>
      </c>
      <c r="F688" s="114" t="s">
        <v>1558</v>
      </c>
      <c r="G688" s="213" t="s">
        <v>4822</v>
      </c>
      <c r="H688" s="115" t="s">
        <v>2715</v>
      </c>
      <c r="I688" s="109">
        <v>10000000</v>
      </c>
      <c r="J688" s="109">
        <v>2.6657000000000002</v>
      </c>
      <c r="K688" s="109" t="s">
        <v>696</v>
      </c>
      <c r="L688" s="109">
        <v>1</v>
      </c>
      <c r="M688" s="109">
        <v>100</v>
      </c>
      <c r="N688" s="109">
        <v>100</v>
      </c>
      <c r="O688" s="109">
        <v>0.148094</v>
      </c>
      <c r="P688" s="115"/>
      <c r="Q688" s="771"/>
      <c r="R688" s="216">
        <v>6.4972345664118629</v>
      </c>
      <c r="S688" s="216">
        <v>6.4972345664118629</v>
      </c>
      <c r="T688" s="216">
        <v>19</v>
      </c>
      <c r="U688" s="216">
        <v>2.7037732217047168</v>
      </c>
      <c r="V688" s="765"/>
      <c r="W688" s="109"/>
      <c r="X688" s="109"/>
      <c r="Y688" s="109"/>
      <c r="Z688" s="109"/>
      <c r="AA688" s="109"/>
      <c r="AB688" s="109"/>
      <c r="AC688" s="109"/>
      <c r="AD688" s="109"/>
      <c r="AE688" s="109" t="s">
        <v>9</v>
      </c>
      <c r="AF688" s="109"/>
      <c r="AG688" s="109"/>
      <c r="AH688" s="109"/>
      <c r="AL688" s="2" t="s">
        <v>1741</v>
      </c>
      <c r="AM688" s="2" t="s">
        <v>710</v>
      </c>
      <c r="AN688" s="2" t="s">
        <v>952</v>
      </c>
      <c r="AT688" s="765"/>
    </row>
    <row r="689" spans="1:46" x14ac:dyDescent="0.25">
      <c r="A689" s="765" t="s">
        <v>879</v>
      </c>
      <c r="B689" s="108"/>
      <c r="C689" s="108"/>
      <c r="D689" s="108"/>
      <c r="E689" s="108"/>
      <c r="F689" s="114"/>
      <c r="G689" s="213">
        <v>1</v>
      </c>
      <c r="H689" s="115">
        <v>1</v>
      </c>
      <c r="I689" s="109"/>
      <c r="J689" s="109">
        <v>0</v>
      </c>
      <c r="K689" s="109"/>
      <c r="L689" s="109">
        <v>1</v>
      </c>
      <c r="M689" s="109">
        <v>0</v>
      </c>
      <c r="N689" s="109">
        <v>0</v>
      </c>
      <c r="O689" s="109">
        <v>0</v>
      </c>
      <c r="P689" s="115"/>
      <c r="Q689" s="771"/>
      <c r="R689" s="216"/>
      <c r="S689" s="216"/>
      <c r="T689" s="216">
        <v>0</v>
      </c>
      <c r="U689" s="216"/>
      <c r="V689" s="765"/>
      <c r="W689" s="109"/>
      <c r="X689" s="109"/>
      <c r="Y689" s="109"/>
      <c r="Z689" s="109"/>
      <c r="AA689" s="109"/>
      <c r="AB689" s="109"/>
      <c r="AC689" s="109"/>
      <c r="AD689" s="109"/>
      <c r="AE689" s="109" t="s">
        <v>9</v>
      </c>
      <c r="AF689" s="109"/>
      <c r="AG689" s="109"/>
      <c r="AH689" s="109"/>
      <c r="AL689" s="2" t="s">
        <v>680</v>
      </c>
      <c r="AM689" s="2" t="s">
        <v>3280</v>
      </c>
      <c r="AN689" s="2" t="s">
        <v>952</v>
      </c>
      <c r="AT689" s="765"/>
    </row>
    <row r="690" spans="1:46" x14ac:dyDescent="0.25">
      <c r="A690" s="765" t="s">
        <v>1724</v>
      </c>
      <c r="B690" s="108"/>
      <c r="C690" s="108"/>
      <c r="D690" s="108"/>
      <c r="E690" s="108"/>
      <c r="F690" s="114"/>
      <c r="G690" s="213">
        <v>1</v>
      </c>
      <c r="H690" s="115">
        <v>1</v>
      </c>
      <c r="I690" s="109"/>
      <c r="J690" s="109">
        <v>0</v>
      </c>
      <c r="K690" s="109"/>
      <c r="L690" s="109">
        <v>1</v>
      </c>
      <c r="M690" s="109">
        <v>0</v>
      </c>
      <c r="N690" s="109">
        <v>0</v>
      </c>
      <c r="O690" s="109">
        <v>0</v>
      </c>
      <c r="P690" s="115"/>
      <c r="Q690" s="771"/>
      <c r="R690" s="216"/>
      <c r="S690" s="216"/>
      <c r="T690" s="216">
        <v>0</v>
      </c>
      <c r="U690" s="216"/>
      <c r="V690" s="765"/>
      <c r="W690" s="109"/>
      <c r="X690" s="109"/>
      <c r="Y690" s="109"/>
      <c r="Z690" s="109"/>
      <c r="AA690" s="109"/>
      <c r="AB690" s="109"/>
      <c r="AC690" s="109"/>
      <c r="AD690" s="109"/>
      <c r="AE690" s="109" t="s">
        <v>9</v>
      </c>
      <c r="AF690" s="109"/>
      <c r="AG690" s="109"/>
      <c r="AH690" s="109"/>
      <c r="AL690" s="2" t="s">
        <v>680</v>
      </c>
      <c r="AM690" s="2" t="s">
        <v>3280</v>
      </c>
      <c r="AN690" s="2" t="s">
        <v>952</v>
      </c>
      <c r="AT690" s="765"/>
    </row>
    <row r="691" spans="1:46" x14ac:dyDescent="0.25">
      <c r="A691" s="765" t="s">
        <v>3011</v>
      </c>
      <c r="B691" s="108" t="s">
        <v>1616</v>
      </c>
      <c r="C691" s="108" t="s">
        <v>3123</v>
      </c>
      <c r="D691" s="108" t="s">
        <v>1557</v>
      </c>
      <c r="E691" s="108" t="s">
        <v>3123</v>
      </c>
      <c r="F691" s="114" t="s">
        <v>1558</v>
      </c>
      <c r="G691" s="213" t="s">
        <v>2941</v>
      </c>
      <c r="H691" s="115" t="s">
        <v>2715</v>
      </c>
      <c r="I691" s="109">
        <v>14000000</v>
      </c>
      <c r="J691" s="109">
        <v>3.5760000000000001</v>
      </c>
      <c r="K691" s="109" t="s">
        <v>696</v>
      </c>
      <c r="L691" s="109">
        <v>1</v>
      </c>
      <c r="M691" s="109">
        <v>100</v>
      </c>
      <c r="N691" s="109">
        <v>100</v>
      </c>
      <c r="O691" s="109">
        <v>0.45693299999999998</v>
      </c>
      <c r="P691" s="115"/>
      <c r="Q691" s="771"/>
      <c r="R691" s="216">
        <v>6.2500397541353214</v>
      </c>
      <c r="S691" s="216">
        <v>6.2500397541353214</v>
      </c>
      <c r="T691" s="216">
        <v>45</v>
      </c>
      <c r="U691" s="216">
        <v>3.6282840952191742</v>
      </c>
      <c r="V691" s="765"/>
      <c r="W691" s="109"/>
      <c r="X691" s="109"/>
      <c r="Y691" s="109"/>
      <c r="Z691" s="109"/>
      <c r="AA691" s="109"/>
      <c r="AB691" s="109"/>
      <c r="AC691" s="109"/>
      <c r="AD691" s="109"/>
      <c r="AE691" s="109" t="s">
        <v>9</v>
      </c>
      <c r="AF691" s="109"/>
      <c r="AG691" s="109"/>
      <c r="AH691" s="109"/>
      <c r="AL691" s="2" t="s">
        <v>1741</v>
      </c>
      <c r="AM691" s="2" t="s">
        <v>710</v>
      </c>
      <c r="AN691" s="2" t="s">
        <v>952</v>
      </c>
      <c r="AT691" s="765"/>
    </row>
    <row r="692" spans="1:46" x14ac:dyDescent="0.25">
      <c r="A692" s="765" t="s">
        <v>2933</v>
      </c>
      <c r="B692" s="108" t="s">
        <v>1616</v>
      </c>
      <c r="C692" s="108" t="s">
        <v>3380</v>
      </c>
      <c r="D692" s="108" t="s">
        <v>1557</v>
      </c>
      <c r="E692" s="108" t="s">
        <v>3380</v>
      </c>
      <c r="F692" s="114" t="s">
        <v>1558</v>
      </c>
      <c r="G692" s="213" t="s">
        <v>5213</v>
      </c>
      <c r="H692" s="115" t="s">
        <v>2715</v>
      </c>
      <c r="I692" s="109">
        <v>14000000</v>
      </c>
      <c r="J692" s="109">
        <v>3.5760000000000001</v>
      </c>
      <c r="K692" s="109" t="s">
        <v>696</v>
      </c>
      <c r="L692" s="109">
        <v>1</v>
      </c>
      <c r="M692" s="109">
        <v>100</v>
      </c>
      <c r="N692" s="109">
        <v>100</v>
      </c>
      <c r="O692" s="109">
        <v>5.96E-2</v>
      </c>
      <c r="P692" s="115"/>
      <c r="Q692" s="771"/>
      <c r="R692" s="216">
        <v>6.277905764667425</v>
      </c>
      <c r="S692" s="216">
        <v>6.277905764667425</v>
      </c>
      <c r="T692" s="216">
        <v>5</v>
      </c>
      <c r="U692" s="216">
        <v>3.6265694101542971</v>
      </c>
      <c r="V692" s="765"/>
      <c r="W692" s="109"/>
      <c r="X692" s="109"/>
      <c r="Y692" s="109"/>
      <c r="Z692" s="109"/>
      <c r="AA692" s="109"/>
      <c r="AB692" s="109"/>
      <c r="AC692" s="109"/>
      <c r="AD692" s="109"/>
      <c r="AE692" s="109" t="s">
        <v>9</v>
      </c>
      <c r="AF692" s="109"/>
      <c r="AG692" s="109"/>
      <c r="AH692" s="109"/>
      <c r="AL692" s="2" t="s">
        <v>1741</v>
      </c>
      <c r="AM692" s="2" t="s">
        <v>710</v>
      </c>
      <c r="AN692" s="2" t="s">
        <v>952</v>
      </c>
      <c r="AT692" s="765"/>
    </row>
    <row r="693" spans="1:46" x14ac:dyDescent="0.25">
      <c r="A693" s="765" t="s">
        <v>2934</v>
      </c>
      <c r="B693" s="108" t="s">
        <v>1616</v>
      </c>
      <c r="C693" s="108" t="s">
        <v>3381</v>
      </c>
      <c r="D693" s="108" t="s">
        <v>1557</v>
      </c>
      <c r="E693" s="108" t="s">
        <v>3381</v>
      </c>
      <c r="F693" s="114" t="s">
        <v>1558</v>
      </c>
      <c r="G693" s="213" t="s">
        <v>2941</v>
      </c>
      <c r="H693" s="115" t="s">
        <v>2715</v>
      </c>
      <c r="I693" s="109">
        <v>14000000</v>
      </c>
      <c r="J693" s="109">
        <v>0</v>
      </c>
      <c r="K693" s="109" t="s">
        <v>696</v>
      </c>
      <c r="L693" s="109">
        <v>1</v>
      </c>
      <c r="M693" s="109">
        <v>100</v>
      </c>
      <c r="N693" s="109">
        <v>100</v>
      </c>
      <c r="O693" s="109">
        <v>0.37729600000000002</v>
      </c>
      <c r="P693" s="115"/>
      <c r="Q693" s="771"/>
      <c r="R693" s="216">
        <v>6.4080397694582496</v>
      </c>
      <c r="S693" s="216">
        <v>6.4080397694582496</v>
      </c>
      <c r="T693" s="216">
        <v>46</v>
      </c>
      <c r="U693" s="216">
        <v>2.9959033986623962</v>
      </c>
      <c r="V693" s="765"/>
      <c r="W693" s="109"/>
      <c r="X693" s="109"/>
      <c r="Y693" s="109"/>
      <c r="Z693" s="109"/>
      <c r="AA693" s="109"/>
      <c r="AB693" s="109"/>
      <c r="AC693" s="109"/>
      <c r="AD693" s="109"/>
      <c r="AE693" s="109" t="s">
        <v>9</v>
      </c>
      <c r="AF693" s="109"/>
      <c r="AG693" s="109"/>
      <c r="AH693" s="109"/>
      <c r="AL693" s="2" t="s">
        <v>1741</v>
      </c>
      <c r="AM693" s="2" t="s">
        <v>710</v>
      </c>
      <c r="AN693" s="2" t="s">
        <v>952</v>
      </c>
      <c r="AT693" s="765"/>
    </row>
    <row r="694" spans="1:46" x14ac:dyDescent="0.25">
      <c r="A694" s="765" t="s">
        <v>5214</v>
      </c>
      <c r="B694" s="108" t="s">
        <v>529</v>
      </c>
      <c r="C694" s="108" t="s">
        <v>1569</v>
      </c>
      <c r="D694" s="108" t="s">
        <v>530</v>
      </c>
      <c r="E694" s="108" t="s">
        <v>5215</v>
      </c>
      <c r="F694" s="114" t="s">
        <v>698</v>
      </c>
      <c r="G694" s="213" t="s">
        <v>1570</v>
      </c>
      <c r="H694" s="115" t="s">
        <v>1571</v>
      </c>
      <c r="I694" s="109">
        <v>0</v>
      </c>
      <c r="J694" s="109">
        <v>1.3740000000000001</v>
      </c>
      <c r="K694" s="109" t="s">
        <v>695</v>
      </c>
      <c r="L694" s="109">
        <v>0</v>
      </c>
      <c r="M694" s="109">
        <v>0</v>
      </c>
      <c r="N694" s="109">
        <v>0</v>
      </c>
      <c r="O694" s="109">
        <v>0</v>
      </c>
      <c r="P694" s="115"/>
      <c r="Q694" s="771"/>
      <c r="R694" s="216"/>
      <c r="S694" s="216">
        <v>5.5643835616438357</v>
      </c>
      <c r="T694" s="216">
        <v>69</v>
      </c>
      <c r="U694" s="216"/>
      <c r="V694" s="765"/>
      <c r="W694" s="109">
        <v>115</v>
      </c>
      <c r="X694" s="109"/>
      <c r="Y694" s="109" t="s">
        <v>2667</v>
      </c>
      <c r="Z694" s="109"/>
      <c r="AA694" s="109"/>
      <c r="AB694" s="109"/>
      <c r="AC694" s="109"/>
      <c r="AD694" s="109"/>
      <c r="AE694" s="109" t="s">
        <v>522</v>
      </c>
      <c r="AF694" s="109"/>
      <c r="AG694" s="109" t="s">
        <v>1066</v>
      </c>
      <c r="AH694" s="109" t="s">
        <v>2668</v>
      </c>
      <c r="AL694" s="2" t="s">
        <v>1583</v>
      </c>
      <c r="AM694" s="2" t="s">
        <v>711</v>
      </c>
      <c r="AN694" s="2" t="s">
        <v>951</v>
      </c>
      <c r="AO694" s="2">
        <v>0.99452180300000004</v>
      </c>
      <c r="AP694" s="2" t="s">
        <v>3404</v>
      </c>
      <c r="AQ694" s="2" t="s">
        <v>2842</v>
      </c>
      <c r="AR694" s="2" t="s">
        <v>3969</v>
      </c>
      <c r="AT694" s="765"/>
    </row>
    <row r="695" spans="1:46" x14ac:dyDescent="0.25">
      <c r="A695" s="765" t="s">
        <v>1572</v>
      </c>
      <c r="B695" s="108" t="s">
        <v>529</v>
      </c>
      <c r="C695" s="108" t="s">
        <v>1573</v>
      </c>
      <c r="D695" s="108" t="s">
        <v>530</v>
      </c>
      <c r="E695" s="108" t="s">
        <v>1574</v>
      </c>
      <c r="F695" s="114" t="s">
        <v>698</v>
      </c>
      <c r="G695" s="213" t="s">
        <v>1575</v>
      </c>
      <c r="H695" s="115" t="s">
        <v>1576</v>
      </c>
      <c r="I695" s="109">
        <v>191580278.94</v>
      </c>
      <c r="J695" s="109">
        <v>1.3240000000000001</v>
      </c>
      <c r="K695" s="109" t="s">
        <v>695</v>
      </c>
      <c r="L695" s="109">
        <v>0.49123148449999998</v>
      </c>
      <c r="M695" s="109">
        <v>0</v>
      </c>
      <c r="N695" s="109">
        <v>0</v>
      </c>
      <c r="O695" s="109">
        <v>0.24641099999999999</v>
      </c>
      <c r="P695" s="115">
        <v>2.1515</v>
      </c>
      <c r="Q695" s="771"/>
      <c r="R695" s="216"/>
      <c r="S695" s="216">
        <v>2.1515</v>
      </c>
      <c r="T695" s="216">
        <v>66</v>
      </c>
      <c r="U695" s="216"/>
      <c r="V695" s="765"/>
      <c r="W695" s="109">
        <v>107</v>
      </c>
      <c r="X695" s="109"/>
      <c r="Y695" s="109" t="s">
        <v>994</v>
      </c>
      <c r="Z695" s="109"/>
      <c r="AA695" s="109"/>
      <c r="AB695" s="109"/>
      <c r="AC695" s="109"/>
      <c r="AD695" s="109"/>
      <c r="AE695" s="109" t="s">
        <v>7</v>
      </c>
      <c r="AF695" s="109"/>
      <c r="AG695" s="109" t="s">
        <v>1062</v>
      </c>
      <c r="AH695" s="109" t="s">
        <v>7</v>
      </c>
      <c r="AL695" s="2" t="s">
        <v>1583</v>
      </c>
      <c r="AM695" s="2" t="s">
        <v>711</v>
      </c>
      <c r="AN695" s="2" t="s">
        <v>951</v>
      </c>
      <c r="AO695" s="2">
        <v>0.58484268800000005</v>
      </c>
      <c r="AP695" s="2" t="s">
        <v>4792</v>
      </c>
      <c r="AQ695" s="2" t="s">
        <v>3404</v>
      </c>
      <c r="AR695" s="2" t="s">
        <v>3969</v>
      </c>
      <c r="AT695" s="765"/>
    </row>
    <row r="696" spans="1:46" x14ac:dyDescent="0.25">
      <c r="A696" s="765" t="s">
        <v>1561</v>
      </c>
      <c r="B696" s="108" t="s">
        <v>529</v>
      </c>
      <c r="C696" s="108" t="s">
        <v>1569</v>
      </c>
      <c r="D696" s="108" t="s">
        <v>530</v>
      </c>
      <c r="E696" s="108" t="s">
        <v>1577</v>
      </c>
      <c r="F696" s="114" t="s">
        <v>698</v>
      </c>
      <c r="G696" s="213" t="s">
        <v>1570</v>
      </c>
      <c r="H696" s="115" t="s">
        <v>1571</v>
      </c>
      <c r="I696" s="109">
        <v>0</v>
      </c>
      <c r="J696" s="109">
        <v>1.3740000000000001</v>
      </c>
      <c r="K696" s="109" t="s">
        <v>695</v>
      </c>
      <c r="L696" s="109">
        <v>0</v>
      </c>
      <c r="M696" s="109">
        <v>0</v>
      </c>
      <c r="N696" s="109">
        <v>0</v>
      </c>
      <c r="O696" s="109">
        <v>0</v>
      </c>
      <c r="P696" s="115"/>
      <c r="Q696" s="771"/>
      <c r="R696" s="216"/>
      <c r="S696" s="216">
        <v>5.5643835616438357</v>
      </c>
      <c r="T696" s="216">
        <v>69</v>
      </c>
      <c r="U696" s="216"/>
      <c r="V696" s="765"/>
      <c r="W696" s="109">
        <v>115</v>
      </c>
      <c r="X696" s="109"/>
      <c r="Y696" s="109" t="s">
        <v>2667</v>
      </c>
      <c r="Z696" s="109"/>
      <c r="AA696" s="109"/>
      <c r="AB696" s="109"/>
      <c r="AC696" s="109"/>
      <c r="AD696" s="109"/>
      <c r="AE696" s="109" t="s">
        <v>522</v>
      </c>
      <c r="AF696" s="109"/>
      <c r="AG696" s="109" t="s">
        <v>1066</v>
      </c>
      <c r="AH696" s="109" t="s">
        <v>2668</v>
      </c>
      <c r="AL696" s="2" t="s">
        <v>1583</v>
      </c>
      <c r="AM696" s="2" t="s">
        <v>711</v>
      </c>
      <c r="AN696" s="2" t="s">
        <v>951</v>
      </c>
      <c r="AO696" s="2">
        <v>0.99452180300000004</v>
      </c>
      <c r="AP696" s="2" t="s">
        <v>3404</v>
      </c>
      <c r="AQ696" s="2" t="s">
        <v>2842</v>
      </c>
      <c r="AR696" s="2" t="s">
        <v>3969</v>
      </c>
      <c r="AT696" s="765"/>
    </row>
    <row r="697" spans="1:46" x14ac:dyDescent="0.25">
      <c r="A697" s="765" t="s">
        <v>2214</v>
      </c>
      <c r="B697" s="108" t="s">
        <v>527</v>
      </c>
      <c r="C697" s="108" t="s">
        <v>1974</v>
      </c>
      <c r="D697" s="108" t="s">
        <v>3787</v>
      </c>
      <c r="E697" s="108" t="s">
        <v>2835</v>
      </c>
      <c r="F697" s="114" t="s">
        <v>694</v>
      </c>
      <c r="G697" s="213" t="s">
        <v>2054</v>
      </c>
      <c r="H697" s="115" t="s">
        <v>2055</v>
      </c>
      <c r="I697" s="109">
        <v>68192000</v>
      </c>
      <c r="J697" s="109">
        <v>3.3985699999999999</v>
      </c>
      <c r="K697" s="109" t="s">
        <v>695</v>
      </c>
      <c r="L697" s="109">
        <v>1</v>
      </c>
      <c r="M697" s="109">
        <v>0</v>
      </c>
      <c r="N697" s="109">
        <v>0</v>
      </c>
      <c r="O697" s="109">
        <v>6.6083000000000003E-2</v>
      </c>
      <c r="P697" s="115">
        <v>0.106</v>
      </c>
      <c r="Q697" s="771"/>
      <c r="R697" s="216"/>
      <c r="S697" s="216">
        <v>0.106</v>
      </c>
      <c r="T697" s="216">
        <v>6</v>
      </c>
      <c r="U697" s="216"/>
      <c r="V697" s="765"/>
      <c r="W697" s="109">
        <v>295</v>
      </c>
      <c r="X697" s="109"/>
      <c r="Y697" s="109" t="s">
        <v>2056</v>
      </c>
      <c r="Z697" s="109">
        <v>1.4698118445390369</v>
      </c>
      <c r="AA697" s="109">
        <v>30.808160065524209</v>
      </c>
      <c r="AB697" s="109"/>
      <c r="AC697" s="109"/>
      <c r="AD697" s="109"/>
      <c r="AE697" s="109" t="s">
        <v>10</v>
      </c>
      <c r="AF697" s="109"/>
      <c r="AG697" s="109" t="s">
        <v>522</v>
      </c>
      <c r="AH697" s="109"/>
      <c r="AI697" s="2" t="s">
        <v>20</v>
      </c>
      <c r="AL697" s="2" t="s">
        <v>1583</v>
      </c>
      <c r="AM697" s="2" t="s">
        <v>1656</v>
      </c>
      <c r="AN697" s="2" t="s">
        <v>951</v>
      </c>
      <c r="AO697" s="2">
        <v>1</v>
      </c>
      <c r="AP697" s="2" t="s">
        <v>4670</v>
      </c>
      <c r="AQ697" s="2" t="s">
        <v>4818</v>
      </c>
      <c r="AR697" s="2" t="s">
        <v>4727</v>
      </c>
      <c r="AT697" s="765"/>
    </row>
    <row r="698" spans="1:46" x14ac:dyDescent="0.25">
      <c r="A698" s="765" t="s">
        <v>3383</v>
      </c>
      <c r="B698" s="108" t="s">
        <v>529</v>
      </c>
      <c r="C698" s="108" t="s">
        <v>3382</v>
      </c>
      <c r="D698" s="108" t="s">
        <v>530</v>
      </c>
      <c r="E698" s="108" t="s">
        <v>3384</v>
      </c>
      <c r="F698" s="114" t="s">
        <v>698</v>
      </c>
      <c r="G698" s="213" t="s">
        <v>3385</v>
      </c>
      <c r="H698" s="115" t="s">
        <v>3386</v>
      </c>
      <c r="I698" s="109">
        <v>22000000</v>
      </c>
      <c r="J698" s="109">
        <v>5.1912900000000004</v>
      </c>
      <c r="K698" s="109" t="s">
        <v>695</v>
      </c>
      <c r="L698" s="109">
        <v>1</v>
      </c>
      <c r="M698" s="109">
        <v>0</v>
      </c>
      <c r="N698" s="109">
        <v>0</v>
      </c>
      <c r="O698" s="109">
        <v>0.99499700000000002</v>
      </c>
      <c r="P698" s="115">
        <v>3.9756999999999998</v>
      </c>
      <c r="Q698" s="771"/>
      <c r="R698" s="216"/>
      <c r="S698" s="216">
        <v>3.9756999999999998</v>
      </c>
      <c r="T698" s="216">
        <v>68</v>
      </c>
      <c r="U698" s="216"/>
      <c r="V698" s="765"/>
      <c r="W698" s="109">
        <v>495</v>
      </c>
      <c r="X698" s="109"/>
      <c r="Y698" s="109" t="s">
        <v>992</v>
      </c>
      <c r="Z698" s="109"/>
      <c r="AA698" s="109"/>
      <c r="AB698" s="109"/>
      <c r="AC698" s="109"/>
      <c r="AD698" s="109"/>
      <c r="AE698" s="109" t="s">
        <v>13</v>
      </c>
      <c r="AF698" s="109" t="s">
        <v>13</v>
      </c>
      <c r="AG698" s="109" t="s">
        <v>522</v>
      </c>
      <c r="AH698" s="109"/>
      <c r="AL698" s="2" t="s">
        <v>1583</v>
      </c>
      <c r="AM698" s="2" t="s">
        <v>711</v>
      </c>
      <c r="AN698" s="2" t="s">
        <v>951</v>
      </c>
      <c r="AO698" s="2">
        <v>1</v>
      </c>
      <c r="AP698" s="2" t="s">
        <v>4793</v>
      </c>
      <c r="AQ698" s="2" t="s">
        <v>3194</v>
      </c>
      <c r="AR698" s="2" t="s">
        <v>4661</v>
      </c>
      <c r="AT698" s="765"/>
    </row>
    <row r="699" spans="1:46" x14ac:dyDescent="0.25">
      <c r="A699" s="765" t="s">
        <v>2637</v>
      </c>
      <c r="B699" s="108" t="s">
        <v>527</v>
      </c>
      <c r="C699" s="108" t="s">
        <v>2066</v>
      </c>
      <c r="D699" s="108" t="s">
        <v>5207</v>
      </c>
      <c r="E699" s="108" t="s">
        <v>2850</v>
      </c>
      <c r="F699" s="114" t="s">
        <v>694</v>
      </c>
      <c r="G699" s="213" t="s">
        <v>2067</v>
      </c>
      <c r="H699" s="115" t="s">
        <v>1514</v>
      </c>
      <c r="I699" s="109">
        <v>46300671.770000003</v>
      </c>
      <c r="J699" s="109">
        <v>3.0914299999999999</v>
      </c>
      <c r="K699" s="109" t="s">
        <v>695</v>
      </c>
      <c r="L699" s="109">
        <v>0.88096108549999996</v>
      </c>
      <c r="M699" s="109">
        <v>0</v>
      </c>
      <c r="N699" s="109">
        <v>0</v>
      </c>
      <c r="O699" s="109">
        <v>9.4460000000000002E-2</v>
      </c>
      <c r="P699" s="115">
        <v>0.77980000000000005</v>
      </c>
      <c r="Q699" s="771"/>
      <c r="R699" s="216"/>
      <c r="S699" s="216">
        <v>0.77980000000000005</v>
      </c>
      <c r="T699" s="216">
        <v>10</v>
      </c>
      <c r="U699" s="216"/>
      <c r="V699" s="765"/>
      <c r="W699" s="109">
        <v>265</v>
      </c>
      <c r="X699" s="109"/>
      <c r="Y699" s="109" t="s">
        <v>2056</v>
      </c>
      <c r="Z699" s="109">
        <v>31.203632096633651</v>
      </c>
      <c r="AA699" s="109">
        <v>37.15440803697264</v>
      </c>
      <c r="AB699" s="109"/>
      <c r="AC699" s="109"/>
      <c r="AD699" s="109"/>
      <c r="AE699" s="109" t="s">
        <v>10</v>
      </c>
      <c r="AF699" s="109"/>
      <c r="AG699" s="109" t="s">
        <v>522</v>
      </c>
      <c r="AH699" s="109"/>
      <c r="AI699" s="2" t="s">
        <v>20</v>
      </c>
      <c r="AL699" s="2" t="s">
        <v>1583</v>
      </c>
      <c r="AM699" s="2" t="s">
        <v>1656</v>
      </c>
      <c r="AN699" s="2" t="s">
        <v>951</v>
      </c>
      <c r="AO699" s="2">
        <v>0.88096108500000003</v>
      </c>
      <c r="AP699" s="2" t="s">
        <v>4673</v>
      </c>
      <c r="AQ699" s="2" t="s">
        <v>4639</v>
      </c>
      <c r="AR699" s="2" t="s">
        <v>4671</v>
      </c>
      <c r="AT699" s="765"/>
    </row>
    <row r="700" spans="1:46" x14ac:dyDescent="0.25">
      <c r="A700" s="765" t="s">
        <v>1560</v>
      </c>
      <c r="B700" s="108" t="s">
        <v>1616</v>
      </c>
      <c r="C700" s="108" t="s">
        <v>1556</v>
      </c>
      <c r="D700" s="108" t="s">
        <v>1557</v>
      </c>
      <c r="E700" s="108" t="s">
        <v>1556</v>
      </c>
      <c r="F700" s="114" t="s">
        <v>1558</v>
      </c>
      <c r="G700" s="213" t="s">
        <v>2366</v>
      </c>
      <c r="H700" s="115" t="s">
        <v>1538</v>
      </c>
      <c r="I700" s="109">
        <v>187500000</v>
      </c>
      <c r="J700" s="109">
        <v>3.0760000000000001</v>
      </c>
      <c r="K700" s="109" t="s">
        <v>696</v>
      </c>
      <c r="L700" s="109">
        <v>0.95397367900000007</v>
      </c>
      <c r="M700" s="109">
        <v>100</v>
      </c>
      <c r="N700" s="109">
        <v>100</v>
      </c>
      <c r="O700" s="109">
        <v>0.111078</v>
      </c>
      <c r="P700" s="115"/>
      <c r="Q700" s="771"/>
      <c r="R700" s="216">
        <v>6.1818696066593084</v>
      </c>
      <c r="S700" s="216">
        <v>6.1818696066593084</v>
      </c>
      <c r="T700" s="216">
        <v>12</v>
      </c>
      <c r="U700" s="216">
        <v>3.1188303181431851</v>
      </c>
      <c r="V700" s="765"/>
      <c r="W700" s="109"/>
      <c r="X700" s="109"/>
      <c r="Y700" s="109"/>
      <c r="Z700" s="109"/>
      <c r="AA700" s="109"/>
      <c r="AB700" s="109"/>
      <c r="AC700" s="109"/>
      <c r="AD700" s="109"/>
      <c r="AE700" s="109" t="s">
        <v>9</v>
      </c>
      <c r="AF700" s="109"/>
      <c r="AG700" s="109"/>
      <c r="AL700" s="2" t="s">
        <v>1583</v>
      </c>
      <c r="AM700" s="2" t="s">
        <v>710</v>
      </c>
      <c r="AN700" s="2" t="s">
        <v>951</v>
      </c>
      <c r="AT700" s="765"/>
    </row>
    <row r="701" spans="1:46" x14ac:dyDescent="0.25">
      <c r="A701" s="765" t="s">
        <v>2358</v>
      </c>
      <c r="B701" s="108" t="s">
        <v>1615</v>
      </c>
      <c r="C701" s="108" t="s">
        <v>1559</v>
      </c>
      <c r="D701" s="108" t="s">
        <v>1557</v>
      </c>
      <c r="E701" s="108" t="s">
        <v>1559</v>
      </c>
      <c r="F701" s="114" t="s">
        <v>1558</v>
      </c>
      <c r="G701" s="213" t="s">
        <v>2364</v>
      </c>
      <c r="H701" s="115" t="s">
        <v>2365</v>
      </c>
      <c r="I701" s="109">
        <v>40600000</v>
      </c>
      <c r="J701" s="109">
        <v>1.6</v>
      </c>
      <c r="K701" s="109" t="s">
        <v>696</v>
      </c>
      <c r="L701" s="109">
        <v>1</v>
      </c>
      <c r="M701" s="109">
        <v>100</v>
      </c>
      <c r="N701" s="109">
        <v>100</v>
      </c>
      <c r="O701" s="109">
        <v>5.7778000000000003E-2</v>
      </c>
      <c r="P701" s="115"/>
      <c r="Q701" s="771"/>
      <c r="R701" s="216">
        <v>6.7220302613546821</v>
      </c>
      <c r="S701" s="216">
        <v>6.7220302613546821</v>
      </c>
      <c r="T701" s="216">
        <v>12</v>
      </c>
      <c r="U701" s="216">
        <v>1.622681040665652</v>
      </c>
      <c r="V701" s="765"/>
      <c r="W701" s="109"/>
      <c r="X701" s="109"/>
      <c r="Y701" s="109"/>
      <c r="Z701" s="109"/>
      <c r="AA701" s="109"/>
      <c r="AB701" s="109"/>
      <c r="AC701" s="109"/>
      <c r="AD701" s="109"/>
      <c r="AE701" s="109" t="s">
        <v>9</v>
      </c>
      <c r="AF701" s="109"/>
      <c r="AG701" s="109"/>
      <c r="AL701" s="2" t="s">
        <v>1583</v>
      </c>
      <c r="AM701" s="2" t="s">
        <v>1665</v>
      </c>
      <c r="AN701" s="2" t="s">
        <v>951</v>
      </c>
      <c r="AT701" s="765"/>
    </row>
    <row r="702" spans="1:46" x14ac:dyDescent="0.25">
      <c r="A702" s="765" t="s">
        <v>3852</v>
      </c>
      <c r="B702" s="108" t="s">
        <v>4794</v>
      </c>
      <c r="C702" s="108" t="s">
        <v>3853</v>
      </c>
      <c r="D702" s="108" t="s">
        <v>4795</v>
      </c>
      <c r="E702" s="108" t="s">
        <v>3854</v>
      </c>
      <c r="F702" s="114" t="s">
        <v>698</v>
      </c>
      <c r="G702" s="213" t="s">
        <v>2240</v>
      </c>
      <c r="H702" s="115" t="s">
        <v>3855</v>
      </c>
      <c r="I702" s="109">
        <v>9251511.8399999999</v>
      </c>
      <c r="J702" s="109">
        <v>5.875</v>
      </c>
      <c r="K702" s="109" t="s">
        <v>696</v>
      </c>
      <c r="L702" s="109">
        <v>0.1522055812</v>
      </c>
      <c r="M702" s="109">
        <v>0</v>
      </c>
      <c r="N702" s="109">
        <v>0</v>
      </c>
      <c r="O702" s="109">
        <v>4.8958000000000002E-2</v>
      </c>
      <c r="P702" s="115">
        <v>0.85740000000000005</v>
      </c>
      <c r="Q702" s="771"/>
      <c r="R702" s="216"/>
      <c r="S702" s="216">
        <v>0.85740000000000005</v>
      </c>
      <c r="T702" s="216">
        <v>2</v>
      </c>
      <c r="U702" s="216"/>
      <c r="V702" s="765"/>
      <c r="W702" s="109"/>
      <c r="X702" s="109"/>
      <c r="Y702" s="109" t="s">
        <v>3856</v>
      </c>
      <c r="Z702" s="109"/>
      <c r="AA702" s="109"/>
      <c r="AB702" s="109"/>
      <c r="AC702" s="109"/>
      <c r="AD702" s="109"/>
      <c r="AE702" s="109" t="s">
        <v>8</v>
      </c>
      <c r="AF702" s="109"/>
      <c r="AG702" s="109"/>
      <c r="AJ702" s="2" t="s">
        <v>2545</v>
      </c>
      <c r="AL702" s="2" t="s">
        <v>1583</v>
      </c>
      <c r="AM702" s="2" t="s">
        <v>2907</v>
      </c>
      <c r="AN702" s="2" t="s">
        <v>951</v>
      </c>
      <c r="AO702" s="2">
        <v>0.19586859200000001</v>
      </c>
      <c r="AP702" s="2" t="s">
        <v>5216</v>
      </c>
      <c r="AQ702" s="2" t="s">
        <v>4469</v>
      </c>
      <c r="AR702" s="2" t="s">
        <v>5217</v>
      </c>
      <c r="AT702" s="765"/>
    </row>
    <row r="703" spans="1:46" x14ac:dyDescent="0.25">
      <c r="A703" s="765" t="s">
        <v>3857</v>
      </c>
      <c r="B703" s="108" t="s">
        <v>4794</v>
      </c>
      <c r="C703" s="108" t="s">
        <v>3853</v>
      </c>
      <c r="D703" s="108" t="s">
        <v>4795</v>
      </c>
      <c r="E703" s="108" t="s">
        <v>3858</v>
      </c>
      <c r="F703" s="114" t="s">
        <v>698</v>
      </c>
      <c r="G703" s="213" t="s">
        <v>2240</v>
      </c>
      <c r="H703" s="115" t="s">
        <v>3855</v>
      </c>
      <c r="I703" s="109">
        <v>5256571.96</v>
      </c>
      <c r="J703" s="109">
        <v>6.375</v>
      </c>
      <c r="K703" s="109" t="s">
        <v>696</v>
      </c>
      <c r="L703" s="109">
        <v>0.15220558140000001</v>
      </c>
      <c r="M703" s="109">
        <v>0</v>
      </c>
      <c r="N703" s="109">
        <v>0</v>
      </c>
      <c r="O703" s="109">
        <v>5.3124999999999999E-2</v>
      </c>
      <c r="P703" s="115">
        <v>0.85740000000000005</v>
      </c>
      <c r="Q703" s="771"/>
      <c r="R703" s="216"/>
      <c r="S703" s="216">
        <v>0.85740000000000005</v>
      </c>
      <c r="T703" s="216">
        <v>2</v>
      </c>
      <c r="U703" s="216"/>
      <c r="V703" s="765"/>
      <c r="W703" s="109"/>
      <c r="X703" s="109"/>
      <c r="Y703" s="109" t="s">
        <v>3856</v>
      </c>
      <c r="Z703" s="109"/>
      <c r="AA703" s="109"/>
      <c r="AB703" s="109"/>
      <c r="AC703" s="109"/>
      <c r="AD703" s="109"/>
      <c r="AE703" s="109" t="s">
        <v>9</v>
      </c>
      <c r="AF703" s="109"/>
      <c r="AG703" s="109"/>
      <c r="AJ703" s="2" t="s">
        <v>2085</v>
      </c>
      <c r="AL703" s="2" t="s">
        <v>1583</v>
      </c>
      <c r="AM703" s="2" t="s">
        <v>2907</v>
      </c>
      <c r="AN703" s="2" t="s">
        <v>951</v>
      </c>
      <c r="AO703" s="2">
        <v>0.19586859200000001</v>
      </c>
      <c r="AP703" s="2" t="s">
        <v>5216</v>
      </c>
      <c r="AQ703" s="2" t="s">
        <v>4469</v>
      </c>
      <c r="AR703" s="2" t="s">
        <v>5217</v>
      </c>
      <c r="AT703" s="765"/>
    </row>
    <row r="704" spans="1:46" x14ac:dyDescent="0.25">
      <c r="A704" s="765" t="s">
        <v>4961</v>
      </c>
      <c r="B704" s="108" t="s">
        <v>4794</v>
      </c>
      <c r="C704" s="108" t="s">
        <v>3853</v>
      </c>
      <c r="D704" s="108" t="s">
        <v>4795</v>
      </c>
      <c r="E704" s="108" t="s">
        <v>4962</v>
      </c>
      <c r="F704" s="114" t="s">
        <v>698</v>
      </c>
      <c r="G704" s="213" t="s">
        <v>2240</v>
      </c>
      <c r="H704" s="115" t="s">
        <v>3855</v>
      </c>
      <c r="I704" s="109">
        <v>3574395.87</v>
      </c>
      <c r="J704" s="109">
        <v>6.875</v>
      </c>
      <c r="K704" s="109" t="s">
        <v>696</v>
      </c>
      <c r="L704" s="109">
        <v>0.1522055812</v>
      </c>
      <c r="M704" s="109">
        <v>0</v>
      </c>
      <c r="N704" s="109">
        <v>0</v>
      </c>
      <c r="O704" s="109">
        <v>5.7292000000000003E-2</v>
      </c>
      <c r="P704" s="115">
        <v>0.85740000000000005</v>
      </c>
      <c r="Q704" s="771"/>
      <c r="R704" s="216"/>
      <c r="S704" s="216">
        <v>0.85740000000000005</v>
      </c>
      <c r="T704" s="216">
        <v>3</v>
      </c>
      <c r="U704" s="216"/>
      <c r="V704" s="765"/>
      <c r="W704" s="109"/>
      <c r="X704" s="109"/>
      <c r="Y704" s="109" t="s">
        <v>3856</v>
      </c>
      <c r="Z704" s="109"/>
      <c r="AA704" s="109"/>
      <c r="AB704" s="109"/>
      <c r="AC704" s="109"/>
      <c r="AD704" s="109"/>
      <c r="AE704" s="109" t="s">
        <v>10</v>
      </c>
      <c r="AF704" s="109"/>
      <c r="AG704" s="109"/>
      <c r="AJ704" s="2" t="s">
        <v>1544</v>
      </c>
      <c r="AL704" s="2" t="s">
        <v>1583</v>
      </c>
      <c r="AM704" s="2" t="s">
        <v>2907</v>
      </c>
      <c r="AN704" s="2" t="s">
        <v>951</v>
      </c>
      <c r="AO704" s="2">
        <v>0.19586859200000001</v>
      </c>
      <c r="AP704" s="2" t="s">
        <v>5216</v>
      </c>
      <c r="AQ704" s="2" t="s">
        <v>4469</v>
      </c>
      <c r="AR704" s="2" t="s">
        <v>5217</v>
      </c>
      <c r="AT704" s="765"/>
    </row>
    <row r="705" spans="1:46" x14ac:dyDescent="0.25">
      <c r="A705" s="765" t="s">
        <v>1695</v>
      </c>
      <c r="B705" s="108" t="s">
        <v>1616</v>
      </c>
      <c r="C705" s="108" t="s">
        <v>1696</v>
      </c>
      <c r="D705" s="108" t="s">
        <v>954</v>
      </c>
      <c r="E705" s="108" t="s">
        <v>1696</v>
      </c>
      <c r="F705" s="114" t="s">
        <v>1558</v>
      </c>
      <c r="G705" s="213" t="s">
        <v>1720</v>
      </c>
      <c r="H705" s="115" t="s">
        <v>2367</v>
      </c>
      <c r="I705" s="109">
        <v>36600000</v>
      </c>
      <c r="J705" s="109">
        <v>3.101</v>
      </c>
      <c r="K705" s="109" t="s">
        <v>696</v>
      </c>
      <c r="L705" s="109">
        <v>1</v>
      </c>
      <c r="M705" s="109">
        <v>100</v>
      </c>
      <c r="N705" s="109">
        <v>100</v>
      </c>
      <c r="O705" s="109">
        <v>0.111981</v>
      </c>
      <c r="P705" s="115"/>
      <c r="Q705" s="771"/>
      <c r="R705" s="216">
        <v>6.9572809370983784</v>
      </c>
      <c r="S705" s="216">
        <v>6.9572809370983784</v>
      </c>
      <c r="T705" s="216">
        <v>13</v>
      </c>
      <c r="U705" s="216">
        <v>3.1441916267405929</v>
      </c>
      <c r="V705" s="765"/>
      <c r="W705" s="109"/>
      <c r="X705" s="109"/>
      <c r="Y705" s="109"/>
      <c r="Z705" s="109"/>
      <c r="AA705" s="109"/>
      <c r="AB705" s="109"/>
      <c r="AC705" s="109"/>
      <c r="AD705" s="109"/>
      <c r="AE705" s="109" t="s">
        <v>9</v>
      </c>
      <c r="AF705" s="109"/>
      <c r="AG705" s="109"/>
      <c r="AL705" s="2" t="s">
        <v>1583</v>
      </c>
      <c r="AM705" s="2" t="s">
        <v>710</v>
      </c>
      <c r="AN705" s="2" t="s">
        <v>951</v>
      </c>
      <c r="AT705" s="765"/>
    </row>
    <row r="706" spans="1:46" x14ac:dyDescent="0.25">
      <c r="A706" s="765" t="s">
        <v>2339</v>
      </c>
      <c r="B706" s="108" t="s">
        <v>1616</v>
      </c>
      <c r="C706" s="108" t="s">
        <v>2357</v>
      </c>
      <c r="D706" s="108" t="s">
        <v>1557</v>
      </c>
      <c r="E706" s="108" t="s">
        <v>2357</v>
      </c>
      <c r="F706" s="114" t="s">
        <v>1558</v>
      </c>
      <c r="G706" s="213" t="s">
        <v>2340</v>
      </c>
      <c r="H706" s="115" t="s">
        <v>1148</v>
      </c>
      <c r="I706" s="109">
        <v>1893550</v>
      </c>
      <c r="J706" s="109">
        <v>3.3260000000000001</v>
      </c>
      <c r="K706" s="109" t="s">
        <v>696</v>
      </c>
      <c r="L706" s="109">
        <v>0.81873870999999998</v>
      </c>
      <c r="M706" s="109">
        <v>100</v>
      </c>
      <c r="N706" s="109">
        <v>100</v>
      </c>
      <c r="O706" s="109">
        <v>0.120106</v>
      </c>
      <c r="P706" s="115"/>
      <c r="Q706" s="771"/>
      <c r="R706" s="216">
        <v>6.3179000102097858</v>
      </c>
      <c r="S706" s="216">
        <v>6.3179000102097858</v>
      </c>
      <c r="T706" s="216">
        <v>13</v>
      </c>
      <c r="U706" s="216">
        <v>3.3731490140759171</v>
      </c>
      <c r="V706" s="765"/>
      <c r="W706" s="109"/>
      <c r="X706" s="109"/>
      <c r="Y706" s="109"/>
      <c r="Z706" s="109"/>
      <c r="AA706" s="109"/>
      <c r="AB706" s="109"/>
      <c r="AC706" s="109"/>
      <c r="AD706" s="109"/>
      <c r="AE706" s="109" t="s">
        <v>9</v>
      </c>
      <c r="AF706" s="109"/>
      <c r="AG706" s="109"/>
      <c r="AL706" s="2" t="s">
        <v>1583</v>
      </c>
      <c r="AM706" s="2" t="s">
        <v>710</v>
      </c>
      <c r="AN706" s="2" t="s">
        <v>951</v>
      </c>
      <c r="AT706" s="765"/>
    </row>
    <row r="707" spans="1:46" x14ac:dyDescent="0.25">
      <c r="A707" s="765" t="s">
        <v>4622</v>
      </c>
      <c r="B707" s="108" t="s">
        <v>1615</v>
      </c>
      <c r="C707" s="108" t="s">
        <v>4796</v>
      </c>
      <c r="D707" s="108" t="s">
        <v>1557</v>
      </c>
      <c r="E707" s="108" t="s">
        <v>4796</v>
      </c>
      <c r="F707" s="114" t="s">
        <v>1558</v>
      </c>
      <c r="G707" s="213" t="s">
        <v>2364</v>
      </c>
      <c r="H707" s="115" t="s">
        <v>2365</v>
      </c>
      <c r="I707" s="109">
        <v>40600000</v>
      </c>
      <c r="J707" s="109">
        <v>3.3260000000000001</v>
      </c>
      <c r="K707" s="109" t="s">
        <v>696</v>
      </c>
      <c r="L707" s="109">
        <v>1</v>
      </c>
      <c r="M707" s="109">
        <v>100</v>
      </c>
      <c r="N707" s="109">
        <v>100</v>
      </c>
      <c r="O707" s="109">
        <v>0.120106</v>
      </c>
      <c r="P707" s="115"/>
      <c r="Q707" s="771"/>
      <c r="R707" s="216">
        <v>6.1773743727806281</v>
      </c>
      <c r="S707" s="216">
        <v>6.1773743727806281</v>
      </c>
      <c r="T707" s="216">
        <v>13</v>
      </c>
      <c r="U707" s="216">
        <v>3.373063256119925</v>
      </c>
      <c r="V707" s="765"/>
      <c r="W707" s="109"/>
      <c r="X707" s="109"/>
      <c r="Y707" s="109"/>
      <c r="Z707" s="109"/>
      <c r="AA707" s="109"/>
      <c r="AB707" s="109"/>
      <c r="AC707" s="109"/>
      <c r="AD707" s="109"/>
      <c r="AE707" s="109" t="s">
        <v>9</v>
      </c>
      <c r="AF707" s="109"/>
      <c r="AG707" s="109"/>
      <c r="AL707" s="2" t="s">
        <v>1583</v>
      </c>
      <c r="AM707" s="2" t="s">
        <v>710</v>
      </c>
      <c r="AN707" s="2" t="s">
        <v>951</v>
      </c>
      <c r="AT707" s="765"/>
    </row>
    <row r="708" spans="1:46" x14ac:dyDescent="0.25">
      <c r="A708" s="765" t="s">
        <v>3418</v>
      </c>
      <c r="B708" s="108" t="s">
        <v>1615</v>
      </c>
      <c r="C708" s="108" t="s">
        <v>3434</v>
      </c>
      <c r="D708" s="108" t="s">
        <v>1557</v>
      </c>
      <c r="E708" s="108" t="s">
        <v>3434</v>
      </c>
      <c r="F708" s="114" t="s">
        <v>1558</v>
      </c>
      <c r="G708" s="213" t="s">
        <v>2364</v>
      </c>
      <c r="H708" s="115" t="s">
        <v>2365</v>
      </c>
      <c r="I708" s="109">
        <v>40600000</v>
      </c>
      <c r="J708" s="109">
        <v>2.2000000000000002</v>
      </c>
      <c r="K708" s="109" t="s">
        <v>696</v>
      </c>
      <c r="L708" s="109">
        <v>0.95229854999999997</v>
      </c>
      <c r="M708" s="109">
        <v>100</v>
      </c>
      <c r="N708" s="109">
        <v>100</v>
      </c>
      <c r="O708" s="109">
        <v>7.9444000000000001E-2</v>
      </c>
      <c r="P708" s="115"/>
      <c r="Q708" s="771"/>
      <c r="R708" s="216">
        <v>6.4918621337410753</v>
      </c>
      <c r="S708" s="216">
        <v>6.4918621337410753</v>
      </c>
      <c r="T708" s="216">
        <v>12</v>
      </c>
      <c r="U708" s="216">
        <v>2.2311679007197189</v>
      </c>
      <c r="V708" s="765"/>
      <c r="W708" s="109"/>
      <c r="X708" s="109"/>
      <c r="Y708" s="109"/>
      <c r="Z708" s="109"/>
      <c r="AA708" s="109"/>
      <c r="AB708" s="109"/>
      <c r="AC708" s="109"/>
      <c r="AD708" s="109"/>
      <c r="AE708" s="109" t="s">
        <v>9</v>
      </c>
      <c r="AF708" s="109"/>
      <c r="AG708" s="109"/>
      <c r="AL708" s="2" t="s">
        <v>1583</v>
      </c>
      <c r="AM708" s="2" t="s">
        <v>710</v>
      </c>
      <c r="AN708" s="2" t="s">
        <v>951</v>
      </c>
      <c r="AT708" s="765"/>
    </row>
    <row r="709" spans="1:46" x14ac:dyDescent="0.25">
      <c r="A709" s="765" t="s">
        <v>4797</v>
      </c>
      <c r="B709" s="108" t="s">
        <v>4798</v>
      </c>
      <c r="C709" s="108"/>
      <c r="D709" s="108"/>
      <c r="E709" s="108" t="s">
        <v>4799</v>
      </c>
      <c r="F709" s="114"/>
      <c r="G709" s="213">
        <v>1</v>
      </c>
      <c r="H709" s="115" t="s">
        <v>5218</v>
      </c>
      <c r="I709" s="109"/>
      <c r="J709" s="109">
        <v>0</v>
      </c>
      <c r="K709" s="109"/>
      <c r="L709" s="109">
        <v>1</v>
      </c>
      <c r="M709" s="109">
        <v>1.099</v>
      </c>
      <c r="N709" s="109">
        <v>1.0990500000000001</v>
      </c>
      <c r="O709" s="109">
        <v>0</v>
      </c>
      <c r="P709" s="115"/>
      <c r="Q709" s="771"/>
      <c r="R709" s="216"/>
      <c r="S709" s="216">
        <v>2.7397260273972599E-3</v>
      </c>
      <c r="T709" s="216">
        <v>0</v>
      </c>
      <c r="U709" s="216"/>
      <c r="V709" s="765"/>
      <c r="W709" s="109"/>
      <c r="X709" s="109"/>
      <c r="Y709" s="109"/>
      <c r="Z709" s="109"/>
      <c r="AA709" s="109"/>
      <c r="AB709" s="109"/>
      <c r="AC709" s="109"/>
      <c r="AD709" s="109"/>
      <c r="AE709" s="109" t="s">
        <v>9</v>
      </c>
      <c r="AF709" s="109"/>
      <c r="AG709" s="109"/>
      <c r="AL709" s="2" t="s">
        <v>680</v>
      </c>
      <c r="AM709" s="2" t="s">
        <v>710</v>
      </c>
      <c r="AN709" s="2" t="s">
        <v>951</v>
      </c>
      <c r="AT709" s="765"/>
    </row>
    <row r="710" spans="1:46" x14ac:dyDescent="0.25">
      <c r="A710" s="765" t="s">
        <v>5077</v>
      </c>
      <c r="B710" s="108" t="s">
        <v>148</v>
      </c>
      <c r="C710" s="108" t="s">
        <v>150</v>
      </c>
      <c r="D710" s="108" t="s">
        <v>153</v>
      </c>
      <c r="E710" s="108" t="s">
        <v>5219</v>
      </c>
      <c r="F710" s="114" t="s">
        <v>694</v>
      </c>
      <c r="G710" s="213" t="s">
        <v>5220</v>
      </c>
      <c r="H710" s="115" t="s">
        <v>5221</v>
      </c>
      <c r="I710" s="109">
        <v>148960104.62</v>
      </c>
      <c r="J710" s="109">
        <v>2</v>
      </c>
      <c r="K710" s="109" t="s">
        <v>696</v>
      </c>
      <c r="L710" s="109">
        <v>0.99209745000000005</v>
      </c>
      <c r="M710" s="109">
        <v>91.817599999999999</v>
      </c>
      <c r="N710" s="109">
        <v>91.844099999999997</v>
      </c>
      <c r="O710" s="109">
        <v>0.15</v>
      </c>
      <c r="P710" s="115">
        <v>10.0533</v>
      </c>
      <c r="Q710" s="771">
        <v>6.7493708541500004</v>
      </c>
      <c r="R710" s="216" t="e">
        <v>#N/A</v>
      </c>
      <c r="S710" s="216">
        <v>6.7493708541500004</v>
      </c>
      <c r="T710" s="216">
        <v>27</v>
      </c>
      <c r="U710" s="216">
        <v>3.0110000000000001</v>
      </c>
      <c r="V710" s="765">
        <v>58.713831042899997</v>
      </c>
      <c r="W710" s="109" t="s">
        <v>146</v>
      </c>
      <c r="X710" s="109">
        <v>-101.00556984747</v>
      </c>
      <c r="Y710" s="109" t="s">
        <v>146</v>
      </c>
      <c r="Z710" s="109">
        <v>5.1171756365304581</v>
      </c>
      <c r="AA710" s="109" t="s">
        <v>146</v>
      </c>
      <c r="AB710" s="109" t="s">
        <v>2253</v>
      </c>
      <c r="AC710" s="109" t="s">
        <v>146</v>
      </c>
      <c r="AD710" s="109" t="s">
        <v>146</v>
      </c>
      <c r="AE710" s="109" t="s">
        <v>625</v>
      </c>
      <c r="AF710" s="109" t="s">
        <v>146</v>
      </c>
      <c r="AG710" s="109" t="s">
        <v>146</v>
      </c>
      <c r="AH710" s="2" t="s">
        <v>146</v>
      </c>
      <c r="AI710" s="2" t="s">
        <v>146</v>
      </c>
      <c r="AJ710" s="2" t="s">
        <v>146</v>
      </c>
      <c r="AK710" s="2" t="s">
        <v>146</v>
      </c>
      <c r="AL710" s="2" t="s">
        <v>679</v>
      </c>
      <c r="AM710" s="2" t="s">
        <v>706</v>
      </c>
      <c r="AN710" s="2" t="s">
        <v>952</v>
      </c>
      <c r="AO710" s="2">
        <v>0.99820629000000005</v>
      </c>
      <c r="AP710" s="2" t="s">
        <v>4985</v>
      </c>
      <c r="AQ710" s="2" t="s">
        <v>4986</v>
      </c>
      <c r="AR710" s="2" t="s">
        <v>5222</v>
      </c>
      <c r="AT710" s="765"/>
    </row>
    <row r="711" spans="1:46" x14ac:dyDescent="0.25">
      <c r="A711" s="765" t="s">
        <v>5078</v>
      </c>
      <c r="B711" s="108" t="s">
        <v>154</v>
      </c>
      <c r="C711" s="108" t="s">
        <v>145</v>
      </c>
      <c r="D711" s="108" t="s">
        <v>5223</v>
      </c>
      <c r="E711" s="108" t="s">
        <v>5224</v>
      </c>
      <c r="F711" s="114" t="s">
        <v>694</v>
      </c>
      <c r="G711" s="213" t="s">
        <v>5225</v>
      </c>
      <c r="H711" s="115" t="s">
        <v>5226</v>
      </c>
      <c r="I711" s="109">
        <v>1797178.07</v>
      </c>
      <c r="J711" s="109">
        <v>4</v>
      </c>
      <c r="K711" s="109" t="s">
        <v>696</v>
      </c>
      <c r="L711" s="109">
        <v>0.23271649999999999</v>
      </c>
      <c r="M711" s="109">
        <v>103.6185</v>
      </c>
      <c r="N711" s="109">
        <v>103.66540000000001</v>
      </c>
      <c r="O711" s="109">
        <v>0.3</v>
      </c>
      <c r="P711" s="115">
        <v>3.7252000000000001</v>
      </c>
      <c r="Q711" s="771">
        <v>3.2846086528799998</v>
      </c>
      <c r="R711" s="216" t="e">
        <v>#N/A</v>
      </c>
      <c r="S711" s="216">
        <v>3.2846086528799998</v>
      </c>
      <c r="T711" s="216">
        <v>27</v>
      </c>
      <c r="U711" s="216">
        <v>2.9169999999999998</v>
      </c>
      <c r="V711" s="765">
        <v>38.981404129140003</v>
      </c>
      <c r="W711" s="109" t="s">
        <v>146</v>
      </c>
      <c r="X711" s="109">
        <v>128.67865701407001</v>
      </c>
      <c r="Y711" s="109" t="s">
        <v>146</v>
      </c>
      <c r="Z711" s="109">
        <v>21.641661602559182</v>
      </c>
      <c r="AA711" s="109">
        <v>22.656037539885133</v>
      </c>
      <c r="AB711" s="109" t="s">
        <v>4934</v>
      </c>
      <c r="AC711" s="109" t="s">
        <v>1210</v>
      </c>
      <c r="AD711" s="109" t="s">
        <v>250</v>
      </c>
      <c r="AE711" s="109" t="s">
        <v>625</v>
      </c>
      <c r="AF711" s="109" t="s">
        <v>146</v>
      </c>
      <c r="AG711" s="109" t="s">
        <v>146</v>
      </c>
      <c r="AH711" s="2" t="s">
        <v>146</v>
      </c>
      <c r="AI711" s="2" t="s">
        <v>146</v>
      </c>
      <c r="AJ711" s="2" t="s">
        <v>146</v>
      </c>
      <c r="AK711" s="2" t="s">
        <v>146</v>
      </c>
      <c r="AL711" s="2" t="s">
        <v>679</v>
      </c>
      <c r="AM711" s="2" t="s">
        <v>706</v>
      </c>
      <c r="AN711" s="2" t="s">
        <v>952</v>
      </c>
      <c r="AO711" s="2">
        <v>0.23892241</v>
      </c>
      <c r="AP711" s="2" t="s">
        <v>4985</v>
      </c>
      <c r="AQ711" s="2" t="s">
        <v>5227</v>
      </c>
      <c r="AR711" s="2" t="s">
        <v>5228</v>
      </c>
      <c r="AT711" s="765"/>
    </row>
    <row r="712" spans="1:46" x14ac:dyDescent="0.25">
      <c r="A712" s="765" t="s">
        <v>5073</v>
      </c>
      <c r="B712" s="108" t="s">
        <v>159</v>
      </c>
      <c r="C712" s="108" t="s">
        <v>160</v>
      </c>
      <c r="D712" s="108" t="s">
        <v>161</v>
      </c>
      <c r="E712" s="108" t="s">
        <v>160</v>
      </c>
      <c r="F712" s="114" t="s">
        <v>697</v>
      </c>
      <c r="G712" s="213" t="s">
        <v>5229</v>
      </c>
      <c r="H712" s="115" t="s">
        <v>5230</v>
      </c>
      <c r="I712" s="109">
        <v>83876000000</v>
      </c>
      <c r="J712" s="109">
        <v>0.375</v>
      </c>
      <c r="K712" s="109" t="s">
        <v>696</v>
      </c>
      <c r="L712" s="109">
        <v>1</v>
      </c>
      <c r="M712" s="109">
        <v>95.164100000000005</v>
      </c>
      <c r="N712" s="109">
        <v>95.1875</v>
      </c>
      <c r="O712" s="109">
        <v>4.2500000000000003E-2</v>
      </c>
      <c r="P712" s="115">
        <v>0</v>
      </c>
      <c r="Q712" s="771">
        <v>2.3574804028052929</v>
      </c>
      <c r="R712" s="216">
        <v>2.3481826438393236</v>
      </c>
      <c r="S712" s="216">
        <v>2.3574804028052929</v>
      </c>
      <c r="T712" s="216">
        <v>41</v>
      </c>
      <c r="U712" s="216">
        <v>2.473992261101595</v>
      </c>
      <c r="V712" s="765" t="s">
        <v>146</v>
      </c>
      <c r="W712" s="109" t="s">
        <v>146</v>
      </c>
      <c r="X712" s="109" t="s">
        <v>146</v>
      </c>
      <c r="Y712" s="109" t="s">
        <v>146</v>
      </c>
      <c r="Z712" s="109" t="s">
        <v>146</v>
      </c>
      <c r="AA712" s="109" t="s">
        <v>146</v>
      </c>
      <c r="AB712" s="109" t="s">
        <v>146</v>
      </c>
      <c r="AC712" s="109" t="s">
        <v>146</v>
      </c>
      <c r="AD712" s="109" t="s">
        <v>146</v>
      </c>
      <c r="AE712" s="109" t="s">
        <v>625</v>
      </c>
      <c r="AF712" s="109" t="s">
        <v>146</v>
      </c>
      <c r="AG712" s="109" t="s">
        <v>1062</v>
      </c>
      <c r="AH712" s="2" t="s">
        <v>1061</v>
      </c>
      <c r="AI712" s="2" t="s">
        <v>146</v>
      </c>
      <c r="AJ712" s="2" t="s">
        <v>146</v>
      </c>
      <c r="AK712" s="2" t="s">
        <v>146</v>
      </c>
      <c r="AL712" s="2" t="s">
        <v>679</v>
      </c>
      <c r="AM712" s="2" t="s">
        <v>809</v>
      </c>
      <c r="AN712" s="2" t="s">
        <v>952</v>
      </c>
      <c r="AO712" s="2" t="s">
        <v>146</v>
      </c>
      <c r="AP712" s="2" t="s">
        <v>146</v>
      </c>
      <c r="AQ712" s="2" t="s">
        <v>146</v>
      </c>
      <c r="AR712" s="2" t="s">
        <v>146</v>
      </c>
      <c r="AT712" s="765"/>
    </row>
    <row r="713" spans="1:46" x14ac:dyDescent="0.25">
      <c r="A713" s="765" t="s">
        <v>3378</v>
      </c>
      <c r="B713" s="108" t="s">
        <v>1616</v>
      </c>
      <c r="C713" s="108" t="s">
        <v>3379</v>
      </c>
      <c r="D713" s="108" t="s">
        <v>1557</v>
      </c>
      <c r="E713" s="108" t="s">
        <v>3379</v>
      </c>
      <c r="F713" s="114" t="s">
        <v>1558</v>
      </c>
      <c r="G713" s="213" t="s">
        <v>5231</v>
      </c>
      <c r="H713" s="115" t="s">
        <v>5232</v>
      </c>
      <c r="I713" s="109">
        <v>25000000</v>
      </c>
      <c r="J713" s="109">
        <v>5.476</v>
      </c>
      <c r="K713" s="109" t="s">
        <v>696</v>
      </c>
      <c r="L713" s="109">
        <v>1</v>
      </c>
      <c r="M713" s="109">
        <v>100</v>
      </c>
      <c r="N713" s="109">
        <v>100</v>
      </c>
      <c r="O713" s="109">
        <v>0</v>
      </c>
      <c r="P713" s="115">
        <v>0</v>
      </c>
      <c r="Q713" s="771" t="e">
        <v>#N/A</v>
      </c>
      <c r="R713" s="216">
        <v>5.8478067821974085</v>
      </c>
      <c r="S713" s="216">
        <v>0</v>
      </c>
      <c r="T713" s="216">
        <v>0</v>
      </c>
      <c r="U713" s="216">
        <v>5.5538961203485497</v>
      </c>
      <c r="V713" s="765" t="s">
        <v>146</v>
      </c>
      <c r="W713" s="109" t="s">
        <v>146</v>
      </c>
      <c r="X713" s="109" t="s">
        <v>146</v>
      </c>
      <c r="Y713" s="109" t="s">
        <v>146</v>
      </c>
      <c r="Z713" s="109" t="s">
        <v>146</v>
      </c>
      <c r="AA713" s="109" t="s">
        <v>146</v>
      </c>
      <c r="AB713" s="109" t="s">
        <v>146</v>
      </c>
      <c r="AC713" s="109" t="s">
        <v>146</v>
      </c>
      <c r="AD713" s="109" t="s">
        <v>146</v>
      </c>
      <c r="AE713" s="109" t="s">
        <v>9</v>
      </c>
      <c r="AF713" s="109" t="s">
        <v>146</v>
      </c>
      <c r="AG713" s="109" t="s">
        <v>146</v>
      </c>
      <c r="AH713" s="2" t="s">
        <v>146</v>
      </c>
      <c r="AI713" s="2" t="s">
        <v>146</v>
      </c>
      <c r="AJ713" s="2" t="s">
        <v>146</v>
      </c>
      <c r="AK713" s="2" t="s">
        <v>146</v>
      </c>
      <c r="AL713" s="2" t="s">
        <v>1583</v>
      </c>
      <c r="AM713" s="2" t="s">
        <v>710</v>
      </c>
      <c r="AN713" s="2" t="s">
        <v>952</v>
      </c>
      <c r="AO713" s="2" t="s">
        <v>146</v>
      </c>
      <c r="AP713" s="2" t="s">
        <v>146</v>
      </c>
      <c r="AQ713" s="2" t="s">
        <v>146</v>
      </c>
      <c r="AR713" s="2" t="s">
        <v>146</v>
      </c>
      <c r="AT713" s="765"/>
    </row>
    <row r="714" spans="1:46" x14ac:dyDescent="0.25">
      <c r="A714" s="765" t="s">
        <v>5076</v>
      </c>
      <c r="B714" s="108" t="s">
        <v>684</v>
      </c>
      <c r="C714" s="108" t="s">
        <v>1729</v>
      </c>
      <c r="D714" s="108" t="s">
        <v>2390</v>
      </c>
      <c r="E714" s="108" t="s">
        <v>5233</v>
      </c>
      <c r="F714" s="114" t="s">
        <v>694</v>
      </c>
      <c r="G714" s="213" t="s">
        <v>5234</v>
      </c>
      <c r="H714" s="115" t="s">
        <v>5235</v>
      </c>
      <c r="I714" s="109">
        <v>168444004.05000001</v>
      </c>
      <c r="J714" s="109">
        <v>2.5566</v>
      </c>
      <c r="K714" s="109" t="s">
        <v>695</v>
      </c>
      <c r="L714" s="109">
        <v>0.84222002029999998</v>
      </c>
      <c r="M714" s="109">
        <v>99.987700000000004</v>
      </c>
      <c r="N714" s="109">
        <v>100.0127</v>
      </c>
      <c r="O714" s="109">
        <v>2.1299999999999999E-2</v>
      </c>
      <c r="P714" s="115">
        <v>0.53600000000000003</v>
      </c>
      <c r="Q714" s="771">
        <v>0.13889527731000001</v>
      </c>
      <c r="R714" s="216" t="e">
        <v>#N/A</v>
      </c>
      <c r="S714" s="216">
        <v>0.13889527731000001</v>
      </c>
      <c r="T714" s="216">
        <v>3</v>
      </c>
      <c r="U714" s="216">
        <v>2.5830000000000002</v>
      </c>
      <c r="V714" s="765">
        <v>155.92073477657999</v>
      </c>
      <c r="W714" s="109">
        <v>210</v>
      </c>
      <c r="X714" s="109">
        <v>199.95029375167999</v>
      </c>
      <c r="Y714" s="109" t="s">
        <v>532</v>
      </c>
      <c r="Z714" s="109">
        <v>24.071530512863738</v>
      </c>
      <c r="AA714" s="109">
        <v>31.523166342119335</v>
      </c>
      <c r="AB714" s="109" t="s">
        <v>2244</v>
      </c>
      <c r="AC714" s="109" t="s">
        <v>1202</v>
      </c>
      <c r="AD714" s="109" t="s">
        <v>246</v>
      </c>
      <c r="AE714" s="109" t="s">
        <v>9</v>
      </c>
      <c r="AF714" s="109" t="s">
        <v>17</v>
      </c>
      <c r="AG714" s="109" t="s">
        <v>146</v>
      </c>
      <c r="AH714" s="2" t="s">
        <v>146</v>
      </c>
      <c r="AI714" s="2" t="s">
        <v>9</v>
      </c>
      <c r="AJ714" s="2" t="s">
        <v>146</v>
      </c>
      <c r="AK714" s="2" t="s">
        <v>146</v>
      </c>
      <c r="AL714" s="2" t="s">
        <v>680</v>
      </c>
      <c r="AM714" s="2" t="s">
        <v>1736</v>
      </c>
      <c r="AN714" s="2" t="s">
        <v>952</v>
      </c>
      <c r="AO714" s="2">
        <v>0.91700756800000005</v>
      </c>
      <c r="AP714" s="2" t="s">
        <v>5236</v>
      </c>
      <c r="AQ714" s="2" t="s">
        <v>4986</v>
      </c>
      <c r="AR714" s="2" t="s">
        <v>4987</v>
      </c>
      <c r="AT714" s="765"/>
    </row>
    <row r="715" spans="1:46" x14ac:dyDescent="0.25">
      <c r="A715" s="765"/>
      <c r="B715" s="108"/>
      <c r="C715" s="108"/>
      <c r="D715" s="108"/>
      <c r="E715" s="108"/>
      <c r="F715" s="114"/>
      <c r="G715" s="213"/>
      <c r="H715" s="115"/>
      <c r="I715" s="109"/>
      <c r="J715" s="109"/>
      <c r="K715" s="109"/>
      <c r="L715" s="109"/>
      <c r="M715" s="109"/>
      <c r="N715" s="109"/>
      <c r="O715" s="109"/>
      <c r="P715" s="115"/>
      <c r="Q715" s="771"/>
      <c r="R715" s="216"/>
      <c r="S715" s="216"/>
      <c r="T715" s="216"/>
      <c r="U715" s="216"/>
      <c r="V715" s="765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  <c r="AT715" s="765"/>
    </row>
    <row r="716" spans="1:46" x14ac:dyDescent="0.25">
      <c r="A716" s="765"/>
      <c r="B716" s="108"/>
      <c r="C716" s="108"/>
      <c r="D716" s="108"/>
      <c r="E716" s="108"/>
      <c r="F716" s="114"/>
      <c r="G716" s="213"/>
      <c r="H716" s="115"/>
      <c r="I716" s="109"/>
      <c r="J716" s="109"/>
      <c r="K716" s="109"/>
      <c r="L716" s="109"/>
      <c r="M716" s="109"/>
      <c r="N716" s="109"/>
      <c r="O716" s="109"/>
      <c r="P716" s="115"/>
      <c r="Q716" s="771"/>
      <c r="R716" s="216"/>
      <c r="S716" s="216"/>
      <c r="T716" s="216"/>
      <c r="U716" s="216"/>
      <c r="V716" s="765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  <c r="AT716" s="765"/>
    </row>
    <row r="717" spans="1:46" x14ac:dyDescent="0.25">
      <c r="A717" s="765"/>
      <c r="B717" s="108"/>
      <c r="C717" s="108"/>
      <c r="D717" s="108"/>
      <c r="E717" s="108"/>
      <c r="F717" s="114"/>
      <c r="G717" s="213"/>
      <c r="H717" s="115"/>
      <c r="I717" s="109"/>
      <c r="J717" s="109"/>
      <c r="K717" s="109"/>
      <c r="L717" s="109"/>
      <c r="M717" s="109"/>
      <c r="N717" s="109"/>
      <c r="O717" s="109"/>
      <c r="P717" s="115"/>
      <c r="Q717" s="771"/>
      <c r="R717" s="216"/>
      <c r="S717" s="216"/>
      <c r="T717" s="216"/>
      <c r="U717" s="216"/>
      <c r="V717" s="765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  <c r="AT717" s="765"/>
    </row>
    <row r="718" spans="1:46" x14ac:dyDescent="0.25">
      <c r="A718" s="765"/>
      <c r="B718" s="108"/>
      <c r="C718" s="108"/>
      <c r="D718" s="108"/>
      <c r="E718" s="108"/>
      <c r="F718" s="114"/>
      <c r="G718" s="213"/>
      <c r="H718" s="115"/>
      <c r="I718" s="109"/>
      <c r="J718" s="109"/>
      <c r="K718" s="109"/>
      <c r="L718" s="109"/>
      <c r="M718" s="109"/>
      <c r="N718" s="109"/>
      <c r="O718" s="109"/>
      <c r="P718" s="115"/>
      <c r="Q718" s="771"/>
      <c r="R718" s="216"/>
      <c r="S718" s="216"/>
      <c r="T718" s="216"/>
      <c r="U718" s="216"/>
      <c r="V718" s="765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  <c r="AT718" s="765"/>
    </row>
    <row r="719" spans="1:46" x14ac:dyDescent="0.25">
      <c r="A719" s="765"/>
      <c r="B719" s="108"/>
      <c r="C719" s="108"/>
      <c r="D719" s="108"/>
      <c r="E719" s="108"/>
      <c r="F719" s="114"/>
      <c r="G719" s="213"/>
      <c r="H719" s="115"/>
      <c r="I719" s="109"/>
      <c r="J719" s="109"/>
      <c r="K719" s="109"/>
      <c r="L719" s="109"/>
      <c r="M719" s="109"/>
      <c r="N719" s="109"/>
      <c r="O719" s="109"/>
      <c r="P719" s="115"/>
      <c r="Q719" s="771"/>
      <c r="R719" s="216"/>
      <c r="S719" s="216"/>
      <c r="T719" s="216"/>
      <c r="U719" s="216"/>
      <c r="V719" s="765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  <c r="AT719" s="765"/>
    </row>
    <row r="720" spans="1:46" x14ac:dyDescent="0.25">
      <c r="A720" s="765"/>
      <c r="B720" s="108"/>
      <c r="C720" s="108"/>
      <c r="D720" s="108"/>
      <c r="E720" s="108"/>
      <c r="F720" s="114"/>
      <c r="G720" s="213"/>
      <c r="H720" s="115"/>
      <c r="I720" s="109"/>
      <c r="J720" s="109"/>
      <c r="K720" s="109"/>
      <c r="L720" s="109"/>
      <c r="M720" s="109"/>
      <c r="N720" s="109"/>
      <c r="O720" s="109"/>
      <c r="P720" s="115"/>
      <c r="Q720" s="771"/>
      <c r="R720" s="216"/>
      <c r="S720" s="216"/>
      <c r="T720" s="216"/>
      <c r="U720" s="216"/>
      <c r="V720" s="765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  <c r="AT720" s="765"/>
    </row>
    <row r="721" spans="1:46" x14ac:dyDescent="0.25">
      <c r="A721" s="765"/>
      <c r="B721" s="108"/>
      <c r="C721" s="108"/>
      <c r="D721" s="108"/>
      <c r="E721" s="108"/>
      <c r="F721" s="114"/>
      <c r="G721" s="213"/>
      <c r="H721" s="115"/>
      <c r="I721" s="109"/>
      <c r="J721" s="109"/>
      <c r="K721" s="109"/>
      <c r="L721" s="109"/>
      <c r="M721" s="109"/>
      <c r="N721" s="109"/>
      <c r="O721" s="109"/>
      <c r="P721" s="115"/>
      <c r="Q721" s="771"/>
      <c r="R721" s="216"/>
      <c r="S721" s="216"/>
      <c r="T721" s="216"/>
      <c r="U721" s="216"/>
      <c r="V721" s="765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  <c r="AT721" s="765"/>
    </row>
    <row r="722" spans="1:46" x14ac:dyDescent="0.25">
      <c r="A722" s="765"/>
      <c r="B722" s="108"/>
      <c r="C722" s="108"/>
      <c r="D722" s="108"/>
      <c r="E722" s="108"/>
      <c r="F722" s="114"/>
      <c r="G722" s="213"/>
      <c r="H722" s="115"/>
      <c r="I722" s="109"/>
      <c r="J722" s="109"/>
      <c r="K722" s="109"/>
      <c r="L722" s="109"/>
      <c r="M722" s="109"/>
      <c r="N722" s="109"/>
      <c r="O722" s="109"/>
      <c r="P722" s="115"/>
      <c r="Q722" s="771"/>
      <c r="R722" s="216"/>
      <c r="S722" s="216"/>
      <c r="T722" s="216"/>
      <c r="U722" s="216"/>
      <c r="V722" s="765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  <c r="AT722" s="765"/>
    </row>
    <row r="723" spans="1:46" x14ac:dyDescent="0.25">
      <c r="A723" s="765"/>
      <c r="B723" s="108"/>
      <c r="C723" s="108"/>
      <c r="D723" s="108"/>
      <c r="E723" s="108"/>
      <c r="F723" s="114"/>
      <c r="G723" s="213"/>
      <c r="H723" s="115"/>
      <c r="I723" s="109"/>
      <c r="J723" s="109"/>
      <c r="K723" s="109"/>
      <c r="L723" s="109"/>
      <c r="M723" s="109"/>
      <c r="N723" s="109"/>
      <c r="O723" s="109"/>
      <c r="P723" s="115"/>
      <c r="Q723" s="771"/>
      <c r="R723" s="216"/>
      <c r="S723" s="216"/>
      <c r="T723" s="216"/>
      <c r="U723" s="216"/>
      <c r="V723" s="765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  <c r="AT723" s="765"/>
    </row>
    <row r="724" spans="1:46" x14ac:dyDescent="0.25">
      <c r="A724" s="765"/>
      <c r="B724" s="108"/>
      <c r="C724" s="108"/>
      <c r="D724" s="108"/>
      <c r="E724" s="108"/>
      <c r="F724" s="114"/>
      <c r="G724" s="213"/>
      <c r="H724" s="115"/>
      <c r="I724" s="109"/>
      <c r="J724" s="109"/>
      <c r="K724" s="109"/>
      <c r="L724" s="109"/>
      <c r="M724" s="109"/>
      <c r="N724" s="109"/>
      <c r="O724" s="109"/>
      <c r="P724" s="115"/>
      <c r="Q724" s="771"/>
      <c r="R724" s="216"/>
      <c r="S724" s="216"/>
      <c r="T724" s="216"/>
      <c r="U724" s="216"/>
      <c r="V724" s="765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  <c r="AT724" s="765"/>
    </row>
    <row r="725" spans="1:46" x14ac:dyDescent="0.25">
      <c r="A725" s="765"/>
      <c r="B725" s="108"/>
      <c r="C725" s="108"/>
      <c r="D725" s="108"/>
      <c r="E725" s="108"/>
      <c r="F725" s="114"/>
      <c r="G725" s="213"/>
      <c r="H725" s="115"/>
      <c r="I725" s="109"/>
      <c r="J725" s="109"/>
      <c r="K725" s="109"/>
      <c r="L725" s="109"/>
      <c r="M725" s="109"/>
      <c r="N725" s="109"/>
      <c r="O725" s="109"/>
      <c r="P725" s="115"/>
      <c r="Q725" s="771"/>
      <c r="R725" s="216"/>
      <c r="S725" s="216"/>
      <c r="T725" s="216"/>
      <c r="U725" s="216"/>
      <c r="V725" s="765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  <c r="AT725" s="765"/>
    </row>
    <row r="726" spans="1:46" x14ac:dyDescent="0.25">
      <c r="A726" s="765"/>
      <c r="B726" s="108"/>
      <c r="C726" s="108"/>
      <c r="D726" s="108"/>
      <c r="E726" s="108"/>
      <c r="F726" s="114"/>
      <c r="G726" s="213"/>
      <c r="H726" s="115"/>
      <c r="I726" s="109"/>
      <c r="J726" s="109"/>
      <c r="K726" s="109"/>
      <c r="L726" s="109"/>
      <c r="M726" s="109"/>
      <c r="N726" s="109"/>
      <c r="O726" s="109"/>
      <c r="P726" s="115"/>
      <c r="Q726" s="771"/>
      <c r="R726" s="216"/>
      <c r="S726" s="216"/>
      <c r="T726" s="216"/>
      <c r="U726" s="216"/>
      <c r="V726" s="765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  <c r="AT726" s="765"/>
    </row>
    <row r="727" spans="1:46" x14ac:dyDescent="0.25">
      <c r="A727" s="765"/>
      <c r="B727" s="108"/>
      <c r="C727" s="108"/>
      <c r="D727" s="108"/>
      <c r="E727" s="108"/>
      <c r="F727" s="114"/>
      <c r="G727" s="213"/>
      <c r="H727" s="115"/>
      <c r="I727" s="109"/>
      <c r="J727" s="109"/>
      <c r="K727" s="109"/>
      <c r="L727" s="109"/>
      <c r="M727" s="109"/>
      <c r="N727" s="109"/>
      <c r="O727" s="109"/>
      <c r="P727" s="115"/>
      <c r="Q727" s="771"/>
      <c r="R727" s="216"/>
      <c r="S727" s="216"/>
      <c r="T727" s="216"/>
      <c r="U727" s="216"/>
      <c r="V727" s="765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  <c r="AT727" s="765"/>
    </row>
    <row r="728" spans="1:46" x14ac:dyDescent="0.25">
      <c r="A728" s="765"/>
      <c r="B728" s="108"/>
      <c r="C728" s="108"/>
      <c r="D728" s="108"/>
      <c r="E728" s="108"/>
      <c r="F728" s="114"/>
      <c r="G728" s="213"/>
      <c r="H728" s="115"/>
      <c r="I728" s="109"/>
      <c r="J728" s="109"/>
      <c r="K728" s="109"/>
      <c r="L728" s="109"/>
      <c r="M728" s="109"/>
      <c r="N728" s="109"/>
      <c r="O728" s="109"/>
      <c r="P728" s="115"/>
      <c r="Q728" s="771"/>
      <c r="R728" s="216"/>
      <c r="S728" s="216"/>
      <c r="T728" s="216"/>
      <c r="U728" s="216"/>
      <c r="V728" s="765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  <c r="AT728" s="765"/>
    </row>
    <row r="729" spans="1:46" x14ac:dyDescent="0.25">
      <c r="A729" s="765"/>
      <c r="B729" s="108"/>
      <c r="C729" s="108"/>
      <c r="D729" s="108"/>
      <c r="E729" s="108"/>
      <c r="F729" s="114"/>
      <c r="G729" s="213"/>
      <c r="H729" s="115"/>
      <c r="I729" s="109"/>
      <c r="J729" s="109"/>
      <c r="K729" s="109"/>
      <c r="L729" s="109"/>
      <c r="M729" s="109"/>
      <c r="N729" s="109"/>
      <c r="O729" s="109"/>
      <c r="P729" s="115"/>
      <c r="Q729" s="771"/>
      <c r="R729" s="216"/>
      <c r="S729" s="216"/>
      <c r="T729" s="216"/>
      <c r="U729" s="216"/>
      <c r="V729" s="765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  <c r="AT729" s="765"/>
    </row>
    <row r="730" spans="1:46" x14ac:dyDescent="0.25">
      <c r="A730" s="765"/>
      <c r="B730" s="108"/>
      <c r="C730" s="108"/>
      <c r="D730" s="108"/>
      <c r="E730" s="108"/>
      <c r="F730" s="114"/>
      <c r="G730" s="213"/>
      <c r="H730" s="115"/>
      <c r="I730" s="109"/>
      <c r="J730" s="109"/>
      <c r="K730" s="109"/>
      <c r="L730" s="109"/>
      <c r="M730" s="109"/>
      <c r="N730" s="109"/>
      <c r="O730" s="109"/>
      <c r="P730" s="115"/>
      <c r="Q730" s="771"/>
      <c r="R730" s="216"/>
      <c r="S730" s="216"/>
      <c r="T730" s="216"/>
      <c r="U730" s="216"/>
      <c r="V730" s="765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  <c r="AT730" s="765"/>
    </row>
    <row r="731" spans="1:46" x14ac:dyDescent="0.25">
      <c r="A731" s="765"/>
      <c r="B731" s="108"/>
      <c r="C731" s="108"/>
      <c r="D731" s="108"/>
      <c r="E731" s="108"/>
      <c r="F731" s="114"/>
      <c r="G731" s="213"/>
      <c r="H731" s="115"/>
      <c r="I731" s="109"/>
      <c r="J731" s="109"/>
      <c r="K731" s="109"/>
      <c r="L731" s="109"/>
      <c r="M731" s="109"/>
      <c r="N731" s="109"/>
      <c r="O731" s="109"/>
      <c r="P731" s="115"/>
      <c r="Q731" s="771"/>
      <c r="R731" s="216"/>
      <c r="S731" s="216"/>
      <c r="T731" s="216"/>
      <c r="U731" s="216"/>
      <c r="V731" s="765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  <c r="AT731" s="765"/>
    </row>
    <row r="732" spans="1:46" x14ac:dyDescent="0.25">
      <c r="A732" s="765"/>
      <c r="B732" s="108"/>
      <c r="C732" s="108"/>
      <c r="D732" s="108"/>
      <c r="E732" s="108"/>
      <c r="F732" s="114"/>
      <c r="G732" s="213"/>
      <c r="H732" s="115"/>
      <c r="I732" s="109"/>
      <c r="J732" s="109"/>
      <c r="K732" s="109"/>
      <c r="L732" s="109"/>
      <c r="M732" s="109"/>
      <c r="N732" s="109"/>
      <c r="O732" s="109"/>
      <c r="P732" s="115"/>
      <c r="Q732" s="771"/>
      <c r="R732" s="216"/>
      <c r="S732" s="216"/>
      <c r="T732" s="216"/>
      <c r="U732" s="216"/>
      <c r="V732" s="765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  <c r="AT732" s="765"/>
    </row>
    <row r="733" spans="1:46" x14ac:dyDescent="0.25">
      <c r="A733" s="765"/>
      <c r="B733" s="108"/>
      <c r="C733" s="108"/>
      <c r="D733" s="108"/>
      <c r="E733" s="108"/>
      <c r="F733" s="114"/>
      <c r="G733" s="213"/>
      <c r="H733" s="115"/>
      <c r="I733" s="109"/>
      <c r="J733" s="109"/>
      <c r="K733" s="109"/>
      <c r="L733" s="109"/>
      <c r="M733" s="109"/>
      <c r="N733" s="109"/>
      <c r="O733" s="109"/>
      <c r="P733" s="115"/>
      <c r="Q733" s="771"/>
      <c r="R733" s="216"/>
      <c r="S733" s="216"/>
      <c r="T733" s="216"/>
      <c r="U733" s="216"/>
      <c r="V733" s="765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  <c r="AT733" s="765"/>
    </row>
    <row r="734" spans="1:46" x14ac:dyDescent="0.25">
      <c r="A734" s="765"/>
      <c r="B734" s="108"/>
      <c r="C734" s="108"/>
      <c r="D734" s="108"/>
      <c r="E734" s="108"/>
      <c r="F734" s="114"/>
      <c r="G734" s="213"/>
      <c r="H734" s="115"/>
      <c r="I734" s="109"/>
      <c r="J734" s="109"/>
      <c r="K734" s="109"/>
      <c r="L734" s="109"/>
      <c r="M734" s="109"/>
      <c r="N734" s="109"/>
      <c r="O734" s="109"/>
      <c r="P734" s="115"/>
      <c r="Q734" s="771"/>
      <c r="R734" s="216"/>
      <c r="S734" s="216"/>
      <c r="T734" s="216"/>
      <c r="U734" s="216"/>
      <c r="V734" s="765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  <c r="AT734" s="765"/>
    </row>
    <row r="735" spans="1:46" x14ac:dyDescent="0.25">
      <c r="A735" s="765"/>
      <c r="B735" s="108"/>
      <c r="C735" s="108"/>
      <c r="D735" s="108"/>
      <c r="E735" s="108"/>
      <c r="F735" s="114"/>
      <c r="G735" s="213"/>
      <c r="H735" s="115"/>
      <c r="I735" s="109"/>
      <c r="J735" s="109"/>
      <c r="K735" s="109"/>
      <c r="L735" s="109"/>
      <c r="M735" s="109"/>
      <c r="N735" s="109"/>
      <c r="O735" s="109"/>
      <c r="P735" s="115"/>
      <c r="Q735" s="771"/>
      <c r="R735" s="216"/>
      <c r="S735" s="216"/>
      <c r="T735" s="216"/>
      <c r="U735" s="216"/>
      <c r="V735" s="765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  <c r="AT735" s="765"/>
    </row>
    <row r="736" spans="1:46" x14ac:dyDescent="0.25">
      <c r="A736" s="765"/>
      <c r="B736" s="108"/>
      <c r="C736" s="108"/>
      <c r="D736" s="108"/>
      <c r="E736" s="108"/>
      <c r="F736" s="114"/>
      <c r="G736" s="213"/>
      <c r="H736" s="115"/>
      <c r="I736" s="109"/>
      <c r="J736" s="109"/>
      <c r="K736" s="109"/>
      <c r="L736" s="109"/>
      <c r="M736" s="109"/>
      <c r="N736" s="109"/>
      <c r="O736" s="109"/>
      <c r="P736" s="115"/>
      <c r="Q736" s="771"/>
      <c r="R736" s="216"/>
      <c r="S736" s="216"/>
      <c r="T736" s="216"/>
      <c r="U736" s="216"/>
      <c r="V736" s="765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  <c r="AT736" s="765"/>
    </row>
    <row r="737" spans="1:46" x14ac:dyDescent="0.25">
      <c r="A737" s="765"/>
      <c r="B737" s="108"/>
      <c r="C737" s="108"/>
      <c r="D737" s="108"/>
      <c r="E737" s="108"/>
      <c r="F737" s="114"/>
      <c r="G737" s="213"/>
      <c r="H737" s="115"/>
      <c r="I737" s="109"/>
      <c r="J737" s="109"/>
      <c r="K737" s="109"/>
      <c r="L737" s="109"/>
      <c r="M737" s="109"/>
      <c r="N737" s="109"/>
      <c r="O737" s="109"/>
      <c r="P737" s="115"/>
      <c r="Q737" s="771"/>
      <c r="R737" s="216"/>
      <c r="S737" s="216"/>
      <c r="T737" s="216"/>
      <c r="U737" s="216"/>
      <c r="V737" s="765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  <c r="AT737" s="765"/>
    </row>
    <row r="738" spans="1:46" x14ac:dyDescent="0.25">
      <c r="A738" s="765"/>
      <c r="B738" s="108"/>
      <c r="C738" s="108"/>
      <c r="D738" s="108"/>
      <c r="E738" s="108"/>
      <c r="F738" s="114"/>
      <c r="G738" s="213"/>
      <c r="H738" s="115"/>
      <c r="I738" s="109"/>
      <c r="J738" s="109"/>
      <c r="K738" s="109"/>
      <c r="L738" s="109"/>
      <c r="M738" s="109"/>
      <c r="N738" s="109"/>
      <c r="O738" s="109"/>
      <c r="P738" s="115"/>
      <c r="Q738" s="771"/>
      <c r="R738" s="216"/>
      <c r="S738" s="216"/>
      <c r="T738" s="216"/>
      <c r="U738" s="216"/>
      <c r="V738" s="765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  <c r="AT738" s="765"/>
    </row>
    <row r="739" spans="1:46" x14ac:dyDescent="0.25">
      <c r="A739" s="765"/>
      <c r="B739" s="108"/>
      <c r="C739" s="108"/>
      <c r="D739" s="108"/>
      <c r="E739" s="108"/>
      <c r="F739" s="114"/>
      <c r="G739" s="213"/>
      <c r="H739" s="115"/>
      <c r="I739" s="109"/>
      <c r="J739" s="109"/>
      <c r="K739" s="109"/>
      <c r="L739" s="109"/>
      <c r="M739" s="109"/>
      <c r="N739" s="109"/>
      <c r="O739" s="109"/>
      <c r="P739" s="115"/>
      <c r="Q739" s="771"/>
      <c r="R739" s="216"/>
      <c r="S739" s="216"/>
      <c r="T739" s="216"/>
      <c r="U739" s="216"/>
      <c r="V739" s="765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  <c r="AT739" s="765"/>
    </row>
    <row r="740" spans="1:46" x14ac:dyDescent="0.25">
      <c r="A740" s="765"/>
      <c r="B740" s="108"/>
      <c r="C740" s="108"/>
      <c r="D740" s="108"/>
      <c r="E740" s="108"/>
      <c r="F740" s="114"/>
      <c r="G740" s="213"/>
      <c r="H740" s="115"/>
      <c r="I740" s="109"/>
      <c r="J740" s="109"/>
      <c r="K740" s="109"/>
      <c r="L740" s="109"/>
      <c r="M740" s="109"/>
      <c r="N740" s="109"/>
      <c r="O740" s="109"/>
      <c r="P740" s="115"/>
      <c r="Q740" s="771"/>
      <c r="R740" s="216"/>
      <c r="S740" s="216"/>
      <c r="T740" s="216"/>
      <c r="U740" s="216"/>
      <c r="V740" s="765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  <c r="AT740" s="765"/>
    </row>
    <row r="741" spans="1:46" x14ac:dyDescent="0.25">
      <c r="A741" s="765"/>
      <c r="B741" s="108"/>
      <c r="C741" s="108"/>
      <c r="D741" s="108"/>
      <c r="E741" s="108"/>
      <c r="F741" s="114"/>
      <c r="G741" s="213"/>
      <c r="H741" s="115"/>
      <c r="I741" s="109"/>
      <c r="J741" s="109"/>
      <c r="K741" s="109"/>
      <c r="L741" s="109"/>
      <c r="M741" s="109"/>
      <c r="N741" s="109"/>
      <c r="O741" s="109"/>
      <c r="P741" s="115"/>
      <c r="Q741" s="771"/>
      <c r="R741" s="216"/>
      <c r="S741" s="216"/>
      <c r="T741" s="216"/>
      <c r="U741" s="216"/>
      <c r="V741" s="765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  <c r="AT741" s="765"/>
    </row>
    <row r="742" spans="1:46" x14ac:dyDescent="0.25">
      <c r="A742" s="765"/>
      <c r="B742" s="108"/>
      <c r="C742" s="108"/>
      <c r="D742" s="108"/>
      <c r="E742" s="108"/>
      <c r="F742" s="114"/>
      <c r="G742" s="213"/>
      <c r="H742" s="115"/>
      <c r="I742" s="109"/>
      <c r="J742" s="109"/>
      <c r="K742" s="109"/>
      <c r="L742" s="109"/>
      <c r="M742" s="109"/>
      <c r="N742" s="109"/>
      <c r="O742" s="109"/>
      <c r="P742" s="115"/>
      <c r="Q742" s="771"/>
      <c r="R742" s="216"/>
      <c r="S742" s="216"/>
      <c r="T742" s="216"/>
      <c r="U742" s="216"/>
      <c r="V742" s="765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  <c r="AT742" s="765"/>
    </row>
    <row r="743" spans="1:46" x14ac:dyDescent="0.25">
      <c r="A743" s="765"/>
      <c r="B743" s="108"/>
      <c r="C743" s="108"/>
      <c r="D743" s="108"/>
      <c r="E743" s="108"/>
      <c r="F743" s="114"/>
      <c r="G743" s="213"/>
      <c r="H743" s="115"/>
      <c r="I743" s="109"/>
      <c r="J743" s="109"/>
      <c r="K743" s="109"/>
      <c r="L743" s="109"/>
      <c r="M743" s="109"/>
      <c r="N743" s="109"/>
      <c r="O743" s="109"/>
      <c r="P743" s="115"/>
      <c r="Q743" s="771"/>
      <c r="R743" s="216"/>
      <c r="S743" s="216"/>
      <c r="T743" s="216"/>
      <c r="U743" s="216"/>
      <c r="V743" s="765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  <c r="AT743" s="765"/>
    </row>
    <row r="744" spans="1:46" x14ac:dyDescent="0.25">
      <c r="A744" s="765"/>
      <c r="B744" s="108"/>
      <c r="C744" s="108"/>
      <c r="D744" s="108"/>
      <c r="E744" s="108"/>
      <c r="F744" s="114"/>
      <c r="G744" s="213"/>
      <c r="H744" s="115"/>
      <c r="I744" s="109"/>
      <c r="J744" s="109"/>
      <c r="K744" s="109"/>
      <c r="L744" s="109"/>
      <c r="M744" s="109"/>
      <c r="N744" s="109"/>
      <c r="O744" s="109"/>
      <c r="P744" s="115"/>
      <c r="Q744" s="771"/>
      <c r="R744" s="216"/>
      <c r="S744" s="216"/>
      <c r="T744" s="216"/>
      <c r="U744" s="216"/>
      <c r="V744" s="765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  <c r="AT744" s="765"/>
    </row>
    <row r="745" spans="1:46" x14ac:dyDescent="0.25">
      <c r="A745" s="765"/>
      <c r="B745" s="108"/>
      <c r="C745" s="108"/>
      <c r="D745" s="108"/>
      <c r="E745" s="108"/>
      <c r="F745" s="114"/>
      <c r="G745" s="213"/>
      <c r="H745" s="115"/>
      <c r="I745" s="109"/>
      <c r="J745" s="109"/>
      <c r="K745" s="109"/>
      <c r="L745" s="109"/>
      <c r="M745" s="109"/>
      <c r="N745" s="109"/>
      <c r="O745" s="109"/>
      <c r="P745" s="115"/>
      <c r="Q745" s="771"/>
      <c r="R745" s="216"/>
      <c r="S745" s="216"/>
      <c r="T745" s="216"/>
      <c r="U745" s="216"/>
      <c r="V745" s="765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  <c r="AT745" s="765"/>
    </row>
    <row r="746" spans="1:46" x14ac:dyDescent="0.25">
      <c r="A746" s="765"/>
      <c r="B746" s="108"/>
      <c r="C746" s="108"/>
      <c r="D746" s="108"/>
      <c r="E746" s="108"/>
      <c r="F746" s="114"/>
      <c r="G746" s="213"/>
      <c r="H746" s="115"/>
      <c r="I746" s="109"/>
      <c r="J746" s="109"/>
      <c r="K746" s="109"/>
      <c r="L746" s="109"/>
      <c r="M746" s="109"/>
      <c r="N746" s="109"/>
      <c r="O746" s="109"/>
      <c r="P746" s="115"/>
      <c r="Q746" s="771"/>
      <c r="R746" s="216"/>
      <c r="S746" s="216"/>
      <c r="T746" s="216"/>
      <c r="U746" s="216"/>
      <c r="V746" s="765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  <c r="AT746" s="765"/>
    </row>
    <row r="747" spans="1:46" x14ac:dyDescent="0.25">
      <c r="A747" s="765"/>
      <c r="B747" s="108"/>
      <c r="C747" s="108"/>
      <c r="D747" s="108"/>
      <c r="E747" s="108"/>
      <c r="F747" s="114"/>
      <c r="G747" s="213"/>
      <c r="H747" s="115"/>
      <c r="I747" s="109"/>
      <c r="J747" s="109"/>
      <c r="K747" s="109"/>
      <c r="L747" s="109"/>
      <c r="M747" s="109"/>
      <c r="N747" s="109"/>
      <c r="O747" s="109"/>
      <c r="P747" s="115"/>
      <c r="Q747" s="771"/>
      <c r="R747" s="216"/>
      <c r="S747" s="216"/>
      <c r="T747" s="216"/>
      <c r="U747" s="216"/>
      <c r="V747" s="765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  <c r="AT747" s="765"/>
    </row>
    <row r="748" spans="1:46" x14ac:dyDescent="0.25">
      <c r="A748" s="765"/>
      <c r="B748" s="108"/>
      <c r="C748" s="108"/>
      <c r="D748" s="108"/>
      <c r="E748" s="108"/>
      <c r="F748" s="114"/>
      <c r="G748" s="213"/>
      <c r="H748" s="115"/>
      <c r="I748" s="109"/>
      <c r="J748" s="109"/>
      <c r="K748" s="109"/>
      <c r="L748" s="109"/>
      <c r="M748" s="109"/>
      <c r="N748" s="109"/>
      <c r="O748" s="109"/>
      <c r="P748" s="115"/>
      <c r="Q748" s="771"/>
      <c r="R748" s="216"/>
      <c r="S748" s="216"/>
      <c r="T748" s="216"/>
      <c r="U748" s="216"/>
      <c r="V748" s="765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  <c r="AT748" s="765"/>
    </row>
    <row r="749" spans="1:46" x14ac:dyDescent="0.25">
      <c r="A749" s="765"/>
      <c r="B749" s="108"/>
      <c r="C749" s="108"/>
      <c r="D749" s="108"/>
      <c r="E749" s="108"/>
      <c r="F749" s="114"/>
      <c r="G749" s="213"/>
      <c r="H749" s="115"/>
      <c r="I749" s="109"/>
      <c r="J749" s="109"/>
      <c r="K749" s="109"/>
      <c r="L749" s="109"/>
      <c r="M749" s="109"/>
      <c r="N749" s="109"/>
      <c r="O749" s="109"/>
      <c r="P749" s="115"/>
      <c r="Q749" s="771"/>
      <c r="R749" s="216"/>
      <c r="S749" s="216"/>
      <c r="T749" s="216"/>
      <c r="U749" s="216"/>
      <c r="V749" s="765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  <c r="AT749" s="765"/>
    </row>
    <row r="750" spans="1:46" x14ac:dyDescent="0.25">
      <c r="A750" s="765"/>
      <c r="B750" s="108"/>
      <c r="C750" s="108"/>
      <c r="D750" s="108"/>
      <c r="E750" s="108"/>
      <c r="F750" s="114"/>
      <c r="G750" s="213"/>
      <c r="H750" s="115"/>
      <c r="I750" s="109"/>
      <c r="J750" s="109"/>
      <c r="K750" s="109"/>
      <c r="L750" s="109"/>
      <c r="M750" s="109"/>
      <c r="N750" s="109"/>
      <c r="O750" s="109"/>
      <c r="P750" s="115"/>
      <c r="Q750" s="771"/>
      <c r="R750" s="216"/>
      <c r="S750" s="216"/>
      <c r="T750" s="216"/>
      <c r="U750" s="216"/>
      <c r="V750" s="765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  <c r="AT750" s="765"/>
    </row>
    <row r="751" spans="1:46" x14ac:dyDescent="0.25">
      <c r="A751" s="765"/>
      <c r="B751" s="108"/>
      <c r="C751" s="108"/>
      <c r="D751" s="108"/>
      <c r="E751" s="108"/>
      <c r="F751" s="114"/>
      <c r="G751" s="213"/>
      <c r="H751" s="115"/>
      <c r="I751" s="109"/>
      <c r="J751" s="109"/>
      <c r="K751" s="109"/>
      <c r="L751" s="109"/>
      <c r="M751" s="109"/>
      <c r="N751" s="109"/>
      <c r="O751" s="109"/>
      <c r="P751" s="115"/>
      <c r="Q751" s="771"/>
      <c r="R751" s="216"/>
      <c r="S751" s="216"/>
      <c r="T751" s="216"/>
      <c r="U751" s="216"/>
      <c r="V751" s="765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  <c r="AT751" s="765"/>
    </row>
    <row r="752" spans="1:46" x14ac:dyDescent="0.25">
      <c r="A752" s="765"/>
      <c r="B752" s="108"/>
      <c r="C752" s="108"/>
      <c r="D752" s="108"/>
      <c r="E752" s="108"/>
      <c r="F752" s="114"/>
      <c r="G752" s="213"/>
      <c r="H752" s="115"/>
      <c r="I752" s="109"/>
      <c r="J752" s="109"/>
      <c r="K752" s="109"/>
      <c r="L752" s="109"/>
      <c r="M752" s="109"/>
      <c r="N752" s="109"/>
      <c r="O752" s="109"/>
      <c r="P752" s="115"/>
      <c r="Q752" s="771"/>
      <c r="R752" s="216"/>
      <c r="S752" s="216"/>
      <c r="T752" s="216"/>
      <c r="U752" s="216"/>
      <c r="V752" s="765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  <c r="AT752" s="765"/>
    </row>
    <row r="753" spans="1:46" x14ac:dyDescent="0.25">
      <c r="A753" s="765"/>
      <c r="B753" s="108"/>
      <c r="C753" s="108"/>
      <c r="D753" s="108"/>
      <c r="E753" s="108"/>
      <c r="F753" s="114"/>
      <c r="G753" s="213"/>
      <c r="H753" s="115"/>
      <c r="I753" s="109"/>
      <c r="J753" s="109"/>
      <c r="K753" s="109"/>
      <c r="L753" s="109"/>
      <c r="M753" s="109"/>
      <c r="N753" s="109"/>
      <c r="O753" s="109"/>
      <c r="P753" s="115"/>
      <c r="Q753" s="771"/>
      <c r="R753" s="216"/>
      <c r="S753" s="216"/>
      <c r="T753" s="216"/>
      <c r="U753" s="216"/>
      <c r="V753" s="765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  <c r="AT753" s="765"/>
    </row>
    <row r="754" spans="1:46" x14ac:dyDescent="0.25">
      <c r="A754" s="765"/>
      <c r="B754" s="108"/>
      <c r="C754" s="108"/>
      <c r="D754" s="108"/>
      <c r="E754" s="108"/>
      <c r="F754" s="114"/>
      <c r="G754" s="213"/>
      <c r="H754" s="115"/>
      <c r="I754" s="109"/>
      <c r="J754" s="109"/>
      <c r="K754" s="109"/>
      <c r="L754" s="109"/>
      <c r="M754" s="109"/>
      <c r="N754" s="109"/>
      <c r="O754" s="109"/>
      <c r="P754" s="115"/>
      <c r="Q754" s="771"/>
      <c r="R754" s="216"/>
      <c r="S754" s="216"/>
      <c r="T754" s="216"/>
      <c r="U754" s="216"/>
      <c r="V754" s="765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  <c r="AT754" s="765"/>
    </row>
    <row r="755" spans="1:46" x14ac:dyDescent="0.25">
      <c r="A755" s="765"/>
      <c r="B755" s="108"/>
      <c r="C755" s="108"/>
      <c r="D755" s="108"/>
      <c r="E755" s="108"/>
      <c r="F755" s="114"/>
      <c r="G755" s="213"/>
      <c r="H755" s="115"/>
      <c r="I755" s="109"/>
      <c r="J755" s="109"/>
      <c r="K755" s="109"/>
      <c r="L755" s="109"/>
      <c r="M755" s="109"/>
      <c r="N755" s="109"/>
      <c r="O755" s="109"/>
      <c r="P755" s="115"/>
      <c r="Q755" s="771"/>
      <c r="R755" s="216"/>
      <c r="S755" s="216"/>
      <c r="T755" s="216"/>
      <c r="U755" s="216"/>
      <c r="V755" s="765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  <c r="AT755" s="765"/>
    </row>
    <row r="756" spans="1:46" x14ac:dyDescent="0.25">
      <c r="A756" s="765"/>
      <c r="B756" s="108"/>
      <c r="C756" s="108"/>
      <c r="D756" s="108"/>
      <c r="E756" s="108"/>
      <c r="F756" s="114"/>
      <c r="G756" s="213"/>
      <c r="H756" s="115"/>
      <c r="I756" s="109"/>
      <c r="J756" s="109"/>
      <c r="K756" s="109"/>
      <c r="L756" s="109"/>
      <c r="M756" s="109"/>
      <c r="N756" s="109"/>
      <c r="O756" s="109"/>
      <c r="P756" s="115"/>
      <c r="Q756" s="771"/>
      <c r="R756" s="216"/>
      <c r="S756" s="216"/>
      <c r="T756" s="216"/>
      <c r="U756" s="216"/>
      <c r="V756" s="765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  <c r="AT756" s="765"/>
    </row>
    <row r="757" spans="1:46" x14ac:dyDescent="0.25">
      <c r="A757" s="765"/>
      <c r="B757" s="108"/>
      <c r="C757" s="108"/>
      <c r="D757" s="108"/>
      <c r="E757" s="108"/>
      <c r="F757" s="114"/>
      <c r="G757" s="213"/>
      <c r="H757" s="115"/>
      <c r="I757" s="109"/>
      <c r="J757" s="109"/>
      <c r="K757" s="109"/>
      <c r="L757" s="109"/>
      <c r="M757" s="109"/>
      <c r="N757" s="109"/>
      <c r="O757" s="109"/>
      <c r="P757" s="115"/>
      <c r="Q757" s="771"/>
      <c r="R757" s="216"/>
      <c r="S757" s="216"/>
      <c r="T757" s="216"/>
      <c r="U757" s="216"/>
      <c r="V757" s="765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  <c r="AT757" s="765"/>
    </row>
    <row r="758" spans="1:46" x14ac:dyDescent="0.25">
      <c r="A758" s="765"/>
      <c r="B758" s="108"/>
      <c r="C758" s="108"/>
      <c r="D758" s="108"/>
      <c r="E758" s="108"/>
      <c r="F758" s="114"/>
      <c r="G758" s="213"/>
      <c r="H758" s="115"/>
      <c r="I758" s="109"/>
      <c r="J758" s="109"/>
      <c r="K758" s="109"/>
      <c r="L758" s="109"/>
      <c r="M758" s="109"/>
      <c r="N758" s="109"/>
      <c r="O758" s="109"/>
      <c r="P758" s="115"/>
      <c r="Q758" s="771"/>
      <c r="R758" s="216"/>
      <c r="S758" s="216"/>
      <c r="T758" s="216"/>
      <c r="U758" s="216"/>
      <c r="V758" s="765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  <c r="AT758" s="765"/>
    </row>
    <row r="759" spans="1:46" x14ac:dyDescent="0.25">
      <c r="A759" s="765"/>
      <c r="B759" s="108"/>
      <c r="C759" s="108"/>
      <c r="D759" s="108"/>
      <c r="E759" s="108"/>
      <c r="F759" s="114"/>
      <c r="G759" s="213"/>
      <c r="H759" s="115"/>
      <c r="I759" s="109"/>
      <c r="J759" s="109"/>
      <c r="K759" s="109"/>
      <c r="L759" s="109"/>
      <c r="M759" s="109"/>
      <c r="N759" s="109"/>
      <c r="O759" s="109"/>
      <c r="P759" s="115"/>
      <c r="Q759" s="771"/>
      <c r="R759" s="216"/>
      <c r="S759" s="216"/>
      <c r="T759" s="216"/>
      <c r="U759" s="216"/>
      <c r="V759" s="765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  <c r="AT759" s="765"/>
    </row>
    <row r="760" spans="1:46" x14ac:dyDescent="0.25">
      <c r="A760" s="765"/>
      <c r="B760" s="108"/>
      <c r="C760" s="108"/>
      <c r="D760" s="108"/>
      <c r="E760" s="108"/>
      <c r="F760" s="114"/>
      <c r="G760" s="213"/>
      <c r="H760" s="115"/>
      <c r="I760" s="109"/>
      <c r="J760" s="109"/>
      <c r="K760" s="109"/>
      <c r="L760" s="109"/>
      <c r="M760" s="109"/>
      <c r="N760" s="109"/>
      <c r="O760" s="109"/>
      <c r="P760" s="115"/>
      <c r="Q760" s="771"/>
      <c r="R760" s="216"/>
      <c r="S760" s="216"/>
      <c r="T760" s="216"/>
      <c r="U760" s="216"/>
      <c r="V760" s="765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  <c r="AT760" s="765"/>
    </row>
    <row r="761" spans="1:46" x14ac:dyDescent="0.25">
      <c r="A761" s="765"/>
      <c r="B761" s="108"/>
      <c r="C761" s="108"/>
      <c r="D761" s="108"/>
      <c r="E761" s="108"/>
      <c r="F761" s="114"/>
      <c r="G761" s="213"/>
      <c r="H761" s="115"/>
      <c r="I761" s="109"/>
      <c r="J761" s="109"/>
      <c r="K761" s="109"/>
      <c r="L761" s="109"/>
      <c r="M761" s="109"/>
      <c r="N761" s="109"/>
      <c r="O761" s="109"/>
      <c r="P761" s="115"/>
      <c r="Q761" s="771"/>
      <c r="R761" s="216"/>
      <c r="S761" s="216"/>
      <c r="T761" s="216"/>
      <c r="U761" s="216"/>
      <c r="V761" s="765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  <c r="AT761" s="765"/>
    </row>
    <row r="762" spans="1:46" x14ac:dyDescent="0.25">
      <c r="A762" s="765"/>
      <c r="B762" s="108"/>
      <c r="C762" s="108"/>
      <c r="D762" s="108"/>
      <c r="E762" s="108"/>
      <c r="F762" s="114"/>
      <c r="G762" s="213"/>
      <c r="H762" s="115"/>
      <c r="I762" s="109"/>
      <c r="J762" s="109"/>
      <c r="K762" s="109"/>
      <c r="L762" s="109"/>
      <c r="M762" s="109"/>
      <c r="N762" s="109"/>
      <c r="O762" s="109"/>
      <c r="P762" s="115"/>
      <c r="Q762" s="771"/>
      <c r="R762" s="216"/>
      <c r="S762" s="216"/>
      <c r="T762" s="216"/>
      <c r="U762" s="216"/>
      <c r="V762" s="765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  <c r="AT762" s="765"/>
    </row>
    <row r="763" spans="1:46" x14ac:dyDescent="0.25">
      <c r="A763" s="765"/>
      <c r="B763" s="108"/>
      <c r="C763" s="108"/>
      <c r="D763" s="108"/>
      <c r="E763" s="108"/>
      <c r="F763" s="114"/>
      <c r="G763" s="213"/>
      <c r="H763" s="115"/>
      <c r="I763" s="109"/>
      <c r="J763" s="109"/>
      <c r="K763" s="109"/>
      <c r="L763" s="109"/>
      <c r="M763" s="109"/>
      <c r="N763" s="109"/>
      <c r="O763" s="109"/>
      <c r="P763" s="115"/>
      <c r="Q763" s="771"/>
      <c r="R763" s="216"/>
      <c r="S763" s="216"/>
      <c r="T763" s="216"/>
      <c r="U763" s="216"/>
      <c r="V763" s="765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  <c r="AT763" s="765"/>
    </row>
    <row r="764" spans="1:46" x14ac:dyDescent="0.25">
      <c r="A764" s="765"/>
      <c r="B764" s="108"/>
      <c r="C764" s="108"/>
      <c r="D764" s="108"/>
      <c r="E764" s="108"/>
      <c r="F764" s="114"/>
      <c r="G764" s="213"/>
      <c r="H764" s="115"/>
      <c r="I764" s="109"/>
      <c r="J764" s="109"/>
      <c r="K764" s="109"/>
      <c r="L764" s="109"/>
      <c r="M764" s="109"/>
      <c r="N764" s="109"/>
      <c r="O764" s="109"/>
      <c r="P764" s="115"/>
      <c r="Q764" s="771"/>
      <c r="R764" s="216"/>
      <c r="S764" s="216"/>
      <c r="T764" s="216"/>
      <c r="U764" s="216"/>
      <c r="V764" s="765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  <c r="AT764" s="765"/>
    </row>
    <row r="765" spans="1:46" x14ac:dyDescent="0.25">
      <c r="A765" s="765"/>
      <c r="B765" s="108"/>
      <c r="C765" s="108"/>
      <c r="D765" s="108"/>
      <c r="E765" s="108"/>
      <c r="F765" s="114"/>
      <c r="G765" s="213"/>
      <c r="H765" s="115"/>
      <c r="I765" s="109"/>
      <c r="J765" s="109"/>
      <c r="K765" s="109"/>
      <c r="L765" s="109"/>
      <c r="M765" s="109"/>
      <c r="N765" s="109"/>
      <c r="O765" s="109"/>
      <c r="P765" s="115"/>
      <c r="Q765" s="771"/>
      <c r="R765" s="216"/>
      <c r="S765" s="216"/>
      <c r="T765" s="216"/>
      <c r="U765" s="216"/>
      <c r="V765" s="765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  <c r="AT765" s="765"/>
    </row>
    <row r="766" spans="1:46" x14ac:dyDescent="0.25">
      <c r="A766" s="765"/>
      <c r="B766" s="108"/>
      <c r="C766" s="108"/>
      <c r="D766" s="108"/>
      <c r="E766" s="108"/>
      <c r="F766" s="114"/>
      <c r="G766" s="213"/>
      <c r="H766" s="115"/>
      <c r="I766" s="109"/>
      <c r="J766" s="109"/>
      <c r="K766" s="109"/>
      <c r="L766" s="109"/>
      <c r="M766" s="109"/>
      <c r="N766" s="109"/>
      <c r="O766" s="109"/>
      <c r="P766" s="115"/>
      <c r="Q766" s="771"/>
      <c r="R766" s="216"/>
      <c r="S766" s="216"/>
      <c r="T766" s="216"/>
      <c r="U766" s="216"/>
      <c r="V766" s="765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  <c r="AT766" s="765"/>
    </row>
    <row r="767" spans="1:46" x14ac:dyDescent="0.25">
      <c r="A767" s="765"/>
      <c r="B767" s="108"/>
      <c r="C767" s="108"/>
      <c r="D767" s="108"/>
      <c r="E767" s="108"/>
      <c r="F767" s="114"/>
      <c r="G767" s="213"/>
      <c r="H767" s="115"/>
      <c r="I767" s="109"/>
      <c r="J767" s="109"/>
      <c r="K767" s="109"/>
      <c r="L767" s="109"/>
      <c r="M767" s="109"/>
      <c r="N767" s="109"/>
      <c r="O767" s="109"/>
      <c r="P767" s="115"/>
      <c r="Q767" s="771"/>
      <c r="R767" s="216"/>
      <c r="S767" s="216"/>
      <c r="T767" s="216"/>
      <c r="U767" s="216"/>
      <c r="V767" s="765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  <c r="AT767" s="765"/>
    </row>
    <row r="768" spans="1:46" x14ac:dyDescent="0.25">
      <c r="A768" s="765"/>
      <c r="B768" s="108"/>
      <c r="C768" s="108"/>
      <c r="D768" s="108"/>
      <c r="E768" s="108"/>
      <c r="F768" s="114"/>
      <c r="G768" s="213"/>
      <c r="H768" s="115"/>
      <c r="I768" s="109"/>
      <c r="J768" s="109"/>
      <c r="K768" s="109"/>
      <c r="L768" s="109"/>
      <c r="M768" s="109"/>
      <c r="N768" s="109"/>
      <c r="O768" s="109"/>
      <c r="P768" s="115"/>
      <c r="Q768" s="771"/>
      <c r="R768" s="216"/>
      <c r="S768" s="216"/>
      <c r="T768" s="216"/>
      <c r="U768" s="216"/>
      <c r="V768" s="765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  <c r="AT768" s="765"/>
    </row>
    <row r="769" spans="1:46" x14ac:dyDescent="0.25">
      <c r="A769" s="765"/>
      <c r="B769" s="108"/>
      <c r="C769" s="108"/>
      <c r="D769" s="108"/>
      <c r="E769" s="108"/>
      <c r="F769" s="114"/>
      <c r="G769" s="213"/>
      <c r="H769" s="115"/>
      <c r="I769" s="109"/>
      <c r="J769" s="109"/>
      <c r="K769" s="109"/>
      <c r="L769" s="109"/>
      <c r="M769" s="109"/>
      <c r="N769" s="109"/>
      <c r="O769" s="109"/>
      <c r="P769" s="115"/>
      <c r="Q769" s="771"/>
      <c r="R769" s="216"/>
      <c r="S769" s="216"/>
      <c r="T769" s="216"/>
      <c r="U769" s="216"/>
      <c r="V769" s="765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  <c r="AT769" s="765"/>
    </row>
    <row r="770" spans="1:46" x14ac:dyDescent="0.25">
      <c r="A770" s="765"/>
      <c r="B770" s="108"/>
      <c r="C770" s="108"/>
      <c r="D770" s="108"/>
      <c r="E770" s="108"/>
      <c r="F770" s="114"/>
      <c r="G770" s="213"/>
      <c r="H770" s="115"/>
      <c r="I770" s="109"/>
      <c r="J770" s="109"/>
      <c r="K770" s="109"/>
      <c r="L770" s="109"/>
      <c r="M770" s="109"/>
      <c r="N770" s="109"/>
      <c r="O770" s="109"/>
      <c r="P770" s="115"/>
      <c r="Q770" s="771"/>
      <c r="R770" s="216"/>
      <c r="S770" s="216"/>
      <c r="T770" s="216"/>
      <c r="U770" s="216"/>
      <c r="V770" s="765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  <c r="AT770" s="765"/>
    </row>
    <row r="771" spans="1:46" x14ac:dyDescent="0.25">
      <c r="A771" s="765"/>
      <c r="B771" s="108"/>
      <c r="C771" s="108"/>
      <c r="D771" s="108"/>
      <c r="E771" s="108"/>
      <c r="F771" s="114"/>
      <c r="G771" s="213"/>
      <c r="H771" s="115"/>
      <c r="I771" s="109"/>
      <c r="J771" s="109"/>
      <c r="K771" s="109"/>
      <c r="L771" s="109"/>
      <c r="M771" s="109"/>
      <c r="N771" s="109"/>
      <c r="O771" s="109"/>
      <c r="P771" s="115"/>
      <c r="Q771" s="771"/>
      <c r="R771" s="216"/>
      <c r="S771" s="216"/>
      <c r="T771" s="216"/>
      <c r="U771" s="216"/>
      <c r="V771" s="765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  <c r="AT771" s="765"/>
    </row>
    <row r="772" spans="1:46" x14ac:dyDescent="0.25">
      <c r="A772" s="765"/>
      <c r="B772" s="108"/>
      <c r="C772" s="108"/>
      <c r="D772" s="108"/>
      <c r="E772" s="108"/>
      <c r="F772" s="114"/>
      <c r="G772" s="213"/>
      <c r="H772" s="115"/>
      <c r="I772" s="109"/>
      <c r="J772" s="109"/>
      <c r="K772" s="109"/>
      <c r="L772" s="109"/>
      <c r="M772" s="109"/>
      <c r="N772" s="109"/>
      <c r="O772" s="109"/>
      <c r="P772" s="115"/>
      <c r="Q772" s="771"/>
      <c r="R772" s="216"/>
      <c r="S772" s="216"/>
      <c r="T772" s="216"/>
      <c r="U772" s="216"/>
      <c r="V772" s="765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  <c r="AT772" s="765"/>
    </row>
    <row r="773" spans="1:46" x14ac:dyDescent="0.25">
      <c r="A773" s="765"/>
      <c r="B773" s="108"/>
      <c r="C773" s="108"/>
      <c r="D773" s="108"/>
      <c r="E773" s="108"/>
      <c r="F773" s="114"/>
      <c r="G773" s="213"/>
      <c r="H773" s="115"/>
      <c r="I773" s="109"/>
      <c r="J773" s="109"/>
      <c r="K773" s="109"/>
      <c r="L773" s="109"/>
      <c r="M773" s="109"/>
      <c r="N773" s="109"/>
      <c r="O773" s="109"/>
      <c r="P773" s="115"/>
      <c r="Q773" s="771"/>
      <c r="R773" s="216"/>
      <c r="S773" s="216"/>
      <c r="T773" s="216"/>
      <c r="U773" s="216"/>
      <c r="V773" s="765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  <c r="AT773" s="765"/>
    </row>
    <row r="774" spans="1:46" x14ac:dyDescent="0.25">
      <c r="A774" s="765"/>
      <c r="B774" s="108"/>
      <c r="C774" s="108"/>
      <c r="D774" s="108"/>
      <c r="E774" s="108"/>
      <c r="F774" s="114"/>
      <c r="G774" s="213"/>
      <c r="H774" s="115"/>
      <c r="I774" s="109"/>
      <c r="J774" s="109"/>
      <c r="K774" s="109"/>
      <c r="L774" s="109"/>
      <c r="M774" s="109"/>
      <c r="N774" s="109"/>
      <c r="O774" s="109"/>
      <c r="P774" s="115"/>
      <c r="Q774" s="771"/>
      <c r="R774" s="216"/>
      <c r="S774" s="216"/>
      <c r="T774" s="216"/>
      <c r="U774" s="216"/>
      <c r="V774" s="765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  <c r="AT774" s="765"/>
    </row>
    <row r="775" spans="1:46" x14ac:dyDescent="0.25">
      <c r="A775" s="765"/>
      <c r="B775" s="108"/>
      <c r="C775" s="108"/>
      <c r="D775" s="108"/>
      <c r="E775" s="108"/>
      <c r="F775" s="114"/>
      <c r="G775" s="213"/>
      <c r="H775" s="115"/>
      <c r="I775" s="109"/>
      <c r="J775" s="109"/>
      <c r="K775" s="109"/>
      <c r="L775" s="109"/>
      <c r="M775" s="109"/>
      <c r="N775" s="109"/>
      <c r="O775" s="109"/>
      <c r="P775" s="115"/>
      <c r="Q775" s="771"/>
      <c r="R775" s="216"/>
      <c r="S775" s="216"/>
      <c r="T775" s="216"/>
      <c r="U775" s="216"/>
      <c r="V775" s="765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  <c r="AT775" s="765"/>
    </row>
    <row r="776" spans="1:46" x14ac:dyDescent="0.25">
      <c r="A776" s="765"/>
      <c r="B776" s="108"/>
      <c r="C776" s="108"/>
      <c r="D776" s="108"/>
      <c r="E776" s="108"/>
      <c r="F776" s="114"/>
      <c r="G776" s="213"/>
      <c r="H776" s="115"/>
      <c r="I776" s="109"/>
      <c r="J776" s="109"/>
      <c r="K776" s="109"/>
      <c r="L776" s="109"/>
      <c r="M776" s="109"/>
      <c r="N776" s="109"/>
      <c r="O776" s="109"/>
      <c r="P776" s="115"/>
      <c r="Q776" s="771"/>
      <c r="R776" s="216"/>
      <c r="S776" s="216"/>
      <c r="T776" s="216"/>
      <c r="U776" s="216"/>
      <c r="V776" s="765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  <c r="AT776" s="765"/>
    </row>
    <row r="777" spans="1:46" x14ac:dyDescent="0.25">
      <c r="A777" s="765"/>
      <c r="B777" s="108"/>
      <c r="C777" s="108"/>
      <c r="D777" s="108"/>
      <c r="E777" s="108"/>
      <c r="F777" s="114"/>
      <c r="G777" s="213"/>
      <c r="H777" s="115"/>
      <c r="I777" s="109"/>
      <c r="J777" s="109"/>
      <c r="K777" s="109"/>
      <c r="L777" s="109"/>
      <c r="M777" s="109"/>
      <c r="N777" s="109"/>
      <c r="O777" s="109"/>
      <c r="P777" s="115"/>
      <c r="Q777" s="771"/>
      <c r="R777" s="216"/>
      <c r="S777" s="216"/>
      <c r="T777" s="216"/>
      <c r="U777" s="216"/>
      <c r="V777" s="765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  <c r="AT777" s="765"/>
    </row>
    <row r="778" spans="1:46" x14ac:dyDescent="0.25">
      <c r="A778" s="765"/>
      <c r="B778" s="108"/>
      <c r="C778" s="108"/>
      <c r="D778" s="108"/>
      <c r="E778" s="108"/>
      <c r="F778" s="114"/>
      <c r="G778" s="213"/>
      <c r="H778" s="115"/>
      <c r="I778" s="109"/>
      <c r="J778" s="109"/>
      <c r="K778" s="109"/>
      <c r="L778" s="109"/>
      <c r="M778" s="109"/>
      <c r="N778" s="109"/>
      <c r="O778" s="109"/>
      <c r="P778" s="115"/>
      <c r="Q778" s="771"/>
      <c r="R778" s="216"/>
      <c r="S778" s="216"/>
      <c r="T778" s="216"/>
      <c r="U778" s="216"/>
      <c r="V778" s="765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  <c r="AT778" s="765"/>
    </row>
    <row r="779" spans="1:46" x14ac:dyDescent="0.25">
      <c r="A779" s="765"/>
      <c r="B779" s="108"/>
      <c r="C779" s="108"/>
      <c r="D779" s="108"/>
      <c r="E779" s="108"/>
      <c r="F779" s="114"/>
      <c r="G779" s="213"/>
      <c r="H779" s="115"/>
      <c r="I779" s="109"/>
      <c r="J779" s="109"/>
      <c r="K779" s="109"/>
      <c r="L779" s="109"/>
      <c r="M779" s="109"/>
      <c r="N779" s="109"/>
      <c r="O779" s="109"/>
      <c r="P779" s="115"/>
      <c r="Q779" s="771"/>
      <c r="R779" s="216"/>
      <c r="S779" s="216"/>
      <c r="T779" s="216"/>
      <c r="U779" s="216"/>
      <c r="V779" s="765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  <c r="AT779" s="765"/>
    </row>
    <row r="780" spans="1:46" x14ac:dyDescent="0.25">
      <c r="A780" s="765"/>
      <c r="B780" s="108"/>
      <c r="C780" s="108"/>
      <c r="D780" s="108"/>
      <c r="E780" s="108"/>
      <c r="F780" s="114"/>
      <c r="G780" s="213"/>
      <c r="H780" s="115"/>
      <c r="I780" s="109"/>
      <c r="J780" s="109"/>
      <c r="K780" s="109"/>
      <c r="L780" s="109"/>
      <c r="M780" s="109"/>
      <c r="N780" s="109"/>
      <c r="O780" s="109"/>
      <c r="P780" s="115"/>
      <c r="Q780" s="771"/>
      <c r="R780" s="216"/>
      <c r="S780" s="216"/>
      <c r="T780" s="216"/>
      <c r="U780" s="216"/>
      <c r="V780" s="765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  <c r="AT780" s="765"/>
    </row>
    <row r="781" spans="1:46" x14ac:dyDescent="0.25">
      <c r="A781" s="765"/>
      <c r="B781" s="108"/>
      <c r="C781" s="108"/>
      <c r="D781" s="108"/>
      <c r="E781" s="108"/>
      <c r="F781" s="114"/>
      <c r="G781" s="213"/>
      <c r="H781" s="115"/>
      <c r="I781" s="109"/>
      <c r="J781" s="109"/>
      <c r="K781" s="109"/>
      <c r="L781" s="109"/>
      <c r="M781" s="109"/>
      <c r="N781" s="109"/>
      <c r="O781" s="109"/>
      <c r="P781" s="115"/>
      <c r="Q781" s="771"/>
      <c r="R781" s="216"/>
      <c r="S781" s="216"/>
      <c r="T781" s="216"/>
      <c r="U781" s="216"/>
      <c r="V781" s="765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  <c r="AT781" s="765"/>
    </row>
    <row r="782" spans="1:46" x14ac:dyDescent="0.25">
      <c r="A782" s="765"/>
      <c r="B782" s="108"/>
      <c r="C782" s="108"/>
      <c r="D782" s="108"/>
      <c r="E782" s="108"/>
      <c r="F782" s="114"/>
      <c r="G782" s="213"/>
      <c r="H782" s="115"/>
      <c r="I782" s="109"/>
      <c r="J782" s="109"/>
      <c r="K782" s="109"/>
      <c r="L782" s="109"/>
      <c r="M782" s="109"/>
      <c r="N782" s="109"/>
      <c r="O782" s="109"/>
      <c r="P782" s="115"/>
      <c r="Q782" s="771"/>
      <c r="R782" s="216"/>
      <c r="S782" s="216"/>
      <c r="T782" s="216"/>
      <c r="U782" s="216"/>
      <c r="V782" s="765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  <c r="AT782" s="765"/>
    </row>
    <row r="783" spans="1:46" x14ac:dyDescent="0.25">
      <c r="A783" s="765"/>
      <c r="B783" s="108"/>
      <c r="C783" s="108"/>
      <c r="D783" s="108"/>
      <c r="E783" s="108"/>
      <c r="F783" s="114"/>
      <c r="G783" s="213"/>
      <c r="H783" s="115"/>
      <c r="I783" s="109"/>
      <c r="J783" s="109"/>
      <c r="K783" s="109"/>
      <c r="L783" s="109"/>
      <c r="M783" s="109"/>
      <c r="N783" s="109"/>
      <c r="O783" s="109"/>
      <c r="P783" s="115"/>
      <c r="Q783" s="771"/>
      <c r="R783" s="216"/>
      <c r="S783" s="216"/>
      <c r="T783" s="216"/>
      <c r="U783" s="216"/>
      <c r="V783" s="765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  <c r="AT783" s="765"/>
    </row>
    <row r="784" spans="1:46" x14ac:dyDescent="0.25">
      <c r="A784" s="765"/>
      <c r="B784" s="108"/>
      <c r="C784" s="108"/>
      <c r="D784" s="108"/>
      <c r="E784" s="108"/>
      <c r="F784" s="114"/>
      <c r="G784" s="213"/>
      <c r="H784" s="115"/>
      <c r="I784" s="109"/>
      <c r="J784" s="109"/>
      <c r="K784" s="109"/>
      <c r="L784" s="109"/>
      <c r="M784" s="109"/>
      <c r="N784" s="109"/>
      <c r="O784" s="109"/>
      <c r="P784" s="115"/>
      <c r="Q784" s="771"/>
      <c r="R784" s="216"/>
      <c r="S784" s="216"/>
      <c r="T784" s="216"/>
      <c r="U784" s="216"/>
      <c r="V784" s="765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  <c r="AT784" s="765"/>
    </row>
    <row r="785" spans="1:46" x14ac:dyDescent="0.25">
      <c r="A785" s="765"/>
      <c r="B785" s="108"/>
      <c r="C785" s="108"/>
      <c r="D785" s="108"/>
      <c r="E785" s="108"/>
      <c r="F785" s="114"/>
      <c r="G785" s="213"/>
      <c r="H785" s="115"/>
      <c r="I785" s="109"/>
      <c r="J785" s="109"/>
      <c r="K785" s="109"/>
      <c r="L785" s="109"/>
      <c r="M785" s="109"/>
      <c r="N785" s="109"/>
      <c r="O785" s="109"/>
      <c r="P785" s="115"/>
      <c r="Q785" s="771"/>
      <c r="R785" s="216"/>
      <c r="S785" s="216"/>
      <c r="T785" s="216"/>
      <c r="U785" s="216"/>
      <c r="V785" s="765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  <c r="AT785" s="765"/>
    </row>
    <row r="786" spans="1:46" x14ac:dyDescent="0.25">
      <c r="A786" s="765"/>
      <c r="B786" s="108"/>
      <c r="C786" s="108"/>
      <c r="D786" s="108"/>
      <c r="E786" s="108"/>
      <c r="F786" s="114"/>
      <c r="G786" s="213"/>
      <c r="H786" s="115"/>
      <c r="I786" s="109"/>
      <c r="J786" s="109"/>
      <c r="K786" s="109"/>
      <c r="L786" s="109"/>
      <c r="M786" s="109"/>
      <c r="N786" s="109"/>
      <c r="O786" s="109"/>
      <c r="P786" s="115"/>
      <c r="Q786" s="771"/>
      <c r="R786" s="216"/>
      <c r="S786" s="216"/>
      <c r="T786" s="216"/>
      <c r="U786" s="216"/>
      <c r="V786" s="765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  <c r="AT786" s="765"/>
    </row>
    <row r="787" spans="1:46" x14ac:dyDescent="0.25">
      <c r="A787" s="765"/>
      <c r="B787" s="108"/>
      <c r="C787" s="108"/>
      <c r="D787" s="108"/>
      <c r="E787" s="108"/>
      <c r="F787" s="114"/>
      <c r="G787" s="213"/>
      <c r="H787" s="115"/>
      <c r="I787" s="109"/>
      <c r="J787" s="109"/>
      <c r="K787" s="109"/>
      <c r="L787" s="109"/>
      <c r="M787" s="109"/>
      <c r="N787" s="109"/>
      <c r="O787" s="109"/>
      <c r="P787" s="115"/>
      <c r="Q787" s="771"/>
      <c r="R787" s="216"/>
      <c r="S787" s="216"/>
      <c r="T787" s="216"/>
      <c r="U787" s="216"/>
      <c r="V787" s="765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  <c r="AT787" s="765"/>
    </row>
    <row r="788" spans="1:46" x14ac:dyDescent="0.25">
      <c r="A788" s="765"/>
      <c r="B788" s="108"/>
      <c r="C788" s="108"/>
      <c r="D788" s="108"/>
      <c r="E788" s="108"/>
      <c r="F788" s="114"/>
      <c r="G788" s="213"/>
      <c r="H788" s="115"/>
      <c r="I788" s="109"/>
      <c r="J788" s="109"/>
      <c r="K788" s="109"/>
      <c r="L788" s="109"/>
      <c r="M788" s="109"/>
      <c r="N788" s="109"/>
      <c r="O788" s="109"/>
      <c r="P788" s="115"/>
      <c r="Q788" s="771"/>
      <c r="R788" s="216"/>
      <c r="S788" s="216"/>
      <c r="T788" s="216"/>
      <c r="U788" s="216"/>
      <c r="V788" s="765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T788" s="765"/>
    </row>
    <row r="789" spans="1:46" x14ac:dyDescent="0.25">
      <c r="A789" s="765"/>
      <c r="B789" s="108"/>
      <c r="C789" s="108"/>
      <c r="D789" s="108"/>
      <c r="E789" s="108"/>
      <c r="F789" s="114"/>
      <c r="G789" s="213"/>
      <c r="H789" s="115"/>
      <c r="I789" s="109"/>
      <c r="J789" s="109"/>
      <c r="K789" s="109"/>
      <c r="L789" s="109"/>
      <c r="M789" s="109"/>
      <c r="N789" s="109"/>
      <c r="O789" s="109"/>
      <c r="P789" s="115"/>
      <c r="Q789" s="771"/>
      <c r="R789" s="216"/>
      <c r="S789" s="216"/>
      <c r="T789" s="216"/>
      <c r="U789" s="216"/>
      <c r="V789" s="765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  <c r="AT789" s="765"/>
    </row>
    <row r="790" spans="1:46" x14ac:dyDescent="0.25">
      <c r="A790" s="765"/>
      <c r="B790" s="108"/>
      <c r="C790" s="108"/>
      <c r="D790" s="108"/>
      <c r="E790" s="108"/>
      <c r="F790" s="114"/>
      <c r="G790" s="213"/>
      <c r="H790" s="115"/>
      <c r="I790" s="109"/>
      <c r="J790" s="109"/>
      <c r="K790" s="109"/>
      <c r="L790" s="109"/>
      <c r="M790" s="109"/>
      <c r="N790" s="109"/>
      <c r="O790" s="109"/>
      <c r="P790" s="115"/>
      <c r="Q790" s="771"/>
      <c r="R790" s="216"/>
      <c r="S790" s="216"/>
      <c r="T790" s="216"/>
      <c r="U790" s="216"/>
      <c r="V790" s="765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  <c r="AT790" s="765"/>
    </row>
    <row r="791" spans="1:46" x14ac:dyDescent="0.25">
      <c r="A791" s="765"/>
      <c r="B791" s="108"/>
      <c r="C791" s="108"/>
      <c r="D791" s="108"/>
      <c r="E791" s="108"/>
      <c r="F791" s="114"/>
      <c r="G791" s="213"/>
      <c r="H791" s="115"/>
      <c r="I791" s="109"/>
      <c r="J791" s="109"/>
      <c r="K791" s="109"/>
      <c r="L791" s="109"/>
      <c r="M791" s="109"/>
      <c r="N791" s="109"/>
      <c r="O791" s="109"/>
      <c r="P791" s="115"/>
      <c r="Q791" s="771"/>
      <c r="R791" s="216"/>
      <c r="S791" s="216"/>
      <c r="T791" s="216"/>
      <c r="U791" s="216"/>
      <c r="V791" s="765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  <c r="AT791" s="765"/>
    </row>
    <row r="792" spans="1:46" x14ac:dyDescent="0.25">
      <c r="A792" s="765"/>
      <c r="B792" s="108"/>
      <c r="C792" s="108"/>
      <c r="D792" s="108"/>
      <c r="E792" s="108"/>
      <c r="F792" s="114"/>
      <c r="G792" s="213"/>
      <c r="H792" s="115"/>
      <c r="I792" s="109"/>
      <c r="J792" s="109"/>
      <c r="K792" s="109"/>
      <c r="L792" s="109"/>
      <c r="M792" s="109"/>
      <c r="N792" s="109"/>
      <c r="O792" s="109"/>
      <c r="P792" s="115"/>
      <c r="Q792" s="771"/>
      <c r="R792" s="216"/>
      <c r="S792" s="216"/>
      <c r="T792" s="216"/>
      <c r="U792" s="216"/>
      <c r="V792" s="765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  <c r="AT792" s="765"/>
    </row>
    <row r="793" spans="1:46" x14ac:dyDescent="0.25">
      <c r="A793" s="765"/>
      <c r="B793" s="108"/>
      <c r="C793" s="108"/>
      <c r="D793" s="108"/>
      <c r="E793" s="108"/>
      <c r="F793" s="114"/>
      <c r="G793" s="213"/>
      <c r="H793" s="115"/>
      <c r="I793" s="109"/>
      <c r="J793" s="109"/>
      <c r="K793" s="109"/>
      <c r="L793" s="109"/>
      <c r="M793" s="109"/>
      <c r="N793" s="109"/>
      <c r="O793" s="109"/>
      <c r="P793" s="115"/>
      <c r="Q793" s="771"/>
      <c r="R793" s="216"/>
      <c r="S793" s="216"/>
      <c r="T793" s="216"/>
      <c r="U793" s="216"/>
      <c r="V793" s="765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  <c r="AT793" s="765"/>
    </row>
    <row r="794" spans="1:46" x14ac:dyDescent="0.25">
      <c r="A794" s="765"/>
      <c r="B794" s="108"/>
      <c r="C794" s="108"/>
      <c r="D794" s="108"/>
      <c r="E794" s="108"/>
      <c r="F794" s="114"/>
      <c r="G794" s="213"/>
      <c r="H794" s="115"/>
      <c r="I794" s="109"/>
      <c r="J794" s="109"/>
      <c r="K794" s="109"/>
      <c r="L794" s="109"/>
      <c r="M794" s="109"/>
      <c r="N794" s="109"/>
      <c r="O794" s="109"/>
      <c r="P794" s="115"/>
      <c r="Q794" s="771"/>
      <c r="R794" s="216"/>
      <c r="S794" s="216"/>
      <c r="T794" s="216"/>
      <c r="U794" s="216"/>
      <c r="V794" s="765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  <c r="AT794" s="765"/>
    </row>
    <row r="795" spans="1:46" x14ac:dyDescent="0.25">
      <c r="A795" s="765"/>
      <c r="B795" s="108"/>
      <c r="C795" s="108"/>
      <c r="D795" s="108"/>
      <c r="E795" s="108"/>
      <c r="F795" s="114"/>
      <c r="G795" s="213"/>
      <c r="H795" s="115"/>
      <c r="I795" s="109"/>
      <c r="J795" s="109"/>
      <c r="K795" s="109"/>
      <c r="L795" s="109"/>
      <c r="M795" s="109"/>
      <c r="N795" s="109"/>
      <c r="O795" s="109"/>
      <c r="P795" s="115"/>
      <c r="Q795" s="771"/>
      <c r="R795" s="216"/>
      <c r="S795" s="216"/>
      <c r="T795" s="216"/>
      <c r="U795" s="216"/>
      <c r="V795" s="765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  <c r="AT795" s="765"/>
    </row>
    <row r="796" spans="1:46" x14ac:dyDescent="0.25">
      <c r="A796" s="765"/>
      <c r="B796" s="108"/>
      <c r="C796" s="108"/>
      <c r="D796" s="108"/>
      <c r="E796" s="108"/>
      <c r="F796" s="114"/>
      <c r="G796" s="213"/>
      <c r="H796" s="115"/>
      <c r="I796" s="109"/>
      <c r="J796" s="109"/>
      <c r="K796" s="109"/>
      <c r="L796" s="109"/>
      <c r="M796" s="109"/>
      <c r="N796" s="109"/>
      <c r="O796" s="109"/>
      <c r="P796" s="115"/>
      <c r="Q796" s="771"/>
      <c r="R796" s="216"/>
      <c r="S796" s="216"/>
      <c r="T796" s="216"/>
      <c r="U796" s="216"/>
      <c r="V796" s="765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  <c r="AT796" s="765"/>
    </row>
    <row r="797" spans="1:46" x14ac:dyDescent="0.25">
      <c r="A797" s="765"/>
      <c r="B797" s="108"/>
      <c r="C797" s="108"/>
      <c r="D797" s="108"/>
      <c r="E797" s="108"/>
      <c r="F797" s="114"/>
      <c r="G797" s="213"/>
      <c r="H797" s="115"/>
      <c r="I797" s="109"/>
      <c r="J797" s="109"/>
      <c r="K797" s="109"/>
      <c r="L797" s="109"/>
      <c r="M797" s="109"/>
      <c r="N797" s="109"/>
      <c r="O797" s="109"/>
      <c r="P797" s="115"/>
      <c r="Q797" s="771"/>
      <c r="R797" s="216"/>
      <c r="S797" s="216"/>
      <c r="T797" s="216"/>
      <c r="U797" s="216"/>
      <c r="V797" s="765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  <c r="AT797" s="765"/>
    </row>
    <row r="798" spans="1:46" x14ac:dyDescent="0.25">
      <c r="A798" s="765"/>
      <c r="B798" s="108"/>
      <c r="C798" s="108"/>
      <c r="D798" s="108"/>
      <c r="E798" s="108"/>
      <c r="F798" s="114"/>
      <c r="G798" s="213"/>
      <c r="H798" s="115"/>
      <c r="I798" s="109"/>
      <c r="J798" s="109"/>
      <c r="K798" s="109"/>
      <c r="L798" s="109"/>
      <c r="M798" s="109"/>
      <c r="N798" s="109"/>
      <c r="O798" s="109"/>
      <c r="P798" s="115"/>
      <c r="Q798" s="771"/>
      <c r="R798" s="216"/>
      <c r="S798" s="216"/>
      <c r="T798" s="216"/>
      <c r="U798" s="216"/>
      <c r="V798" s="765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  <c r="AT798" s="765"/>
    </row>
    <row r="799" spans="1:46" x14ac:dyDescent="0.25">
      <c r="A799" s="765"/>
      <c r="B799" s="108"/>
      <c r="C799" s="108"/>
      <c r="D799" s="108"/>
      <c r="E799" s="108"/>
      <c r="F799" s="114"/>
      <c r="G799" s="213"/>
      <c r="H799" s="115"/>
      <c r="I799" s="109"/>
      <c r="J799" s="109"/>
      <c r="K799" s="109"/>
      <c r="L799" s="109"/>
      <c r="M799" s="109"/>
      <c r="N799" s="109"/>
      <c r="O799" s="109"/>
      <c r="P799" s="115"/>
      <c r="Q799" s="771"/>
      <c r="R799" s="216"/>
      <c r="S799" s="216"/>
      <c r="T799" s="216"/>
      <c r="U799" s="216"/>
      <c r="V799" s="765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  <c r="AT799" s="765"/>
    </row>
    <row r="800" spans="1:46" x14ac:dyDescent="0.25">
      <c r="A800" s="765"/>
      <c r="B800" s="108"/>
      <c r="C800" s="108"/>
      <c r="D800" s="108"/>
      <c r="E800" s="108"/>
      <c r="F800" s="114"/>
      <c r="G800" s="213"/>
      <c r="H800" s="115"/>
      <c r="I800" s="109"/>
      <c r="J800" s="109"/>
      <c r="K800" s="109"/>
      <c r="L800" s="109"/>
      <c r="M800" s="109"/>
      <c r="N800" s="109"/>
      <c r="O800" s="109"/>
      <c r="P800" s="115"/>
      <c r="Q800" s="771"/>
      <c r="R800" s="216"/>
      <c r="S800" s="216"/>
      <c r="T800" s="216"/>
      <c r="U800" s="216"/>
      <c r="V800" s="765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  <c r="AT800" s="765"/>
    </row>
    <row r="801" spans="1:46" x14ac:dyDescent="0.25">
      <c r="A801" s="765"/>
      <c r="B801" s="108"/>
      <c r="C801" s="108"/>
      <c r="D801" s="108"/>
      <c r="E801" s="108"/>
      <c r="F801" s="114"/>
      <c r="G801" s="213"/>
      <c r="H801" s="115"/>
      <c r="I801" s="109"/>
      <c r="J801" s="109"/>
      <c r="K801" s="109"/>
      <c r="L801" s="109"/>
      <c r="M801" s="109"/>
      <c r="N801" s="109"/>
      <c r="O801" s="109"/>
      <c r="P801" s="115"/>
      <c r="Q801" s="771"/>
      <c r="R801" s="216"/>
      <c r="S801" s="216"/>
      <c r="T801" s="216"/>
      <c r="U801" s="216"/>
      <c r="V801" s="765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  <c r="AT801" s="765"/>
    </row>
    <row r="802" spans="1:46" x14ac:dyDescent="0.25">
      <c r="A802" s="765"/>
      <c r="B802" s="108"/>
      <c r="C802" s="108"/>
      <c r="D802" s="108"/>
      <c r="E802" s="108"/>
      <c r="F802" s="114"/>
      <c r="G802" s="213"/>
      <c r="H802" s="115"/>
      <c r="I802" s="109"/>
      <c r="J802" s="109"/>
      <c r="K802" s="109"/>
      <c r="L802" s="109"/>
      <c r="M802" s="109"/>
      <c r="N802" s="109"/>
      <c r="O802" s="109"/>
      <c r="P802" s="115"/>
      <c r="Q802" s="771"/>
      <c r="R802" s="216"/>
      <c r="S802" s="216"/>
      <c r="T802" s="216"/>
      <c r="U802" s="216"/>
      <c r="V802" s="765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  <c r="AT802" s="765"/>
    </row>
    <row r="803" spans="1:46" x14ac:dyDescent="0.25">
      <c r="A803" s="765"/>
      <c r="B803" s="108"/>
      <c r="C803" s="108"/>
      <c r="D803" s="108"/>
      <c r="E803" s="108"/>
      <c r="F803" s="114"/>
      <c r="G803" s="213"/>
      <c r="H803" s="115"/>
      <c r="I803" s="109"/>
      <c r="J803" s="109"/>
      <c r="K803" s="109"/>
      <c r="L803" s="109"/>
      <c r="M803" s="109"/>
      <c r="N803" s="109"/>
      <c r="O803" s="109"/>
      <c r="P803" s="115"/>
      <c r="Q803" s="771"/>
      <c r="R803" s="216"/>
      <c r="S803" s="216"/>
      <c r="T803" s="216"/>
      <c r="U803" s="216"/>
      <c r="V803" s="765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  <c r="AT803" s="765"/>
    </row>
    <row r="804" spans="1:46" x14ac:dyDescent="0.25">
      <c r="A804" s="765"/>
      <c r="B804" s="108"/>
      <c r="C804" s="108"/>
      <c r="D804" s="108"/>
      <c r="E804" s="108"/>
      <c r="F804" s="114"/>
      <c r="G804" s="213"/>
      <c r="H804" s="115"/>
      <c r="I804" s="109"/>
      <c r="J804" s="109"/>
      <c r="K804" s="109"/>
      <c r="L804" s="109"/>
      <c r="M804" s="109"/>
      <c r="N804" s="109"/>
      <c r="O804" s="109"/>
      <c r="P804" s="115"/>
      <c r="Q804" s="771"/>
      <c r="R804" s="216"/>
      <c r="S804" s="216"/>
      <c r="T804" s="216"/>
      <c r="U804" s="216"/>
      <c r="V804" s="765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  <c r="AT804" s="765"/>
    </row>
    <row r="805" spans="1:46" x14ac:dyDescent="0.25">
      <c r="A805" s="765"/>
      <c r="B805" s="108"/>
      <c r="C805" s="108"/>
      <c r="D805" s="108"/>
      <c r="E805" s="108"/>
      <c r="F805" s="114"/>
      <c r="G805" s="213"/>
      <c r="H805" s="115"/>
      <c r="I805" s="109"/>
      <c r="J805" s="109"/>
      <c r="K805" s="109"/>
      <c r="L805" s="109"/>
      <c r="M805" s="109"/>
      <c r="N805" s="109"/>
      <c r="O805" s="109"/>
      <c r="P805" s="115"/>
      <c r="Q805" s="771"/>
      <c r="R805" s="216"/>
      <c r="S805" s="216"/>
      <c r="T805" s="216"/>
      <c r="U805" s="216"/>
      <c r="V805" s="765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  <c r="AT805" s="765"/>
    </row>
    <row r="806" spans="1:46" x14ac:dyDescent="0.25">
      <c r="A806" s="765"/>
      <c r="B806" s="108"/>
      <c r="C806" s="108"/>
      <c r="D806" s="108"/>
      <c r="E806" s="108"/>
      <c r="F806" s="114"/>
      <c r="G806" s="213"/>
      <c r="H806" s="115"/>
      <c r="I806" s="109"/>
      <c r="J806" s="109"/>
      <c r="K806" s="109"/>
      <c r="L806" s="109"/>
      <c r="M806" s="109"/>
      <c r="N806" s="109"/>
      <c r="O806" s="109"/>
      <c r="P806" s="115"/>
      <c r="Q806" s="771"/>
      <c r="R806" s="216"/>
      <c r="S806" s="216"/>
      <c r="T806" s="216"/>
      <c r="U806" s="216"/>
      <c r="V806" s="765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  <c r="AT806" s="765"/>
    </row>
    <row r="807" spans="1:46" x14ac:dyDescent="0.25">
      <c r="A807" s="765"/>
      <c r="B807" s="108"/>
      <c r="C807" s="108"/>
      <c r="D807" s="108"/>
      <c r="E807" s="108"/>
      <c r="F807" s="114"/>
      <c r="G807" s="213"/>
      <c r="H807" s="115"/>
      <c r="I807" s="109"/>
      <c r="J807" s="109"/>
      <c r="K807" s="109"/>
      <c r="L807" s="109"/>
      <c r="M807" s="109"/>
      <c r="N807" s="109"/>
      <c r="O807" s="109"/>
      <c r="P807" s="115"/>
      <c r="Q807" s="771"/>
      <c r="R807" s="216"/>
      <c r="S807" s="216"/>
      <c r="T807" s="216"/>
      <c r="U807" s="216"/>
      <c r="V807" s="765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  <c r="AT807" s="765"/>
    </row>
    <row r="808" spans="1:46" x14ac:dyDescent="0.25">
      <c r="A808" s="765"/>
      <c r="B808" s="108"/>
      <c r="C808" s="108"/>
      <c r="D808" s="108"/>
      <c r="E808" s="108"/>
      <c r="F808" s="114"/>
      <c r="G808" s="213"/>
      <c r="H808" s="115"/>
      <c r="I808" s="109"/>
      <c r="J808" s="109"/>
      <c r="K808" s="109"/>
      <c r="L808" s="109"/>
      <c r="M808" s="109"/>
      <c r="N808" s="109"/>
      <c r="O808" s="109"/>
      <c r="P808" s="115"/>
      <c r="Q808" s="771"/>
      <c r="R808" s="216"/>
      <c r="S808" s="216"/>
      <c r="T808" s="216"/>
      <c r="U808" s="216"/>
      <c r="V808" s="765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  <c r="AT808" s="765"/>
    </row>
    <row r="809" spans="1:46" x14ac:dyDescent="0.25">
      <c r="A809" s="765"/>
      <c r="B809" s="108"/>
      <c r="C809" s="108"/>
      <c r="D809" s="108"/>
      <c r="E809" s="108"/>
      <c r="F809" s="114"/>
      <c r="G809" s="213"/>
      <c r="H809" s="115"/>
      <c r="I809" s="109"/>
      <c r="J809" s="109"/>
      <c r="K809" s="109"/>
      <c r="L809" s="109"/>
      <c r="M809" s="109"/>
      <c r="N809" s="109"/>
      <c r="O809" s="109"/>
      <c r="P809" s="115"/>
      <c r="Q809" s="771"/>
      <c r="R809" s="216"/>
      <c r="S809" s="216"/>
      <c r="T809" s="216"/>
      <c r="U809" s="216"/>
      <c r="V809" s="765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  <c r="AT809" s="765"/>
    </row>
    <row r="810" spans="1:46" x14ac:dyDescent="0.25">
      <c r="A810" s="765"/>
      <c r="B810" s="108"/>
      <c r="C810" s="108"/>
      <c r="D810" s="108"/>
      <c r="E810" s="108"/>
      <c r="F810" s="114"/>
      <c r="G810" s="213"/>
      <c r="H810" s="115"/>
      <c r="I810" s="109"/>
      <c r="J810" s="109"/>
      <c r="K810" s="109"/>
      <c r="L810" s="109"/>
      <c r="M810" s="109"/>
      <c r="N810" s="109"/>
      <c r="O810" s="109"/>
      <c r="P810" s="115"/>
      <c r="Q810" s="771"/>
      <c r="R810" s="216"/>
      <c r="S810" s="216"/>
      <c r="T810" s="216"/>
      <c r="U810" s="216"/>
      <c r="V810" s="765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  <c r="AT810" s="765"/>
    </row>
    <row r="811" spans="1:46" x14ac:dyDescent="0.25">
      <c r="A811" s="765"/>
      <c r="B811" s="108"/>
      <c r="C811" s="108"/>
      <c r="D811" s="108"/>
      <c r="E811" s="108"/>
      <c r="F811" s="114"/>
      <c r="G811" s="213"/>
      <c r="H811" s="115"/>
      <c r="I811" s="109"/>
      <c r="J811" s="109"/>
      <c r="K811" s="109"/>
      <c r="L811" s="109"/>
      <c r="M811" s="109"/>
      <c r="N811" s="109"/>
      <c r="O811" s="109"/>
      <c r="P811" s="115"/>
      <c r="Q811" s="771"/>
      <c r="R811" s="216"/>
      <c r="S811" s="216"/>
      <c r="T811" s="216"/>
      <c r="U811" s="216"/>
      <c r="V811" s="765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  <c r="AT811" s="765"/>
    </row>
    <row r="812" spans="1:46" x14ac:dyDescent="0.25">
      <c r="A812" s="765"/>
      <c r="B812" s="108"/>
      <c r="C812" s="108"/>
      <c r="D812" s="108"/>
      <c r="E812" s="108"/>
      <c r="F812" s="114"/>
      <c r="G812" s="213"/>
      <c r="H812" s="115"/>
      <c r="I812" s="109"/>
      <c r="J812" s="109"/>
      <c r="K812" s="109"/>
      <c r="L812" s="109"/>
      <c r="M812" s="109"/>
      <c r="N812" s="109"/>
      <c r="O812" s="109"/>
      <c r="P812" s="115"/>
      <c r="Q812" s="771"/>
      <c r="R812" s="216"/>
      <c r="S812" s="216"/>
      <c r="T812" s="216"/>
      <c r="U812" s="216"/>
      <c r="V812" s="765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  <c r="AT812" s="765"/>
    </row>
    <row r="813" spans="1:46" x14ac:dyDescent="0.25">
      <c r="A813" s="765"/>
      <c r="B813" s="108"/>
      <c r="C813" s="108"/>
      <c r="D813" s="108"/>
      <c r="E813" s="108"/>
      <c r="F813" s="114"/>
      <c r="G813" s="213"/>
      <c r="H813" s="115"/>
      <c r="I813" s="109"/>
      <c r="J813" s="109"/>
      <c r="K813" s="109"/>
      <c r="L813" s="109"/>
      <c r="M813" s="109"/>
      <c r="N813" s="109"/>
      <c r="O813" s="109"/>
      <c r="P813" s="115"/>
      <c r="Q813" s="771"/>
      <c r="R813" s="216"/>
      <c r="S813" s="216"/>
      <c r="T813" s="216"/>
      <c r="U813" s="216"/>
      <c r="V813" s="765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  <c r="AT813" s="765"/>
    </row>
    <row r="814" spans="1:46" x14ac:dyDescent="0.25">
      <c r="A814" s="765"/>
      <c r="B814" s="108"/>
      <c r="C814" s="108"/>
      <c r="D814" s="108"/>
      <c r="E814" s="108"/>
      <c r="F814" s="114"/>
      <c r="G814" s="213"/>
      <c r="H814" s="115"/>
      <c r="I814" s="109"/>
      <c r="J814" s="109"/>
      <c r="K814" s="109"/>
      <c r="L814" s="109"/>
      <c r="M814" s="109"/>
      <c r="N814" s="109"/>
      <c r="O814" s="109"/>
      <c r="P814" s="115"/>
      <c r="Q814" s="771"/>
      <c r="R814" s="216"/>
      <c r="S814" s="216"/>
      <c r="T814" s="216"/>
      <c r="U814" s="216"/>
      <c r="V814" s="765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  <c r="AT814" s="765"/>
    </row>
    <row r="815" spans="1:46" x14ac:dyDescent="0.25">
      <c r="A815" s="765"/>
      <c r="B815" s="108"/>
      <c r="C815" s="108"/>
      <c r="D815" s="108"/>
      <c r="E815" s="108"/>
      <c r="F815" s="114"/>
      <c r="G815" s="213"/>
      <c r="H815" s="115"/>
      <c r="I815" s="109"/>
      <c r="J815" s="109"/>
      <c r="K815" s="109"/>
      <c r="L815" s="109"/>
      <c r="M815" s="109"/>
      <c r="N815" s="109"/>
      <c r="O815" s="109"/>
      <c r="P815" s="115"/>
      <c r="Q815" s="771"/>
      <c r="R815" s="216"/>
      <c r="S815" s="216"/>
      <c r="T815" s="216"/>
      <c r="U815" s="216"/>
      <c r="V815" s="765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  <c r="AT815" s="765"/>
    </row>
    <row r="816" spans="1:46" x14ac:dyDescent="0.25">
      <c r="A816" s="765"/>
      <c r="B816" s="108"/>
      <c r="C816" s="108"/>
      <c r="D816" s="108"/>
      <c r="E816" s="108"/>
      <c r="F816" s="114"/>
      <c r="G816" s="213"/>
      <c r="H816" s="115"/>
      <c r="I816" s="109"/>
      <c r="J816" s="109"/>
      <c r="K816" s="109"/>
      <c r="L816" s="109"/>
      <c r="M816" s="109"/>
      <c r="N816" s="109"/>
      <c r="O816" s="109"/>
      <c r="P816" s="115"/>
      <c r="Q816" s="771"/>
      <c r="R816" s="216"/>
      <c r="S816" s="216"/>
      <c r="T816" s="216"/>
      <c r="U816" s="216"/>
      <c r="V816" s="765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  <c r="AT816" s="765"/>
    </row>
    <row r="817" spans="1:46" x14ac:dyDescent="0.25">
      <c r="A817" s="765"/>
      <c r="B817" s="108"/>
      <c r="C817" s="108"/>
      <c r="D817" s="108"/>
      <c r="E817" s="108"/>
      <c r="F817" s="114"/>
      <c r="G817" s="213"/>
      <c r="H817" s="115"/>
      <c r="I817" s="109"/>
      <c r="J817" s="109"/>
      <c r="K817" s="109"/>
      <c r="L817" s="109"/>
      <c r="M817" s="109"/>
      <c r="N817" s="109"/>
      <c r="O817" s="109"/>
      <c r="P817" s="115"/>
      <c r="Q817" s="771"/>
      <c r="R817" s="216"/>
      <c r="S817" s="216"/>
      <c r="T817" s="216"/>
      <c r="U817" s="216"/>
      <c r="V817" s="765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  <c r="AT817" s="765"/>
    </row>
    <row r="818" spans="1:46" x14ac:dyDescent="0.25">
      <c r="A818" s="765"/>
      <c r="B818" s="108"/>
      <c r="C818" s="108"/>
      <c r="D818" s="108"/>
      <c r="E818" s="108"/>
      <c r="F818" s="114"/>
      <c r="G818" s="213"/>
      <c r="H818" s="115"/>
      <c r="I818" s="109"/>
      <c r="J818" s="109"/>
      <c r="K818" s="109"/>
      <c r="L818" s="109"/>
      <c r="M818" s="109"/>
      <c r="N818" s="109"/>
      <c r="O818" s="109"/>
      <c r="P818" s="115"/>
      <c r="Q818" s="771"/>
      <c r="R818" s="216"/>
      <c r="S818" s="216"/>
      <c r="T818" s="216"/>
      <c r="U818" s="216"/>
      <c r="V818" s="765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  <c r="AT818" s="765"/>
    </row>
    <row r="819" spans="1:46" x14ac:dyDescent="0.25">
      <c r="A819" s="765"/>
      <c r="B819" s="108"/>
      <c r="C819" s="108"/>
      <c r="D819" s="108"/>
      <c r="E819" s="108"/>
      <c r="F819" s="114"/>
      <c r="G819" s="765"/>
      <c r="H819" s="115"/>
      <c r="I819" s="109"/>
      <c r="J819" s="109"/>
      <c r="K819" s="109"/>
      <c r="L819" s="109"/>
      <c r="M819" s="109"/>
      <c r="N819" s="109"/>
      <c r="O819" s="109"/>
      <c r="P819" s="115"/>
      <c r="Q819" s="771"/>
      <c r="R819" s="216"/>
      <c r="S819" s="216"/>
      <c r="T819" s="216"/>
      <c r="U819" s="216"/>
      <c r="V819" s="765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  <c r="AT819" s="765"/>
    </row>
    <row r="820" spans="1:46" x14ac:dyDescent="0.25">
      <c r="A820" s="765"/>
      <c r="B820" s="108"/>
      <c r="C820" s="108"/>
      <c r="D820" s="108"/>
      <c r="E820" s="108"/>
      <c r="F820" s="114"/>
      <c r="G820" s="765"/>
      <c r="H820" s="115"/>
      <c r="I820" s="109"/>
      <c r="J820" s="109"/>
      <c r="K820" s="109"/>
      <c r="L820" s="109"/>
      <c r="M820" s="109"/>
      <c r="N820" s="109"/>
      <c r="O820" s="109"/>
      <c r="P820" s="115"/>
      <c r="Q820" s="771"/>
      <c r="R820" s="216"/>
      <c r="S820" s="216"/>
      <c r="T820" s="216"/>
      <c r="U820" s="216"/>
      <c r="V820" s="765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  <c r="AT820" s="765"/>
    </row>
    <row r="821" spans="1:46" x14ac:dyDescent="0.25">
      <c r="A821" s="765"/>
      <c r="B821" s="108"/>
      <c r="C821" s="108"/>
      <c r="D821" s="108"/>
      <c r="E821" s="108"/>
      <c r="F821" s="114"/>
      <c r="G821" s="765"/>
      <c r="H821" s="115"/>
      <c r="I821" s="109"/>
      <c r="J821" s="109"/>
      <c r="K821" s="109"/>
      <c r="L821" s="109"/>
      <c r="M821" s="109"/>
      <c r="N821" s="109"/>
      <c r="O821" s="109"/>
      <c r="P821" s="115"/>
      <c r="Q821" s="771"/>
      <c r="R821" s="216"/>
      <c r="S821" s="216"/>
      <c r="T821" s="216"/>
      <c r="U821" s="216"/>
      <c r="V821" s="765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  <c r="AT821" s="765"/>
    </row>
    <row r="822" spans="1:46" x14ac:dyDescent="0.25">
      <c r="A822" s="765"/>
      <c r="B822" s="108"/>
      <c r="C822" s="108"/>
      <c r="D822" s="108"/>
      <c r="E822" s="108"/>
      <c r="F822" s="114"/>
      <c r="G822" s="765"/>
      <c r="H822" s="115"/>
      <c r="I822" s="109"/>
      <c r="J822" s="109"/>
      <c r="K822" s="109"/>
      <c r="L822" s="109"/>
      <c r="M822" s="109"/>
      <c r="N822" s="109"/>
      <c r="O822" s="109"/>
      <c r="P822" s="115"/>
      <c r="Q822" s="771"/>
      <c r="R822" s="216"/>
      <c r="S822" s="216"/>
      <c r="T822" s="216"/>
      <c r="U822" s="216"/>
      <c r="V822" s="765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  <c r="AT822" s="765"/>
    </row>
    <row r="823" spans="1:46" x14ac:dyDescent="0.25">
      <c r="A823" s="765"/>
      <c r="B823" s="108"/>
      <c r="C823" s="108"/>
      <c r="D823" s="108"/>
      <c r="E823" s="108"/>
      <c r="F823" s="114"/>
      <c r="G823" s="765"/>
      <c r="H823" s="115"/>
      <c r="I823" s="109"/>
      <c r="J823" s="109"/>
      <c r="K823" s="109"/>
      <c r="L823" s="109"/>
      <c r="M823" s="109"/>
      <c r="N823" s="109"/>
      <c r="O823" s="109"/>
      <c r="P823" s="115"/>
      <c r="Q823" s="771"/>
      <c r="R823" s="216"/>
      <c r="S823" s="216"/>
      <c r="T823" s="216"/>
      <c r="U823" s="216"/>
      <c r="V823" s="765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  <c r="AT823" s="765"/>
    </row>
    <row r="824" spans="1:46" x14ac:dyDescent="0.25">
      <c r="A824" s="765"/>
      <c r="B824" s="108"/>
      <c r="C824" s="108"/>
      <c r="D824" s="108"/>
      <c r="E824" s="108"/>
      <c r="F824" s="114"/>
      <c r="G824" s="765"/>
      <c r="H824" s="115"/>
      <c r="I824" s="109"/>
      <c r="J824" s="109"/>
      <c r="K824" s="109"/>
      <c r="L824" s="109"/>
      <c r="M824" s="109"/>
      <c r="N824" s="109"/>
      <c r="O824" s="109"/>
      <c r="P824" s="115"/>
      <c r="Q824" s="771"/>
      <c r="R824" s="216"/>
      <c r="S824" s="216"/>
      <c r="T824" s="216"/>
      <c r="U824" s="216"/>
      <c r="V824" s="765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  <c r="AT824" s="765"/>
    </row>
    <row r="825" spans="1:46" x14ac:dyDescent="0.25">
      <c r="A825" s="765"/>
      <c r="B825" s="108"/>
      <c r="C825" s="108"/>
      <c r="D825" s="108"/>
      <c r="E825" s="108"/>
      <c r="F825" s="114"/>
      <c r="G825" s="765"/>
      <c r="H825" s="115"/>
      <c r="I825" s="109"/>
      <c r="J825" s="109"/>
      <c r="K825" s="109"/>
      <c r="L825" s="109"/>
      <c r="M825" s="109"/>
      <c r="N825" s="109"/>
      <c r="O825" s="109"/>
      <c r="P825" s="115"/>
      <c r="Q825" s="771"/>
      <c r="R825" s="216"/>
      <c r="S825" s="216"/>
      <c r="T825" s="216"/>
      <c r="U825" s="216"/>
      <c r="V825" s="765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  <c r="AT825" s="765"/>
    </row>
    <row r="826" spans="1:46" x14ac:dyDescent="0.25">
      <c r="A826" s="765"/>
      <c r="B826" s="108"/>
      <c r="C826" s="108"/>
      <c r="D826" s="108"/>
      <c r="E826" s="108"/>
      <c r="F826" s="114"/>
      <c r="G826" s="765"/>
      <c r="H826" s="115"/>
      <c r="I826" s="109"/>
      <c r="J826" s="109"/>
      <c r="K826" s="109"/>
      <c r="L826" s="109"/>
      <c r="M826" s="109"/>
      <c r="N826" s="109"/>
      <c r="O826" s="109"/>
      <c r="P826" s="115"/>
      <c r="Q826" s="771"/>
      <c r="R826" s="216"/>
      <c r="S826" s="216"/>
      <c r="T826" s="216"/>
      <c r="U826" s="216"/>
      <c r="V826" s="765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  <c r="AT826" s="765"/>
    </row>
    <row r="827" spans="1:46" x14ac:dyDescent="0.25">
      <c r="A827" s="765"/>
      <c r="B827" s="108"/>
      <c r="C827" s="108"/>
      <c r="D827" s="108"/>
      <c r="E827" s="108"/>
      <c r="F827" s="114"/>
      <c r="G827" s="765"/>
      <c r="H827" s="115"/>
      <c r="I827" s="109"/>
      <c r="J827" s="109"/>
      <c r="K827" s="109"/>
      <c r="L827" s="109"/>
      <c r="M827" s="109"/>
      <c r="N827" s="109"/>
      <c r="O827" s="109"/>
      <c r="P827" s="115"/>
      <c r="Q827" s="771"/>
      <c r="R827" s="216"/>
      <c r="S827" s="216"/>
      <c r="T827" s="216"/>
      <c r="U827" s="216"/>
      <c r="V827" s="765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  <c r="AT827" s="765"/>
    </row>
    <row r="828" spans="1:46" x14ac:dyDescent="0.25">
      <c r="A828" s="765"/>
      <c r="B828" s="108"/>
      <c r="C828" s="108"/>
      <c r="D828" s="108"/>
      <c r="E828" s="108"/>
      <c r="F828" s="114"/>
      <c r="G828" s="765"/>
      <c r="H828" s="115"/>
      <c r="I828" s="109"/>
      <c r="J828" s="109"/>
      <c r="K828" s="109"/>
      <c r="L828" s="109"/>
      <c r="M828" s="109"/>
      <c r="N828" s="109"/>
      <c r="O828" s="109"/>
      <c r="P828" s="115"/>
      <c r="Q828" s="771"/>
      <c r="R828" s="216"/>
      <c r="S828" s="216"/>
      <c r="T828" s="216"/>
      <c r="U828" s="216"/>
      <c r="V828" s="765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  <c r="AT828" s="765"/>
    </row>
    <row r="829" spans="1:46" x14ac:dyDescent="0.25">
      <c r="A829" s="765"/>
      <c r="B829" s="108"/>
      <c r="C829" s="108"/>
      <c r="D829" s="108"/>
      <c r="E829" s="108"/>
      <c r="F829" s="114"/>
      <c r="G829" s="765"/>
      <c r="H829" s="115"/>
      <c r="I829" s="109"/>
      <c r="J829" s="109"/>
      <c r="K829" s="109"/>
      <c r="L829" s="109"/>
      <c r="M829" s="109"/>
      <c r="N829" s="109"/>
      <c r="O829" s="109"/>
      <c r="P829" s="115"/>
      <c r="Q829" s="771"/>
      <c r="R829" s="216"/>
      <c r="S829" s="216"/>
      <c r="T829" s="216"/>
      <c r="U829" s="216"/>
      <c r="V829" s="765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  <c r="AT829" s="765"/>
    </row>
    <row r="830" spans="1:46" x14ac:dyDescent="0.25">
      <c r="A830" s="765"/>
      <c r="B830" s="108"/>
      <c r="C830" s="108"/>
      <c r="D830" s="108"/>
      <c r="E830" s="108"/>
      <c r="F830" s="114"/>
      <c r="G830" s="765"/>
      <c r="H830" s="115"/>
      <c r="I830" s="109"/>
      <c r="J830" s="109"/>
      <c r="K830" s="109"/>
      <c r="L830" s="109"/>
      <c r="M830" s="109"/>
      <c r="N830" s="109"/>
      <c r="O830" s="109"/>
      <c r="P830" s="115"/>
      <c r="Q830" s="771"/>
      <c r="R830" s="216"/>
      <c r="S830" s="216"/>
      <c r="T830" s="216"/>
      <c r="U830" s="216"/>
      <c r="V830" s="765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  <c r="AT830" s="765"/>
    </row>
    <row r="831" spans="1:46" x14ac:dyDescent="0.25">
      <c r="A831" s="765"/>
      <c r="B831" s="108"/>
      <c r="C831" s="108"/>
      <c r="D831" s="108"/>
      <c r="E831" s="108"/>
      <c r="F831" s="114"/>
      <c r="G831" s="765"/>
      <c r="H831" s="115"/>
      <c r="I831" s="109"/>
      <c r="J831" s="109"/>
      <c r="K831" s="109"/>
      <c r="L831" s="109"/>
      <c r="M831" s="109"/>
      <c r="N831" s="109"/>
      <c r="O831" s="109"/>
      <c r="P831" s="115"/>
      <c r="Q831" s="771"/>
      <c r="R831" s="216"/>
      <c r="S831" s="216"/>
      <c r="T831" s="216"/>
      <c r="U831" s="216"/>
      <c r="V831" s="765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  <c r="AT831" s="765"/>
    </row>
    <row r="832" spans="1:46" x14ac:dyDescent="0.25">
      <c r="A832" s="765"/>
      <c r="B832" s="108"/>
      <c r="C832" s="108"/>
      <c r="D832" s="108"/>
      <c r="E832" s="108"/>
      <c r="F832" s="114"/>
      <c r="G832" s="765"/>
      <c r="H832" s="115"/>
      <c r="I832" s="109"/>
      <c r="J832" s="109"/>
      <c r="K832" s="109"/>
      <c r="L832" s="109"/>
      <c r="M832" s="109"/>
      <c r="N832" s="109"/>
      <c r="O832" s="109"/>
      <c r="P832" s="115"/>
      <c r="Q832" s="771"/>
      <c r="R832" s="216"/>
      <c r="S832" s="216"/>
      <c r="T832" s="216"/>
      <c r="U832" s="216"/>
      <c r="V832" s="765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  <c r="AT832" s="765"/>
    </row>
    <row r="833" spans="1:46" x14ac:dyDescent="0.25">
      <c r="A833" s="765"/>
      <c r="B833" s="108"/>
      <c r="C833" s="108"/>
      <c r="D833" s="108"/>
      <c r="E833" s="108"/>
      <c r="F833" s="114"/>
      <c r="G833" s="765"/>
      <c r="H833" s="115"/>
      <c r="I833" s="109"/>
      <c r="J833" s="109"/>
      <c r="K833" s="109"/>
      <c r="L833" s="109"/>
      <c r="M833" s="109"/>
      <c r="N833" s="109"/>
      <c r="O833" s="109"/>
      <c r="P833" s="115"/>
      <c r="Q833" s="771"/>
      <c r="R833" s="216"/>
      <c r="S833" s="216"/>
      <c r="T833" s="216"/>
      <c r="U833" s="216"/>
      <c r="V833" s="765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  <c r="AT833" s="765"/>
    </row>
    <row r="834" spans="1:46" x14ac:dyDescent="0.25">
      <c r="A834" s="765"/>
      <c r="B834" s="108"/>
      <c r="C834" s="108"/>
      <c r="D834" s="108"/>
      <c r="E834" s="108"/>
      <c r="F834" s="114"/>
      <c r="G834" s="765"/>
      <c r="H834" s="115"/>
      <c r="I834" s="109"/>
      <c r="J834" s="109"/>
      <c r="K834" s="109"/>
      <c r="L834" s="109"/>
      <c r="M834" s="109"/>
      <c r="N834" s="109"/>
      <c r="O834" s="109"/>
      <c r="P834" s="115"/>
      <c r="Q834" s="771"/>
      <c r="R834" s="216"/>
      <c r="S834" s="216"/>
      <c r="T834" s="216"/>
      <c r="U834" s="216"/>
      <c r="V834" s="765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  <c r="AT834" s="765"/>
    </row>
    <row r="835" spans="1:46" x14ac:dyDescent="0.25">
      <c r="A835" s="765"/>
      <c r="B835" s="108"/>
      <c r="C835" s="108"/>
      <c r="D835" s="108"/>
      <c r="E835" s="108"/>
      <c r="F835" s="114"/>
      <c r="G835" s="765"/>
      <c r="H835" s="115"/>
      <c r="I835" s="109"/>
      <c r="J835" s="109"/>
      <c r="K835" s="109"/>
      <c r="L835" s="109"/>
      <c r="M835" s="109"/>
      <c r="N835" s="109"/>
      <c r="O835" s="109"/>
      <c r="P835" s="115"/>
      <c r="Q835" s="771"/>
      <c r="R835" s="216"/>
      <c r="S835" s="216"/>
      <c r="T835" s="216"/>
      <c r="U835" s="216"/>
      <c r="V835" s="765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  <c r="AT835" s="765"/>
    </row>
    <row r="836" spans="1:46" x14ac:dyDescent="0.25">
      <c r="A836" s="765"/>
      <c r="B836" s="108"/>
      <c r="C836" s="108"/>
      <c r="D836" s="108"/>
      <c r="E836" s="108"/>
      <c r="F836" s="114"/>
      <c r="G836" s="765"/>
      <c r="H836" s="115"/>
      <c r="I836" s="109"/>
      <c r="J836" s="109"/>
      <c r="K836" s="109"/>
      <c r="L836" s="109"/>
      <c r="M836" s="109"/>
      <c r="N836" s="109"/>
      <c r="O836" s="109"/>
      <c r="P836" s="115"/>
      <c r="Q836" s="771"/>
      <c r="R836" s="216"/>
      <c r="S836" s="216"/>
      <c r="T836" s="216"/>
      <c r="U836" s="216"/>
      <c r="V836" s="765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  <c r="AT836" s="765"/>
    </row>
    <row r="837" spans="1:46" x14ac:dyDescent="0.25">
      <c r="A837" s="765"/>
      <c r="B837" s="108"/>
      <c r="C837" s="108"/>
      <c r="D837" s="108"/>
      <c r="E837" s="108"/>
      <c r="F837" s="114"/>
      <c r="G837" s="765"/>
      <c r="H837" s="115"/>
      <c r="I837" s="109"/>
      <c r="J837" s="109"/>
      <c r="K837" s="109"/>
      <c r="L837" s="109"/>
      <c r="M837" s="109"/>
      <c r="N837" s="109"/>
      <c r="O837" s="109"/>
      <c r="P837" s="115"/>
      <c r="Q837" s="771"/>
      <c r="R837" s="216"/>
      <c r="S837" s="216"/>
      <c r="T837" s="216"/>
      <c r="U837" s="216"/>
      <c r="V837" s="765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  <c r="AT837" s="765"/>
    </row>
    <row r="838" spans="1:46" x14ac:dyDescent="0.25">
      <c r="A838" s="765"/>
      <c r="B838" s="108"/>
      <c r="C838" s="108"/>
      <c r="D838" s="108"/>
      <c r="E838" s="108"/>
      <c r="F838" s="114"/>
      <c r="G838" s="765"/>
      <c r="H838" s="115"/>
      <c r="I838" s="109"/>
      <c r="J838" s="109"/>
      <c r="K838" s="109"/>
      <c r="L838" s="109"/>
      <c r="M838" s="109"/>
      <c r="N838" s="109"/>
      <c r="O838" s="109"/>
      <c r="P838" s="115"/>
      <c r="Q838" s="771"/>
      <c r="R838" s="216"/>
      <c r="S838" s="216"/>
      <c r="T838" s="216"/>
      <c r="U838" s="216"/>
      <c r="V838" s="765"/>
      <c r="W838" s="765"/>
      <c r="X838" s="765"/>
      <c r="Y838" s="109"/>
      <c r="Z838" s="109"/>
      <c r="AA838" s="109"/>
      <c r="AB838" s="109"/>
      <c r="AC838" s="109"/>
      <c r="AD838" s="109"/>
      <c r="AE838" s="109"/>
      <c r="AF838" s="109"/>
      <c r="AG838" s="109"/>
      <c r="AT838" s="765"/>
    </row>
    <row r="839" spans="1:46" x14ac:dyDescent="0.25">
      <c r="A839" s="765"/>
      <c r="B839" s="108"/>
      <c r="C839" s="108"/>
      <c r="D839" s="108"/>
      <c r="E839" s="108"/>
      <c r="F839" s="114"/>
      <c r="G839" s="765"/>
      <c r="H839" s="115"/>
      <c r="I839" s="109"/>
      <c r="J839" s="109"/>
      <c r="K839" s="109"/>
      <c r="L839" s="109"/>
      <c r="M839" s="109"/>
      <c r="N839" s="109"/>
      <c r="O839" s="109"/>
      <c r="P839" s="115"/>
      <c r="Q839" s="771"/>
      <c r="R839" s="216"/>
      <c r="S839" s="216"/>
      <c r="T839" s="216"/>
      <c r="U839" s="216"/>
      <c r="V839" s="765"/>
      <c r="W839" s="765"/>
      <c r="X839" s="765"/>
      <c r="Y839" s="109"/>
      <c r="Z839" s="109"/>
      <c r="AA839" s="109"/>
      <c r="AB839" s="109"/>
      <c r="AC839" s="109"/>
      <c r="AD839" s="109"/>
      <c r="AE839" s="109"/>
      <c r="AF839" s="109"/>
      <c r="AG839" s="109"/>
      <c r="AT839" s="765"/>
    </row>
    <row r="840" spans="1:46" x14ac:dyDescent="0.25">
      <c r="A840" s="765"/>
      <c r="B840" s="108"/>
      <c r="C840" s="108"/>
      <c r="D840" s="108"/>
      <c r="E840" s="108"/>
      <c r="F840" s="114"/>
      <c r="G840" s="765"/>
      <c r="H840" s="115"/>
      <c r="I840" s="109"/>
      <c r="J840" s="109"/>
      <c r="K840" s="109"/>
      <c r="L840" s="109"/>
      <c r="M840" s="109"/>
      <c r="N840" s="109"/>
      <c r="O840" s="109"/>
      <c r="P840" s="115"/>
      <c r="Q840" s="771"/>
      <c r="R840" s="216"/>
      <c r="S840" s="216"/>
      <c r="T840" s="216"/>
      <c r="U840" s="216"/>
      <c r="V840" s="765"/>
      <c r="W840" s="765"/>
      <c r="X840" s="765"/>
      <c r="Y840" s="109"/>
      <c r="Z840" s="109"/>
      <c r="AA840" s="109"/>
      <c r="AB840" s="109"/>
      <c r="AC840" s="109"/>
      <c r="AD840" s="109"/>
      <c r="AE840" s="109"/>
      <c r="AF840" s="109"/>
      <c r="AG840" s="109"/>
      <c r="AT840" s="765"/>
    </row>
    <row r="841" spans="1:46" x14ac:dyDescent="0.25">
      <c r="A841" s="765"/>
      <c r="B841" s="108"/>
      <c r="C841" s="108"/>
      <c r="D841" s="765"/>
      <c r="E841" s="108"/>
      <c r="F841" s="114"/>
      <c r="G841" s="765"/>
      <c r="H841" s="115"/>
      <c r="I841" s="109"/>
      <c r="J841" s="109"/>
      <c r="K841" s="109"/>
      <c r="L841" s="109"/>
      <c r="M841" s="109"/>
      <c r="N841" s="109"/>
      <c r="O841" s="109"/>
      <c r="P841" s="115"/>
      <c r="Q841" s="771"/>
      <c r="R841" s="216"/>
      <c r="S841" s="216"/>
      <c r="T841" s="216"/>
      <c r="U841" s="216"/>
      <c r="V841" s="765"/>
      <c r="W841" s="765"/>
      <c r="X841" s="765"/>
      <c r="Y841" s="109"/>
      <c r="Z841" s="109"/>
      <c r="AA841" s="109"/>
      <c r="AB841" s="109"/>
      <c r="AC841" s="109"/>
      <c r="AD841" s="109"/>
      <c r="AE841" s="109"/>
      <c r="AF841" s="109"/>
      <c r="AG841" s="109"/>
      <c r="AT841" s="765"/>
    </row>
    <row r="842" spans="1:46" x14ac:dyDescent="0.25">
      <c r="A842" s="765"/>
      <c r="B842" s="108"/>
      <c r="C842" s="108"/>
      <c r="D842" s="765"/>
      <c r="E842" s="108"/>
      <c r="F842" s="114"/>
      <c r="G842" s="765"/>
      <c r="H842" s="115"/>
      <c r="I842" s="109"/>
      <c r="J842" s="109"/>
      <c r="K842" s="109"/>
      <c r="L842" s="109"/>
      <c r="M842" s="109"/>
      <c r="N842" s="109"/>
      <c r="O842" s="109"/>
      <c r="P842" s="115"/>
      <c r="Q842" s="771"/>
      <c r="R842" s="216"/>
      <c r="S842" s="216"/>
      <c r="T842" s="216"/>
      <c r="U842" s="216"/>
      <c r="V842" s="765"/>
      <c r="W842" s="765"/>
      <c r="X842" s="765"/>
      <c r="Y842" s="109"/>
      <c r="Z842" s="109"/>
      <c r="AA842" s="109"/>
      <c r="AB842" s="109"/>
      <c r="AC842" s="109"/>
      <c r="AD842" s="109"/>
      <c r="AE842" s="109"/>
      <c r="AF842" s="109"/>
      <c r="AG842" s="109"/>
      <c r="AT842" s="765"/>
    </row>
    <row r="843" spans="1:46" x14ac:dyDescent="0.25">
      <c r="A843" s="765"/>
      <c r="B843" s="108"/>
      <c r="C843" s="108"/>
      <c r="D843" s="765"/>
      <c r="E843" s="108"/>
      <c r="F843" s="114"/>
      <c r="G843" s="765"/>
      <c r="H843" s="115"/>
      <c r="I843" s="109"/>
      <c r="J843" s="109"/>
      <c r="K843" s="109"/>
      <c r="L843" s="109"/>
      <c r="M843" s="109"/>
      <c r="N843" s="109"/>
      <c r="O843" s="109"/>
      <c r="P843" s="115"/>
      <c r="Q843" s="771"/>
      <c r="R843" s="216"/>
      <c r="S843" s="216"/>
      <c r="T843" s="216"/>
      <c r="U843" s="216"/>
      <c r="V843" s="765"/>
      <c r="W843" s="765"/>
      <c r="X843" s="765"/>
      <c r="Y843" s="109"/>
      <c r="Z843" s="109"/>
      <c r="AA843" s="109"/>
      <c r="AB843" s="109"/>
      <c r="AC843" s="109"/>
      <c r="AD843" s="109"/>
      <c r="AE843" s="109"/>
      <c r="AF843" s="109"/>
      <c r="AG843" s="109"/>
      <c r="AT843" s="765"/>
    </row>
    <row r="844" spans="1:46" x14ac:dyDescent="0.25">
      <c r="A844" s="765"/>
      <c r="B844" s="108"/>
      <c r="C844" s="765"/>
      <c r="D844" s="765"/>
      <c r="E844" s="108"/>
      <c r="F844" s="114"/>
      <c r="G844" s="765"/>
      <c r="H844" s="115"/>
      <c r="I844" s="109"/>
      <c r="J844" s="109"/>
      <c r="K844" s="109"/>
      <c r="L844" s="109"/>
      <c r="M844" s="109"/>
      <c r="N844" s="109"/>
      <c r="O844" s="109"/>
      <c r="P844" s="115"/>
      <c r="Q844" s="771"/>
      <c r="R844" s="216"/>
      <c r="S844" s="216"/>
      <c r="T844" s="216"/>
      <c r="U844" s="216"/>
      <c r="V844" s="765"/>
      <c r="W844" s="765"/>
      <c r="X844" s="765"/>
      <c r="Y844" s="109"/>
      <c r="Z844" s="109"/>
      <c r="AA844" s="109"/>
      <c r="AB844" s="109"/>
      <c r="AC844" s="109"/>
      <c r="AD844" s="109"/>
      <c r="AE844" s="109"/>
      <c r="AF844" s="109"/>
      <c r="AG844" s="109"/>
      <c r="AT844" s="765"/>
    </row>
    <row r="845" spans="1:46" x14ac:dyDescent="0.25">
      <c r="A845" s="765"/>
      <c r="B845" s="108"/>
      <c r="C845" s="765"/>
      <c r="D845" s="765"/>
      <c r="E845" s="108"/>
      <c r="F845" s="114"/>
      <c r="G845" s="765"/>
      <c r="H845" s="765"/>
      <c r="I845" s="109"/>
      <c r="J845" s="109"/>
      <c r="K845" s="109"/>
      <c r="L845" s="109"/>
      <c r="M845" s="109"/>
      <c r="N845" s="109"/>
      <c r="O845" s="109"/>
      <c r="P845" s="115"/>
      <c r="Q845" s="765"/>
      <c r="R845" s="216"/>
      <c r="S845" s="216"/>
      <c r="T845" s="216"/>
      <c r="U845" s="216"/>
      <c r="V845" s="765"/>
      <c r="W845" s="765"/>
      <c r="X845" s="765"/>
      <c r="Y845" s="109"/>
      <c r="Z845" s="109"/>
      <c r="AA845" s="109"/>
      <c r="AB845" s="109"/>
      <c r="AC845" s="109"/>
      <c r="AD845" s="109"/>
      <c r="AE845" s="109"/>
      <c r="AF845" s="109"/>
      <c r="AG845" s="109"/>
      <c r="AT845" s="765"/>
    </row>
    <row r="846" spans="1:46" x14ac:dyDescent="0.25">
      <c r="A846" s="765"/>
      <c r="B846" s="108"/>
      <c r="C846" s="765"/>
      <c r="D846" s="765"/>
      <c r="E846" s="108"/>
      <c r="F846" s="114"/>
      <c r="G846" s="765"/>
      <c r="H846" s="765"/>
      <c r="I846" s="109"/>
      <c r="J846" s="109"/>
      <c r="K846" s="109"/>
      <c r="L846" s="109"/>
      <c r="M846" s="109"/>
      <c r="N846" s="109"/>
      <c r="O846" s="109"/>
      <c r="P846" s="115"/>
      <c r="Q846" s="765"/>
      <c r="R846" s="216"/>
      <c r="S846" s="216"/>
      <c r="T846" s="216"/>
      <c r="U846" s="216"/>
      <c r="V846" s="765"/>
      <c r="W846" s="765"/>
      <c r="X846" s="765"/>
      <c r="Y846" s="109"/>
      <c r="Z846" s="109"/>
      <c r="AA846" s="109"/>
      <c r="AB846" s="109"/>
      <c r="AC846" s="109"/>
      <c r="AD846" s="109"/>
      <c r="AE846" s="109"/>
      <c r="AF846" s="109"/>
      <c r="AG846" s="109"/>
      <c r="AT846" s="765"/>
    </row>
    <row r="847" spans="1:46" x14ac:dyDescent="0.25">
      <c r="A847" s="765"/>
      <c r="B847" s="108"/>
      <c r="C847" s="765"/>
      <c r="D847" s="765"/>
      <c r="E847" s="108"/>
      <c r="F847" s="114"/>
      <c r="G847" s="765"/>
      <c r="H847" s="765"/>
      <c r="I847" s="109"/>
      <c r="J847" s="109"/>
      <c r="K847" s="109"/>
      <c r="L847" s="109"/>
      <c r="M847" s="109"/>
      <c r="N847" s="109"/>
      <c r="O847" s="109"/>
      <c r="P847" s="115"/>
      <c r="Q847" s="765"/>
      <c r="R847" s="216"/>
      <c r="S847" s="216"/>
      <c r="T847" s="216"/>
      <c r="U847" s="216"/>
      <c r="V847" s="765"/>
      <c r="W847" s="765"/>
      <c r="X847" s="765"/>
      <c r="Y847" s="109"/>
      <c r="Z847" s="109"/>
      <c r="AA847" s="109"/>
      <c r="AB847" s="109"/>
      <c r="AC847" s="109"/>
      <c r="AD847" s="109"/>
      <c r="AE847" s="109"/>
      <c r="AF847" s="109"/>
      <c r="AG847" s="109"/>
      <c r="AT847" s="765"/>
    </row>
    <row r="848" spans="1:46" x14ac:dyDescent="0.25">
      <c r="A848" s="765"/>
      <c r="B848" s="108"/>
      <c r="C848" s="765"/>
      <c r="D848" s="765"/>
      <c r="E848" s="108"/>
      <c r="F848" s="765"/>
      <c r="G848" s="765"/>
      <c r="H848" s="765"/>
      <c r="I848" s="109"/>
      <c r="J848" s="109"/>
      <c r="K848" s="109"/>
      <c r="L848" s="109"/>
      <c r="M848" s="109"/>
      <c r="N848" s="109"/>
      <c r="O848" s="109"/>
      <c r="P848" s="115"/>
      <c r="Q848" s="765"/>
      <c r="R848" s="216"/>
      <c r="S848" s="216"/>
      <c r="T848" s="216"/>
      <c r="U848" s="216"/>
      <c r="V848" s="765"/>
      <c r="W848" s="765"/>
      <c r="X848" s="765"/>
      <c r="Y848" s="109"/>
      <c r="Z848" s="109"/>
      <c r="AA848" s="109"/>
      <c r="AB848" s="109"/>
      <c r="AC848" s="109"/>
      <c r="AD848" s="109"/>
      <c r="AE848" s="109"/>
      <c r="AF848" s="109"/>
      <c r="AG848" s="109"/>
      <c r="AT848" s="765"/>
    </row>
    <row r="849" spans="1:46" x14ac:dyDescent="0.25">
      <c r="A849" s="765"/>
      <c r="B849" s="108"/>
      <c r="C849" s="765"/>
      <c r="D849" s="765"/>
      <c r="E849" s="108"/>
      <c r="F849" s="765"/>
      <c r="G849" s="765"/>
      <c r="H849" s="765"/>
      <c r="I849" s="109"/>
      <c r="J849" s="109"/>
      <c r="K849" s="109"/>
      <c r="L849" s="109"/>
      <c r="M849" s="109"/>
      <c r="N849" s="109"/>
      <c r="O849" s="109"/>
      <c r="P849" s="115"/>
      <c r="Q849" s="765"/>
      <c r="R849" s="216"/>
      <c r="S849" s="216"/>
      <c r="T849" s="216"/>
      <c r="U849" s="216"/>
      <c r="V849" s="765"/>
      <c r="W849" s="765"/>
      <c r="X849" s="765"/>
      <c r="Y849" s="109"/>
      <c r="Z849" s="109"/>
      <c r="AA849" s="109"/>
      <c r="AB849" s="109"/>
      <c r="AC849" s="109"/>
      <c r="AD849" s="109"/>
      <c r="AE849" s="109"/>
      <c r="AF849" s="109"/>
      <c r="AG849" s="109"/>
      <c r="AT849" s="765"/>
    </row>
    <row r="850" spans="1:46" x14ac:dyDescent="0.25">
      <c r="A850" s="765"/>
      <c r="B850" s="108"/>
      <c r="C850" s="765"/>
      <c r="D850" s="765"/>
      <c r="E850" s="108"/>
      <c r="F850" s="765"/>
      <c r="G850" s="765"/>
      <c r="H850" s="765"/>
      <c r="I850" s="109"/>
      <c r="J850" s="109"/>
      <c r="K850" s="109"/>
      <c r="L850" s="109"/>
      <c r="M850" s="109"/>
      <c r="N850" s="109"/>
      <c r="O850" s="109"/>
      <c r="P850" s="115"/>
      <c r="Q850" s="765"/>
      <c r="R850" s="216"/>
      <c r="S850" s="216"/>
      <c r="T850" s="216"/>
      <c r="U850" s="216"/>
      <c r="V850" s="765"/>
      <c r="W850" s="765"/>
      <c r="X850" s="765"/>
      <c r="Y850" s="109"/>
      <c r="Z850" s="109"/>
      <c r="AA850" s="109"/>
      <c r="AB850" s="109"/>
      <c r="AC850" s="109"/>
      <c r="AD850" s="109"/>
      <c r="AE850" s="109"/>
      <c r="AF850" s="109"/>
      <c r="AG850" s="109"/>
      <c r="AT850" s="765"/>
    </row>
    <row r="851" spans="1:46" x14ac:dyDescent="0.25">
      <c r="A851" s="765"/>
      <c r="B851" s="108"/>
      <c r="C851" s="765"/>
      <c r="D851" s="765"/>
      <c r="E851" s="108"/>
      <c r="F851" s="765"/>
      <c r="G851" s="765"/>
      <c r="H851" s="765"/>
      <c r="I851" s="109"/>
      <c r="J851" s="109"/>
      <c r="K851" s="109"/>
      <c r="L851" s="109"/>
      <c r="M851" s="109"/>
      <c r="N851" s="109"/>
      <c r="O851" s="109"/>
      <c r="P851" s="115"/>
      <c r="Q851" s="765"/>
      <c r="R851" s="216"/>
      <c r="S851" s="216"/>
      <c r="T851" s="216"/>
      <c r="U851" s="216"/>
      <c r="V851" s="765"/>
      <c r="W851" s="765"/>
      <c r="X851" s="765"/>
      <c r="Y851" s="109"/>
      <c r="Z851" s="109"/>
      <c r="AA851" s="109"/>
      <c r="AB851" s="109"/>
      <c r="AC851" s="109"/>
      <c r="AD851" s="109"/>
      <c r="AE851" s="109"/>
      <c r="AF851" s="109"/>
      <c r="AG851" s="109"/>
      <c r="AT851" s="765"/>
    </row>
    <row r="852" spans="1:46" x14ac:dyDescent="0.25">
      <c r="A852" s="765"/>
      <c r="B852" s="108"/>
      <c r="C852" s="765"/>
      <c r="D852" s="765"/>
      <c r="E852" s="108"/>
      <c r="F852" s="765"/>
      <c r="G852" s="765"/>
      <c r="H852" s="765"/>
      <c r="I852" s="109"/>
      <c r="J852" s="109"/>
      <c r="K852" s="109"/>
      <c r="L852" s="109"/>
      <c r="M852" s="109"/>
      <c r="N852" s="109"/>
      <c r="O852" s="109"/>
      <c r="P852" s="115"/>
      <c r="Q852" s="765"/>
      <c r="R852" s="216"/>
      <c r="S852" s="216"/>
      <c r="T852" s="216"/>
      <c r="U852" s="216"/>
      <c r="V852" s="765"/>
      <c r="W852" s="765"/>
      <c r="X852" s="765"/>
      <c r="Y852" s="109"/>
      <c r="Z852" s="109"/>
      <c r="AA852" s="109"/>
      <c r="AB852" s="109"/>
      <c r="AC852" s="109"/>
      <c r="AD852" s="109"/>
      <c r="AE852" s="109"/>
      <c r="AF852" s="109"/>
      <c r="AG852" s="109"/>
      <c r="AT852" s="765"/>
    </row>
    <row r="853" spans="1:46" x14ac:dyDescent="0.25">
      <c r="A853" s="765"/>
      <c r="B853" s="108"/>
      <c r="C853" s="765"/>
      <c r="D853" s="765"/>
      <c r="E853" s="108"/>
      <c r="F853" s="765"/>
      <c r="G853" s="765"/>
      <c r="H853" s="765"/>
      <c r="I853" s="109"/>
      <c r="J853" s="109"/>
      <c r="K853" s="109"/>
      <c r="L853" s="109"/>
      <c r="M853" s="109"/>
      <c r="N853" s="109"/>
      <c r="O853" s="109"/>
      <c r="P853" s="115"/>
      <c r="Q853" s="765"/>
      <c r="R853" s="216"/>
      <c r="S853" s="216"/>
      <c r="T853" s="216"/>
      <c r="U853" s="216"/>
      <c r="V853" s="765"/>
      <c r="W853" s="765"/>
      <c r="X853" s="765"/>
      <c r="Y853" s="109"/>
      <c r="Z853" s="109"/>
      <c r="AA853" s="109"/>
      <c r="AB853" s="109"/>
      <c r="AC853" s="109"/>
      <c r="AD853" s="109"/>
      <c r="AE853" s="109"/>
      <c r="AF853" s="109"/>
      <c r="AG853" s="109"/>
      <c r="AT853" s="765"/>
    </row>
    <row r="854" spans="1:46" x14ac:dyDescent="0.25">
      <c r="A854" s="765"/>
      <c r="B854" s="108"/>
      <c r="C854" s="765"/>
      <c r="D854" s="765"/>
      <c r="E854" s="108"/>
      <c r="F854" s="765"/>
      <c r="G854" s="765"/>
      <c r="H854" s="765"/>
      <c r="I854" s="109"/>
      <c r="J854" s="109"/>
      <c r="K854" s="109"/>
      <c r="L854" s="109"/>
      <c r="M854" s="109"/>
      <c r="N854" s="109"/>
      <c r="O854" s="109"/>
      <c r="P854" s="115"/>
      <c r="Q854" s="765"/>
      <c r="R854" s="216"/>
      <c r="S854" s="216"/>
      <c r="T854" s="216"/>
      <c r="U854" s="216"/>
      <c r="V854" s="765"/>
      <c r="W854" s="765"/>
      <c r="X854" s="765"/>
      <c r="Y854" s="109"/>
      <c r="Z854" s="109"/>
      <c r="AA854" s="109"/>
      <c r="AB854" s="109"/>
      <c r="AC854" s="109"/>
      <c r="AD854" s="109"/>
      <c r="AE854" s="109"/>
      <c r="AF854" s="109"/>
      <c r="AG854" s="109"/>
      <c r="AT854" s="765"/>
    </row>
    <row r="855" spans="1:46" x14ac:dyDescent="0.25">
      <c r="A855" s="765"/>
      <c r="B855" s="108"/>
      <c r="C855" s="765"/>
      <c r="D855" s="765"/>
      <c r="E855" s="108"/>
      <c r="F855" s="765"/>
      <c r="G855" s="765"/>
      <c r="H855" s="765"/>
      <c r="I855" s="109"/>
      <c r="J855" s="109"/>
      <c r="K855" s="109"/>
      <c r="L855" s="109"/>
      <c r="M855" s="109"/>
      <c r="N855" s="109"/>
      <c r="O855" s="109"/>
      <c r="P855" s="115"/>
      <c r="Q855" s="765"/>
      <c r="R855" s="216"/>
      <c r="S855" s="216"/>
      <c r="T855" s="216"/>
      <c r="U855" s="216"/>
      <c r="V855" s="765"/>
      <c r="W855" s="765"/>
      <c r="X855" s="765"/>
      <c r="Y855" s="109"/>
      <c r="Z855" s="109"/>
      <c r="AA855" s="109"/>
      <c r="AB855" s="109"/>
      <c r="AC855" s="109"/>
      <c r="AD855" s="109"/>
      <c r="AE855" s="109"/>
      <c r="AF855" s="109"/>
      <c r="AG855" s="109"/>
      <c r="AT855" s="765"/>
    </row>
    <row r="856" spans="1:46" x14ac:dyDescent="0.25">
      <c r="A856" s="765"/>
      <c r="B856" s="108"/>
      <c r="C856" s="765"/>
      <c r="D856" s="765"/>
      <c r="E856" s="108"/>
      <c r="F856" s="765"/>
      <c r="G856" s="765"/>
      <c r="H856" s="765"/>
      <c r="I856" s="109"/>
      <c r="J856" s="109"/>
      <c r="K856" s="109"/>
      <c r="L856" s="109"/>
      <c r="M856" s="109"/>
      <c r="N856" s="109"/>
      <c r="O856" s="109"/>
      <c r="P856" s="115"/>
      <c r="Q856" s="765"/>
      <c r="R856" s="216"/>
      <c r="S856" s="216"/>
      <c r="T856" s="216"/>
      <c r="U856" s="216"/>
      <c r="V856" s="765"/>
      <c r="W856" s="765"/>
      <c r="X856" s="765"/>
      <c r="Y856" s="109"/>
      <c r="Z856" s="109"/>
      <c r="AA856" s="109"/>
      <c r="AB856" s="109"/>
      <c r="AC856" s="109"/>
      <c r="AD856" s="109"/>
      <c r="AE856" s="109"/>
      <c r="AF856" s="109"/>
      <c r="AG856" s="109"/>
      <c r="AT856" s="765"/>
    </row>
    <row r="857" spans="1:46" x14ac:dyDescent="0.25">
      <c r="A857" s="765"/>
      <c r="B857" s="108"/>
      <c r="C857" s="765"/>
      <c r="D857" s="765"/>
      <c r="E857" s="108"/>
      <c r="F857" s="765"/>
      <c r="G857" s="765"/>
      <c r="H857" s="765"/>
      <c r="I857" s="109"/>
      <c r="J857" s="109"/>
      <c r="K857" s="109"/>
      <c r="L857" s="109"/>
      <c r="M857" s="109"/>
      <c r="N857" s="109"/>
      <c r="O857" s="109"/>
      <c r="P857" s="115"/>
      <c r="Q857" s="765"/>
      <c r="R857" s="216"/>
      <c r="S857" s="216"/>
      <c r="T857" s="216"/>
      <c r="U857" s="216"/>
      <c r="V857" s="765"/>
      <c r="W857" s="765"/>
      <c r="X857" s="765"/>
      <c r="Y857" s="109"/>
      <c r="Z857" s="109"/>
      <c r="AA857" s="109"/>
      <c r="AB857" s="109"/>
      <c r="AC857" s="109"/>
      <c r="AD857" s="109"/>
      <c r="AE857" s="109"/>
      <c r="AF857" s="109"/>
      <c r="AG857" s="109"/>
      <c r="AT857" s="765"/>
    </row>
    <row r="858" spans="1:46" x14ac:dyDescent="0.25">
      <c r="A858" s="765"/>
      <c r="B858" s="108"/>
      <c r="C858" s="765"/>
      <c r="D858" s="765"/>
      <c r="E858" s="108"/>
      <c r="F858" s="765"/>
      <c r="G858" s="765"/>
      <c r="H858" s="765"/>
      <c r="I858" s="109"/>
      <c r="J858" s="109"/>
      <c r="K858" s="109"/>
      <c r="L858" s="109"/>
      <c r="M858" s="109"/>
      <c r="N858" s="109"/>
      <c r="O858" s="109"/>
      <c r="P858" s="115"/>
      <c r="Q858" s="765"/>
      <c r="R858" s="216"/>
      <c r="S858" s="216"/>
      <c r="T858" s="216"/>
      <c r="U858" s="216"/>
      <c r="V858" s="765"/>
      <c r="W858" s="765"/>
      <c r="X858" s="765"/>
      <c r="Y858" s="109"/>
      <c r="Z858" s="109"/>
      <c r="AA858" s="109"/>
      <c r="AB858" s="109"/>
      <c r="AC858" s="109"/>
      <c r="AD858" s="109"/>
      <c r="AE858" s="109"/>
      <c r="AF858" s="109"/>
      <c r="AG858" s="109"/>
      <c r="AT858" s="765"/>
    </row>
    <row r="859" spans="1:46" x14ac:dyDescent="0.25">
      <c r="A859" s="765"/>
      <c r="B859" s="108"/>
      <c r="C859" s="765"/>
      <c r="D859" s="765"/>
      <c r="E859" s="108"/>
      <c r="F859" s="765"/>
      <c r="G859" s="765"/>
      <c r="H859" s="765"/>
      <c r="I859" s="109"/>
      <c r="J859" s="109"/>
      <c r="K859" s="109"/>
      <c r="L859" s="109"/>
      <c r="M859" s="109"/>
      <c r="N859" s="109"/>
      <c r="O859" s="109"/>
      <c r="P859" s="115"/>
      <c r="Q859" s="765"/>
      <c r="R859" s="216"/>
      <c r="S859" s="216"/>
      <c r="T859" s="216"/>
      <c r="U859" s="216"/>
      <c r="V859" s="765"/>
      <c r="W859" s="765"/>
      <c r="X859" s="765"/>
      <c r="Y859" s="109"/>
      <c r="Z859" s="109"/>
      <c r="AA859" s="109"/>
      <c r="AB859" s="109"/>
      <c r="AC859" s="109"/>
      <c r="AD859" s="109"/>
      <c r="AE859" s="109"/>
      <c r="AF859" s="109"/>
      <c r="AG859" s="109"/>
      <c r="AT859" s="765"/>
    </row>
    <row r="860" spans="1:46" x14ac:dyDescent="0.25">
      <c r="A860" s="765"/>
      <c r="B860" s="108"/>
      <c r="C860" s="765"/>
      <c r="D860" s="765"/>
      <c r="E860" s="108"/>
      <c r="F860" s="765"/>
      <c r="G860" s="765"/>
      <c r="H860" s="765"/>
      <c r="I860" s="109"/>
      <c r="J860" s="109"/>
      <c r="K860" s="109"/>
      <c r="L860" s="109"/>
      <c r="M860" s="109"/>
      <c r="N860" s="109"/>
      <c r="O860" s="109"/>
      <c r="P860" s="115"/>
      <c r="Q860" s="765"/>
      <c r="R860" s="216"/>
      <c r="S860" s="216"/>
      <c r="T860" s="216"/>
      <c r="U860" s="216"/>
      <c r="V860" s="765"/>
      <c r="W860" s="765"/>
      <c r="X860" s="765"/>
      <c r="Y860" s="109"/>
      <c r="Z860" s="109"/>
      <c r="AA860" s="109"/>
      <c r="AB860" s="109"/>
      <c r="AC860" s="109"/>
      <c r="AD860" s="109"/>
      <c r="AE860" s="109"/>
      <c r="AF860" s="109"/>
      <c r="AG860" s="109"/>
      <c r="AT860" s="765"/>
    </row>
    <row r="861" spans="1:46" x14ac:dyDescent="0.25">
      <c r="A861" s="765"/>
      <c r="B861" s="108"/>
      <c r="C861" s="765"/>
      <c r="D861" s="765"/>
      <c r="E861" s="108"/>
      <c r="F861" s="765"/>
      <c r="G861" s="765"/>
      <c r="H861" s="765"/>
      <c r="I861" s="109"/>
      <c r="J861" s="109"/>
      <c r="K861" s="109"/>
      <c r="L861" s="109"/>
      <c r="M861" s="109"/>
      <c r="N861" s="109"/>
      <c r="O861" s="109"/>
      <c r="P861" s="115"/>
      <c r="Q861" s="765"/>
      <c r="R861" s="216"/>
      <c r="S861" s="216"/>
      <c r="T861" s="216"/>
      <c r="U861" s="216"/>
      <c r="V861" s="765"/>
      <c r="W861" s="765"/>
      <c r="X861" s="765"/>
      <c r="Y861" s="109"/>
      <c r="Z861" s="109"/>
      <c r="AA861" s="109"/>
      <c r="AB861" s="109"/>
      <c r="AC861" s="109"/>
      <c r="AD861" s="109"/>
      <c r="AE861" s="109"/>
      <c r="AF861" s="109"/>
      <c r="AG861" s="109"/>
      <c r="AT861" s="765"/>
    </row>
    <row r="862" spans="1:46" x14ac:dyDescent="0.25">
      <c r="A862" s="765"/>
      <c r="B862" s="108"/>
      <c r="C862" s="765"/>
      <c r="D862" s="765"/>
      <c r="E862" s="108"/>
      <c r="F862" s="765"/>
      <c r="G862" s="765"/>
      <c r="H862" s="765"/>
      <c r="I862" s="109"/>
      <c r="J862" s="109"/>
      <c r="K862" s="109"/>
      <c r="L862" s="109"/>
      <c r="M862" s="109"/>
      <c r="N862" s="109"/>
      <c r="O862" s="109"/>
      <c r="P862" s="115"/>
      <c r="Q862" s="765"/>
      <c r="R862" s="216"/>
      <c r="S862" s="216"/>
      <c r="T862" s="216"/>
      <c r="U862" s="216"/>
      <c r="V862" s="765"/>
      <c r="W862" s="765"/>
      <c r="X862" s="765"/>
      <c r="Y862" s="109"/>
      <c r="Z862" s="109"/>
      <c r="AA862" s="109"/>
      <c r="AB862" s="109"/>
      <c r="AC862" s="109"/>
      <c r="AD862" s="109"/>
      <c r="AE862" s="109"/>
      <c r="AF862" s="109"/>
      <c r="AG862" s="109"/>
      <c r="AT862" s="765"/>
    </row>
    <row r="863" spans="1:46" x14ac:dyDescent="0.25">
      <c r="A863" s="765"/>
      <c r="B863" s="108"/>
      <c r="C863" s="765"/>
      <c r="D863" s="765"/>
      <c r="E863" s="108"/>
      <c r="F863" s="765"/>
      <c r="G863" s="765"/>
      <c r="H863" s="765"/>
      <c r="I863" s="109"/>
      <c r="J863" s="109"/>
      <c r="K863" s="109"/>
      <c r="L863" s="109"/>
      <c r="M863" s="109"/>
      <c r="N863" s="109"/>
      <c r="O863" s="109"/>
      <c r="P863" s="115"/>
      <c r="Q863" s="765"/>
      <c r="R863" s="216"/>
      <c r="S863" s="216"/>
      <c r="T863" s="216"/>
      <c r="U863" s="216"/>
      <c r="V863" s="765"/>
      <c r="W863" s="765"/>
      <c r="X863" s="765"/>
      <c r="Y863" s="109"/>
      <c r="Z863" s="109"/>
      <c r="AA863" s="109"/>
      <c r="AB863" s="109"/>
      <c r="AC863" s="109"/>
      <c r="AD863" s="109"/>
      <c r="AE863" s="109"/>
      <c r="AF863" s="109"/>
      <c r="AG863" s="109"/>
      <c r="AT863" s="765"/>
    </row>
    <row r="864" spans="1:46" x14ac:dyDescent="0.25">
      <c r="A864" s="765"/>
      <c r="B864" s="108"/>
      <c r="C864" s="765"/>
      <c r="D864" s="765"/>
      <c r="E864" s="108"/>
      <c r="F864" s="765"/>
      <c r="G864" s="765"/>
      <c r="H864" s="765"/>
      <c r="I864" s="109"/>
      <c r="J864" s="109"/>
      <c r="K864" s="109"/>
      <c r="L864" s="109"/>
      <c r="M864" s="109"/>
      <c r="N864" s="109"/>
      <c r="O864" s="109"/>
      <c r="P864" s="115"/>
      <c r="Q864" s="765"/>
      <c r="R864" s="216"/>
      <c r="S864" s="216"/>
      <c r="T864" s="216"/>
      <c r="U864" s="216"/>
      <c r="V864" s="765"/>
      <c r="W864" s="765"/>
      <c r="X864" s="765"/>
      <c r="Y864" s="109"/>
      <c r="Z864" s="109"/>
      <c r="AA864" s="109"/>
      <c r="AB864" s="109"/>
      <c r="AC864" s="109"/>
      <c r="AD864" s="109"/>
      <c r="AE864" s="109"/>
      <c r="AF864" s="109"/>
      <c r="AG864" s="109"/>
      <c r="AT864" s="765"/>
    </row>
    <row r="865" spans="1:46" x14ac:dyDescent="0.25">
      <c r="A865" s="765"/>
      <c r="B865" s="108"/>
      <c r="C865" s="765"/>
      <c r="D865" s="765"/>
      <c r="E865" s="108"/>
      <c r="F865" s="765"/>
      <c r="G865" s="765"/>
      <c r="H865" s="765"/>
      <c r="I865" s="109"/>
      <c r="J865" s="109"/>
      <c r="K865" s="109"/>
      <c r="L865" s="109"/>
      <c r="M865" s="109"/>
      <c r="N865" s="109"/>
      <c r="O865" s="109"/>
      <c r="P865" s="115"/>
      <c r="Q865" s="765"/>
      <c r="R865" s="216"/>
      <c r="S865" s="216"/>
      <c r="T865" s="216"/>
      <c r="U865" s="216"/>
      <c r="V865" s="765"/>
      <c r="W865" s="765"/>
      <c r="X865" s="765"/>
      <c r="Y865" s="109"/>
      <c r="Z865" s="109"/>
      <c r="AA865" s="109"/>
      <c r="AB865" s="109"/>
      <c r="AC865" s="109"/>
      <c r="AD865" s="109"/>
      <c r="AE865" s="109"/>
      <c r="AF865" s="109"/>
      <c r="AG865" s="109"/>
      <c r="AT865" s="765"/>
    </row>
    <row r="866" spans="1:46" x14ac:dyDescent="0.25">
      <c r="A866" s="765"/>
      <c r="B866" s="108"/>
      <c r="C866" s="765"/>
      <c r="D866" s="765"/>
      <c r="E866" s="108"/>
      <c r="F866" s="765"/>
      <c r="G866" s="765"/>
      <c r="H866" s="765"/>
      <c r="I866" s="109"/>
      <c r="J866" s="109"/>
      <c r="K866" s="109"/>
      <c r="L866" s="109"/>
      <c r="M866" s="109"/>
      <c r="N866" s="109"/>
      <c r="O866" s="109"/>
      <c r="P866" s="115"/>
      <c r="Q866" s="765"/>
      <c r="R866" s="216"/>
      <c r="S866" s="216"/>
      <c r="T866" s="216"/>
      <c r="U866" s="216"/>
      <c r="V866" s="765"/>
      <c r="W866" s="765"/>
      <c r="X866" s="765"/>
      <c r="Y866" s="109"/>
      <c r="Z866" s="109"/>
      <c r="AA866" s="109"/>
      <c r="AB866" s="109"/>
      <c r="AC866" s="109"/>
      <c r="AD866" s="109"/>
      <c r="AE866" s="109"/>
      <c r="AF866" s="109"/>
      <c r="AG866" s="109"/>
      <c r="AT866" s="765"/>
    </row>
    <row r="867" spans="1:46" x14ac:dyDescent="0.25">
      <c r="A867" s="765"/>
      <c r="B867" s="108"/>
      <c r="C867" s="765"/>
      <c r="D867" s="765"/>
      <c r="E867" s="108"/>
      <c r="F867" s="765"/>
      <c r="G867" s="765"/>
      <c r="H867" s="765"/>
      <c r="I867" s="109"/>
      <c r="J867" s="109"/>
      <c r="K867" s="109"/>
      <c r="L867" s="109"/>
      <c r="M867" s="109"/>
      <c r="N867" s="109"/>
      <c r="O867" s="109"/>
      <c r="P867" s="115"/>
      <c r="Q867" s="765"/>
      <c r="R867" s="216"/>
      <c r="S867" s="216"/>
      <c r="T867" s="216"/>
      <c r="U867" s="216"/>
      <c r="V867" s="765"/>
      <c r="W867" s="765"/>
      <c r="X867" s="765"/>
      <c r="Y867" s="109"/>
      <c r="Z867" s="109"/>
      <c r="AA867" s="109"/>
      <c r="AB867" s="109"/>
      <c r="AC867" s="109"/>
      <c r="AD867" s="109"/>
      <c r="AE867" s="109"/>
      <c r="AF867" s="109"/>
      <c r="AG867" s="109"/>
      <c r="AT867" s="765"/>
    </row>
    <row r="868" spans="1:46" x14ac:dyDescent="0.25">
      <c r="A868" s="765"/>
      <c r="B868" s="108"/>
      <c r="C868" s="765"/>
      <c r="D868" s="765"/>
      <c r="E868" s="108"/>
      <c r="F868" s="765"/>
      <c r="G868" s="765"/>
      <c r="H868" s="765"/>
      <c r="I868" s="109"/>
      <c r="J868" s="109"/>
      <c r="K868" s="109"/>
      <c r="L868" s="109"/>
      <c r="M868" s="109"/>
      <c r="N868" s="109"/>
      <c r="O868" s="109"/>
      <c r="P868" s="115"/>
      <c r="Q868" s="765"/>
      <c r="R868" s="216"/>
      <c r="S868" s="216"/>
      <c r="T868" s="216"/>
      <c r="U868" s="216"/>
      <c r="V868" s="765"/>
      <c r="W868" s="765"/>
      <c r="X868" s="765"/>
      <c r="Y868" s="109"/>
      <c r="Z868" s="109"/>
      <c r="AA868" s="109"/>
      <c r="AB868" s="109"/>
      <c r="AC868" s="109"/>
      <c r="AD868" s="109"/>
      <c r="AE868" s="109"/>
      <c r="AF868" s="109"/>
      <c r="AG868" s="109"/>
      <c r="AT868" s="765"/>
    </row>
    <row r="869" spans="1:46" x14ac:dyDescent="0.25">
      <c r="A869" s="765"/>
      <c r="B869" s="108"/>
      <c r="C869" s="765"/>
      <c r="D869" s="765"/>
      <c r="E869" s="108"/>
      <c r="F869" s="765"/>
      <c r="G869" s="765"/>
      <c r="H869" s="765"/>
      <c r="I869" s="109"/>
      <c r="J869" s="109"/>
      <c r="K869" s="109"/>
      <c r="L869" s="109"/>
      <c r="M869" s="109"/>
      <c r="N869" s="109"/>
      <c r="O869" s="109"/>
      <c r="P869" s="115"/>
      <c r="Q869" s="765"/>
      <c r="R869" s="216"/>
      <c r="S869" s="216"/>
      <c r="T869" s="216"/>
      <c r="U869" s="216"/>
      <c r="V869" s="765"/>
      <c r="W869" s="765"/>
      <c r="X869" s="765"/>
      <c r="Y869" s="109"/>
      <c r="Z869" s="109"/>
      <c r="AA869" s="109"/>
      <c r="AB869" s="109"/>
      <c r="AC869" s="109"/>
      <c r="AD869" s="109"/>
      <c r="AE869" s="109"/>
      <c r="AF869" s="109"/>
      <c r="AG869" s="109"/>
      <c r="AT869" s="765"/>
    </row>
    <row r="870" spans="1:46" x14ac:dyDescent="0.25">
      <c r="A870" s="765"/>
      <c r="B870" s="108"/>
      <c r="C870" s="765"/>
      <c r="D870" s="765"/>
      <c r="E870" s="108"/>
      <c r="F870" s="765"/>
      <c r="G870" s="765"/>
      <c r="H870" s="765"/>
      <c r="I870" s="109"/>
      <c r="J870" s="109"/>
      <c r="K870" s="109"/>
      <c r="L870" s="109"/>
      <c r="M870" s="109"/>
      <c r="N870" s="109"/>
      <c r="O870" s="109"/>
      <c r="P870" s="115"/>
      <c r="Q870" s="765"/>
      <c r="R870" s="216"/>
      <c r="S870" s="216"/>
      <c r="T870" s="216"/>
      <c r="U870" s="216"/>
      <c r="V870" s="765"/>
      <c r="W870" s="765"/>
      <c r="X870" s="765"/>
      <c r="Y870" s="109"/>
      <c r="Z870" s="109"/>
      <c r="AA870" s="109"/>
      <c r="AB870" s="109"/>
      <c r="AC870" s="109"/>
      <c r="AD870" s="109"/>
      <c r="AE870" s="109"/>
      <c r="AF870" s="109"/>
      <c r="AG870" s="109"/>
      <c r="AT870" s="765"/>
    </row>
    <row r="871" spans="1:46" x14ac:dyDescent="0.25">
      <c r="A871" s="765"/>
      <c r="B871" s="108"/>
      <c r="C871" s="765"/>
      <c r="D871" s="765"/>
      <c r="E871" s="108"/>
      <c r="F871" s="765"/>
      <c r="G871" s="765"/>
      <c r="H871" s="765"/>
      <c r="I871" s="109"/>
      <c r="J871" s="109"/>
      <c r="K871" s="109"/>
      <c r="L871" s="109"/>
      <c r="M871" s="109"/>
      <c r="N871" s="109"/>
      <c r="O871" s="109"/>
      <c r="P871" s="115"/>
      <c r="Q871" s="765"/>
      <c r="R871" s="216"/>
      <c r="S871" s="216"/>
      <c r="T871" s="216"/>
      <c r="U871" s="216"/>
      <c r="V871" s="765"/>
      <c r="W871" s="765"/>
      <c r="X871" s="765"/>
      <c r="Y871" s="109"/>
      <c r="Z871" s="109"/>
      <c r="AA871" s="109"/>
      <c r="AB871" s="109"/>
      <c r="AC871" s="109"/>
      <c r="AD871" s="109"/>
      <c r="AE871" s="109"/>
      <c r="AF871" s="109"/>
      <c r="AG871" s="109"/>
      <c r="AT871" s="765"/>
    </row>
    <row r="872" spans="1:46" x14ac:dyDescent="0.25">
      <c r="A872" s="765"/>
      <c r="B872" s="108"/>
      <c r="C872" s="765"/>
      <c r="D872" s="765"/>
      <c r="E872" s="108"/>
      <c r="F872" s="765"/>
      <c r="G872" s="765"/>
      <c r="H872" s="765"/>
      <c r="I872" s="765"/>
      <c r="J872" s="765"/>
      <c r="K872" s="765"/>
      <c r="L872" s="765"/>
      <c r="M872" s="765"/>
      <c r="N872" s="765"/>
      <c r="O872" s="765"/>
      <c r="P872" s="115"/>
      <c r="Q872" s="765"/>
      <c r="R872" s="216"/>
      <c r="S872" s="216"/>
      <c r="T872" s="216"/>
      <c r="U872" s="216"/>
      <c r="V872" s="765"/>
      <c r="W872" s="765"/>
      <c r="X872" s="765"/>
      <c r="Y872" s="109"/>
      <c r="Z872" s="109"/>
      <c r="AA872" s="109"/>
      <c r="AB872" s="109"/>
      <c r="AC872" s="109"/>
      <c r="AD872" s="109"/>
      <c r="AE872" s="109"/>
      <c r="AF872" s="109"/>
      <c r="AG872" s="109"/>
      <c r="AT872" s="765"/>
    </row>
    <row r="873" spans="1:46" x14ac:dyDescent="0.25">
      <c r="A873" s="765"/>
      <c r="B873" s="108"/>
      <c r="C873" s="765"/>
      <c r="D873" s="765"/>
      <c r="E873" s="108"/>
      <c r="F873" s="765"/>
      <c r="G873" s="765"/>
      <c r="H873" s="765"/>
      <c r="I873" s="765"/>
      <c r="J873" s="765"/>
      <c r="K873" s="765"/>
      <c r="L873" s="765"/>
      <c r="M873" s="765"/>
      <c r="N873" s="765"/>
      <c r="O873" s="765"/>
      <c r="P873" s="115"/>
      <c r="Q873" s="765"/>
      <c r="R873" s="216"/>
      <c r="S873" s="216"/>
      <c r="T873" s="216"/>
      <c r="U873" s="216"/>
      <c r="V873" s="765"/>
      <c r="W873" s="765"/>
      <c r="X873" s="765"/>
      <c r="Y873" s="109"/>
      <c r="Z873" s="109"/>
      <c r="AA873" s="109"/>
      <c r="AB873" s="109"/>
      <c r="AC873" s="109"/>
      <c r="AD873" s="109"/>
      <c r="AE873" s="109"/>
      <c r="AF873" s="109"/>
      <c r="AG873" s="109"/>
      <c r="AT873" s="765"/>
    </row>
    <row r="874" spans="1:46" x14ac:dyDescent="0.25">
      <c r="A874" s="765"/>
      <c r="B874" s="108"/>
      <c r="C874" s="765"/>
      <c r="D874" s="765"/>
      <c r="E874" s="765"/>
      <c r="F874" s="765"/>
      <c r="G874" s="765"/>
      <c r="H874" s="765"/>
      <c r="I874" s="765"/>
      <c r="J874" s="765"/>
      <c r="K874" s="765"/>
      <c r="L874" s="765"/>
      <c r="M874" s="765"/>
      <c r="N874" s="765"/>
      <c r="O874" s="765"/>
      <c r="P874" s="115"/>
      <c r="Q874" s="765"/>
      <c r="R874" s="216"/>
      <c r="S874" s="216"/>
      <c r="T874" s="216"/>
      <c r="U874" s="216"/>
      <c r="V874" s="765"/>
      <c r="W874" s="765"/>
      <c r="X874" s="765"/>
      <c r="Y874" s="109"/>
      <c r="Z874" s="109"/>
      <c r="AA874" s="109"/>
      <c r="AB874" s="109"/>
      <c r="AC874" s="109"/>
      <c r="AD874" s="109"/>
      <c r="AE874" s="109"/>
      <c r="AF874" s="109"/>
      <c r="AG874" s="109"/>
      <c r="AT874" s="765"/>
    </row>
    <row r="875" spans="1:46" x14ac:dyDescent="0.25">
      <c r="A875" s="765"/>
      <c r="B875" s="108"/>
      <c r="C875" s="765"/>
      <c r="D875" s="765"/>
      <c r="E875" s="765"/>
      <c r="F875" s="765"/>
      <c r="G875" s="765"/>
      <c r="H875" s="765"/>
      <c r="I875" s="765"/>
      <c r="J875" s="765"/>
      <c r="K875" s="765"/>
      <c r="L875" s="765"/>
      <c r="M875" s="765"/>
      <c r="N875" s="765"/>
      <c r="O875" s="765"/>
      <c r="P875" s="115"/>
      <c r="Q875" s="765"/>
      <c r="R875" s="216"/>
      <c r="S875" s="216"/>
      <c r="T875" s="216"/>
      <c r="U875" s="216"/>
      <c r="V875" s="765"/>
      <c r="W875" s="765"/>
      <c r="X875" s="765"/>
      <c r="Y875" s="109"/>
      <c r="Z875" s="109"/>
      <c r="AA875" s="109"/>
      <c r="AB875" s="109"/>
      <c r="AC875" s="109"/>
      <c r="AD875" s="109"/>
      <c r="AE875" s="109"/>
      <c r="AF875" s="109"/>
      <c r="AG875" s="109"/>
      <c r="AT875" s="765"/>
    </row>
    <row r="876" spans="1:46" x14ac:dyDescent="0.25">
      <c r="A876" s="765"/>
      <c r="B876" s="108"/>
      <c r="C876" s="765"/>
      <c r="D876" s="765"/>
      <c r="E876" s="765"/>
      <c r="F876" s="765"/>
      <c r="G876" s="765"/>
      <c r="H876" s="765"/>
      <c r="I876" s="765"/>
      <c r="J876" s="765"/>
      <c r="K876" s="765"/>
      <c r="L876" s="765"/>
      <c r="M876" s="765"/>
      <c r="N876" s="765"/>
      <c r="O876" s="765"/>
      <c r="P876" s="115"/>
      <c r="Q876" s="765"/>
      <c r="R876" s="216"/>
      <c r="S876" s="216"/>
      <c r="T876" s="216"/>
      <c r="U876" s="216"/>
      <c r="V876" s="765"/>
      <c r="W876" s="765"/>
      <c r="X876" s="765"/>
      <c r="Y876" s="109"/>
      <c r="Z876" s="109"/>
      <c r="AA876" s="109"/>
      <c r="AB876" s="109"/>
      <c r="AC876" s="109"/>
      <c r="AD876" s="109"/>
      <c r="AE876" s="109"/>
      <c r="AF876" s="109"/>
      <c r="AG876" s="109"/>
      <c r="AT876" s="765"/>
    </row>
    <row r="877" spans="1:46" x14ac:dyDescent="0.25">
      <c r="A877" s="765"/>
      <c r="B877" s="108"/>
      <c r="C877" s="765"/>
      <c r="D877" s="765"/>
      <c r="E877" s="765"/>
      <c r="F877" s="765"/>
      <c r="G877" s="765"/>
      <c r="H877" s="765"/>
      <c r="I877" s="765"/>
      <c r="J877" s="765"/>
      <c r="K877" s="765"/>
      <c r="L877" s="765"/>
      <c r="M877" s="765"/>
      <c r="N877" s="765"/>
      <c r="O877" s="765"/>
      <c r="P877" s="115"/>
      <c r="Q877" s="765"/>
      <c r="R877" s="216"/>
      <c r="S877" s="216"/>
      <c r="T877" s="216"/>
      <c r="U877" s="216"/>
      <c r="V877" s="765"/>
      <c r="W877" s="765"/>
      <c r="X877" s="765"/>
      <c r="Y877" s="109"/>
      <c r="Z877" s="109"/>
      <c r="AA877" s="109"/>
      <c r="AB877" s="109"/>
      <c r="AC877" s="109"/>
      <c r="AD877" s="109"/>
      <c r="AE877" s="109"/>
      <c r="AF877" s="109"/>
      <c r="AG877" s="109"/>
      <c r="AT877" s="765"/>
    </row>
    <row r="878" spans="1:46" x14ac:dyDescent="0.25">
      <c r="A878" s="765"/>
      <c r="B878" s="108"/>
      <c r="C878" s="765"/>
      <c r="D878" s="765"/>
      <c r="E878" s="765"/>
      <c r="F878" s="765"/>
      <c r="G878" s="765"/>
      <c r="H878" s="765"/>
      <c r="I878" s="765"/>
      <c r="J878" s="765"/>
      <c r="K878" s="765"/>
      <c r="L878" s="765"/>
      <c r="M878" s="765"/>
      <c r="N878" s="765"/>
      <c r="O878" s="765"/>
      <c r="P878" s="115"/>
      <c r="Q878" s="765"/>
      <c r="R878" s="216"/>
      <c r="S878" s="216"/>
      <c r="T878" s="216"/>
      <c r="U878" s="216"/>
      <c r="V878" s="765"/>
      <c r="W878" s="765"/>
      <c r="X878" s="765"/>
      <c r="Y878" s="109"/>
      <c r="Z878" s="109"/>
      <c r="AA878" s="109"/>
      <c r="AB878" s="109"/>
      <c r="AC878" s="109"/>
      <c r="AD878" s="109"/>
      <c r="AE878" s="109"/>
      <c r="AF878" s="109"/>
      <c r="AG878" s="109"/>
      <c r="AT878" s="765"/>
    </row>
    <row r="879" spans="1:46" x14ac:dyDescent="0.25">
      <c r="A879" s="765"/>
      <c r="B879" s="108"/>
      <c r="C879" s="765"/>
      <c r="D879" s="765"/>
      <c r="E879" s="765"/>
      <c r="F879" s="765"/>
      <c r="G879" s="765"/>
      <c r="H879" s="765"/>
      <c r="I879" s="765"/>
      <c r="J879" s="765"/>
      <c r="K879" s="765"/>
      <c r="L879" s="765"/>
      <c r="M879" s="765"/>
      <c r="N879" s="765"/>
      <c r="O879" s="765"/>
      <c r="P879" s="115"/>
      <c r="Q879" s="765"/>
      <c r="R879" s="216"/>
      <c r="S879" s="216"/>
      <c r="T879" s="216"/>
      <c r="U879" s="216"/>
      <c r="V879" s="765"/>
      <c r="W879" s="765"/>
      <c r="X879" s="765"/>
      <c r="Y879" s="109"/>
      <c r="Z879" s="109"/>
      <c r="AA879" s="109"/>
      <c r="AB879" s="109"/>
      <c r="AC879" s="109"/>
      <c r="AD879" s="109"/>
      <c r="AE879" s="109"/>
      <c r="AF879" s="109"/>
      <c r="AG879" s="109"/>
      <c r="AT879" s="765"/>
    </row>
    <row r="880" spans="1:46" x14ac:dyDescent="0.25">
      <c r="A880" s="765"/>
      <c r="B880" s="108"/>
      <c r="C880" s="765"/>
      <c r="D880" s="765"/>
      <c r="E880" s="765"/>
      <c r="F880" s="765"/>
      <c r="G880" s="765"/>
      <c r="H880" s="765"/>
      <c r="I880" s="765"/>
      <c r="J880" s="765"/>
      <c r="K880" s="765"/>
      <c r="L880" s="765"/>
      <c r="M880" s="765"/>
      <c r="N880" s="765"/>
      <c r="O880" s="765"/>
      <c r="P880" s="115"/>
      <c r="Q880" s="765"/>
      <c r="R880" s="216"/>
      <c r="S880" s="216"/>
      <c r="T880" s="216"/>
      <c r="U880" s="216"/>
      <c r="V880" s="765"/>
      <c r="W880" s="765"/>
      <c r="X880" s="765"/>
      <c r="Y880" s="109"/>
      <c r="Z880" s="109"/>
      <c r="AA880" s="109"/>
      <c r="AB880" s="109"/>
      <c r="AC880" s="109"/>
      <c r="AD880" s="109"/>
      <c r="AE880" s="109"/>
      <c r="AF880" s="109"/>
      <c r="AG880" s="109"/>
      <c r="AT880" s="765"/>
    </row>
    <row r="881" spans="1:46" x14ac:dyDescent="0.25">
      <c r="A881" s="765"/>
      <c r="B881" s="108"/>
      <c r="C881" s="765"/>
      <c r="D881" s="765"/>
      <c r="E881" s="765"/>
      <c r="F881" s="765"/>
      <c r="G881" s="765"/>
      <c r="H881" s="765"/>
      <c r="I881" s="765"/>
      <c r="J881" s="765"/>
      <c r="K881" s="765"/>
      <c r="L881" s="765"/>
      <c r="M881" s="765"/>
      <c r="N881" s="765"/>
      <c r="O881" s="765"/>
      <c r="P881" s="115"/>
      <c r="Q881" s="765"/>
      <c r="R881" s="216"/>
      <c r="S881" s="216"/>
      <c r="T881" s="216"/>
      <c r="U881" s="216"/>
      <c r="V881" s="765"/>
      <c r="W881" s="765"/>
      <c r="X881" s="765"/>
      <c r="Y881" s="109"/>
      <c r="Z881" s="109"/>
      <c r="AA881" s="109"/>
      <c r="AB881" s="109"/>
      <c r="AC881" s="109"/>
      <c r="AD881" s="109"/>
      <c r="AE881" s="109"/>
      <c r="AF881" s="109"/>
      <c r="AG881" s="109"/>
      <c r="AT881" s="765"/>
    </row>
    <row r="882" spans="1:46" x14ac:dyDescent="0.25">
      <c r="A882" s="765"/>
      <c r="B882" s="108"/>
      <c r="C882" s="765"/>
      <c r="D882" s="765"/>
      <c r="E882" s="765"/>
      <c r="F882" s="765"/>
      <c r="G882" s="765"/>
      <c r="H882" s="765"/>
      <c r="I882" s="765"/>
      <c r="J882" s="765"/>
      <c r="K882" s="765"/>
      <c r="L882" s="765"/>
      <c r="M882" s="765"/>
      <c r="N882" s="765"/>
      <c r="O882" s="765"/>
      <c r="P882" s="115"/>
      <c r="Q882" s="765"/>
      <c r="R882" s="216"/>
      <c r="S882" s="216"/>
      <c r="T882" s="216"/>
      <c r="U882" s="216"/>
      <c r="V882" s="765"/>
      <c r="W882" s="765"/>
      <c r="X882" s="765"/>
      <c r="Y882" s="109"/>
      <c r="Z882" s="109"/>
      <c r="AA882" s="109"/>
      <c r="AB882" s="109"/>
      <c r="AC882" s="109"/>
      <c r="AD882" s="109"/>
      <c r="AE882" s="109"/>
      <c r="AF882" s="109"/>
      <c r="AG882" s="109"/>
      <c r="AT882" s="765"/>
    </row>
    <row r="883" spans="1:46" x14ac:dyDescent="0.25">
      <c r="A883" s="765"/>
      <c r="B883" s="108"/>
      <c r="C883" s="765"/>
      <c r="D883" s="765"/>
      <c r="E883" s="765"/>
      <c r="F883" s="765"/>
      <c r="G883" s="765"/>
      <c r="H883" s="765"/>
      <c r="I883" s="765"/>
      <c r="J883" s="765"/>
      <c r="K883" s="765"/>
      <c r="L883" s="765"/>
      <c r="M883" s="765"/>
      <c r="N883" s="765"/>
      <c r="O883" s="765"/>
      <c r="P883" s="115"/>
      <c r="Q883" s="765"/>
      <c r="R883" s="216"/>
      <c r="S883" s="216"/>
      <c r="T883" s="216"/>
      <c r="U883" s="216"/>
      <c r="V883" s="765"/>
      <c r="W883" s="765"/>
      <c r="X883" s="765"/>
      <c r="Y883" s="109"/>
      <c r="Z883" s="109"/>
      <c r="AA883" s="109"/>
      <c r="AB883" s="109"/>
      <c r="AC883" s="109"/>
      <c r="AD883" s="109"/>
      <c r="AE883" s="109"/>
      <c r="AF883" s="109"/>
      <c r="AG883" s="109"/>
      <c r="AT883" s="765"/>
    </row>
    <row r="884" spans="1:46" x14ac:dyDescent="0.25">
      <c r="A884" s="765"/>
      <c r="B884" s="108"/>
      <c r="C884" s="765"/>
      <c r="D884" s="765"/>
      <c r="E884" s="765"/>
      <c r="F884" s="765"/>
      <c r="G884" s="765"/>
      <c r="H884" s="765"/>
      <c r="I884" s="765"/>
      <c r="J884" s="765"/>
      <c r="K884" s="765"/>
      <c r="L884" s="765"/>
      <c r="M884" s="765"/>
      <c r="N884" s="765"/>
      <c r="O884" s="765"/>
      <c r="P884" s="115"/>
      <c r="Q884" s="765"/>
      <c r="R884" s="216"/>
      <c r="S884" s="216"/>
      <c r="T884" s="216"/>
      <c r="U884" s="216"/>
      <c r="V884" s="765"/>
      <c r="W884" s="765"/>
      <c r="X884" s="765"/>
      <c r="Y884" s="109"/>
      <c r="Z884" s="109"/>
      <c r="AA884" s="109"/>
      <c r="AB884" s="109"/>
      <c r="AC884" s="109"/>
      <c r="AD884" s="109"/>
      <c r="AE884" s="109"/>
      <c r="AF884" s="109"/>
      <c r="AG884" s="109"/>
      <c r="AT884" s="765"/>
    </row>
    <row r="885" spans="1:46" x14ac:dyDescent="0.25">
      <c r="A885" s="765"/>
      <c r="B885" s="108"/>
      <c r="C885" s="765"/>
      <c r="D885" s="765"/>
      <c r="E885" s="765"/>
      <c r="F885" s="765"/>
      <c r="G885" s="765"/>
      <c r="H885" s="765"/>
      <c r="I885" s="765"/>
      <c r="J885" s="765"/>
      <c r="K885" s="765"/>
      <c r="L885" s="765"/>
      <c r="M885" s="765"/>
      <c r="N885" s="765"/>
      <c r="O885" s="765"/>
      <c r="P885" s="115"/>
      <c r="Q885" s="765"/>
      <c r="R885" s="216"/>
      <c r="S885" s="216"/>
      <c r="T885" s="216"/>
      <c r="U885" s="216"/>
      <c r="V885" s="765"/>
      <c r="W885" s="765"/>
      <c r="X885" s="765"/>
      <c r="Y885" s="109"/>
      <c r="Z885" s="109"/>
      <c r="AA885" s="109"/>
      <c r="AB885" s="109"/>
      <c r="AC885" s="109"/>
      <c r="AD885" s="109"/>
      <c r="AE885" s="109"/>
      <c r="AF885" s="109"/>
      <c r="AG885" s="109"/>
      <c r="AT885" s="765"/>
    </row>
    <row r="886" spans="1:46" x14ac:dyDescent="0.25">
      <c r="A886" s="765"/>
      <c r="B886" s="108"/>
      <c r="C886" s="765"/>
      <c r="D886" s="765"/>
      <c r="E886" s="765"/>
      <c r="F886" s="765"/>
      <c r="G886" s="765"/>
      <c r="H886" s="765"/>
      <c r="I886" s="765"/>
      <c r="J886" s="765"/>
      <c r="K886" s="765"/>
      <c r="L886" s="765"/>
      <c r="M886" s="765"/>
      <c r="N886" s="765"/>
      <c r="O886" s="765"/>
      <c r="P886" s="115"/>
      <c r="Q886" s="765"/>
      <c r="R886" s="216"/>
      <c r="S886" s="216"/>
      <c r="T886" s="216"/>
      <c r="U886" s="216"/>
      <c r="V886" s="765"/>
      <c r="W886" s="765"/>
      <c r="X886" s="765"/>
      <c r="Y886" s="109"/>
      <c r="Z886" s="109"/>
      <c r="AA886" s="109"/>
      <c r="AB886" s="109"/>
      <c r="AC886" s="109"/>
      <c r="AD886" s="109"/>
      <c r="AE886" s="109"/>
      <c r="AF886" s="109"/>
      <c r="AG886" s="109"/>
      <c r="AT886" s="765"/>
    </row>
    <row r="887" spans="1:46" x14ac:dyDescent="0.25">
      <c r="A887" s="765"/>
      <c r="B887" s="108"/>
      <c r="C887" s="765"/>
      <c r="D887" s="765"/>
      <c r="E887" s="765"/>
      <c r="F887" s="765"/>
      <c r="G887" s="765"/>
      <c r="H887" s="765"/>
      <c r="I887" s="765"/>
      <c r="J887" s="765"/>
      <c r="K887" s="765"/>
      <c r="L887" s="765"/>
      <c r="M887" s="765"/>
      <c r="N887" s="765"/>
      <c r="O887" s="765"/>
      <c r="P887" s="115"/>
      <c r="Q887" s="765"/>
      <c r="R887" s="216"/>
      <c r="S887" s="216"/>
      <c r="T887" s="216"/>
      <c r="U887" s="216"/>
      <c r="V887" s="765"/>
      <c r="W887" s="765"/>
      <c r="X887" s="765"/>
      <c r="Y887" s="109"/>
      <c r="Z887" s="109"/>
      <c r="AA887" s="109"/>
      <c r="AB887" s="109"/>
      <c r="AC887" s="109"/>
      <c r="AD887" s="109"/>
      <c r="AE887" s="109"/>
      <c r="AF887" s="109"/>
      <c r="AG887" s="109"/>
      <c r="AT887" s="765"/>
    </row>
    <row r="888" spans="1:46" x14ac:dyDescent="0.25">
      <c r="A888" s="765"/>
      <c r="B888" s="108"/>
      <c r="C888" s="765"/>
      <c r="D888" s="765"/>
      <c r="E888" s="765"/>
      <c r="F888" s="765"/>
      <c r="G888" s="765"/>
      <c r="H888" s="765"/>
      <c r="I888" s="765"/>
      <c r="J888" s="765"/>
      <c r="K888" s="765"/>
      <c r="L888" s="765"/>
      <c r="M888" s="765"/>
      <c r="N888" s="765"/>
      <c r="O888" s="765"/>
      <c r="P888" s="115"/>
      <c r="Q888" s="765"/>
      <c r="R888" s="216"/>
      <c r="S888" s="216"/>
      <c r="T888" s="216"/>
      <c r="U888" s="216"/>
      <c r="V888" s="765"/>
      <c r="W888" s="765"/>
      <c r="X888" s="765"/>
      <c r="Y888" s="109"/>
      <c r="Z888" s="109"/>
      <c r="AA888" s="109"/>
      <c r="AB888" s="109"/>
      <c r="AC888" s="109"/>
      <c r="AD888" s="109"/>
      <c r="AE888" s="109"/>
      <c r="AF888" s="109"/>
      <c r="AG888" s="109"/>
      <c r="AT888" s="765"/>
    </row>
    <row r="889" spans="1:46" x14ac:dyDescent="0.25">
      <c r="A889" s="765"/>
      <c r="B889" s="108"/>
      <c r="C889" s="765"/>
      <c r="D889" s="765"/>
      <c r="E889" s="765"/>
      <c r="F889" s="765"/>
      <c r="G889" s="765"/>
      <c r="H889" s="765"/>
      <c r="I889" s="765"/>
      <c r="J889" s="765"/>
      <c r="K889" s="765"/>
      <c r="L889" s="765"/>
      <c r="M889" s="765"/>
      <c r="N889" s="765"/>
      <c r="O889" s="765"/>
      <c r="P889" s="115"/>
      <c r="Q889" s="765"/>
      <c r="R889" s="216"/>
      <c r="S889" s="216"/>
      <c r="T889" s="216"/>
      <c r="U889" s="216"/>
      <c r="V889" s="765"/>
      <c r="W889" s="765"/>
      <c r="X889" s="765"/>
      <c r="Y889" s="109"/>
      <c r="Z889" s="109"/>
      <c r="AA889" s="109"/>
      <c r="AB889" s="109"/>
      <c r="AC889" s="109"/>
      <c r="AD889" s="109"/>
      <c r="AE889" s="109"/>
      <c r="AF889" s="109"/>
      <c r="AG889" s="109"/>
      <c r="AT889" s="765"/>
    </row>
    <row r="890" spans="1:46" x14ac:dyDescent="0.25">
      <c r="A890" s="765"/>
      <c r="B890" s="108"/>
      <c r="C890" s="765"/>
      <c r="D890" s="765"/>
      <c r="E890" s="765"/>
      <c r="F890" s="765"/>
      <c r="G890" s="765"/>
      <c r="H890" s="765"/>
      <c r="I890" s="765"/>
      <c r="J890" s="765"/>
      <c r="K890" s="765"/>
      <c r="L890" s="765"/>
      <c r="M890" s="765"/>
      <c r="N890" s="765"/>
      <c r="O890" s="765"/>
      <c r="P890" s="115"/>
      <c r="Q890" s="765"/>
      <c r="R890" s="216"/>
      <c r="S890" s="216"/>
      <c r="T890" s="216"/>
      <c r="U890" s="216"/>
      <c r="V890" s="765"/>
      <c r="W890" s="765"/>
      <c r="X890" s="765"/>
      <c r="Y890" s="109"/>
      <c r="Z890" s="109"/>
      <c r="AA890" s="109"/>
      <c r="AB890" s="109"/>
      <c r="AC890" s="109"/>
      <c r="AD890" s="109"/>
      <c r="AE890" s="109"/>
      <c r="AF890" s="109"/>
      <c r="AG890" s="109"/>
      <c r="AT890" s="765"/>
    </row>
    <row r="891" spans="1:46" x14ac:dyDescent="0.25">
      <c r="A891" s="765"/>
      <c r="B891" s="108"/>
      <c r="C891" s="765"/>
      <c r="D891" s="765"/>
      <c r="E891" s="765"/>
      <c r="F891" s="765"/>
      <c r="G891" s="765"/>
      <c r="H891" s="765"/>
      <c r="I891" s="765"/>
      <c r="J891" s="765"/>
      <c r="K891" s="765"/>
      <c r="L891" s="765"/>
      <c r="M891" s="765"/>
      <c r="N891" s="765"/>
      <c r="O891" s="765"/>
      <c r="P891" s="115"/>
      <c r="Q891" s="765"/>
      <c r="R891" s="216"/>
      <c r="S891" s="216"/>
      <c r="T891" s="216"/>
      <c r="U891" s="216"/>
      <c r="V891" s="765"/>
      <c r="W891" s="765"/>
      <c r="X891" s="765"/>
      <c r="Y891" s="109"/>
      <c r="Z891" s="109"/>
      <c r="AA891" s="109"/>
      <c r="AB891" s="109"/>
      <c r="AC891" s="109"/>
      <c r="AD891" s="109"/>
      <c r="AE891" s="109"/>
      <c r="AF891" s="109"/>
      <c r="AG891" s="109"/>
      <c r="AT891" s="765"/>
    </row>
    <row r="892" spans="1:46" x14ac:dyDescent="0.25">
      <c r="A892" s="765"/>
      <c r="B892" s="108"/>
      <c r="C892" s="765"/>
      <c r="D892" s="765"/>
      <c r="E892" s="765"/>
      <c r="F892" s="765"/>
      <c r="G892" s="765"/>
      <c r="H892" s="765"/>
      <c r="I892" s="765"/>
      <c r="J892" s="765"/>
      <c r="K892" s="765"/>
      <c r="L892" s="765"/>
      <c r="M892" s="765"/>
      <c r="N892" s="765"/>
      <c r="O892" s="765"/>
      <c r="P892" s="115"/>
      <c r="Q892" s="765"/>
      <c r="R892" s="216"/>
      <c r="S892" s="216"/>
      <c r="T892" s="216"/>
      <c r="U892" s="216"/>
      <c r="V892" s="765"/>
      <c r="W892" s="765"/>
      <c r="X892" s="765"/>
      <c r="Y892" s="109"/>
      <c r="Z892" s="109"/>
      <c r="AA892" s="109"/>
      <c r="AB892" s="109"/>
      <c r="AC892" s="109"/>
      <c r="AD892" s="109"/>
      <c r="AE892" s="109"/>
      <c r="AF892" s="109"/>
      <c r="AG892" s="109"/>
      <c r="AT892" s="765"/>
    </row>
    <row r="893" spans="1:46" x14ac:dyDescent="0.25">
      <c r="A893" s="765"/>
      <c r="B893" s="108"/>
      <c r="C893" s="765"/>
      <c r="D893" s="765"/>
      <c r="E893" s="765"/>
      <c r="F893" s="765"/>
      <c r="G893" s="765"/>
      <c r="H893" s="765"/>
      <c r="I893" s="765"/>
      <c r="J893" s="765"/>
      <c r="K893" s="765"/>
      <c r="L893" s="765"/>
      <c r="M893" s="765"/>
      <c r="N893" s="765"/>
      <c r="O893" s="765"/>
      <c r="P893" s="115"/>
      <c r="Q893" s="765"/>
      <c r="R893" s="216"/>
      <c r="S893" s="216"/>
      <c r="T893" s="216"/>
      <c r="U893" s="216"/>
      <c r="V893" s="765"/>
      <c r="W893" s="765"/>
      <c r="X893" s="765"/>
      <c r="Y893" s="109"/>
      <c r="Z893" s="109"/>
      <c r="AA893" s="109"/>
      <c r="AB893" s="109"/>
      <c r="AC893" s="109"/>
      <c r="AD893" s="109"/>
      <c r="AE893" s="109"/>
      <c r="AF893" s="109"/>
      <c r="AG893" s="109"/>
      <c r="AT893" s="765"/>
    </row>
    <row r="894" spans="1:46" x14ac:dyDescent="0.25">
      <c r="A894" s="765"/>
      <c r="B894" s="108"/>
      <c r="C894" s="765"/>
      <c r="D894" s="765"/>
      <c r="E894" s="765"/>
      <c r="F894" s="765"/>
      <c r="G894" s="765"/>
      <c r="H894" s="765"/>
      <c r="I894" s="765"/>
      <c r="J894" s="765"/>
      <c r="K894" s="765"/>
      <c r="L894" s="765"/>
      <c r="M894" s="765"/>
      <c r="N894" s="765"/>
      <c r="O894" s="765"/>
      <c r="P894" s="115"/>
      <c r="Q894" s="765"/>
      <c r="R894" s="216"/>
      <c r="S894" s="216"/>
      <c r="T894" s="216"/>
      <c r="U894" s="216"/>
      <c r="V894" s="765"/>
      <c r="W894" s="765"/>
      <c r="X894" s="765"/>
      <c r="Y894" s="109"/>
      <c r="Z894" s="109"/>
      <c r="AA894" s="109"/>
      <c r="AB894" s="109"/>
      <c r="AC894" s="109"/>
      <c r="AD894" s="109"/>
      <c r="AE894" s="109"/>
      <c r="AF894" s="109"/>
      <c r="AG894" s="109"/>
      <c r="AT894" s="765"/>
    </row>
    <row r="895" spans="1:46" x14ac:dyDescent="0.25">
      <c r="A895" s="765"/>
      <c r="B895" s="108"/>
      <c r="C895" s="765"/>
      <c r="D895" s="765"/>
      <c r="E895" s="765"/>
      <c r="F895" s="765"/>
      <c r="G895" s="765"/>
      <c r="H895" s="765"/>
      <c r="I895" s="765"/>
      <c r="J895" s="765"/>
      <c r="K895" s="765"/>
      <c r="L895" s="765"/>
      <c r="M895" s="765"/>
      <c r="N895" s="765"/>
      <c r="O895" s="765"/>
      <c r="P895" s="115"/>
      <c r="Q895" s="765"/>
      <c r="R895" s="216"/>
      <c r="S895" s="216"/>
      <c r="T895" s="216"/>
      <c r="U895" s="216"/>
      <c r="V895" s="765"/>
      <c r="W895" s="765"/>
      <c r="X895" s="765"/>
      <c r="Y895" s="109"/>
      <c r="Z895" s="109"/>
      <c r="AA895" s="109"/>
      <c r="AB895" s="109"/>
      <c r="AC895" s="109"/>
      <c r="AD895" s="109"/>
      <c r="AE895" s="109"/>
      <c r="AF895" s="109"/>
      <c r="AG895" s="109"/>
      <c r="AT895" s="765"/>
    </row>
    <row r="896" spans="1:46" x14ac:dyDescent="0.25">
      <c r="A896" s="765"/>
      <c r="B896" s="108"/>
      <c r="C896" s="765"/>
      <c r="D896" s="765"/>
      <c r="E896" s="765"/>
      <c r="F896" s="765"/>
      <c r="G896" s="765"/>
      <c r="H896" s="765"/>
      <c r="I896" s="765"/>
      <c r="J896" s="765"/>
      <c r="K896" s="765"/>
      <c r="L896" s="765"/>
      <c r="M896" s="765"/>
      <c r="N896" s="765"/>
      <c r="O896" s="765"/>
      <c r="P896" s="115"/>
      <c r="Q896" s="765"/>
      <c r="R896" s="216"/>
      <c r="S896" s="216"/>
      <c r="T896" s="216"/>
      <c r="U896" s="216"/>
      <c r="V896" s="765"/>
      <c r="W896" s="765"/>
      <c r="X896" s="765"/>
      <c r="Y896" s="109"/>
      <c r="Z896" s="109"/>
      <c r="AA896" s="109"/>
      <c r="AB896" s="109"/>
      <c r="AC896" s="109"/>
      <c r="AD896" s="109"/>
      <c r="AE896" s="109"/>
      <c r="AF896" s="109"/>
      <c r="AG896" s="109"/>
      <c r="AT896" s="765"/>
    </row>
    <row r="897" spans="1:46" x14ac:dyDescent="0.25">
      <c r="A897" s="765"/>
      <c r="B897" s="108"/>
      <c r="C897" s="765"/>
      <c r="D897" s="765"/>
      <c r="E897" s="765"/>
      <c r="F897" s="765"/>
      <c r="G897" s="765"/>
      <c r="H897" s="765"/>
      <c r="I897" s="765"/>
      <c r="J897" s="765"/>
      <c r="K897" s="765"/>
      <c r="L897" s="765"/>
      <c r="M897" s="765"/>
      <c r="N897" s="765"/>
      <c r="O897" s="765"/>
      <c r="P897" s="115"/>
      <c r="Q897" s="765"/>
      <c r="R897" s="216"/>
      <c r="S897" s="216"/>
      <c r="T897" s="216"/>
      <c r="U897" s="216"/>
      <c r="V897" s="765"/>
      <c r="W897" s="765"/>
      <c r="X897" s="765"/>
      <c r="Y897" s="109"/>
      <c r="Z897" s="109"/>
      <c r="AA897" s="109"/>
      <c r="AB897" s="109"/>
      <c r="AC897" s="109"/>
      <c r="AD897" s="109"/>
      <c r="AE897" s="109"/>
      <c r="AF897" s="109"/>
      <c r="AG897" s="109"/>
      <c r="AT897" s="765"/>
    </row>
    <row r="898" spans="1:46" x14ac:dyDescent="0.25">
      <c r="A898" s="765"/>
      <c r="B898" s="108"/>
      <c r="C898" s="765"/>
      <c r="D898" s="765"/>
      <c r="E898" s="765"/>
      <c r="F898" s="765"/>
      <c r="G898" s="765"/>
      <c r="H898" s="765"/>
      <c r="I898" s="765"/>
      <c r="J898" s="765"/>
      <c r="K898" s="765"/>
      <c r="L898" s="765"/>
      <c r="M898" s="765"/>
      <c r="N898" s="765"/>
      <c r="O898" s="765"/>
      <c r="P898" s="115"/>
      <c r="Q898" s="765"/>
      <c r="R898" s="216"/>
      <c r="S898" s="216"/>
      <c r="T898" s="216"/>
      <c r="U898" s="216"/>
      <c r="V898" s="765"/>
      <c r="W898" s="765"/>
      <c r="X898" s="765"/>
      <c r="Y898" s="109"/>
      <c r="Z898" s="109"/>
      <c r="AA898" s="109"/>
      <c r="AB898" s="109"/>
      <c r="AC898" s="109"/>
      <c r="AD898" s="109"/>
      <c r="AE898" s="109"/>
      <c r="AF898" s="109"/>
      <c r="AG898" s="109"/>
      <c r="AT898" s="765"/>
    </row>
    <row r="899" spans="1:46" x14ac:dyDescent="0.25">
      <c r="A899" s="765"/>
      <c r="B899" s="108"/>
      <c r="C899" s="765"/>
      <c r="D899" s="765"/>
      <c r="E899" s="765"/>
      <c r="F899" s="765"/>
      <c r="G899" s="765"/>
      <c r="H899" s="765"/>
      <c r="I899" s="765"/>
      <c r="J899" s="765"/>
      <c r="K899" s="765"/>
      <c r="L899" s="765"/>
      <c r="M899" s="765"/>
      <c r="N899" s="765"/>
      <c r="O899" s="765"/>
      <c r="P899" s="115"/>
      <c r="Q899" s="765"/>
      <c r="R899" s="216"/>
      <c r="S899" s="216"/>
      <c r="T899" s="216"/>
      <c r="U899" s="216"/>
      <c r="V899" s="765"/>
      <c r="W899" s="765"/>
      <c r="X899" s="765"/>
      <c r="Y899" s="109"/>
      <c r="Z899" s="109"/>
      <c r="AA899" s="109"/>
      <c r="AB899" s="109"/>
      <c r="AC899" s="109"/>
      <c r="AD899" s="109"/>
      <c r="AE899" s="109"/>
      <c r="AF899" s="109"/>
      <c r="AG899" s="109"/>
      <c r="AT899" s="765"/>
    </row>
    <row r="900" spans="1:46" x14ac:dyDescent="0.25">
      <c r="A900" s="765"/>
      <c r="B900" s="765"/>
      <c r="C900" s="765"/>
      <c r="D900" s="765"/>
      <c r="E900" s="765"/>
      <c r="F900" s="765"/>
      <c r="G900" s="765"/>
      <c r="H900" s="765"/>
      <c r="I900" s="765"/>
      <c r="J900" s="765"/>
      <c r="K900" s="765"/>
      <c r="L900" s="765"/>
      <c r="M900" s="765"/>
      <c r="N900" s="765"/>
      <c r="O900" s="765"/>
      <c r="P900" s="115"/>
      <c r="Q900" s="765"/>
      <c r="R900" s="216"/>
      <c r="S900" s="216"/>
      <c r="T900" s="216"/>
      <c r="U900" s="216"/>
      <c r="V900" s="765"/>
      <c r="W900" s="765"/>
      <c r="X900" s="765"/>
      <c r="Y900" s="109"/>
      <c r="Z900" s="109"/>
      <c r="AA900" s="109"/>
      <c r="AB900" s="109"/>
      <c r="AC900" s="109"/>
      <c r="AD900" s="109"/>
      <c r="AE900" s="109"/>
      <c r="AF900" s="109"/>
      <c r="AG900" s="109"/>
      <c r="AT900" s="765"/>
    </row>
    <row r="901" spans="1:46" x14ac:dyDescent="0.25">
      <c r="A901" s="765"/>
      <c r="B901" s="765"/>
      <c r="C901" s="765"/>
      <c r="D901" s="765"/>
      <c r="E901" s="765"/>
      <c r="F901" s="765"/>
      <c r="G901" s="765"/>
      <c r="H901" s="765"/>
      <c r="I901" s="765"/>
      <c r="J901" s="765"/>
      <c r="K901" s="765"/>
      <c r="L901" s="765"/>
      <c r="M901" s="765"/>
      <c r="N901" s="765"/>
      <c r="O901" s="765"/>
      <c r="P901" s="115"/>
      <c r="Q901" s="765"/>
      <c r="R901" s="216"/>
      <c r="S901" s="216"/>
      <c r="T901" s="216"/>
      <c r="U901" s="216"/>
      <c r="V901" s="765"/>
      <c r="W901" s="765"/>
      <c r="X901" s="765"/>
      <c r="Y901" s="109"/>
      <c r="Z901" s="109"/>
      <c r="AA901" s="109"/>
      <c r="AB901" s="109"/>
      <c r="AC901" s="109"/>
      <c r="AD901" s="109"/>
      <c r="AE901" s="109"/>
      <c r="AF901" s="109"/>
      <c r="AG901" s="109"/>
      <c r="AT901" s="765"/>
    </row>
    <row r="902" spans="1:46" x14ac:dyDescent="0.25">
      <c r="A902" s="765"/>
      <c r="B902" s="765"/>
      <c r="C902" s="765"/>
      <c r="D902" s="765"/>
      <c r="E902" s="765"/>
      <c r="F902" s="765"/>
      <c r="G902" s="765"/>
      <c r="H902" s="765"/>
      <c r="I902" s="765"/>
      <c r="J902" s="765"/>
      <c r="K902" s="765"/>
      <c r="L902" s="765"/>
      <c r="M902" s="765"/>
      <c r="N902" s="765"/>
      <c r="O902" s="765"/>
      <c r="P902" s="115"/>
      <c r="Q902" s="765"/>
      <c r="R902" s="216"/>
      <c r="S902" s="216"/>
      <c r="T902" s="216"/>
      <c r="U902" s="216"/>
      <c r="V902" s="765"/>
      <c r="W902" s="765"/>
      <c r="X902" s="765"/>
      <c r="Y902" s="109"/>
      <c r="Z902" s="109"/>
      <c r="AA902" s="109"/>
      <c r="AB902" s="109"/>
      <c r="AC902" s="109"/>
      <c r="AD902" s="109"/>
      <c r="AE902" s="109"/>
      <c r="AF902" s="109"/>
      <c r="AG902" s="109"/>
      <c r="AT902" s="765"/>
    </row>
    <row r="903" spans="1:46" x14ac:dyDescent="0.25">
      <c r="A903" s="765"/>
      <c r="B903" s="765"/>
      <c r="C903" s="765"/>
      <c r="D903" s="765"/>
      <c r="E903" s="765"/>
      <c r="F903" s="765"/>
      <c r="G903" s="765"/>
      <c r="H903" s="765"/>
      <c r="I903" s="765"/>
      <c r="J903" s="765"/>
      <c r="K903" s="765"/>
      <c r="L903" s="765"/>
      <c r="M903" s="765"/>
      <c r="N903" s="765"/>
      <c r="O903" s="765"/>
      <c r="P903" s="115"/>
      <c r="Q903" s="765"/>
      <c r="R903" s="216"/>
      <c r="S903" s="216"/>
      <c r="T903" s="216"/>
      <c r="U903" s="216"/>
      <c r="V903" s="765"/>
      <c r="W903" s="765"/>
      <c r="X903" s="765"/>
      <c r="Y903" s="109"/>
      <c r="Z903" s="109"/>
      <c r="AA903" s="109"/>
      <c r="AB903" s="109"/>
      <c r="AC903" s="109"/>
      <c r="AD903" s="109"/>
      <c r="AE903" s="109"/>
      <c r="AF903" s="109"/>
      <c r="AG903" s="109"/>
      <c r="AT903" s="765"/>
    </row>
    <row r="904" spans="1:46" x14ac:dyDescent="0.25">
      <c r="A904" s="765"/>
      <c r="B904" s="765"/>
      <c r="C904" s="765"/>
      <c r="D904" s="765"/>
      <c r="E904" s="765"/>
      <c r="F904" s="765"/>
      <c r="G904" s="765"/>
      <c r="H904" s="765"/>
      <c r="I904" s="765"/>
      <c r="J904" s="765"/>
      <c r="K904" s="765"/>
      <c r="L904" s="765"/>
      <c r="M904" s="765"/>
      <c r="N904" s="765"/>
      <c r="O904" s="765"/>
      <c r="P904" s="115"/>
      <c r="Q904" s="765"/>
      <c r="R904" s="216"/>
      <c r="S904" s="216"/>
      <c r="T904" s="216"/>
      <c r="U904" s="216"/>
      <c r="V904" s="765"/>
      <c r="W904" s="765"/>
      <c r="X904" s="765"/>
      <c r="Y904" s="109"/>
      <c r="Z904" s="109"/>
      <c r="AA904" s="109"/>
      <c r="AB904" s="109"/>
      <c r="AC904" s="109"/>
      <c r="AD904" s="109"/>
      <c r="AE904" s="109"/>
      <c r="AF904" s="109"/>
      <c r="AG904" s="109"/>
      <c r="AT904" s="765"/>
    </row>
    <row r="905" spans="1:46" x14ac:dyDescent="0.25">
      <c r="A905" s="765"/>
      <c r="B905" s="765"/>
      <c r="C905" s="765"/>
      <c r="D905" s="765"/>
      <c r="E905" s="765"/>
      <c r="F905" s="765"/>
      <c r="G905" s="765"/>
      <c r="H905" s="765"/>
      <c r="I905" s="765"/>
      <c r="J905" s="765"/>
      <c r="K905" s="765"/>
      <c r="L905" s="765"/>
      <c r="M905" s="765"/>
      <c r="N905" s="765"/>
      <c r="O905" s="765"/>
      <c r="P905" s="115"/>
      <c r="Q905" s="765"/>
      <c r="R905" s="216"/>
      <c r="S905" s="216"/>
      <c r="T905" s="216"/>
      <c r="U905" s="216"/>
      <c r="V905" s="765"/>
      <c r="W905" s="765"/>
      <c r="X905" s="765"/>
      <c r="Y905" s="109"/>
      <c r="Z905" s="109"/>
      <c r="AA905" s="109"/>
      <c r="AB905" s="109"/>
      <c r="AC905" s="109"/>
      <c r="AD905" s="109"/>
      <c r="AE905" s="109"/>
      <c r="AF905" s="109"/>
      <c r="AG905" s="109"/>
      <c r="AT905" s="765"/>
    </row>
    <row r="906" spans="1:46" x14ac:dyDescent="0.25">
      <c r="A906" s="765"/>
      <c r="B906" s="765"/>
      <c r="C906" s="765"/>
      <c r="D906" s="765"/>
      <c r="E906" s="765"/>
      <c r="F906" s="765"/>
      <c r="G906" s="765"/>
      <c r="H906" s="765"/>
      <c r="I906" s="765"/>
      <c r="J906" s="765"/>
      <c r="K906" s="765"/>
      <c r="L906" s="765"/>
      <c r="M906" s="765"/>
      <c r="N906" s="765"/>
      <c r="O906" s="765"/>
      <c r="P906" s="115"/>
      <c r="Q906" s="765"/>
      <c r="R906" s="216"/>
      <c r="S906" s="216"/>
      <c r="T906" s="216"/>
      <c r="U906" s="216"/>
      <c r="V906" s="765"/>
      <c r="W906" s="765"/>
      <c r="X906" s="765"/>
      <c r="Y906" s="109"/>
      <c r="Z906" s="109"/>
      <c r="AA906" s="109"/>
      <c r="AB906" s="109"/>
      <c r="AC906" s="109"/>
      <c r="AD906" s="109"/>
      <c r="AE906" s="109"/>
      <c r="AF906" s="109"/>
      <c r="AG906" s="109"/>
      <c r="AT906" s="765"/>
    </row>
    <row r="907" spans="1:46" x14ac:dyDescent="0.25">
      <c r="A907" s="765"/>
      <c r="B907" s="765"/>
      <c r="C907" s="765"/>
      <c r="D907" s="765"/>
      <c r="E907" s="765"/>
      <c r="F907" s="765"/>
      <c r="G907" s="765"/>
      <c r="H907" s="765"/>
      <c r="I907" s="765"/>
      <c r="J907" s="765"/>
      <c r="K907" s="765"/>
      <c r="L907" s="765"/>
      <c r="M907" s="765"/>
      <c r="N907" s="765"/>
      <c r="O907" s="765"/>
      <c r="P907" s="115"/>
      <c r="Q907" s="765"/>
      <c r="R907" s="216"/>
      <c r="S907" s="216"/>
      <c r="T907" s="216"/>
      <c r="U907" s="216"/>
      <c r="V907" s="765"/>
      <c r="W907" s="765"/>
      <c r="X907" s="765"/>
      <c r="Y907" s="109"/>
      <c r="Z907" s="109"/>
      <c r="AA907" s="109"/>
      <c r="AB907" s="109"/>
      <c r="AC907" s="109"/>
      <c r="AD907" s="109"/>
      <c r="AE907" s="109"/>
      <c r="AF907" s="109"/>
      <c r="AG907" s="109"/>
      <c r="AT907" s="765"/>
    </row>
    <row r="908" spans="1:46" x14ac:dyDescent="0.25">
      <c r="A908" s="765"/>
      <c r="B908" s="765"/>
      <c r="C908" s="765"/>
      <c r="D908" s="765"/>
      <c r="E908" s="765"/>
      <c r="F908" s="765"/>
      <c r="G908" s="765"/>
      <c r="H908" s="765"/>
      <c r="I908" s="765"/>
      <c r="J908" s="765"/>
      <c r="K908" s="765"/>
      <c r="L908" s="765"/>
      <c r="M908" s="765"/>
      <c r="N908" s="765"/>
      <c r="O908" s="765"/>
      <c r="P908" s="115"/>
      <c r="Q908" s="765"/>
      <c r="R908" s="216"/>
      <c r="S908" s="216"/>
      <c r="T908" s="216"/>
      <c r="U908" s="216"/>
      <c r="V908" s="765"/>
      <c r="W908" s="765"/>
      <c r="X908" s="765"/>
      <c r="Y908" s="109"/>
      <c r="Z908" s="109"/>
      <c r="AA908" s="109"/>
      <c r="AB908" s="109"/>
      <c r="AC908" s="109"/>
      <c r="AD908" s="109"/>
      <c r="AE908" s="109"/>
      <c r="AF908" s="109"/>
      <c r="AG908" s="109"/>
      <c r="AT908" s="765"/>
    </row>
    <row r="909" spans="1:46" x14ac:dyDescent="0.25">
      <c r="A909" s="765"/>
      <c r="B909" s="765"/>
      <c r="C909" s="765"/>
      <c r="D909" s="765"/>
      <c r="E909" s="765"/>
      <c r="F909" s="765"/>
      <c r="G909" s="765"/>
      <c r="H909" s="765"/>
      <c r="I909" s="765"/>
      <c r="J909" s="765"/>
      <c r="K909" s="765"/>
      <c r="L909" s="765"/>
      <c r="M909" s="765"/>
      <c r="N909" s="765"/>
      <c r="O909" s="765"/>
      <c r="P909" s="115"/>
      <c r="Q909" s="765"/>
      <c r="R909" s="216"/>
      <c r="S909" s="216"/>
      <c r="T909" s="216"/>
      <c r="U909" s="216"/>
      <c r="V909" s="765"/>
      <c r="W909" s="765"/>
      <c r="X909" s="765"/>
      <c r="Y909" s="109"/>
      <c r="Z909" s="109"/>
      <c r="AA909" s="109"/>
      <c r="AB909" s="109"/>
      <c r="AC909" s="109"/>
      <c r="AD909" s="109"/>
      <c r="AE909" s="109"/>
      <c r="AF909" s="109"/>
      <c r="AG909" s="109"/>
      <c r="AT909" s="765"/>
    </row>
    <row r="910" spans="1:46" x14ac:dyDescent="0.25">
      <c r="A910" s="765"/>
      <c r="B910" s="765"/>
      <c r="C910" s="765"/>
      <c r="D910" s="765"/>
      <c r="E910" s="765"/>
      <c r="F910" s="765"/>
      <c r="G910" s="765"/>
      <c r="H910" s="765"/>
      <c r="I910" s="765"/>
      <c r="J910" s="765"/>
      <c r="K910" s="765"/>
      <c r="L910" s="765"/>
      <c r="M910" s="765"/>
      <c r="N910" s="765"/>
      <c r="O910" s="765"/>
      <c r="P910" s="115"/>
      <c r="Q910" s="765"/>
      <c r="R910" s="216"/>
      <c r="S910" s="216"/>
      <c r="T910" s="216"/>
      <c r="U910" s="216"/>
      <c r="V910" s="765"/>
      <c r="W910" s="765"/>
      <c r="X910" s="765"/>
      <c r="Y910" s="109"/>
      <c r="Z910" s="109"/>
      <c r="AA910" s="109"/>
      <c r="AB910" s="109"/>
      <c r="AC910" s="109"/>
      <c r="AD910" s="109"/>
      <c r="AE910" s="109"/>
      <c r="AF910" s="109"/>
      <c r="AG910" s="109"/>
      <c r="AT910" s="765"/>
    </row>
    <row r="911" spans="1:46" x14ac:dyDescent="0.25">
      <c r="A911" s="765"/>
      <c r="B911" s="765"/>
      <c r="C911" s="765"/>
      <c r="D911" s="765"/>
      <c r="E911" s="765"/>
      <c r="F911" s="765"/>
      <c r="G911" s="765"/>
      <c r="H911" s="765"/>
      <c r="I911" s="765"/>
      <c r="J911" s="765"/>
      <c r="K911" s="765"/>
      <c r="L911" s="765"/>
      <c r="M911" s="765"/>
      <c r="N911" s="765"/>
      <c r="O911" s="765"/>
      <c r="P911" s="115"/>
      <c r="Q911" s="765"/>
      <c r="R911" s="216"/>
      <c r="S911" s="216"/>
      <c r="T911" s="216"/>
      <c r="U911" s="216"/>
      <c r="V911" s="765"/>
      <c r="W911" s="765"/>
      <c r="X911" s="765"/>
      <c r="Y911" s="109"/>
      <c r="Z911" s="109"/>
      <c r="AA911" s="109"/>
      <c r="AB911" s="109"/>
      <c r="AC911" s="109"/>
      <c r="AD911" s="109"/>
      <c r="AE911" s="109"/>
      <c r="AF911" s="109"/>
      <c r="AG911" s="109"/>
      <c r="AT911" s="765"/>
    </row>
    <row r="912" spans="1:46" x14ac:dyDescent="0.25">
      <c r="A912" s="765"/>
      <c r="B912" s="765"/>
      <c r="C912" s="765"/>
      <c r="D912" s="765"/>
      <c r="E912" s="765"/>
      <c r="F912" s="765"/>
      <c r="G912" s="765"/>
      <c r="H912" s="765"/>
      <c r="I912" s="765"/>
      <c r="J912" s="765"/>
      <c r="K912" s="765"/>
      <c r="L912" s="765"/>
      <c r="M912" s="765"/>
      <c r="N912" s="765"/>
      <c r="O912" s="765"/>
      <c r="P912" s="115"/>
      <c r="Q912" s="765"/>
      <c r="R912" s="216"/>
      <c r="S912" s="216"/>
      <c r="T912" s="216"/>
      <c r="U912" s="216"/>
      <c r="V912" s="765"/>
      <c r="W912" s="765"/>
      <c r="X912" s="765"/>
      <c r="Y912" s="109"/>
      <c r="Z912" s="109"/>
      <c r="AA912" s="109"/>
      <c r="AB912" s="109"/>
      <c r="AC912" s="109"/>
      <c r="AD912" s="109"/>
      <c r="AE912" s="109"/>
      <c r="AF912" s="109"/>
      <c r="AG912" s="109"/>
      <c r="AT912" s="765"/>
    </row>
    <row r="913" spans="1:46" x14ac:dyDescent="0.25">
      <c r="A913" s="765"/>
      <c r="B913" s="765"/>
      <c r="C913" s="765"/>
      <c r="D913" s="765"/>
      <c r="E913" s="765"/>
      <c r="F913" s="765"/>
      <c r="G913" s="765"/>
      <c r="H913" s="765"/>
      <c r="I913" s="765"/>
      <c r="J913" s="765"/>
      <c r="K913" s="765"/>
      <c r="L913" s="765"/>
      <c r="M913" s="765"/>
      <c r="N913" s="765"/>
      <c r="O913" s="765"/>
      <c r="P913" s="115"/>
      <c r="Q913" s="765"/>
      <c r="R913" s="216"/>
      <c r="S913" s="216"/>
      <c r="T913" s="216"/>
      <c r="U913" s="216"/>
      <c r="V913" s="765"/>
      <c r="W913" s="765"/>
      <c r="X913" s="765"/>
      <c r="Y913" s="109"/>
      <c r="Z913" s="109"/>
      <c r="AA913" s="109"/>
      <c r="AB913" s="109"/>
      <c r="AC913" s="109"/>
      <c r="AD913" s="109"/>
      <c r="AE913" s="109"/>
      <c r="AF913" s="109"/>
      <c r="AG913" s="109"/>
      <c r="AT913" s="765"/>
    </row>
    <row r="914" spans="1:46" x14ac:dyDescent="0.25">
      <c r="A914" s="765"/>
      <c r="B914" s="765"/>
      <c r="C914" s="765"/>
      <c r="D914" s="765"/>
      <c r="E914" s="765"/>
      <c r="F914" s="765"/>
      <c r="G914" s="765"/>
      <c r="H914" s="765"/>
      <c r="I914" s="765"/>
      <c r="J914" s="765"/>
      <c r="K914" s="765"/>
      <c r="L914" s="765"/>
      <c r="M914" s="765"/>
      <c r="N914" s="765"/>
      <c r="O914" s="765"/>
      <c r="P914" s="115"/>
      <c r="Q914" s="765"/>
      <c r="R914" s="216"/>
      <c r="S914" s="216"/>
      <c r="T914" s="216"/>
      <c r="U914" s="216"/>
      <c r="V914" s="765"/>
      <c r="W914" s="765"/>
      <c r="X914" s="765"/>
      <c r="Y914" s="109"/>
      <c r="Z914" s="109"/>
      <c r="AA914" s="109"/>
      <c r="AB914" s="109"/>
      <c r="AC914" s="109"/>
      <c r="AD914" s="109"/>
      <c r="AE914" s="109"/>
      <c r="AF914" s="109"/>
      <c r="AG914" s="109"/>
      <c r="AT914" s="765"/>
    </row>
    <row r="915" spans="1:46" x14ac:dyDescent="0.25">
      <c r="A915" s="765"/>
      <c r="B915" s="765"/>
      <c r="C915" s="765"/>
      <c r="D915" s="765"/>
      <c r="E915" s="765"/>
      <c r="F915" s="765"/>
      <c r="G915" s="765"/>
      <c r="H915" s="765"/>
      <c r="I915" s="765"/>
      <c r="J915" s="765"/>
      <c r="K915" s="765"/>
      <c r="L915" s="765"/>
      <c r="M915" s="765"/>
      <c r="N915" s="765"/>
      <c r="O915" s="765"/>
      <c r="P915" s="115"/>
      <c r="Q915" s="765"/>
      <c r="R915" s="216"/>
      <c r="S915" s="216"/>
      <c r="T915" s="216"/>
      <c r="U915" s="216"/>
      <c r="V915" s="765"/>
      <c r="W915" s="765"/>
      <c r="X915" s="765"/>
      <c r="Y915" s="109"/>
      <c r="Z915" s="109"/>
      <c r="AA915" s="109"/>
      <c r="AB915" s="109"/>
      <c r="AC915" s="109"/>
      <c r="AD915" s="109"/>
      <c r="AE915" s="109"/>
      <c r="AF915" s="109"/>
      <c r="AG915" s="109"/>
      <c r="AT915" s="765"/>
    </row>
    <row r="916" spans="1:46" x14ac:dyDescent="0.25">
      <c r="A916" s="765"/>
      <c r="B916" s="765"/>
      <c r="C916" s="765"/>
      <c r="D916" s="765"/>
      <c r="E916" s="765"/>
      <c r="F916" s="765"/>
      <c r="G916" s="765"/>
      <c r="H916" s="765"/>
      <c r="I916" s="765"/>
      <c r="J916" s="765"/>
      <c r="K916" s="765"/>
      <c r="L916" s="765"/>
      <c r="M916" s="765"/>
      <c r="N916" s="765"/>
      <c r="O916" s="765"/>
      <c r="P916" s="765"/>
      <c r="Q916" s="765"/>
      <c r="R916" s="765"/>
      <c r="S916" s="765"/>
      <c r="T916" s="765"/>
      <c r="U916" s="765"/>
      <c r="V916" s="765"/>
      <c r="W916" s="765"/>
      <c r="X916" s="765"/>
      <c r="Y916" s="109"/>
      <c r="Z916" s="109"/>
      <c r="AA916" s="109"/>
      <c r="AB916" s="109"/>
      <c r="AC916" s="109"/>
      <c r="AD916" s="109"/>
      <c r="AE916" s="109"/>
      <c r="AF916" s="109"/>
      <c r="AG916" s="109"/>
      <c r="AT916" s="765"/>
    </row>
    <row r="917" spans="1:46" x14ac:dyDescent="0.25">
      <c r="A917" s="765"/>
      <c r="B917" s="765"/>
      <c r="C917" s="765"/>
      <c r="D917" s="765"/>
      <c r="E917" s="765"/>
      <c r="F917" s="765"/>
      <c r="G917" s="765"/>
      <c r="H917" s="765"/>
      <c r="I917" s="765"/>
      <c r="J917" s="765"/>
      <c r="K917" s="765"/>
      <c r="L917" s="765"/>
      <c r="M917" s="765"/>
      <c r="N917" s="765"/>
      <c r="O917" s="765"/>
      <c r="P917" s="765"/>
      <c r="Q917" s="765"/>
      <c r="R917" s="765"/>
      <c r="S917" s="765"/>
      <c r="T917" s="765"/>
      <c r="U917" s="765"/>
      <c r="V917" s="765"/>
      <c r="W917" s="765"/>
      <c r="X917" s="765"/>
      <c r="Y917" s="109"/>
      <c r="Z917" s="109"/>
      <c r="AA917" s="109"/>
      <c r="AB917" s="109"/>
      <c r="AC917" s="109"/>
      <c r="AD917" s="109"/>
      <c r="AE917" s="109"/>
      <c r="AF917" s="109"/>
      <c r="AG917" s="109"/>
    </row>
    <row r="918" spans="1:46" x14ac:dyDescent="0.25">
      <c r="A918" s="765"/>
      <c r="B918" s="765"/>
      <c r="C918" s="765"/>
      <c r="D918" s="765"/>
      <c r="E918" s="765"/>
      <c r="F918" s="765"/>
      <c r="G918" s="765"/>
      <c r="H918" s="765"/>
      <c r="I918" s="765"/>
      <c r="J918" s="765"/>
      <c r="K918" s="765"/>
      <c r="L918" s="765"/>
      <c r="M918" s="765"/>
      <c r="N918" s="765"/>
      <c r="O918" s="765"/>
      <c r="P918" s="765"/>
      <c r="Q918" s="765"/>
      <c r="R918" s="765"/>
      <c r="S918" s="765"/>
      <c r="T918" s="765"/>
      <c r="U918" s="765"/>
      <c r="V918" s="765"/>
      <c r="W918" s="765"/>
      <c r="X918" s="765"/>
      <c r="Y918" s="109"/>
      <c r="Z918" s="109"/>
      <c r="AA918" s="109"/>
      <c r="AB918" s="109"/>
      <c r="AC918" s="109"/>
      <c r="AD918" s="109"/>
      <c r="AE918" s="109"/>
      <c r="AF918" s="109"/>
      <c r="AG918" s="109"/>
    </row>
    <row r="919" spans="1:46" x14ac:dyDescent="0.25">
      <c r="A919" s="765"/>
      <c r="B919" s="765"/>
      <c r="C919" s="765"/>
      <c r="D919" s="765"/>
      <c r="E919" s="765"/>
      <c r="F919" s="765"/>
      <c r="G919" s="765"/>
      <c r="H919" s="765"/>
      <c r="I919" s="765"/>
      <c r="J919" s="765"/>
      <c r="K919" s="765"/>
      <c r="L919" s="765"/>
      <c r="M919" s="765"/>
      <c r="N919" s="765"/>
      <c r="O919" s="765"/>
      <c r="P919" s="765"/>
      <c r="Q919" s="765"/>
      <c r="R919" s="765"/>
      <c r="S919" s="765"/>
      <c r="T919" s="765"/>
      <c r="U919" s="765"/>
      <c r="V919" s="765"/>
      <c r="W919" s="765"/>
      <c r="X919" s="765"/>
      <c r="Y919" s="109"/>
      <c r="Z919" s="109"/>
      <c r="AA919" s="109"/>
      <c r="AB919" s="109"/>
      <c r="AC919" s="109"/>
      <c r="AD919" s="109"/>
      <c r="AE919" s="109"/>
      <c r="AF919" s="109"/>
      <c r="AG919" s="109"/>
    </row>
    <row r="920" spans="1:46" x14ac:dyDescent="0.25">
      <c r="A920" s="765"/>
      <c r="B920" s="765"/>
      <c r="C920" s="765"/>
      <c r="D920" s="765"/>
      <c r="E920" s="765"/>
      <c r="F920" s="765"/>
      <c r="G920" s="765"/>
      <c r="H920" s="765"/>
      <c r="I920" s="765"/>
      <c r="J920" s="765"/>
      <c r="K920" s="765"/>
      <c r="L920" s="765"/>
      <c r="M920" s="765"/>
      <c r="N920" s="765"/>
      <c r="O920" s="765"/>
      <c r="P920" s="765"/>
      <c r="Q920" s="765"/>
      <c r="R920" s="765"/>
      <c r="S920" s="765"/>
      <c r="T920" s="765"/>
      <c r="U920" s="765"/>
      <c r="V920" s="765"/>
      <c r="W920" s="765"/>
      <c r="X920" s="765"/>
      <c r="Y920" s="109"/>
      <c r="Z920" s="109"/>
      <c r="AA920" s="109"/>
      <c r="AB920" s="109"/>
      <c r="AC920" s="109"/>
      <c r="AD920" s="109"/>
      <c r="AE920" s="109"/>
      <c r="AF920" s="109"/>
      <c r="AG920" s="109"/>
    </row>
    <row r="921" spans="1:46" x14ac:dyDescent="0.25">
      <c r="A921" s="765"/>
      <c r="B921" s="765"/>
      <c r="C921" s="765"/>
      <c r="D921" s="765"/>
      <c r="E921" s="765"/>
      <c r="F921" s="765"/>
      <c r="G921" s="765"/>
      <c r="H921" s="765"/>
      <c r="I921" s="765"/>
      <c r="J921" s="765"/>
      <c r="K921" s="765"/>
      <c r="L921" s="765"/>
      <c r="M921" s="765"/>
      <c r="N921" s="765"/>
      <c r="O921" s="765"/>
      <c r="P921" s="765"/>
      <c r="Q921" s="765"/>
      <c r="R921" s="765"/>
      <c r="S921" s="765"/>
      <c r="T921" s="765"/>
      <c r="U921" s="765"/>
      <c r="V921" s="765"/>
      <c r="W921" s="765"/>
      <c r="X921" s="765"/>
      <c r="Y921" s="765"/>
      <c r="Z921" s="765"/>
      <c r="AA921" s="765"/>
      <c r="AB921" s="765"/>
      <c r="AC921" s="765"/>
      <c r="AD921" s="765"/>
      <c r="AE921" s="765"/>
      <c r="AF921" s="765"/>
      <c r="AG921" s="765"/>
    </row>
    <row r="922" spans="1:46" x14ac:dyDescent="0.25">
      <c r="A922" s="765"/>
      <c r="B922" s="765"/>
      <c r="C922" s="765"/>
      <c r="D922" s="765"/>
      <c r="E922" s="765"/>
      <c r="F922" s="765"/>
      <c r="G922" s="765"/>
      <c r="H922" s="765"/>
      <c r="I922" s="765"/>
      <c r="J922" s="765"/>
      <c r="K922" s="765"/>
      <c r="L922" s="765"/>
      <c r="M922" s="765"/>
      <c r="N922" s="765"/>
      <c r="O922" s="765"/>
      <c r="P922" s="765"/>
      <c r="Q922" s="765"/>
      <c r="R922" s="765"/>
      <c r="S922" s="765"/>
      <c r="T922" s="765"/>
      <c r="U922" s="765"/>
      <c r="V922" s="765"/>
      <c r="W922" s="765"/>
      <c r="X922" s="765"/>
      <c r="Y922" s="765"/>
      <c r="Z922" s="765"/>
      <c r="AA922" s="765"/>
      <c r="AB922" s="765"/>
      <c r="AC922" s="765"/>
      <c r="AD922" s="765"/>
      <c r="AE922" s="765"/>
      <c r="AF922" s="765"/>
      <c r="AG922" s="765"/>
    </row>
    <row r="923" spans="1:46" x14ac:dyDescent="0.25">
      <c r="A923" s="765"/>
      <c r="B923" s="765"/>
      <c r="C923" s="765"/>
      <c r="D923" s="765"/>
      <c r="E923" s="765"/>
      <c r="F923" s="765"/>
      <c r="G923" s="765"/>
      <c r="H923" s="765"/>
      <c r="I923" s="765"/>
      <c r="J923" s="765"/>
      <c r="K923" s="765"/>
      <c r="L923" s="765"/>
      <c r="M923" s="765"/>
      <c r="N923" s="765"/>
      <c r="O923" s="765"/>
      <c r="P923" s="765"/>
      <c r="Q923" s="765"/>
      <c r="R923" s="765"/>
      <c r="S923" s="765"/>
      <c r="T923" s="765"/>
      <c r="U923" s="765"/>
      <c r="V923" s="765"/>
      <c r="W923" s="765"/>
      <c r="X923" s="765"/>
      <c r="Y923" s="765"/>
      <c r="Z923" s="765"/>
      <c r="AA923" s="765"/>
      <c r="AB923" s="765"/>
      <c r="AC923" s="765"/>
      <c r="AD923" s="765"/>
      <c r="AE923" s="765"/>
      <c r="AF923" s="765"/>
      <c r="AG923" s="765"/>
    </row>
    <row r="924" spans="1:46" x14ac:dyDescent="0.25">
      <c r="A924" s="765"/>
      <c r="B924" s="765"/>
      <c r="C924" s="765"/>
      <c r="D924" s="765"/>
      <c r="E924" s="765"/>
      <c r="F924" s="765"/>
      <c r="G924" s="765"/>
      <c r="H924" s="765"/>
      <c r="I924" s="765"/>
      <c r="J924" s="765"/>
      <c r="K924" s="765"/>
      <c r="L924" s="765"/>
      <c r="M924" s="765"/>
      <c r="N924" s="765"/>
      <c r="O924" s="765"/>
      <c r="P924" s="765"/>
      <c r="Q924" s="765"/>
      <c r="R924" s="765"/>
      <c r="S924" s="765"/>
      <c r="T924" s="765"/>
      <c r="U924" s="765"/>
      <c r="V924" s="765"/>
      <c r="W924" s="765"/>
      <c r="X924" s="765"/>
      <c r="Y924" s="765"/>
      <c r="Z924" s="765"/>
      <c r="AA924" s="765"/>
      <c r="AB924" s="765"/>
      <c r="AC924" s="765"/>
      <c r="AD924" s="765"/>
      <c r="AE924" s="765"/>
      <c r="AF924" s="765"/>
      <c r="AG924" s="765"/>
    </row>
    <row r="925" spans="1:46" x14ac:dyDescent="0.25">
      <c r="A925" s="765"/>
      <c r="B925" s="765"/>
      <c r="C925" s="765"/>
      <c r="D925" s="765"/>
      <c r="E925" s="765"/>
      <c r="F925" s="765"/>
      <c r="G925" s="765"/>
      <c r="H925" s="765"/>
      <c r="I925" s="765"/>
      <c r="J925" s="765"/>
      <c r="K925" s="765"/>
      <c r="L925" s="765"/>
      <c r="M925" s="765"/>
      <c r="N925" s="765"/>
      <c r="O925" s="765"/>
      <c r="P925" s="765"/>
      <c r="Q925" s="765"/>
      <c r="R925" s="765"/>
      <c r="S925" s="765"/>
      <c r="T925" s="765"/>
      <c r="U925" s="765"/>
      <c r="V925" s="765"/>
      <c r="W925" s="765"/>
      <c r="X925" s="765"/>
      <c r="Y925" s="765"/>
      <c r="Z925" s="765"/>
      <c r="AA925" s="765"/>
      <c r="AB925" s="765"/>
      <c r="AC925" s="765"/>
      <c r="AD925" s="765"/>
      <c r="AE925" s="765"/>
      <c r="AF925" s="765"/>
      <c r="AG925" s="765"/>
    </row>
    <row r="926" spans="1:46" x14ac:dyDescent="0.25">
      <c r="A926" s="765"/>
      <c r="B926" s="765"/>
      <c r="C926" s="765"/>
      <c r="D926" s="765"/>
      <c r="E926" s="765"/>
      <c r="F926" s="765"/>
      <c r="G926" s="765"/>
      <c r="H926" s="765"/>
      <c r="I926" s="765"/>
      <c r="J926" s="765"/>
      <c r="K926" s="765"/>
      <c r="L926" s="765"/>
      <c r="M926" s="765"/>
      <c r="N926" s="765"/>
      <c r="O926" s="765"/>
      <c r="P926" s="765"/>
      <c r="Q926" s="765"/>
      <c r="R926" s="765"/>
      <c r="S926" s="765"/>
      <c r="T926" s="765"/>
      <c r="U926" s="765"/>
      <c r="V926" s="765"/>
      <c r="W926" s="765"/>
      <c r="X926" s="765"/>
      <c r="Y926" s="765"/>
      <c r="Z926" s="765"/>
      <c r="AA926" s="765"/>
      <c r="AB926" s="765"/>
      <c r="AC926" s="765"/>
      <c r="AD926" s="765"/>
      <c r="AE926" s="765"/>
      <c r="AF926" s="765"/>
      <c r="AG926" s="765"/>
    </row>
    <row r="927" spans="1:46" x14ac:dyDescent="0.25">
      <c r="A927" s="765"/>
      <c r="B927" s="765"/>
      <c r="C927" s="765"/>
      <c r="D927" s="765"/>
      <c r="E927" s="765"/>
      <c r="F927" s="765"/>
      <c r="G927" s="765"/>
      <c r="H927" s="765"/>
      <c r="I927" s="765"/>
      <c r="J927" s="765"/>
      <c r="K927" s="765"/>
      <c r="L927" s="765"/>
      <c r="M927" s="765"/>
      <c r="N927" s="765"/>
      <c r="O927" s="765"/>
      <c r="P927" s="765"/>
      <c r="Q927" s="765"/>
      <c r="R927" s="765"/>
      <c r="S927" s="765"/>
      <c r="T927" s="765"/>
      <c r="U927" s="765"/>
      <c r="V927" s="765"/>
      <c r="W927" s="765"/>
      <c r="X927" s="765"/>
      <c r="Y927" s="765"/>
      <c r="Z927" s="765"/>
      <c r="AA927" s="765"/>
      <c r="AB927" s="765"/>
      <c r="AC927" s="765"/>
      <c r="AD927" s="765"/>
      <c r="AE927" s="765"/>
      <c r="AF927" s="765"/>
      <c r="AG927" s="765"/>
    </row>
    <row r="928" spans="1:46" x14ac:dyDescent="0.25">
      <c r="A928" s="765"/>
      <c r="B928" s="765"/>
      <c r="C928" s="765"/>
      <c r="D928" s="765"/>
      <c r="E928" s="765"/>
      <c r="F928" s="765"/>
      <c r="G928" s="765"/>
      <c r="H928" s="765"/>
      <c r="I928" s="765"/>
      <c r="J928" s="765"/>
      <c r="K928" s="765"/>
      <c r="L928" s="765"/>
      <c r="M928" s="765"/>
      <c r="N928" s="765"/>
      <c r="O928" s="765"/>
      <c r="P928" s="765"/>
      <c r="Q928" s="765"/>
      <c r="R928" s="765"/>
      <c r="S928" s="765"/>
      <c r="T928" s="765"/>
      <c r="U928" s="765"/>
      <c r="V928" s="765"/>
      <c r="W928" s="765"/>
      <c r="X928" s="765"/>
      <c r="Y928" s="765"/>
      <c r="Z928" s="765"/>
      <c r="AA928" s="765"/>
      <c r="AB928" s="765"/>
      <c r="AC928" s="765"/>
      <c r="AD928" s="765"/>
      <c r="AE928" s="765"/>
      <c r="AF928" s="765"/>
      <c r="AG928" s="765"/>
    </row>
    <row r="929" spans="1:33" x14ac:dyDescent="0.25">
      <c r="A929" s="765"/>
      <c r="B929" s="765"/>
      <c r="C929" s="765"/>
      <c r="D929" s="765"/>
      <c r="E929" s="765"/>
      <c r="F929" s="765"/>
      <c r="G929" s="765"/>
      <c r="H929" s="765"/>
      <c r="I929" s="765"/>
      <c r="J929" s="765"/>
      <c r="K929" s="765"/>
      <c r="L929" s="765"/>
      <c r="M929" s="765"/>
      <c r="N929" s="765"/>
      <c r="O929" s="765"/>
      <c r="P929" s="765"/>
      <c r="Q929" s="765"/>
      <c r="R929" s="765"/>
      <c r="S929" s="765"/>
      <c r="T929" s="765"/>
      <c r="U929" s="765"/>
      <c r="V929" s="765"/>
      <c r="W929" s="765"/>
      <c r="X929" s="765"/>
      <c r="Y929" s="765"/>
      <c r="Z929" s="765"/>
      <c r="AA929" s="765"/>
      <c r="AB929" s="765"/>
      <c r="AC929" s="765"/>
      <c r="AD929" s="765"/>
      <c r="AE929" s="765"/>
      <c r="AF929" s="765"/>
      <c r="AG929" s="765"/>
    </row>
    <row r="930" spans="1:33" x14ac:dyDescent="0.25">
      <c r="A930" s="765"/>
      <c r="B930" s="765"/>
      <c r="C930" s="765"/>
      <c r="D930" s="765"/>
      <c r="E930" s="765"/>
      <c r="F930" s="765"/>
      <c r="G930" s="765"/>
      <c r="H930" s="765"/>
      <c r="I930" s="765"/>
      <c r="J930" s="765"/>
      <c r="K930" s="765"/>
      <c r="L930" s="765"/>
      <c r="M930" s="765"/>
      <c r="N930" s="765"/>
      <c r="O930" s="765"/>
      <c r="P930" s="765"/>
      <c r="Q930" s="765"/>
      <c r="R930" s="765"/>
      <c r="S930" s="765"/>
      <c r="T930" s="765"/>
      <c r="U930" s="765"/>
      <c r="V930" s="765"/>
      <c r="W930" s="765"/>
      <c r="X930" s="765"/>
      <c r="Y930" s="765"/>
      <c r="Z930" s="765"/>
      <c r="AA930" s="765"/>
      <c r="AB930" s="765"/>
      <c r="AC930" s="765"/>
      <c r="AD930" s="765"/>
      <c r="AE930" s="765"/>
      <c r="AF930" s="765"/>
      <c r="AG930" s="765"/>
    </row>
    <row r="931" spans="1:33" x14ac:dyDescent="0.25">
      <c r="A931" s="765"/>
      <c r="B931" s="765"/>
      <c r="C931" s="765"/>
      <c r="D931" s="765"/>
      <c r="E931" s="765"/>
      <c r="F931" s="765"/>
      <c r="G931" s="765"/>
      <c r="H931" s="765"/>
      <c r="I931" s="765"/>
      <c r="J931" s="765"/>
      <c r="K931" s="765"/>
      <c r="L931" s="765"/>
      <c r="M931" s="765"/>
      <c r="N931" s="765"/>
      <c r="O931" s="765"/>
      <c r="P931" s="765"/>
      <c r="Q931" s="765"/>
      <c r="R931" s="765"/>
      <c r="S931" s="765"/>
      <c r="T931" s="765"/>
      <c r="U931" s="765"/>
      <c r="V931" s="765"/>
      <c r="W931" s="765"/>
      <c r="X931" s="765"/>
      <c r="Y931" s="765"/>
      <c r="Z931" s="765"/>
      <c r="AA931" s="765"/>
      <c r="AB931" s="765"/>
      <c r="AC931" s="765"/>
      <c r="AD931" s="765"/>
      <c r="AE931" s="765"/>
      <c r="AF931" s="765"/>
      <c r="AG931" s="765"/>
    </row>
    <row r="932" spans="1:33" x14ac:dyDescent="0.25">
      <c r="A932" s="765"/>
      <c r="B932" s="765"/>
      <c r="C932" s="765"/>
      <c r="D932" s="765"/>
      <c r="E932" s="765"/>
      <c r="F932" s="765"/>
      <c r="G932" s="765"/>
      <c r="H932" s="765"/>
      <c r="I932" s="765"/>
      <c r="J932" s="765"/>
      <c r="K932" s="765"/>
      <c r="L932" s="765"/>
      <c r="M932" s="765"/>
      <c r="N932" s="765"/>
      <c r="O932" s="765"/>
      <c r="P932" s="765"/>
      <c r="Q932" s="765"/>
      <c r="R932" s="765"/>
      <c r="S932" s="765"/>
      <c r="T932" s="765"/>
      <c r="U932" s="765"/>
      <c r="V932" s="765"/>
      <c r="W932" s="765"/>
      <c r="X932" s="765"/>
      <c r="Y932" s="765"/>
      <c r="Z932" s="765"/>
      <c r="AA932" s="765"/>
      <c r="AB932" s="765"/>
      <c r="AC932" s="765"/>
      <c r="AD932" s="765"/>
      <c r="AE932" s="765"/>
      <c r="AF932" s="765"/>
      <c r="AG932" s="765"/>
    </row>
    <row r="933" spans="1:33" x14ac:dyDescent="0.25">
      <c r="A933" s="765"/>
      <c r="B933" s="765"/>
      <c r="C933" s="765"/>
      <c r="D933" s="765"/>
      <c r="E933" s="765"/>
      <c r="F933" s="765"/>
      <c r="G933" s="765"/>
      <c r="H933" s="765"/>
      <c r="I933" s="765"/>
      <c r="J933" s="765"/>
      <c r="K933" s="765"/>
      <c r="L933" s="765"/>
      <c r="M933" s="765"/>
      <c r="N933" s="765"/>
      <c r="O933" s="765"/>
      <c r="P933" s="765"/>
      <c r="Q933" s="765"/>
      <c r="R933" s="765"/>
      <c r="S933" s="765"/>
      <c r="T933" s="765"/>
      <c r="U933" s="765"/>
      <c r="V933" s="765"/>
      <c r="W933" s="765"/>
      <c r="X933" s="765"/>
      <c r="Y933" s="765"/>
      <c r="Z933" s="765"/>
      <c r="AA933" s="765"/>
      <c r="AB933" s="765"/>
      <c r="AC933" s="765"/>
      <c r="AD933" s="765"/>
      <c r="AE933" s="765"/>
      <c r="AF933" s="765"/>
      <c r="AG933" s="765"/>
    </row>
    <row r="934" spans="1:33" x14ac:dyDescent="0.25">
      <c r="A934" s="765"/>
      <c r="B934" s="765"/>
      <c r="C934" s="765"/>
      <c r="D934" s="765"/>
      <c r="E934" s="765"/>
      <c r="F934" s="765"/>
      <c r="G934" s="765"/>
      <c r="H934" s="765"/>
      <c r="I934" s="765"/>
      <c r="J934" s="765"/>
      <c r="K934" s="765"/>
      <c r="L934" s="765"/>
      <c r="M934" s="765"/>
      <c r="N934" s="765"/>
      <c r="O934" s="765"/>
      <c r="P934" s="765"/>
      <c r="Q934" s="765"/>
      <c r="R934" s="765"/>
      <c r="S934" s="765"/>
      <c r="T934" s="765"/>
      <c r="U934" s="765"/>
      <c r="V934" s="765"/>
      <c r="W934" s="765"/>
      <c r="X934" s="765"/>
      <c r="Y934" s="765"/>
      <c r="Z934" s="765"/>
      <c r="AA934" s="765"/>
      <c r="AB934" s="765"/>
      <c r="AC934" s="765"/>
      <c r="AD934" s="765"/>
      <c r="AE934" s="765"/>
      <c r="AF934" s="765"/>
      <c r="AG934" s="765"/>
    </row>
    <row r="935" spans="1:33" x14ac:dyDescent="0.25">
      <c r="A935" s="765"/>
      <c r="B935" s="765"/>
      <c r="C935" s="765"/>
      <c r="D935" s="765"/>
      <c r="E935" s="765"/>
      <c r="F935" s="765"/>
      <c r="G935" s="765"/>
      <c r="H935" s="765"/>
      <c r="I935" s="765"/>
      <c r="J935" s="765"/>
      <c r="K935" s="765"/>
      <c r="L935" s="765"/>
      <c r="M935" s="765"/>
      <c r="N935" s="765"/>
      <c r="O935" s="765"/>
      <c r="P935" s="765"/>
      <c r="Q935" s="765"/>
      <c r="R935" s="765"/>
      <c r="S935" s="765"/>
      <c r="T935" s="765"/>
      <c r="U935" s="765"/>
      <c r="V935" s="765"/>
      <c r="W935" s="765"/>
      <c r="X935" s="765"/>
      <c r="Y935" s="765"/>
      <c r="Z935" s="765"/>
      <c r="AA935" s="765"/>
      <c r="AB935" s="765"/>
      <c r="AC935" s="765"/>
      <c r="AD935" s="765"/>
      <c r="AE935" s="765"/>
      <c r="AF935" s="765"/>
      <c r="AG935" s="765"/>
    </row>
    <row r="936" spans="1:33" x14ac:dyDescent="0.25">
      <c r="A936" s="765"/>
      <c r="B936" s="765"/>
      <c r="C936" s="765"/>
      <c r="D936" s="765"/>
      <c r="E936" s="765"/>
      <c r="F936" s="765"/>
      <c r="G936" s="765"/>
      <c r="H936" s="765"/>
      <c r="I936" s="765"/>
      <c r="J936" s="765"/>
      <c r="K936" s="765"/>
      <c r="L936" s="765"/>
      <c r="M936" s="765"/>
      <c r="N936" s="765"/>
      <c r="O936" s="765"/>
      <c r="P936" s="765"/>
      <c r="Q936" s="765"/>
      <c r="R936" s="765"/>
      <c r="S936" s="765"/>
      <c r="T936" s="765"/>
      <c r="U936" s="765"/>
      <c r="V936" s="765"/>
      <c r="W936" s="765"/>
      <c r="X936" s="765"/>
      <c r="Y936" s="765"/>
      <c r="Z936" s="765"/>
      <c r="AA936" s="765"/>
      <c r="AB936" s="765"/>
      <c r="AC936" s="765"/>
      <c r="AD936" s="765"/>
      <c r="AE936" s="765"/>
      <c r="AF936" s="765"/>
      <c r="AG936" s="765"/>
    </row>
    <row r="937" spans="1:33" x14ac:dyDescent="0.25">
      <c r="A937" s="765"/>
      <c r="B937" s="765"/>
      <c r="C937" s="765"/>
      <c r="D937" s="765"/>
      <c r="E937" s="765"/>
      <c r="F937" s="765"/>
      <c r="G937" s="765"/>
      <c r="H937" s="765"/>
      <c r="I937" s="765"/>
      <c r="J937" s="765"/>
      <c r="K937" s="765"/>
      <c r="L937" s="765"/>
      <c r="M937" s="765"/>
      <c r="N937" s="765"/>
      <c r="O937" s="765"/>
      <c r="P937" s="765"/>
      <c r="Q937" s="765"/>
      <c r="R937" s="765"/>
      <c r="S937" s="765"/>
      <c r="T937" s="765"/>
      <c r="U937" s="765"/>
      <c r="V937" s="765"/>
      <c r="W937" s="765"/>
      <c r="X937" s="765"/>
      <c r="Y937" s="765"/>
      <c r="Z937" s="765"/>
      <c r="AA937" s="765"/>
      <c r="AB937" s="765"/>
      <c r="AC937" s="765"/>
      <c r="AD937" s="765"/>
      <c r="AE937" s="765"/>
      <c r="AF937" s="765"/>
      <c r="AG937" s="765"/>
    </row>
    <row r="938" spans="1:33" x14ac:dyDescent="0.25">
      <c r="A938" s="765"/>
      <c r="B938" s="765"/>
      <c r="C938" s="765"/>
      <c r="D938" s="765"/>
      <c r="E938" s="765"/>
      <c r="F938" s="765"/>
      <c r="G938" s="765"/>
      <c r="H938" s="765"/>
      <c r="I938" s="765"/>
      <c r="J938" s="765"/>
      <c r="K938" s="765"/>
      <c r="L938" s="765"/>
      <c r="M938" s="765"/>
      <c r="N938" s="765"/>
      <c r="O938" s="765"/>
      <c r="P938" s="765"/>
      <c r="Q938" s="765"/>
      <c r="R938" s="765"/>
      <c r="S938" s="765"/>
      <c r="T938" s="765"/>
      <c r="U938" s="765"/>
      <c r="V938" s="765"/>
      <c r="W938" s="765"/>
      <c r="X938" s="765"/>
      <c r="Y938" s="765"/>
      <c r="Z938" s="765"/>
      <c r="AA938" s="765"/>
      <c r="AB938" s="765"/>
      <c r="AC938" s="765"/>
      <c r="AD938" s="765"/>
      <c r="AE938" s="765"/>
      <c r="AF938" s="765"/>
      <c r="AG938" s="765"/>
    </row>
    <row r="939" spans="1:33" x14ac:dyDescent="0.25">
      <c r="A939" s="765"/>
      <c r="B939" s="765"/>
      <c r="C939" s="765"/>
      <c r="D939" s="765"/>
      <c r="E939" s="765"/>
      <c r="F939" s="765"/>
      <c r="G939" s="765"/>
      <c r="H939" s="765"/>
      <c r="I939" s="765"/>
      <c r="J939" s="765"/>
      <c r="K939" s="765"/>
      <c r="L939" s="765"/>
      <c r="M939" s="765"/>
      <c r="N939" s="765"/>
      <c r="O939" s="765"/>
      <c r="P939" s="765"/>
      <c r="Q939" s="765"/>
      <c r="R939" s="765"/>
      <c r="S939" s="765"/>
      <c r="T939" s="765"/>
      <c r="U939" s="765"/>
      <c r="V939" s="765"/>
      <c r="W939" s="765"/>
      <c r="X939" s="765"/>
      <c r="Y939" s="765"/>
      <c r="Z939" s="765"/>
      <c r="AA939" s="765"/>
      <c r="AB939" s="765"/>
      <c r="AC939" s="765"/>
      <c r="AD939" s="765"/>
      <c r="AE939" s="765"/>
      <c r="AF939" s="765"/>
      <c r="AG939" s="765"/>
    </row>
    <row r="940" spans="1:33" x14ac:dyDescent="0.25">
      <c r="A940" s="765"/>
      <c r="B940" s="765"/>
      <c r="C940" s="765"/>
      <c r="D940" s="765"/>
      <c r="E940" s="765"/>
      <c r="F940" s="765"/>
      <c r="G940" s="765"/>
      <c r="H940" s="765"/>
      <c r="I940" s="765"/>
      <c r="J940" s="765"/>
      <c r="K940" s="765"/>
      <c r="L940" s="765"/>
      <c r="M940" s="765"/>
      <c r="N940" s="765"/>
      <c r="O940" s="765"/>
      <c r="P940" s="765"/>
      <c r="Q940" s="765"/>
      <c r="R940" s="765"/>
      <c r="S940" s="765"/>
      <c r="T940" s="765"/>
      <c r="U940" s="765"/>
      <c r="V940" s="765"/>
      <c r="W940" s="765"/>
      <c r="X940" s="765"/>
      <c r="Y940" s="765"/>
      <c r="Z940" s="765"/>
      <c r="AA940" s="765"/>
      <c r="AB940" s="765"/>
      <c r="AC940" s="765"/>
      <c r="AD940" s="765"/>
      <c r="AE940" s="765"/>
      <c r="AF940" s="765"/>
      <c r="AG940" s="765"/>
    </row>
    <row r="941" spans="1:33" x14ac:dyDescent="0.25">
      <c r="A941" s="765"/>
      <c r="B941" s="765"/>
      <c r="C941" s="765"/>
      <c r="D941" s="765"/>
      <c r="E941" s="765"/>
      <c r="F941" s="765"/>
      <c r="G941" s="765"/>
      <c r="H941" s="765"/>
      <c r="I941" s="765"/>
      <c r="J941" s="765"/>
      <c r="K941" s="765"/>
      <c r="L941" s="765"/>
      <c r="M941" s="765"/>
      <c r="N941" s="765"/>
      <c r="O941" s="765"/>
      <c r="P941" s="765"/>
      <c r="Q941" s="765"/>
      <c r="R941" s="765"/>
      <c r="S941" s="765"/>
      <c r="T941" s="765"/>
      <c r="U941" s="765"/>
      <c r="V941" s="765"/>
      <c r="W941" s="765"/>
      <c r="X941" s="765"/>
      <c r="Y941" s="765"/>
      <c r="Z941" s="765"/>
      <c r="AA941" s="765"/>
      <c r="AB941" s="765"/>
      <c r="AC941" s="765"/>
      <c r="AD941" s="765"/>
      <c r="AE941" s="765"/>
      <c r="AF941" s="765"/>
      <c r="AG941" s="765"/>
    </row>
    <row r="942" spans="1:33" x14ac:dyDescent="0.25">
      <c r="A942" s="765"/>
      <c r="B942" s="765"/>
      <c r="C942" s="765"/>
      <c r="D942" s="765"/>
      <c r="E942" s="765"/>
      <c r="F942" s="765"/>
      <c r="G942" s="765"/>
      <c r="H942" s="765"/>
      <c r="I942" s="765"/>
      <c r="J942" s="765"/>
      <c r="K942" s="765"/>
      <c r="L942" s="765"/>
      <c r="M942" s="765"/>
      <c r="N942" s="765"/>
      <c r="O942" s="765"/>
      <c r="P942" s="765"/>
      <c r="Q942" s="765"/>
      <c r="R942" s="765"/>
      <c r="S942" s="765"/>
      <c r="T942" s="765"/>
      <c r="U942" s="765"/>
      <c r="V942" s="765"/>
      <c r="W942" s="765"/>
      <c r="X942" s="765"/>
      <c r="Y942" s="765"/>
      <c r="Z942" s="765"/>
      <c r="AA942" s="765"/>
      <c r="AB942" s="765"/>
      <c r="AC942" s="765"/>
      <c r="AD942" s="765"/>
      <c r="AE942" s="765"/>
      <c r="AF942" s="765"/>
      <c r="AG942" s="765"/>
    </row>
    <row r="943" spans="1:33" x14ac:dyDescent="0.25">
      <c r="A943" s="765"/>
      <c r="B943" s="765"/>
      <c r="C943" s="765"/>
      <c r="D943" s="765"/>
      <c r="E943" s="765"/>
      <c r="F943" s="765"/>
      <c r="G943" s="765"/>
      <c r="H943" s="765"/>
      <c r="I943" s="765"/>
      <c r="J943" s="765"/>
      <c r="K943" s="765"/>
      <c r="L943" s="765"/>
      <c r="M943" s="765"/>
      <c r="N943" s="765"/>
      <c r="O943" s="765"/>
      <c r="P943" s="765"/>
      <c r="Q943" s="765"/>
      <c r="R943" s="765"/>
      <c r="S943" s="765"/>
      <c r="T943" s="765"/>
      <c r="U943" s="765"/>
      <c r="V943" s="765"/>
      <c r="W943" s="765"/>
      <c r="X943" s="765"/>
      <c r="Y943" s="765"/>
      <c r="Z943" s="765"/>
      <c r="AA943" s="765"/>
      <c r="AB943" s="765"/>
      <c r="AC943" s="765"/>
      <c r="AD943" s="765"/>
      <c r="AE943" s="765"/>
      <c r="AF943" s="765"/>
      <c r="AG943" s="765"/>
    </row>
    <row r="944" spans="1:33" x14ac:dyDescent="0.25">
      <c r="A944" s="765"/>
      <c r="B944" s="765"/>
      <c r="C944" s="765"/>
      <c r="D944" s="765"/>
      <c r="E944" s="765"/>
      <c r="F944" s="765"/>
      <c r="G944" s="765"/>
      <c r="H944" s="765"/>
      <c r="I944" s="765"/>
      <c r="J944" s="765"/>
      <c r="K944" s="765"/>
      <c r="L944" s="765"/>
      <c r="M944" s="765"/>
      <c r="N944" s="765"/>
      <c r="O944" s="765"/>
      <c r="P944" s="765"/>
      <c r="Q944" s="765"/>
      <c r="R944" s="765"/>
      <c r="S944" s="765"/>
      <c r="T944" s="765"/>
      <c r="U944" s="765"/>
      <c r="V944" s="765"/>
      <c r="W944" s="765"/>
      <c r="X944" s="765"/>
      <c r="Y944" s="765"/>
      <c r="Z944" s="765"/>
      <c r="AA944" s="765"/>
      <c r="AB944" s="765"/>
      <c r="AC944" s="765"/>
      <c r="AD944" s="765"/>
      <c r="AE944" s="765"/>
      <c r="AF944" s="765"/>
      <c r="AG944" s="765"/>
    </row>
    <row r="945" spans="1:33" x14ac:dyDescent="0.25">
      <c r="A945" s="765"/>
      <c r="B945" s="765"/>
      <c r="C945" s="765"/>
      <c r="D945" s="765"/>
      <c r="E945" s="765"/>
      <c r="F945" s="765"/>
      <c r="G945" s="765"/>
      <c r="H945" s="765"/>
      <c r="I945" s="765"/>
      <c r="J945" s="765"/>
      <c r="K945" s="765"/>
      <c r="L945" s="765"/>
      <c r="M945" s="765"/>
      <c r="N945" s="765"/>
      <c r="O945" s="765"/>
      <c r="P945" s="765"/>
      <c r="Q945" s="765"/>
      <c r="R945" s="765"/>
      <c r="S945" s="765"/>
      <c r="T945" s="765"/>
      <c r="U945" s="765"/>
      <c r="V945" s="765"/>
      <c r="W945" s="765"/>
      <c r="X945" s="765"/>
      <c r="Y945" s="765"/>
      <c r="Z945" s="765"/>
      <c r="AA945" s="765"/>
      <c r="AB945" s="765"/>
      <c r="AC945" s="765"/>
      <c r="AD945" s="765"/>
      <c r="AE945" s="765"/>
      <c r="AF945" s="765"/>
      <c r="AG945" s="765"/>
    </row>
    <row r="946" spans="1:33" x14ac:dyDescent="0.25">
      <c r="A946" s="765"/>
      <c r="B946" s="765"/>
      <c r="C946" s="765"/>
      <c r="D946" s="765"/>
      <c r="E946" s="765"/>
      <c r="F946" s="765"/>
      <c r="G946" s="765"/>
      <c r="H946" s="765"/>
      <c r="I946" s="765"/>
      <c r="J946" s="765"/>
      <c r="K946" s="765"/>
      <c r="L946" s="765"/>
      <c r="M946" s="765"/>
      <c r="N946" s="765"/>
      <c r="O946" s="765"/>
      <c r="P946" s="765"/>
      <c r="Q946" s="765"/>
      <c r="R946" s="765"/>
      <c r="S946" s="765"/>
      <c r="T946" s="765"/>
      <c r="U946" s="765"/>
      <c r="V946" s="765"/>
      <c r="W946" s="765"/>
      <c r="X946" s="765"/>
      <c r="Y946" s="765"/>
      <c r="Z946" s="765"/>
      <c r="AA946" s="765"/>
      <c r="AB946" s="765"/>
      <c r="AC946" s="765"/>
      <c r="AD946" s="765"/>
      <c r="AE946" s="765"/>
      <c r="AF946" s="765"/>
      <c r="AG946" s="765"/>
    </row>
    <row r="947" spans="1:33" x14ac:dyDescent="0.25">
      <c r="A947" s="765"/>
      <c r="B947" s="765"/>
      <c r="C947" s="765"/>
      <c r="D947" s="765"/>
      <c r="E947" s="765"/>
      <c r="F947" s="765"/>
      <c r="G947" s="765"/>
      <c r="H947" s="765"/>
      <c r="I947" s="765"/>
      <c r="J947" s="765"/>
      <c r="K947" s="765"/>
      <c r="L947" s="765"/>
      <c r="M947" s="765"/>
      <c r="N947" s="765"/>
      <c r="O947" s="765"/>
      <c r="P947" s="765"/>
      <c r="Q947" s="765"/>
      <c r="R947" s="765"/>
      <c r="S947" s="765"/>
      <c r="T947" s="765"/>
      <c r="U947" s="765"/>
      <c r="V947" s="765"/>
      <c r="W947" s="765"/>
      <c r="X947" s="765"/>
      <c r="Y947" s="765"/>
      <c r="Z947" s="765"/>
      <c r="AA947" s="765"/>
      <c r="AB947" s="765"/>
      <c r="AC947" s="765"/>
      <c r="AD947" s="765"/>
      <c r="AE947" s="765"/>
      <c r="AF947" s="765"/>
      <c r="AG947" s="765"/>
    </row>
    <row r="948" spans="1:33" x14ac:dyDescent="0.25">
      <c r="A948" s="765"/>
      <c r="B948" s="765"/>
      <c r="C948" s="765"/>
      <c r="D948" s="765"/>
      <c r="E948" s="765"/>
      <c r="F948" s="765"/>
      <c r="G948" s="765"/>
      <c r="H948" s="765"/>
      <c r="I948" s="765"/>
      <c r="J948" s="765"/>
      <c r="K948" s="765"/>
      <c r="L948" s="765"/>
      <c r="M948" s="765"/>
      <c r="N948" s="765"/>
      <c r="O948" s="765"/>
      <c r="P948" s="765"/>
      <c r="Q948" s="765"/>
      <c r="R948" s="765"/>
      <c r="S948" s="765"/>
      <c r="T948" s="765"/>
      <c r="U948" s="765"/>
      <c r="V948" s="765"/>
      <c r="W948" s="765"/>
      <c r="X948" s="765"/>
      <c r="Y948" s="765"/>
      <c r="Z948" s="765"/>
      <c r="AA948" s="765"/>
      <c r="AB948" s="765"/>
      <c r="AC948" s="765"/>
      <c r="AD948" s="765"/>
      <c r="AE948" s="765"/>
      <c r="AF948" s="765"/>
      <c r="AG948" s="765"/>
    </row>
    <row r="949" spans="1:33" x14ac:dyDescent="0.25">
      <c r="A949" s="765"/>
      <c r="B949" s="765"/>
      <c r="C949" s="765"/>
      <c r="D949" s="765"/>
      <c r="E949" s="765"/>
      <c r="F949" s="765"/>
      <c r="G949" s="765"/>
      <c r="H949" s="765"/>
      <c r="I949" s="765"/>
      <c r="J949" s="765"/>
      <c r="K949" s="765"/>
      <c r="L949" s="765"/>
      <c r="M949" s="765"/>
      <c r="N949" s="765"/>
      <c r="O949" s="765"/>
      <c r="P949" s="765"/>
      <c r="Q949" s="765"/>
      <c r="R949" s="765"/>
      <c r="S949" s="765"/>
      <c r="T949" s="765"/>
      <c r="U949" s="765"/>
      <c r="V949" s="765"/>
      <c r="W949" s="765"/>
      <c r="X949" s="765"/>
      <c r="Y949" s="765"/>
      <c r="Z949" s="765"/>
      <c r="AA949" s="765"/>
      <c r="AB949" s="765"/>
      <c r="AC949" s="765"/>
      <c r="AD949" s="765"/>
      <c r="AE949" s="765"/>
      <c r="AF949" s="765"/>
      <c r="AG949" s="765"/>
    </row>
    <row r="950" spans="1:33" x14ac:dyDescent="0.25">
      <c r="A950" s="765"/>
      <c r="B950" s="765"/>
      <c r="C950" s="765"/>
      <c r="D950" s="765"/>
      <c r="E950" s="765"/>
      <c r="F950" s="765"/>
      <c r="G950" s="765"/>
      <c r="H950" s="765"/>
      <c r="I950" s="765"/>
      <c r="J950" s="765"/>
      <c r="K950" s="765"/>
      <c r="L950" s="765"/>
      <c r="M950" s="765"/>
      <c r="N950" s="765"/>
      <c r="O950" s="765"/>
      <c r="P950" s="765"/>
      <c r="Q950" s="765"/>
      <c r="R950" s="765"/>
      <c r="S950" s="765"/>
      <c r="T950" s="765"/>
      <c r="U950" s="765"/>
      <c r="V950" s="765"/>
      <c r="W950" s="765"/>
      <c r="X950" s="765"/>
      <c r="Y950" s="765"/>
      <c r="Z950" s="765"/>
      <c r="AA950" s="765"/>
      <c r="AB950" s="765"/>
      <c r="AC950" s="765"/>
      <c r="AD950" s="765"/>
      <c r="AE950" s="765"/>
      <c r="AF950" s="765"/>
      <c r="AG950" s="765"/>
    </row>
    <row r="951" spans="1:33" x14ac:dyDescent="0.25">
      <c r="A951" s="765"/>
      <c r="B951" s="765"/>
      <c r="C951" s="765"/>
      <c r="D951" s="765"/>
      <c r="E951" s="765"/>
      <c r="F951" s="765"/>
      <c r="G951" s="765"/>
      <c r="H951" s="765"/>
      <c r="I951" s="765"/>
      <c r="J951" s="765"/>
      <c r="K951" s="765"/>
      <c r="L951" s="765"/>
      <c r="M951" s="765"/>
      <c r="N951" s="765"/>
      <c r="O951" s="765"/>
      <c r="P951" s="765"/>
      <c r="Q951" s="765"/>
      <c r="R951" s="765"/>
      <c r="S951" s="765"/>
      <c r="T951" s="765"/>
      <c r="U951" s="765"/>
      <c r="V951" s="765"/>
      <c r="W951" s="765"/>
      <c r="X951" s="765"/>
      <c r="Y951" s="765"/>
      <c r="Z951" s="765"/>
      <c r="AA951" s="765"/>
      <c r="AB951" s="765"/>
      <c r="AC951" s="765"/>
      <c r="AD951" s="765"/>
      <c r="AE951" s="765"/>
      <c r="AF951" s="765"/>
      <c r="AG951" s="765"/>
    </row>
    <row r="952" spans="1:33" x14ac:dyDescent="0.25">
      <c r="A952" s="765"/>
      <c r="B952" s="765"/>
      <c r="C952" s="765"/>
      <c r="D952" s="765"/>
      <c r="E952" s="765"/>
      <c r="F952" s="765"/>
      <c r="G952" s="765"/>
      <c r="H952" s="765"/>
      <c r="I952" s="765"/>
      <c r="J952" s="765"/>
      <c r="K952" s="765"/>
      <c r="L952" s="765"/>
      <c r="M952" s="765"/>
      <c r="N952" s="765"/>
      <c r="O952" s="765"/>
      <c r="P952" s="765"/>
      <c r="Q952" s="765"/>
      <c r="R952" s="765"/>
      <c r="S952" s="765"/>
      <c r="T952" s="765"/>
      <c r="U952" s="765"/>
      <c r="V952" s="765"/>
      <c r="W952" s="765"/>
      <c r="X952" s="765"/>
      <c r="Y952" s="765"/>
      <c r="Z952" s="765"/>
      <c r="AA952" s="765"/>
      <c r="AB952" s="765"/>
      <c r="AC952" s="765"/>
      <c r="AD952" s="765"/>
      <c r="AE952" s="765"/>
      <c r="AF952" s="765"/>
      <c r="AG952" s="765"/>
    </row>
    <row r="953" spans="1:33" x14ac:dyDescent="0.25">
      <c r="A953" s="765"/>
      <c r="B953" s="765"/>
      <c r="C953" s="765"/>
      <c r="D953" s="765"/>
      <c r="E953" s="765"/>
      <c r="F953" s="765"/>
      <c r="G953" s="765"/>
      <c r="H953" s="765"/>
      <c r="I953" s="765"/>
      <c r="J953" s="765"/>
      <c r="K953" s="765"/>
      <c r="L953" s="765"/>
      <c r="M953" s="765"/>
      <c r="N953" s="765"/>
      <c r="O953" s="765"/>
      <c r="P953" s="765"/>
      <c r="Q953" s="765"/>
      <c r="R953" s="765"/>
      <c r="S953" s="765"/>
      <c r="T953" s="765"/>
      <c r="U953" s="765"/>
      <c r="V953" s="765"/>
      <c r="W953" s="765"/>
      <c r="X953" s="765"/>
      <c r="Y953" s="765"/>
      <c r="Z953" s="765"/>
      <c r="AA953" s="765"/>
      <c r="AB953" s="765"/>
      <c r="AC953" s="765"/>
      <c r="AD953" s="765"/>
      <c r="AE953" s="765"/>
      <c r="AF953" s="765"/>
      <c r="AG953" s="765"/>
    </row>
    <row r="954" spans="1:33" x14ac:dyDescent="0.25">
      <c r="A954" s="765"/>
      <c r="B954" s="765"/>
      <c r="C954" s="765"/>
      <c r="D954" s="765"/>
      <c r="E954" s="765"/>
      <c r="F954" s="765"/>
      <c r="G954" s="765"/>
      <c r="H954" s="765"/>
      <c r="I954" s="765"/>
      <c r="J954" s="765"/>
      <c r="K954" s="765"/>
      <c r="L954" s="765"/>
      <c r="M954" s="765"/>
      <c r="N954" s="765"/>
      <c r="O954" s="765"/>
      <c r="P954" s="765"/>
      <c r="Q954" s="765"/>
      <c r="R954" s="765"/>
      <c r="S954" s="765"/>
      <c r="T954" s="765"/>
      <c r="U954" s="765"/>
      <c r="V954" s="765"/>
      <c r="W954" s="765"/>
      <c r="X954" s="765"/>
      <c r="Y954" s="765"/>
      <c r="Z954" s="765"/>
      <c r="AA954" s="765"/>
      <c r="AB954" s="765"/>
      <c r="AC954" s="765"/>
      <c r="AD954" s="765"/>
      <c r="AE954" s="765"/>
      <c r="AF954" s="765"/>
      <c r="AG954" s="765"/>
    </row>
    <row r="955" spans="1:33" x14ac:dyDescent="0.25">
      <c r="A955" s="765"/>
      <c r="B955" s="765"/>
      <c r="C955" s="765"/>
      <c r="D955" s="765"/>
      <c r="E955" s="765"/>
      <c r="F955" s="765"/>
      <c r="G955" s="765"/>
      <c r="H955" s="765"/>
      <c r="I955" s="765"/>
      <c r="J955" s="765"/>
      <c r="K955" s="765"/>
      <c r="L955" s="765"/>
      <c r="M955" s="765"/>
      <c r="N955" s="765"/>
      <c r="O955" s="765"/>
      <c r="P955" s="765"/>
      <c r="Q955" s="765"/>
      <c r="R955" s="765"/>
      <c r="S955" s="765"/>
      <c r="T955" s="765"/>
      <c r="U955" s="765"/>
      <c r="V955" s="765"/>
      <c r="W955" s="765"/>
      <c r="X955" s="765"/>
      <c r="Y955" s="765"/>
      <c r="Z955" s="765"/>
      <c r="AA955" s="765"/>
      <c r="AB955" s="765"/>
      <c r="AC955" s="765"/>
      <c r="AD955" s="765"/>
      <c r="AE955" s="765"/>
      <c r="AF955" s="765"/>
      <c r="AG955" s="765"/>
    </row>
    <row r="956" spans="1:33" x14ac:dyDescent="0.25">
      <c r="A956" s="765"/>
      <c r="B956" s="765"/>
      <c r="C956" s="765"/>
      <c r="D956" s="765"/>
      <c r="E956" s="765"/>
      <c r="F956" s="765"/>
      <c r="G956" s="765"/>
      <c r="H956" s="765"/>
      <c r="I956" s="765"/>
      <c r="J956" s="765"/>
      <c r="K956" s="765"/>
      <c r="L956" s="765"/>
      <c r="M956" s="765"/>
      <c r="N956" s="765"/>
      <c r="O956" s="765"/>
      <c r="P956" s="765"/>
      <c r="Q956" s="765"/>
      <c r="R956" s="765"/>
      <c r="S956" s="765"/>
      <c r="T956" s="765"/>
      <c r="U956" s="765"/>
      <c r="V956" s="765"/>
      <c r="W956" s="765"/>
      <c r="X956" s="765"/>
      <c r="Y956" s="765"/>
      <c r="Z956" s="765"/>
      <c r="AA956" s="765"/>
      <c r="AB956" s="765"/>
      <c r="AC956" s="765"/>
      <c r="AD956" s="765"/>
      <c r="AE956" s="765"/>
      <c r="AF956" s="765"/>
      <c r="AG956" s="765"/>
    </row>
    <row r="957" spans="1:33" x14ac:dyDescent="0.25">
      <c r="A957" s="765"/>
      <c r="B957" s="765"/>
      <c r="C957" s="765"/>
      <c r="D957" s="765"/>
      <c r="E957" s="765"/>
      <c r="F957" s="765"/>
      <c r="G957" s="765"/>
      <c r="H957" s="765"/>
      <c r="I957" s="765"/>
      <c r="J957" s="765"/>
      <c r="K957" s="765"/>
      <c r="L957" s="765"/>
      <c r="M957" s="765"/>
      <c r="N957" s="765"/>
      <c r="O957" s="765"/>
      <c r="P957" s="765"/>
      <c r="Q957" s="765"/>
      <c r="R957" s="765"/>
      <c r="S957" s="765"/>
      <c r="T957" s="765"/>
      <c r="U957" s="765"/>
      <c r="V957" s="765"/>
      <c r="W957" s="765"/>
      <c r="X957" s="765"/>
      <c r="Y957" s="765"/>
      <c r="Z957" s="765"/>
      <c r="AA957" s="765"/>
      <c r="AB957" s="765"/>
      <c r="AC957" s="765"/>
      <c r="AD957" s="765"/>
      <c r="AE957" s="765"/>
      <c r="AF957" s="765"/>
      <c r="AG957" s="765"/>
    </row>
    <row r="958" spans="1:33" x14ac:dyDescent="0.25">
      <c r="A958" s="765"/>
      <c r="B958" s="765"/>
      <c r="C958" s="765"/>
      <c r="D958" s="765"/>
      <c r="E958" s="765"/>
      <c r="F958" s="765"/>
      <c r="G958" s="765"/>
      <c r="H958" s="765"/>
      <c r="I958" s="765"/>
      <c r="J958" s="765"/>
      <c r="K958" s="765"/>
      <c r="L958" s="765"/>
      <c r="M958" s="765"/>
      <c r="N958" s="765"/>
      <c r="O958" s="765"/>
      <c r="P958" s="765"/>
      <c r="Q958" s="765"/>
      <c r="R958" s="765"/>
      <c r="S958" s="765"/>
      <c r="T958" s="765"/>
      <c r="U958" s="765"/>
      <c r="V958" s="765"/>
      <c r="W958" s="765"/>
      <c r="X958" s="765"/>
      <c r="Y958" s="765"/>
      <c r="Z958" s="765"/>
      <c r="AA958" s="765"/>
      <c r="AB958" s="765"/>
      <c r="AC958" s="765"/>
      <c r="AD958" s="765"/>
      <c r="AE958" s="765"/>
      <c r="AF958" s="765"/>
      <c r="AG958" s="765"/>
    </row>
    <row r="959" spans="1:33" x14ac:dyDescent="0.25">
      <c r="A959" s="765"/>
      <c r="B959" s="765"/>
      <c r="C959" s="765"/>
      <c r="D959" s="765"/>
      <c r="E959" s="765"/>
      <c r="F959" s="765"/>
      <c r="G959" s="765"/>
      <c r="H959" s="765"/>
      <c r="I959" s="765"/>
      <c r="J959" s="765"/>
      <c r="K959" s="765"/>
      <c r="L959" s="765"/>
      <c r="M959" s="765"/>
      <c r="N959" s="765"/>
      <c r="O959" s="765"/>
      <c r="P959" s="765"/>
      <c r="Q959" s="765"/>
      <c r="R959" s="765"/>
      <c r="S959" s="765"/>
      <c r="T959" s="765"/>
      <c r="U959" s="765"/>
      <c r="V959" s="765"/>
      <c r="W959" s="765"/>
      <c r="X959" s="765"/>
      <c r="Y959" s="765"/>
      <c r="Z959" s="765"/>
      <c r="AA959" s="765"/>
      <c r="AB959" s="765"/>
      <c r="AC959" s="765"/>
      <c r="AD959" s="765"/>
      <c r="AE959" s="765"/>
      <c r="AF959" s="765"/>
      <c r="AG959" s="765"/>
    </row>
    <row r="960" spans="1:33" x14ac:dyDescent="0.25">
      <c r="A960" s="765"/>
      <c r="B960" s="765"/>
      <c r="C960" s="765"/>
      <c r="D960" s="765"/>
      <c r="E960" s="765"/>
      <c r="F960" s="765"/>
      <c r="G960" s="765"/>
      <c r="H960" s="765"/>
      <c r="I960" s="765"/>
      <c r="J960" s="765"/>
      <c r="K960" s="765"/>
      <c r="L960" s="765"/>
      <c r="M960" s="765"/>
      <c r="N960" s="765"/>
      <c r="O960" s="765"/>
      <c r="P960" s="765"/>
      <c r="Q960" s="765"/>
      <c r="R960" s="765"/>
      <c r="S960" s="765"/>
      <c r="T960" s="765"/>
      <c r="U960" s="765"/>
      <c r="V960" s="765"/>
      <c r="W960" s="765"/>
      <c r="X960" s="765"/>
      <c r="Y960" s="765"/>
      <c r="Z960" s="765"/>
      <c r="AA960" s="765"/>
      <c r="AB960" s="765"/>
      <c r="AC960" s="765"/>
      <c r="AD960" s="765"/>
      <c r="AE960" s="765"/>
      <c r="AF960" s="765"/>
      <c r="AG960" s="765"/>
    </row>
    <row r="961" spans="1:33" x14ac:dyDescent="0.25">
      <c r="A961" s="765"/>
      <c r="B961" s="765"/>
      <c r="C961" s="765"/>
      <c r="D961" s="765"/>
      <c r="E961" s="765"/>
      <c r="F961" s="765"/>
      <c r="G961" s="765"/>
      <c r="H961" s="765"/>
      <c r="I961" s="765"/>
      <c r="J961" s="765"/>
      <c r="K961" s="765"/>
      <c r="L961" s="765"/>
      <c r="M961" s="765"/>
      <c r="N961" s="765"/>
      <c r="O961" s="765"/>
      <c r="P961" s="765"/>
      <c r="Q961" s="765"/>
      <c r="R961" s="765"/>
      <c r="S961" s="765"/>
      <c r="T961" s="765"/>
      <c r="U961" s="765"/>
      <c r="V961" s="765"/>
      <c r="W961" s="765"/>
      <c r="X961" s="765"/>
      <c r="Y961" s="765"/>
      <c r="Z961" s="765"/>
      <c r="AA961" s="765"/>
      <c r="AB961" s="765"/>
      <c r="AC961" s="765"/>
      <c r="AD961" s="765"/>
      <c r="AE961" s="765"/>
      <c r="AF961" s="765"/>
      <c r="AG961" s="765"/>
    </row>
    <row r="962" spans="1:33" x14ac:dyDescent="0.25">
      <c r="A962" s="765"/>
      <c r="B962" s="765"/>
      <c r="C962" s="765"/>
      <c r="D962" s="765"/>
      <c r="E962" s="765"/>
      <c r="F962" s="765"/>
      <c r="G962" s="765"/>
      <c r="H962" s="765"/>
      <c r="I962" s="765"/>
      <c r="J962" s="765"/>
      <c r="K962" s="765"/>
      <c r="L962" s="765"/>
      <c r="M962" s="765"/>
      <c r="N962" s="765"/>
      <c r="O962" s="765"/>
      <c r="P962" s="765"/>
      <c r="Q962" s="765"/>
      <c r="R962" s="765"/>
      <c r="S962" s="765"/>
      <c r="T962" s="765"/>
      <c r="U962" s="765"/>
      <c r="V962" s="765"/>
      <c r="W962" s="765"/>
      <c r="X962" s="765"/>
      <c r="Y962" s="765"/>
      <c r="Z962" s="765"/>
      <c r="AA962" s="765"/>
      <c r="AB962" s="765"/>
      <c r="AC962" s="765"/>
      <c r="AD962" s="765"/>
      <c r="AE962" s="765"/>
      <c r="AF962" s="765"/>
      <c r="AG962" s="765"/>
    </row>
    <row r="963" spans="1:33" x14ac:dyDescent="0.25">
      <c r="A963" s="765"/>
      <c r="B963" s="765"/>
      <c r="C963" s="765"/>
      <c r="D963" s="765"/>
      <c r="E963" s="765"/>
      <c r="F963" s="765"/>
      <c r="G963" s="765"/>
      <c r="H963" s="765"/>
      <c r="I963" s="765"/>
      <c r="J963" s="765"/>
      <c r="K963" s="765"/>
      <c r="L963" s="765"/>
      <c r="M963" s="765"/>
      <c r="N963" s="765"/>
      <c r="O963" s="765"/>
      <c r="P963" s="765"/>
      <c r="Q963" s="765"/>
      <c r="R963" s="765"/>
      <c r="S963" s="765"/>
      <c r="T963" s="765"/>
      <c r="U963" s="765"/>
      <c r="V963" s="765"/>
      <c r="W963" s="765"/>
      <c r="X963" s="765"/>
      <c r="Y963" s="765"/>
      <c r="Z963" s="765"/>
      <c r="AA963" s="765"/>
      <c r="AB963" s="765"/>
      <c r="AC963" s="765"/>
      <c r="AD963" s="765"/>
      <c r="AE963" s="765"/>
      <c r="AF963" s="765"/>
      <c r="AG963" s="765"/>
    </row>
    <row r="964" spans="1:33" x14ac:dyDescent="0.25">
      <c r="A964" s="765"/>
      <c r="B964" s="765"/>
      <c r="C964" s="765"/>
      <c r="D964" s="765"/>
      <c r="E964" s="765"/>
      <c r="F964" s="765"/>
      <c r="G964" s="765"/>
      <c r="H964" s="765"/>
      <c r="I964" s="765"/>
      <c r="J964" s="765"/>
      <c r="K964" s="765"/>
      <c r="L964" s="765"/>
      <c r="M964" s="765"/>
      <c r="N964" s="765"/>
      <c r="O964" s="765"/>
      <c r="P964" s="765"/>
      <c r="Q964" s="765"/>
      <c r="R964" s="765"/>
      <c r="S964" s="765"/>
      <c r="T964" s="765"/>
      <c r="U964" s="765"/>
      <c r="V964" s="765"/>
      <c r="W964" s="765"/>
      <c r="X964" s="765"/>
      <c r="Y964" s="765"/>
      <c r="Z964" s="765"/>
      <c r="AA964" s="765"/>
      <c r="AB964" s="765"/>
      <c r="AC964" s="765"/>
      <c r="AD964" s="765"/>
      <c r="AE964" s="765"/>
      <c r="AF964" s="765"/>
      <c r="AG964" s="765"/>
    </row>
    <row r="965" spans="1:33" x14ac:dyDescent="0.25">
      <c r="A965" s="765"/>
      <c r="B965" s="765"/>
      <c r="C965" s="765"/>
      <c r="D965" s="765"/>
      <c r="E965" s="765"/>
      <c r="F965" s="765"/>
      <c r="G965" s="765"/>
      <c r="H965" s="765"/>
      <c r="I965" s="765"/>
      <c r="J965" s="765"/>
      <c r="K965" s="765"/>
      <c r="L965" s="765"/>
      <c r="M965" s="765"/>
      <c r="N965" s="765"/>
      <c r="O965" s="765"/>
      <c r="P965" s="765"/>
      <c r="Q965" s="765"/>
      <c r="R965" s="765"/>
      <c r="S965" s="765"/>
      <c r="T965" s="765"/>
      <c r="U965" s="765"/>
      <c r="V965" s="765"/>
      <c r="W965" s="765"/>
      <c r="X965" s="765"/>
      <c r="Y965" s="765"/>
      <c r="Z965" s="765"/>
      <c r="AA965" s="765"/>
      <c r="AB965" s="765"/>
      <c r="AC965" s="765"/>
      <c r="AD965" s="765"/>
      <c r="AE965" s="765"/>
      <c r="AF965" s="765"/>
      <c r="AG965" s="765"/>
    </row>
    <row r="966" spans="1:33" x14ac:dyDescent="0.25">
      <c r="A966" s="765"/>
      <c r="B966" s="765"/>
      <c r="C966" s="765"/>
      <c r="D966" s="765"/>
      <c r="E966" s="765"/>
      <c r="F966" s="765"/>
      <c r="G966" s="765"/>
      <c r="H966" s="765"/>
      <c r="I966" s="765"/>
      <c r="J966" s="765"/>
      <c r="K966" s="765"/>
      <c r="L966" s="765"/>
      <c r="M966" s="765"/>
      <c r="N966" s="765"/>
      <c r="O966" s="765"/>
      <c r="P966" s="765"/>
      <c r="Q966" s="765"/>
      <c r="R966" s="765"/>
      <c r="S966" s="765"/>
      <c r="T966" s="765"/>
      <c r="U966" s="765"/>
      <c r="V966" s="765"/>
      <c r="W966" s="765"/>
      <c r="X966" s="765"/>
      <c r="Y966" s="765"/>
      <c r="Z966" s="765"/>
      <c r="AA966" s="765"/>
      <c r="AB966" s="765"/>
      <c r="AC966" s="765"/>
      <c r="AD966" s="765"/>
      <c r="AE966" s="765"/>
      <c r="AF966" s="765"/>
      <c r="AG966" s="765"/>
    </row>
    <row r="967" spans="1:33" x14ac:dyDescent="0.25">
      <c r="A967" s="765"/>
      <c r="B967" s="765"/>
      <c r="C967" s="765"/>
      <c r="D967" s="765"/>
      <c r="E967" s="765"/>
      <c r="F967" s="765"/>
      <c r="G967" s="765"/>
      <c r="H967" s="765"/>
      <c r="I967" s="765"/>
      <c r="J967" s="765"/>
      <c r="K967" s="765"/>
      <c r="L967" s="765"/>
      <c r="M967" s="765"/>
      <c r="N967" s="765"/>
      <c r="O967" s="765"/>
      <c r="P967" s="765"/>
      <c r="Q967" s="765"/>
      <c r="R967" s="765"/>
      <c r="S967" s="765"/>
      <c r="T967" s="765"/>
      <c r="U967" s="765"/>
      <c r="V967" s="765"/>
      <c r="W967" s="765"/>
      <c r="X967" s="765"/>
      <c r="Y967" s="765"/>
      <c r="Z967" s="765"/>
      <c r="AA967" s="765"/>
      <c r="AB967" s="765"/>
      <c r="AC967" s="765"/>
      <c r="AD967" s="765"/>
      <c r="AE967" s="765"/>
      <c r="AF967" s="765"/>
      <c r="AG967" s="765"/>
    </row>
    <row r="968" spans="1:33" x14ac:dyDescent="0.25">
      <c r="A968" s="765"/>
      <c r="B968" s="765"/>
      <c r="C968" s="765"/>
      <c r="D968" s="765"/>
      <c r="E968" s="765"/>
      <c r="F968" s="765"/>
      <c r="G968" s="765"/>
      <c r="H968" s="765"/>
      <c r="I968" s="765"/>
      <c r="J968" s="765"/>
      <c r="K968" s="765"/>
      <c r="L968" s="765"/>
      <c r="M968" s="765"/>
      <c r="N968" s="765"/>
      <c r="O968" s="765"/>
      <c r="P968" s="765"/>
      <c r="Q968" s="765"/>
      <c r="R968" s="765"/>
      <c r="S968" s="765"/>
      <c r="T968" s="765"/>
      <c r="U968" s="765"/>
      <c r="V968" s="765"/>
      <c r="W968" s="765"/>
      <c r="X968" s="765"/>
      <c r="Y968" s="765"/>
      <c r="Z968" s="765"/>
      <c r="AA968" s="765"/>
      <c r="AB968" s="765"/>
      <c r="AC968" s="765"/>
      <c r="AD968" s="765"/>
      <c r="AE968" s="765"/>
      <c r="AF968" s="765"/>
      <c r="AG968" s="765"/>
    </row>
    <row r="969" spans="1:33" x14ac:dyDescent="0.25">
      <c r="A969" s="765"/>
      <c r="B969" s="765"/>
      <c r="C969" s="765"/>
      <c r="D969" s="765"/>
      <c r="E969" s="765"/>
      <c r="F969" s="765"/>
      <c r="G969" s="765"/>
      <c r="H969" s="765"/>
      <c r="I969" s="765"/>
      <c r="J969" s="765"/>
      <c r="K969" s="765"/>
      <c r="L969" s="765"/>
      <c r="M969" s="765"/>
      <c r="N969" s="765"/>
      <c r="O969" s="765"/>
      <c r="P969" s="765"/>
      <c r="Q969" s="765"/>
      <c r="R969" s="765"/>
      <c r="S969" s="765"/>
      <c r="T969" s="765"/>
      <c r="U969" s="765"/>
      <c r="V969" s="765"/>
      <c r="W969" s="765"/>
      <c r="X969" s="765"/>
      <c r="Y969" s="765"/>
      <c r="Z969" s="765"/>
      <c r="AA969" s="765"/>
      <c r="AB969" s="765"/>
      <c r="AC969" s="765"/>
      <c r="AD969" s="765"/>
      <c r="AE969" s="765"/>
      <c r="AF969" s="765"/>
      <c r="AG969" s="765"/>
    </row>
    <row r="970" spans="1:33" x14ac:dyDescent="0.25">
      <c r="A970" s="765"/>
      <c r="B970" s="765"/>
      <c r="C970" s="765"/>
      <c r="D970" s="765"/>
      <c r="E970" s="765"/>
      <c r="F970" s="765"/>
      <c r="G970" s="765"/>
      <c r="H970" s="765"/>
      <c r="I970" s="765"/>
      <c r="J970" s="765"/>
      <c r="K970" s="765"/>
      <c r="L970" s="765"/>
      <c r="M970" s="765"/>
      <c r="N970" s="765"/>
      <c r="O970" s="765"/>
      <c r="P970" s="765"/>
      <c r="Q970" s="765"/>
      <c r="R970" s="765"/>
      <c r="S970" s="765"/>
      <c r="T970" s="765"/>
      <c r="U970" s="765"/>
      <c r="V970" s="765"/>
      <c r="W970" s="765"/>
      <c r="X970" s="765"/>
      <c r="Y970" s="765"/>
      <c r="Z970" s="765"/>
      <c r="AA970" s="765"/>
      <c r="AB970" s="765"/>
      <c r="AC970" s="765"/>
      <c r="AD970" s="765"/>
      <c r="AE970" s="765"/>
      <c r="AF970" s="765"/>
      <c r="AG970" s="765"/>
    </row>
    <row r="971" spans="1:33" x14ac:dyDescent="0.25">
      <c r="A971" s="765"/>
      <c r="B971" s="765"/>
      <c r="C971" s="765"/>
      <c r="D971" s="765"/>
      <c r="E971" s="765"/>
      <c r="F971" s="765"/>
      <c r="G971" s="765"/>
      <c r="H971" s="765"/>
      <c r="I971" s="765"/>
      <c r="J971" s="765"/>
      <c r="K971" s="765"/>
      <c r="L971" s="765"/>
      <c r="M971" s="765"/>
      <c r="N971" s="765"/>
      <c r="O971" s="765"/>
      <c r="P971" s="765"/>
      <c r="Q971" s="765"/>
      <c r="R971" s="765"/>
      <c r="S971" s="765"/>
      <c r="T971" s="765"/>
      <c r="U971" s="765"/>
      <c r="V971" s="765"/>
      <c r="W971" s="765"/>
      <c r="X971" s="765"/>
      <c r="Y971" s="765"/>
      <c r="Z971" s="765"/>
      <c r="AA971" s="765"/>
      <c r="AB971" s="765"/>
      <c r="AC971" s="765"/>
      <c r="AD971" s="765"/>
      <c r="AE971" s="765"/>
      <c r="AF971" s="765"/>
      <c r="AG971" s="765"/>
    </row>
    <row r="972" spans="1:33" x14ac:dyDescent="0.25">
      <c r="A972" s="765"/>
      <c r="B972" s="765"/>
      <c r="C972" s="765"/>
      <c r="D972" s="765"/>
      <c r="E972" s="765"/>
      <c r="F972" s="765"/>
      <c r="G972" s="765"/>
      <c r="H972" s="765"/>
      <c r="I972" s="765"/>
      <c r="J972" s="765"/>
      <c r="K972" s="765"/>
      <c r="L972" s="765"/>
      <c r="M972" s="765"/>
      <c r="N972" s="765"/>
      <c r="O972" s="765"/>
      <c r="P972" s="765"/>
      <c r="Q972" s="765"/>
      <c r="R972" s="765"/>
      <c r="S972" s="765"/>
      <c r="T972" s="765"/>
      <c r="U972" s="765"/>
      <c r="V972" s="765"/>
      <c r="W972" s="765"/>
      <c r="X972" s="765"/>
      <c r="Y972" s="765"/>
      <c r="Z972" s="765"/>
      <c r="AA972" s="765"/>
      <c r="AB972" s="765"/>
      <c r="AC972" s="765"/>
      <c r="AD972" s="765"/>
      <c r="AE972" s="765"/>
      <c r="AF972" s="765"/>
      <c r="AG972" s="765"/>
    </row>
    <row r="973" spans="1:33" x14ac:dyDescent="0.25">
      <c r="A973" s="765"/>
      <c r="B973" s="765"/>
      <c r="C973" s="765"/>
      <c r="D973" s="765"/>
      <c r="E973" s="765"/>
      <c r="F973" s="765"/>
      <c r="G973" s="765"/>
      <c r="H973" s="765"/>
      <c r="I973" s="765"/>
      <c r="J973" s="765"/>
      <c r="K973" s="765"/>
      <c r="L973" s="765"/>
      <c r="M973" s="765"/>
      <c r="N973" s="765"/>
      <c r="O973" s="765"/>
      <c r="P973" s="765"/>
      <c r="Q973" s="765"/>
      <c r="R973" s="765"/>
      <c r="S973" s="765"/>
      <c r="T973" s="765"/>
      <c r="U973" s="765"/>
      <c r="V973" s="765"/>
      <c r="W973" s="765"/>
      <c r="X973" s="765"/>
      <c r="Y973" s="765"/>
      <c r="Z973" s="765"/>
      <c r="AA973" s="765"/>
      <c r="AB973" s="765"/>
      <c r="AC973" s="765"/>
      <c r="AD973" s="765"/>
      <c r="AE973" s="765"/>
      <c r="AF973" s="765"/>
      <c r="AG973" s="765"/>
    </row>
    <row r="974" spans="1:33" x14ac:dyDescent="0.25">
      <c r="A974" s="765"/>
      <c r="B974" s="765"/>
      <c r="C974" s="765"/>
      <c r="D974" s="765"/>
      <c r="E974" s="765"/>
      <c r="F974" s="765"/>
      <c r="G974" s="765"/>
      <c r="H974" s="765"/>
      <c r="I974" s="765"/>
      <c r="J974" s="765"/>
      <c r="K974" s="765"/>
      <c r="L974" s="765"/>
      <c r="M974" s="765"/>
      <c r="N974" s="765"/>
      <c r="O974" s="765"/>
      <c r="P974" s="765"/>
      <c r="Q974" s="765"/>
      <c r="R974" s="765"/>
      <c r="S974" s="765"/>
      <c r="T974" s="765"/>
      <c r="U974" s="765"/>
      <c r="V974" s="765"/>
      <c r="W974" s="765"/>
      <c r="X974" s="765"/>
      <c r="Y974" s="765"/>
      <c r="Z974" s="765"/>
      <c r="AA974" s="765"/>
      <c r="AB974" s="765"/>
      <c r="AC974" s="765"/>
      <c r="AD974" s="765"/>
      <c r="AE974" s="765"/>
      <c r="AF974" s="765"/>
      <c r="AG974" s="765"/>
    </row>
    <row r="975" spans="1:33" x14ac:dyDescent="0.25">
      <c r="A975" s="765"/>
      <c r="B975" s="765"/>
      <c r="C975" s="765"/>
      <c r="D975" s="765"/>
      <c r="E975" s="765"/>
      <c r="F975" s="765"/>
      <c r="G975" s="765"/>
      <c r="H975" s="765"/>
      <c r="I975" s="765"/>
      <c r="J975" s="765"/>
      <c r="K975" s="765"/>
      <c r="L975" s="765"/>
      <c r="M975" s="765"/>
      <c r="N975" s="765"/>
      <c r="O975" s="765"/>
      <c r="P975" s="765"/>
      <c r="Q975" s="765"/>
      <c r="R975" s="765"/>
      <c r="S975" s="765"/>
      <c r="T975" s="765"/>
      <c r="U975" s="765"/>
      <c r="V975" s="765"/>
      <c r="W975" s="765"/>
      <c r="X975" s="765"/>
      <c r="Y975" s="765"/>
      <c r="Z975" s="765"/>
      <c r="AA975" s="765"/>
      <c r="AB975" s="765"/>
      <c r="AC975" s="765"/>
      <c r="AD975" s="765"/>
      <c r="AE975" s="765"/>
      <c r="AF975" s="765"/>
      <c r="AG975" s="765"/>
    </row>
    <row r="976" spans="1:33" x14ac:dyDescent="0.25">
      <c r="A976" s="765"/>
      <c r="B976" s="765"/>
      <c r="C976" s="765"/>
      <c r="D976" s="765"/>
      <c r="E976" s="765"/>
      <c r="F976" s="765"/>
      <c r="G976" s="765"/>
      <c r="H976" s="765"/>
      <c r="I976" s="765"/>
      <c r="J976" s="765"/>
      <c r="K976" s="765"/>
      <c r="L976" s="765"/>
      <c r="M976" s="765"/>
      <c r="N976" s="765"/>
      <c r="O976" s="765"/>
      <c r="P976" s="765"/>
      <c r="Q976" s="765"/>
      <c r="R976" s="765"/>
      <c r="S976" s="765"/>
      <c r="T976" s="765"/>
      <c r="U976" s="765"/>
      <c r="V976" s="765"/>
      <c r="W976" s="765"/>
      <c r="X976" s="765"/>
      <c r="Y976" s="765"/>
      <c r="Z976" s="765"/>
      <c r="AA976" s="765"/>
      <c r="AB976" s="765"/>
      <c r="AC976" s="765"/>
      <c r="AD976" s="765"/>
      <c r="AE976" s="765"/>
      <c r="AF976" s="765"/>
      <c r="AG976" s="765"/>
    </row>
    <row r="977" spans="1:33" x14ac:dyDescent="0.25">
      <c r="A977" s="765"/>
      <c r="B977" s="765"/>
      <c r="C977" s="765"/>
      <c r="D977" s="765"/>
      <c r="E977" s="765"/>
      <c r="F977" s="765"/>
      <c r="G977" s="765"/>
      <c r="H977" s="765"/>
      <c r="I977" s="765"/>
      <c r="J977" s="765"/>
      <c r="K977" s="765"/>
      <c r="L977" s="765"/>
      <c r="M977" s="765"/>
      <c r="N977" s="765"/>
      <c r="O977" s="765"/>
      <c r="P977" s="765"/>
      <c r="Q977" s="765"/>
      <c r="R977" s="765"/>
      <c r="S977" s="765"/>
      <c r="T977" s="765"/>
      <c r="U977" s="765"/>
      <c r="V977" s="765"/>
      <c r="W977" s="765"/>
      <c r="X977" s="765"/>
      <c r="Y977" s="765"/>
      <c r="Z977" s="765"/>
      <c r="AA977" s="765"/>
      <c r="AB977" s="765"/>
      <c r="AC977" s="765"/>
      <c r="AD977" s="765"/>
      <c r="AE977" s="765"/>
      <c r="AF977" s="765"/>
      <c r="AG977" s="765"/>
    </row>
    <row r="978" spans="1:33" x14ac:dyDescent="0.25">
      <c r="A978" s="765"/>
      <c r="B978" s="765"/>
      <c r="C978" s="765"/>
      <c r="D978" s="765"/>
      <c r="E978" s="765"/>
      <c r="F978" s="765"/>
      <c r="G978" s="765"/>
      <c r="H978" s="765"/>
      <c r="I978" s="765"/>
      <c r="J978" s="765"/>
      <c r="K978" s="765"/>
      <c r="L978" s="765"/>
      <c r="M978" s="765"/>
      <c r="N978" s="765"/>
      <c r="O978" s="765"/>
      <c r="P978" s="765"/>
      <c r="Q978" s="765"/>
      <c r="R978" s="765"/>
      <c r="S978" s="765"/>
      <c r="T978" s="765"/>
      <c r="U978" s="765"/>
      <c r="V978" s="765"/>
      <c r="W978" s="765"/>
      <c r="X978" s="765"/>
      <c r="Y978" s="765"/>
      <c r="Z978" s="765"/>
      <c r="AA978" s="765"/>
      <c r="AB978" s="765"/>
      <c r="AC978" s="765"/>
      <c r="AD978" s="765"/>
      <c r="AE978" s="765"/>
      <c r="AF978" s="765"/>
      <c r="AG978" s="765"/>
    </row>
    <row r="979" spans="1:33" x14ac:dyDescent="0.25">
      <c r="A979" s="765"/>
      <c r="B979" s="765"/>
      <c r="C979" s="765"/>
      <c r="D979" s="765"/>
      <c r="E979" s="765"/>
      <c r="F979" s="765"/>
      <c r="G979" s="765"/>
      <c r="H979" s="765"/>
      <c r="I979" s="765"/>
      <c r="J979" s="765"/>
      <c r="K979" s="765"/>
      <c r="L979" s="765"/>
      <c r="M979" s="765"/>
      <c r="N979" s="765"/>
      <c r="O979" s="765"/>
      <c r="P979" s="765"/>
      <c r="Q979" s="765"/>
      <c r="R979" s="765"/>
      <c r="S979" s="765"/>
      <c r="T979" s="765"/>
      <c r="U979" s="765"/>
      <c r="V979" s="765"/>
      <c r="W979" s="765"/>
      <c r="X979" s="765"/>
      <c r="Y979" s="765"/>
      <c r="Z979" s="765"/>
      <c r="AA979" s="765"/>
      <c r="AB979" s="765"/>
      <c r="AC979" s="765"/>
      <c r="AD979" s="765"/>
      <c r="AE979" s="765"/>
      <c r="AF979" s="765"/>
      <c r="AG979" s="765"/>
    </row>
    <row r="980" spans="1:33" x14ac:dyDescent="0.25">
      <c r="A980" s="765"/>
      <c r="B980" s="765"/>
      <c r="C980" s="765"/>
      <c r="D980" s="765"/>
      <c r="E980" s="765"/>
      <c r="F980" s="765"/>
      <c r="G980" s="765"/>
      <c r="H980" s="765"/>
      <c r="I980" s="765"/>
      <c r="J980" s="765"/>
      <c r="K980" s="765"/>
      <c r="L980" s="765"/>
      <c r="M980" s="765"/>
      <c r="N980" s="765"/>
      <c r="O980" s="765"/>
      <c r="P980" s="765"/>
      <c r="Q980" s="765"/>
      <c r="R980" s="765"/>
      <c r="S980" s="765"/>
      <c r="T980" s="765"/>
      <c r="U980" s="765"/>
      <c r="V980" s="765"/>
      <c r="W980" s="765"/>
      <c r="X980" s="765"/>
      <c r="Y980" s="765"/>
      <c r="Z980" s="765"/>
      <c r="AA980" s="765"/>
      <c r="AB980" s="765"/>
      <c r="AC980" s="765"/>
      <c r="AD980" s="765"/>
      <c r="AE980" s="765"/>
      <c r="AF980" s="765"/>
      <c r="AG980" s="765"/>
    </row>
    <row r="981" spans="1:33" x14ac:dyDescent="0.25">
      <c r="A981" s="765"/>
      <c r="B981" s="765"/>
      <c r="C981" s="765"/>
      <c r="D981" s="765"/>
      <c r="E981" s="765"/>
      <c r="F981" s="765"/>
      <c r="G981" s="765"/>
      <c r="H981" s="765"/>
      <c r="I981" s="765"/>
      <c r="J981" s="765"/>
      <c r="K981" s="765"/>
      <c r="L981" s="765"/>
      <c r="M981" s="765"/>
      <c r="N981" s="765"/>
      <c r="O981" s="765"/>
      <c r="P981" s="765"/>
      <c r="Q981" s="765"/>
      <c r="R981" s="765"/>
      <c r="S981" s="765"/>
      <c r="T981" s="765"/>
      <c r="U981" s="765"/>
      <c r="V981" s="765"/>
      <c r="W981" s="765"/>
      <c r="X981" s="765"/>
      <c r="Y981" s="765"/>
      <c r="Z981" s="765"/>
      <c r="AA981" s="765"/>
      <c r="AB981" s="765"/>
      <c r="AC981" s="765"/>
      <c r="AD981" s="765"/>
      <c r="AE981" s="765"/>
      <c r="AF981" s="765"/>
      <c r="AG981" s="765"/>
    </row>
    <row r="982" spans="1:33" x14ac:dyDescent="0.25">
      <c r="A982" s="765"/>
      <c r="B982" s="765"/>
      <c r="C982" s="765"/>
      <c r="D982" s="765"/>
      <c r="E982" s="765"/>
      <c r="F982" s="765"/>
      <c r="G982" s="765"/>
      <c r="H982" s="765"/>
      <c r="I982" s="765"/>
      <c r="J982" s="765"/>
      <c r="K982" s="765"/>
      <c r="L982" s="765"/>
      <c r="M982" s="765"/>
      <c r="N982" s="765"/>
      <c r="O982" s="765"/>
      <c r="P982" s="765"/>
      <c r="Q982" s="765"/>
      <c r="R982" s="765"/>
      <c r="S982" s="765"/>
      <c r="T982" s="765"/>
      <c r="U982" s="765"/>
      <c r="V982" s="765"/>
      <c r="W982" s="765"/>
      <c r="X982" s="765"/>
      <c r="Y982" s="765"/>
      <c r="Z982" s="765"/>
      <c r="AA982" s="765"/>
      <c r="AB982" s="765"/>
      <c r="AC982" s="765"/>
      <c r="AD982" s="765"/>
      <c r="AE982" s="765"/>
      <c r="AF982" s="765"/>
      <c r="AG982" s="765"/>
    </row>
    <row r="983" spans="1:33" x14ac:dyDescent="0.25">
      <c r="A983" s="765"/>
      <c r="B983" s="765"/>
      <c r="C983" s="765"/>
      <c r="D983" s="765"/>
      <c r="E983" s="765"/>
      <c r="F983" s="765"/>
      <c r="G983" s="765"/>
      <c r="H983" s="765"/>
      <c r="I983" s="765"/>
      <c r="J983" s="765"/>
      <c r="K983" s="765"/>
      <c r="L983" s="765"/>
      <c r="M983" s="765"/>
      <c r="N983" s="765"/>
      <c r="O983" s="765"/>
      <c r="P983" s="765"/>
      <c r="Q983" s="765"/>
      <c r="R983" s="765"/>
      <c r="S983" s="765"/>
      <c r="T983" s="765"/>
      <c r="U983" s="765"/>
      <c r="V983" s="765"/>
      <c r="W983" s="765"/>
      <c r="X983" s="765"/>
      <c r="Y983" s="765"/>
      <c r="Z983" s="765"/>
      <c r="AA983" s="765"/>
      <c r="AB983" s="765"/>
      <c r="AC983" s="765"/>
      <c r="AD983" s="765"/>
      <c r="AE983" s="765"/>
      <c r="AF983" s="765"/>
      <c r="AG983" s="765"/>
    </row>
    <row r="984" spans="1:33" x14ac:dyDescent="0.25">
      <c r="A984" s="765"/>
      <c r="B984" s="765"/>
      <c r="C984" s="765"/>
      <c r="D984" s="765"/>
      <c r="E984" s="765"/>
      <c r="F984" s="765"/>
      <c r="G984" s="765"/>
      <c r="H984" s="765"/>
      <c r="I984" s="765"/>
      <c r="J984" s="765"/>
      <c r="K984" s="765"/>
      <c r="L984" s="765"/>
      <c r="M984" s="765"/>
      <c r="N984" s="765"/>
      <c r="O984" s="765"/>
      <c r="P984" s="765"/>
      <c r="Q984" s="765"/>
      <c r="R984" s="765"/>
      <c r="S984" s="765"/>
      <c r="T984" s="765"/>
      <c r="U984" s="765"/>
      <c r="V984" s="765"/>
      <c r="W984" s="765"/>
      <c r="X984" s="765"/>
      <c r="Y984" s="765"/>
      <c r="Z984" s="765"/>
      <c r="AA984" s="765"/>
      <c r="AB984" s="765"/>
      <c r="AC984" s="765"/>
      <c r="AD984" s="765"/>
      <c r="AE984" s="765"/>
      <c r="AF984" s="765"/>
      <c r="AG984" s="765"/>
    </row>
    <row r="985" spans="1:33" x14ac:dyDescent="0.25">
      <c r="A985" s="765"/>
      <c r="B985" s="765"/>
      <c r="C985" s="765"/>
      <c r="D985" s="765"/>
      <c r="E985" s="765"/>
      <c r="F985" s="765"/>
      <c r="G985" s="765"/>
      <c r="H985" s="765"/>
      <c r="I985" s="765"/>
      <c r="J985" s="765"/>
      <c r="K985" s="765"/>
      <c r="L985" s="765"/>
      <c r="M985" s="765"/>
      <c r="N985" s="765"/>
      <c r="O985" s="765"/>
      <c r="P985" s="765"/>
      <c r="Q985" s="765"/>
      <c r="R985" s="765"/>
      <c r="S985" s="765"/>
      <c r="T985" s="765"/>
      <c r="U985" s="765"/>
      <c r="V985" s="765"/>
      <c r="W985" s="765"/>
      <c r="X985" s="765"/>
      <c r="Y985" s="765"/>
      <c r="Z985" s="765"/>
      <c r="AA985" s="765"/>
      <c r="AB985" s="765"/>
      <c r="AC985" s="765"/>
      <c r="AD985" s="765"/>
      <c r="AE985" s="765"/>
      <c r="AF985" s="765"/>
      <c r="AG985" s="765"/>
    </row>
    <row r="986" spans="1:33" x14ac:dyDescent="0.25">
      <c r="A986" s="765"/>
      <c r="B986" s="765"/>
      <c r="C986" s="765"/>
      <c r="D986" s="765"/>
      <c r="E986" s="765"/>
      <c r="F986" s="765"/>
      <c r="G986" s="765"/>
      <c r="H986" s="765"/>
      <c r="I986" s="765"/>
      <c r="J986" s="765"/>
      <c r="K986" s="765"/>
      <c r="L986" s="765"/>
      <c r="M986" s="765"/>
      <c r="N986" s="765"/>
      <c r="O986" s="765"/>
      <c r="P986" s="765"/>
      <c r="Q986" s="765"/>
      <c r="R986" s="765"/>
      <c r="S986" s="765"/>
      <c r="T986" s="765"/>
      <c r="U986" s="765"/>
      <c r="V986" s="765"/>
      <c r="W986" s="765"/>
      <c r="X986" s="765"/>
      <c r="Y986" s="765"/>
      <c r="Z986" s="765"/>
      <c r="AA986" s="765"/>
      <c r="AB986" s="765"/>
      <c r="AC986" s="765"/>
      <c r="AD986" s="765"/>
      <c r="AE986" s="765"/>
      <c r="AF986" s="765"/>
      <c r="AG986" s="765"/>
    </row>
    <row r="987" spans="1:33" x14ac:dyDescent="0.25">
      <c r="A987" s="765"/>
      <c r="B987" s="765"/>
      <c r="C987" s="765"/>
      <c r="D987" s="765"/>
      <c r="E987" s="765"/>
      <c r="F987" s="765"/>
      <c r="G987" s="765"/>
      <c r="H987" s="765"/>
      <c r="I987" s="765"/>
      <c r="J987" s="765"/>
      <c r="K987" s="765"/>
      <c r="L987" s="765"/>
      <c r="M987" s="765"/>
      <c r="N987" s="765"/>
      <c r="O987" s="765"/>
      <c r="P987" s="765"/>
      <c r="Q987" s="765"/>
      <c r="R987" s="765"/>
      <c r="S987" s="765"/>
      <c r="T987" s="765"/>
      <c r="U987" s="765"/>
      <c r="V987" s="765"/>
      <c r="W987" s="765"/>
      <c r="X987" s="765"/>
      <c r="Y987" s="765"/>
      <c r="Z987" s="765"/>
      <c r="AA987" s="765"/>
      <c r="AB987" s="765"/>
      <c r="AC987" s="765"/>
      <c r="AD987" s="765"/>
      <c r="AE987" s="765"/>
      <c r="AF987" s="765"/>
      <c r="AG987" s="765"/>
    </row>
    <row r="988" spans="1:33" x14ac:dyDescent="0.25">
      <c r="A988" s="765"/>
      <c r="B988" s="765"/>
      <c r="C988" s="765"/>
      <c r="D988" s="765"/>
      <c r="E988" s="765"/>
      <c r="F988" s="765"/>
      <c r="G988" s="765"/>
      <c r="H988" s="765"/>
      <c r="I988" s="765"/>
      <c r="J988" s="765"/>
      <c r="K988" s="765"/>
      <c r="L988" s="765"/>
      <c r="M988" s="765"/>
      <c r="N988" s="765"/>
      <c r="O988" s="765"/>
      <c r="P988" s="765"/>
      <c r="Q988" s="765"/>
      <c r="R988" s="765"/>
      <c r="S988" s="765"/>
      <c r="T988" s="765"/>
      <c r="U988" s="765"/>
      <c r="V988" s="765"/>
      <c r="W988" s="765"/>
      <c r="X988" s="765"/>
      <c r="Y988" s="765"/>
      <c r="Z988" s="765"/>
      <c r="AA988" s="765"/>
      <c r="AB988" s="765"/>
      <c r="AC988" s="765"/>
      <c r="AD988" s="765"/>
      <c r="AE988" s="765"/>
      <c r="AF988" s="765"/>
      <c r="AG988" s="765"/>
    </row>
    <row r="989" spans="1:33" x14ac:dyDescent="0.25">
      <c r="A989" s="765"/>
      <c r="B989" s="765"/>
      <c r="C989" s="765"/>
      <c r="D989" s="765"/>
      <c r="E989" s="765"/>
      <c r="F989" s="765"/>
      <c r="G989" s="765"/>
      <c r="H989" s="765"/>
      <c r="I989" s="765"/>
      <c r="J989" s="765"/>
      <c r="K989" s="765"/>
      <c r="L989" s="765"/>
      <c r="M989" s="765"/>
      <c r="N989" s="765"/>
      <c r="O989" s="765"/>
      <c r="P989" s="765"/>
      <c r="Q989" s="765"/>
      <c r="R989" s="765"/>
      <c r="S989" s="765"/>
      <c r="T989" s="765"/>
      <c r="U989" s="765"/>
      <c r="V989" s="765"/>
      <c r="W989" s="765"/>
      <c r="X989" s="765"/>
      <c r="Y989" s="765"/>
      <c r="Z989" s="765"/>
      <c r="AA989" s="765"/>
      <c r="AB989" s="765"/>
      <c r="AC989" s="765"/>
      <c r="AD989" s="765"/>
      <c r="AE989" s="765"/>
      <c r="AF989" s="765"/>
      <c r="AG989" s="765"/>
    </row>
    <row r="990" spans="1:33" x14ac:dyDescent="0.25">
      <c r="A990" s="765"/>
      <c r="B990" s="765"/>
      <c r="C990" s="765"/>
      <c r="D990" s="765"/>
      <c r="E990" s="765"/>
      <c r="F990" s="765"/>
      <c r="G990" s="765"/>
      <c r="H990" s="765"/>
      <c r="I990" s="765"/>
      <c r="J990" s="765"/>
      <c r="K990" s="765"/>
      <c r="L990" s="765"/>
      <c r="M990" s="765"/>
      <c r="N990" s="765"/>
      <c r="O990" s="765"/>
      <c r="P990" s="765"/>
      <c r="Q990" s="765"/>
      <c r="R990" s="765"/>
      <c r="S990" s="765"/>
      <c r="T990" s="765"/>
      <c r="U990" s="765"/>
      <c r="V990" s="765"/>
      <c r="W990" s="765"/>
      <c r="X990" s="765"/>
      <c r="Y990" s="765"/>
      <c r="Z990" s="765"/>
      <c r="AA990" s="765"/>
      <c r="AB990" s="765"/>
      <c r="AC990" s="765"/>
      <c r="AD990" s="765"/>
      <c r="AE990" s="765"/>
      <c r="AF990" s="765"/>
      <c r="AG990" s="765"/>
    </row>
    <row r="991" spans="1:33" x14ac:dyDescent="0.25">
      <c r="A991" s="765"/>
      <c r="B991" s="765"/>
      <c r="C991" s="765"/>
      <c r="D991" s="765"/>
      <c r="E991" s="765"/>
      <c r="F991" s="765"/>
      <c r="G991" s="765"/>
      <c r="H991" s="765"/>
      <c r="I991" s="765"/>
      <c r="J991" s="765"/>
      <c r="K991" s="765"/>
      <c r="L991" s="765"/>
      <c r="M991" s="765"/>
      <c r="N991" s="765"/>
      <c r="O991" s="765"/>
      <c r="P991" s="765"/>
      <c r="Q991" s="765"/>
      <c r="R991" s="765"/>
      <c r="S991" s="765"/>
      <c r="T991" s="765"/>
      <c r="U991" s="765"/>
      <c r="V991" s="765"/>
      <c r="W991" s="765"/>
      <c r="X991" s="765"/>
      <c r="Y991" s="765"/>
      <c r="Z991" s="765"/>
      <c r="AA991" s="765"/>
      <c r="AB991" s="765"/>
      <c r="AC991" s="765"/>
      <c r="AD991" s="765"/>
      <c r="AE991" s="765"/>
      <c r="AF991" s="765"/>
      <c r="AG991" s="765"/>
    </row>
    <row r="992" spans="1:33" x14ac:dyDescent="0.25">
      <c r="A992" s="765"/>
      <c r="B992" s="765"/>
      <c r="C992" s="765"/>
      <c r="D992" s="765"/>
      <c r="E992" s="765"/>
      <c r="F992" s="765"/>
      <c r="G992" s="765"/>
      <c r="H992" s="765"/>
      <c r="I992" s="765"/>
      <c r="J992" s="765"/>
      <c r="K992" s="765"/>
      <c r="L992" s="765"/>
      <c r="M992" s="765"/>
      <c r="N992" s="765"/>
      <c r="O992" s="765"/>
      <c r="P992" s="765"/>
      <c r="Q992" s="765"/>
      <c r="R992" s="765"/>
      <c r="S992" s="765"/>
      <c r="T992" s="765"/>
      <c r="U992" s="765"/>
      <c r="V992" s="765"/>
      <c r="W992" s="765"/>
      <c r="X992" s="765"/>
      <c r="Y992" s="765"/>
      <c r="Z992" s="765"/>
      <c r="AA992" s="765"/>
      <c r="AB992" s="765"/>
      <c r="AC992" s="765"/>
      <c r="AD992" s="765"/>
      <c r="AE992" s="765"/>
      <c r="AF992" s="765"/>
      <c r="AG992" s="765"/>
    </row>
    <row r="993" spans="1:33" x14ac:dyDescent="0.25">
      <c r="A993" s="765"/>
      <c r="B993" s="765"/>
      <c r="C993" s="765"/>
      <c r="D993" s="765"/>
      <c r="E993" s="765"/>
      <c r="F993" s="765"/>
      <c r="G993" s="765"/>
      <c r="H993" s="765"/>
      <c r="I993" s="765"/>
      <c r="J993" s="765"/>
      <c r="K993" s="765"/>
      <c r="L993" s="765"/>
      <c r="M993" s="765"/>
      <c r="N993" s="765"/>
      <c r="O993" s="765"/>
      <c r="P993" s="765"/>
      <c r="Q993" s="765"/>
      <c r="R993" s="765"/>
      <c r="S993" s="765"/>
      <c r="T993" s="765"/>
      <c r="U993" s="765"/>
      <c r="V993" s="765"/>
      <c r="W993" s="765"/>
      <c r="X993" s="765"/>
      <c r="Y993" s="765"/>
      <c r="Z993" s="765"/>
      <c r="AA993" s="765"/>
      <c r="AB993" s="765"/>
      <c r="AC993" s="765"/>
      <c r="AD993" s="765"/>
      <c r="AE993" s="765"/>
      <c r="AF993" s="765"/>
      <c r="AG993" s="765"/>
    </row>
    <row r="994" spans="1:33" x14ac:dyDescent="0.25">
      <c r="A994" s="765"/>
      <c r="B994" s="765"/>
      <c r="C994" s="765"/>
      <c r="D994" s="765"/>
      <c r="E994" s="765"/>
      <c r="F994" s="765"/>
      <c r="G994" s="765"/>
      <c r="H994" s="765"/>
      <c r="I994" s="765"/>
      <c r="J994" s="765"/>
      <c r="K994" s="765"/>
      <c r="L994" s="765"/>
      <c r="M994" s="765"/>
      <c r="N994" s="765"/>
      <c r="O994" s="765"/>
      <c r="P994" s="765"/>
      <c r="Q994" s="765"/>
      <c r="R994" s="765"/>
      <c r="S994" s="765"/>
      <c r="T994" s="765"/>
      <c r="U994" s="765"/>
      <c r="V994" s="765"/>
      <c r="W994" s="765"/>
      <c r="X994" s="765"/>
      <c r="Y994" s="765"/>
      <c r="Z994" s="765"/>
      <c r="AA994" s="765"/>
      <c r="AB994" s="765"/>
      <c r="AC994" s="765"/>
      <c r="AD994" s="765"/>
      <c r="AE994" s="765"/>
      <c r="AF994" s="765"/>
      <c r="AG994" s="765"/>
    </row>
    <row r="995" spans="1:33" x14ac:dyDescent="0.25">
      <c r="A995" s="765"/>
      <c r="B995" s="765"/>
      <c r="C995" s="765"/>
      <c r="D995" s="765"/>
      <c r="E995" s="765"/>
      <c r="F995" s="765"/>
      <c r="G995" s="765"/>
      <c r="H995" s="765"/>
      <c r="I995" s="765"/>
      <c r="J995" s="765"/>
      <c r="K995" s="765"/>
      <c r="L995" s="765"/>
      <c r="M995" s="765"/>
      <c r="N995" s="765"/>
      <c r="O995" s="765"/>
      <c r="P995" s="765"/>
      <c r="Q995" s="765"/>
      <c r="R995" s="765"/>
      <c r="S995" s="765"/>
      <c r="T995" s="765"/>
      <c r="U995" s="765"/>
      <c r="V995" s="765"/>
      <c r="W995" s="765"/>
      <c r="X995" s="765"/>
      <c r="Y995" s="765"/>
      <c r="Z995" s="765"/>
      <c r="AA995" s="765"/>
      <c r="AB995" s="765"/>
      <c r="AC995" s="765"/>
      <c r="AD995" s="765"/>
      <c r="AE995" s="765"/>
      <c r="AF995" s="765"/>
      <c r="AG995" s="76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E863-7667-4867-9549-B3B224EF61F6}">
  <sheetPr codeName="Sheet21"/>
  <dimension ref="A1:D503"/>
  <sheetViews>
    <sheetView workbookViewId="0">
      <selection sqref="A1:D503"/>
    </sheetView>
  </sheetViews>
  <sheetFormatPr defaultRowHeight="15" x14ac:dyDescent="0.25"/>
  <sheetData>
    <row r="1" spans="1:4" x14ac:dyDescent="0.25">
      <c r="A1" t="s">
        <v>23</v>
      </c>
      <c r="B1" t="s">
        <v>1081</v>
      </c>
      <c r="C1" t="s">
        <v>1082</v>
      </c>
      <c r="D1" t="s">
        <v>3390</v>
      </c>
    </row>
    <row r="2" spans="1:4" x14ac:dyDescent="0.25">
      <c r="A2" t="s">
        <v>3059</v>
      </c>
      <c r="B2">
        <v>81.942869999999999</v>
      </c>
      <c r="C2">
        <v>81.942869999999999</v>
      </c>
      <c r="D2" t="s">
        <v>3391</v>
      </c>
    </row>
    <row r="3" spans="1:4" x14ac:dyDescent="0.25">
      <c r="A3" t="s">
        <v>3550</v>
      </c>
      <c r="B3">
        <v>91.806370000000001</v>
      </c>
      <c r="C3">
        <v>91.806370000000001</v>
      </c>
      <c r="D3" t="s">
        <v>3391</v>
      </c>
    </row>
    <row r="4" spans="1:4" x14ac:dyDescent="0.25">
      <c r="A4" t="s">
        <v>5015</v>
      </c>
      <c r="B4">
        <v>89</v>
      </c>
      <c r="C4">
        <v>89</v>
      </c>
      <c r="D4" t="s">
        <v>3394</v>
      </c>
    </row>
    <row r="5" spans="1:4" x14ac:dyDescent="0.25">
      <c r="A5" t="s">
        <v>1593</v>
      </c>
      <c r="B5">
        <v>100.12215999999999</v>
      </c>
      <c r="C5">
        <v>100.12215999999999</v>
      </c>
      <c r="D5" t="s">
        <v>3392</v>
      </c>
    </row>
    <row r="6" spans="1:4" x14ac:dyDescent="0.25">
      <c r="A6" t="s">
        <v>3150</v>
      </c>
      <c r="B6">
        <v>100.89972</v>
      </c>
      <c r="C6">
        <v>100.89972</v>
      </c>
      <c r="D6" t="s">
        <v>3391</v>
      </c>
    </row>
    <row r="7" spans="1:4" x14ac:dyDescent="0.25">
      <c r="A7" t="s">
        <v>4407</v>
      </c>
      <c r="B7">
        <v>100.12350000000001</v>
      </c>
      <c r="C7">
        <v>100.12350000000001</v>
      </c>
      <c r="D7" t="s">
        <v>3392</v>
      </c>
    </row>
    <row r="8" spans="1:4" x14ac:dyDescent="0.25">
      <c r="A8" t="s">
        <v>2890</v>
      </c>
      <c r="B8">
        <v>99.417389999999997</v>
      </c>
      <c r="C8">
        <v>99.417389999999997</v>
      </c>
      <c r="D8" t="s">
        <v>3391</v>
      </c>
    </row>
    <row r="9" spans="1:4" x14ac:dyDescent="0.25">
      <c r="A9" t="s">
        <v>2956</v>
      </c>
      <c r="B9">
        <v>95.575789999999998</v>
      </c>
      <c r="C9">
        <v>95.575789999999998</v>
      </c>
      <c r="D9" t="s">
        <v>3391</v>
      </c>
    </row>
    <row r="10" spans="1:4" x14ac:dyDescent="0.25">
      <c r="A10" t="s">
        <v>2982</v>
      </c>
      <c r="B10">
        <v>100</v>
      </c>
      <c r="C10">
        <v>100.1977</v>
      </c>
      <c r="D10" t="s">
        <v>3393</v>
      </c>
    </row>
    <row r="11" spans="1:4" x14ac:dyDescent="0.25">
      <c r="A11" t="s">
        <v>3011</v>
      </c>
      <c r="B11">
        <v>100</v>
      </c>
      <c r="C11">
        <v>100.4569</v>
      </c>
      <c r="D11" t="s">
        <v>3393</v>
      </c>
    </row>
    <row r="12" spans="1:4" x14ac:dyDescent="0.25">
      <c r="A12" t="s">
        <v>1560</v>
      </c>
      <c r="B12">
        <v>100</v>
      </c>
      <c r="C12">
        <v>100.11109999999999</v>
      </c>
      <c r="D12" t="s">
        <v>3393</v>
      </c>
    </row>
    <row r="13" spans="1:4" x14ac:dyDescent="0.25">
      <c r="A13" t="s">
        <v>1695</v>
      </c>
      <c r="B13">
        <v>100</v>
      </c>
      <c r="C13">
        <v>100.11199999999999</v>
      </c>
      <c r="D13" t="s">
        <v>3393</v>
      </c>
    </row>
    <row r="14" spans="1:4" x14ac:dyDescent="0.25">
      <c r="A14" t="s">
        <v>2339</v>
      </c>
      <c r="B14">
        <v>100</v>
      </c>
      <c r="C14">
        <v>100.12009999999999</v>
      </c>
      <c r="D14" t="s">
        <v>3393</v>
      </c>
    </row>
    <row r="15" spans="1:4" x14ac:dyDescent="0.25">
      <c r="A15" t="s">
        <v>3131</v>
      </c>
      <c r="B15">
        <v>100</v>
      </c>
      <c r="C15">
        <v>100.1499</v>
      </c>
      <c r="D15" t="s">
        <v>3393</v>
      </c>
    </row>
    <row r="16" spans="1:4" x14ac:dyDescent="0.25">
      <c r="A16" t="s">
        <v>3387</v>
      </c>
      <c r="B16">
        <v>92.87276</v>
      </c>
      <c r="C16">
        <v>92.87276</v>
      </c>
      <c r="D16" t="s">
        <v>3392</v>
      </c>
    </row>
    <row r="17" spans="1:4" x14ac:dyDescent="0.25">
      <c r="A17" t="s">
        <v>3526</v>
      </c>
      <c r="B17">
        <v>100.80475</v>
      </c>
      <c r="C17">
        <v>100.80475</v>
      </c>
      <c r="D17" t="s">
        <v>3392</v>
      </c>
    </row>
    <row r="18" spans="1:4" x14ac:dyDescent="0.25">
      <c r="A18" t="s">
        <v>3418</v>
      </c>
      <c r="B18">
        <v>100</v>
      </c>
      <c r="C18">
        <v>100.07940000000001</v>
      </c>
      <c r="D18" t="s">
        <v>3393</v>
      </c>
    </row>
    <row r="19" spans="1:4" x14ac:dyDescent="0.25">
      <c r="A19" t="s">
        <v>2224</v>
      </c>
      <c r="B19">
        <v>100.06001000000001</v>
      </c>
      <c r="C19">
        <v>100.06001000000001</v>
      </c>
      <c r="D19" t="s">
        <v>3391</v>
      </c>
    </row>
    <row r="20" spans="1:4" x14ac:dyDescent="0.25">
      <c r="A20" t="s">
        <v>3652</v>
      </c>
      <c r="B20">
        <v>100.88041</v>
      </c>
      <c r="C20">
        <v>100.88041</v>
      </c>
      <c r="D20" t="s">
        <v>3392</v>
      </c>
    </row>
    <row r="21" spans="1:4" x14ac:dyDescent="0.25">
      <c r="A21" t="s">
        <v>3880</v>
      </c>
      <c r="B21">
        <v>93.141310000000004</v>
      </c>
      <c r="C21">
        <v>93.141310000000004</v>
      </c>
      <c r="D21" t="s">
        <v>3392</v>
      </c>
    </row>
    <row r="22" spans="1:4" x14ac:dyDescent="0.25">
      <c r="A22" t="s">
        <v>4397</v>
      </c>
      <c r="B22">
        <v>93.512969999999996</v>
      </c>
      <c r="C22">
        <v>93.512969999999996</v>
      </c>
      <c r="D22" t="s">
        <v>3392</v>
      </c>
    </row>
    <row r="23" spans="1:4" x14ac:dyDescent="0.25">
      <c r="A23" t="s">
        <v>4510</v>
      </c>
      <c r="B23">
        <v>100</v>
      </c>
      <c r="C23">
        <v>100.0227</v>
      </c>
      <c r="D23" t="s">
        <v>3393</v>
      </c>
    </row>
    <row r="24" spans="1:4" x14ac:dyDescent="0.25">
      <c r="A24" t="s">
        <v>4542</v>
      </c>
      <c r="B24">
        <v>93.155950000000004</v>
      </c>
      <c r="C24">
        <v>93.155950000000004</v>
      </c>
      <c r="D24" t="s">
        <v>3392</v>
      </c>
    </row>
    <row r="25" spans="1:4" x14ac:dyDescent="0.25">
      <c r="A25" t="s">
        <v>4509</v>
      </c>
      <c r="B25">
        <v>100</v>
      </c>
      <c r="C25">
        <v>100.0227</v>
      </c>
      <c r="D25" t="s">
        <v>3393</v>
      </c>
    </row>
    <row r="26" spans="1:4" x14ac:dyDescent="0.25">
      <c r="A26" t="s">
        <v>4622</v>
      </c>
      <c r="B26">
        <v>100</v>
      </c>
      <c r="C26">
        <v>100.12009999999999</v>
      </c>
      <c r="D26" t="s">
        <v>3393</v>
      </c>
    </row>
    <row r="27" spans="1:4" x14ac:dyDescent="0.25">
      <c r="A27" t="s">
        <v>4599</v>
      </c>
      <c r="B27">
        <v>100</v>
      </c>
      <c r="C27">
        <v>100.1481</v>
      </c>
      <c r="D27" t="s">
        <v>3393</v>
      </c>
    </row>
    <row r="28" spans="1:4" x14ac:dyDescent="0.25">
      <c r="A28" t="s">
        <v>5011</v>
      </c>
      <c r="B28">
        <v>99.285409999999999</v>
      </c>
      <c r="C28">
        <v>99.285409999999999</v>
      </c>
      <c r="D28" t="s">
        <v>3391</v>
      </c>
    </row>
    <row r="29" spans="1:4" x14ac:dyDescent="0.25">
      <c r="A29" t="s">
        <v>2933</v>
      </c>
      <c r="B29">
        <v>100</v>
      </c>
      <c r="C29">
        <v>100.0596</v>
      </c>
      <c r="D29" t="s">
        <v>3393</v>
      </c>
    </row>
    <row r="30" spans="1:4" x14ac:dyDescent="0.25">
      <c r="A30" t="s">
        <v>5070</v>
      </c>
      <c r="B30">
        <v>100</v>
      </c>
      <c r="C30">
        <v>100.0913</v>
      </c>
      <c r="D30" t="s">
        <v>3393</v>
      </c>
    </row>
    <row r="31" spans="1:4" x14ac:dyDescent="0.25">
      <c r="A31" t="s">
        <v>3378</v>
      </c>
      <c r="B31">
        <v>100</v>
      </c>
      <c r="C31">
        <v>100.1752</v>
      </c>
      <c r="D31" t="s">
        <v>3393</v>
      </c>
    </row>
    <row r="32" spans="1:4" x14ac:dyDescent="0.25">
      <c r="A32" t="s">
        <v>607</v>
      </c>
      <c r="B32">
        <v>100</v>
      </c>
      <c r="C32">
        <v>100</v>
      </c>
      <c r="D32" t="s">
        <v>60</v>
      </c>
    </row>
    <row r="33" spans="1:4" x14ac:dyDescent="0.25">
      <c r="A33" t="s">
        <v>1034</v>
      </c>
      <c r="B33">
        <v>100.00230000000001</v>
      </c>
      <c r="C33">
        <v>100.00230000000001</v>
      </c>
      <c r="D33" t="s">
        <v>3392</v>
      </c>
    </row>
    <row r="34" spans="1:4" x14ac:dyDescent="0.25">
      <c r="A34" t="s">
        <v>2952</v>
      </c>
      <c r="B34">
        <v>99.238500000000002</v>
      </c>
      <c r="C34">
        <v>99.238500000000002</v>
      </c>
      <c r="D34" t="s">
        <v>3392</v>
      </c>
    </row>
    <row r="35" spans="1:4" x14ac:dyDescent="0.25">
      <c r="A35" t="s">
        <v>2846</v>
      </c>
      <c r="B35">
        <v>98.772599999999997</v>
      </c>
      <c r="C35">
        <v>98.772599999999997</v>
      </c>
      <c r="D35" t="s">
        <v>3392</v>
      </c>
    </row>
    <row r="36" spans="1:4" x14ac:dyDescent="0.25">
      <c r="A36" t="s">
        <v>1839</v>
      </c>
      <c r="B36">
        <v>98.510900000000007</v>
      </c>
      <c r="C36">
        <v>98.510900000000007</v>
      </c>
      <c r="D36" t="s">
        <v>3392</v>
      </c>
    </row>
    <row r="37" spans="1:4" x14ac:dyDescent="0.25">
      <c r="A37" t="s">
        <v>3046</v>
      </c>
      <c r="B37">
        <v>98.242000000000004</v>
      </c>
      <c r="C37">
        <v>98.242000000000004</v>
      </c>
      <c r="D37" t="s">
        <v>3392</v>
      </c>
    </row>
    <row r="38" spans="1:4" x14ac:dyDescent="0.25">
      <c r="A38" t="s">
        <v>1844</v>
      </c>
      <c r="B38">
        <v>98.093800000000002</v>
      </c>
      <c r="C38">
        <v>98.093800000000002</v>
      </c>
      <c r="D38" t="s">
        <v>3392</v>
      </c>
    </row>
    <row r="39" spans="1:4" x14ac:dyDescent="0.25">
      <c r="A39" t="s">
        <v>2822</v>
      </c>
      <c r="B39">
        <v>95.168599999999998</v>
      </c>
      <c r="C39">
        <v>95.168599999999998</v>
      </c>
      <c r="D39" t="s">
        <v>3392</v>
      </c>
    </row>
    <row r="40" spans="1:4" x14ac:dyDescent="0.25">
      <c r="A40" t="s">
        <v>1851</v>
      </c>
      <c r="B40">
        <v>99.959100000000007</v>
      </c>
      <c r="C40">
        <v>99.959100000000007</v>
      </c>
      <c r="D40" t="s">
        <v>3392</v>
      </c>
    </row>
    <row r="41" spans="1:4" x14ac:dyDescent="0.25">
      <c r="A41" t="s">
        <v>3129</v>
      </c>
      <c r="B41">
        <v>96.256399999999999</v>
      </c>
      <c r="C41">
        <v>96.256399999999999</v>
      </c>
      <c r="D41" t="s">
        <v>3392</v>
      </c>
    </row>
    <row r="42" spans="1:4" x14ac:dyDescent="0.25">
      <c r="A42" t="s">
        <v>2882</v>
      </c>
      <c r="B42">
        <v>95.199200000000005</v>
      </c>
      <c r="C42">
        <v>95.199200000000005</v>
      </c>
      <c r="D42" t="s">
        <v>3392</v>
      </c>
    </row>
    <row r="43" spans="1:4" x14ac:dyDescent="0.25">
      <c r="A43" t="s">
        <v>3048</v>
      </c>
      <c r="B43">
        <v>98.412899999999993</v>
      </c>
      <c r="C43">
        <v>98.412899999999993</v>
      </c>
      <c r="D43" t="s">
        <v>3392</v>
      </c>
    </row>
    <row r="44" spans="1:4" x14ac:dyDescent="0.25">
      <c r="A44" t="s">
        <v>2108</v>
      </c>
      <c r="B44">
        <v>99.224599999999995</v>
      </c>
      <c r="C44">
        <v>99.224599999999995</v>
      </c>
      <c r="D44" t="s">
        <v>3392</v>
      </c>
    </row>
    <row r="45" spans="1:4" x14ac:dyDescent="0.25">
      <c r="A45" t="s">
        <v>1854</v>
      </c>
      <c r="B45">
        <v>99.7667</v>
      </c>
      <c r="C45">
        <v>99.7667</v>
      </c>
      <c r="D45" t="s">
        <v>3392</v>
      </c>
    </row>
    <row r="46" spans="1:4" x14ac:dyDescent="0.25">
      <c r="A46" t="s">
        <v>2828</v>
      </c>
      <c r="B46">
        <v>99.695400000000006</v>
      </c>
      <c r="C46">
        <v>99.695400000000006</v>
      </c>
      <c r="D46" t="s">
        <v>3392</v>
      </c>
    </row>
    <row r="47" spans="1:4" x14ac:dyDescent="0.25">
      <c r="A47" t="s">
        <v>2578</v>
      </c>
      <c r="B47">
        <v>98.429199999999994</v>
      </c>
      <c r="C47">
        <v>98.429199999999994</v>
      </c>
      <c r="D47" t="s">
        <v>3392</v>
      </c>
    </row>
    <row r="48" spans="1:4" x14ac:dyDescent="0.25">
      <c r="A48" t="s">
        <v>3135</v>
      </c>
      <c r="B48">
        <v>89.805899999999994</v>
      </c>
      <c r="C48">
        <v>89.805899999999994</v>
      </c>
      <c r="D48" t="s">
        <v>3392</v>
      </c>
    </row>
    <row r="49" spans="1:4" x14ac:dyDescent="0.25">
      <c r="A49" t="s">
        <v>3175</v>
      </c>
      <c r="B49">
        <v>99.427099999999996</v>
      </c>
      <c r="C49">
        <v>99.427099999999996</v>
      </c>
      <c r="D49" t="s">
        <v>3392</v>
      </c>
    </row>
    <row r="50" spans="1:4" x14ac:dyDescent="0.25">
      <c r="A50" t="s">
        <v>3154</v>
      </c>
      <c r="B50">
        <v>93.006100000000004</v>
      </c>
      <c r="C50">
        <v>93.006100000000004</v>
      </c>
      <c r="D50" t="s">
        <v>3392</v>
      </c>
    </row>
    <row r="51" spans="1:4" x14ac:dyDescent="0.25">
      <c r="A51" t="s">
        <v>3174</v>
      </c>
      <c r="B51">
        <v>100.0458</v>
      </c>
      <c r="C51">
        <v>100.0458</v>
      </c>
      <c r="D51" t="s">
        <v>3392</v>
      </c>
    </row>
    <row r="52" spans="1:4" x14ac:dyDescent="0.25">
      <c r="A52" t="s">
        <v>3285</v>
      </c>
      <c r="B52">
        <v>98.171800000000005</v>
      </c>
      <c r="C52">
        <v>98.171800000000005</v>
      </c>
      <c r="D52" t="s">
        <v>3392</v>
      </c>
    </row>
    <row r="53" spans="1:4" x14ac:dyDescent="0.25">
      <c r="A53" t="s">
        <v>3383</v>
      </c>
      <c r="B53">
        <v>100</v>
      </c>
      <c r="C53">
        <v>100</v>
      </c>
      <c r="D53" t="s">
        <v>3392</v>
      </c>
    </row>
    <row r="54" spans="1:4" x14ac:dyDescent="0.25">
      <c r="A54" t="s">
        <v>3364</v>
      </c>
      <c r="B54">
        <v>97.9101</v>
      </c>
      <c r="C54">
        <v>97.9101</v>
      </c>
      <c r="D54" t="s">
        <v>3392</v>
      </c>
    </row>
    <row r="55" spans="1:4" x14ac:dyDescent="0.25">
      <c r="A55" t="s">
        <v>3426</v>
      </c>
      <c r="B55">
        <v>98.677800000000005</v>
      </c>
      <c r="C55">
        <v>98.677800000000005</v>
      </c>
      <c r="D55" t="s">
        <v>3996</v>
      </c>
    </row>
    <row r="56" spans="1:4" x14ac:dyDescent="0.25">
      <c r="A56" t="s">
        <v>3456</v>
      </c>
      <c r="B56">
        <v>93.909199999999998</v>
      </c>
      <c r="C56">
        <v>93.909199999999998</v>
      </c>
      <c r="D56" t="s">
        <v>3392</v>
      </c>
    </row>
    <row r="57" spans="1:4" x14ac:dyDescent="0.25">
      <c r="A57" t="s">
        <v>3451</v>
      </c>
      <c r="B57">
        <v>96.227400000000003</v>
      </c>
      <c r="C57">
        <v>96.227400000000003</v>
      </c>
      <c r="D57" t="s">
        <v>3392</v>
      </c>
    </row>
    <row r="58" spans="1:4" x14ac:dyDescent="0.25">
      <c r="A58" t="s">
        <v>3445</v>
      </c>
      <c r="B58">
        <v>91.086399999999998</v>
      </c>
      <c r="C58">
        <v>91.086399999999998</v>
      </c>
      <c r="D58" t="s">
        <v>3392</v>
      </c>
    </row>
    <row r="59" spans="1:4" x14ac:dyDescent="0.25">
      <c r="A59" t="s">
        <v>3444</v>
      </c>
      <c r="B59">
        <v>94.6083</v>
      </c>
      <c r="C59">
        <v>94.6083</v>
      </c>
      <c r="D59" t="s">
        <v>3392</v>
      </c>
    </row>
    <row r="60" spans="1:4" x14ac:dyDescent="0.25">
      <c r="A60" t="s">
        <v>3515</v>
      </c>
      <c r="B60">
        <v>98.809899999999999</v>
      </c>
      <c r="C60">
        <v>98.809899999999999</v>
      </c>
      <c r="D60" t="s">
        <v>3392</v>
      </c>
    </row>
    <row r="61" spans="1:4" x14ac:dyDescent="0.25">
      <c r="A61" t="s">
        <v>3446</v>
      </c>
      <c r="B61">
        <v>97.665899999999993</v>
      </c>
      <c r="C61">
        <v>97.665899999999993</v>
      </c>
      <c r="D61" t="s">
        <v>3392</v>
      </c>
    </row>
    <row r="62" spans="1:4" x14ac:dyDescent="0.25">
      <c r="A62" t="s">
        <v>3534</v>
      </c>
      <c r="B62">
        <v>88.931399999999996</v>
      </c>
      <c r="C62">
        <v>88.931399999999996</v>
      </c>
      <c r="D62" t="s">
        <v>3392</v>
      </c>
    </row>
    <row r="63" spans="1:4" x14ac:dyDescent="0.25">
      <c r="A63" t="s">
        <v>3549</v>
      </c>
      <c r="B63">
        <v>99.074399999999997</v>
      </c>
      <c r="C63">
        <v>99.074399999999997</v>
      </c>
      <c r="D63" t="s">
        <v>3392</v>
      </c>
    </row>
    <row r="64" spans="1:4" x14ac:dyDescent="0.25">
      <c r="A64" t="s">
        <v>3571</v>
      </c>
      <c r="B64">
        <v>100.41</v>
      </c>
      <c r="C64">
        <v>100.41</v>
      </c>
      <c r="D64" t="s">
        <v>3391</v>
      </c>
    </row>
    <row r="65" spans="1:4" x14ac:dyDescent="0.25">
      <c r="A65" t="s">
        <v>3591</v>
      </c>
      <c r="B65">
        <v>99.584999999999994</v>
      </c>
      <c r="C65">
        <v>99.584999999999994</v>
      </c>
      <c r="D65" t="s">
        <v>3391</v>
      </c>
    </row>
    <row r="66" spans="1:4" x14ac:dyDescent="0.25">
      <c r="A66" t="s">
        <v>3592</v>
      </c>
      <c r="B66">
        <v>96.881299999999996</v>
      </c>
      <c r="C66">
        <v>96.881299999999996</v>
      </c>
      <c r="D66" t="s">
        <v>3392</v>
      </c>
    </row>
    <row r="67" spans="1:4" x14ac:dyDescent="0.25">
      <c r="A67" t="s">
        <v>3644</v>
      </c>
      <c r="B67">
        <v>100.0539</v>
      </c>
      <c r="C67">
        <v>100.0539</v>
      </c>
      <c r="D67" t="s">
        <v>3392</v>
      </c>
    </row>
    <row r="68" spans="1:4" x14ac:dyDescent="0.25">
      <c r="A68" t="s">
        <v>3643</v>
      </c>
      <c r="B68">
        <v>98.188599999999994</v>
      </c>
      <c r="C68">
        <v>98.188599999999994</v>
      </c>
      <c r="D68" t="s">
        <v>3392</v>
      </c>
    </row>
    <row r="69" spans="1:4" x14ac:dyDescent="0.25">
      <c r="A69" t="s">
        <v>3648</v>
      </c>
      <c r="B69">
        <v>98.672799999999995</v>
      </c>
      <c r="C69">
        <v>98.672799999999995</v>
      </c>
      <c r="D69" t="s">
        <v>3392</v>
      </c>
    </row>
    <row r="70" spans="1:4" x14ac:dyDescent="0.25">
      <c r="A70" t="s">
        <v>3642</v>
      </c>
      <c r="B70">
        <v>95.094300000000004</v>
      </c>
      <c r="C70">
        <v>95.094300000000004</v>
      </c>
      <c r="D70" t="s">
        <v>3392</v>
      </c>
    </row>
    <row r="71" spans="1:4" x14ac:dyDescent="0.25">
      <c r="A71" t="s">
        <v>3869</v>
      </c>
      <c r="B71">
        <v>100.0868</v>
      </c>
      <c r="C71">
        <v>100.0868</v>
      </c>
      <c r="D71" t="s">
        <v>3391</v>
      </c>
    </row>
    <row r="72" spans="1:4" x14ac:dyDescent="0.25">
      <c r="A72" t="s">
        <v>3870</v>
      </c>
      <c r="B72">
        <v>97.452399999999997</v>
      </c>
      <c r="C72">
        <v>97.452399999999997</v>
      </c>
      <c r="D72" t="s">
        <v>3391</v>
      </c>
    </row>
    <row r="73" spans="1:4" x14ac:dyDescent="0.25">
      <c r="A73" t="s">
        <v>3877</v>
      </c>
      <c r="B73">
        <v>94.938400000000001</v>
      </c>
      <c r="C73">
        <v>94.938400000000001</v>
      </c>
      <c r="D73" t="s">
        <v>3392</v>
      </c>
    </row>
    <row r="74" spans="1:4" x14ac:dyDescent="0.25">
      <c r="A74" t="s">
        <v>4044</v>
      </c>
      <c r="B74">
        <v>99.641900000000007</v>
      </c>
      <c r="C74">
        <v>99.641900000000007</v>
      </c>
      <c r="D74" t="s">
        <v>3392</v>
      </c>
    </row>
    <row r="75" spans="1:4" x14ac:dyDescent="0.25">
      <c r="A75" t="s">
        <v>4401</v>
      </c>
      <c r="B75">
        <v>98.9863</v>
      </c>
      <c r="C75">
        <v>98.9863</v>
      </c>
      <c r="D75" t="s">
        <v>3392</v>
      </c>
    </row>
    <row r="76" spans="1:4" x14ac:dyDescent="0.25">
      <c r="A76" t="s">
        <v>4404</v>
      </c>
      <c r="B76">
        <v>99.53</v>
      </c>
      <c r="C76">
        <v>99.53</v>
      </c>
      <c r="D76" t="s">
        <v>3392</v>
      </c>
    </row>
    <row r="77" spans="1:4" x14ac:dyDescent="0.25">
      <c r="A77" t="s">
        <v>4546</v>
      </c>
      <c r="B77">
        <v>90.101600000000005</v>
      </c>
      <c r="C77">
        <v>90.101600000000005</v>
      </c>
      <c r="D77" t="s">
        <v>3392</v>
      </c>
    </row>
    <row r="78" spans="1:4" x14ac:dyDescent="0.25">
      <c r="A78" t="s">
        <v>4612</v>
      </c>
      <c r="B78">
        <v>95.492999999999995</v>
      </c>
      <c r="C78">
        <v>95.492999999999995</v>
      </c>
      <c r="D78" t="s">
        <v>3392</v>
      </c>
    </row>
    <row r="79" spans="1:4" x14ac:dyDescent="0.25">
      <c r="A79" t="s">
        <v>4810</v>
      </c>
      <c r="B79">
        <v>99.090599999999995</v>
      </c>
      <c r="C79">
        <v>99.090599999999995</v>
      </c>
      <c r="D79" t="s">
        <v>3392</v>
      </c>
    </row>
    <row r="80" spans="1:4" x14ac:dyDescent="0.25">
      <c r="A80" t="s">
        <v>5048</v>
      </c>
      <c r="B80">
        <v>91.610799999999998</v>
      </c>
      <c r="C80">
        <v>91.610799999999998</v>
      </c>
      <c r="D80" t="s">
        <v>3392</v>
      </c>
    </row>
    <row r="81" spans="1:4" x14ac:dyDescent="0.25">
      <c r="A81" t="s">
        <v>5055</v>
      </c>
      <c r="B81">
        <v>99.879199999999997</v>
      </c>
      <c r="C81">
        <v>99.879199999999997</v>
      </c>
      <c r="D81" t="s">
        <v>3392</v>
      </c>
    </row>
    <row r="82" spans="1:4" x14ac:dyDescent="0.25">
      <c r="A82" t="s">
        <v>5057</v>
      </c>
      <c r="B82">
        <v>95.056100000000001</v>
      </c>
      <c r="C82">
        <v>95.056100000000001</v>
      </c>
      <c r="D82" t="s">
        <v>3392</v>
      </c>
    </row>
    <row r="83" spans="1:4" x14ac:dyDescent="0.25">
      <c r="A83" t="s">
        <v>5068</v>
      </c>
      <c r="B83">
        <v>98.730900000000005</v>
      </c>
      <c r="C83">
        <v>98.730900000000005</v>
      </c>
      <c r="D83" t="s">
        <v>3392</v>
      </c>
    </row>
    <row r="84" spans="1:4" x14ac:dyDescent="0.25">
      <c r="A84" t="s">
        <v>5067</v>
      </c>
      <c r="B84">
        <v>98.998599999999996</v>
      </c>
      <c r="C84">
        <v>98.998599999999996</v>
      </c>
      <c r="D84" t="s">
        <v>3392</v>
      </c>
    </row>
    <row r="85" spans="1:4" x14ac:dyDescent="0.25">
      <c r="A85" t="s">
        <v>2649</v>
      </c>
      <c r="B85">
        <v>99.851020000000005</v>
      </c>
      <c r="C85">
        <v>99.851020000000005</v>
      </c>
      <c r="D85" t="s">
        <v>3392</v>
      </c>
    </row>
    <row r="86" spans="1:4" x14ac:dyDescent="0.25">
      <c r="A86" t="s">
        <v>2650</v>
      </c>
      <c r="B86">
        <v>99.314729999999997</v>
      </c>
      <c r="C86">
        <v>99.314729999999997</v>
      </c>
      <c r="D86" t="s">
        <v>3392</v>
      </c>
    </row>
    <row r="87" spans="1:4" x14ac:dyDescent="0.25">
      <c r="A87" t="s">
        <v>1681</v>
      </c>
      <c r="B87">
        <v>98.559979999999996</v>
      </c>
      <c r="C87">
        <v>98.559979999999996</v>
      </c>
      <c r="D87" t="s">
        <v>3392</v>
      </c>
    </row>
    <row r="88" spans="1:4" x14ac:dyDescent="0.25">
      <c r="A88" t="s">
        <v>1973</v>
      </c>
      <c r="B88">
        <v>99.458539999999999</v>
      </c>
      <c r="C88">
        <v>99.458539999999999</v>
      </c>
      <c r="D88" t="s">
        <v>3392</v>
      </c>
    </row>
    <row r="89" spans="1:4" x14ac:dyDescent="0.25">
      <c r="A89" t="s">
        <v>3124</v>
      </c>
      <c r="B89">
        <v>99.332740000000001</v>
      </c>
      <c r="C89">
        <v>99.332740000000001</v>
      </c>
      <c r="D89" t="s">
        <v>3392</v>
      </c>
    </row>
    <row r="90" spans="1:4" x14ac:dyDescent="0.25">
      <c r="A90" t="s">
        <v>2207</v>
      </c>
      <c r="B90">
        <v>99.393029999999996</v>
      </c>
      <c r="C90">
        <v>99.393029999999996</v>
      </c>
      <c r="D90" t="s">
        <v>3392</v>
      </c>
    </row>
    <row r="91" spans="1:4" x14ac:dyDescent="0.25">
      <c r="A91" t="s">
        <v>2623</v>
      </c>
      <c r="B91">
        <v>99.388210000000001</v>
      </c>
      <c r="C91">
        <v>99.388210000000001</v>
      </c>
      <c r="D91" t="s">
        <v>3392</v>
      </c>
    </row>
    <row r="92" spans="1:4" x14ac:dyDescent="0.25">
      <c r="A92" t="s">
        <v>2062</v>
      </c>
      <c r="B92">
        <v>99.434479999999994</v>
      </c>
      <c r="C92">
        <v>99.434479999999994</v>
      </c>
      <c r="D92" t="s">
        <v>3392</v>
      </c>
    </row>
    <row r="93" spans="1:4" x14ac:dyDescent="0.25">
      <c r="A93" t="s">
        <v>2911</v>
      </c>
      <c r="B93">
        <v>98.087829999999997</v>
      </c>
      <c r="C93">
        <v>98.087829999999997</v>
      </c>
      <c r="D93" t="s">
        <v>3392</v>
      </c>
    </row>
    <row r="94" spans="1:4" x14ac:dyDescent="0.25">
      <c r="A94" t="s">
        <v>2214</v>
      </c>
      <c r="B94">
        <v>99.854860000000002</v>
      </c>
      <c r="C94">
        <v>99.854860000000002</v>
      </c>
      <c r="D94" t="s">
        <v>3392</v>
      </c>
    </row>
    <row r="95" spans="1:4" x14ac:dyDescent="0.25">
      <c r="A95" t="s">
        <v>2637</v>
      </c>
      <c r="B95">
        <v>98</v>
      </c>
      <c r="C95">
        <v>98</v>
      </c>
      <c r="D95" t="s">
        <v>3394</v>
      </c>
    </row>
    <row r="96" spans="1:4" x14ac:dyDescent="0.25">
      <c r="A96" t="s">
        <v>3581</v>
      </c>
      <c r="B96">
        <v>100</v>
      </c>
      <c r="C96">
        <v>100</v>
      </c>
      <c r="D96" t="s">
        <v>3391</v>
      </c>
    </row>
    <row r="97" spans="1:4" x14ac:dyDescent="0.25">
      <c r="A97" t="s">
        <v>3600</v>
      </c>
      <c r="B97">
        <v>98.815939999999998</v>
      </c>
      <c r="C97">
        <v>98.815939999999998</v>
      </c>
      <c r="D97" t="s">
        <v>3392</v>
      </c>
    </row>
    <row r="98" spans="1:4" x14ac:dyDescent="0.25">
      <c r="A98" t="s">
        <v>3630</v>
      </c>
      <c r="B98">
        <v>99.022859999999994</v>
      </c>
      <c r="C98">
        <v>99.022859999999994</v>
      </c>
      <c r="D98" t="s">
        <v>3392</v>
      </c>
    </row>
    <row r="99" spans="1:4" x14ac:dyDescent="0.25">
      <c r="A99" t="s">
        <v>3629</v>
      </c>
      <c r="B99">
        <v>99.614689999999996</v>
      </c>
      <c r="C99">
        <v>99.614689999999996</v>
      </c>
      <c r="D99" t="s">
        <v>3392</v>
      </c>
    </row>
    <row r="100" spans="1:4" x14ac:dyDescent="0.25">
      <c r="A100" t="s">
        <v>3640</v>
      </c>
      <c r="B100">
        <v>99.371340000000004</v>
      </c>
      <c r="C100">
        <v>99.371340000000004</v>
      </c>
      <c r="D100" t="s">
        <v>3392</v>
      </c>
    </row>
    <row r="101" spans="1:4" x14ac:dyDescent="0.25">
      <c r="A101" t="s">
        <v>3639</v>
      </c>
      <c r="B101">
        <v>99.548119999999997</v>
      </c>
      <c r="C101">
        <v>99.548119999999997</v>
      </c>
      <c r="D101" t="s">
        <v>3392</v>
      </c>
    </row>
    <row r="102" spans="1:4" x14ac:dyDescent="0.25">
      <c r="A102" t="s">
        <v>3432</v>
      </c>
      <c r="B102">
        <v>98.919370000000001</v>
      </c>
      <c r="C102">
        <v>98.919370000000001</v>
      </c>
      <c r="D102" t="s">
        <v>3392</v>
      </c>
    </row>
    <row r="103" spans="1:4" x14ac:dyDescent="0.25">
      <c r="A103" t="s">
        <v>3634</v>
      </c>
      <c r="B103">
        <v>98.940969999999993</v>
      </c>
      <c r="C103">
        <v>98.940969999999993</v>
      </c>
      <c r="D103" t="s">
        <v>3392</v>
      </c>
    </row>
    <row r="104" spans="1:4" x14ac:dyDescent="0.25">
      <c r="A104" t="s">
        <v>3633</v>
      </c>
      <c r="B104">
        <v>98.953019999999995</v>
      </c>
      <c r="C104">
        <v>98.953019999999995</v>
      </c>
      <c r="D104" t="s">
        <v>3392</v>
      </c>
    </row>
    <row r="105" spans="1:4" x14ac:dyDescent="0.25">
      <c r="A105" t="s">
        <v>4615</v>
      </c>
      <c r="B105">
        <v>99.370710000000003</v>
      </c>
      <c r="C105">
        <v>99.370710000000003</v>
      </c>
      <c r="D105" t="s">
        <v>3392</v>
      </c>
    </row>
    <row r="106" spans="1:4" x14ac:dyDescent="0.25">
      <c r="A106" t="s">
        <v>4614</v>
      </c>
      <c r="B106">
        <v>99.288619999999995</v>
      </c>
      <c r="C106">
        <v>99.288619999999995</v>
      </c>
      <c r="D106" t="s">
        <v>3392</v>
      </c>
    </row>
    <row r="107" spans="1:4" x14ac:dyDescent="0.25">
      <c r="A107" t="s">
        <v>5058</v>
      </c>
      <c r="B107">
        <v>99.353960000000001</v>
      </c>
      <c r="C107">
        <v>99.353960000000001</v>
      </c>
      <c r="D107" t="s">
        <v>3392</v>
      </c>
    </row>
    <row r="108" spans="1:4" x14ac:dyDescent="0.25">
      <c r="A108" t="s">
        <v>5061</v>
      </c>
      <c r="B108">
        <v>97.553880000000007</v>
      </c>
      <c r="C108">
        <v>97.553880000000007</v>
      </c>
      <c r="D108" t="s">
        <v>3392</v>
      </c>
    </row>
    <row r="109" spans="1:4" x14ac:dyDescent="0.25">
      <c r="A109" t="s">
        <v>2219</v>
      </c>
      <c r="B109">
        <v>100.05419999999999</v>
      </c>
      <c r="C109">
        <v>100.05419999999999</v>
      </c>
      <c r="D109" t="s">
        <v>3392</v>
      </c>
    </row>
    <row r="110" spans="1:4" x14ac:dyDescent="0.25">
      <c r="A110" t="s">
        <v>3860</v>
      </c>
      <c r="B110">
        <v>98.017700000000005</v>
      </c>
      <c r="C110">
        <v>98.017700000000005</v>
      </c>
      <c r="D110" t="s">
        <v>3392</v>
      </c>
    </row>
    <row r="111" spans="1:4" x14ac:dyDescent="0.25">
      <c r="A111" t="s">
        <v>3936</v>
      </c>
      <c r="B111">
        <v>97.326400000000007</v>
      </c>
      <c r="C111">
        <v>97.326400000000007</v>
      </c>
      <c r="D111" t="s">
        <v>3392</v>
      </c>
    </row>
    <row r="112" spans="1:4" x14ac:dyDescent="0.25">
      <c r="A112" t="s">
        <v>3976</v>
      </c>
      <c r="B112">
        <v>93.312899999999999</v>
      </c>
      <c r="C112">
        <v>93.312899999999999</v>
      </c>
      <c r="D112" t="s">
        <v>3392</v>
      </c>
    </row>
    <row r="113" spans="1:4" x14ac:dyDescent="0.25">
      <c r="A113" t="s">
        <v>3975</v>
      </c>
      <c r="B113">
        <v>93.725499999999997</v>
      </c>
      <c r="C113">
        <v>93.725499999999997</v>
      </c>
      <c r="D113" t="s">
        <v>3392</v>
      </c>
    </row>
    <row r="114" spans="1:4" x14ac:dyDescent="0.25">
      <c r="A114" t="s">
        <v>3974</v>
      </c>
      <c r="B114">
        <v>96.206000000000003</v>
      </c>
      <c r="C114">
        <v>96.206000000000003</v>
      </c>
      <c r="D114" t="s">
        <v>3392</v>
      </c>
    </row>
    <row r="115" spans="1:4" x14ac:dyDescent="0.25">
      <c r="A115" t="s">
        <v>3973</v>
      </c>
      <c r="B115">
        <v>93.985100000000003</v>
      </c>
      <c r="C115">
        <v>93.985100000000003</v>
      </c>
      <c r="D115" t="s">
        <v>3392</v>
      </c>
    </row>
    <row r="116" spans="1:4" x14ac:dyDescent="0.25">
      <c r="A116" t="s">
        <v>4041</v>
      </c>
      <c r="B116">
        <v>96.344700000000003</v>
      </c>
      <c r="C116">
        <v>96.344700000000003</v>
      </c>
      <c r="D116" t="s">
        <v>3392</v>
      </c>
    </row>
    <row r="117" spans="1:4" x14ac:dyDescent="0.25">
      <c r="A117" t="s">
        <v>4037</v>
      </c>
      <c r="B117">
        <v>98.484099999999998</v>
      </c>
      <c r="C117">
        <v>98.484099999999998</v>
      </c>
      <c r="D117" t="s">
        <v>3392</v>
      </c>
    </row>
    <row r="118" spans="1:4" x14ac:dyDescent="0.25">
      <c r="A118" t="s">
        <v>4048</v>
      </c>
      <c r="B118">
        <v>97.575500000000005</v>
      </c>
      <c r="C118">
        <v>97.575500000000005</v>
      </c>
      <c r="D118" t="s">
        <v>3392</v>
      </c>
    </row>
    <row r="119" spans="1:4" x14ac:dyDescent="0.25">
      <c r="A119" t="s">
        <v>4442</v>
      </c>
      <c r="B119">
        <v>98.019400000000005</v>
      </c>
      <c r="C119">
        <v>98.019400000000005</v>
      </c>
      <c r="D119" t="s">
        <v>3392</v>
      </c>
    </row>
    <row r="120" spans="1:4" x14ac:dyDescent="0.25">
      <c r="A120" t="s">
        <v>5019</v>
      </c>
      <c r="B120">
        <v>99.760400000000004</v>
      </c>
      <c r="C120">
        <v>99.760400000000004</v>
      </c>
      <c r="D120" t="s">
        <v>3392</v>
      </c>
    </row>
    <row r="121" spans="1:4" x14ac:dyDescent="0.25">
      <c r="A121" t="s">
        <v>5018</v>
      </c>
      <c r="B121">
        <v>99.003100000000003</v>
      </c>
      <c r="C121">
        <v>99.003100000000003</v>
      </c>
      <c r="D121" t="s">
        <v>3392</v>
      </c>
    </row>
    <row r="122" spans="1:4" x14ac:dyDescent="0.25">
      <c r="A122" t="s">
        <v>2421</v>
      </c>
      <c r="B122">
        <v>100.02108</v>
      </c>
      <c r="C122">
        <v>100.02108</v>
      </c>
      <c r="D122" t="s">
        <v>3391</v>
      </c>
    </row>
    <row r="123" spans="1:4" x14ac:dyDescent="0.25">
      <c r="A123" t="s">
        <v>1869</v>
      </c>
      <c r="B123">
        <v>89.524889999999999</v>
      </c>
      <c r="C123">
        <v>89.524889999999999</v>
      </c>
      <c r="D123" t="s">
        <v>3392</v>
      </c>
    </row>
    <row r="124" spans="1:4" x14ac:dyDescent="0.25">
      <c r="A124" t="s">
        <v>1876</v>
      </c>
      <c r="B124">
        <v>101.96485</v>
      </c>
      <c r="C124">
        <v>101.96485</v>
      </c>
      <c r="D124" t="s">
        <v>3392</v>
      </c>
    </row>
    <row r="125" spans="1:4" x14ac:dyDescent="0.25">
      <c r="A125" t="s">
        <v>1959</v>
      </c>
      <c r="B125">
        <v>93.614069999999998</v>
      </c>
      <c r="C125">
        <v>93.614069999999998</v>
      </c>
      <c r="D125" t="s">
        <v>3392</v>
      </c>
    </row>
    <row r="126" spans="1:4" x14ac:dyDescent="0.25">
      <c r="A126" t="s">
        <v>2576</v>
      </c>
      <c r="B126">
        <v>99.183599999999998</v>
      </c>
      <c r="C126">
        <v>99.183599999999998</v>
      </c>
      <c r="D126" t="s">
        <v>3392</v>
      </c>
    </row>
    <row r="127" spans="1:4" x14ac:dyDescent="0.25">
      <c r="A127" t="s">
        <v>3130</v>
      </c>
      <c r="B127">
        <v>67.555210000000002</v>
      </c>
      <c r="C127">
        <v>67.555210000000002</v>
      </c>
      <c r="D127" t="s">
        <v>3392</v>
      </c>
    </row>
    <row r="128" spans="1:4" x14ac:dyDescent="0.25">
      <c r="A128" t="s">
        <v>3137</v>
      </c>
      <c r="B128">
        <v>81.196129999999997</v>
      </c>
      <c r="C128">
        <v>81.196129999999997</v>
      </c>
      <c r="D128" t="s">
        <v>3391</v>
      </c>
    </row>
    <row r="129" spans="1:4" x14ac:dyDescent="0.25">
      <c r="A129" t="s">
        <v>3299</v>
      </c>
      <c r="B129">
        <v>94.551289999999995</v>
      </c>
      <c r="C129">
        <v>94.551289999999995</v>
      </c>
      <c r="D129" t="s">
        <v>3392</v>
      </c>
    </row>
    <row r="130" spans="1:4" x14ac:dyDescent="0.25">
      <c r="A130" t="s">
        <v>3546</v>
      </c>
      <c r="B130">
        <v>77.74736</v>
      </c>
      <c r="C130">
        <v>77.74736</v>
      </c>
      <c r="D130" t="s">
        <v>3391</v>
      </c>
    </row>
    <row r="131" spans="1:4" x14ac:dyDescent="0.25">
      <c r="A131" t="s">
        <v>2679</v>
      </c>
      <c r="B131">
        <v>89.420389999999998</v>
      </c>
      <c r="C131">
        <v>89.420389999999998</v>
      </c>
      <c r="D131" t="s">
        <v>3392</v>
      </c>
    </row>
    <row r="132" spans="1:4" x14ac:dyDescent="0.25">
      <c r="A132" t="s">
        <v>3626</v>
      </c>
      <c r="B132">
        <v>91.662790000000001</v>
      </c>
      <c r="C132">
        <v>91.662790000000001</v>
      </c>
      <c r="D132" t="s">
        <v>3391</v>
      </c>
    </row>
    <row r="133" spans="1:4" x14ac:dyDescent="0.25">
      <c r="A133" t="s">
        <v>3635</v>
      </c>
      <c r="B133">
        <v>74.548509999999993</v>
      </c>
      <c r="C133">
        <v>74.548509999999993</v>
      </c>
      <c r="D133" t="s">
        <v>3392</v>
      </c>
    </row>
    <row r="134" spans="1:4" x14ac:dyDescent="0.25">
      <c r="A134" t="s">
        <v>3999</v>
      </c>
      <c r="B134">
        <v>65.930000000000007</v>
      </c>
      <c r="C134">
        <v>65.930000000000007</v>
      </c>
      <c r="D134" t="s">
        <v>3394</v>
      </c>
    </row>
    <row r="135" spans="1:4" x14ac:dyDescent="0.25">
      <c r="A135" t="s">
        <v>4008</v>
      </c>
      <c r="B135">
        <v>87</v>
      </c>
      <c r="C135">
        <v>87</v>
      </c>
      <c r="D135" t="s">
        <v>3394</v>
      </c>
    </row>
    <row r="136" spans="1:4" x14ac:dyDescent="0.25">
      <c r="A136" t="s">
        <v>4001</v>
      </c>
      <c r="B136">
        <v>86.33</v>
      </c>
      <c r="C136">
        <v>86.33</v>
      </c>
      <c r="D136" t="s">
        <v>3394</v>
      </c>
    </row>
    <row r="137" spans="1:4" x14ac:dyDescent="0.25">
      <c r="A137" t="s">
        <v>4004</v>
      </c>
      <c r="B137">
        <v>86.46</v>
      </c>
      <c r="C137">
        <v>86.46</v>
      </c>
      <c r="D137" t="s">
        <v>3394</v>
      </c>
    </row>
    <row r="138" spans="1:4" x14ac:dyDescent="0.25">
      <c r="A138" t="s">
        <v>4017</v>
      </c>
      <c r="B138">
        <v>64.789689999999993</v>
      </c>
      <c r="C138">
        <v>64.789689999999993</v>
      </c>
      <c r="D138" t="s">
        <v>3391</v>
      </c>
    </row>
    <row r="139" spans="1:4" x14ac:dyDescent="0.25">
      <c r="A139" t="s">
        <v>4550</v>
      </c>
      <c r="B139">
        <v>93.336269999999999</v>
      </c>
      <c r="C139">
        <v>93.336269999999999</v>
      </c>
      <c r="D139" t="s">
        <v>3392</v>
      </c>
    </row>
    <row r="140" spans="1:4" x14ac:dyDescent="0.25">
      <c r="A140" t="s">
        <v>4570</v>
      </c>
      <c r="B140">
        <v>73.105840000000001</v>
      </c>
      <c r="C140">
        <v>73.105840000000001</v>
      </c>
      <c r="D140" t="s">
        <v>3392</v>
      </c>
    </row>
    <row r="141" spans="1:4" x14ac:dyDescent="0.25">
      <c r="A141" t="s">
        <v>4586</v>
      </c>
      <c r="B141">
        <v>71.681100000000001</v>
      </c>
      <c r="C141">
        <v>71.681100000000001</v>
      </c>
      <c r="D141" t="s">
        <v>3392</v>
      </c>
    </row>
    <row r="142" spans="1:4" x14ac:dyDescent="0.25">
      <c r="A142" t="s">
        <v>4620</v>
      </c>
      <c r="B142">
        <v>89.548280000000005</v>
      </c>
      <c r="C142">
        <v>89.548280000000005</v>
      </c>
      <c r="D142" t="s">
        <v>3392</v>
      </c>
    </row>
    <row r="143" spans="1:4" x14ac:dyDescent="0.25">
      <c r="A143" t="s">
        <v>2008</v>
      </c>
      <c r="B143">
        <v>98.087540000000004</v>
      </c>
      <c r="C143">
        <v>98.087540000000004</v>
      </c>
      <c r="D143" t="s">
        <v>3392</v>
      </c>
    </row>
    <row r="144" spans="1:4" x14ac:dyDescent="0.25">
      <c r="A144" t="s">
        <v>4609</v>
      </c>
      <c r="B144">
        <v>96.074539999999999</v>
      </c>
      <c r="C144">
        <v>96.074539999999999</v>
      </c>
      <c r="D144" t="s">
        <v>3392</v>
      </c>
    </row>
    <row r="145" spans="1:4" x14ac:dyDescent="0.25">
      <c r="A145" t="s">
        <v>4831</v>
      </c>
      <c r="B145">
        <v>70.155320000000003</v>
      </c>
      <c r="C145">
        <v>70.155320000000003</v>
      </c>
      <c r="D145" t="s">
        <v>3391</v>
      </c>
    </row>
    <row r="146" spans="1:4" x14ac:dyDescent="0.25">
      <c r="A146" t="s">
        <v>4952</v>
      </c>
      <c r="B146">
        <v>87.176199999999994</v>
      </c>
      <c r="C146">
        <v>87.176199999999994</v>
      </c>
      <c r="D146" t="s">
        <v>3391</v>
      </c>
    </row>
    <row r="147" spans="1:4" x14ac:dyDescent="0.25">
      <c r="A147" t="s">
        <v>4956</v>
      </c>
      <c r="B147">
        <v>93.01728</v>
      </c>
      <c r="C147">
        <v>93.01728</v>
      </c>
      <c r="D147" t="s">
        <v>3391</v>
      </c>
    </row>
    <row r="148" spans="1:4" x14ac:dyDescent="0.25">
      <c r="A148" t="s">
        <v>5016</v>
      </c>
      <c r="B148">
        <v>70.523020000000002</v>
      </c>
      <c r="C148">
        <v>70.523020000000002</v>
      </c>
      <c r="D148" t="s">
        <v>3391</v>
      </c>
    </row>
    <row r="149" spans="1:4" x14ac:dyDescent="0.25">
      <c r="A149" t="s">
        <v>4632</v>
      </c>
      <c r="B149">
        <v>98.794780000000003</v>
      </c>
      <c r="C149">
        <v>98.794780000000003</v>
      </c>
      <c r="D149" t="s">
        <v>3391</v>
      </c>
    </row>
    <row r="150" spans="1:4" x14ac:dyDescent="0.25">
      <c r="A150" t="s">
        <v>4800</v>
      </c>
      <c r="B150">
        <v>98.452550000000002</v>
      </c>
      <c r="C150">
        <v>98.452550000000002</v>
      </c>
      <c r="D150" t="s">
        <v>3392</v>
      </c>
    </row>
    <row r="151" spans="1:4" x14ac:dyDescent="0.25">
      <c r="A151" t="s">
        <v>4802</v>
      </c>
      <c r="B151">
        <v>100.67637000000001</v>
      </c>
      <c r="C151">
        <v>100.67637000000001</v>
      </c>
      <c r="D151" t="s">
        <v>3391</v>
      </c>
    </row>
    <row r="152" spans="1:4" x14ac:dyDescent="0.25">
      <c r="A152" t="s">
        <v>4446</v>
      </c>
      <c r="B152">
        <v>96.644890000000004</v>
      </c>
      <c r="C152">
        <v>96.644890000000004</v>
      </c>
      <c r="D152" t="s">
        <v>3392</v>
      </c>
    </row>
    <row r="153" spans="1:4" x14ac:dyDescent="0.25">
      <c r="A153" t="s">
        <v>4610</v>
      </c>
      <c r="B153">
        <v>98.381569999999996</v>
      </c>
      <c r="C153">
        <v>98.381569999999996</v>
      </c>
      <c r="D153" t="s">
        <v>3392</v>
      </c>
    </row>
    <row r="154" spans="1:4" x14ac:dyDescent="0.25">
      <c r="A154" t="s">
        <v>3977</v>
      </c>
      <c r="B154">
        <v>96.591539999999995</v>
      </c>
      <c r="C154">
        <v>96.591539999999995</v>
      </c>
      <c r="D154" t="s">
        <v>3391</v>
      </c>
    </row>
    <row r="155" spans="1:4" x14ac:dyDescent="0.25">
      <c r="A155" t="s">
        <v>4621</v>
      </c>
      <c r="B155">
        <v>98.170860000000005</v>
      </c>
      <c r="C155">
        <v>98.170860000000005</v>
      </c>
      <c r="D155" t="s">
        <v>3392</v>
      </c>
    </row>
    <row r="156" spans="1:4" x14ac:dyDescent="0.25">
      <c r="A156" t="s">
        <v>4583</v>
      </c>
      <c r="B156">
        <v>97.644829999999999</v>
      </c>
      <c r="C156">
        <v>97.644829999999999</v>
      </c>
      <c r="D156" t="s">
        <v>3391</v>
      </c>
    </row>
    <row r="157" spans="1:4" x14ac:dyDescent="0.25">
      <c r="A157" t="s">
        <v>4584</v>
      </c>
      <c r="B157">
        <v>96.474919999999997</v>
      </c>
      <c r="C157">
        <v>96.474919999999997</v>
      </c>
      <c r="D157" t="s">
        <v>3391</v>
      </c>
    </row>
    <row r="158" spans="1:4" x14ac:dyDescent="0.25">
      <c r="A158" t="s">
        <v>3931</v>
      </c>
      <c r="B158">
        <v>95.285240000000002</v>
      </c>
      <c r="C158">
        <v>95.285240000000002</v>
      </c>
      <c r="D158" t="s">
        <v>3391</v>
      </c>
    </row>
    <row r="159" spans="1:4" x14ac:dyDescent="0.25">
      <c r="A159" t="s">
        <v>3882</v>
      </c>
      <c r="B159">
        <v>96.945160000000001</v>
      </c>
      <c r="C159">
        <v>96.945160000000001</v>
      </c>
      <c r="D159" t="s">
        <v>3392</v>
      </c>
    </row>
    <row r="160" spans="1:4" x14ac:dyDescent="0.25">
      <c r="A160" t="s">
        <v>3594</v>
      </c>
      <c r="B160">
        <v>96.095160000000007</v>
      </c>
      <c r="C160">
        <v>96.095160000000007</v>
      </c>
      <c r="D160" t="s">
        <v>3391</v>
      </c>
    </row>
    <row r="161" spans="1:4" x14ac:dyDescent="0.25">
      <c r="A161" t="s">
        <v>3296</v>
      </c>
      <c r="B161">
        <v>83.163470000000004</v>
      </c>
      <c r="C161">
        <v>83.163470000000004</v>
      </c>
      <c r="D161" t="s">
        <v>3392</v>
      </c>
    </row>
    <row r="162" spans="1:4" x14ac:dyDescent="0.25">
      <c r="A162" t="s">
        <v>3372</v>
      </c>
      <c r="B162">
        <v>75.536670000000001</v>
      </c>
      <c r="C162">
        <v>75.536670000000001</v>
      </c>
      <c r="D162" t="s">
        <v>3391</v>
      </c>
    </row>
    <row r="163" spans="1:4" x14ac:dyDescent="0.25">
      <c r="A163" t="s">
        <v>3068</v>
      </c>
      <c r="B163">
        <v>94.558509999999998</v>
      </c>
      <c r="C163">
        <v>94.558509999999998</v>
      </c>
      <c r="D163" t="s">
        <v>3391</v>
      </c>
    </row>
    <row r="164" spans="1:4" x14ac:dyDescent="0.25">
      <c r="A164" t="s">
        <v>2973</v>
      </c>
      <c r="B164">
        <v>94.954939999999993</v>
      </c>
      <c r="C164">
        <v>94.954939999999993</v>
      </c>
      <c r="D164" t="s">
        <v>3392</v>
      </c>
    </row>
    <row r="165" spans="1:4" x14ac:dyDescent="0.25">
      <c r="A165" t="s">
        <v>3076</v>
      </c>
      <c r="B165">
        <v>98.257530000000003</v>
      </c>
      <c r="C165">
        <v>98.257530000000003</v>
      </c>
      <c r="D165" t="s">
        <v>3391</v>
      </c>
    </row>
    <row r="166" spans="1:4" x14ac:dyDescent="0.25">
      <c r="A166" t="s">
        <v>3080</v>
      </c>
      <c r="B166">
        <v>99.128230000000002</v>
      </c>
      <c r="C166">
        <v>99.128230000000002</v>
      </c>
      <c r="D166" t="s">
        <v>3391</v>
      </c>
    </row>
    <row r="167" spans="1:4" x14ac:dyDescent="0.25">
      <c r="A167" t="s">
        <v>4573</v>
      </c>
      <c r="B167">
        <v>92.889099999999999</v>
      </c>
      <c r="C167">
        <v>92.889099999999999</v>
      </c>
      <c r="D167" t="s">
        <v>3392</v>
      </c>
    </row>
    <row r="168" spans="1:4" x14ac:dyDescent="0.25">
      <c r="A168" t="s">
        <v>2612</v>
      </c>
      <c r="B168">
        <v>5.0605700000000002</v>
      </c>
      <c r="C168">
        <v>5.0605700000000002</v>
      </c>
      <c r="D168" t="s">
        <v>3392</v>
      </c>
    </row>
    <row r="169" spans="1:4" x14ac:dyDescent="0.25">
      <c r="A169" t="s">
        <v>2289</v>
      </c>
      <c r="B169">
        <v>7.0697000000000001</v>
      </c>
      <c r="C169">
        <v>7.0697000000000001</v>
      </c>
      <c r="D169" t="s">
        <v>3392</v>
      </c>
    </row>
    <row r="170" spans="1:4" x14ac:dyDescent="0.25">
      <c r="A170" t="s">
        <v>2309</v>
      </c>
      <c r="B170">
        <v>1.0067900000000001</v>
      </c>
      <c r="C170">
        <v>1.0067900000000001</v>
      </c>
      <c r="D170" t="s">
        <v>3392</v>
      </c>
    </row>
    <row r="171" spans="1:4" x14ac:dyDescent="0.25">
      <c r="A171" t="s">
        <v>3566</v>
      </c>
      <c r="B171">
        <v>7.7183900000000003</v>
      </c>
      <c r="C171">
        <v>7.7183900000000003</v>
      </c>
      <c r="D171" t="s">
        <v>3392</v>
      </c>
    </row>
    <row r="172" spans="1:4" x14ac:dyDescent="0.25">
      <c r="A172" t="s">
        <v>3593</v>
      </c>
      <c r="B172">
        <v>0.50714000000000004</v>
      </c>
      <c r="C172">
        <v>0.50714000000000004</v>
      </c>
      <c r="D172" t="s">
        <v>3392</v>
      </c>
    </row>
    <row r="173" spans="1:4" x14ac:dyDescent="0.25">
      <c r="A173" t="s">
        <v>1886</v>
      </c>
      <c r="B173">
        <v>100.267366</v>
      </c>
      <c r="C173">
        <v>100.267366</v>
      </c>
      <c r="D173" t="s">
        <v>3391</v>
      </c>
    </row>
    <row r="174" spans="1:4" x14ac:dyDescent="0.25">
      <c r="A174" t="s">
        <v>3060</v>
      </c>
      <c r="B174">
        <v>97.712888000000007</v>
      </c>
      <c r="C174">
        <v>97.712888000000007</v>
      </c>
      <c r="D174" t="s">
        <v>3391</v>
      </c>
    </row>
    <row r="175" spans="1:4" x14ac:dyDescent="0.25">
      <c r="A175" t="s">
        <v>1786</v>
      </c>
      <c r="B175">
        <v>103.857215</v>
      </c>
      <c r="C175">
        <v>103.857215</v>
      </c>
      <c r="D175" t="s">
        <v>3391</v>
      </c>
    </row>
    <row r="176" spans="1:4" x14ac:dyDescent="0.25">
      <c r="A176" t="s">
        <v>2633</v>
      </c>
      <c r="B176">
        <v>105.37884699999999</v>
      </c>
      <c r="C176">
        <v>105.37884699999999</v>
      </c>
      <c r="D176" t="s">
        <v>3391</v>
      </c>
    </row>
    <row r="177" spans="1:4" x14ac:dyDescent="0.25">
      <c r="A177" t="s">
        <v>1639</v>
      </c>
      <c r="B177">
        <v>101.32852800000001</v>
      </c>
      <c r="C177">
        <v>101.32852800000001</v>
      </c>
      <c r="D177" t="s">
        <v>3391</v>
      </c>
    </row>
    <row r="178" spans="1:4" x14ac:dyDescent="0.25">
      <c r="A178" t="s">
        <v>1790</v>
      </c>
      <c r="B178">
        <v>102.664523</v>
      </c>
      <c r="C178">
        <v>102.664523</v>
      </c>
      <c r="D178" t="s">
        <v>3391</v>
      </c>
    </row>
    <row r="179" spans="1:4" x14ac:dyDescent="0.25">
      <c r="A179" t="s">
        <v>1793</v>
      </c>
      <c r="B179">
        <v>100.42062900000001</v>
      </c>
      <c r="C179">
        <v>100.42062900000001</v>
      </c>
      <c r="D179" t="s">
        <v>3391</v>
      </c>
    </row>
    <row r="180" spans="1:4" x14ac:dyDescent="0.25">
      <c r="A180" t="s">
        <v>1795</v>
      </c>
      <c r="B180">
        <v>103.201894</v>
      </c>
      <c r="C180">
        <v>103.201894</v>
      </c>
      <c r="D180" t="s">
        <v>3391</v>
      </c>
    </row>
    <row r="181" spans="1:4" x14ac:dyDescent="0.25">
      <c r="A181" t="s">
        <v>996</v>
      </c>
      <c r="B181">
        <v>101.337839</v>
      </c>
      <c r="C181">
        <v>101.337839</v>
      </c>
      <c r="D181" t="s">
        <v>3391</v>
      </c>
    </row>
    <row r="182" spans="1:4" x14ac:dyDescent="0.25">
      <c r="A182" t="s">
        <v>2284</v>
      </c>
      <c r="B182">
        <v>97.762417999999997</v>
      </c>
      <c r="C182">
        <v>97.762417999999997</v>
      </c>
      <c r="D182" t="s">
        <v>3391</v>
      </c>
    </row>
    <row r="183" spans="1:4" x14ac:dyDescent="0.25">
      <c r="A183" t="s">
        <v>2879</v>
      </c>
      <c r="B183">
        <v>97.713018000000005</v>
      </c>
      <c r="C183">
        <v>97.713018000000005</v>
      </c>
      <c r="D183" t="s">
        <v>3391</v>
      </c>
    </row>
    <row r="184" spans="1:4" x14ac:dyDescent="0.25">
      <c r="A184" t="s">
        <v>1890</v>
      </c>
      <c r="B184">
        <v>107.94486999999999</v>
      </c>
      <c r="C184">
        <v>107.94486999999999</v>
      </c>
      <c r="D184" t="s">
        <v>3392</v>
      </c>
    </row>
    <row r="185" spans="1:4" x14ac:dyDescent="0.25">
      <c r="A185" t="s">
        <v>1799</v>
      </c>
      <c r="B185">
        <v>102.30962700000001</v>
      </c>
      <c r="C185">
        <v>102.30962700000001</v>
      </c>
      <c r="D185" t="s">
        <v>3391</v>
      </c>
    </row>
    <row r="186" spans="1:4" x14ac:dyDescent="0.25">
      <c r="A186" t="s">
        <v>1804</v>
      </c>
      <c r="B186">
        <v>101.56285</v>
      </c>
      <c r="C186">
        <v>101.56285</v>
      </c>
      <c r="D186" t="s">
        <v>3391</v>
      </c>
    </row>
    <row r="187" spans="1:4" x14ac:dyDescent="0.25">
      <c r="A187" t="s">
        <v>1808</v>
      </c>
      <c r="B187">
        <v>100.614357</v>
      </c>
      <c r="C187">
        <v>100.614357</v>
      </c>
      <c r="D187" t="s">
        <v>3391</v>
      </c>
    </row>
    <row r="188" spans="1:4" x14ac:dyDescent="0.25">
      <c r="A188" t="s">
        <v>1813</v>
      </c>
      <c r="B188">
        <v>101.57765999999999</v>
      </c>
      <c r="C188">
        <v>101.57765999999999</v>
      </c>
      <c r="D188" t="s">
        <v>3391</v>
      </c>
    </row>
    <row r="189" spans="1:4" x14ac:dyDescent="0.25">
      <c r="A189" t="s">
        <v>1819</v>
      </c>
      <c r="B189">
        <v>101.75911000000001</v>
      </c>
      <c r="C189">
        <v>101.75911000000001</v>
      </c>
      <c r="D189" t="s">
        <v>3391</v>
      </c>
    </row>
    <row r="190" spans="1:4" x14ac:dyDescent="0.25">
      <c r="A190" t="s">
        <v>1822</v>
      </c>
      <c r="B190">
        <v>102.02001</v>
      </c>
      <c r="C190">
        <v>102.02001</v>
      </c>
      <c r="D190" t="s">
        <v>3391</v>
      </c>
    </row>
    <row r="191" spans="1:4" x14ac:dyDescent="0.25">
      <c r="A191" t="s">
        <v>1826</v>
      </c>
      <c r="B191">
        <v>101.78814</v>
      </c>
      <c r="C191">
        <v>101.78814</v>
      </c>
      <c r="D191" t="s">
        <v>3391</v>
      </c>
    </row>
    <row r="192" spans="1:4" x14ac:dyDescent="0.25">
      <c r="A192" t="s">
        <v>1829</v>
      </c>
      <c r="B192">
        <v>101.81292000000001</v>
      </c>
      <c r="C192">
        <v>101.81292000000001</v>
      </c>
      <c r="D192" t="s">
        <v>3391</v>
      </c>
    </row>
    <row r="193" spans="1:4" x14ac:dyDescent="0.25">
      <c r="A193" t="s">
        <v>1831</v>
      </c>
      <c r="B193">
        <v>104.91517399999999</v>
      </c>
      <c r="C193">
        <v>104.91517399999999</v>
      </c>
      <c r="D193" t="s">
        <v>3391</v>
      </c>
    </row>
    <row r="194" spans="1:4" x14ac:dyDescent="0.25">
      <c r="A194" t="s">
        <v>1834</v>
      </c>
      <c r="B194">
        <v>100.16818000000001</v>
      </c>
      <c r="C194">
        <v>100.16818000000001</v>
      </c>
      <c r="D194" t="s">
        <v>3391</v>
      </c>
    </row>
    <row r="195" spans="1:4" x14ac:dyDescent="0.25">
      <c r="A195" t="s">
        <v>3297</v>
      </c>
      <c r="B195">
        <v>96.998821000000007</v>
      </c>
      <c r="C195">
        <v>96.998821000000007</v>
      </c>
      <c r="D195" t="s">
        <v>3391</v>
      </c>
    </row>
    <row r="196" spans="1:4" x14ac:dyDescent="0.25">
      <c r="A196" t="s">
        <v>3450</v>
      </c>
      <c r="B196">
        <v>94.961172000000005</v>
      </c>
      <c r="C196">
        <v>94.961172000000005</v>
      </c>
      <c r="D196" t="s">
        <v>3391</v>
      </c>
    </row>
    <row r="197" spans="1:4" x14ac:dyDescent="0.25">
      <c r="A197" t="s">
        <v>3448</v>
      </c>
      <c r="B197">
        <v>101.72144400000001</v>
      </c>
      <c r="C197">
        <v>101.72144400000001</v>
      </c>
      <c r="D197" t="s">
        <v>3391</v>
      </c>
    </row>
    <row r="198" spans="1:4" x14ac:dyDescent="0.25">
      <c r="A198" t="s">
        <v>3449</v>
      </c>
      <c r="B198">
        <v>98.398636999999994</v>
      </c>
      <c r="C198">
        <v>98.398636999999994</v>
      </c>
      <c r="D198" t="s">
        <v>3391</v>
      </c>
    </row>
    <row r="199" spans="1:4" x14ac:dyDescent="0.25">
      <c r="A199" t="s">
        <v>3650</v>
      </c>
      <c r="B199">
        <v>106.374607</v>
      </c>
      <c r="C199">
        <v>106.374607</v>
      </c>
      <c r="D199" t="s">
        <v>3391</v>
      </c>
    </row>
    <row r="200" spans="1:4" x14ac:dyDescent="0.25">
      <c r="A200" t="s">
        <v>4053</v>
      </c>
      <c r="B200">
        <v>94.713419000000002</v>
      </c>
      <c r="C200">
        <v>94.713419000000002</v>
      </c>
      <c r="D200" t="s">
        <v>3391</v>
      </c>
    </row>
    <row r="201" spans="1:4" x14ac:dyDescent="0.25">
      <c r="A201" t="s">
        <v>4577</v>
      </c>
      <c r="B201">
        <v>103.635971</v>
      </c>
      <c r="C201">
        <v>103.635971</v>
      </c>
      <c r="D201" t="s">
        <v>3391</v>
      </c>
    </row>
    <row r="202" spans="1:4" x14ac:dyDescent="0.25">
      <c r="A202" t="s">
        <v>4611</v>
      </c>
      <c r="B202">
        <v>100.517408</v>
      </c>
      <c r="C202">
        <v>100.517408</v>
      </c>
      <c r="D202" t="s">
        <v>3391</v>
      </c>
    </row>
    <row r="203" spans="1:4" x14ac:dyDescent="0.25">
      <c r="A203" t="s">
        <v>4618</v>
      </c>
      <c r="B203">
        <v>94.813050000000004</v>
      </c>
      <c r="C203">
        <v>94.813050000000004</v>
      </c>
      <c r="D203" t="s">
        <v>3392</v>
      </c>
    </row>
    <row r="204" spans="1:4" x14ac:dyDescent="0.25">
      <c r="A204" t="s">
        <v>4619</v>
      </c>
      <c r="B204">
        <v>101.52567999999999</v>
      </c>
      <c r="C204">
        <v>101.52567999999999</v>
      </c>
      <c r="D204" t="s">
        <v>3392</v>
      </c>
    </row>
    <row r="205" spans="1:4" x14ac:dyDescent="0.25">
      <c r="A205" t="s">
        <v>4941</v>
      </c>
      <c r="B205">
        <v>96.978039999999993</v>
      </c>
      <c r="C205">
        <v>96.978039999999993</v>
      </c>
      <c r="D205" t="s">
        <v>3392</v>
      </c>
    </row>
    <row r="206" spans="1:4" x14ac:dyDescent="0.25">
      <c r="A206" t="s">
        <v>5020</v>
      </c>
      <c r="B206">
        <v>107.45464699999999</v>
      </c>
      <c r="C206">
        <v>107.45464699999999</v>
      </c>
      <c r="D206" t="s">
        <v>3391</v>
      </c>
    </row>
    <row r="207" spans="1:4" x14ac:dyDescent="0.25">
      <c r="A207" t="s">
        <v>5045</v>
      </c>
      <c r="B207">
        <v>91.703406999999999</v>
      </c>
      <c r="C207">
        <v>91.703406999999999</v>
      </c>
      <c r="D207" t="s">
        <v>3391</v>
      </c>
    </row>
    <row r="208" spans="1:4" x14ac:dyDescent="0.25">
      <c r="A208" t="s">
        <v>5042</v>
      </c>
      <c r="B208">
        <v>97.133232000000007</v>
      </c>
      <c r="C208">
        <v>97.133232000000007</v>
      </c>
      <c r="D208" t="s">
        <v>3391</v>
      </c>
    </row>
    <row r="209" spans="1:4" x14ac:dyDescent="0.25">
      <c r="A209" t="s">
        <v>5046</v>
      </c>
      <c r="B209">
        <v>105.38180199999999</v>
      </c>
      <c r="C209">
        <v>105.38180199999999</v>
      </c>
      <c r="D209" t="s">
        <v>3391</v>
      </c>
    </row>
    <row r="210" spans="1:4" x14ac:dyDescent="0.25">
      <c r="A210" t="s">
        <v>5056</v>
      </c>
      <c r="B210">
        <v>94.523353999999998</v>
      </c>
      <c r="C210">
        <v>94.523353999999998</v>
      </c>
      <c r="D210" t="s">
        <v>3391</v>
      </c>
    </row>
    <row r="211" spans="1:4" x14ac:dyDescent="0.25">
      <c r="A211" t="s">
        <v>5077</v>
      </c>
      <c r="B211">
        <v>91.751153000000002</v>
      </c>
      <c r="C211">
        <v>91.751153000000002</v>
      </c>
      <c r="D211" t="s">
        <v>3391</v>
      </c>
    </row>
    <row r="212" spans="1:4" x14ac:dyDescent="0.25">
      <c r="A212" t="s">
        <v>5078</v>
      </c>
      <c r="B212">
        <v>104.884304</v>
      </c>
      <c r="C212">
        <v>104.884304</v>
      </c>
      <c r="D212" t="s">
        <v>3391</v>
      </c>
    </row>
    <row r="213" spans="1:4" x14ac:dyDescent="0.25">
      <c r="A213" t="s">
        <v>2232</v>
      </c>
      <c r="B213">
        <v>17.800999999999998</v>
      </c>
      <c r="C213">
        <v>17.800999999999998</v>
      </c>
      <c r="D213" t="s">
        <v>3395</v>
      </c>
    </row>
    <row r="214" spans="1:4" x14ac:dyDescent="0.25">
      <c r="A214" t="s">
        <v>2376</v>
      </c>
      <c r="B214">
        <v>10.7</v>
      </c>
      <c r="C214">
        <v>10.7</v>
      </c>
      <c r="D214" t="s">
        <v>3395</v>
      </c>
    </row>
    <row r="215" spans="1:4" x14ac:dyDescent="0.25">
      <c r="A215" t="s">
        <v>2560</v>
      </c>
      <c r="B215">
        <v>11.247999999999999</v>
      </c>
      <c r="C215">
        <v>11.247999999999999</v>
      </c>
      <c r="D215" t="s">
        <v>3395</v>
      </c>
    </row>
    <row r="216" spans="1:4" x14ac:dyDescent="0.25">
      <c r="A216" t="s">
        <v>2868</v>
      </c>
      <c r="B216">
        <v>16.172000000000001</v>
      </c>
      <c r="C216">
        <v>16.172000000000001</v>
      </c>
      <c r="D216" t="s">
        <v>3395</v>
      </c>
    </row>
    <row r="217" spans="1:4" x14ac:dyDescent="0.25">
      <c r="A217" t="s">
        <v>2660</v>
      </c>
      <c r="B217">
        <v>13.122</v>
      </c>
      <c r="C217">
        <v>13.122</v>
      </c>
      <c r="D217" t="s">
        <v>3395</v>
      </c>
    </row>
    <row r="218" spans="1:4" x14ac:dyDescent="0.25">
      <c r="A218" t="s">
        <v>2789</v>
      </c>
      <c r="B218">
        <v>19.297999999999998</v>
      </c>
      <c r="C218">
        <v>19.297999999999998</v>
      </c>
      <c r="D218" t="s">
        <v>3395</v>
      </c>
    </row>
    <row r="219" spans="1:4" x14ac:dyDescent="0.25">
      <c r="A219" t="s">
        <v>673</v>
      </c>
      <c r="B219">
        <v>17.14659</v>
      </c>
      <c r="C219">
        <v>17.14659</v>
      </c>
      <c r="D219" t="s">
        <v>3392</v>
      </c>
    </row>
    <row r="220" spans="1:4" x14ac:dyDescent="0.25">
      <c r="A220" t="s">
        <v>2255</v>
      </c>
      <c r="B220">
        <v>19.489999999999998</v>
      </c>
      <c r="C220">
        <v>19.489999999999998</v>
      </c>
      <c r="D220" t="s">
        <v>3395</v>
      </c>
    </row>
    <row r="221" spans="1:4" x14ac:dyDescent="0.25">
      <c r="A221" t="s">
        <v>736</v>
      </c>
      <c r="B221">
        <v>22.617999999999999</v>
      </c>
      <c r="C221">
        <v>22.617999999999999</v>
      </c>
      <c r="D221" t="s">
        <v>3395</v>
      </c>
    </row>
    <row r="222" spans="1:4" x14ac:dyDescent="0.25">
      <c r="A222" t="s">
        <v>2555</v>
      </c>
      <c r="B222">
        <v>14.226000000000001</v>
      </c>
      <c r="C222">
        <v>14.226000000000001</v>
      </c>
      <c r="D222" t="s">
        <v>3395</v>
      </c>
    </row>
    <row r="223" spans="1:4" x14ac:dyDescent="0.25">
      <c r="A223" t="s">
        <v>2307</v>
      </c>
      <c r="B223">
        <v>9.4580000000000002</v>
      </c>
      <c r="C223">
        <v>9.4580000000000002</v>
      </c>
      <c r="D223" t="s">
        <v>3395</v>
      </c>
    </row>
    <row r="224" spans="1:4" x14ac:dyDescent="0.25">
      <c r="A224" t="s">
        <v>2557</v>
      </c>
      <c r="B224">
        <v>12.696999999999999</v>
      </c>
      <c r="C224">
        <v>12.696999999999999</v>
      </c>
      <c r="D224" t="s">
        <v>3395</v>
      </c>
    </row>
    <row r="225" spans="1:4" x14ac:dyDescent="0.25">
      <c r="A225" t="s">
        <v>2553</v>
      </c>
      <c r="B225">
        <v>12.522</v>
      </c>
      <c r="C225">
        <v>12.522</v>
      </c>
      <c r="D225" t="s">
        <v>3395</v>
      </c>
    </row>
    <row r="226" spans="1:4" x14ac:dyDescent="0.25">
      <c r="A226" t="s">
        <v>3139</v>
      </c>
      <c r="B226">
        <v>12.38</v>
      </c>
      <c r="C226">
        <v>12.38</v>
      </c>
      <c r="D226" t="s">
        <v>3395</v>
      </c>
    </row>
    <row r="227" spans="1:4" x14ac:dyDescent="0.25">
      <c r="A227" t="s">
        <v>3147</v>
      </c>
      <c r="B227">
        <v>12.706</v>
      </c>
      <c r="C227">
        <v>12.706</v>
      </c>
      <c r="D227" t="s">
        <v>3395</v>
      </c>
    </row>
    <row r="228" spans="1:4" x14ac:dyDescent="0.25">
      <c r="A228" t="s">
        <v>3141</v>
      </c>
      <c r="B228">
        <v>11.901999999999999</v>
      </c>
      <c r="C228">
        <v>11.901999999999999</v>
      </c>
      <c r="D228" t="s">
        <v>3395</v>
      </c>
    </row>
    <row r="229" spans="1:4" x14ac:dyDescent="0.25">
      <c r="A229" t="s">
        <v>3142</v>
      </c>
      <c r="B229">
        <v>12.119</v>
      </c>
      <c r="C229">
        <v>12.119</v>
      </c>
      <c r="D229" t="s">
        <v>3395</v>
      </c>
    </row>
    <row r="230" spans="1:4" x14ac:dyDescent="0.25">
      <c r="A230" t="s">
        <v>3146</v>
      </c>
      <c r="B230">
        <v>9.6530000000000005</v>
      </c>
      <c r="C230">
        <v>9.6530000000000005</v>
      </c>
      <c r="D230" t="s">
        <v>3395</v>
      </c>
    </row>
    <row r="231" spans="1:4" x14ac:dyDescent="0.25">
      <c r="A231" t="s">
        <v>3140</v>
      </c>
      <c r="B231">
        <v>10.189</v>
      </c>
      <c r="C231">
        <v>10.189</v>
      </c>
      <c r="D231" t="s">
        <v>3395</v>
      </c>
    </row>
    <row r="232" spans="1:4" x14ac:dyDescent="0.25">
      <c r="A232" t="s">
        <v>3157</v>
      </c>
      <c r="B232">
        <v>11.801</v>
      </c>
      <c r="C232">
        <v>11.801</v>
      </c>
      <c r="D232" t="s">
        <v>3395</v>
      </c>
    </row>
    <row r="233" spans="1:4" x14ac:dyDescent="0.25">
      <c r="A233" t="s">
        <v>3168</v>
      </c>
      <c r="B233">
        <v>17.382000000000001</v>
      </c>
      <c r="C233">
        <v>17.382000000000001</v>
      </c>
      <c r="D233" t="s">
        <v>3395</v>
      </c>
    </row>
    <row r="234" spans="1:4" x14ac:dyDescent="0.25">
      <c r="A234" t="s">
        <v>3167</v>
      </c>
      <c r="B234">
        <v>12.500999999999999</v>
      </c>
      <c r="C234">
        <v>12.500999999999999</v>
      </c>
      <c r="D234" t="s">
        <v>3395</v>
      </c>
    </row>
    <row r="235" spans="1:4" x14ac:dyDescent="0.25">
      <c r="A235" t="s">
        <v>3155</v>
      </c>
      <c r="B235">
        <v>14.61</v>
      </c>
      <c r="C235">
        <v>14.61</v>
      </c>
      <c r="D235" t="s">
        <v>3395</v>
      </c>
    </row>
    <row r="236" spans="1:4" x14ac:dyDescent="0.25">
      <c r="A236" t="s">
        <v>3166</v>
      </c>
      <c r="B236">
        <v>18.126000000000001</v>
      </c>
      <c r="C236">
        <v>18.126000000000001</v>
      </c>
      <c r="D236" t="s">
        <v>3395</v>
      </c>
    </row>
    <row r="237" spans="1:4" x14ac:dyDescent="0.25">
      <c r="A237" t="s">
        <v>3163</v>
      </c>
      <c r="B237">
        <v>16.914000000000001</v>
      </c>
      <c r="C237">
        <v>16.914000000000001</v>
      </c>
      <c r="D237" t="s">
        <v>3395</v>
      </c>
    </row>
    <row r="238" spans="1:4" x14ac:dyDescent="0.25">
      <c r="A238" t="s">
        <v>3161</v>
      </c>
      <c r="B238">
        <v>14.224</v>
      </c>
      <c r="C238">
        <v>14.224</v>
      </c>
      <c r="D238" t="s">
        <v>3395</v>
      </c>
    </row>
    <row r="239" spans="1:4" x14ac:dyDescent="0.25">
      <c r="A239" t="s">
        <v>3159</v>
      </c>
      <c r="B239">
        <v>14.993</v>
      </c>
      <c r="C239">
        <v>14.993</v>
      </c>
      <c r="D239" t="s">
        <v>3395</v>
      </c>
    </row>
    <row r="240" spans="1:4" x14ac:dyDescent="0.25">
      <c r="A240" t="s">
        <v>3171</v>
      </c>
      <c r="B240">
        <v>4.673</v>
      </c>
      <c r="C240">
        <v>4.673</v>
      </c>
      <c r="D240" t="s">
        <v>3395</v>
      </c>
    </row>
    <row r="241" spans="1:4" x14ac:dyDescent="0.25">
      <c r="A241" t="s">
        <v>3293</v>
      </c>
      <c r="B241">
        <v>12.42426</v>
      </c>
      <c r="C241">
        <v>12.42426</v>
      </c>
      <c r="D241" t="s">
        <v>3392</v>
      </c>
    </row>
    <row r="242" spans="1:4" x14ac:dyDescent="0.25">
      <c r="A242" t="s">
        <v>3301</v>
      </c>
      <c r="B242">
        <v>11.895300000000001</v>
      </c>
      <c r="C242">
        <v>11.895300000000001</v>
      </c>
      <c r="D242" t="s">
        <v>3392</v>
      </c>
    </row>
    <row r="243" spans="1:4" x14ac:dyDescent="0.25">
      <c r="A243" t="s">
        <v>3441</v>
      </c>
      <c r="B243">
        <v>9.1679999999999993</v>
      </c>
      <c r="C243">
        <v>9.1679999999999993</v>
      </c>
      <c r="D243" t="s">
        <v>3395</v>
      </c>
    </row>
    <row r="244" spans="1:4" x14ac:dyDescent="0.25">
      <c r="A244" t="s">
        <v>3584</v>
      </c>
      <c r="B244">
        <v>13.131</v>
      </c>
      <c r="C244">
        <v>13.131</v>
      </c>
      <c r="D244" t="s">
        <v>3395</v>
      </c>
    </row>
    <row r="245" spans="1:4" x14ac:dyDescent="0.25">
      <c r="A245" t="s">
        <v>3585</v>
      </c>
      <c r="B245">
        <v>13.504</v>
      </c>
      <c r="C245">
        <v>13.504</v>
      </c>
      <c r="D245" t="s">
        <v>3395</v>
      </c>
    </row>
    <row r="246" spans="1:4" x14ac:dyDescent="0.25">
      <c r="A246" t="s">
        <v>3586</v>
      </c>
      <c r="B246">
        <v>13.193</v>
      </c>
      <c r="C246">
        <v>13.193</v>
      </c>
      <c r="D246" t="s">
        <v>3395</v>
      </c>
    </row>
    <row r="247" spans="1:4" x14ac:dyDescent="0.25">
      <c r="A247" t="s">
        <v>3609</v>
      </c>
      <c r="B247">
        <v>11.217000000000001</v>
      </c>
      <c r="C247">
        <v>11.217000000000001</v>
      </c>
      <c r="D247" t="s">
        <v>3395</v>
      </c>
    </row>
    <row r="248" spans="1:4" x14ac:dyDescent="0.25">
      <c r="A248" t="s">
        <v>3606</v>
      </c>
      <c r="B248">
        <v>10.949</v>
      </c>
      <c r="C248">
        <v>10.949</v>
      </c>
      <c r="D248" t="s">
        <v>3395</v>
      </c>
    </row>
    <row r="249" spans="1:4" x14ac:dyDescent="0.25">
      <c r="A249" t="s">
        <v>3605</v>
      </c>
      <c r="B249">
        <v>7.4470000000000001</v>
      </c>
      <c r="C249">
        <v>7.4470000000000001</v>
      </c>
      <c r="D249" t="s">
        <v>3395</v>
      </c>
    </row>
    <row r="250" spans="1:4" x14ac:dyDescent="0.25">
      <c r="A250" t="s">
        <v>3615</v>
      </c>
      <c r="B250">
        <v>13.897</v>
      </c>
      <c r="C250">
        <v>13.897</v>
      </c>
      <c r="D250" t="s">
        <v>3395</v>
      </c>
    </row>
    <row r="251" spans="1:4" x14ac:dyDescent="0.25">
      <c r="A251" t="s">
        <v>3621</v>
      </c>
      <c r="B251">
        <v>14.318</v>
      </c>
      <c r="C251">
        <v>14.318</v>
      </c>
      <c r="D251" t="s">
        <v>3395</v>
      </c>
    </row>
    <row r="252" spans="1:4" x14ac:dyDescent="0.25">
      <c r="A252" t="s">
        <v>3866</v>
      </c>
      <c r="B252">
        <v>10.148999999999999</v>
      </c>
      <c r="C252">
        <v>10.148999999999999</v>
      </c>
      <c r="D252" t="s">
        <v>3395</v>
      </c>
    </row>
    <row r="253" spans="1:4" x14ac:dyDescent="0.25">
      <c r="A253" t="s">
        <v>3885</v>
      </c>
      <c r="B253">
        <v>13.815</v>
      </c>
      <c r="C253">
        <v>13.815</v>
      </c>
      <c r="D253" t="s">
        <v>3395</v>
      </c>
    </row>
    <row r="254" spans="1:4" x14ac:dyDescent="0.25">
      <c r="A254" t="s">
        <v>4511</v>
      </c>
      <c r="B254">
        <v>20.907</v>
      </c>
      <c r="C254">
        <v>20.907</v>
      </c>
      <c r="D254" t="s">
        <v>3395</v>
      </c>
    </row>
    <row r="255" spans="1:4" x14ac:dyDescent="0.25">
      <c r="A255" t="s">
        <v>4554</v>
      </c>
      <c r="B255">
        <v>15.005000000000001</v>
      </c>
      <c r="C255">
        <v>15.005000000000001</v>
      </c>
      <c r="D255" t="s">
        <v>3395</v>
      </c>
    </row>
    <row r="256" spans="1:4" x14ac:dyDescent="0.25">
      <c r="A256" t="s">
        <v>4557</v>
      </c>
      <c r="B256">
        <v>11.52753</v>
      </c>
      <c r="C256">
        <v>11.52753</v>
      </c>
      <c r="D256" t="s">
        <v>3392</v>
      </c>
    </row>
    <row r="257" spans="1:4" x14ac:dyDescent="0.25">
      <c r="A257" t="s">
        <v>4560</v>
      </c>
      <c r="B257">
        <v>18.341999999999999</v>
      </c>
      <c r="C257">
        <v>18.341999999999999</v>
      </c>
      <c r="D257" t="s">
        <v>3395</v>
      </c>
    </row>
    <row r="258" spans="1:4" x14ac:dyDescent="0.25">
      <c r="A258" t="s">
        <v>4563</v>
      </c>
      <c r="B258">
        <v>10.672000000000001</v>
      </c>
      <c r="C258">
        <v>10.672000000000001</v>
      </c>
      <c r="D258" t="s">
        <v>3395</v>
      </c>
    </row>
    <row r="259" spans="1:4" x14ac:dyDescent="0.25">
      <c r="A259" t="s">
        <v>4565</v>
      </c>
      <c r="B259">
        <v>10.661</v>
      </c>
      <c r="C259">
        <v>10.661</v>
      </c>
      <c r="D259" t="s">
        <v>3395</v>
      </c>
    </row>
    <row r="260" spans="1:4" x14ac:dyDescent="0.25">
      <c r="A260" t="s">
        <v>4587</v>
      </c>
      <c r="B260">
        <v>11.381460000000001</v>
      </c>
      <c r="C260">
        <v>11.381460000000001</v>
      </c>
      <c r="D260" t="s">
        <v>3392</v>
      </c>
    </row>
    <row r="261" spans="1:4" x14ac:dyDescent="0.25">
      <c r="A261" t="s">
        <v>4837</v>
      </c>
      <c r="B261">
        <v>14.672000000000001</v>
      </c>
      <c r="C261">
        <v>14.672000000000001</v>
      </c>
      <c r="D261" t="s">
        <v>3395</v>
      </c>
    </row>
    <row r="262" spans="1:4" x14ac:dyDescent="0.25">
      <c r="A262" t="s">
        <v>4926</v>
      </c>
      <c r="B262">
        <v>14.348000000000001</v>
      </c>
      <c r="C262">
        <v>14.348000000000001</v>
      </c>
      <c r="D262" t="s">
        <v>3395</v>
      </c>
    </row>
    <row r="263" spans="1:4" x14ac:dyDescent="0.25">
      <c r="A263" t="s">
        <v>5017</v>
      </c>
      <c r="B263">
        <v>13.167999999999999</v>
      </c>
      <c r="C263">
        <v>13.167999999999999</v>
      </c>
      <c r="D263" t="s">
        <v>3395</v>
      </c>
    </row>
    <row r="264" spans="1:4" x14ac:dyDescent="0.25">
      <c r="A264" t="s">
        <v>5043</v>
      </c>
      <c r="B264">
        <v>21.65</v>
      </c>
      <c r="C264">
        <v>21.65</v>
      </c>
      <c r="D264" t="s">
        <v>3395</v>
      </c>
    </row>
    <row r="265" spans="1:4" x14ac:dyDescent="0.25">
      <c r="A265" t="s">
        <v>5054</v>
      </c>
      <c r="B265">
        <v>13.5</v>
      </c>
      <c r="C265">
        <v>13.5</v>
      </c>
      <c r="D265" t="s">
        <v>3395</v>
      </c>
    </row>
    <row r="266" spans="1:4" x14ac:dyDescent="0.25">
      <c r="A266" t="s">
        <v>5053</v>
      </c>
      <c r="B266">
        <v>14.7</v>
      </c>
      <c r="C266">
        <v>14.7</v>
      </c>
      <c r="D266" t="s">
        <v>3395</v>
      </c>
    </row>
    <row r="267" spans="1:4" x14ac:dyDescent="0.25">
      <c r="A267" t="s">
        <v>2736</v>
      </c>
      <c r="B267">
        <v>15.2</v>
      </c>
      <c r="C267">
        <v>15.2</v>
      </c>
      <c r="D267" t="s">
        <v>3395</v>
      </c>
    </row>
    <row r="268" spans="1:4" x14ac:dyDescent="0.25">
      <c r="A268" t="s">
        <v>2742</v>
      </c>
      <c r="B268">
        <v>15.262</v>
      </c>
      <c r="C268">
        <v>15.262</v>
      </c>
      <c r="D268" t="s">
        <v>3395</v>
      </c>
    </row>
    <row r="269" spans="1:4" x14ac:dyDescent="0.25">
      <c r="A269" t="s">
        <v>2747</v>
      </c>
      <c r="B269">
        <v>14.954000000000001</v>
      </c>
      <c r="C269">
        <v>14.954000000000001</v>
      </c>
      <c r="D269" t="s">
        <v>3395</v>
      </c>
    </row>
    <row r="270" spans="1:4" x14ac:dyDescent="0.25">
      <c r="A270" t="s">
        <v>2751</v>
      </c>
      <c r="B270">
        <v>15.363</v>
      </c>
      <c r="C270">
        <v>15.363</v>
      </c>
      <c r="D270" t="s">
        <v>3395</v>
      </c>
    </row>
    <row r="271" spans="1:4" x14ac:dyDescent="0.25">
      <c r="A271" t="s">
        <v>2755</v>
      </c>
      <c r="B271">
        <v>15.282</v>
      </c>
      <c r="C271">
        <v>15.282</v>
      </c>
      <c r="D271" t="s">
        <v>3395</v>
      </c>
    </row>
    <row r="272" spans="1:4" x14ac:dyDescent="0.25">
      <c r="A272" t="s">
        <v>2758</v>
      </c>
      <c r="B272">
        <v>17.062000000000001</v>
      </c>
      <c r="C272">
        <v>17.062000000000001</v>
      </c>
      <c r="D272" t="s">
        <v>3395</v>
      </c>
    </row>
    <row r="273" spans="1:4" x14ac:dyDescent="0.25">
      <c r="A273" t="s">
        <v>713</v>
      </c>
      <c r="B273">
        <v>16.386810000000001</v>
      </c>
      <c r="C273">
        <v>16.386810000000001</v>
      </c>
      <c r="D273" t="s">
        <v>3392</v>
      </c>
    </row>
    <row r="274" spans="1:4" x14ac:dyDescent="0.25">
      <c r="A274" t="s">
        <v>2762</v>
      </c>
      <c r="B274">
        <v>15.923</v>
      </c>
      <c r="C274">
        <v>15.923</v>
      </c>
      <c r="D274" t="s">
        <v>3395</v>
      </c>
    </row>
    <row r="275" spans="1:4" x14ac:dyDescent="0.25">
      <c r="A275" t="s">
        <v>2767</v>
      </c>
      <c r="B275">
        <v>15.154999999999999</v>
      </c>
      <c r="C275">
        <v>15.154999999999999</v>
      </c>
      <c r="D275" t="s">
        <v>3395</v>
      </c>
    </row>
    <row r="276" spans="1:4" x14ac:dyDescent="0.25">
      <c r="A276" t="s">
        <v>2235</v>
      </c>
      <c r="B276">
        <v>13.433</v>
      </c>
      <c r="C276">
        <v>13.433</v>
      </c>
      <c r="D276" t="s">
        <v>3395</v>
      </c>
    </row>
    <row r="277" spans="1:4" x14ac:dyDescent="0.25">
      <c r="A277" t="s">
        <v>2772</v>
      </c>
      <c r="B277">
        <v>15.679</v>
      </c>
      <c r="C277">
        <v>15.679</v>
      </c>
      <c r="D277" t="s">
        <v>3395</v>
      </c>
    </row>
    <row r="278" spans="1:4" x14ac:dyDescent="0.25">
      <c r="A278" t="s">
        <v>2777</v>
      </c>
      <c r="B278">
        <v>14.923</v>
      </c>
      <c r="C278">
        <v>14.923</v>
      </c>
      <c r="D278" t="s">
        <v>3395</v>
      </c>
    </row>
    <row r="279" spans="1:4" x14ac:dyDescent="0.25">
      <c r="A279" t="s">
        <v>2779</v>
      </c>
      <c r="B279">
        <v>15.689</v>
      </c>
      <c r="C279">
        <v>15.689</v>
      </c>
      <c r="D279" t="s">
        <v>3395</v>
      </c>
    </row>
    <row r="280" spans="1:4" x14ac:dyDescent="0.25">
      <c r="A280" t="s">
        <v>2783</v>
      </c>
      <c r="B280">
        <v>17.523</v>
      </c>
      <c r="C280">
        <v>17.523</v>
      </c>
      <c r="D280" t="s">
        <v>3395</v>
      </c>
    </row>
    <row r="281" spans="1:4" x14ac:dyDescent="0.25">
      <c r="A281" t="s">
        <v>2786</v>
      </c>
      <c r="B281">
        <v>14.632999999999999</v>
      </c>
      <c r="C281">
        <v>14.632999999999999</v>
      </c>
      <c r="D281" t="s">
        <v>3395</v>
      </c>
    </row>
    <row r="282" spans="1:4" x14ac:dyDescent="0.25">
      <c r="A282" t="s">
        <v>2791</v>
      </c>
      <c r="B282">
        <v>15.298999999999999</v>
      </c>
      <c r="C282">
        <v>15.298999999999999</v>
      </c>
      <c r="D282" t="s">
        <v>3395</v>
      </c>
    </row>
    <row r="283" spans="1:4" x14ac:dyDescent="0.25">
      <c r="A283" t="s">
        <v>2372</v>
      </c>
      <c r="B283">
        <v>14.664999999999999</v>
      </c>
      <c r="C283">
        <v>14.664999999999999</v>
      </c>
      <c r="D283" t="s">
        <v>3395</v>
      </c>
    </row>
    <row r="284" spans="1:4" x14ac:dyDescent="0.25">
      <c r="A284" t="s">
        <v>2805</v>
      </c>
      <c r="B284">
        <v>17.579000000000001</v>
      </c>
      <c r="C284">
        <v>17.579000000000001</v>
      </c>
      <c r="D284" t="s">
        <v>3395</v>
      </c>
    </row>
    <row r="285" spans="1:4" x14ac:dyDescent="0.25">
      <c r="A285" t="s">
        <v>2969</v>
      </c>
      <c r="B285">
        <v>15.394</v>
      </c>
      <c r="C285">
        <v>15.394</v>
      </c>
      <c r="D285" t="s">
        <v>3395</v>
      </c>
    </row>
    <row r="286" spans="1:4" x14ac:dyDescent="0.25">
      <c r="A286" t="s">
        <v>2959</v>
      </c>
      <c r="B286">
        <v>10.972</v>
      </c>
      <c r="C286">
        <v>10.972</v>
      </c>
      <c r="D286" t="s">
        <v>3395</v>
      </c>
    </row>
    <row r="287" spans="1:4" x14ac:dyDescent="0.25">
      <c r="A287" t="s">
        <v>2971</v>
      </c>
      <c r="B287">
        <v>12.867000000000001</v>
      </c>
      <c r="C287">
        <v>12.867000000000001</v>
      </c>
      <c r="D287" t="s">
        <v>3395</v>
      </c>
    </row>
    <row r="288" spans="1:4" x14ac:dyDescent="0.25">
      <c r="A288" t="s">
        <v>2254</v>
      </c>
      <c r="B288">
        <v>9.7560000000000002</v>
      </c>
      <c r="C288">
        <v>9.7560000000000002</v>
      </c>
      <c r="D288" t="s">
        <v>3395</v>
      </c>
    </row>
    <row r="289" spans="1:4" x14ac:dyDescent="0.25">
      <c r="A289" t="s">
        <v>2870</v>
      </c>
      <c r="B289">
        <v>4.03</v>
      </c>
      <c r="C289">
        <v>4.03</v>
      </c>
      <c r="D289" t="s">
        <v>3395</v>
      </c>
    </row>
    <row r="290" spans="1:4" x14ac:dyDescent="0.25">
      <c r="A290" t="s">
        <v>2967</v>
      </c>
      <c r="B290">
        <v>12.39</v>
      </c>
      <c r="C290">
        <v>12.39</v>
      </c>
      <c r="D290" t="s">
        <v>3395</v>
      </c>
    </row>
    <row r="291" spans="1:4" x14ac:dyDescent="0.25">
      <c r="A291" t="s">
        <v>2308</v>
      </c>
      <c r="B291">
        <v>0.55600000000000005</v>
      </c>
      <c r="C291">
        <v>0.55600000000000005</v>
      </c>
      <c r="D291" t="s">
        <v>3395</v>
      </c>
    </row>
    <row r="292" spans="1:4" x14ac:dyDescent="0.25">
      <c r="A292" t="s">
        <v>2256</v>
      </c>
      <c r="B292">
        <v>15.471</v>
      </c>
      <c r="C292">
        <v>15.471</v>
      </c>
      <c r="D292" t="s">
        <v>3395</v>
      </c>
    </row>
    <row r="293" spans="1:4" x14ac:dyDescent="0.25">
      <c r="A293" t="s">
        <v>2963</v>
      </c>
      <c r="B293">
        <v>12.651999999999999</v>
      </c>
      <c r="C293">
        <v>12.651999999999999</v>
      </c>
      <c r="D293" t="s">
        <v>3395</v>
      </c>
    </row>
    <row r="294" spans="1:4" x14ac:dyDescent="0.25">
      <c r="A294" t="s">
        <v>2564</v>
      </c>
      <c r="B294">
        <v>17.306000000000001</v>
      </c>
      <c r="C294">
        <v>17.306000000000001</v>
      </c>
      <c r="D294" t="s">
        <v>3395</v>
      </c>
    </row>
    <row r="295" spans="1:4" x14ac:dyDescent="0.25">
      <c r="A295" t="s">
        <v>2931</v>
      </c>
      <c r="B295">
        <v>6.8620000000000001</v>
      </c>
      <c r="C295">
        <v>6.8620000000000001</v>
      </c>
      <c r="D295" t="s">
        <v>3395</v>
      </c>
    </row>
    <row r="296" spans="1:4" x14ac:dyDescent="0.25">
      <c r="A296" t="s">
        <v>2257</v>
      </c>
      <c r="B296">
        <v>5.2690000000000001</v>
      </c>
      <c r="C296">
        <v>5.2690000000000001</v>
      </c>
      <c r="D296" t="s">
        <v>3395</v>
      </c>
    </row>
    <row r="297" spans="1:4" x14ac:dyDescent="0.25">
      <c r="A297" t="s">
        <v>3149</v>
      </c>
      <c r="B297">
        <v>5.69</v>
      </c>
      <c r="C297">
        <v>5.69</v>
      </c>
      <c r="D297" t="s">
        <v>3395</v>
      </c>
    </row>
    <row r="298" spans="1:4" x14ac:dyDescent="0.25">
      <c r="A298" t="s">
        <v>3169</v>
      </c>
      <c r="B298">
        <v>16.07</v>
      </c>
      <c r="C298">
        <v>16.07</v>
      </c>
      <c r="D298" t="s">
        <v>3395</v>
      </c>
    </row>
    <row r="299" spans="1:4" x14ac:dyDescent="0.25">
      <c r="A299" t="s">
        <v>3158</v>
      </c>
      <c r="B299">
        <v>16.283000000000001</v>
      </c>
      <c r="C299">
        <v>16.283000000000001</v>
      </c>
      <c r="D299" t="s">
        <v>3395</v>
      </c>
    </row>
    <row r="300" spans="1:4" x14ac:dyDescent="0.25">
      <c r="A300" t="s">
        <v>3165</v>
      </c>
      <c r="B300">
        <v>12.91</v>
      </c>
      <c r="C300">
        <v>12.91</v>
      </c>
      <c r="D300" t="s">
        <v>3395</v>
      </c>
    </row>
    <row r="301" spans="1:4" x14ac:dyDescent="0.25">
      <c r="A301" t="s">
        <v>3287</v>
      </c>
      <c r="B301">
        <v>18.065999999999999</v>
      </c>
      <c r="C301">
        <v>18.065999999999999</v>
      </c>
      <c r="D301" t="s">
        <v>3395</v>
      </c>
    </row>
    <row r="302" spans="1:4" x14ac:dyDescent="0.25">
      <c r="A302" t="s">
        <v>3440</v>
      </c>
      <c r="B302">
        <v>12.192</v>
      </c>
      <c r="C302">
        <v>12.192</v>
      </c>
      <c r="D302" t="s">
        <v>3395</v>
      </c>
    </row>
    <row r="303" spans="1:4" x14ac:dyDescent="0.25">
      <c r="A303" t="s">
        <v>3442</v>
      </c>
      <c r="B303">
        <v>13.500999999999999</v>
      </c>
      <c r="C303">
        <v>13.500999999999999</v>
      </c>
      <c r="D303" t="s">
        <v>3395</v>
      </c>
    </row>
    <row r="304" spans="1:4" x14ac:dyDescent="0.25">
      <c r="A304" t="s">
        <v>3439</v>
      </c>
      <c r="B304">
        <v>12.276999999999999</v>
      </c>
      <c r="C304">
        <v>12.276999999999999</v>
      </c>
      <c r="D304" t="s">
        <v>3395</v>
      </c>
    </row>
    <row r="305" spans="1:4" x14ac:dyDescent="0.25">
      <c r="A305" t="s">
        <v>3587</v>
      </c>
      <c r="B305">
        <v>6.4580000000000002</v>
      </c>
      <c r="C305">
        <v>6.4580000000000002</v>
      </c>
      <c r="D305" t="s">
        <v>3395</v>
      </c>
    </row>
    <row r="306" spans="1:4" x14ac:dyDescent="0.25">
      <c r="A306" t="s">
        <v>3611</v>
      </c>
      <c r="B306">
        <v>13.693</v>
      </c>
      <c r="C306">
        <v>13.693</v>
      </c>
      <c r="D306" t="s">
        <v>3395</v>
      </c>
    </row>
    <row r="307" spans="1:4" x14ac:dyDescent="0.25">
      <c r="A307" t="s">
        <v>3610</v>
      </c>
      <c r="B307">
        <v>15.537000000000001</v>
      </c>
      <c r="C307">
        <v>15.537000000000001</v>
      </c>
      <c r="D307" t="s">
        <v>3395</v>
      </c>
    </row>
    <row r="308" spans="1:4" x14ac:dyDescent="0.25">
      <c r="A308" t="s">
        <v>3614</v>
      </c>
      <c r="B308">
        <v>14.301</v>
      </c>
      <c r="C308">
        <v>14.301</v>
      </c>
      <c r="D308" t="s">
        <v>3395</v>
      </c>
    </row>
    <row r="309" spans="1:4" x14ac:dyDescent="0.25">
      <c r="A309" t="s">
        <v>3607</v>
      </c>
      <c r="B309">
        <v>3.593</v>
      </c>
      <c r="C309">
        <v>3.593</v>
      </c>
      <c r="D309" t="s">
        <v>3395</v>
      </c>
    </row>
    <row r="310" spans="1:4" x14ac:dyDescent="0.25">
      <c r="A310" t="s">
        <v>3612</v>
      </c>
      <c r="B310">
        <v>14.013999999999999</v>
      </c>
      <c r="C310">
        <v>14.013999999999999</v>
      </c>
      <c r="D310" t="s">
        <v>3395</v>
      </c>
    </row>
    <row r="311" spans="1:4" x14ac:dyDescent="0.25">
      <c r="A311" t="s">
        <v>3613</v>
      </c>
      <c r="B311">
        <v>14.596</v>
      </c>
      <c r="C311">
        <v>14.596</v>
      </c>
      <c r="D311" t="s">
        <v>3395</v>
      </c>
    </row>
    <row r="312" spans="1:4" x14ac:dyDescent="0.25">
      <c r="A312" t="s">
        <v>3618</v>
      </c>
      <c r="B312">
        <v>12.776</v>
      </c>
      <c r="C312">
        <v>12.776</v>
      </c>
      <c r="D312" t="s">
        <v>3395</v>
      </c>
    </row>
    <row r="313" spans="1:4" x14ac:dyDescent="0.25">
      <c r="A313" t="s">
        <v>3623</v>
      </c>
      <c r="B313">
        <v>15.151999999999999</v>
      </c>
      <c r="C313">
        <v>15.151999999999999</v>
      </c>
      <c r="D313" t="s">
        <v>3395</v>
      </c>
    </row>
    <row r="314" spans="1:4" x14ac:dyDescent="0.25">
      <c r="A314" t="s">
        <v>3622</v>
      </c>
      <c r="B314">
        <v>5.2910000000000004</v>
      </c>
      <c r="C314">
        <v>5.2910000000000004</v>
      </c>
      <c r="D314" t="s">
        <v>3395</v>
      </c>
    </row>
    <row r="315" spans="1:4" x14ac:dyDescent="0.25">
      <c r="A315" t="s">
        <v>3649</v>
      </c>
      <c r="B315">
        <v>15.004</v>
      </c>
      <c r="C315">
        <v>15.004</v>
      </c>
      <c r="D315" t="s">
        <v>3395</v>
      </c>
    </row>
    <row r="316" spans="1:4" x14ac:dyDescent="0.25">
      <c r="A316" t="s">
        <v>3654</v>
      </c>
      <c r="B316">
        <v>14.61814</v>
      </c>
      <c r="C316">
        <v>14.61814</v>
      </c>
      <c r="D316" t="s">
        <v>3392</v>
      </c>
    </row>
    <row r="317" spans="1:4" x14ac:dyDescent="0.25">
      <c r="A317" t="s">
        <v>3884</v>
      </c>
      <c r="B317">
        <v>3.7829999999999999</v>
      </c>
      <c r="C317">
        <v>3.7829999999999999</v>
      </c>
      <c r="D317" t="s">
        <v>3395</v>
      </c>
    </row>
    <row r="318" spans="1:4" x14ac:dyDescent="0.25">
      <c r="A318" t="s">
        <v>3883</v>
      </c>
      <c r="B318">
        <v>5.18</v>
      </c>
      <c r="C318">
        <v>5.18</v>
      </c>
      <c r="D318" t="s">
        <v>3395</v>
      </c>
    </row>
    <row r="319" spans="1:4" x14ac:dyDescent="0.25">
      <c r="A319" t="s">
        <v>3930</v>
      </c>
      <c r="B319">
        <v>12.782999999999999</v>
      </c>
      <c r="C319">
        <v>12.782999999999999</v>
      </c>
      <c r="D319" t="s">
        <v>3395</v>
      </c>
    </row>
    <row r="320" spans="1:4" x14ac:dyDescent="0.25">
      <c r="A320" t="s">
        <v>3939</v>
      </c>
      <c r="B320">
        <v>14.96336</v>
      </c>
      <c r="C320">
        <v>14.96336</v>
      </c>
      <c r="D320" t="s">
        <v>3392</v>
      </c>
    </row>
    <row r="321" spans="1:4" x14ac:dyDescent="0.25">
      <c r="A321" t="s">
        <v>4617</v>
      </c>
      <c r="B321">
        <v>11.962999999999999</v>
      </c>
      <c r="C321">
        <v>11.962999999999999</v>
      </c>
      <c r="D321" t="s">
        <v>3395</v>
      </c>
    </row>
    <row r="322" spans="1:4" x14ac:dyDescent="0.25">
      <c r="A322" t="s">
        <v>4625</v>
      </c>
      <c r="B322">
        <v>3.9820000000000002</v>
      </c>
      <c r="C322">
        <v>3.9820000000000002</v>
      </c>
      <c r="D322" t="s">
        <v>3395</v>
      </c>
    </row>
    <row r="323" spans="1:4" x14ac:dyDescent="0.25">
      <c r="A323" t="s">
        <v>4626</v>
      </c>
      <c r="B323">
        <v>2.786</v>
      </c>
      <c r="C323">
        <v>2.786</v>
      </c>
      <c r="D323" t="s">
        <v>3395</v>
      </c>
    </row>
    <row r="324" spans="1:4" x14ac:dyDescent="0.25">
      <c r="A324" t="s">
        <v>4627</v>
      </c>
      <c r="B324">
        <v>12.920999999999999</v>
      </c>
      <c r="C324">
        <v>12.920999999999999</v>
      </c>
      <c r="D324" t="s">
        <v>3395</v>
      </c>
    </row>
    <row r="325" spans="1:4" x14ac:dyDescent="0.25">
      <c r="A325" t="s">
        <v>5044</v>
      </c>
      <c r="B325">
        <v>16.689</v>
      </c>
      <c r="C325">
        <v>16.689</v>
      </c>
      <c r="D325" t="s">
        <v>3395</v>
      </c>
    </row>
    <row r="326" spans="1:4" x14ac:dyDescent="0.25">
      <c r="A326" t="s">
        <v>5052</v>
      </c>
      <c r="B326">
        <v>5.75</v>
      </c>
      <c r="C326">
        <v>5.75</v>
      </c>
      <c r="D326" t="s">
        <v>3395</v>
      </c>
    </row>
    <row r="327" spans="1:4" x14ac:dyDescent="0.25">
      <c r="A327" t="s">
        <v>1058</v>
      </c>
      <c r="B327">
        <v>81.519949999999994</v>
      </c>
      <c r="C327">
        <v>81.519949999999994</v>
      </c>
      <c r="D327" t="s">
        <v>3392</v>
      </c>
    </row>
    <row r="328" spans="1:4" x14ac:dyDescent="0.25">
      <c r="A328" t="s">
        <v>2918</v>
      </c>
      <c r="B328">
        <v>100.4</v>
      </c>
      <c r="C328">
        <v>100.4</v>
      </c>
      <c r="D328" t="s">
        <v>3394</v>
      </c>
    </row>
    <row r="329" spans="1:4" x14ac:dyDescent="0.25">
      <c r="A329" t="s">
        <v>2358</v>
      </c>
      <c r="B329">
        <v>100</v>
      </c>
      <c r="C329">
        <v>100.0578</v>
      </c>
      <c r="D329" t="s">
        <v>3393</v>
      </c>
    </row>
    <row r="330" spans="1:4" x14ac:dyDescent="0.25">
      <c r="A330" t="s">
        <v>4420</v>
      </c>
      <c r="B330">
        <v>112.63160000000001</v>
      </c>
      <c r="C330">
        <v>115.8631</v>
      </c>
      <c r="D330" t="s">
        <v>3391</v>
      </c>
    </row>
    <row r="331" spans="1:4" x14ac:dyDescent="0.25">
      <c r="A331" t="s">
        <v>2406</v>
      </c>
      <c r="B331">
        <v>99.999930000000006</v>
      </c>
      <c r="C331">
        <v>99.999930000000006</v>
      </c>
      <c r="D331" t="s">
        <v>3391</v>
      </c>
    </row>
    <row r="332" spans="1:4" x14ac:dyDescent="0.25">
      <c r="A332" t="s">
        <v>1777</v>
      </c>
      <c r="B332">
        <v>102.15197999999999</v>
      </c>
      <c r="C332">
        <v>102.15197999999999</v>
      </c>
      <c r="D332" t="s">
        <v>3392</v>
      </c>
    </row>
    <row r="333" spans="1:4" x14ac:dyDescent="0.25">
      <c r="A333" t="s">
        <v>2628</v>
      </c>
      <c r="B333">
        <v>101.24995</v>
      </c>
      <c r="C333">
        <v>101.24995</v>
      </c>
      <c r="D333" t="s">
        <v>3391</v>
      </c>
    </row>
    <row r="334" spans="1:4" x14ac:dyDescent="0.25">
      <c r="A334" t="s">
        <v>1730</v>
      </c>
      <c r="B334">
        <v>101.0265</v>
      </c>
      <c r="C334">
        <v>101.0265</v>
      </c>
      <c r="D334" t="s">
        <v>3392</v>
      </c>
    </row>
    <row r="335" spans="1:4" x14ac:dyDescent="0.25">
      <c r="A335" t="s">
        <v>1781</v>
      </c>
      <c r="B335">
        <v>105.95</v>
      </c>
      <c r="C335">
        <v>105.95</v>
      </c>
      <c r="D335" t="s">
        <v>3392</v>
      </c>
    </row>
    <row r="336" spans="1:4" x14ac:dyDescent="0.25">
      <c r="A336" t="s">
        <v>4409</v>
      </c>
      <c r="B336">
        <v>100.15094999999999</v>
      </c>
      <c r="C336">
        <v>100.15094999999999</v>
      </c>
      <c r="D336" t="s">
        <v>3392</v>
      </c>
    </row>
    <row r="337" spans="1:4" x14ac:dyDescent="0.25">
      <c r="A337" t="s">
        <v>5047</v>
      </c>
      <c r="B337">
        <v>94.413169999999994</v>
      </c>
      <c r="C337">
        <v>94.413169999999994</v>
      </c>
      <c r="D337" t="s">
        <v>3391</v>
      </c>
    </row>
    <row r="338" spans="1:4" x14ac:dyDescent="0.25">
      <c r="A338" t="s">
        <v>5076</v>
      </c>
      <c r="B338">
        <v>100.13499</v>
      </c>
      <c r="C338">
        <v>100.13499</v>
      </c>
      <c r="D338" t="s">
        <v>3392</v>
      </c>
    </row>
    <row r="339" spans="1:4" x14ac:dyDescent="0.25">
      <c r="A339" t="s">
        <v>2448</v>
      </c>
      <c r="B339">
        <v>97.361450000000005</v>
      </c>
      <c r="C339">
        <v>97.361450000000005</v>
      </c>
      <c r="D339" t="s">
        <v>3392</v>
      </c>
    </row>
    <row r="340" spans="1:4" x14ac:dyDescent="0.25">
      <c r="A340" t="s">
        <v>2508</v>
      </c>
      <c r="B340">
        <v>93.945710000000005</v>
      </c>
      <c r="C340">
        <v>93.945710000000005</v>
      </c>
      <c r="D340" t="s">
        <v>3392</v>
      </c>
    </row>
    <row r="341" spans="1:4" x14ac:dyDescent="0.25">
      <c r="A341" t="s">
        <v>2507</v>
      </c>
      <c r="B341">
        <v>98.343540000000004</v>
      </c>
      <c r="C341">
        <v>98.343540000000004</v>
      </c>
      <c r="D341" t="s">
        <v>3392</v>
      </c>
    </row>
    <row r="342" spans="1:4" x14ac:dyDescent="0.25">
      <c r="A342" t="s">
        <v>2453</v>
      </c>
      <c r="B342">
        <v>93.126435000000001</v>
      </c>
      <c r="C342">
        <v>93.126435000000001</v>
      </c>
      <c r="D342" t="s">
        <v>3923</v>
      </c>
    </row>
    <row r="343" spans="1:4" x14ac:dyDescent="0.25">
      <c r="A343" t="s">
        <v>2506</v>
      </c>
      <c r="B343">
        <v>93.016080000000002</v>
      </c>
      <c r="C343">
        <v>93.016080000000002</v>
      </c>
      <c r="D343" t="s">
        <v>3391</v>
      </c>
    </row>
    <row r="344" spans="1:4" x14ac:dyDescent="0.25">
      <c r="A344" t="s">
        <v>2734</v>
      </c>
      <c r="B344">
        <v>95.708259999999996</v>
      </c>
      <c r="C344">
        <v>95.708259999999996</v>
      </c>
      <c r="D344" t="s">
        <v>3391</v>
      </c>
    </row>
    <row r="345" spans="1:4" x14ac:dyDescent="0.25">
      <c r="A345" t="s">
        <v>2477</v>
      </c>
      <c r="B345">
        <v>93.490189999999998</v>
      </c>
      <c r="C345">
        <v>93.490189999999998</v>
      </c>
      <c r="D345" t="s">
        <v>3392</v>
      </c>
    </row>
    <row r="346" spans="1:4" x14ac:dyDescent="0.25">
      <c r="A346" t="s">
        <v>2616</v>
      </c>
      <c r="B346">
        <v>100.23578000000001</v>
      </c>
      <c r="C346">
        <v>100.23578000000001</v>
      </c>
      <c r="D346" t="s">
        <v>3391</v>
      </c>
    </row>
    <row r="347" spans="1:4" x14ac:dyDescent="0.25">
      <c r="A347" t="s">
        <v>1950</v>
      </c>
      <c r="B347">
        <v>98.941640000000007</v>
      </c>
      <c r="C347">
        <v>98.941640000000007</v>
      </c>
      <c r="D347" t="s">
        <v>3391</v>
      </c>
    </row>
    <row r="348" spans="1:4" x14ac:dyDescent="0.25">
      <c r="A348" t="s">
        <v>3300</v>
      </c>
      <c r="B348">
        <v>96.651529999999994</v>
      </c>
      <c r="C348">
        <v>96.651529999999994</v>
      </c>
      <c r="D348" t="s">
        <v>3392</v>
      </c>
    </row>
    <row r="349" spans="1:4" x14ac:dyDescent="0.25">
      <c r="A349" t="s">
        <v>2544</v>
      </c>
      <c r="B349">
        <v>99.681250000000006</v>
      </c>
      <c r="C349">
        <v>99.681250000000006</v>
      </c>
      <c r="D349" t="s">
        <v>3391</v>
      </c>
    </row>
    <row r="350" spans="1:4" x14ac:dyDescent="0.25">
      <c r="A350" t="s">
        <v>2541</v>
      </c>
      <c r="B350">
        <v>98.352080000000001</v>
      </c>
      <c r="C350">
        <v>98.352080000000001</v>
      </c>
      <c r="D350" t="s">
        <v>3391</v>
      </c>
    </row>
    <row r="351" spans="1:4" x14ac:dyDescent="0.25">
      <c r="A351" t="s">
        <v>2540</v>
      </c>
      <c r="B351">
        <v>94.990889999999993</v>
      </c>
      <c r="C351">
        <v>94.990889999999993</v>
      </c>
      <c r="D351" t="s">
        <v>3391</v>
      </c>
    </row>
    <row r="352" spans="1:4" x14ac:dyDescent="0.25">
      <c r="A352" t="s">
        <v>1673</v>
      </c>
      <c r="B352">
        <v>99.894149999999996</v>
      </c>
      <c r="C352">
        <v>99.894149999999996</v>
      </c>
      <c r="D352" t="s">
        <v>3391</v>
      </c>
    </row>
    <row r="353" spans="1:4" x14ac:dyDescent="0.25">
      <c r="A353" t="s">
        <v>1676</v>
      </c>
      <c r="B353">
        <v>98.085530000000006</v>
      </c>
      <c r="C353">
        <v>98.085530000000006</v>
      </c>
      <c r="D353" t="s">
        <v>3392</v>
      </c>
    </row>
    <row r="354" spans="1:4" x14ac:dyDescent="0.25">
      <c r="A354" t="s">
        <v>1678</v>
      </c>
      <c r="B354">
        <v>98.082620000000006</v>
      </c>
      <c r="C354">
        <v>98.082620000000006</v>
      </c>
      <c r="D354" t="s">
        <v>3392</v>
      </c>
    </row>
    <row r="355" spans="1:4" x14ac:dyDescent="0.25">
      <c r="A355" t="s">
        <v>2040</v>
      </c>
      <c r="B355">
        <v>99.158109999999994</v>
      </c>
      <c r="C355">
        <v>99.158109999999994</v>
      </c>
      <c r="D355" t="s">
        <v>3392</v>
      </c>
    </row>
    <row r="356" spans="1:4" x14ac:dyDescent="0.25">
      <c r="A356" t="s">
        <v>2034</v>
      </c>
      <c r="B356">
        <v>99.195589999999996</v>
      </c>
      <c r="C356">
        <v>99.195589999999996</v>
      </c>
      <c r="D356" t="s">
        <v>3392</v>
      </c>
    </row>
    <row r="357" spans="1:4" x14ac:dyDescent="0.25">
      <c r="A357" t="s">
        <v>2037</v>
      </c>
      <c r="B357">
        <v>99.834990000000005</v>
      </c>
      <c r="C357">
        <v>99.834990000000005</v>
      </c>
      <c r="D357" t="s">
        <v>3392</v>
      </c>
    </row>
    <row r="358" spans="1:4" x14ac:dyDescent="0.25">
      <c r="A358" t="s">
        <v>2018</v>
      </c>
      <c r="B358">
        <v>100.30285000000001</v>
      </c>
      <c r="C358">
        <v>100.30285000000001</v>
      </c>
      <c r="D358" t="s">
        <v>3391</v>
      </c>
    </row>
    <row r="359" spans="1:4" x14ac:dyDescent="0.25">
      <c r="A359" t="s">
        <v>2142</v>
      </c>
      <c r="B359">
        <v>98.08623</v>
      </c>
      <c r="C359">
        <v>98.08623</v>
      </c>
      <c r="D359" t="s">
        <v>3391</v>
      </c>
    </row>
    <row r="360" spans="1:4" x14ac:dyDescent="0.25">
      <c r="A360" t="s">
        <v>2024</v>
      </c>
      <c r="B360">
        <v>100.65876</v>
      </c>
      <c r="C360">
        <v>100.65876</v>
      </c>
      <c r="D360" t="s">
        <v>3391</v>
      </c>
    </row>
    <row r="361" spans="1:4" x14ac:dyDescent="0.25">
      <c r="A361" t="s">
        <v>5065</v>
      </c>
      <c r="B361">
        <v>100.03439</v>
      </c>
      <c r="C361">
        <v>100.03439</v>
      </c>
      <c r="D361" t="s">
        <v>3391</v>
      </c>
    </row>
    <row r="362" spans="1:4" x14ac:dyDescent="0.25">
      <c r="A362" t="s">
        <v>5064</v>
      </c>
      <c r="B362">
        <v>99.98339</v>
      </c>
      <c r="C362">
        <v>99.98339</v>
      </c>
      <c r="D362" t="s">
        <v>3391</v>
      </c>
    </row>
    <row r="363" spans="1:4" x14ac:dyDescent="0.25">
      <c r="A363" t="s">
        <v>5063</v>
      </c>
      <c r="B363">
        <v>99.932540000000003</v>
      </c>
      <c r="C363">
        <v>99.932540000000003</v>
      </c>
      <c r="D363" t="s">
        <v>3391</v>
      </c>
    </row>
    <row r="364" spans="1:4" x14ac:dyDescent="0.25">
      <c r="A364" s="765" t="s">
        <v>5062</v>
      </c>
      <c r="B364">
        <v>97.942220000000006</v>
      </c>
      <c r="C364">
        <v>97.942220000000006</v>
      </c>
      <c r="D364" t="s">
        <v>3391</v>
      </c>
    </row>
    <row r="365" spans="1:4" x14ac:dyDescent="0.25">
      <c r="A365" t="s">
        <v>1913</v>
      </c>
      <c r="B365">
        <v>99.917000000000002</v>
      </c>
      <c r="C365">
        <v>99.917000000000002</v>
      </c>
      <c r="D365" t="s">
        <v>3392</v>
      </c>
    </row>
    <row r="366" spans="1:4" x14ac:dyDescent="0.25">
      <c r="A366" t="s">
        <v>2152</v>
      </c>
      <c r="B366">
        <v>100.15669</v>
      </c>
      <c r="C366">
        <v>100.15669</v>
      </c>
      <c r="D366" t="s">
        <v>3392</v>
      </c>
    </row>
    <row r="367" spans="1:4" x14ac:dyDescent="0.25">
      <c r="A367" t="s">
        <v>2154</v>
      </c>
      <c r="B367">
        <v>99.925370000000001</v>
      </c>
      <c r="C367">
        <v>99.925370000000001</v>
      </c>
      <c r="D367" t="s">
        <v>3392</v>
      </c>
    </row>
    <row r="368" spans="1:4" x14ac:dyDescent="0.25">
      <c r="A368" t="s">
        <v>1917</v>
      </c>
      <c r="B368">
        <v>98.404349999999994</v>
      </c>
      <c r="C368">
        <v>98.404349999999994</v>
      </c>
      <c r="D368" t="s">
        <v>3392</v>
      </c>
    </row>
    <row r="369" spans="1:4" x14ac:dyDescent="0.25">
      <c r="A369" t="s">
        <v>1902</v>
      </c>
      <c r="B369">
        <v>98.561490000000006</v>
      </c>
      <c r="C369">
        <v>98.561490000000006</v>
      </c>
      <c r="D369" t="s">
        <v>3392</v>
      </c>
    </row>
    <row r="370" spans="1:4" x14ac:dyDescent="0.25">
      <c r="A370" t="s">
        <v>2114</v>
      </c>
      <c r="B370">
        <v>99.183329999999998</v>
      </c>
      <c r="C370">
        <v>99.183329999999998</v>
      </c>
      <c r="D370" t="s">
        <v>3392</v>
      </c>
    </row>
    <row r="371" spans="1:4" x14ac:dyDescent="0.25">
      <c r="A371" t="s">
        <v>1968</v>
      </c>
      <c r="B371">
        <v>95.43065</v>
      </c>
      <c r="C371">
        <v>95.43065</v>
      </c>
      <c r="D371" t="s">
        <v>3392</v>
      </c>
    </row>
    <row r="372" spans="1:4" x14ac:dyDescent="0.25">
      <c r="A372" t="s">
        <v>1923</v>
      </c>
      <c r="B372">
        <v>99.770150000000001</v>
      </c>
      <c r="C372">
        <v>99.770150000000001</v>
      </c>
      <c r="D372" t="s">
        <v>3392</v>
      </c>
    </row>
    <row r="373" spans="1:4" x14ac:dyDescent="0.25">
      <c r="A373" t="s">
        <v>2119</v>
      </c>
      <c r="B373">
        <v>100.26542999999999</v>
      </c>
      <c r="C373">
        <v>100.26542999999999</v>
      </c>
      <c r="D373" t="s">
        <v>3392</v>
      </c>
    </row>
    <row r="374" spans="1:4" x14ac:dyDescent="0.25">
      <c r="A374" t="s">
        <v>2125</v>
      </c>
      <c r="B374">
        <v>100.26625</v>
      </c>
      <c r="C374">
        <v>100.26625</v>
      </c>
      <c r="D374" t="s">
        <v>3392</v>
      </c>
    </row>
    <row r="375" spans="1:4" x14ac:dyDescent="0.25">
      <c r="A375" t="s">
        <v>2156</v>
      </c>
      <c r="B375">
        <v>99.697140000000005</v>
      </c>
      <c r="C375">
        <v>99.697140000000005</v>
      </c>
      <c r="D375" t="s">
        <v>3392</v>
      </c>
    </row>
    <row r="376" spans="1:4" x14ac:dyDescent="0.25">
      <c r="A376" t="s">
        <v>2148</v>
      </c>
      <c r="B376">
        <v>99.272980000000004</v>
      </c>
      <c r="C376">
        <v>99.272980000000004</v>
      </c>
      <c r="D376" t="s">
        <v>3392</v>
      </c>
    </row>
    <row r="377" spans="1:4" x14ac:dyDescent="0.25">
      <c r="A377" t="s">
        <v>2150</v>
      </c>
      <c r="B377">
        <v>100.19351</v>
      </c>
      <c r="C377">
        <v>100.19351</v>
      </c>
      <c r="D377" t="s">
        <v>3392</v>
      </c>
    </row>
    <row r="378" spans="1:4" x14ac:dyDescent="0.25">
      <c r="A378" t="s">
        <v>2128</v>
      </c>
      <c r="B378">
        <v>100.57149</v>
      </c>
      <c r="C378">
        <v>100.57149</v>
      </c>
      <c r="D378" t="s">
        <v>3392</v>
      </c>
    </row>
    <row r="379" spans="1:4" x14ac:dyDescent="0.25">
      <c r="A379" t="s">
        <v>1928</v>
      </c>
      <c r="B379">
        <v>96.479979999999998</v>
      </c>
      <c r="C379">
        <v>96.479979999999998</v>
      </c>
      <c r="D379" t="s">
        <v>3391</v>
      </c>
    </row>
    <row r="380" spans="1:4" x14ac:dyDescent="0.25">
      <c r="A380" t="s">
        <v>1937</v>
      </c>
      <c r="B380">
        <v>99.874560000000002</v>
      </c>
      <c r="C380">
        <v>99.874560000000002</v>
      </c>
      <c r="D380" t="s">
        <v>3392</v>
      </c>
    </row>
    <row r="381" spans="1:4" x14ac:dyDescent="0.25">
      <c r="A381" t="s">
        <v>2845</v>
      </c>
      <c r="B381">
        <v>106.21359</v>
      </c>
      <c r="C381">
        <v>106.21359</v>
      </c>
      <c r="D381" t="s">
        <v>3391</v>
      </c>
    </row>
    <row r="382" spans="1:4" x14ac:dyDescent="0.25">
      <c r="A382" t="s">
        <v>3406</v>
      </c>
      <c r="B382">
        <v>99.778200000000012</v>
      </c>
      <c r="C382">
        <v>99.778200000000012</v>
      </c>
      <c r="D382" t="s">
        <v>3996</v>
      </c>
    </row>
    <row r="383" spans="1:4" x14ac:dyDescent="0.25">
      <c r="A383" t="s">
        <v>3408</v>
      </c>
      <c r="B383">
        <v>99.37115</v>
      </c>
      <c r="C383">
        <v>99.37115</v>
      </c>
      <c r="D383" t="s">
        <v>3391</v>
      </c>
    </row>
    <row r="384" spans="1:4" x14ac:dyDescent="0.25">
      <c r="A384" t="s">
        <v>3574</v>
      </c>
      <c r="B384">
        <v>91.639399999999995</v>
      </c>
      <c r="C384">
        <v>91.639399999999995</v>
      </c>
      <c r="D384" t="s">
        <v>3391</v>
      </c>
    </row>
    <row r="385" spans="1:4" x14ac:dyDescent="0.25">
      <c r="A385" t="s">
        <v>3588</v>
      </c>
      <c r="B385">
        <v>91.639399999999995</v>
      </c>
      <c r="C385">
        <v>91.639399999999995</v>
      </c>
      <c r="D385" t="s">
        <v>3391</v>
      </c>
    </row>
    <row r="386" spans="1:4" x14ac:dyDescent="0.25">
      <c r="A386" t="s">
        <v>3589</v>
      </c>
      <c r="B386">
        <v>90.088800000000006</v>
      </c>
      <c r="C386">
        <v>90.088800000000006</v>
      </c>
      <c r="D386" t="s">
        <v>3391</v>
      </c>
    </row>
    <row r="387" spans="1:4" x14ac:dyDescent="0.25">
      <c r="A387" t="s">
        <v>3590</v>
      </c>
      <c r="B387">
        <v>90.121799999999993</v>
      </c>
      <c r="C387">
        <v>90.121799999999993</v>
      </c>
      <c r="D387" t="s">
        <v>3391</v>
      </c>
    </row>
    <row r="388" spans="1:4" x14ac:dyDescent="0.25">
      <c r="A388" t="s">
        <v>3601</v>
      </c>
      <c r="B388">
        <v>90.0518</v>
      </c>
      <c r="C388">
        <v>90.0518</v>
      </c>
      <c r="D388" t="s">
        <v>3391</v>
      </c>
    </row>
    <row r="389" spans="1:4" x14ac:dyDescent="0.25">
      <c r="A389" t="s">
        <v>3645</v>
      </c>
      <c r="B389">
        <v>90.195800000000006</v>
      </c>
      <c r="C389">
        <v>90.195800000000006</v>
      </c>
      <c r="D389" t="s">
        <v>3391</v>
      </c>
    </row>
    <row r="390" spans="1:4" x14ac:dyDescent="0.25">
      <c r="A390" t="s">
        <v>3646</v>
      </c>
      <c r="B390">
        <v>98.195130000000006</v>
      </c>
      <c r="C390">
        <v>98.195130000000006</v>
      </c>
      <c r="D390" t="s">
        <v>3391</v>
      </c>
    </row>
    <row r="391" spans="1:4" x14ac:dyDescent="0.25">
      <c r="A391" t="s">
        <v>3647</v>
      </c>
      <c r="B391">
        <v>99.508960000000002</v>
      </c>
      <c r="C391">
        <v>99.508960000000002</v>
      </c>
      <c r="D391" t="s">
        <v>3392</v>
      </c>
    </row>
    <row r="392" spans="1:4" x14ac:dyDescent="0.25">
      <c r="A392" t="s">
        <v>3879</v>
      </c>
      <c r="B392">
        <v>100.12685</v>
      </c>
      <c r="C392">
        <v>100.12685</v>
      </c>
      <c r="D392" t="s">
        <v>3392</v>
      </c>
    </row>
    <row r="393" spans="1:4" x14ac:dyDescent="0.25">
      <c r="A393" t="s">
        <v>3878</v>
      </c>
      <c r="B393">
        <v>99.8125</v>
      </c>
      <c r="C393">
        <v>99.8125</v>
      </c>
      <c r="D393" t="s">
        <v>3392</v>
      </c>
    </row>
    <row r="394" spans="1:4" x14ac:dyDescent="0.25">
      <c r="A394" t="s">
        <v>4805</v>
      </c>
      <c r="B394">
        <v>98.818389999999994</v>
      </c>
      <c r="C394">
        <v>98.818389999999994</v>
      </c>
      <c r="D394" t="s">
        <v>3392</v>
      </c>
    </row>
    <row r="395" spans="1:4" x14ac:dyDescent="0.25">
      <c r="A395" t="s">
        <v>4988</v>
      </c>
      <c r="B395">
        <v>91.3934</v>
      </c>
      <c r="C395">
        <v>91.3934</v>
      </c>
      <c r="D395" t="s">
        <v>3391</v>
      </c>
    </row>
    <row r="396" spans="1:4" x14ac:dyDescent="0.25">
      <c r="A396" t="s">
        <v>5041</v>
      </c>
      <c r="B396">
        <v>97.045839999999998</v>
      </c>
      <c r="C396">
        <v>97.045839999999998</v>
      </c>
      <c r="D396" t="s">
        <v>3391</v>
      </c>
    </row>
    <row r="397" spans="1:4" x14ac:dyDescent="0.25">
      <c r="A397" t="s">
        <v>5051</v>
      </c>
      <c r="B397">
        <v>91.398399999999995</v>
      </c>
      <c r="C397">
        <v>91.398399999999995</v>
      </c>
      <c r="D397" t="s">
        <v>3391</v>
      </c>
    </row>
    <row r="398" spans="1:4" x14ac:dyDescent="0.25">
      <c r="A398" t="s">
        <v>5069</v>
      </c>
      <c r="B398">
        <v>94.670339999999996</v>
      </c>
      <c r="C398">
        <v>94.670339999999996</v>
      </c>
      <c r="D398" t="s">
        <v>3391</v>
      </c>
    </row>
    <row r="399" spans="1:4" x14ac:dyDescent="0.25">
      <c r="A399" t="s">
        <v>5075</v>
      </c>
      <c r="B399">
        <v>91.332030000000003</v>
      </c>
      <c r="C399">
        <v>91.332030000000003</v>
      </c>
      <c r="D399" t="s">
        <v>3392</v>
      </c>
    </row>
    <row r="400" spans="1:4" x14ac:dyDescent="0.25">
      <c r="A400" t="s">
        <v>2132</v>
      </c>
      <c r="B400">
        <v>101.442677</v>
      </c>
      <c r="C400">
        <v>101.442677</v>
      </c>
      <c r="D400" t="s">
        <v>3391</v>
      </c>
    </row>
    <row r="401" spans="1:4" x14ac:dyDescent="0.25">
      <c r="A401" t="s">
        <v>2050</v>
      </c>
      <c r="B401">
        <v>100.907749</v>
      </c>
      <c r="C401">
        <v>100.907749</v>
      </c>
      <c r="D401" t="s">
        <v>3391</v>
      </c>
    </row>
    <row r="402" spans="1:4" x14ac:dyDescent="0.25">
      <c r="A402" t="s">
        <v>1947</v>
      </c>
      <c r="B402">
        <v>100.872891</v>
      </c>
      <c r="C402">
        <v>100.872891</v>
      </c>
      <c r="D402" t="s">
        <v>3391</v>
      </c>
    </row>
    <row r="403" spans="1:4" x14ac:dyDescent="0.25">
      <c r="A403" t="s">
        <v>1645</v>
      </c>
      <c r="B403">
        <v>102.752549</v>
      </c>
      <c r="C403">
        <v>102.752549</v>
      </c>
      <c r="D403" t="s">
        <v>3391</v>
      </c>
    </row>
    <row r="404" spans="1:4" x14ac:dyDescent="0.25">
      <c r="A404" t="s">
        <v>1756</v>
      </c>
      <c r="B404">
        <v>103</v>
      </c>
      <c r="C404">
        <v>103</v>
      </c>
      <c r="D404" t="s">
        <v>3391</v>
      </c>
    </row>
    <row r="405" spans="1:4" x14ac:dyDescent="0.25">
      <c r="A405" s="882" t="s">
        <v>1579</v>
      </c>
      <c r="B405">
        <v>101.103509</v>
      </c>
      <c r="C405">
        <v>101.103509</v>
      </c>
      <c r="D405" t="s">
        <v>3391</v>
      </c>
    </row>
    <row r="406" spans="1:4" x14ac:dyDescent="0.25">
      <c r="A406" t="s">
        <v>2189</v>
      </c>
      <c r="B406">
        <v>92.583282999999994</v>
      </c>
      <c r="C406">
        <v>92.583282999999994</v>
      </c>
      <c r="D406" t="s">
        <v>3391</v>
      </c>
    </row>
    <row r="407" spans="1:4" x14ac:dyDescent="0.25">
      <c r="A407" t="s">
        <v>2495</v>
      </c>
      <c r="B407">
        <v>100.9208</v>
      </c>
      <c r="C407">
        <v>100.9208</v>
      </c>
      <c r="D407" t="s">
        <v>3391</v>
      </c>
    </row>
    <row r="408" spans="1:4" x14ac:dyDescent="0.25">
      <c r="A408" t="s">
        <v>2058</v>
      </c>
      <c r="B408">
        <v>107.450827</v>
      </c>
      <c r="C408">
        <v>107.450827</v>
      </c>
      <c r="D408" t="s">
        <v>3391</v>
      </c>
    </row>
    <row r="409" spans="1:4" x14ac:dyDescent="0.25">
      <c r="A409" t="s">
        <v>1933</v>
      </c>
      <c r="B409">
        <v>100.45575100000001</v>
      </c>
      <c r="C409">
        <v>100.45575100000001</v>
      </c>
      <c r="D409" t="s">
        <v>3391</v>
      </c>
    </row>
    <row r="410" spans="1:4" x14ac:dyDescent="0.25">
      <c r="A410" t="s">
        <v>1054</v>
      </c>
      <c r="B410">
        <v>98.388800000000003</v>
      </c>
      <c r="C410">
        <v>98.388800000000003</v>
      </c>
      <c r="D410" t="s">
        <v>3391</v>
      </c>
    </row>
    <row r="411" spans="1:4" x14ac:dyDescent="0.25">
      <c r="A411" t="s">
        <v>3173</v>
      </c>
      <c r="B411">
        <v>82.625</v>
      </c>
      <c r="C411">
        <v>82.625</v>
      </c>
      <c r="D411" t="s">
        <v>3391</v>
      </c>
    </row>
    <row r="412" spans="1:4" x14ac:dyDescent="0.25">
      <c r="A412" t="s">
        <v>3162</v>
      </c>
      <c r="B412">
        <v>94.476166000000006</v>
      </c>
      <c r="C412">
        <v>94.476166000000006</v>
      </c>
      <c r="D412" t="s">
        <v>3391</v>
      </c>
    </row>
    <row r="413" spans="1:4" x14ac:dyDescent="0.25">
      <c r="A413" t="s">
        <v>3298</v>
      </c>
      <c r="B413">
        <v>71.5</v>
      </c>
      <c r="C413">
        <v>71.5</v>
      </c>
      <c r="D413" t="s">
        <v>3391</v>
      </c>
    </row>
    <row r="414" spans="1:4" x14ac:dyDescent="0.25">
      <c r="A414" t="s">
        <v>3653</v>
      </c>
      <c r="B414">
        <v>99.068320999999997</v>
      </c>
      <c r="C414">
        <v>99.068320999999997</v>
      </c>
      <c r="D414" t="s">
        <v>3391</v>
      </c>
    </row>
    <row r="415" spans="1:4" x14ac:dyDescent="0.25">
      <c r="A415" t="s">
        <v>2432</v>
      </c>
      <c r="B415">
        <v>100</v>
      </c>
      <c r="C415">
        <v>100</v>
      </c>
      <c r="D415" t="s">
        <v>3391</v>
      </c>
    </row>
    <row r="416" spans="1:4" x14ac:dyDescent="0.25">
      <c r="A416" t="s">
        <v>1746</v>
      </c>
      <c r="B416">
        <v>99.631071000000006</v>
      </c>
      <c r="C416">
        <v>99.631071000000006</v>
      </c>
      <c r="D416" t="s">
        <v>3391</v>
      </c>
    </row>
    <row r="417" spans="1:4" x14ac:dyDescent="0.25">
      <c r="A417" t="s">
        <v>2437</v>
      </c>
      <c r="B417">
        <v>105.493543</v>
      </c>
      <c r="C417">
        <v>105.493543</v>
      </c>
      <c r="D417" t="s">
        <v>3391</v>
      </c>
    </row>
    <row r="418" spans="1:4" x14ac:dyDescent="0.25">
      <c r="A418" t="s">
        <v>2440</v>
      </c>
      <c r="B418">
        <v>99.173743000000002</v>
      </c>
      <c r="C418">
        <v>99.173743000000002</v>
      </c>
      <c r="D418" t="s">
        <v>3391</v>
      </c>
    </row>
    <row r="419" spans="1:4" x14ac:dyDescent="0.25">
      <c r="A419" t="s">
        <v>1772</v>
      </c>
      <c r="B419">
        <v>99.455359000000001</v>
      </c>
      <c r="C419">
        <v>99.455359000000001</v>
      </c>
      <c r="D419" t="s">
        <v>3391</v>
      </c>
    </row>
    <row r="420" spans="1:4" x14ac:dyDescent="0.25">
      <c r="A420" t="s">
        <v>2527</v>
      </c>
      <c r="B420">
        <v>102.474536</v>
      </c>
      <c r="C420">
        <v>102.474536</v>
      </c>
      <c r="D420" t="s">
        <v>3391</v>
      </c>
    </row>
    <row r="421" spans="1:4" x14ac:dyDescent="0.25">
      <c r="A421" t="s">
        <v>2443</v>
      </c>
      <c r="B421">
        <v>104.38703700000001</v>
      </c>
      <c r="C421">
        <v>104.38703700000001</v>
      </c>
      <c r="D421" t="s">
        <v>3391</v>
      </c>
    </row>
    <row r="422" spans="1:4" x14ac:dyDescent="0.25">
      <c r="A422" t="s">
        <v>2445</v>
      </c>
      <c r="B422">
        <v>104.29039299999999</v>
      </c>
      <c r="C422">
        <v>104.29039299999999</v>
      </c>
      <c r="D422" t="s">
        <v>3391</v>
      </c>
    </row>
    <row r="423" spans="1:4" x14ac:dyDescent="0.25">
      <c r="A423" t="s">
        <v>2456</v>
      </c>
      <c r="B423">
        <v>99.031677000000002</v>
      </c>
      <c r="C423">
        <v>99.031677000000002</v>
      </c>
      <c r="D423" t="s">
        <v>3391</v>
      </c>
    </row>
    <row r="424" spans="1:4" x14ac:dyDescent="0.25">
      <c r="A424" t="s">
        <v>2459</v>
      </c>
      <c r="B424">
        <v>95.748422000000005</v>
      </c>
      <c r="C424">
        <v>95.748422000000005</v>
      </c>
      <c r="D424" t="s">
        <v>3391</v>
      </c>
    </row>
    <row r="425" spans="1:4" x14ac:dyDescent="0.25">
      <c r="A425" t="s">
        <v>2464</v>
      </c>
      <c r="B425">
        <v>104.909897</v>
      </c>
      <c r="C425">
        <v>104.909897</v>
      </c>
      <c r="D425" t="s">
        <v>3391</v>
      </c>
    </row>
    <row r="426" spans="1:4" x14ac:dyDescent="0.25">
      <c r="A426" t="s">
        <v>2201</v>
      </c>
      <c r="B426">
        <v>107.857483</v>
      </c>
      <c r="C426">
        <v>107.857483</v>
      </c>
      <c r="D426" t="s">
        <v>3391</v>
      </c>
    </row>
    <row r="427" spans="1:4" x14ac:dyDescent="0.25">
      <c r="A427" t="s">
        <v>2525</v>
      </c>
      <c r="B427">
        <v>100.189854</v>
      </c>
      <c r="C427">
        <v>100.189854</v>
      </c>
      <c r="D427" t="s">
        <v>3391</v>
      </c>
    </row>
    <row r="428" spans="1:4" x14ac:dyDescent="0.25">
      <c r="A428" t="s">
        <v>1647</v>
      </c>
      <c r="B428">
        <v>100.36695400000001</v>
      </c>
      <c r="C428">
        <v>100.36695400000001</v>
      </c>
      <c r="D428" t="s">
        <v>3391</v>
      </c>
    </row>
    <row r="429" spans="1:4" x14ac:dyDescent="0.25">
      <c r="A429" t="s">
        <v>2013</v>
      </c>
      <c r="B429">
        <v>102.008527</v>
      </c>
      <c r="C429">
        <v>102.008527</v>
      </c>
      <c r="D429" t="s">
        <v>3391</v>
      </c>
    </row>
    <row r="430" spans="1:4" x14ac:dyDescent="0.25">
      <c r="A430" t="s">
        <v>2185</v>
      </c>
      <c r="B430">
        <v>102.260166</v>
      </c>
      <c r="C430">
        <v>102.260166</v>
      </c>
      <c r="D430" t="s">
        <v>3391</v>
      </c>
    </row>
    <row r="431" spans="1:4" x14ac:dyDescent="0.25">
      <c r="A431" t="s">
        <v>2468</v>
      </c>
      <c r="B431">
        <v>99.169420000000002</v>
      </c>
      <c r="C431">
        <v>99.169420000000002</v>
      </c>
      <c r="D431" t="s">
        <v>3391</v>
      </c>
    </row>
    <row r="432" spans="1:4" x14ac:dyDescent="0.25">
      <c r="A432" t="s">
        <v>2473</v>
      </c>
      <c r="B432">
        <v>95.895438999999996</v>
      </c>
      <c r="C432">
        <v>95.895438999999996</v>
      </c>
      <c r="D432" t="s">
        <v>3391</v>
      </c>
    </row>
    <row r="433" spans="1:4" x14ac:dyDescent="0.25">
      <c r="A433" t="s">
        <v>2484</v>
      </c>
      <c r="B433">
        <v>100.362212</v>
      </c>
      <c r="C433">
        <v>100.362212</v>
      </c>
      <c r="D433" t="s">
        <v>3391</v>
      </c>
    </row>
    <row r="434" spans="1:4" x14ac:dyDescent="0.25">
      <c r="A434" t="s">
        <v>2491</v>
      </c>
      <c r="B434">
        <v>104.567446</v>
      </c>
      <c r="C434">
        <v>104.567446</v>
      </c>
      <c r="D434" t="s">
        <v>3391</v>
      </c>
    </row>
    <row r="435" spans="1:4" x14ac:dyDescent="0.25">
      <c r="A435" t="s">
        <v>2073</v>
      </c>
      <c r="B435">
        <v>102.694999</v>
      </c>
      <c r="C435">
        <v>102.694999</v>
      </c>
      <c r="D435" t="s">
        <v>3391</v>
      </c>
    </row>
    <row r="436" spans="1:4" x14ac:dyDescent="0.25">
      <c r="A436" t="s">
        <v>1076</v>
      </c>
      <c r="B436">
        <v>101.271917</v>
      </c>
      <c r="C436">
        <v>101.271917</v>
      </c>
      <c r="D436" t="s">
        <v>3391</v>
      </c>
    </row>
    <row r="437" spans="1:4" x14ac:dyDescent="0.25">
      <c r="A437" t="s">
        <v>2131</v>
      </c>
      <c r="B437">
        <v>101.903339</v>
      </c>
      <c r="C437">
        <v>101.903339</v>
      </c>
      <c r="D437" t="s">
        <v>3391</v>
      </c>
    </row>
    <row r="438" spans="1:4" x14ac:dyDescent="0.25">
      <c r="A438" t="s">
        <v>1701</v>
      </c>
      <c r="B438">
        <v>100.264447</v>
      </c>
      <c r="C438">
        <v>100.264447</v>
      </c>
      <c r="D438" t="s">
        <v>3391</v>
      </c>
    </row>
    <row r="439" spans="1:4" x14ac:dyDescent="0.25">
      <c r="A439" t="s">
        <v>2523</v>
      </c>
      <c r="B439">
        <v>97.659569000000005</v>
      </c>
      <c r="C439">
        <v>97.659569000000005</v>
      </c>
      <c r="D439" t="s">
        <v>3391</v>
      </c>
    </row>
    <row r="440" spans="1:4" x14ac:dyDescent="0.25">
      <c r="A440" t="s">
        <v>3524</v>
      </c>
      <c r="B440">
        <v>98.674233999999998</v>
      </c>
      <c r="C440">
        <v>98.674233999999998</v>
      </c>
      <c r="D440" t="s">
        <v>3391</v>
      </c>
    </row>
    <row r="441" spans="1:4" x14ac:dyDescent="0.25">
      <c r="A441" t="s">
        <v>3498</v>
      </c>
      <c r="B441">
        <v>99.755972</v>
      </c>
      <c r="C441">
        <v>99.755972</v>
      </c>
      <c r="D441" t="s">
        <v>3391</v>
      </c>
    </row>
    <row r="442" spans="1:4" x14ac:dyDescent="0.25">
      <c r="A442" t="s">
        <v>3599</v>
      </c>
      <c r="B442">
        <v>102.734168</v>
      </c>
      <c r="C442">
        <v>102.734168</v>
      </c>
      <c r="D442" t="s">
        <v>3391</v>
      </c>
    </row>
    <row r="443" spans="1:4" x14ac:dyDescent="0.25">
      <c r="A443" t="s">
        <v>3628</v>
      </c>
      <c r="B443">
        <v>97.838054</v>
      </c>
      <c r="C443">
        <v>97.838054</v>
      </c>
      <c r="D443" t="s">
        <v>3391</v>
      </c>
    </row>
    <row r="444" spans="1:4" x14ac:dyDescent="0.25">
      <c r="A444" t="s">
        <v>4438</v>
      </c>
      <c r="B444">
        <v>101.100808</v>
      </c>
      <c r="C444">
        <v>101.100808</v>
      </c>
      <c r="D444" t="s">
        <v>3391</v>
      </c>
    </row>
    <row r="445" spans="1:4" x14ac:dyDescent="0.25">
      <c r="A445" t="s">
        <v>4437</v>
      </c>
      <c r="B445">
        <v>103.82501600000001</v>
      </c>
      <c r="C445">
        <v>103.82501600000001</v>
      </c>
      <c r="D445" t="s">
        <v>3391</v>
      </c>
    </row>
    <row r="446" spans="1:4" x14ac:dyDescent="0.25">
      <c r="A446" t="s">
        <v>4436</v>
      </c>
      <c r="B446">
        <v>99.275189999999995</v>
      </c>
      <c r="C446">
        <v>99.275189999999995</v>
      </c>
      <c r="D446" t="s">
        <v>3391</v>
      </c>
    </row>
    <row r="447" spans="1:4" x14ac:dyDescent="0.25">
      <c r="A447" t="s">
        <v>4435</v>
      </c>
      <c r="B447">
        <v>101.932787</v>
      </c>
      <c r="C447">
        <v>101.932787</v>
      </c>
      <c r="D447" t="s">
        <v>3391</v>
      </c>
    </row>
    <row r="448" spans="1:4" x14ac:dyDescent="0.25">
      <c r="A448" t="s">
        <v>4434</v>
      </c>
      <c r="B448">
        <v>102.45150099999999</v>
      </c>
      <c r="C448">
        <v>102.45150099999999</v>
      </c>
      <c r="D448" t="s">
        <v>3391</v>
      </c>
    </row>
    <row r="449" spans="1:4" x14ac:dyDescent="0.25">
      <c r="A449" t="s">
        <v>4433</v>
      </c>
      <c r="B449">
        <v>99.771458999999993</v>
      </c>
      <c r="C449">
        <v>99.771458999999993</v>
      </c>
      <c r="D449" t="s">
        <v>3391</v>
      </c>
    </row>
    <row r="450" spans="1:4" x14ac:dyDescent="0.25">
      <c r="A450" t="s">
        <v>4576</v>
      </c>
      <c r="B450">
        <v>95.678685000000002</v>
      </c>
      <c r="C450">
        <v>95.678685000000002</v>
      </c>
      <c r="D450" t="s">
        <v>3391</v>
      </c>
    </row>
    <row r="451" spans="1:4" x14ac:dyDescent="0.25">
      <c r="A451" t="s">
        <v>4946</v>
      </c>
      <c r="B451">
        <v>100.340306</v>
      </c>
      <c r="C451">
        <v>100.340306</v>
      </c>
      <c r="D451" t="s">
        <v>3391</v>
      </c>
    </row>
    <row r="452" spans="1:4" x14ac:dyDescent="0.25">
      <c r="A452" t="s">
        <v>3284</v>
      </c>
      <c r="B452">
        <v>106.83199999999999</v>
      </c>
      <c r="C452">
        <v>106.8817</v>
      </c>
      <c r="D452" t="s">
        <v>3391</v>
      </c>
    </row>
    <row r="453" spans="1:4" x14ac:dyDescent="0.25">
      <c r="A453" t="s">
        <v>4579</v>
      </c>
      <c r="B453">
        <v>99.121099999999998</v>
      </c>
      <c r="C453">
        <v>99.938800000000001</v>
      </c>
      <c r="D453" t="s">
        <v>3391</v>
      </c>
    </row>
    <row r="454" spans="1:4" x14ac:dyDescent="0.25">
      <c r="A454" t="s">
        <v>5073</v>
      </c>
      <c r="B454">
        <v>95.160200000000003</v>
      </c>
      <c r="C454">
        <v>95.202700000000007</v>
      </c>
      <c r="D454" t="s">
        <v>3391</v>
      </c>
    </row>
    <row r="455" spans="1:4" x14ac:dyDescent="0.25">
      <c r="A455" t="s">
        <v>3631</v>
      </c>
      <c r="B455">
        <v>2.5338099999999999</v>
      </c>
      <c r="C455">
        <v>2.5338099999999999</v>
      </c>
      <c r="D455" t="s">
        <v>3391</v>
      </c>
    </row>
    <row r="456" spans="1:4" x14ac:dyDescent="0.25">
      <c r="A456" t="s">
        <v>4833</v>
      </c>
      <c r="B456">
        <v>0.61599999999999999</v>
      </c>
      <c r="C456">
        <v>0.61599999999999999</v>
      </c>
      <c r="D456" t="s">
        <v>3395</v>
      </c>
    </row>
    <row r="457" spans="1:4" x14ac:dyDescent="0.25">
      <c r="A457" t="s">
        <v>4842</v>
      </c>
      <c r="B457">
        <v>2.2829999999999999</v>
      </c>
      <c r="C457">
        <v>2.2829999999999999</v>
      </c>
      <c r="D457" t="s">
        <v>3395</v>
      </c>
    </row>
    <row r="458" spans="1:4" x14ac:dyDescent="0.25">
      <c r="A458" t="s">
        <v>4840</v>
      </c>
      <c r="B458">
        <v>0.71</v>
      </c>
      <c r="C458">
        <v>0.71</v>
      </c>
      <c r="D458" t="s">
        <v>3395</v>
      </c>
    </row>
    <row r="459" spans="1:4" x14ac:dyDescent="0.25">
      <c r="A459" t="s">
        <v>4836</v>
      </c>
      <c r="B459">
        <v>2.4950000000000001</v>
      </c>
      <c r="C459">
        <v>2.4950000000000001</v>
      </c>
      <c r="D459" t="s">
        <v>3395</v>
      </c>
    </row>
    <row r="460" spans="1:4" x14ac:dyDescent="0.25">
      <c r="A460" t="s">
        <v>4841</v>
      </c>
      <c r="B460">
        <v>0.92800000000000005</v>
      </c>
      <c r="C460">
        <v>0.92800000000000005</v>
      </c>
      <c r="D460" t="s">
        <v>3395</v>
      </c>
    </row>
    <row r="461" spans="1:4" x14ac:dyDescent="0.25">
      <c r="A461" t="s">
        <v>4835</v>
      </c>
      <c r="B461">
        <v>1.2010000000000001</v>
      </c>
      <c r="C461">
        <v>1.2010000000000001</v>
      </c>
      <c r="D461" t="s">
        <v>3395</v>
      </c>
    </row>
    <row r="462" spans="1:4" x14ac:dyDescent="0.25">
      <c r="A462" t="s">
        <v>4838</v>
      </c>
      <c r="B462">
        <v>0.69199999999999995</v>
      </c>
      <c r="C462">
        <v>0.69199999999999995</v>
      </c>
      <c r="D462" t="s">
        <v>3395</v>
      </c>
    </row>
    <row r="463" spans="1:4" x14ac:dyDescent="0.25">
      <c r="A463" t="s">
        <v>4832</v>
      </c>
      <c r="B463">
        <v>0.441</v>
      </c>
      <c r="C463">
        <v>0.441</v>
      </c>
      <c r="D463" t="s">
        <v>3395</v>
      </c>
    </row>
    <row r="464" spans="1:4" x14ac:dyDescent="0.25">
      <c r="A464" t="s">
        <v>4834</v>
      </c>
      <c r="B464">
        <v>2.2149999999999999</v>
      </c>
      <c r="C464">
        <v>2.2149999999999999</v>
      </c>
      <c r="D464" t="s">
        <v>3395</v>
      </c>
    </row>
    <row r="465" spans="1:4" x14ac:dyDescent="0.25">
      <c r="A465" t="s">
        <v>4839</v>
      </c>
      <c r="B465">
        <v>0.69499999999999995</v>
      </c>
      <c r="C465">
        <v>0.69499999999999995</v>
      </c>
      <c r="D465" t="s">
        <v>3395</v>
      </c>
    </row>
    <row r="466" spans="1:4" x14ac:dyDescent="0.25">
      <c r="A466" t="s">
        <v>4616</v>
      </c>
      <c r="B466">
        <v>100</v>
      </c>
      <c r="C466">
        <v>100</v>
      </c>
      <c r="D466" t="s">
        <v>3394</v>
      </c>
    </row>
    <row r="467" spans="1:4" x14ac:dyDescent="0.25">
      <c r="A467" t="s">
        <v>4889</v>
      </c>
      <c r="B467">
        <v>96.611779999999996</v>
      </c>
      <c r="C467">
        <v>96.611779999999996</v>
      </c>
      <c r="D467" t="s">
        <v>3391</v>
      </c>
    </row>
    <row r="468" spans="1:4" x14ac:dyDescent="0.25">
      <c r="A468" t="s">
        <v>4613</v>
      </c>
      <c r="B468">
        <v>98.352720000000005</v>
      </c>
      <c r="C468">
        <v>98.352720000000005</v>
      </c>
      <c r="D468" t="s">
        <v>3392</v>
      </c>
    </row>
    <row r="469" spans="1:4" x14ac:dyDescent="0.25">
      <c r="A469" t="s">
        <v>4582</v>
      </c>
      <c r="B469">
        <v>99.779750000000007</v>
      </c>
      <c r="C469">
        <v>99.779750000000007</v>
      </c>
      <c r="D469" t="s">
        <v>3394</v>
      </c>
    </row>
    <row r="470" spans="1:4" x14ac:dyDescent="0.25">
      <c r="A470" t="s">
        <v>4581</v>
      </c>
      <c r="B470">
        <v>99.106520000000003</v>
      </c>
      <c r="C470">
        <v>99.106520000000003</v>
      </c>
      <c r="D470" t="s">
        <v>3394</v>
      </c>
    </row>
    <row r="471" spans="1:4" x14ac:dyDescent="0.25">
      <c r="A471" t="s">
        <v>3176</v>
      </c>
      <c r="B471">
        <v>91.825379999999996</v>
      </c>
      <c r="C471">
        <v>91.825379999999996</v>
      </c>
      <c r="D471" t="s">
        <v>3392</v>
      </c>
    </row>
    <row r="472" spans="1:4" x14ac:dyDescent="0.25">
      <c r="A472" t="s">
        <v>3583</v>
      </c>
      <c r="B472">
        <v>89.645690000000002</v>
      </c>
      <c r="C472">
        <v>89.645690000000002</v>
      </c>
      <c r="D472" t="s">
        <v>3392</v>
      </c>
    </row>
    <row r="473" spans="1:4" x14ac:dyDescent="0.25">
      <c r="A473" t="s">
        <v>3641</v>
      </c>
      <c r="B473">
        <v>102.93795</v>
      </c>
      <c r="C473">
        <v>102.93795</v>
      </c>
      <c r="D473" t="s">
        <v>3391</v>
      </c>
    </row>
    <row r="474" spans="1:4" x14ac:dyDescent="0.25">
      <c r="A474" t="s">
        <v>3292</v>
      </c>
      <c r="B474">
        <v>104.15697</v>
      </c>
      <c r="C474">
        <v>104.15697</v>
      </c>
      <c r="D474" t="s">
        <v>3391</v>
      </c>
    </row>
    <row r="475" spans="1:4" x14ac:dyDescent="0.25">
      <c r="A475" t="s">
        <v>1862</v>
      </c>
      <c r="B475">
        <v>100.40172</v>
      </c>
      <c r="C475">
        <v>100.40172</v>
      </c>
      <c r="D475" t="s">
        <v>3391</v>
      </c>
    </row>
    <row r="476" spans="1:4" x14ac:dyDescent="0.25">
      <c r="A476" t="s">
        <v>1881</v>
      </c>
      <c r="B476">
        <v>101.44996999999999</v>
      </c>
      <c r="C476">
        <v>101.44996999999999</v>
      </c>
      <c r="D476" t="s">
        <v>3392</v>
      </c>
    </row>
    <row r="477" spans="1:4" x14ac:dyDescent="0.25">
      <c r="A477" t="s">
        <v>2298</v>
      </c>
      <c r="B477">
        <v>97.432400000000001</v>
      </c>
      <c r="C477">
        <v>97.432400000000001</v>
      </c>
      <c r="D477" t="s">
        <v>3391</v>
      </c>
    </row>
    <row r="478" spans="1:4" x14ac:dyDescent="0.25">
      <c r="A478" t="s">
        <v>2297</v>
      </c>
      <c r="B478">
        <v>89.441010000000006</v>
      </c>
      <c r="C478">
        <v>89.441010000000006</v>
      </c>
      <c r="D478" t="s">
        <v>3392</v>
      </c>
    </row>
    <row r="479" spans="1:4" x14ac:dyDescent="0.25">
      <c r="A479" t="s">
        <v>2296</v>
      </c>
      <c r="B479">
        <v>89.0745</v>
      </c>
      <c r="C479">
        <v>89.0745</v>
      </c>
      <c r="D479" t="s">
        <v>3392</v>
      </c>
    </row>
    <row r="480" spans="1:4" x14ac:dyDescent="0.25">
      <c r="A480" t="s">
        <v>2706</v>
      </c>
      <c r="B480">
        <v>91.236639999999994</v>
      </c>
      <c r="C480">
        <v>91.236639999999994</v>
      </c>
      <c r="D480" t="s">
        <v>3392</v>
      </c>
    </row>
    <row r="481" spans="1:4" x14ac:dyDescent="0.25">
      <c r="A481" t="s">
        <v>2090</v>
      </c>
      <c r="B481">
        <v>98.918220000000005</v>
      </c>
      <c r="C481">
        <v>98.918220000000005</v>
      </c>
      <c r="D481" t="s">
        <v>3391</v>
      </c>
    </row>
    <row r="482" spans="1:4" x14ac:dyDescent="0.25">
      <c r="A482" t="s">
        <v>2488</v>
      </c>
      <c r="B482">
        <v>99.094170000000005</v>
      </c>
      <c r="C482">
        <v>99.094170000000005</v>
      </c>
      <c r="D482" t="s">
        <v>3391</v>
      </c>
    </row>
    <row r="483" spans="1:4" x14ac:dyDescent="0.25">
      <c r="A483" t="s">
        <v>2414</v>
      </c>
      <c r="B483">
        <v>100.48756</v>
      </c>
      <c r="C483">
        <v>100.48756</v>
      </c>
      <c r="D483" t="s">
        <v>3392</v>
      </c>
    </row>
    <row r="484" spans="1:4" x14ac:dyDescent="0.25">
      <c r="A484" t="s">
        <v>2811</v>
      </c>
      <c r="B484">
        <v>1.4938199999999999</v>
      </c>
      <c r="C484">
        <v>1.4938199999999999</v>
      </c>
      <c r="D484" t="s">
        <v>3391</v>
      </c>
    </row>
    <row r="485" spans="1:4" x14ac:dyDescent="0.25">
      <c r="A485" t="s">
        <v>1894</v>
      </c>
      <c r="B485">
        <v>101.29035</v>
      </c>
      <c r="C485">
        <v>101.29035</v>
      </c>
      <c r="D485" t="s">
        <v>3392</v>
      </c>
    </row>
    <row r="486" spans="1:4" x14ac:dyDescent="0.25">
      <c r="A486" t="s">
        <v>2079</v>
      </c>
      <c r="B486">
        <v>98.502830000000003</v>
      </c>
      <c r="C486">
        <v>98.502830000000003</v>
      </c>
      <c r="D486" t="s">
        <v>3391</v>
      </c>
    </row>
    <row r="487" spans="1:4" x14ac:dyDescent="0.25">
      <c r="A487" t="s">
        <v>2669</v>
      </c>
      <c r="B487">
        <v>92.515309999999999</v>
      </c>
      <c r="C487">
        <v>92.515309999999999</v>
      </c>
      <c r="D487" t="s">
        <v>3391</v>
      </c>
    </row>
    <row r="488" spans="1:4" x14ac:dyDescent="0.25">
      <c r="A488" t="s">
        <v>1981</v>
      </c>
      <c r="B488">
        <v>96.15</v>
      </c>
      <c r="C488">
        <v>96.15</v>
      </c>
      <c r="D488" t="s">
        <v>3391</v>
      </c>
    </row>
    <row r="489" spans="1:4" x14ac:dyDescent="0.25">
      <c r="A489" t="s">
        <v>2733</v>
      </c>
      <c r="B489">
        <v>100.0873</v>
      </c>
      <c r="C489">
        <v>100.0873</v>
      </c>
      <c r="D489" t="s">
        <v>3391</v>
      </c>
    </row>
    <row r="490" spans="1:4" x14ac:dyDescent="0.25">
      <c r="A490" t="s">
        <v>2101</v>
      </c>
      <c r="B490">
        <v>98.641099999999994</v>
      </c>
      <c r="C490">
        <v>98.641099999999994</v>
      </c>
      <c r="D490" t="s">
        <v>3391</v>
      </c>
    </row>
    <row r="491" spans="1:4" x14ac:dyDescent="0.25">
      <c r="A491" t="s">
        <v>2732</v>
      </c>
      <c r="B491">
        <v>100.13963</v>
      </c>
      <c r="C491">
        <v>100.13963</v>
      </c>
      <c r="D491" t="s">
        <v>3391</v>
      </c>
    </row>
    <row r="492" spans="1:4" x14ac:dyDescent="0.25">
      <c r="A492" t="s">
        <v>2499</v>
      </c>
      <c r="B492">
        <v>100.49324</v>
      </c>
      <c r="C492">
        <v>100.49324</v>
      </c>
      <c r="D492" t="s">
        <v>3391</v>
      </c>
    </row>
    <row r="493" spans="1:4" x14ac:dyDescent="0.25">
      <c r="A493" t="s">
        <v>2854</v>
      </c>
      <c r="B493">
        <v>2.13219</v>
      </c>
      <c r="C493">
        <v>2.13219</v>
      </c>
      <c r="D493" t="s">
        <v>3391</v>
      </c>
    </row>
    <row r="494" spans="1:4" x14ac:dyDescent="0.25">
      <c r="A494" t="s">
        <v>2855</v>
      </c>
      <c r="B494">
        <v>2.04454</v>
      </c>
      <c r="C494">
        <v>2.04454</v>
      </c>
      <c r="D494" t="s">
        <v>3391</v>
      </c>
    </row>
    <row r="495" spans="1:4" x14ac:dyDescent="0.25">
      <c r="A495" t="s">
        <v>3577</v>
      </c>
      <c r="B495">
        <v>98.283699999999996</v>
      </c>
      <c r="C495">
        <v>98.283699999999996</v>
      </c>
      <c r="D495" t="s">
        <v>3391</v>
      </c>
    </row>
    <row r="496" spans="1:4" x14ac:dyDescent="0.25">
      <c r="A496" t="s">
        <v>3637</v>
      </c>
      <c r="B496">
        <v>2.5089999999999999</v>
      </c>
      <c r="C496">
        <v>2.5089999999999999</v>
      </c>
      <c r="D496" t="s">
        <v>3395</v>
      </c>
    </row>
    <row r="497" spans="1:4" x14ac:dyDescent="0.25">
      <c r="A497" t="s">
        <v>4961</v>
      </c>
      <c r="B497">
        <v>101.3</v>
      </c>
      <c r="C497">
        <v>101.3</v>
      </c>
      <c r="D497" t="s">
        <v>3394</v>
      </c>
    </row>
    <row r="498" spans="1:4" x14ac:dyDescent="0.25">
      <c r="A498" t="s">
        <v>3852</v>
      </c>
      <c r="B498">
        <v>102</v>
      </c>
      <c r="C498">
        <v>102</v>
      </c>
      <c r="D498" t="s">
        <v>3394</v>
      </c>
    </row>
    <row r="499" spans="1:4" x14ac:dyDescent="0.25">
      <c r="A499" t="s">
        <v>3857</v>
      </c>
      <c r="B499">
        <v>102</v>
      </c>
      <c r="C499">
        <v>102</v>
      </c>
      <c r="D499" t="s">
        <v>3394</v>
      </c>
    </row>
    <row r="500" spans="1:4" x14ac:dyDescent="0.25">
      <c r="A500" t="s">
        <v>5010</v>
      </c>
      <c r="B500">
        <v>0.56437999999999999</v>
      </c>
      <c r="C500">
        <v>0.56437999999999999</v>
      </c>
      <c r="D500" t="s">
        <v>3391</v>
      </c>
    </row>
    <row r="501" spans="1:4" x14ac:dyDescent="0.25">
      <c r="A501" t="s">
        <v>5009</v>
      </c>
      <c r="B501">
        <v>2.06874</v>
      </c>
      <c r="C501">
        <v>2.06874</v>
      </c>
      <c r="D501" t="s">
        <v>3391</v>
      </c>
    </row>
    <row r="502" spans="1:4" x14ac:dyDescent="0.25">
      <c r="A502" t="s">
        <v>5008</v>
      </c>
      <c r="B502">
        <v>0.64363000000000004</v>
      </c>
      <c r="C502">
        <v>0.64363000000000004</v>
      </c>
      <c r="D502" t="s">
        <v>3391</v>
      </c>
    </row>
    <row r="503" spans="1:4" x14ac:dyDescent="0.25">
      <c r="A503" t="s">
        <v>5007</v>
      </c>
      <c r="B503">
        <v>2.7720400000000001</v>
      </c>
      <c r="C503">
        <v>2.7720400000000001</v>
      </c>
      <c r="D503" t="s">
        <v>3391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B1:AA1000"/>
  <sheetViews>
    <sheetView workbookViewId="0">
      <selection activeCell="B7" sqref="B7:AA1000"/>
    </sheetView>
  </sheetViews>
  <sheetFormatPr defaultColWidth="9.140625" defaultRowHeight="15" x14ac:dyDescent="0.25"/>
  <cols>
    <col min="1" max="1" width="4" style="2" customWidth="1"/>
    <col min="2" max="2" width="11" style="2" bestFit="1" customWidth="1"/>
    <col min="3" max="3" width="26.140625" style="2" customWidth="1"/>
    <col min="4" max="6" width="9.140625" style="2"/>
    <col min="7" max="7" width="12.85546875" style="2" bestFit="1" customWidth="1"/>
    <col min="8" max="8" width="9.140625" style="2"/>
    <col min="9" max="9" width="15.85546875" style="2" customWidth="1"/>
    <col min="10" max="10" width="12.42578125" style="2" bestFit="1" customWidth="1"/>
    <col min="11" max="20" width="9.140625" style="2"/>
    <col min="21" max="21" width="9.85546875" style="2" customWidth="1"/>
    <col min="22" max="23" width="9.140625" style="2"/>
    <col min="24" max="24" width="10.5703125" style="2" customWidth="1"/>
    <col min="25" max="25" width="10" style="2" customWidth="1"/>
    <col min="26" max="26" width="9.85546875" style="2" customWidth="1"/>
    <col min="27" max="27" width="10" style="2" customWidth="1"/>
    <col min="28" max="16384" width="9.140625" style="2"/>
  </cols>
  <sheetData>
    <row r="1" spans="2:27" x14ac:dyDescent="0.25">
      <c r="B1" s="129" t="s">
        <v>76</v>
      </c>
      <c r="C1" s="10">
        <f ca="1">TODAY()</f>
        <v>44654</v>
      </c>
    </row>
    <row r="5" spans="2:27" x14ac:dyDescent="0.25">
      <c r="L5" s="1301" t="s">
        <v>167</v>
      </c>
      <c r="M5" s="1225"/>
      <c r="N5" s="1225"/>
      <c r="O5" s="1226"/>
      <c r="P5" s="1301" t="s">
        <v>168</v>
      </c>
      <c r="Q5" s="1225"/>
      <c r="R5" s="1225"/>
      <c r="S5" s="1301" t="s">
        <v>169</v>
      </c>
      <c r="T5" s="1225"/>
      <c r="U5" s="1225"/>
      <c r="V5" s="1301" t="s">
        <v>170</v>
      </c>
      <c r="W5" s="1225"/>
      <c r="X5" s="1225"/>
      <c r="Y5" s="1301" t="s">
        <v>170</v>
      </c>
      <c r="Z5" s="1225"/>
      <c r="AA5" s="1225"/>
    </row>
    <row r="6" spans="2:27" x14ac:dyDescent="0.25">
      <c r="B6" s="130" t="s">
        <v>130</v>
      </c>
      <c r="C6" s="131" t="s">
        <v>171</v>
      </c>
      <c r="D6" s="131" t="s">
        <v>172</v>
      </c>
      <c r="E6" s="131" t="s">
        <v>173</v>
      </c>
      <c r="F6" s="131" t="s">
        <v>174</v>
      </c>
      <c r="G6" s="131" t="s">
        <v>175</v>
      </c>
      <c r="H6" s="131" t="s">
        <v>176</v>
      </c>
      <c r="I6" s="131" t="s">
        <v>177</v>
      </c>
      <c r="J6" s="131" t="s">
        <v>178</v>
      </c>
      <c r="K6" s="131" t="s">
        <v>179</v>
      </c>
      <c r="L6" s="131" t="s">
        <v>180</v>
      </c>
      <c r="M6" s="131" t="s">
        <v>181</v>
      </c>
      <c r="N6" s="131" t="s">
        <v>182</v>
      </c>
      <c r="O6" s="131" t="s">
        <v>183</v>
      </c>
      <c r="P6" s="131" t="s">
        <v>184</v>
      </c>
      <c r="Q6" s="131" t="s">
        <v>185</v>
      </c>
      <c r="R6" s="131" t="s">
        <v>186</v>
      </c>
      <c r="S6" s="131" t="s">
        <v>25</v>
      </c>
      <c r="T6" s="131" t="s">
        <v>187</v>
      </c>
      <c r="U6" s="131" t="s">
        <v>188</v>
      </c>
      <c r="V6" s="131" t="s">
        <v>25</v>
      </c>
      <c r="W6" s="131" t="s">
        <v>187</v>
      </c>
      <c r="X6" s="132" t="s">
        <v>188</v>
      </c>
      <c r="Y6" s="130" t="s">
        <v>25</v>
      </c>
      <c r="Z6" s="131" t="s">
        <v>187</v>
      </c>
      <c r="AA6" s="132" t="s">
        <v>188</v>
      </c>
    </row>
    <row r="7" spans="2:27" x14ac:dyDescent="0.25">
      <c r="B7" s="77" t="s">
        <v>607</v>
      </c>
      <c r="C7" s="133" t="s">
        <v>4068</v>
      </c>
      <c r="D7" s="134" t="e">
        <v>#VALUE!</v>
      </c>
      <c r="E7" s="134" t="e">
        <v>#VALUE!</v>
      </c>
      <c r="F7" s="133" t="s">
        <v>592</v>
      </c>
      <c r="G7" s="135">
        <v>32581316.699999999</v>
      </c>
      <c r="H7" s="133" t="s">
        <v>592</v>
      </c>
      <c r="I7" s="135" t="s">
        <v>592</v>
      </c>
      <c r="J7" s="136" t="s">
        <v>146</v>
      </c>
      <c r="K7" s="137" t="e">
        <v>#N/A</v>
      </c>
      <c r="L7" s="138" t="e">
        <v>#N/A</v>
      </c>
      <c r="M7" s="139" t="e">
        <v>#N/A</v>
      </c>
      <c r="N7" s="139" t="e">
        <v>#N/A</v>
      </c>
      <c r="O7" s="140" t="e">
        <v>#N/A</v>
      </c>
      <c r="P7" s="141" t="e">
        <v>#N/A</v>
      </c>
      <c r="Q7" s="141" t="e">
        <v>#N/A</v>
      </c>
      <c r="R7" s="141" t="e">
        <v>#N/A</v>
      </c>
      <c r="S7" s="150" t="e">
        <v>#N/A</v>
      </c>
      <c r="T7" s="151" t="e">
        <v>#N/A</v>
      </c>
      <c r="U7" s="152" t="e">
        <v>#N/A</v>
      </c>
      <c r="V7" s="156" t="e">
        <v>#N/A</v>
      </c>
      <c r="W7" s="157" t="e">
        <v>#N/A</v>
      </c>
      <c r="X7" s="158" t="e">
        <v>#N/A</v>
      </c>
      <c r="Y7" s="162" t="e">
        <v>#N/A</v>
      </c>
      <c r="Z7" s="163" t="e">
        <v>#N/A</v>
      </c>
      <c r="AA7" s="164" t="e">
        <v>#N/A</v>
      </c>
    </row>
    <row r="8" spans="2:27" x14ac:dyDescent="0.25">
      <c r="B8" s="51" t="s">
        <v>4069</v>
      </c>
      <c r="C8" s="4" t="s">
        <v>4070</v>
      </c>
      <c r="D8" s="142" t="e">
        <v>#VALUE!</v>
      </c>
      <c r="E8" s="142" t="e">
        <v>#VALUE!</v>
      </c>
      <c r="F8" s="4" t="s">
        <v>592</v>
      </c>
      <c r="G8" s="143">
        <v>21950000</v>
      </c>
      <c r="H8" s="4">
        <v>6</v>
      </c>
      <c r="I8" s="143">
        <v>2919438.7208699998</v>
      </c>
      <c r="J8" s="144">
        <v>3.3445593247744148</v>
      </c>
      <c r="K8" s="145">
        <v>2.0962366482975177E-2</v>
      </c>
      <c r="L8" s="146">
        <v>1</v>
      </c>
      <c r="M8" s="58">
        <v>1</v>
      </c>
      <c r="N8" s="58">
        <v>1</v>
      </c>
      <c r="O8" s="147">
        <v>1</v>
      </c>
      <c r="P8" s="148">
        <v>3.5884486444727999E-3</v>
      </c>
      <c r="Q8" s="148">
        <v>2.7707853075651001E-3</v>
      </c>
      <c r="R8" s="148">
        <v>2.1401675700564999E-3</v>
      </c>
      <c r="S8" s="153">
        <v>5.2405916207437939E-2</v>
      </c>
      <c r="T8" s="154">
        <v>7.4999999999999997E-3</v>
      </c>
      <c r="U8" s="155">
        <v>3</v>
      </c>
      <c r="V8" s="159">
        <v>0.10481183241487588</v>
      </c>
      <c r="W8" s="160">
        <v>1.4999999999999999E-2</v>
      </c>
      <c r="X8" s="161">
        <v>6</v>
      </c>
      <c r="Y8" s="165">
        <v>0.15721774862231383</v>
      </c>
      <c r="Z8" s="166">
        <v>0.03</v>
      </c>
      <c r="AA8" s="167">
        <v>9</v>
      </c>
    </row>
    <row r="9" spans="2:27" x14ac:dyDescent="0.25">
      <c r="B9" s="51" t="s">
        <v>4071</v>
      </c>
      <c r="C9" s="4" t="s">
        <v>4072</v>
      </c>
      <c r="D9" s="142" t="e">
        <v>#VALUE!</v>
      </c>
      <c r="E9" s="142" t="e">
        <v>#VALUE!</v>
      </c>
      <c r="F9" s="4" t="s">
        <v>592</v>
      </c>
      <c r="G9" s="143">
        <v>25647000</v>
      </c>
      <c r="H9" s="4">
        <v>6</v>
      </c>
      <c r="I9" s="143">
        <v>6016866.0313788997</v>
      </c>
      <c r="J9" s="144">
        <v>3.3975674406489018</v>
      </c>
      <c r="K9" s="145">
        <v>3.8238704613092471E-2</v>
      </c>
      <c r="L9" s="146">
        <v>1</v>
      </c>
      <c r="M9" s="58">
        <v>1</v>
      </c>
      <c r="N9" s="58">
        <v>1</v>
      </c>
      <c r="O9" s="147">
        <v>1</v>
      </c>
      <c r="P9" s="148">
        <v>4.3488141790076996E-3</v>
      </c>
      <c r="Q9" s="148">
        <v>3.5979549659659999E-3</v>
      </c>
      <c r="R9" s="148">
        <v>3.0188594914074001E-3</v>
      </c>
      <c r="S9" s="153">
        <v>9.5596761532731181E-2</v>
      </c>
      <c r="T9" s="154">
        <v>7.4999999999999997E-3</v>
      </c>
      <c r="U9" s="155">
        <v>3</v>
      </c>
      <c r="V9" s="159">
        <v>0.19119352306546236</v>
      </c>
      <c r="W9" s="160">
        <v>1.4999999999999999E-2</v>
      </c>
      <c r="X9" s="161">
        <v>6</v>
      </c>
      <c r="Y9" s="165">
        <v>0.28679028459819356</v>
      </c>
      <c r="Z9" s="166">
        <v>0.03</v>
      </c>
      <c r="AA9" s="167">
        <v>9</v>
      </c>
    </row>
    <row r="10" spans="2:27" x14ac:dyDescent="0.25">
      <c r="B10" s="51" t="s">
        <v>1161</v>
      </c>
      <c r="C10" s="4" t="s">
        <v>4073</v>
      </c>
      <c r="D10" s="142" t="e">
        <v>#VALUE!</v>
      </c>
      <c r="E10" s="142" t="e">
        <v>#VALUE!</v>
      </c>
      <c r="F10" s="4" t="s">
        <v>592</v>
      </c>
      <c r="G10" s="143">
        <v>50000000</v>
      </c>
      <c r="H10" s="4">
        <v>7</v>
      </c>
      <c r="I10" s="143">
        <v>70848904</v>
      </c>
      <c r="J10" s="144">
        <v>4.7995592520256585</v>
      </c>
      <c r="K10" s="145">
        <v>1.7843257982173781E-2</v>
      </c>
      <c r="L10" s="146">
        <v>1</v>
      </c>
      <c r="M10" s="58">
        <v>1</v>
      </c>
      <c r="N10" s="58">
        <v>1</v>
      </c>
      <c r="O10" s="147">
        <v>1</v>
      </c>
      <c r="P10" s="148">
        <v>1.8570987614685E-3</v>
      </c>
      <c r="Q10" s="148">
        <v>1.3530532578502001E-3</v>
      </c>
      <c r="R10" s="148">
        <v>6.1590411931335002E-4</v>
      </c>
      <c r="S10" s="153">
        <v>0.05</v>
      </c>
      <c r="T10" s="154">
        <v>7.4999999999999997E-3</v>
      </c>
      <c r="U10" s="155">
        <v>3</v>
      </c>
      <c r="V10" s="159">
        <v>8.9216289910868912E-2</v>
      </c>
      <c r="W10" s="160">
        <v>1.4999999999999999E-2</v>
      </c>
      <c r="X10" s="161">
        <v>6</v>
      </c>
      <c r="Y10" s="165">
        <v>0.13382443486630335</v>
      </c>
      <c r="Z10" s="166">
        <v>0.03</v>
      </c>
      <c r="AA10" s="167">
        <v>9</v>
      </c>
    </row>
    <row r="11" spans="2:27" x14ac:dyDescent="0.25">
      <c r="B11" s="51" t="s">
        <v>1165</v>
      </c>
      <c r="C11" s="4" t="s">
        <v>4074</v>
      </c>
      <c r="D11" s="142" t="e">
        <v>#VALUE!</v>
      </c>
      <c r="E11" s="142" t="e">
        <v>#VALUE!</v>
      </c>
      <c r="F11" s="4" t="s">
        <v>592</v>
      </c>
      <c r="G11" s="143">
        <v>50000000</v>
      </c>
      <c r="H11" s="4">
        <v>7</v>
      </c>
      <c r="I11" s="143">
        <v>70848904</v>
      </c>
      <c r="J11" s="144">
        <v>4.9020865058560181</v>
      </c>
      <c r="K11" s="145">
        <v>1.4091165017697253E-2</v>
      </c>
      <c r="L11" s="146">
        <v>1</v>
      </c>
      <c r="M11" s="58">
        <v>1</v>
      </c>
      <c r="N11" s="58">
        <v>1</v>
      </c>
      <c r="O11" s="147">
        <v>1</v>
      </c>
      <c r="P11" s="148">
        <v>1.8127811460295999E-3</v>
      </c>
      <c r="Q11" s="148">
        <v>1.3181889756769E-3</v>
      </c>
      <c r="R11" s="148">
        <v>5.8103983714001995E-4</v>
      </c>
      <c r="S11" s="153">
        <v>0.05</v>
      </c>
      <c r="T11" s="154">
        <v>7.4999999999999997E-3</v>
      </c>
      <c r="U11" s="155">
        <v>3</v>
      </c>
      <c r="V11" s="159">
        <v>7.4999999999999997E-2</v>
      </c>
      <c r="W11" s="160">
        <v>1.4999999999999999E-2</v>
      </c>
      <c r="X11" s="161">
        <v>6</v>
      </c>
      <c r="Y11" s="165">
        <v>0.1056837376327294</v>
      </c>
      <c r="Z11" s="166">
        <v>0.03</v>
      </c>
      <c r="AA11" s="167">
        <v>9</v>
      </c>
    </row>
    <row r="12" spans="2:27" x14ac:dyDescent="0.25">
      <c r="B12" s="51" t="s">
        <v>1170</v>
      </c>
      <c r="C12" s="4" t="s">
        <v>4075</v>
      </c>
      <c r="D12" s="142" t="e">
        <v>#VALUE!</v>
      </c>
      <c r="E12" s="142" t="e">
        <v>#VALUE!</v>
      </c>
      <c r="F12" s="4" t="s">
        <v>592</v>
      </c>
      <c r="G12" s="143">
        <v>50000000</v>
      </c>
      <c r="H12" s="4">
        <v>8</v>
      </c>
      <c r="I12" s="143">
        <v>343690816</v>
      </c>
      <c r="J12" s="144">
        <v>6.3049350458914253</v>
      </c>
      <c r="K12" s="145">
        <v>2.7035421923770433E-3</v>
      </c>
      <c r="L12" s="146">
        <v>1</v>
      </c>
      <c r="M12" s="58">
        <v>1</v>
      </c>
      <c r="N12" s="58">
        <v>1</v>
      </c>
      <c r="O12" s="147">
        <v>1</v>
      </c>
      <c r="P12" s="148">
        <v>1E-4</v>
      </c>
      <c r="Q12" s="148">
        <v>1E-4</v>
      </c>
      <c r="R12" s="148">
        <v>1E-4</v>
      </c>
      <c r="S12" s="153">
        <v>0.05</v>
      </c>
      <c r="T12" s="154">
        <v>7.4999999999999997E-3</v>
      </c>
      <c r="U12" s="155">
        <v>3</v>
      </c>
      <c r="V12" s="159">
        <v>7.4999999999999997E-2</v>
      </c>
      <c r="W12" s="160">
        <v>1.4999999999999999E-2</v>
      </c>
      <c r="X12" s="161">
        <v>6</v>
      </c>
      <c r="Y12" s="165">
        <v>0.1</v>
      </c>
      <c r="Z12" s="166">
        <v>0.03</v>
      </c>
      <c r="AA12" s="167">
        <v>9</v>
      </c>
    </row>
    <row r="13" spans="2:27" x14ac:dyDescent="0.25">
      <c r="B13" s="51" t="s">
        <v>1175</v>
      </c>
      <c r="C13" s="4" t="s">
        <v>4076</v>
      </c>
      <c r="D13" s="142" t="e">
        <v>#VALUE!</v>
      </c>
      <c r="E13" s="142" t="e">
        <v>#VALUE!</v>
      </c>
      <c r="F13" s="4" t="s">
        <v>592</v>
      </c>
      <c r="G13" s="143">
        <v>50000000</v>
      </c>
      <c r="H13" s="4">
        <v>9</v>
      </c>
      <c r="I13" s="143">
        <v>0</v>
      </c>
      <c r="J13" s="144">
        <v>6.6833191912802103</v>
      </c>
      <c r="K13" s="145">
        <v>9.0778824069960573E-3</v>
      </c>
      <c r="L13" s="146">
        <v>1</v>
      </c>
      <c r="M13" s="58">
        <v>1</v>
      </c>
      <c r="N13" s="58">
        <v>1</v>
      </c>
      <c r="O13" s="147">
        <v>1</v>
      </c>
      <c r="P13" s="148">
        <v>1E-4</v>
      </c>
      <c r="Q13" s="148">
        <v>1E-4</v>
      </c>
      <c r="R13" s="148">
        <v>1E-4</v>
      </c>
      <c r="S13" s="153">
        <v>0.05</v>
      </c>
      <c r="T13" s="154">
        <v>7.4999999999999997E-3</v>
      </c>
      <c r="U13" s="155">
        <v>3</v>
      </c>
      <c r="V13" s="159">
        <v>7.4999999999999997E-2</v>
      </c>
      <c r="W13" s="160">
        <v>1.4999999999999999E-2</v>
      </c>
      <c r="X13" s="161">
        <v>6</v>
      </c>
      <c r="Y13" s="165">
        <v>0.1</v>
      </c>
      <c r="Z13" s="166">
        <v>0.03</v>
      </c>
      <c r="AA13" s="167">
        <v>9</v>
      </c>
    </row>
    <row r="14" spans="2:27" x14ac:dyDescent="0.25">
      <c r="B14" s="51" t="s">
        <v>1179</v>
      </c>
      <c r="C14" s="4" t="s">
        <v>4077</v>
      </c>
      <c r="D14" s="142" t="e">
        <v>#VALUE!</v>
      </c>
      <c r="E14" s="142" t="e">
        <v>#VALUE!</v>
      </c>
      <c r="F14" s="4" t="s">
        <v>592</v>
      </c>
      <c r="G14" s="143">
        <v>50000000</v>
      </c>
      <c r="H14" s="4">
        <v>8</v>
      </c>
      <c r="I14" s="143">
        <v>0</v>
      </c>
      <c r="J14" s="144">
        <v>6.402903376620614</v>
      </c>
      <c r="K14" s="145">
        <v>1.7314117773815845E-2</v>
      </c>
      <c r="L14" s="146">
        <v>1</v>
      </c>
      <c r="M14" s="58">
        <v>1</v>
      </c>
      <c r="N14" s="58">
        <v>1</v>
      </c>
      <c r="O14" s="147">
        <v>1</v>
      </c>
      <c r="P14" s="148">
        <v>1E-4</v>
      </c>
      <c r="Q14" s="148">
        <v>1E-4</v>
      </c>
      <c r="R14" s="148">
        <v>1E-4</v>
      </c>
      <c r="S14" s="153">
        <v>0.05</v>
      </c>
      <c r="T14" s="154">
        <v>7.4999999999999997E-3</v>
      </c>
      <c r="U14" s="155">
        <v>3</v>
      </c>
      <c r="V14" s="159">
        <v>8.6570588869079229E-2</v>
      </c>
      <c r="W14" s="160">
        <v>1.4999999999999999E-2</v>
      </c>
      <c r="X14" s="161">
        <v>6</v>
      </c>
      <c r="Y14" s="165">
        <v>0.12985588330361883</v>
      </c>
      <c r="Z14" s="166">
        <v>0.03</v>
      </c>
      <c r="AA14" s="167">
        <v>9</v>
      </c>
    </row>
    <row r="15" spans="2:27" x14ac:dyDescent="0.25">
      <c r="B15" s="51" t="s">
        <v>1184</v>
      </c>
      <c r="C15" s="4" t="s">
        <v>4078</v>
      </c>
      <c r="D15" s="142" t="e">
        <v>#VALUE!</v>
      </c>
      <c r="E15" s="142" t="e">
        <v>#VALUE!</v>
      </c>
      <c r="F15" s="4" t="s">
        <v>592</v>
      </c>
      <c r="G15" s="143">
        <v>50000000</v>
      </c>
      <c r="H15" s="4">
        <v>8</v>
      </c>
      <c r="I15" s="143">
        <v>1924747780</v>
      </c>
      <c r="J15" s="144">
        <v>6.4365319554747416</v>
      </c>
      <c r="K15" s="145">
        <v>1.6024031443431834E-2</v>
      </c>
      <c r="L15" s="146">
        <v>1</v>
      </c>
      <c r="M15" s="58">
        <v>1</v>
      </c>
      <c r="N15" s="58">
        <v>1</v>
      </c>
      <c r="O15" s="147">
        <v>1</v>
      </c>
      <c r="P15" s="148">
        <v>1E-4</v>
      </c>
      <c r="Q15" s="148">
        <v>1E-4</v>
      </c>
      <c r="R15" s="148">
        <v>1E-4</v>
      </c>
      <c r="S15" s="153">
        <v>0.05</v>
      </c>
      <c r="T15" s="154">
        <v>7.4999999999999997E-3</v>
      </c>
      <c r="U15" s="155">
        <v>3</v>
      </c>
      <c r="V15" s="159">
        <v>8.0120157217159177E-2</v>
      </c>
      <c r="W15" s="160">
        <v>1.4999999999999999E-2</v>
      </c>
      <c r="X15" s="161">
        <v>6</v>
      </c>
      <c r="Y15" s="165">
        <v>0.12018023582573875</v>
      </c>
      <c r="Z15" s="166">
        <v>0.03</v>
      </c>
      <c r="AA15" s="167">
        <v>9</v>
      </c>
    </row>
    <row r="16" spans="2:27" x14ac:dyDescent="0.25">
      <c r="B16" s="51" t="s">
        <v>1188</v>
      </c>
      <c r="C16" s="4" t="s">
        <v>4079</v>
      </c>
      <c r="D16" s="142" t="e">
        <v>#VALUE!</v>
      </c>
      <c r="E16" s="142" t="e">
        <v>#VALUE!</v>
      </c>
      <c r="F16" s="4" t="s">
        <v>592</v>
      </c>
      <c r="G16" s="143">
        <v>50000000</v>
      </c>
      <c r="H16" s="4">
        <v>9</v>
      </c>
      <c r="I16" s="143">
        <v>1924747780</v>
      </c>
      <c r="J16" s="144">
        <v>6.6898086314166534</v>
      </c>
      <c r="K16" s="145">
        <v>8.9432446734682355E-3</v>
      </c>
      <c r="L16" s="146">
        <v>1</v>
      </c>
      <c r="M16" s="58">
        <v>1</v>
      </c>
      <c r="N16" s="58">
        <v>1</v>
      </c>
      <c r="O16" s="147">
        <v>1</v>
      </c>
      <c r="P16" s="148">
        <v>1E-4</v>
      </c>
      <c r="Q16" s="148">
        <v>1E-4</v>
      </c>
      <c r="R16" s="148">
        <v>1E-4</v>
      </c>
      <c r="S16" s="153">
        <v>0.05</v>
      </c>
      <c r="T16" s="154">
        <v>7.4999999999999997E-3</v>
      </c>
      <c r="U16" s="155">
        <v>3</v>
      </c>
      <c r="V16" s="159">
        <v>7.4999999999999997E-2</v>
      </c>
      <c r="W16" s="160">
        <v>1.4999999999999999E-2</v>
      </c>
      <c r="X16" s="161">
        <v>6</v>
      </c>
      <c r="Y16" s="165">
        <v>0.1</v>
      </c>
      <c r="Z16" s="166">
        <v>0.03</v>
      </c>
      <c r="AA16" s="167">
        <v>9</v>
      </c>
    </row>
    <row r="17" spans="2:27" x14ac:dyDescent="0.25">
      <c r="B17" s="51" t="s">
        <v>1193</v>
      </c>
      <c r="C17" s="4" t="s">
        <v>4080</v>
      </c>
      <c r="D17" s="142" t="e">
        <v>#VALUE!</v>
      </c>
      <c r="E17" s="142" t="e">
        <v>#VALUE!</v>
      </c>
      <c r="F17" s="4" t="s">
        <v>592</v>
      </c>
      <c r="G17" s="143">
        <v>50000000</v>
      </c>
      <c r="H17" s="4">
        <v>7</v>
      </c>
      <c r="I17" s="143">
        <v>3883191.8</v>
      </c>
      <c r="J17" s="144">
        <v>4.0374362363680936</v>
      </c>
      <c r="K17" s="145">
        <v>5.6552639008159312E-3</v>
      </c>
      <c r="L17" s="146">
        <v>1</v>
      </c>
      <c r="M17" s="58">
        <v>1</v>
      </c>
      <c r="N17" s="58">
        <v>1</v>
      </c>
      <c r="O17" s="147">
        <v>1</v>
      </c>
      <c r="P17" s="148">
        <v>3.9688617814595002E-3</v>
      </c>
      <c r="Q17" s="148">
        <v>2.8710289521382999E-3</v>
      </c>
      <c r="R17" s="148">
        <v>2.0243322449002002E-3</v>
      </c>
      <c r="S17" s="153">
        <v>0.05</v>
      </c>
      <c r="T17" s="154">
        <v>7.4999999999999997E-3</v>
      </c>
      <c r="U17" s="155">
        <v>3</v>
      </c>
      <c r="V17" s="159">
        <v>7.4999999999999997E-2</v>
      </c>
      <c r="W17" s="160">
        <v>1.4999999999999999E-2</v>
      </c>
      <c r="X17" s="161">
        <v>6</v>
      </c>
      <c r="Y17" s="165">
        <v>0.1</v>
      </c>
      <c r="Z17" s="166">
        <v>0.03</v>
      </c>
      <c r="AA17" s="167">
        <v>9</v>
      </c>
    </row>
    <row r="18" spans="2:27" x14ac:dyDescent="0.25">
      <c r="B18" s="51" t="s">
        <v>848</v>
      </c>
      <c r="C18" s="4" t="s">
        <v>1037</v>
      </c>
      <c r="D18" s="142" t="e">
        <v>#VALUE!</v>
      </c>
      <c r="E18" s="142" t="e">
        <v>#VALUE!</v>
      </c>
      <c r="F18" s="4" t="s">
        <v>592</v>
      </c>
      <c r="G18" s="143">
        <v>50000000</v>
      </c>
      <c r="H18" s="4">
        <v>10</v>
      </c>
      <c r="I18" s="143">
        <v>5715033100</v>
      </c>
      <c r="J18" s="144">
        <v>7.1584163694881111</v>
      </c>
      <c r="K18" s="145">
        <v>8.3173118758261035E-3</v>
      </c>
      <c r="L18" s="146">
        <v>1</v>
      </c>
      <c r="M18" s="58">
        <v>1</v>
      </c>
      <c r="N18" s="58">
        <v>1</v>
      </c>
      <c r="O18" s="147">
        <v>1</v>
      </c>
      <c r="P18" s="148">
        <v>1E-4</v>
      </c>
      <c r="Q18" s="148">
        <v>1E-4</v>
      </c>
      <c r="R18" s="148">
        <v>1E-4</v>
      </c>
      <c r="S18" s="153">
        <v>0.05</v>
      </c>
      <c r="T18" s="154">
        <v>7.4999999999999997E-3</v>
      </c>
      <c r="U18" s="155">
        <v>3</v>
      </c>
      <c r="V18" s="159">
        <v>7.4999999999999997E-2</v>
      </c>
      <c r="W18" s="160">
        <v>1.4999999999999999E-2</v>
      </c>
      <c r="X18" s="161">
        <v>6</v>
      </c>
      <c r="Y18" s="165">
        <v>0.1</v>
      </c>
      <c r="Z18" s="166">
        <v>0.03</v>
      </c>
      <c r="AA18" s="167">
        <v>9</v>
      </c>
    </row>
    <row r="19" spans="2:27" x14ac:dyDescent="0.25">
      <c r="B19" s="51" t="s">
        <v>841</v>
      </c>
      <c r="C19" s="4" t="s">
        <v>1038</v>
      </c>
      <c r="D19" s="142" t="e">
        <v>#VALUE!</v>
      </c>
      <c r="E19" s="142" t="e">
        <v>#VALUE!</v>
      </c>
      <c r="F19" s="4" t="s">
        <v>592</v>
      </c>
      <c r="G19" s="143">
        <v>50000000</v>
      </c>
      <c r="H19" s="4">
        <v>10</v>
      </c>
      <c r="I19" s="143">
        <v>6061323800</v>
      </c>
      <c r="J19" s="144">
        <v>7.0273079039711011</v>
      </c>
      <c r="K19" s="145">
        <v>9.0356593909730401E-3</v>
      </c>
      <c r="L19" s="146">
        <v>1</v>
      </c>
      <c r="M19" s="58">
        <v>1</v>
      </c>
      <c r="N19" s="58">
        <v>1</v>
      </c>
      <c r="O19" s="147">
        <v>1</v>
      </c>
      <c r="P19" s="148">
        <v>1E-4</v>
      </c>
      <c r="Q19" s="148">
        <v>1E-4</v>
      </c>
      <c r="R19" s="148">
        <v>1E-4</v>
      </c>
      <c r="S19" s="153">
        <v>0.05</v>
      </c>
      <c r="T19" s="154">
        <v>7.4999999999999997E-3</v>
      </c>
      <c r="U19" s="155">
        <v>3</v>
      </c>
      <c r="V19" s="159">
        <v>7.4999999999999997E-2</v>
      </c>
      <c r="W19" s="160">
        <v>1.4999999999999999E-2</v>
      </c>
      <c r="X19" s="161">
        <v>6</v>
      </c>
      <c r="Y19" s="165">
        <v>0.1</v>
      </c>
      <c r="Z19" s="166">
        <v>0.03</v>
      </c>
      <c r="AA19" s="167">
        <v>9</v>
      </c>
    </row>
    <row r="20" spans="2:27" x14ac:dyDescent="0.25">
      <c r="B20" s="51" t="s">
        <v>893</v>
      </c>
      <c r="C20" s="4" t="s">
        <v>1039</v>
      </c>
      <c r="D20" s="142" t="e">
        <v>#VALUE!</v>
      </c>
      <c r="E20" s="142" t="e">
        <v>#VALUE!</v>
      </c>
      <c r="F20" s="4" t="s">
        <v>592</v>
      </c>
      <c r="G20" s="143">
        <v>50000000</v>
      </c>
      <c r="H20" s="4">
        <v>10</v>
      </c>
      <c r="I20" s="143">
        <v>6061323800</v>
      </c>
      <c r="J20" s="144">
        <v>7.0237076882994467</v>
      </c>
      <c r="K20" s="145">
        <v>9.1108745554398501E-3</v>
      </c>
      <c r="L20" s="146">
        <v>1</v>
      </c>
      <c r="M20" s="58">
        <v>1</v>
      </c>
      <c r="N20" s="58">
        <v>1</v>
      </c>
      <c r="O20" s="147">
        <v>1</v>
      </c>
      <c r="P20" s="148">
        <v>1E-4</v>
      </c>
      <c r="Q20" s="148">
        <v>1E-4</v>
      </c>
      <c r="R20" s="148">
        <v>1E-4</v>
      </c>
      <c r="S20" s="153">
        <v>0.05</v>
      </c>
      <c r="T20" s="154">
        <v>7.4999999999999997E-3</v>
      </c>
      <c r="U20" s="155">
        <v>3</v>
      </c>
      <c r="V20" s="159">
        <v>7.4999999999999997E-2</v>
      </c>
      <c r="W20" s="160">
        <v>1.4999999999999999E-2</v>
      </c>
      <c r="X20" s="161">
        <v>6</v>
      </c>
      <c r="Y20" s="165">
        <v>0.1</v>
      </c>
      <c r="Z20" s="166">
        <v>0.03</v>
      </c>
      <c r="AA20" s="167">
        <v>9</v>
      </c>
    </row>
    <row r="21" spans="2:27" x14ac:dyDescent="0.25">
      <c r="B21" s="51" t="s">
        <v>892</v>
      </c>
      <c r="C21" s="4" t="s">
        <v>1040</v>
      </c>
      <c r="D21" s="142" t="e">
        <v>#VALUE!</v>
      </c>
      <c r="E21" s="142" t="e">
        <v>#VALUE!</v>
      </c>
      <c r="F21" s="4" t="s">
        <v>592</v>
      </c>
      <c r="G21" s="143">
        <v>50000000</v>
      </c>
      <c r="H21" s="4">
        <v>10</v>
      </c>
      <c r="I21" s="143">
        <v>5715033100</v>
      </c>
      <c r="J21" s="144">
        <v>7.1584163694881111</v>
      </c>
      <c r="K21" s="145">
        <v>8.3173118758261035E-3</v>
      </c>
      <c r="L21" s="146">
        <v>1</v>
      </c>
      <c r="M21" s="58">
        <v>1</v>
      </c>
      <c r="N21" s="58">
        <v>1</v>
      </c>
      <c r="O21" s="147">
        <v>1</v>
      </c>
      <c r="P21" s="148">
        <v>1E-4</v>
      </c>
      <c r="Q21" s="148">
        <v>1E-4</v>
      </c>
      <c r="R21" s="148">
        <v>1E-4</v>
      </c>
      <c r="S21" s="153">
        <v>0.05</v>
      </c>
      <c r="T21" s="154">
        <v>7.4999999999999997E-3</v>
      </c>
      <c r="U21" s="155">
        <v>3</v>
      </c>
      <c r="V21" s="159">
        <v>7.4999999999999997E-2</v>
      </c>
      <c r="W21" s="160">
        <v>1.4999999999999999E-2</v>
      </c>
      <c r="X21" s="161">
        <v>6</v>
      </c>
      <c r="Y21" s="165">
        <v>0.1</v>
      </c>
      <c r="Z21" s="166">
        <v>0.03</v>
      </c>
      <c r="AA21" s="167">
        <v>9</v>
      </c>
    </row>
    <row r="22" spans="2:27" x14ac:dyDescent="0.25">
      <c r="B22" s="51" t="s">
        <v>1206</v>
      </c>
      <c r="C22" s="4" t="s">
        <v>4081</v>
      </c>
      <c r="D22" s="142" t="e">
        <v>#VALUE!</v>
      </c>
      <c r="E22" s="142" t="e">
        <v>#VALUE!</v>
      </c>
      <c r="F22" s="4" t="s">
        <v>592</v>
      </c>
      <c r="G22" s="143">
        <v>50000000</v>
      </c>
      <c r="H22" s="4">
        <v>7</v>
      </c>
      <c r="I22" s="143">
        <v>4979937.5</v>
      </c>
      <c r="J22" s="144">
        <v>4.0390126134093487</v>
      </c>
      <c r="K22" s="145">
        <v>7.2262261536240264E-3</v>
      </c>
      <c r="L22" s="146">
        <v>1</v>
      </c>
      <c r="M22" s="58">
        <v>1</v>
      </c>
      <c r="N22" s="58">
        <v>1</v>
      </c>
      <c r="O22" s="147">
        <v>1</v>
      </c>
      <c r="P22" s="148">
        <v>3.6737744953614002E-3</v>
      </c>
      <c r="Q22" s="148">
        <v>2.7155460656552999E-3</v>
      </c>
      <c r="R22" s="148">
        <v>1.9765183789756998E-3</v>
      </c>
      <c r="S22" s="153">
        <v>0.05</v>
      </c>
      <c r="T22" s="154">
        <v>7.4999999999999997E-3</v>
      </c>
      <c r="U22" s="155">
        <v>3</v>
      </c>
      <c r="V22" s="159">
        <v>7.4999999999999997E-2</v>
      </c>
      <c r="W22" s="160">
        <v>1.4999999999999999E-2</v>
      </c>
      <c r="X22" s="161">
        <v>6</v>
      </c>
      <c r="Y22" s="165">
        <v>0.1</v>
      </c>
      <c r="Z22" s="166">
        <v>0.03</v>
      </c>
      <c r="AA22" s="167">
        <v>9</v>
      </c>
    </row>
    <row r="23" spans="2:27" x14ac:dyDescent="0.25">
      <c r="B23" s="51" t="s">
        <v>1211</v>
      </c>
      <c r="C23" s="4" t="s">
        <v>4082</v>
      </c>
      <c r="D23" s="142" t="e">
        <v>#VALUE!</v>
      </c>
      <c r="E23" s="142" t="e">
        <v>#VALUE!</v>
      </c>
      <c r="F23" s="4" t="s">
        <v>592</v>
      </c>
      <c r="G23" s="143">
        <v>50000000</v>
      </c>
      <c r="H23" s="4">
        <v>7</v>
      </c>
      <c r="I23" s="143">
        <v>3883191.8</v>
      </c>
      <c r="J23" s="144">
        <v>4.0062261252044884</v>
      </c>
      <c r="K23" s="145">
        <v>6.0766327102492771E-3</v>
      </c>
      <c r="L23" s="146">
        <v>1</v>
      </c>
      <c r="M23" s="58">
        <v>1</v>
      </c>
      <c r="N23" s="58">
        <v>1</v>
      </c>
      <c r="O23" s="147">
        <v>1</v>
      </c>
      <c r="P23" s="148">
        <v>3.9227871694334001E-3</v>
      </c>
      <c r="Q23" s="148">
        <v>2.8286255537944998E-3</v>
      </c>
      <c r="R23" s="148">
        <v>1.9847602471604999E-3</v>
      </c>
      <c r="S23" s="153">
        <v>0.05</v>
      </c>
      <c r="T23" s="154">
        <v>7.4999999999999997E-3</v>
      </c>
      <c r="U23" s="155">
        <v>3</v>
      </c>
      <c r="V23" s="159">
        <v>7.4999999999999997E-2</v>
      </c>
      <c r="W23" s="160">
        <v>1.4999999999999999E-2</v>
      </c>
      <c r="X23" s="161">
        <v>6</v>
      </c>
      <c r="Y23" s="165">
        <v>0.1</v>
      </c>
      <c r="Z23" s="166">
        <v>0.03</v>
      </c>
      <c r="AA23" s="167">
        <v>9</v>
      </c>
    </row>
    <row r="24" spans="2:27" x14ac:dyDescent="0.25">
      <c r="B24" s="51" t="s">
        <v>1215</v>
      </c>
      <c r="C24" s="4" t="s">
        <v>4083</v>
      </c>
      <c r="D24" s="142" t="e">
        <v>#VALUE!</v>
      </c>
      <c r="E24" s="142" t="e">
        <v>#VALUE!</v>
      </c>
      <c r="F24" s="4" t="s">
        <v>592</v>
      </c>
      <c r="G24" s="143">
        <v>50000000</v>
      </c>
      <c r="H24" s="4">
        <v>7</v>
      </c>
      <c r="I24" s="143">
        <v>3883191.8</v>
      </c>
      <c r="J24" s="144">
        <v>4.0283270425073212</v>
      </c>
      <c r="K24" s="145">
        <v>5.7751340559108891E-3</v>
      </c>
      <c r="L24" s="146">
        <v>1</v>
      </c>
      <c r="M24" s="58">
        <v>1</v>
      </c>
      <c r="N24" s="58">
        <v>1</v>
      </c>
      <c r="O24" s="147">
        <v>1</v>
      </c>
      <c r="P24" s="148">
        <v>4.0023119072104003E-3</v>
      </c>
      <c r="Q24" s="148">
        <v>2.9023266497521E-3</v>
      </c>
      <c r="R24" s="148">
        <v>2.0539698957676E-3</v>
      </c>
      <c r="S24" s="153">
        <v>0.05</v>
      </c>
      <c r="T24" s="154">
        <v>7.4999999999999997E-3</v>
      </c>
      <c r="U24" s="155">
        <v>3</v>
      </c>
      <c r="V24" s="159">
        <v>7.4999999999999997E-2</v>
      </c>
      <c r="W24" s="160">
        <v>1.4999999999999999E-2</v>
      </c>
      <c r="X24" s="161">
        <v>6</v>
      </c>
      <c r="Y24" s="165">
        <v>0.1</v>
      </c>
      <c r="Z24" s="166">
        <v>0.03</v>
      </c>
      <c r="AA24" s="167">
        <v>9</v>
      </c>
    </row>
    <row r="25" spans="2:27" x14ac:dyDescent="0.25">
      <c r="B25" s="51" t="s">
        <v>1220</v>
      </c>
      <c r="C25" s="4" t="s">
        <v>4084</v>
      </c>
      <c r="D25" s="142" t="e">
        <v>#VALUE!</v>
      </c>
      <c r="E25" s="142" t="e">
        <v>#VALUE!</v>
      </c>
      <c r="F25" s="4" t="s">
        <v>592</v>
      </c>
      <c r="G25" s="143">
        <v>50000000</v>
      </c>
      <c r="H25" s="4">
        <v>6</v>
      </c>
      <c r="I25" s="143">
        <v>0</v>
      </c>
      <c r="J25" s="144">
        <v>3.061512480773303</v>
      </c>
      <c r="K25" s="145">
        <v>7.19881976826318E-3</v>
      </c>
      <c r="L25" s="146">
        <v>52</v>
      </c>
      <c r="M25" s="58">
        <v>8</v>
      </c>
      <c r="N25" s="58">
        <v>1</v>
      </c>
      <c r="O25" s="147">
        <v>1</v>
      </c>
      <c r="P25" s="148">
        <v>1.5893072358312998E-2</v>
      </c>
      <c r="Q25" s="148">
        <v>1.2869531380771E-2</v>
      </c>
      <c r="R25" s="148">
        <v>1.0537644301507E-2</v>
      </c>
      <c r="S25" s="153">
        <v>0.05</v>
      </c>
      <c r="T25" s="154">
        <v>1.0537644301507E-2</v>
      </c>
      <c r="U25" s="155">
        <v>7.5000000000000009</v>
      </c>
      <c r="V25" s="159">
        <v>7.4999999999999997E-2</v>
      </c>
      <c r="W25" s="160">
        <v>2.1075288603014001E-2</v>
      </c>
      <c r="X25" s="161">
        <v>15.000000000000002</v>
      </c>
      <c r="Y25" s="165">
        <v>0.1</v>
      </c>
      <c r="Z25" s="166">
        <v>4.2150577206028002E-2</v>
      </c>
      <c r="AA25" s="167">
        <v>22.500000000000004</v>
      </c>
    </row>
    <row r="26" spans="2:27" x14ac:dyDescent="0.25">
      <c r="B26" s="51" t="s">
        <v>1224</v>
      </c>
      <c r="C26" s="4" t="s">
        <v>4085</v>
      </c>
      <c r="D26" s="142" t="e">
        <v>#VALUE!</v>
      </c>
      <c r="E26" s="142" t="e">
        <v>#VALUE!</v>
      </c>
      <c r="F26" s="4" t="s">
        <v>592</v>
      </c>
      <c r="G26" s="143">
        <v>50000000</v>
      </c>
      <c r="H26" s="4">
        <v>7</v>
      </c>
      <c r="I26" s="143">
        <v>0</v>
      </c>
      <c r="J26" s="144">
        <v>5.1685211727902463</v>
      </c>
      <c r="K26" s="145">
        <v>7.0030545435294956E-3</v>
      </c>
      <c r="L26" s="146">
        <v>1</v>
      </c>
      <c r="M26" s="58">
        <v>1</v>
      </c>
      <c r="N26" s="58">
        <v>1</v>
      </c>
      <c r="O26" s="147">
        <v>1</v>
      </c>
      <c r="P26" s="148">
        <v>8.571861994181E-4</v>
      </c>
      <c r="Q26" s="148">
        <v>3.4428357717627999E-4</v>
      </c>
      <c r="R26" s="148">
        <v>1E-4</v>
      </c>
      <c r="S26" s="153">
        <v>0.05</v>
      </c>
      <c r="T26" s="154">
        <v>7.4999999999999997E-3</v>
      </c>
      <c r="U26" s="155">
        <v>3</v>
      </c>
      <c r="V26" s="159">
        <v>7.4999999999999997E-2</v>
      </c>
      <c r="W26" s="160">
        <v>1.4999999999999999E-2</v>
      </c>
      <c r="X26" s="161">
        <v>6</v>
      </c>
      <c r="Y26" s="165">
        <v>0.1</v>
      </c>
      <c r="Z26" s="166">
        <v>0.03</v>
      </c>
      <c r="AA26" s="167">
        <v>9</v>
      </c>
    </row>
    <row r="27" spans="2:27" x14ac:dyDescent="0.25">
      <c r="B27" s="51" t="s">
        <v>1228</v>
      </c>
      <c r="C27" s="4" t="s">
        <v>4086</v>
      </c>
      <c r="D27" s="142" t="e">
        <v>#VALUE!</v>
      </c>
      <c r="E27" s="142" t="e">
        <v>#VALUE!</v>
      </c>
      <c r="F27" s="4" t="s">
        <v>592</v>
      </c>
      <c r="G27" s="143">
        <v>50000000</v>
      </c>
      <c r="H27" s="4">
        <v>7</v>
      </c>
      <c r="I27" s="143">
        <v>220161152</v>
      </c>
      <c r="J27" s="144">
        <v>5.686904893412315</v>
      </c>
      <c r="K27" s="145">
        <v>9.7658416692245273E-3</v>
      </c>
      <c r="L27" s="146">
        <v>1</v>
      </c>
      <c r="M27" s="58">
        <v>1</v>
      </c>
      <c r="N27" s="58">
        <v>1</v>
      </c>
      <c r="O27" s="147">
        <v>1</v>
      </c>
      <c r="P27" s="148">
        <v>1E-4</v>
      </c>
      <c r="Q27" s="148">
        <v>1E-4</v>
      </c>
      <c r="R27" s="148">
        <v>1E-4</v>
      </c>
      <c r="S27" s="153">
        <v>0.05</v>
      </c>
      <c r="T27" s="154">
        <v>7.4999999999999997E-3</v>
      </c>
      <c r="U27" s="155">
        <v>3</v>
      </c>
      <c r="V27" s="159">
        <v>7.4999999999999997E-2</v>
      </c>
      <c r="W27" s="160">
        <v>1.4999999999999999E-2</v>
      </c>
      <c r="X27" s="161">
        <v>6</v>
      </c>
      <c r="Y27" s="165">
        <v>0.1</v>
      </c>
      <c r="Z27" s="166">
        <v>0.03</v>
      </c>
      <c r="AA27" s="167">
        <v>9</v>
      </c>
    </row>
    <row r="28" spans="2:27" x14ac:dyDescent="0.25">
      <c r="B28" s="51" t="s">
        <v>1242</v>
      </c>
      <c r="C28" s="4" t="s">
        <v>4087</v>
      </c>
      <c r="D28" s="142" t="e">
        <v>#VALUE!</v>
      </c>
      <c r="E28" s="142" t="e">
        <v>#VALUE!</v>
      </c>
      <c r="F28" s="4" t="s">
        <v>592</v>
      </c>
      <c r="G28" s="143">
        <v>50000000</v>
      </c>
      <c r="H28" s="4">
        <v>9</v>
      </c>
      <c r="I28" s="143">
        <v>1827837820</v>
      </c>
      <c r="J28" s="144">
        <v>6.8880529513027176</v>
      </c>
      <c r="K28" s="145">
        <v>3.7547841697951165E-3</v>
      </c>
      <c r="L28" s="146">
        <v>1</v>
      </c>
      <c r="M28" s="58">
        <v>1</v>
      </c>
      <c r="N28" s="58">
        <v>1</v>
      </c>
      <c r="O28" s="147">
        <v>1</v>
      </c>
      <c r="P28" s="148">
        <v>1E-4</v>
      </c>
      <c r="Q28" s="148">
        <v>1E-4</v>
      </c>
      <c r="R28" s="148">
        <v>1E-4</v>
      </c>
      <c r="S28" s="153">
        <v>0.05</v>
      </c>
      <c r="T28" s="154">
        <v>7.4999999999999997E-3</v>
      </c>
      <c r="U28" s="155">
        <v>3</v>
      </c>
      <c r="V28" s="159">
        <v>7.4999999999999997E-2</v>
      </c>
      <c r="W28" s="160">
        <v>1.4999999999999999E-2</v>
      </c>
      <c r="X28" s="161">
        <v>6</v>
      </c>
      <c r="Y28" s="165">
        <v>0.1</v>
      </c>
      <c r="Z28" s="166">
        <v>0.03</v>
      </c>
      <c r="AA28" s="167">
        <v>9</v>
      </c>
    </row>
    <row r="29" spans="2:27" x14ac:dyDescent="0.25">
      <c r="B29" s="51" t="s">
        <v>604</v>
      </c>
      <c r="C29" s="4" t="s">
        <v>605</v>
      </c>
      <c r="D29" s="142" t="e">
        <v>#VALUE!</v>
      </c>
      <c r="E29" s="142" t="e">
        <v>#VALUE!</v>
      </c>
      <c r="F29" s="4" t="s">
        <v>592</v>
      </c>
      <c r="G29" s="143">
        <v>50000000</v>
      </c>
      <c r="H29" s="4">
        <v>8</v>
      </c>
      <c r="I29" s="143">
        <v>0</v>
      </c>
      <c r="J29" s="144">
        <v>6.6045659854943839</v>
      </c>
      <c r="K29" s="145">
        <v>1.0882727594081529E-2</v>
      </c>
      <c r="L29" s="146">
        <v>1</v>
      </c>
      <c r="M29" s="58">
        <v>1</v>
      </c>
      <c r="N29" s="58">
        <v>1</v>
      </c>
      <c r="O29" s="147">
        <v>1</v>
      </c>
      <c r="P29" s="148">
        <v>1E-4</v>
      </c>
      <c r="Q29" s="148">
        <v>1E-4</v>
      </c>
      <c r="R29" s="148">
        <v>1E-4</v>
      </c>
      <c r="S29" s="153">
        <v>0.05</v>
      </c>
      <c r="T29" s="154">
        <v>7.4999999999999997E-3</v>
      </c>
      <c r="U29" s="155">
        <v>3</v>
      </c>
      <c r="V29" s="159">
        <v>7.4999999999999997E-2</v>
      </c>
      <c r="W29" s="160">
        <v>1.4999999999999999E-2</v>
      </c>
      <c r="X29" s="161">
        <v>6</v>
      </c>
      <c r="Y29" s="165">
        <v>0.1</v>
      </c>
      <c r="Z29" s="166">
        <v>0.03</v>
      </c>
      <c r="AA29" s="167">
        <v>9</v>
      </c>
    </row>
    <row r="30" spans="2:27" x14ac:dyDescent="0.25">
      <c r="B30" s="51" t="s">
        <v>259</v>
      </c>
      <c r="C30" s="4" t="s">
        <v>272</v>
      </c>
      <c r="D30" s="142" t="e">
        <v>#VALUE!</v>
      </c>
      <c r="E30" s="142" t="e">
        <v>#VALUE!</v>
      </c>
      <c r="F30" s="4" t="s">
        <v>592</v>
      </c>
      <c r="G30" s="143">
        <v>50000000</v>
      </c>
      <c r="H30" s="4">
        <v>9</v>
      </c>
      <c r="I30" s="143">
        <v>17067770</v>
      </c>
      <c r="J30" s="144">
        <v>6.9564239058245629</v>
      </c>
      <c r="K30" s="145">
        <v>8.4244282925561263E-3</v>
      </c>
      <c r="L30" s="146">
        <v>1</v>
      </c>
      <c r="M30" s="58">
        <v>1</v>
      </c>
      <c r="N30" s="58">
        <v>1</v>
      </c>
      <c r="O30" s="147">
        <v>1</v>
      </c>
      <c r="P30" s="148">
        <v>1E-4</v>
      </c>
      <c r="Q30" s="148">
        <v>1E-4</v>
      </c>
      <c r="R30" s="148">
        <v>1E-4</v>
      </c>
      <c r="S30" s="153">
        <v>0.05</v>
      </c>
      <c r="T30" s="154">
        <v>7.4999999999999997E-3</v>
      </c>
      <c r="U30" s="155">
        <v>3</v>
      </c>
      <c r="V30" s="159">
        <v>7.4999999999999997E-2</v>
      </c>
      <c r="W30" s="160">
        <v>1.4999999999999999E-2</v>
      </c>
      <c r="X30" s="161">
        <v>6</v>
      </c>
      <c r="Y30" s="165">
        <v>0.1</v>
      </c>
      <c r="Z30" s="166">
        <v>0.03</v>
      </c>
      <c r="AA30" s="167">
        <v>9</v>
      </c>
    </row>
    <row r="31" spans="2:27" x14ac:dyDescent="0.25">
      <c r="B31" s="51" t="s">
        <v>594</v>
      </c>
      <c r="C31" s="4" t="s">
        <v>595</v>
      </c>
      <c r="D31" s="142" t="e">
        <v>#VALUE!</v>
      </c>
      <c r="E31" s="142" t="e">
        <v>#VALUE!</v>
      </c>
      <c r="F31" s="4" t="s">
        <v>592</v>
      </c>
      <c r="G31" s="143">
        <v>50000000</v>
      </c>
      <c r="H31" s="4">
        <v>9</v>
      </c>
      <c r="I31" s="143">
        <v>17067770</v>
      </c>
      <c r="J31" s="144">
        <v>6.9527517014083502</v>
      </c>
      <c r="K31" s="145">
        <v>8.4959635873544277E-3</v>
      </c>
      <c r="L31" s="146">
        <v>1</v>
      </c>
      <c r="M31" s="58">
        <v>1</v>
      </c>
      <c r="N31" s="58">
        <v>1</v>
      </c>
      <c r="O31" s="147">
        <v>1</v>
      </c>
      <c r="P31" s="148">
        <v>1E-4</v>
      </c>
      <c r="Q31" s="148">
        <v>1E-4</v>
      </c>
      <c r="R31" s="148">
        <v>1E-4</v>
      </c>
      <c r="S31" s="153">
        <v>0.05</v>
      </c>
      <c r="T31" s="154">
        <v>7.4999999999999997E-3</v>
      </c>
      <c r="U31" s="155">
        <v>3</v>
      </c>
      <c r="V31" s="159">
        <v>7.4999999999999997E-2</v>
      </c>
      <c r="W31" s="160">
        <v>1.4999999999999999E-2</v>
      </c>
      <c r="X31" s="161">
        <v>6</v>
      </c>
      <c r="Y31" s="165">
        <v>0.1</v>
      </c>
      <c r="Z31" s="166">
        <v>0.03</v>
      </c>
      <c r="AA31" s="167">
        <v>9</v>
      </c>
    </row>
    <row r="32" spans="2:27" x14ac:dyDescent="0.25">
      <c r="B32" s="51" t="s">
        <v>523</v>
      </c>
      <c r="C32" s="4" t="s">
        <v>524</v>
      </c>
      <c r="D32" s="142" t="e">
        <v>#VALUE!</v>
      </c>
      <c r="E32" s="142" t="e">
        <v>#VALUE!</v>
      </c>
      <c r="F32" s="4" t="s">
        <v>592</v>
      </c>
      <c r="G32" s="143">
        <v>50000000</v>
      </c>
      <c r="H32" s="4">
        <v>10</v>
      </c>
      <c r="I32" s="143">
        <v>0</v>
      </c>
      <c r="J32" s="144">
        <v>7.1045857335945835</v>
      </c>
      <c r="K32" s="145">
        <v>9.4148547128479112E-3</v>
      </c>
      <c r="L32" s="146">
        <v>1</v>
      </c>
      <c r="M32" s="58">
        <v>1</v>
      </c>
      <c r="N32" s="58">
        <v>1</v>
      </c>
      <c r="O32" s="147">
        <v>1</v>
      </c>
      <c r="P32" s="148">
        <v>1E-4</v>
      </c>
      <c r="Q32" s="148">
        <v>1E-4</v>
      </c>
      <c r="R32" s="148">
        <v>1E-4</v>
      </c>
      <c r="S32" s="153">
        <v>0.05</v>
      </c>
      <c r="T32" s="154">
        <v>7.4999999999999997E-3</v>
      </c>
      <c r="U32" s="155">
        <v>3</v>
      </c>
      <c r="V32" s="159">
        <v>7.4999999999999997E-2</v>
      </c>
      <c r="W32" s="160">
        <v>1.4999999999999999E-2</v>
      </c>
      <c r="X32" s="161">
        <v>6</v>
      </c>
      <c r="Y32" s="165">
        <v>0.1</v>
      </c>
      <c r="Z32" s="166">
        <v>0.03</v>
      </c>
      <c r="AA32" s="167">
        <v>9</v>
      </c>
    </row>
    <row r="33" spans="2:27" x14ac:dyDescent="0.25">
      <c r="B33" s="51" t="s">
        <v>794</v>
      </c>
      <c r="C33" s="4" t="s">
        <v>799</v>
      </c>
      <c r="D33" s="142" t="e">
        <v>#VALUE!</v>
      </c>
      <c r="E33" s="142" t="e">
        <v>#VALUE!</v>
      </c>
      <c r="F33" s="4" t="s">
        <v>592</v>
      </c>
      <c r="G33" s="143">
        <v>50000000</v>
      </c>
      <c r="H33" s="4">
        <v>9</v>
      </c>
      <c r="I33" s="143">
        <v>0</v>
      </c>
      <c r="J33" s="144">
        <v>6.6321002505983371</v>
      </c>
      <c r="K33" s="145">
        <v>1.0214179680072079E-2</v>
      </c>
      <c r="L33" s="146">
        <v>1</v>
      </c>
      <c r="M33" s="58">
        <v>1</v>
      </c>
      <c r="N33" s="58">
        <v>1</v>
      </c>
      <c r="O33" s="147">
        <v>1</v>
      </c>
      <c r="P33" s="148">
        <v>1E-4</v>
      </c>
      <c r="Q33" s="148">
        <v>1E-4</v>
      </c>
      <c r="R33" s="148">
        <v>1E-4</v>
      </c>
      <c r="S33" s="153">
        <v>0.05</v>
      </c>
      <c r="T33" s="154">
        <v>7.4999999999999997E-3</v>
      </c>
      <c r="U33" s="155">
        <v>3</v>
      </c>
      <c r="V33" s="159">
        <v>7.4999999999999997E-2</v>
      </c>
      <c r="W33" s="160">
        <v>1.4999999999999999E-2</v>
      </c>
      <c r="X33" s="161">
        <v>6</v>
      </c>
      <c r="Y33" s="165">
        <v>0.1</v>
      </c>
      <c r="Z33" s="166">
        <v>0.03</v>
      </c>
      <c r="AA33" s="167">
        <v>9</v>
      </c>
    </row>
    <row r="34" spans="2:27" x14ac:dyDescent="0.25">
      <c r="B34" s="51" t="s">
        <v>261</v>
      </c>
      <c r="C34" s="4" t="s">
        <v>273</v>
      </c>
      <c r="D34" s="142" t="e">
        <v>#VALUE!</v>
      </c>
      <c r="E34" s="142" t="e">
        <v>#VALUE!</v>
      </c>
      <c r="F34" s="4" t="s">
        <v>592</v>
      </c>
      <c r="G34" s="143">
        <v>50000000</v>
      </c>
      <c r="H34" s="4">
        <v>8</v>
      </c>
      <c r="I34" s="143">
        <v>0</v>
      </c>
      <c r="J34" s="144">
        <v>6.5932962222971554</v>
      </c>
      <c r="K34" s="145">
        <v>1.1168825912103497E-2</v>
      </c>
      <c r="L34" s="146">
        <v>1</v>
      </c>
      <c r="M34" s="58">
        <v>1</v>
      </c>
      <c r="N34" s="58">
        <v>1</v>
      </c>
      <c r="O34" s="147">
        <v>1</v>
      </c>
      <c r="P34" s="148">
        <v>1E-4</v>
      </c>
      <c r="Q34" s="148">
        <v>1E-4</v>
      </c>
      <c r="R34" s="148">
        <v>1E-4</v>
      </c>
      <c r="S34" s="153">
        <v>0.05</v>
      </c>
      <c r="T34" s="154">
        <v>7.4999999999999997E-3</v>
      </c>
      <c r="U34" s="155">
        <v>3</v>
      </c>
      <c r="V34" s="159">
        <v>7.4999999999999997E-2</v>
      </c>
      <c r="W34" s="160">
        <v>1.4999999999999999E-2</v>
      </c>
      <c r="X34" s="161">
        <v>6</v>
      </c>
      <c r="Y34" s="165">
        <v>0.1</v>
      </c>
      <c r="Z34" s="166">
        <v>0.03</v>
      </c>
      <c r="AA34" s="167">
        <v>9</v>
      </c>
    </row>
    <row r="35" spans="2:27" x14ac:dyDescent="0.25">
      <c r="B35" s="51" t="s">
        <v>807</v>
      </c>
      <c r="C35" s="4" t="s">
        <v>818</v>
      </c>
      <c r="D35" s="142" t="e">
        <v>#VALUE!</v>
      </c>
      <c r="E35" s="142" t="e">
        <v>#VALUE!</v>
      </c>
      <c r="F35" s="4" t="s">
        <v>592</v>
      </c>
      <c r="G35" s="143">
        <v>50000000</v>
      </c>
      <c r="H35" s="4">
        <v>8</v>
      </c>
      <c r="I35" s="143">
        <v>1924747780</v>
      </c>
      <c r="J35" s="144">
        <v>6.5705465278677755</v>
      </c>
      <c r="K35" s="145">
        <v>1.1769478397223329E-2</v>
      </c>
      <c r="L35" s="146">
        <v>1</v>
      </c>
      <c r="M35" s="58">
        <v>1</v>
      </c>
      <c r="N35" s="58">
        <v>1</v>
      </c>
      <c r="O35" s="147">
        <v>1</v>
      </c>
      <c r="P35" s="148">
        <v>1E-4</v>
      </c>
      <c r="Q35" s="148">
        <v>1E-4</v>
      </c>
      <c r="R35" s="148">
        <v>1E-4</v>
      </c>
      <c r="S35" s="153">
        <v>0.05</v>
      </c>
      <c r="T35" s="154">
        <v>7.4999999999999997E-3</v>
      </c>
      <c r="U35" s="155">
        <v>3</v>
      </c>
      <c r="V35" s="159">
        <v>7.4999999999999997E-2</v>
      </c>
      <c r="W35" s="160">
        <v>1.4999999999999999E-2</v>
      </c>
      <c r="X35" s="161">
        <v>6</v>
      </c>
      <c r="Y35" s="165">
        <v>0.1</v>
      </c>
      <c r="Z35" s="166">
        <v>0.03</v>
      </c>
      <c r="AA35" s="167">
        <v>9</v>
      </c>
    </row>
    <row r="36" spans="2:27" x14ac:dyDescent="0.25">
      <c r="B36" s="51" t="s">
        <v>548</v>
      </c>
      <c r="C36" s="4" t="s">
        <v>557</v>
      </c>
      <c r="D36" s="142" t="e">
        <v>#VALUE!</v>
      </c>
      <c r="E36" s="142" t="e">
        <v>#VALUE!</v>
      </c>
      <c r="F36" s="4" t="s">
        <v>592</v>
      </c>
      <c r="G36" s="143">
        <v>50000000</v>
      </c>
      <c r="H36" s="4">
        <v>10</v>
      </c>
      <c r="I36" s="143">
        <v>6061323800</v>
      </c>
      <c r="J36" s="144">
        <v>7.039978160603531</v>
      </c>
      <c r="K36" s="145">
        <v>8.7758581477022143E-3</v>
      </c>
      <c r="L36" s="146">
        <v>1</v>
      </c>
      <c r="M36" s="58">
        <v>1</v>
      </c>
      <c r="N36" s="58">
        <v>1</v>
      </c>
      <c r="O36" s="147">
        <v>1</v>
      </c>
      <c r="P36" s="148">
        <v>1E-4</v>
      </c>
      <c r="Q36" s="148">
        <v>1E-4</v>
      </c>
      <c r="R36" s="148">
        <v>1E-4</v>
      </c>
      <c r="S36" s="153">
        <v>0.05</v>
      </c>
      <c r="T36" s="154">
        <v>7.4999999999999997E-3</v>
      </c>
      <c r="U36" s="155">
        <v>3</v>
      </c>
      <c r="V36" s="159">
        <v>7.4999999999999997E-2</v>
      </c>
      <c r="W36" s="160">
        <v>1.4999999999999999E-2</v>
      </c>
      <c r="X36" s="161">
        <v>6</v>
      </c>
      <c r="Y36" s="165">
        <v>0.1</v>
      </c>
      <c r="Z36" s="166">
        <v>0.03</v>
      </c>
      <c r="AA36" s="167">
        <v>9</v>
      </c>
    </row>
    <row r="37" spans="2:27" x14ac:dyDescent="0.25">
      <c r="B37" s="51" t="s">
        <v>589</v>
      </c>
      <c r="C37" s="4" t="s">
        <v>521</v>
      </c>
      <c r="D37" s="142" t="e">
        <v>#VALUE!</v>
      </c>
      <c r="E37" s="142" t="e">
        <v>#VALUE!</v>
      </c>
      <c r="F37" s="4" t="s">
        <v>592</v>
      </c>
      <c r="G37" s="143">
        <v>50000000</v>
      </c>
      <c r="H37" s="4">
        <v>9</v>
      </c>
      <c r="I37" s="143">
        <v>0</v>
      </c>
      <c r="J37" s="144">
        <v>6.6390308332196106</v>
      </c>
      <c r="K37" s="145">
        <v>1.005247289447557E-2</v>
      </c>
      <c r="L37" s="146">
        <v>1</v>
      </c>
      <c r="M37" s="58">
        <v>1</v>
      </c>
      <c r="N37" s="58">
        <v>1</v>
      </c>
      <c r="O37" s="147">
        <v>1</v>
      </c>
      <c r="P37" s="148">
        <v>1E-4</v>
      </c>
      <c r="Q37" s="148">
        <v>1E-4</v>
      </c>
      <c r="R37" s="148">
        <v>1E-4</v>
      </c>
      <c r="S37" s="153">
        <v>0.05</v>
      </c>
      <c r="T37" s="154">
        <v>7.4999999999999997E-3</v>
      </c>
      <c r="U37" s="155">
        <v>3</v>
      </c>
      <c r="V37" s="159">
        <v>7.4999999999999997E-2</v>
      </c>
      <c r="W37" s="160">
        <v>1.4999999999999999E-2</v>
      </c>
      <c r="X37" s="161">
        <v>6</v>
      </c>
      <c r="Y37" s="165">
        <v>0.1</v>
      </c>
      <c r="Z37" s="166">
        <v>0.03</v>
      </c>
      <c r="AA37" s="167">
        <v>9</v>
      </c>
    </row>
    <row r="38" spans="2:27" x14ac:dyDescent="0.25">
      <c r="B38" s="51" t="s">
        <v>795</v>
      </c>
      <c r="C38" s="4" t="s">
        <v>800</v>
      </c>
      <c r="D38" s="142" t="e">
        <v>#VALUE!</v>
      </c>
      <c r="E38" s="142" t="e">
        <v>#VALUE!</v>
      </c>
      <c r="F38" s="4" t="s">
        <v>592</v>
      </c>
      <c r="G38" s="143">
        <v>50000000</v>
      </c>
      <c r="H38" s="4">
        <v>9</v>
      </c>
      <c r="I38" s="143">
        <v>0</v>
      </c>
      <c r="J38" s="144">
        <v>6.6252761741937976</v>
      </c>
      <c r="K38" s="145">
        <v>1.0375942820171511E-2</v>
      </c>
      <c r="L38" s="146">
        <v>1</v>
      </c>
      <c r="M38" s="58">
        <v>1</v>
      </c>
      <c r="N38" s="58">
        <v>1</v>
      </c>
      <c r="O38" s="147">
        <v>1</v>
      </c>
      <c r="P38" s="148">
        <v>1E-4</v>
      </c>
      <c r="Q38" s="148">
        <v>1E-4</v>
      </c>
      <c r="R38" s="148">
        <v>1E-4</v>
      </c>
      <c r="S38" s="153">
        <v>0.05</v>
      </c>
      <c r="T38" s="154">
        <v>7.4999999999999997E-3</v>
      </c>
      <c r="U38" s="155">
        <v>3</v>
      </c>
      <c r="V38" s="159">
        <v>7.4999999999999997E-2</v>
      </c>
      <c r="W38" s="160">
        <v>1.4999999999999999E-2</v>
      </c>
      <c r="X38" s="161">
        <v>6</v>
      </c>
      <c r="Y38" s="165">
        <v>0.1</v>
      </c>
      <c r="Z38" s="166">
        <v>0.03</v>
      </c>
      <c r="AA38" s="167">
        <v>9</v>
      </c>
    </row>
    <row r="39" spans="2:27" x14ac:dyDescent="0.25">
      <c r="B39" s="51" t="s">
        <v>901</v>
      </c>
      <c r="C39" s="4" t="s">
        <v>1041</v>
      </c>
      <c r="D39" s="142" t="e">
        <v>#VALUE!</v>
      </c>
      <c r="E39" s="142" t="e">
        <v>#VALUE!</v>
      </c>
      <c r="F39" s="4" t="s">
        <v>592</v>
      </c>
      <c r="G39" s="143">
        <v>50000000</v>
      </c>
      <c r="H39" s="4">
        <v>10</v>
      </c>
      <c r="I39" s="143">
        <v>5715033100</v>
      </c>
      <c r="J39" s="144">
        <v>6.9970440684328983</v>
      </c>
      <c r="K39" s="145">
        <v>1.2060221596247004E-2</v>
      </c>
      <c r="L39" s="146">
        <v>1</v>
      </c>
      <c r="M39" s="58">
        <v>1</v>
      </c>
      <c r="N39" s="58">
        <v>1</v>
      </c>
      <c r="O39" s="147">
        <v>1</v>
      </c>
      <c r="P39" s="148">
        <v>1E-4</v>
      </c>
      <c r="Q39" s="148">
        <v>1E-4</v>
      </c>
      <c r="R39" s="148">
        <v>1E-4</v>
      </c>
      <c r="S39" s="153">
        <v>0.05</v>
      </c>
      <c r="T39" s="154">
        <v>7.4999999999999997E-3</v>
      </c>
      <c r="U39" s="155">
        <v>3</v>
      </c>
      <c r="V39" s="159">
        <v>7.4999999999999997E-2</v>
      </c>
      <c r="W39" s="160">
        <v>1.4999999999999999E-2</v>
      </c>
      <c r="X39" s="161">
        <v>6</v>
      </c>
      <c r="Y39" s="165">
        <v>0.1</v>
      </c>
      <c r="Z39" s="166">
        <v>0.03</v>
      </c>
      <c r="AA39" s="167">
        <v>9</v>
      </c>
    </row>
    <row r="40" spans="2:27" x14ac:dyDescent="0.25">
      <c r="B40" s="51" t="s">
        <v>3871</v>
      </c>
      <c r="C40" s="4" t="s">
        <v>4088</v>
      </c>
      <c r="D40" s="142" t="e">
        <v>#VALUE!</v>
      </c>
      <c r="E40" s="142" t="e">
        <v>#VALUE!</v>
      </c>
      <c r="F40" s="4" t="s">
        <v>592</v>
      </c>
      <c r="G40" s="143">
        <v>4039274.8160000001</v>
      </c>
      <c r="H40" s="4">
        <v>10</v>
      </c>
      <c r="I40" s="143">
        <v>5715033100</v>
      </c>
      <c r="J40" s="144">
        <v>7.0256055115370746</v>
      </c>
      <c r="K40" s="145">
        <v>1.1292597386251699E-2</v>
      </c>
      <c r="L40" s="146">
        <v>1</v>
      </c>
      <c r="M40" s="58">
        <v>1</v>
      </c>
      <c r="N40" s="58">
        <v>1</v>
      </c>
      <c r="O40" s="147">
        <v>1</v>
      </c>
      <c r="P40" s="148">
        <v>1E-4</v>
      </c>
      <c r="Q40" s="148">
        <v>1E-4</v>
      </c>
      <c r="R40" s="148">
        <v>1E-4</v>
      </c>
      <c r="S40" s="153">
        <v>0.05</v>
      </c>
      <c r="T40" s="154">
        <v>7.4999999999999997E-3</v>
      </c>
      <c r="U40" s="155">
        <v>3</v>
      </c>
      <c r="V40" s="159">
        <v>7.4999999999999997E-2</v>
      </c>
      <c r="W40" s="160">
        <v>1.4999999999999999E-2</v>
      </c>
      <c r="X40" s="161">
        <v>6</v>
      </c>
      <c r="Y40" s="165">
        <v>0.1</v>
      </c>
      <c r="Z40" s="166">
        <v>0.03</v>
      </c>
      <c r="AA40" s="167">
        <v>9</v>
      </c>
    </row>
    <row r="41" spans="2:27" x14ac:dyDescent="0.25">
      <c r="B41" s="51" t="s">
        <v>4089</v>
      </c>
      <c r="C41" s="4" t="s">
        <v>4090</v>
      </c>
      <c r="D41" s="142" t="e">
        <v>#VALUE!</v>
      </c>
      <c r="E41" s="142" t="e">
        <v>#VALUE!</v>
      </c>
      <c r="F41" s="4" t="s">
        <v>592</v>
      </c>
      <c r="G41" s="143">
        <v>5316800.8219999997</v>
      </c>
      <c r="H41" s="4">
        <v>10</v>
      </c>
      <c r="I41" s="143">
        <v>69841986000</v>
      </c>
      <c r="J41" s="144">
        <v>7.7193703982635133</v>
      </c>
      <c r="K41" s="145">
        <v>2.1156628125217427E-2</v>
      </c>
      <c r="L41" s="146">
        <v>1</v>
      </c>
      <c r="M41" s="58">
        <v>1</v>
      </c>
      <c r="N41" s="58">
        <v>1</v>
      </c>
      <c r="O41" s="147">
        <v>1</v>
      </c>
      <c r="P41" s="148">
        <v>1E-4</v>
      </c>
      <c r="Q41" s="148">
        <v>1E-4</v>
      </c>
      <c r="R41" s="148">
        <v>1E-4</v>
      </c>
      <c r="S41" s="153">
        <v>5.2891570313043569E-2</v>
      </c>
      <c r="T41" s="154">
        <v>7.4999999999999997E-3</v>
      </c>
      <c r="U41" s="155">
        <v>3</v>
      </c>
      <c r="V41" s="159">
        <v>0.10578314062608714</v>
      </c>
      <c r="W41" s="160">
        <v>1.4999999999999999E-2</v>
      </c>
      <c r="X41" s="161">
        <v>6</v>
      </c>
      <c r="Y41" s="165">
        <v>0.15867471093913071</v>
      </c>
      <c r="Z41" s="166">
        <v>0.03</v>
      </c>
      <c r="AA41" s="167">
        <v>9</v>
      </c>
    </row>
    <row r="42" spans="2:27" x14ac:dyDescent="0.25">
      <c r="B42" s="51" t="s">
        <v>2830</v>
      </c>
      <c r="C42" s="4" t="s">
        <v>4091</v>
      </c>
      <c r="D42" s="142" t="e">
        <v>#VALUE!</v>
      </c>
      <c r="E42" s="142" t="e">
        <v>#VALUE!</v>
      </c>
      <c r="F42" s="4" t="s">
        <v>592</v>
      </c>
      <c r="G42" s="143">
        <v>15401347.68</v>
      </c>
      <c r="H42" s="4">
        <v>10</v>
      </c>
      <c r="I42" s="143">
        <v>71194067000</v>
      </c>
      <c r="J42" s="144">
        <v>7.6976443982535994</v>
      </c>
      <c r="K42" s="145">
        <v>2.7209939913450353E-2</v>
      </c>
      <c r="L42" s="146">
        <v>1</v>
      </c>
      <c r="M42" s="58">
        <v>1</v>
      </c>
      <c r="N42" s="58">
        <v>1</v>
      </c>
      <c r="O42" s="147">
        <v>1</v>
      </c>
      <c r="P42" s="148">
        <v>1E-4</v>
      </c>
      <c r="Q42" s="148">
        <v>1E-4</v>
      </c>
      <c r="R42" s="148">
        <v>1E-4</v>
      </c>
      <c r="S42" s="153">
        <v>6.8024849783625885E-2</v>
      </c>
      <c r="T42" s="154">
        <v>7.4999999999999997E-3</v>
      </c>
      <c r="U42" s="155">
        <v>3</v>
      </c>
      <c r="V42" s="159">
        <v>0.13604969956725177</v>
      </c>
      <c r="W42" s="160">
        <v>1.4999999999999999E-2</v>
      </c>
      <c r="X42" s="161">
        <v>6</v>
      </c>
      <c r="Y42" s="165">
        <v>0.20407454935087765</v>
      </c>
      <c r="Z42" s="166">
        <v>0.03</v>
      </c>
      <c r="AA42" s="167">
        <v>9</v>
      </c>
    </row>
    <row r="43" spans="2:27" x14ac:dyDescent="0.25">
      <c r="B43" s="51" t="s">
        <v>3297</v>
      </c>
      <c r="C43" s="4" t="s">
        <v>4092</v>
      </c>
      <c r="D43" s="142" t="e">
        <v>#VALUE!</v>
      </c>
      <c r="E43" s="142" t="e">
        <v>#VALUE!</v>
      </c>
      <c r="F43" s="4" t="s">
        <v>592</v>
      </c>
      <c r="G43" s="143">
        <v>1840669.2679999999</v>
      </c>
      <c r="H43" s="4">
        <v>10</v>
      </c>
      <c r="I43" s="143">
        <v>21799079900</v>
      </c>
      <c r="J43" s="144">
        <v>7.4304431247777121</v>
      </c>
      <c r="K43" s="145">
        <v>1.3085872279533674E-2</v>
      </c>
      <c r="L43" s="146">
        <v>1</v>
      </c>
      <c r="M43" s="58">
        <v>1</v>
      </c>
      <c r="N43" s="58">
        <v>1</v>
      </c>
      <c r="O43" s="147">
        <v>1</v>
      </c>
      <c r="P43" s="148">
        <v>1E-4</v>
      </c>
      <c r="Q43" s="148">
        <v>1E-4</v>
      </c>
      <c r="R43" s="148">
        <v>1E-4</v>
      </c>
      <c r="S43" s="153">
        <v>0.05</v>
      </c>
      <c r="T43" s="154">
        <v>7.4999999999999997E-3</v>
      </c>
      <c r="U43" s="155">
        <v>3</v>
      </c>
      <c r="V43" s="159">
        <v>7.4999999999999997E-2</v>
      </c>
      <c r="W43" s="160">
        <v>1.4999999999999999E-2</v>
      </c>
      <c r="X43" s="161">
        <v>6</v>
      </c>
      <c r="Y43" s="165">
        <v>0.1</v>
      </c>
      <c r="Z43" s="166">
        <v>0.03</v>
      </c>
      <c r="AA43" s="167">
        <v>9</v>
      </c>
    </row>
    <row r="44" spans="2:27" x14ac:dyDescent="0.25">
      <c r="B44" s="51" t="s">
        <v>3060</v>
      </c>
      <c r="C44" s="4" t="s">
        <v>4093</v>
      </c>
      <c r="D44" s="142" t="e">
        <v>#VALUE!</v>
      </c>
      <c r="E44" s="142" t="e">
        <v>#VALUE!</v>
      </c>
      <c r="F44" s="4" t="s">
        <v>592</v>
      </c>
      <c r="G44" s="143">
        <v>3481336.7659999998</v>
      </c>
      <c r="H44" s="4">
        <v>10</v>
      </c>
      <c r="I44" s="143">
        <v>21799079900</v>
      </c>
      <c r="J44" s="144">
        <v>7.3735165605311837</v>
      </c>
      <c r="K44" s="145">
        <v>1.4918640249720885E-2</v>
      </c>
      <c r="L44" s="146">
        <v>1</v>
      </c>
      <c r="M44" s="58">
        <v>1</v>
      </c>
      <c r="N44" s="58">
        <v>1</v>
      </c>
      <c r="O44" s="147">
        <v>1</v>
      </c>
      <c r="P44" s="148">
        <v>1E-4</v>
      </c>
      <c r="Q44" s="148">
        <v>1E-4</v>
      </c>
      <c r="R44" s="148">
        <v>1E-4</v>
      </c>
      <c r="S44" s="153">
        <v>0.05</v>
      </c>
      <c r="T44" s="154">
        <v>7.4999999999999997E-3</v>
      </c>
      <c r="U44" s="155">
        <v>3</v>
      </c>
      <c r="V44" s="159">
        <v>7.4999999999999997E-2</v>
      </c>
      <c r="W44" s="160">
        <v>1.4999999999999999E-2</v>
      </c>
      <c r="X44" s="161">
        <v>6</v>
      </c>
      <c r="Y44" s="165">
        <v>0.11188980187290663</v>
      </c>
      <c r="Z44" s="166">
        <v>0.03</v>
      </c>
      <c r="AA44" s="167">
        <v>9</v>
      </c>
    </row>
    <row r="45" spans="2:27" x14ac:dyDescent="0.25">
      <c r="B45" s="51" t="s">
        <v>4094</v>
      </c>
      <c r="C45" s="4" t="s">
        <v>4095</v>
      </c>
      <c r="D45" s="142" t="e">
        <v>#VALUE!</v>
      </c>
      <c r="E45" s="142" t="e">
        <v>#VALUE!</v>
      </c>
      <c r="F45" s="4" t="s">
        <v>592</v>
      </c>
      <c r="G45" s="143">
        <v>31176726</v>
      </c>
      <c r="H45" s="4">
        <v>9</v>
      </c>
      <c r="I45" s="143">
        <v>9360997400</v>
      </c>
      <c r="J45" s="144">
        <v>6.7343036106961573</v>
      </c>
      <c r="K45" s="145">
        <v>2.8124265530481463E-2</v>
      </c>
      <c r="L45" s="146">
        <v>1</v>
      </c>
      <c r="M45" s="58">
        <v>1</v>
      </c>
      <c r="N45" s="58">
        <v>1</v>
      </c>
      <c r="O45" s="147">
        <v>1</v>
      </c>
      <c r="P45" s="148">
        <v>1E-4</v>
      </c>
      <c r="Q45" s="148">
        <v>1E-4</v>
      </c>
      <c r="R45" s="148">
        <v>1E-4</v>
      </c>
      <c r="S45" s="153">
        <v>7.0310663826203657E-2</v>
      </c>
      <c r="T45" s="154">
        <v>7.4999999999999997E-3</v>
      </c>
      <c r="U45" s="155">
        <v>3</v>
      </c>
      <c r="V45" s="159">
        <v>0.14062132765240731</v>
      </c>
      <c r="W45" s="160">
        <v>1.4999999999999999E-2</v>
      </c>
      <c r="X45" s="161">
        <v>6</v>
      </c>
      <c r="Y45" s="165">
        <v>0.21093199147861097</v>
      </c>
      <c r="Z45" s="166">
        <v>0.03</v>
      </c>
      <c r="AA45" s="167">
        <v>9</v>
      </c>
    </row>
    <row r="46" spans="2:27" x14ac:dyDescent="0.25">
      <c r="B46" s="51" t="s">
        <v>1297</v>
      </c>
      <c r="C46" s="4" t="s">
        <v>4096</v>
      </c>
      <c r="D46" s="142" t="e">
        <v>#VALUE!</v>
      </c>
      <c r="E46" s="142" t="e">
        <v>#VALUE!</v>
      </c>
      <c r="F46" s="4" t="s">
        <v>592</v>
      </c>
      <c r="G46" s="143">
        <v>50000000</v>
      </c>
      <c r="H46" s="4">
        <v>7</v>
      </c>
      <c r="I46" s="143">
        <v>5362412.5</v>
      </c>
      <c r="J46" s="144">
        <v>4.1455318228800335</v>
      </c>
      <c r="K46" s="145">
        <v>6.0887573418674668E-3</v>
      </c>
      <c r="L46" s="146">
        <v>1</v>
      </c>
      <c r="M46" s="58">
        <v>1</v>
      </c>
      <c r="N46" s="58">
        <v>1</v>
      </c>
      <c r="O46" s="147">
        <v>1</v>
      </c>
      <c r="P46" s="148">
        <v>3.1376707585171002E-3</v>
      </c>
      <c r="Q46" s="148">
        <v>2.2068101458675E-3</v>
      </c>
      <c r="R46" s="148">
        <v>1.4888897170209001E-3</v>
      </c>
      <c r="S46" s="153">
        <v>0.05</v>
      </c>
      <c r="T46" s="154">
        <v>7.4999999999999997E-3</v>
      </c>
      <c r="U46" s="155">
        <v>3</v>
      </c>
      <c r="V46" s="159">
        <v>7.4999999999999997E-2</v>
      </c>
      <c r="W46" s="160">
        <v>1.4999999999999999E-2</v>
      </c>
      <c r="X46" s="161">
        <v>6</v>
      </c>
      <c r="Y46" s="165">
        <v>0.1</v>
      </c>
      <c r="Z46" s="166">
        <v>0.03</v>
      </c>
      <c r="AA46" s="167">
        <v>9</v>
      </c>
    </row>
    <row r="47" spans="2:27" x14ac:dyDescent="0.25">
      <c r="B47" s="51" t="s">
        <v>1886</v>
      </c>
      <c r="C47" s="4" t="s">
        <v>4097</v>
      </c>
      <c r="D47" s="142" t="e">
        <v>#VALUE!</v>
      </c>
      <c r="E47" s="142" t="e">
        <v>#VALUE!</v>
      </c>
      <c r="F47" s="4" t="s">
        <v>592</v>
      </c>
      <c r="G47" s="143">
        <v>305978.68170000002</v>
      </c>
      <c r="H47" s="4">
        <v>10</v>
      </c>
      <c r="I47" s="143">
        <v>3127571200</v>
      </c>
      <c r="J47" s="144">
        <v>7.2307951650930029</v>
      </c>
      <c r="K47" s="145">
        <v>2.9181815719835479E-3</v>
      </c>
      <c r="L47" s="146">
        <v>1</v>
      </c>
      <c r="M47" s="58">
        <v>1</v>
      </c>
      <c r="N47" s="58">
        <v>1</v>
      </c>
      <c r="O47" s="147">
        <v>1</v>
      </c>
      <c r="P47" s="148">
        <v>1E-4</v>
      </c>
      <c r="Q47" s="148">
        <v>1E-4</v>
      </c>
      <c r="R47" s="148">
        <v>1E-4</v>
      </c>
      <c r="S47" s="153">
        <v>0.05</v>
      </c>
      <c r="T47" s="154">
        <v>7.4999999999999997E-3</v>
      </c>
      <c r="U47" s="155">
        <v>3</v>
      </c>
      <c r="V47" s="159">
        <v>7.4999999999999997E-2</v>
      </c>
      <c r="W47" s="160">
        <v>1.4999999999999999E-2</v>
      </c>
      <c r="X47" s="161">
        <v>6</v>
      </c>
      <c r="Y47" s="165">
        <v>0.1</v>
      </c>
      <c r="Z47" s="166">
        <v>0.03</v>
      </c>
      <c r="AA47" s="167">
        <v>9</v>
      </c>
    </row>
    <row r="48" spans="2:27" x14ac:dyDescent="0.25">
      <c r="B48" s="51" t="s">
        <v>508</v>
      </c>
      <c r="C48" s="4" t="s">
        <v>509</v>
      </c>
      <c r="D48" s="142" t="e">
        <v>#VALUE!</v>
      </c>
      <c r="E48" s="142" t="e">
        <v>#VALUE!</v>
      </c>
      <c r="F48" s="4" t="s">
        <v>592</v>
      </c>
      <c r="G48" s="143">
        <v>50000000</v>
      </c>
      <c r="H48" s="4">
        <v>9</v>
      </c>
      <c r="I48" s="143">
        <v>6061323800</v>
      </c>
      <c r="J48" s="144">
        <v>6.9473890170307522</v>
      </c>
      <c r="K48" s="145">
        <v>1.0861223192000325E-2</v>
      </c>
      <c r="L48" s="146">
        <v>1</v>
      </c>
      <c r="M48" s="58">
        <v>1</v>
      </c>
      <c r="N48" s="58">
        <v>1</v>
      </c>
      <c r="O48" s="147">
        <v>1</v>
      </c>
      <c r="P48" s="148">
        <v>1E-4</v>
      </c>
      <c r="Q48" s="148">
        <v>1E-4</v>
      </c>
      <c r="R48" s="148">
        <v>1E-4</v>
      </c>
      <c r="S48" s="153">
        <v>0.05</v>
      </c>
      <c r="T48" s="154">
        <v>7.4999999999999997E-3</v>
      </c>
      <c r="U48" s="155">
        <v>3</v>
      </c>
      <c r="V48" s="159">
        <v>7.4999999999999997E-2</v>
      </c>
      <c r="W48" s="160">
        <v>1.4999999999999999E-2</v>
      </c>
      <c r="X48" s="161">
        <v>6</v>
      </c>
      <c r="Y48" s="165">
        <v>0.1</v>
      </c>
      <c r="Z48" s="166">
        <v>0.03</v>
      </c>
      <c r="AA48" s="167">
        <v>9</v>
      </c>
    </row>
    <row r="49" spans="2:27" x14ac:dyDescent="0.25">
      <c r="B49" s="51" t="s">
        <v>155</v>
      </c>
      <c r="C49" s="4" t="s">
        <v>274</v>
      </c>
      <c r="D49" s="142" t="e">
        <v>#VALUE!</v>
      </c>
      <c r="E49" s="142" t="e">
        <v>#VALUE!</v>
      </c>
      <c r="F49" s="4" t="s">
        <v>592</v>
      </c>
      <c r="G49" s="143">
        <v>50000000</v>
      </c>
      <c r="H49" s="4">
        <v>9</v>
      </c>
      <c r="I49" s="143">
        <v>6061323800</v>
      </c>
      <c r="J49" s="144">
        <v>6.9685762118943408</v>
      </c>
      <c r="K49" s="145">
        <v>1.0344072205708481E-2</v>
      </c>
      <c r="L49" s="146">
        <v>1</v>
      </c>
      <c r="M49" s="58">
        <v>1</v>
      </c>
      <c r="N49" s="58">
        <v>1</v>
      </c>
      <c r="O49" s="147">
        <v>1</v>
      </c>
      <c r="P49" s="148">
        <v>1E-4</v>
      </c>
      <c r="Q49" s="148">
        <v>1E-4</v>
      </c>
      <c r="R49" s="148">
        <v>1E-4</v>
      </c>
      <c r="S49" s="153">
        <v>0.05</v>
      </c>
      <c r="T49" s="154">
        <v>7.4999999999999997E-3</v>
      </c>
      <c r="U49" s="155">
        <v>3</v>
      </c>
      <c r="V49" s="159">
        <v>7.4999999999999997E-2</v>
      </c>
      <c r="W49" s="160">
        <v>1.4999999999999999E-2</v>
      </c>
      <c r="X49" s="161">
        <v>6</v>
      </c>
      <c r="Y49" s="165">
        <v>0.1</v>
      </c>
      <c r="Z49" s="166">
        <v>0.03</v>
      </c>
      <c r="AA49" s="167">
        <v>9</v>
      </c>
    </row>
    <row r="50" spans="2:27" x14ac:dyDescent="0.25">
      <c r="B50" s="51" t="s">
        <v>989</v>
      </c>
      <c r="C50" s="4" t="s">
        <v>1042</v>
      </c>
      <c r="D50" s="142" t="e">
        <v>#VALUE!</v>
      </c>
      <c r="E50" s="142" t="e">
        <v>#VALUE!</v>
      </c>
      <c r="F50" s="4" t="s">
        <v>592</v>
      </c>
      <c r="G50" s="143">
        <v>50000000</v>
      </c>
      <c r="H50" s="4">
        <v>8</v>
      </c>
      <c r="I50" s="143">
        <v>220161152</v>
      </c>
      <c r="J50" s="144">
        <v>5.6934172404339307</v>
      </c>
      <c r="K50" s="145">
        <v>9.6204930877490952E-3</v>
      </c>
      <c r="L50" s="146">
        <v>1</v>
      </c>
      <c r="M50" s="58">
        <v>1</v>
      </c>
      <c r="N50" s="58">
        <v>1</v>
      </c>
      <c r="O50" s="147">
        <v>1</v>
      </c>
      <c r="P50" s="148">
        <v>1E-4</v>
      </c>
      <c r="Q50" s="148">
        <v>1E-4</v>
      </c>
      <c r="R50" s="148">
        <v>1E-4</v>
      </c>
      <c r="S50" s="153">
        <v>0.05</v>
      </c>
      <c r="T50" s="154">
        <v>7.4999999999999997E-3</v>
      </c>
      <c r="U50" s="155">
        <v>3</v>
      </c>
      <c r="V50" s="159">
        <v>7.4999999999999997E-2</v>
      </c>
      <c r="W50" s="160">
        <v>1.4999999999999999E-2</v>
      </c>
      <c r="X50" s="161">
        <v>6</v>
      </c>
      <c r="Y50" s="165">
        <v>0.1</v>
      </c>
      <c r="Z50" s="166">
        <v>0.03</v>
      </c>
      <c r="AA50" s="167">
        <v>9</v>
      </c>
    </row>
    <row r="51" spans="2:27" x14ac:dyDescent="0.25">
      <c r="B51" s="51" t="s">
        <v>263</v>
      </c>
      <c r="C51" s="4" t="s">
        <v>275</v>
      </c>
      <c r="D51" s="142" t="e">
        <v>#VALUE!</v>
      </c>
      <c r="E51" s="142" t="e">
        <v>#VALUE!</v>
      </c>
      <c r="F51" s="4" t="s">
        <v>592</v>
      </c>
      <c r="G51" s="143">
        <v>50000000</v>
      </c>
      <c r="H51" s="4">
        <v>9</v>
      </c>
      <c r="I51" s="143">
        <v>1924747780</v>
      </c>
      <c r="J51" s="144">
        <v>6.6387070880018451</v>
      </c>
      <c r="K51" s="145">
        <v>1.0059969313325314E-2</v>
      </c>
      <c r="L51" s="146">
        <v>1</v>
      </c>
      <c r="M51" s="58">
        <v>1</v>
      </c>
      <c r="N51" s="58">
        <v>1</v>
      </c>
      <c r="O51" s="147">
        <v>1</v>
      </c>
      <c r="P51" s="148">
        <v>1E-4</v>
      </c>
      <c r="Q51" s="148">
        <v>1E-4</v>
      </c>
      <c r="R51" s="148">
        <v>1E-4</v>
      </c>
      <c r="S51" s="153">
        <v>0.05</v>
      </c>
      <c r="T51" s="154">
        <v>7.4999999999999997E-3</v>
      </c>
      <c r="U51" s="155">
        <v>3</v>
      </c>
      <c r="V51" s="159">
        <v>7.4999999999999997E-2</v>
      </c>
      <c r="W51" s="160">
        <v>1.4999999999999999E-2</v>
      </c>
      <c r="X51" s="161">
        <v>6</v>
      </c>
      <c r="Y51" s="165">
        <v>0.1</v>
      </c>
      <c r="Z51" s="166">
        <v>0.03</v>
      </c>
      <c r="AA51" s="167">
        <v>9</v>
      </c>
    </row>
    <row r="52" spans="2:27" x14ac:dyDescent="0.25">
      <c r="B52" s="51" t="s">
        <v>270</v>
      </c>
      <c r="C52" s="4" t="s">
        <v>285</v>
      </c>
      <c r="D52" s="142" t="e">
        <v>#VALUE!</v>
      </c>
      <c r="E52" s="142" t="e">
        <v>#VALUE!</v>
      </c>
      <c r="F52" s="4" t="s">
        <v>592</v>
      </c>
      <c r="G52" s="143">
        <v>50000000</v>
      </c>
      <c r="H52" s="4">
        <v>9</v>
      </c>
      <c r="I52" s="143">
        <v>1924747780</v>
      </c>
      <c r="J52" s="144">
        <v>6.6892300516858603</v>
      </c>
      <c r="K52" s="145">
        <v>8.9551670638562068E-3</v>
      </c>
      <c r="L52" s="146">
        <v>1</v>
      </c>
      <c r="M52" s="58">
        <v>1</v>
      </c>
      <c r="N52" s="58">
        <v>1</v>
      </c>
      <c r="O52" s="147">
        <v>1</v>
      </c>
      <c r="P52" s="148">
        <v>1E-4</v>
      </c>
      <c r="Q52" s="148">
        <v>1E-4</v>
      </c>
      <c r="R52" s="148">
        <v>1E-4</v>
      </c>
      <c r="S52" s="153">
        <v>0.05</v>
      </c>
      <c r="T52" s="154">
        <v>7.4999999999999997E-3</v>
      </c>
      <c r="U52" s="155">
        <v>3</v>
      </c>
      <c r="V52" s="159">
        <v>7.4999999999999997E-2</v>
      </c>
      <c r="W52" s="160">
        <v>1.4999999999999999E-2</v>
      </c>
      <c r="X52" s="161">
        <v>6</v>
      </c>
      <c r="Y52" s="165">
        <v>0.1</v>
      </c>
      <c r="Z52" s="166">
        <v>0.03</v>
      </c>
      <c r="AA52" s="167">
        <v>9</v>
      </c>
    </row>
    <row r="53" spans="2:27" x14ac:dyDescent="0.25">
      <c r="B53" s="51" t="s">
        <v>269</v>
      </c>
      <c r="C53" s="4" t="s">
        <v>276</v>
      </c>
      <c r="D53" s="142" t="e">
        <v>#VALUE!</v>
      </c>
      <c r="E53" s="142" t="e">
        <v>#VALUE!</v>
      </c>
      <c r="F53" s="4" t="s">
        <v>592</v>
      </c>
      <c r="G53" s="143">
        <v>50000000</v>
      </c>
      <c r="H53" s="4">
        <v>10</v>
      </c>
      <c r="I53" s="143">
        <v>5715033100</v>
      </c>
      <c r="J53" s="144">
        <v>7.1572086452899786</v>
      </c>
      <c r="K53" s="145">
        <v>8.3404735765285568E-3</v>
      </c>
      <c r="L53" s="146">
        <v>1</v>
      </c>
      <c r="M53" s="58">
        <v>1</v>
      </c>
      <c r="N53" s="58">
        <v>1</v>
      </c>
      <c r="O53" s="147">
        <v>1</v>
      </c>
      <c r="P53" s="148">
        <v>1E-4</v>
      </c>
      <c r="Q53" s="148">
        <v>1E-4</v>
      </c>
      <c r="R53" s="148">
        <v>1E-4</v>
      </c>
      <c r="S53" s="153">
        <v>0.05</v>
      </c>
      <c r="T53" s="154">
        <v>7.4999999999999997E-3</v>
      </c>
      <c r="U53" s="155">
        <v>3</v>
      </c>
      <c r="V53" s="159">
        <v>7.4999999999999997E-2</v>
      </c>
      <c r="W53" s="160">
        <v>1.4999999999999999E-2</v>
      </c>
      <c r="X53" s="161">
        <v>6</v>
      </c>
      <c r="Y53" s="165">
        <v>0.1</v>
      </c>
      <c r="Z53" s="166">
        <v>0.03</v>
      </c>
      <c r="AA53" s="167">
        <v>9</v>
      </c>
    </row>
    <row r="54" spans="2:27" x14ac:dyDescent="0.25">
      <c r="B54" s="51" t="s">
        <v>689</v>
      </c>
      <c r="C54" s="4" t="s">
        <v>285</v>
      </c>
      <c r="D54" s="142" t="e">
        <v>#VALUE!</v>
      </c>
      <c r="E54" s="142" t="e">
        <v>#VALUE!</v>
      </c>
      <c r="F54" s="4" t="s">
        <v>592</v>
      </c>
      <c r="G54" s="143">
        <v>50000000</v>
      </c>
      <c r="H54" s="4">
        <v>8</v>
      </c>
      <c r="I54" s="143">
        <v>1924747780</v>
      </c>
      <c r="J54" s="144">
        <v>6.5840653159810749</v>
      </c>
      <c r="K54" s="145">
        <v>1.1408759573799226E-2</v>
      </c>
      <c r="L54" s="146">
        <v>1</v>
      </c>
      <c r="M54" s="58">
        <v>1</v>
      </c>
      <c r="N54" s="58">
        <v>1</v>
      </c>
      <c r="O54" s="147">
        <v>1</v>
      </c>
      <c r="P54" s="148">
        <v>1E-4</v>
      </c>
      <c r="Q54" s="148">
        <v>1E-4</v>
      </c>
      <c r="R54" s="148">
        <v>1E-4</v>
      </c>
      <c r="S54" s="153">
        <v>0.05</v>
      </c>
      <c r="T54" s="154">
        <v>7.4999999999999997E-3</v>
      </c>
      <c r="U54" s="155">
        <v>3</v>
      </c>
      <c r="V54" s="159">
        <v>7.4999999999999997E-2</v>
      </c>
      <c r="W54" s="160">
        <v>1.4999999999999999E-2</v>
      </c>
      <c r="X54" s="161">
        <v>6</v>
      </c>
      <c r="Y54" s="165">
        <v>0.1</v>
      </c>
      <c r="Z54" s="166">
        <v>0.03</v>
      </c>
      <c r="AA54" s="167">
        <v>9</v>
      </c>
    </row>
    <row r="55" spans="2:27" x14ac:dyDescent="0.25">
      <c r="B55" s="51" t="s">
        <v>1320</v>
      </c>
      <c r="C55" s="4" t="s">
        <v>4098</v>
      </c>
      <c r="D55" s="142" t="e">
        <v>#VALUE!</v>
      </c>
      <c r="E55" s="142" t="e">
        <v>#VALUE!</v>
      </c>
      <c r="F55" s="4" t="s">
        <v>592</v>
      </c>
      <c r="G55" s="143">
        <v>50000000</v>
      </c>
      <c r="H55" s="4">
        <v>8</v>
      </c>
      <c r="I55" s="143">
        <v>641230780</v>
      </c>
      <c r="J55" s="144">
        <v>6.535583748052864</v>
      </c>
      <c r="K55" s="145">
        <v>7.6785312039873883E-3</v>
      </c>
      <c r="L55" s="146">
        <v>1</v>
      </c>
      <c r="M55" s="58">
        <v>1</v>
      </c>
      <c r="N55" s="58">
        <v>1</v>
      </c>
      <c r="O55" s="147">
        <v>1</v>
      </c>
      <c r="P55" s="148">
        <v>1E-4</v>
      </c>
      <c r="Q55" s="148">
        <v>1E-4</v>
      </c>
      <c r="R55" s="148">
        <v>1E-4</v>
      </c>
      <c r="S55" s="153">
        <v>0.05</v>
      </c>
      <c r="T55" s="154">
        <v>7.4999999999999997E-3</v>
      </c>
      <c r="U55" s="155">
        <v>3</v>
      </c>
      <c r="V55" s="159">
        <v>7.4999999999999997E-2</v>
      </c>
      <c r="W55" s="160">
        <v>1.4999999999999999E-2</v>
      </c>
      <c r="X55" s="161">
        <v>6</v>
      </c>
      <c r="Y55" s="165">
        <v>0.1</v>
      </c>
      <c r="Z55" s="166">
        <v>0.03</v>
      </c>
      <c r="AA55" s="167">
        <v>9</v>
      </c>
    </row>
    <row r="56" spans="2:27" x14ac:dyDescent="0.25">
      <c r="B56" s="51" t="s">
        <v>1786</v>
      </c>
      <c r="C56" s="4" t="s">
        <v>4099</v>
      </c>
      <c r="D56" s="142" t="e">
        <v>#VALUE!</v>
      </c>
      <c r="E56" s="142" t="e">
        <v>#VALUE!</v>
      </c>
      <c r="F56" s="4" t="s">
        <v>592</v>
      </c>
      <c r="G56" s="143">
        <v>2332254.7200000002</v>
      </c>
      <c r="H56" s="4">
        <v>9</v>
      </c>
      <c r="I56" s="143">
        <v>6061323800</v>
      </c>
      <c r="J56" s="144">
        <v>6.9679537175488795</v>
      </c>
      <c r="K56" s="145">
        <v>1.0358909473230876E-2</v>
      </c>
      <c r="L56" s="146">
        <v>1</v>
      </c>
      <c r="M56" s="58">
        <v>1</v>
      </c>
      <c r="N56" s="58">
        <v>1</v>
      </c>
      <c r="O56" s="147">
        <v>1</v>
      </c>
      <c r="P56" s="148">
        <v>1E-4</v>
      </c>
      <c r="Q56" s="148">
        <v>1E-4</v>
      </c>
      <c r="R56" s="148">
        <v>1E-4</v>
      </c>
      <c r="S56" s="153">
        <v>0.05</v>
      </c>
      <c r="T56" s="154">
        <v>7.4999999999999997E-3</v>
      </c>
      <c r="U56" s="155">
        <v>3</v>
      </c>
      <c r="V56" s="159">
        <v>7.4999999999999997E-2</v>
      </c>
      <c r="W56" s="160">
        <v>1.4999999999999999E-2</v>
      </c>
      <c r="X56" s="161">
        <v>6</v>
      </c>
      <c r="Y56" s="165">
        <v>0.1</v>
      </c>
      <c r="Z56" s="166">
        <v>0.03</v>
      </c>
      <c r="AA56" s="167">
        <v>9</v>
      </c>
    </row>
    <row r="57" spans="2:27" x14ac:dyDescent="0.25">
      <c r="B57" s="51" t="s">
        <v>801</v>
      </c>
      <c r="C57" s="4" t="s">
        <v>802</v>
      </c>
      <c r="D57" s="142" t="e">
        <v>#VALUE!</v>
      </c>
      <c r="E57" s="142" t="e">
        <v>#VALUE!</v>
      </c>
      <c r="F57" s="4" t="s">
        <v>592</v>
      </c>
      <c r="G57" s="143">
        <v>50000000</v>
      </c>
      <c r="H57" s="4">
        <v>8</v>
      </c>
      <c r="I57" s="143">
        <v>1924747780</v>
      </c>
      <c r="J57" s="144">
        <v>6.5081396023983382</v>
      </c>
      <c r="K57" s="145">
        <v>1.3588269180724342E-2</v>
      </c>
      <c r="L57" s="146">
        <v>1</v>
      </c>
      <c r="M57" s="58">
        <v>1</v>
      </c>
      <c r="N57" s="58">
        <v>1</v>
      </c>
      <c r="O57" s="147">
        <v>1</v>
      </c>
      <c r="P57" s="148">
        <v>1E-4</v>
      </c>
      <c r="Q57" s="148">
        <v>1E-4</v>
      </c>
      <c r="R57" s="148">
        <v>1E-4</v>
      </c>
      <c r="S57" s="153">
        <v>0.05</v>
      </c>
      <c r="T57" s="154">
        <v>7.4999999999999997E-3</v>
      </c>
      <c r="U57" s="155">
        <v>3</v>
      </c>
      <c r="V57" s="159">
        <v>7.4999999999999997E-2</v>
      </c>
      <c r="W57" s="160">
        <v>1.4999999999999999E-2</v>
      </c>
      <c r="X57" s="161">
        <v>6</v>
      </c>
      <c r="Y57" s="165">
        <v>0.10191201885543257</v>
      </c>
      <c r="Z57" s="166">
        <v>0.03</v>
      </c>
      <c r="AA57" s="167">
        <v>9</v>
      </c>
    </row>
    <row r="58" spans="2:27" x14ac:dyDescent="0.25">
      <c r="B58" s="51" t="s">
        <v>156</v>
      </c>
      <c r="C58" s="4" t="s">
        <v>189</v>
      </c>
      <c r="D58" s="142" t="e">
        <v>#VALUE!</v>
      </c>
      <c r="E58" s="142" t="e">
        <v>#VALUE!</v>
      </c>
      <c r="F58" s="4" t="s">
        <v>592</v>
      </c>
      <c r="G58" s="143">
        <v>50000000</v>
      </c>
      <c r="H58" s="4">
        <v>10</v>
      </c>
      <c r="I58" s="143">
        <v>6061323800</v>
      </c>
      <c r="J58" s="144">
        <v>7.0636116436645517</v>
      </c>
      <c r="K58" s="145">
        <v>8.3110541448251727E-3</v>
      </c>
      <c r="L58" s="146">
        <v>1</v>
      </c>
      <c r="M58" s="58">
        <v>1</v>
      </c>
      <c r="N58" s="58">
        <v>1</v>
      </c>
      <c r="O58" s="147">
        <v>1</v>
      </c>
      <c r="P58" s="148">
        <v>1E-4</v>
      </c>
      <c r="Q58" s="148">
        <v>1E-4</v>
      </c>
      <c r="R58" s="148">
        <v>1E-4</v>
      </c>
      <c r="S58" s="153">
        <v>0.05</v>
      </c>
      <c r="T58" s="154">
        <v>7.4999999999999997E-3</v>
      </c>
      <c r="U58" s="155">
        <v>3</v>
      </c>
      <c r="V58" s="159">
        <v>7.4999999999999997E-2</v>
      </c>
      <c r="W58" s="160">
        <v>1.4999999999999999E-2</v>
      </c>
      <c r="X58" s="161">
        <v>6</v>
      </c>
      <c r="Y58" s="165">
        <v>0.1</v>
      </c>
      <c r="Z58" s="166">
        <v>0.03</v>
      </c>
      <c r="AA58" s="167">
        <v>9</v>
      </c>
    </row>
    <row r="59" spans="2:27" x14ac:dyDescent="0.25">
      <c r="B59" s="51" t="s">
        <v>157</v>
      </c>
      <c r="C59" s="4" t="s">
        <v>190</v>
      </c>
      <c r="D59" s="142" t="e">
        <v>#VALUE!</v>
      </c>
      <c r="E59" s="142" t="e">
        <v>#VALUE!</v>
      </c>
      <c r="F59" s="4" t="s">
        <v>592</v>
      </c>
      <c r="G59" s="143">
        <v>50000000</v>
      </c>
      <c r="H59" s="4">
        <v>9</v>
      </c>
      <c r="I59" s="143">
        <v>6061323800</v>
      </c>
      <c r="J59" s="144">
        <v>6.8730925458281096</v>
      </c>
      <c r="K59" s="145">
        <v>1.2887693812114142E-2</v>
      </c>
      <c r="L59" s="146">
        <v>1</v>
      </c>
      <c r="M59" s="58">
        <v>1</v>
      </c>
      <c r="N59" s="58">
        <v>1</v>
      </c>
      <c r="O59" s="147">
        <v>1</v>
      </c>
      <c r="P59" s="148">
        <v>1E-4</v>
      </c>
      <c r="Q59" s="148">
        <v>1E-4</v>
      </c>
      <c r="R59" s="148">
        <v>1E-4</v>
      </c>
      <c r="S59" s="153">
        <v>0.05</v>
      </c>
      <c r="T59" s="154">
        <v>7.4999999999999997E-3</v>
      </c>
      <c r="U59" s="155">
        <v>3</v>
      </c>
      <c r="V59" s="159">
        <v>7.4999999999999997E-2</v>
      </c>
      <c r="W59" s="160">
        <v>1.4999999999999999E-2</v>
      </c>
      <c r="X59" s="161">
        <v>6</v>
      </c>
      <c r="Y59" s="165">
        <v>0.1</v>
      </c>
      <c r="Z59" s="166">
        <v>0.03</v>
      </c>
      <c r="AA59" s="167">
        <v>9</v>
      </c>
    </row>
    <row r="60" spans="2:27" x14ac:dyDescent="0.25">
      <c r="B60" s="51" t="s">
        <v>816</v>
      </c>
      <c r="C60" s="4" t="s">
        <v>4100</v>
      </c>
      <c r="D60" s="142" t="e">
        <v>#VALUE!</v>
      </c>
      <c r="E60" s="142" t="e">
        <v>#VALUE!</v>
      </c>
      <c r="F60" s="4" t="s">
        <v>592</v>
      </c>
      <c r="G60" s="143">
        <v>50000000</v>
      </c>
      <c r="H60" s="4">
        <v>10</v>
      </c>
      <c r="I60" s="143">
        <v>3127571200</v>
      </c>
      <c r="J60" s="144">
        <v>7.2659168138590449</v>
      </c>
      <c r="K60" s="145">
        <v>2.6914769314182745E-3</v>
      </c>
      <c r="L60" s="146">
        <v>1</v>
      </c>
      <c r="M60" s="58">
        <v>1</v>
      </c>
      <c r="N60" s="58">
        <v>1</v>
      </c>
      <c r="O60" s="147">
        <v>1</v>
      </c>
      <c r="P60" s="148">
        <v>1E-4</v>
      </c>
      <c r="Q60" s="148">
        <v>1E-4</v>
      </c>
      <c r="R60" s="148">
        <v>1E-4</v>
      </c>
      <c r="S60" s="153">
        <v>0.05</v>
      </c>
      <c r="T60" s="154">
        <v>7.4999999999999997E-3</v>
      </c>
      <c r="U60" s="155">
        <v>3</v>
      </c>
      <c r="V60" s="159">
        <v>7.4999999999999997E-2</v>
      </c>
      <c r="W60" s="160">
        <v>1.4999999999999999E-2</v>
      </c>
      <c r="X60" s="161">
        <v>6</v>
      </c>
      <c r="Y60" s="165">
        <v>0.1</v>
      </c>
      <c r="Z60" s="166">
        <v>0.03</v>
      </c>
      <c r="AA60" s="167">
        <v>9</v>
      </c>
    </row>
    <row r="61" spans="2:27" x14ac:dyDescent="0.25">
      <c r="B61" s="51" t="s">
        <v>1331</v>
      </c>
      <c r="C61" s="4" t="s">
        <v>4101</v>
      </c>
      <c r="D61" s="142" t="e">
        <v>#VALUE!</v>
      </c>
      <c r="E61" s="142" t="e">
        <v>#VALUE!</v>
      </c>
      <c r="F61" s="4" t="s">
        <v>592</v>
      </c>
      <c r="G61" s="143">
        <v>50000000</v>
      </c>
      <c r="H61" s="4">
        <v>9</v>
      </c>
      <c r="I61" s="143">
        <v>1924747780</v>
      </c>
      <c r="J61" s="144">
        <v>6.6465823177999361</v>
      </c>
      <c r="K61" s="145">
        <v>9.8791920051936807E-3</v>
      </c>
      <c r="L61" s="146">
        <v>1</v>
      </c>
      <c r="M61" s="58">
        <v>1</v>
      </c>
      <c r="N61" s="58">
        <v>1</v>
      </c>
      <c r="O61" s="147">
        <v>1</v>
      </c>
      <c r="P61" s="148">
        <v>1E-4</v>
      </c>
      <c r="Q61" s="148">
        <v>1E-4</v>
      </c>
      <c r="R61" s="148">
        <v>1E-4</v>
      </c>
      <c r="S61" s="153">
        <v>0.05</v>
      </c>
      <c r="T61" s="154">
        <v>7.4999999999999997E-3</v>
      </c>
      <c r="U61" s="155">
        <v>3</v>
      </c>
      <c r="V61" s="159">
        <v>7.4999999999999997E-2</v>
      </c>
      <c r="W61" s="160">
        <v>1.4999999999999999E-2</v>
      </c>
      <c r="X61" s="161">
        <v>6</v>
      </c>
      <c r="Y61" s="165">
        <v>0.1</v>
      </c>
      <c r="Z61" s="166">
        <v>0.03</v>
      </c>
      <c r="AA61" s="167">
        <v>9</v>
      </c>
    </row>
    <row r="62" spans="2:27" x14ac:dyDescent="0.25">
      <c r="B62" s="51" t="s">
        <v>503</v>
      </c>
      <c r="C62" s="4" t="s">
        <v>504</v>
      </c>
      <c r="D62" s="142" t="e">
        <v>#VALUE!</v>
      </c>
      <c r="E62" s="142" t="e">
        <v>#VALUE!</v>
      </c>
      <c r="F62" s="4" t="s">
        <v>592</v>
      </c>
      <c r="G62" s="143">
        <v>50000000</v>
      </c>
      <c r="H62" s="4">
        <v>10</v>
      </c>
      <c r="I62" s="143">
        <v>5715033100</v>
      </c>
      <c r="J62" s="144">
        <v>7.1498192272811956</v>
      </c>
      <c r="K62" s="145">
        <v>8.4835989331772978E-3</v>
      </c>
      <c r="L62" s="146">
        <v>1</v>
      </c>
      <c r="M62" s="58">
        <v>1</v>
      </c>
      <c r="N62" s="58">
        <v>1</v>
      </c>
      <c r="O62" s="147">
        <v>1</v>
      </c>
      <c r="P62" s="148">
        <v>1E-4</v>
      </c>
      <c r="Q62" s="148">
        <v>1E-4</v>
      </c>
      <c r="R62" s="148">
        <v>1E-4</v>
      </c>
      <c r="S62" s="153">
        <v>0.05</v>
      </c>
      <c r="T62" s="154">
        <v>7.4999999999999997E-3</v>
      </c>
      <c r="U62" s="155">
        <v>3</v>
      </c>
      <c r="V62" s="159">
        <v>7.4999999999999997E-2</v>
      </c>
      <c r="W62" s="160">
        <v>1.4999999999999999E-2</v>
      </c>
      <c r="X62" s="161">
        <v>6</v>
      </c>
      <c r="Y62" s="165">
        <v>0.1</v>
      </c>
      <c r="Z62" s="166">
        <v>0.03</v>
      </c>
      <c r="AA62" s="167">
        <v>9</v>
      </c>
    </row>
    <row r="63" spans="2:27" x14ac:dyDescent="0.25">
      <c r="B63" s="51" t="s">
        <v>599</v>
      </c>
      <c r="C63" s="4" t="s">
        <v>600</v>
      </c>
      <c r="D63" s="142" t="e">
        <v>#VALUE!</v>
      </c>
      <c r="E63" s="142" t="e">
        <v>#VALUE!</v>
      </c>
      <c r="F63" s="4" t="s">
        <v>592</v>
      </c>
      <c r="G63" s="143">
        <v>50000000</v>
      </c>
      <c r="H63" s="4">
        <v>10</v>
      </c>
      <c r="I63" s="143">
        <v>5715033100</v>
      </c>
      <c r="J63" s="144">
        <v>7.1407236445500075</v>
      </c>
      <c r="K63" s="145">
        <v>8.6631475544000757E-3</v>
      </c>
      <c r="L63" s="146">
        <v>1</v>
      </c>
      <c r="M63" s="58">
        <v>1</v>
      </c>
      <c r="N63" s="58">
        <v>1</v>
      </c>
      <c r="O63" s="147">
        <v>1</v>
      </c>
      <c r="P63" s="148">
        <v>1E-4</v>
      </c>
      <c r="Q63" s="148">
        <v>1E-4</v>
      </c>
      <c r="R63" s="148">
        <v>1E-4</v>
      </c>
      <c r="S63" s="153">
        <v>0.05</v>
      </c>
      <c r="T63" s="154">
        <v>7.4999999999999997E-3</v>
      </c>
      <c r="U63" s="155">
        <v>3</v>
      </c>
      <c r="V63" s="159">
        <v>7.4999999999999997E-2</v>
      </c>
      <c r="W63" s="160">
        <v>1.4999999999999999E-2</v>
      </c>
      <c r="X63" s="161">
        <v>6</v>
      </c>
      <c r="Y63" s="165">
        <v>0.1</v>
      </c>
      <c r="Z63" s="166">
        <v>0.03</v>
      </c>
      <c r="AA63" s="167">
        <v>9</v>
      </c>
    </row>
    <row r="64" spans="2:27" x14ac:dyDescent="0.25">
      <c r="B64" s="51" t="s">
        <v>211</v>
      </c>
      <c r="C64" s="4" t="s">
        <v>212</v>
      </c>
      <c r="D64" s="142" t="e">
        <v>#VALUE!</v>
      </c>
      <c r="E64" s="142" t="e">
        <v>#VALUE!</v>
      </c>
      <c r="F64" s="4" t="s">
        <v>592</v>
      </c>
      <c r="G64" s="143">
        <v>50000000</v>
      </c>
      <c r="H64" s="4">
        <v>10</v>
      </c>
      <c r="I64" s="143">
        <v>5715033100</v>
      </c>
      <c r="J64" s="144">
        <v>7.1584163694881111</v>
      </c>
      <c r="K64" s="145">
        <v>8.3173118758261035E-3</v>
      </c>
      <c r="L64" s="146">
        <v>1</v>
      </c>
      <c r="M64" s="58">
        <v>1</v>
      </c>
      <c r="N64" s="58">
        <v>1</v>
      </c>
      <c r="O64" s="147">
        <v>1</v>
      </c>
      <c r="P64" s="148">
        <v>1E-4</v>
      </c>
      <c r="Q64" s="148">
        <v>1E-4</v>
      </c>
      <c r="R64" s="148">
        <v>1E-4</v>
      </c>
      <c r="S64" s="153">
        <v>0.05</v>
      </c>
      <c r="T64" s="154">
        <v>7.4999999999999997E-3</v>
      </c>
      <c r="U64" s="155">
        <v>3</v>
      </c>
      <c r="V64" s="159">
        <v>7.4999999999999997E-2</v>
      </c>
      <c r="W64" s="160">
        <v>1.4999999999999999E-2</v>
      </c>
      <c r="X64" s="161">
        <v>6</v>
      </c>
      <c r="Y64" s="165">
        <v>0.1</v>
      </c>
      <c r="Z64" s="166">
        <v>0.03</v>
      </c>
      <c r="AA64" s="167">
        <v>9</v>
      </c>
    </row>
    <row r="65" spans="2:27" x14ac:dyDescent="0.25">
      <c r="B65" s="51" t="s">
        <v>598</v>
      </c>
      <c r="C65" s="4" t="s">
        <v>601</v>
      </c>
      <c r="D65" s="142" t="e">
        <v>#VALUE!</v>
      </c>
      <c r="E65" s="142" t="e">
        <v>#VALUE!</v>
      </c>
      <c r="F65" s="4" t="s">
        <v>592</v>
      </c>
      <c r="G65" s="143">
        <v>50000000</v>
      </c>
      <c r="H65" s="4">
        <v>10</v>
      </c>
      <c r="I65" s="143">
        <v>21799079900</v>
      </c>
      <c r="J65" s="144">
        <v>7.515844833215958</v>
      </c>
      <c r="K65" s="145">
        <v>1.0749814467088311E-2</v>
      </c>
      <c r="L65" s="146">
        <v>1</v>
      </c>
      <c r="M65" s="58">
        <v>1</v>
      </c>
      <c r="N65" s="58">
        <v>1</v>
      </c>
      <c r="O65" s="147">
        <v>1</v>
      </c>
      <c r="P65" s="148">
        <v>1E-4</v>
      </c>
      <c r="Q65" s="148">
        <v>1E-4</v>
      </c>
      <c r="R65" s="148">
        <v>1E-4</v>
      </c>
      <c r="S65" s="153">
        <v>0.05</v>
      </c>
      <c r="T65" s="154">
        <v>7.4999999999999997E-3</v>
      </c>
      <c r="U65" s="155">
        <v>3</v>
      </c>
      <c r="V65" s="159">
        <v>7.4999999999999997E-2</v>
      </c>
      <c r="W65" s="160">
        <v>1.4999999999999999E-2</v>
      </c>
      <c r="X65" s="161">
        <v>6</v>
      </c>
      <c r="Y65" s="165">
        <v>0.1</v>
      </c>
      <c r="Z65" s="166">
        <v>0.03</v>
      </c>
      <c r="AA65" s="167">
        <v>9</v>
      </c>
    </row>
    <row r="66" spans="2:27" x14ac:dyDescent="0.25">
      <c r="B66" s="51" t="s">
        <v>409</v>
      </c>
      <c r="C66" s="4" t="s">
        <v>410</v>
      </c>
      <c r="D66" s="142" t="e">
        <v>#VALUE!</v>
      </c>
      <c r="E66" s="142" t="e">
        <v>#VALUE!</v>
      </c>
      <c r="F66" s="4" t="s">
        <v>592</v>
      </c>
      <c r="G66" s="143">
        <v>50000000</v>
      </c>
      <c r="H66" s="4">
        <v>10</v>
      </c>
      <c r="I66" s="143">
        <v>5715033100</v>
      </c>
      <c r="J66" s="144">
        <v>7.1524156344664478</v>
      </c>
      <c r="K66" s="145">
        <v>8.4330314820943147E-3</v>
      </c>
      <c r="L66" s="146">
        <v>1</v>
      </c>
      <c r="M66" s="58">
        <v>1</v>
      </c>
      <c r="N66" s="58">
        <v>1</v>
      </c>
      <c r="O66" s="147">
        <v>1</v>
      </c>
      <c r="P66" s="148">
        <v>1E-4</v>
      </c>
      <c r="Q66" s="148">
        <v>1E-4</v>
      </c>
      <c r="R66" s="148">
        <v>1E-4</v>
      </c>
      <c r="S66" s="153">
        <v>0.05</v>
      </c>
      <c r="T66" s="154">
        <v>7.4999999999999997E-3</v>
      </c>
      <c r="U66" s="155">
        <v>3</v>
      </c>
      <c r="V66" s="159">
        <v>7.4999999999999997E-2</v>
      </c>
      <c r="W66" s="160">
        <v>1.4999999999999999E-2</v>
      </c>
      <c r="X66" s="161">
        <v>6</v>
      </c>
      <c r="Y66" s="165">
        <v>0.1</v>
      </c>
      <c r="Z66" s="166">
        <v>0.03</v>
      </c>
      <c r="AA66" s="167">
        <v>9</v>
      </c>
    </row>
    <row r="67" spans="2:27" x14ac:dyDescent="0.25">
      <c r="B67" s="51" t="s">
        <v>651</v>
      </c>
      <c r="C67" s="4" t="s">
        <v>652</v>
      </c>
      <c r="D67" s="142" t="e">
        <v>#VALUE!</v>
      </c>
      <c r="E67" s="142" t="e">
        <v>#VALUE!</v>
      </c>
      <c r="F67" s="4" t="s">
        <v>592</v>
      </c>
      <c r="G67" s="143">
        <v>50000000</v>
      </c>
      <c r="H67" s="4">
        <v>8</v>
      </c>
      <c r="I67" s="143">
        <v>1924747780</v>
      </c>
      <c r="J67" s="144">
        <v>6.5742185916755762</v>
      </c>
      <c r="K67" s="145">
        <v>1.1670384163043586E-2</v>
      </c>
      <c r="L67" s="146">
        <v>1</v>
      </c>
      <c r="M67" s="58">
        <v>1</v>
      </c>
      <c r="N67" s="58">
        <v>1</v>
      </c>
      <c r="O67" s="147">
        <v>1</v>
      </c>
      <c r="P67" s="148">
        <v>1E-4</v>
      </c>
      <c r="Q67" s="148">
        <v>1E-4</v>
      </c>
      <c r="R67" s="148">
        <v>1E-4</v>
      </c>
      <c r="S67" s="153">
        <v>0.05</v>
      </c>
      <c r="T67" s="154">
        <v>7.4999999999999997E-3</v>
      </c>
      <c r="U67" s="155">
        <v>3</v>
      </c>
      <c r="V67" s="159">
        <v>7.4999999999999997E-2</v>
      </c>
      <c r="W67" s="160">
        <v>1.4999999999999999E-2</v>
      </c>
      <c r="X67" s="161">
        <v>6</v>
      </c>
      <c r="Y67" s="165">
        <v>0.1</v>
      </c>
      <c r="Z67" s="166">
        <v>0.03</v>
      </c>
      <c r="AA67" s="167">
        <v>9</v>
      </c>
    </row>
    <row r="68" spans="2:27" x14ac:dyDescent="0.25">
      <c r="B68" s="51" t="s">
        <v>391</v>
      </c>
      <c r="C68" s="4" t="s">
        <v>410</v>
      </c>
      <c r="D68" s="142" t="e">
        <v>#VALUE!</v>
      </c>
      <c r="E68" s="142" t="e">
        <v>#VALUE!</v>
      </c>
      <c r="F68" s="4" t="s">
        <v>592</v>
      </c>
      <c r="G68" s="143">
        <v>50000000</v>
      </c>
      <c r="H68" s="4">
        <v>10</v>
      </c>
      <c r="I68" s="143">
        <v>5715033100</v>
      </c>
      <c r="J68" s="144">
        <v>7.1584163694881111</v>
      </c>
      <c r="K68" s="145">
        <v>8.3173118758261035E-3</v>
      </c>
      <c r="L68" s="146">
        <v>1</v>
      </c>
      <c r="M68" s="58">
        <v>1</v>
      </c>
      <c r="N68" s="58">
        <v>1</v>
      </c>
      <c r="O68" s="147">
        <v>1</v>
      </c>
      <c r="P68" s="148">
        <v>1E-4</v>
      </c>
      <c r="Q68" s="148">
        <v>1E-4</v>
      </c>
      <c r="R68" s="148">
        <v>1E-4</v>
      </c>
      <c r="S68" s="153">
        <v>0.05</v>
      </c>
      <c r="T68" s="154">
        <v>7.4999999999999997E-3</v>
      </c>
      <c r="U68" s="155">
        <v>3</v>
      </c>
      <c r="V68" s="159">
        <v>7.4999999999999997E-2</v>
      </c>
      <c r="W68" s="160">
        <v>1.4999999999999999E-2</v>
      </c>
      <c r="X68" s="161">
        <v>6</v>
      </c>
      <c r="Y68" s="165">
        <v>0.1</v>
      </c>
      <c r="Z68" s="166">
        <v>0.03</v>
      </c>
      <c r="AA68" s="167">
        <v>9</v>
      </c>
    </row>
    <row r="69" spans="2:27" x14ac:dyDescent="0.25">
      <c r="B69" s="51" t="s">
        <v>390</v>
      </c>
      <c r="C69" s="4" t="s">
        <v>410</v>
      </c>
      <c r="D69" s="142" t="e">
        <v>#VALUE!</v>
      </c>
      <c r="E69" s="142" t="e">
        <v>#VALUE!</v>
      </c>
      <c r="F69" s="4" t="s">
        <v>592</v>
      </c>
      <c r="G69" s="143">
        <v>50000000</v>
      </c>
      <c r="H69" s="4">
        <v>10</v>
      </c>
      <c r="I69" s="143">
        <v>5715033100</v>
      </c>
      <c r="J69" s="144">
        <v>7.1584163694881111</v>
      </c>
      <c r="K69" s="145">
        <v>8.3173118758261035E-3</v>
      </c>
      <c r="L69" s="146">
        <v>1</v>
      </c>
      <c r="M69" s="58">
        <v>1</v>
      </c>
      <c r="N69" s="58">
        <v>1</v>
      </c>
      <c r="O69" s="147">
        <v>1</v>
      </c>
      <c r="P69" s="148">
        <v>1E-4</v>
      </c>
      <c r="Q69" s="148">
        <v>1E-4</v>
      </c>
      <c r="R69" s="148">
        <v>1E-4</v>
      </c>
      <c r="S69" s="153">
        <v>0.05</v>
      </c>
      <c r="T69" s="154">
        <v>7.4999999999999997E-3</v>
      </c>
      <c r="U69" s="155">
        <v>3</v>
      </c>
      <c r="V69" s="159">
        <v>7.4999999999999997E-2</v>
      </c>
      <c r="W69" s="160">
        <v>1.4999999999999999E-2</v>
      </c>
      <c r="X69" s="161">
        <v>6</v>
      </c>
      <c r="Y69" s="165">
        <v>0.1</v>
      </c>
      <c r="Z69" s="166">
        <v>0.03</v>
      </c>
      <c r="AA69" s="167">
        <v>9</v>
      </c>
    </row>
    <row r="70" spans="2:27" x14ac:dyDescent="0.25">
      <c r="B70" s="51" t="s">
        <v>395</v>
      </c>
      <c r="C70" s="4" t="s">
        <v>410</v>
      </c>
      <c r="D70" s="142" t="e">
        <v>#VALUE!</v>
      </c>
      <c r="E70" s="142" t="e">
        <v>#VALUE!</v>
      </c>
      <c r="F70" s="4" t="s">
        <v>592</v>
      </c>
      <c r="G70" s="143">
        <v>50000000</v>
      </c>
      <c r="H70" s="4">
        <v>10</v>
      </c>
      <c r="I70" s="143">
        <v>5715033100</v>
      </c>
      <c r="J70" s="144">
        <v>7.1584163694881111</v>
      </c>
      <c r="K70" s="145">
        <v>8.3173118758261035E-3</v>
      </c>
      <c r="L70" s="146">
        <v>1</v>
      </c>
      <c r="M70" s="58">
        <v>1</v>
      </c>
      <c r="N70" s="58">
        <v>1</v>
      </c>
      <c r="O70" s="147">
        <v>1</v>
      </c>
      <c r="P70" s="148">
        <v>1E-4</v>
      </c>
      <c r="Q70" s="148">
        <v>1E-4</v>
      </c>
      <c r="R70" s="148">
        <v>1E-4</v>
      </c>
      <c r="S70" s="153">
        <v>0.05</v>
      </c>
      <c r="T70" s="154">
        <v>7.4999999999999997E-3</v>
      </c>
      <c r="U70" s="155">
        <v>3</v>
      </c>
      <c r="V70" s="159">
        <v>7.4999999999999997E-2</v>
      </c>
      <c r="W70" s="160">
        <v>1.4999999999999999E-2</v>
      </c>
      <c r="X70" s="161">
        <v>6</v>
      </c>
      <c r="Y70" s="165">
        <v>0.1</v>
      </c>
      <c r="Z70" s="166">
        <v>0.03</v>
      </c>
      <c r="AA70" s="167">
        <v>9</v>
      </c>
    </row>
    <row r="71" spans="2:27" x14ac:dyDescent="0.25">
      <c r="B71" s="51" t="s">
        <v>394</v>
      </c>
      <c r="C71" s="4" t="s">
        <v>410</v>
      </c>
      <c r="D71" s="142" t="e">
        <v>#VALUE!</v>
      </c>
      <c r="E71" s="142" t="e">
        <v>#VALUE!</v>
      </c>
      <c r="F71" s="4" t="s">
        <v>592</v>
      </c>
      <c r="G71" s="143">
        <v>50000000</v>
      </c>
      <c r="H71" s="4">
        <v>10</v>
      </c>
      <c r="I71" s="143">
        <v>5715033100</v>
      </c>
      <c r="J71" s="144">
        <v>7.111496989476608</v>
      </c>
      <c r="K71" s="145">
        <v>9.266214869656543E-3</v>
      </c>
      <c r="L71" s="146">
        <v>1</v>
      </c>
      <c r="M71" s="58">
        <v>1</v>
      </c>
      <c r="N71" s="58">
        <v>1</v>
      </c>
      <c r="O71" s="147">
        <v>1</v>
      </c>
      <c r="P71" s="148">
        <v>1E-4</v>
      </c>
      <c r="Q71" s="148">
        <v>1E-4</v>
      </c>
      <c r="R71" s="148">
        <v>1E-4</v>
      </c>
      <c r="S71" s="153">
        <v>0.05</v>
      </c>
      <c r="T71" s="154">
        <v>7.4999999999999997E-3</v>
      </c>
      <c r="U71" s="155">
        <v>3</v>
      </c>
      <c r="V71" s="159">
        <v>7.4999999999999997E-2</v>
      </c>
      <c r="W71" s="160">
        <v>1.4999999999999999E-2</v>
      </c>
      <c r="X71" s="161">
        <v>6</v>
      </c>
      <c r="Y71" s="165">
        <v>0.1</v>
      </c>
      <c r="Z71" s="166">
        <v>0.03</v>
      </c>
      <c r="AA71" s="167">
        <v>9</v>
      </c>
    </row>
    <row r="72" spans="2:27" x14ac:dyDescent="0.25">
      <c r="B72" s="51" t="s">
        <v>392</v>
      </c>
      <c r="C72" s="4" t="s">
        <v>410</v>
      </c>
      <c r="D72" s="142" t="e">
        <v>#VALUE!</v>
      </c>
      <c r="E72" s="142" t="e">
        <v>#VALUE!</v>
      </c>
      <c r="F72" s="4" t="s">
        <v>592</v>
      </c>
      <c r="G72" s="143">
        <v>50000000</v>
      </c>
      <c r="H72" s="4">
        <v>10</v>
      </c>
      <c r="I72" s="143">
        <v>5715033100</v>
      </c>
      <c r="J72" s="144">
        <v>7.1584163694881111</v>
      </c>
      <c r="K72" s="145">
        <v>8.3173118758261035E-3</v>
      </c>
      <c r="L72" s="146">
        <v>1</v>
      </c>
      <c r="M72" s="58">
        <v>1</v>
      </c>
      <c r="N72" s="58">
        <v>1</v>
      </c>
      <c r="O72" s="147">
        <v>1</v>
      </c>
      <c r="P72" s="148">
        <v>1E-4</v>
      </c>
      <c r="Q72" s="148">
        <v>1E-4</v>
      </c>
      <c r="R72" s="148">
        <v>1E-4</v>
      </c>
      <c r="S72" s="153">
        <v>0.05</v>
      </c>
      <c r="T72" s="154">
        <v>7.4999999999999997E-3</v>
      </c>
      <c r="U72" s="155">
        <v>3</v>
      </c>
      <c r="V72" s="159">
        <v>7.4999999999999997E-2</v>
      </c>
      <c r="W72" s="160">
        <v>1.4999999999999999E-2</v>
      </c>
      <c r="X72" s="161">
        <v>6</v>
      </c>
      <c r="Y72" s="165">
        <v>0.1</v>
      </c>
      <c r="Z72" s="166">
        <v>0.03</v>
      </c>
      <c r="AA72" s="167">
        <v>9</v>
      </c>
    </row>
    <row r="73" spans="2:27" x14ac:dyDescent="0.25">
      <c r="B73" s="51" t="s">
        <v>511</v>
      </c>
      <c r="C73" s="4" t="s">
        <v>512</v>
      </c>
      <c r="D73" s="142" t="e">
        <v>#VALUE!</v>
      </c>
      <c r="E73" s="142" t="e">
        <v>#VALUE!</v>
      </c>
      <c r="F73" s="4" t="s">
        <v>592</v>
      </c>
      <c r="G73" s="143">
        <v>50000000</v>
      </c>
      <c r="H73" s="4">
        <v>10</v>
      </c>
      <c r="I73" s="143">
        <v>6061323800</v>
      </c>
      <c r="J73" s="144">
        <v>7.0642566618482645</v>
      </c>
      <c r="K73" s="145">
        <v>8.2987196522129915E-3</v>
      </c>
      <c r="L73" s="146">
        <v>1</v>
      </c>
      <c r="M73" s="58">
        <v>1</v>
      </c>
      <c r="N73" s="58">
        <v>1</v>
      </c>
      <c r="O73" s="147">
        <v>1</v>
      </c>
      <c r="P73" s="148">
        <v>1E-4</v>
      </c>
      <c r="Q73" s="148">
        <v>1E-4</v>
      </c>
      <c r="R73" s="148">
        <v>1E-4</v>
      </c>
      <c r="S73" s="153">
        <v>0.05</v>
      </c>
      <c r="T73" s="154">
        <v>7.4999999999999997E-3</v>
      </c>
      <c r="U73" s="155">
        <v>3</v>
      </c>
      <c r="V73" s="159">
        <v>7.4999999999999997E-2</v>
      </c>
      <c r="W73" s="160">
        <v>1.4999999999999999E-2</v>
      </c>
      <c r="X73" s="161">
        <v>6</v>
      </c>
      <c r="Y73" s="165">
        <v>0.1</v>
      </c>
      <c r="Z73" s="166">
        <v>0.03</v>
      </c>
      <c r="AA73" s="167">
        <v>9</v>
      </c>
    </row>
    <row r="74" spans="2:27" x14ac:dyDescent="0.25">
      <c r="B74" s="51" t="s">
        <v>563</v>
      </c>
      <c r="C74" s="4" t="s">
        <v>573</v>
      </c>
      <c r="D74" s="142" t="e">
        <v>#VALUE!</v>
      </c>
      <c r="E74" s="142" t="e">
        <v>#VALUE!</v>
      </c>
      <c r="F74" s="4" t="s">
        <v>592</v>
      </c>
      <c r="G74" s="143">
        <v>50000000</v>
      </c>
      <c r="H74" s="4">
        <v>8</v>
      </c>
      <c r="I74" s="143">
        <v>641230780</v>
      </c>
      <c r="J74" s="144">
        <v>6.535583748052864</v>
      </c>
      <c r="K74" s="145">
        <v>7.6785312039873883E-3</v>
      </c>
      <c r="L74" s="146">
        <v>1</v>
      </c>
      <c r="M74" s="58">
        <v>1</v>
      </c>
      <c r="N74" s="58">
        <v>1</v>
      </c>
      <c r="O74" s="147">
        <v>1</v>
      </c>
      <c r="P74" s="148">
        <v>1E-4</v>
      </c>
      <c r="Q74" s="148">
        <v>1E-4</v>
      </c>
      <c r="R74" s="148">
        <v>1E-4</v>
      </c>
      <c r="S74" s="153">
        <v>0.05</v>
      </c>
      <c r="T74" s="154">
        <v>7.4999999999999997E-3</v>
      </c>
      <c r="U74" s="155">
        <v>3</v>
      </c>
      <c r="V74" s="159">
        <v>7.4999999999999997E-2</v>
      </c>
      <c r="W74" s="160">
        <v>1.4999999999999999E-2</v>
      </c>
      <c r="X74" s="161">
        <v>6</v>
      </c>
      <c r="Y74" s="165">
        <v>0.1</v>
      </c>
      <c r="Z74" s="166">
        <v>0.03</v>
      </c>
      <c r="AA74" s="167">
        <v>9</v>
      </c>
    </row>
    <row r="75" spans="2:27" x14ac:dyDescent="0.25">
      <c r="B75" s="51" t="s">
        <v>510</v>
      </c>
      <c r="C75" s="4" t="s">
        <v>512</v>
      </c>
      <c r="D75" s="142" t="e">
        <v>#VALUE!</v>
      </c>
      <c r="E75" s="142" t="e">
        <v>#VALUE!</v>
      </c>
      <c r="F75" s="4" t="s">
        <v>592</v>
      </c>
      <c r="G75" s="143">
        <v>50000000</v>
      </c>
      <c r="H75" s="4">
        <v>10</v>
      </c>
      <c r="I75" s="143">
        <v>6061323800</v>
      </c>
      <c r="J75" s="144">
        <v>7.0507685527406849</v>
      </c>
      <c r="K75" s="145">
        <v>8.5605013990852283E-3</v>
      </c>
      <c r="L75" s="146">
        <v>1</v>
      </c>
      <c r="M75" s="58">
        <v>1</v>
      </c>
      <c r="N75" s="58">
        <v>1</v>
      </c>
      <c r="O75" s="147">
        <v>1</v>
      </c>
      <c r="P75" s="148">
        <v>1E-4</v>
      </c>
      <c r="Q75" s="148">
        <v>1E-4</v>
      </c>
      <c r="R75" s="148">
        <v>1E-4</v>
      </c>
      <c r="S75" s="153">
        <v>0.05</v>
      </c>
      <c r="T75" s="154">
        <v>7.4999999999999997E-3</v>
      </c>
      <c r="U75" s="155">
        <v>3</v>
      </c>
      <c r="V75" s="159">
        <v>7.4999999999999997E-2</v>
      </c>
      <c r="W75" s="160">
        <v>1.4999999999999999E-2</v>
      </c>
      <c r="X75" s="161">
        <v>6</v>
      </c>
      <c r="Y75" s="165">
        <v>0.1</v>
      </c>
      <c r="Z75" s="166">
        <v>0.03</v>
      </c>
      <c r="AA75" s="167">
        <v>9</v>
      </c>
    </row>
    <row r="76" spans="2:27" x14ac:dyDescent="0.25">
      <c r="B76" s="51" t="s">
        <v>564</v>
      </c>
      <c r="C76" s="4" t="s">
        <v>573</v>
      </c>
      <c r="D76" s="142" t="e">
        <v>#VALUE!</v>
      </c>
      <c r="E76" s="142" t="e">
        <v>#VALUE!</v>
      </c>
      <c r="F76" s="4" t="s">
        <v>592</v>
      </c>
      <c r="G76" s="143">
        <v>50000000</v>
      </c>
      <c r="H76" s="4">
        <v>8</v>
      </c>
      <c r="I76" s="143">
        <v>641230780</v>
      </c>
      <c r="J76" s="144">
        <v>6.535583748052864</v>
      </c>
      <c r="K76" s="145">
        <v>7.6785312039873883E-3</v>
      </c>
      <c r="L76" s="146">
        <v>1</v>
      </c>
      <c r="M76" s="58">
        <v>1</v>
      </c>
      <c r="N76" s="58">
        <v>1</v>
      </c>
      <c r="O76" s="147">
        <v>1</v>
      </c>
      <c r="P76" s="148">
        <v>1E-4</v>
      </c>
      <c r="Q76" s="148">
        <v>1E-4</v>
      </c>
      <c r="R76" s="148">
        <v>1E-4</v>
      </c>
      <c r="S76" s="153">
        <v>0.05</v>
      </c>
      <c r="T76" s="154">
        <v>7.4999999999999997E-3</v>
      </c>
      <c r="U76" s="155">
        <v>3</v>
      </c>
      <c r="V76" s="159">
        <v>7.4999999999999997E-2</v>
      </c>
      <c r="W76" s="160">
        <v>1.4999999999999999E-2</v>
      </c>
      <c r="X76" s="161">
        <v>6</v>
      </c>
      <c r="Y76" s="165">
        <v>0.1</v>
      </c>
      <c r="Z76" s="166">
        <v>0.03</v>
      </c>
      <c r="AA76" s="167">
        <v>9</v>
      </c>
    </row>
    <row r="77" spans="2:27" x14ac:dyDescent="0.25">
      <c r="B77" s="51" t="s">
        <v>549</v>
      </c>
      <c r="C77" s="4" t="s">
        <v>558</v>
      </c>
      <c r="D77" s="142" t="e">
        <v>#VALUE!</v>
      </c>
      <c r="E77" s="142" t="e">
        <v>#VALUE!</v>
      </c>
      <c r="F77" s="4" t="s">
        <v>592</v>
      </c>
      <c r="G77" s="143">
        <v>50000000</v>
      </c>
      <c r="H77" s="4">
        <v>10</v>
      </c>
      <c r="I77" s="143">
        <v>6061323800</v>
      </c>
      <c r="J77" s="144">
        <v>7.0379230298685362</v>
      </c>
      <c r="K77" s="145">
        <v>8.8174849172097704E-3</v>
      </c>
      <c r="L77" s="146">
        <v>1</v>
      </c>
      <c r="M77" s="58">
        <v>1</v>
      </c>
      <c r="N77" s="58">
        <v>1</v>
      </c>
      <c r="O77" s="147">
        <v>1</v>
      </c>
      <c r="P77" s="148">
        <v>1E-4</v>
      </c>
      <c r="Q77" s="148">
        <v>1E-4</v>
      </c>
      <c r="R77" s="148">
        <v>1E-4</v>
      </c>
      <c r="S77" s="153">
        <v>0.05</v>
      </c>
      <c r="T77" s="154">
        <v>7.4999999999999997E-3</v>
      </c>
      <c r="U77" s="155">
        <v>3</v>
      </c>
      <c r="V77" s="159">
        <v>7.4999999999999997E-2</v>
      </c>
      <c r="W77" s="160">
        <v>1.4999999999999999E-2</v>
      </c>
      <c r="X77" s="161">
        <v>6</v>
      </c>
      <c r="Y77" s="165">
        <v>0.1</v>
      </c>
      <c r="Z77" s="166">
        <v>0.03</v>
      </c>
      <c r="AA77" s="167">
        <v>9</v>
      </c>
    </row>
    <row r="78" spans="2:27" x14ac:dyDescent="0.25">
      <c r="B78" s="51" t="s">
        <v>550</v>
      </c>
      <c r="C78" s="4" t="s">
        <v>558</v>
      </c>
      <c r="D78" s="142" t="e">
        <v>#VALUE!</v>
      </c>
      <c r="E78" s="142" t="e">
        <v>#VALUE!</v>
      </c>
      <c r="F78" s="4" t="s">
        <v>592</v>
      </c>
      <c r="G78" s="143">
        <v>50000000</v>
      </c>
      <c r="H78" s="4">
        <v>10</v>
      </c>
      <c r="I78" s="143">
        <v>6061323800</v>
      </c>
      <c r="J78" s="144">
        <v>7.0329000591875639</v>
      </c>
      <c r="K78" s="145">
        <v>8.920058367278591E-3</v>
      </c>
      <c r="L78" s="146">
        <v>1</v>
      </c>
      <c r="M78" s="58">
        <v>1</v>
      </c>
      <c r="N78" s="58">
        <v>1</v>
      </c>
      <c r="O78" s="147">
        <v>1</v>
      </c>
      <c r="P78" s="148">
        <v>1E-4</v>
      </c>
      <c r="Q78" s="148">
        <v>1E-4</v>
      </c>
      <c r="R78" s="148">
        <v>1E-4</v>
      </c>
      <c r="S78" s="153">
        <v>0.05</v>
      </c>
      <c r="T78" s="154">
        <v>7.4999999999999997E-3</v>
      </c>
      <c r="U78" s="155">
        <v>3</v>
      </c>
      <c r="V78" s="159">
        <v>7.4999999999999997E-2</v>
      </c>
      <c r="W78" s="160">
        <v>1.4999999999999999E-2</v>
      </c>
      <c r="X78" s="161">
        <v>6</v>
      </c>
      <c r="Y78" s="165">
        <v>0.1</v>
      </c>
      <c r="Z78" s="166">
        <v>0.03</v>
      </c>
      <c r="AA78" s="167">
        <v>9</v>
      </c>
    </row>
    <row r="79" spans="2:27" x14ac:dyDescent="0.25">
      <c r="B79" s="51" t="s">
        <v>690</v>
      </c>
      <c r="C79" s="4" t="s">
        <v>560</v>
      </c>
      <c r="D79" s="142" t="e">
        <v>#VALUE!</v>
      </c>
      <c r="E79" s="142" t="e">
        <v>#VALUE!</v>
      </c>
      <c r="F79" s="4" t="s">
        <v>592</v>
      </c>
      <c r="G79" s="143">
        <v>50000000</v>
      </c>
      <c r="H79" s="4">
        <v>9</v>
      </c>
      <c r="I79" s="143">
        <v>6061323800</v>
      </c>
      <c r="J79" s="144">
        <v>6.9338854986355996</v>
      </c>
      <c r="K79" s="145">
        <v>1.1204236224330578E-2</v>
      </c>
      <c r="L79" s="146">
        <v>1</v>
      </c>
      <c r="M79" s="58">
        <v>1</v>
      </c>
      <c r="N79" s="58">
        <v>1</v>
      </c>
      <c r="O79" s="147">
        <v>1</v>
      </c>
      <c r="P79" s="148">
        <v>1E-4</v>
      </c>
      <c r="Q79" s="148">
        <v>1E-4</v>
      </c>
      <c r="R79" s="148">
        <v>1E-4</v>
      </c>
      <c r="S79" s="153">
        <v>0.05</v>
      </c>
      <c r="T79" s="154">
        <v>7.4999999999999997E-3</v>
      </c>
      <c r="U79" s="155">
        <v>3</v>
      </c>
      <c r="V79" s="159">
        <v>7.4999999999999997E-2</v>
      </c>
      <c r="W79" s="160">
        <v>1.4999999999999999E-2</v>
      </c>
      <c r="X79" s="161">
        <v>6</v>
      </c>
      <c r="Y79" s="165">
        <v>0.1</v>
      </c>
      <c r="Z79" s="166">
        <v>0.03</v>
      </c>
      <c r="AA79" s="167">
        <v>9</v>
      </c>
    </row>
    <row r="80" spans="2:27" x14ac:dyDescent="0.25">
      <c r="B80" s="51" t="s">
        <v>790</v>
      </c>
      <c r="C80" s="4" t="s">
        <v>536</v>
      </c>
      <c r="D80" s="142" t="e">
        <v>#VALUE!</v>
      </c>
      <c r="E80" s="142" t="e">
        <v>#VALUE!</v>
      </c>
      <c r="F80" s="4" t="s">
        <v>592</v>
      </c>
      <c r="G80" s="143">
        <v>50000000</v>
      </c>
      <c r="H80" s="4">
        <v>10</v>
      </c>
      <c r="I80" s="143">
        <v>6061323800</v>
      </c>
      <c r="J80" s="144">
        <v>6.9734244888689956</v>
      </c>
      <c r="K80" s="145">
        <v>1.0229237603253819E-2</v>
      </c>
      <c r="L80" s="146">
        <v>1</v>
      </c>
      <c r="M80" s="58">
        <v>1</v>
      </c>
      <c r="N80" s="58">
        <v>1</v>
      </c>
      <c r="O80" s="147">
        <v>1</v>
      </c>
      <c r="P80" s="148">
        <v>1E-4</v>
      </c>
      <c r="Q80" s="148">
        <v>1E-4</v>
      </c>
      <c r="R80" s="148">
        <v>1E-4</v>
      </c>
      <c r="S80" s="153">
        <v>0.05</v>
      </c>
      <c r="T80" s="154">
        <v>7.4999999999999997E-3</v>
      </c>
      <c r="U80" s="155">
        <v>3</v>
      </c>
      <c r="V80" s="159">
        <v>7.4999999999999997E-2</v>
      </c>
      <c r="W80" s="160">
        <v>1.4999999999999999E-2</v>
      </c>
      <c r="X80" s="161">
        <v>6</v>
      </c>
      <c r="Y80" s="165">
        <v>0.1</v>
      </c>
      <c r="Z80" s="166">
        <v>0.03</v>
      </c>
      <c r="AA80" s="167">
        <v>9</v>
      </c>
    </row>
    <row r="81" spans="2:27" x14ac:dyDescent="0.25">
      <c r="B81" s="51" t="s">
        <v>551</v>
      </c>
      <c r="C81" s="4" t="s">
        <v>559</v>
      </c>
      <c r="D81" s="142" t="e">
        <v>#VALUE!</v>
      </c>
      <c r="E81" s="142" t="e">
        <v>#VALUE!</v>
      </c>
      <c r="F81" s="4" t="s">
        <v>592</v>
      </c>
      <c r="G81" s="143">
        <v>50000000</v>
      </c>
      <c r="H81" s="4">
        <v>10</v>
      </c>
      <c r="I81" s="143">
        <v>6061323800</v>
      </c>
      <c r="J81" s="144">
        <v>7.0642566618482645</v>
      </c>
      <c r="K81" s="145">
        <v>8.2987196522129915E-3</v>
      </c>
      <c r="L81" s="146">
        <v>1</v>
      </c>
      <c r="M81" s="58">
        <v>1</v>
      </c>
      <c r="N81" s="58">
        <v>1</v>
      </c>
      <c r="O81" s="147">
        <v>1</v>
      </c>
      <c r="P81" s="148">
        <v>1E-4</v>
      </c>
      <c r="Q81" s="148">
        <v>1E-4</v>
      </c>
      <c r="R81" s="148">
        <v>1E-4</v>
      </c>
      <c r="S81" s="153">
        <v>0.05</v>
      </c>
      <c r="T81" s="154">
        <v>7.4999999999999997E-3</v>
      </c>
      <c r="U81" s="155">
        <v>3</v>
      </c>
      <c r="V81" s="159">
        <v>7.4999999999999997E-2</v>
      </c>
      <c r="W81" s="160">
        <v>1.4999999999999999E-2</v>
      </c>
      <c r="X81" s="161">
        <v>6</v>
      </c>
      <c r="Y81" s="165">
        <v>0.1</v>
      </c>
      <c r="Z81" s="166">
        <v>0.03</v>
      </c>
      <c r="AA81" s="167">
        <v>9</v>
      </c>
    </row>
    <row r="82" spans="2:27" x14ac:dyDescent="0.25">
      <c r="B82" s="51" t="s">
        <v>552</v>
      </c>
      <c r="C82" s="4" t="s">
        <v>559</v>
      </c>
      <c r="D82" s="142" t="e">
        <v>#VALUE!</v>
      </c>
      <c r="E82" s="142" t="e">
        <v>#VALUE!</v>
      </c>
      <c r="F82" s="4" t="s">
        <v>592</v>
      </c>
      <c r="G82" s="143">
        <v>50000000</v>
      </c>
      <c r="H82" s="4">
        <v>10</v>
      </c>
      <c r="I82" s="143">
        <v>6061323800</v>
      </c>
      <c r="J82" s="144">
        <v>7.0462595718284957</v>
      </c>
      <c r="K82" s="145">
        <v>8.6498421768867843E-3</v>
      </c>
      <c r="L82" s="146">
        <v>1</v>
      </c>
      <c r="M82" s="58">
        <v>1</v>
      </c>
      <c r="N82" s="58">
        <v>1</v>
      </c>
      <c r="O82" s="147">
        <v>1</v>
      </c>
      <c r="P82" s="148">
        <v>1E-4</v>
      </c>
      <c r="Q82" s="148">
        <v>1E-4</v>
      </c>
      <c r="R82" s="148">
        <v>1E-4</v>
      </c>
      <c r="S82" s="153">
        <v>0.05</v>
      </c>
      <c r="T82" s="154">
        <v>7.4999999999999997E-3</v>
      </c>
      <c r="U82" s="155">
        <v>3</v>
      </c>
      <c r="V82" s="159">
        <v>7.4999999999999997E-2</v>
      </c>
      <c r="W82" s="160">
        <v>1.4999999999999999E-2</v>
      </c>
      <c r="X82" s="161">
        <v>6</v>
      </c>
      <c r="Y82" s="165">
        <v>0.1</v>
      </c>
      <c r="Z82" s="166">
        <v>0.03</v>
      </c>
      <c r="AA82" s="167">
        <v>9</v>
      </c>
    </row>
    <row r="83" spans="2:27" x14ac:dyDescent="0.25">
      <c r="B83" s="51" t="s">
        <v>553</v>
      </c>
      <c r="C83" s="4" t="s">
        <v>560</v>
      </c>
      <c r="D83" s="142" t="e">
        <v>#VALUE!</v>
      </c>
      <c r="E83" s="142" t="e">
        <v>#VALUE!</v>
      </c>
      <c r="F83" s="4" t="s">
        <v>592</v>
      </c>
      <c r="G83" s="143">
        <v>50000000</v>
      </c>
      <c r="H83" s="4">
        <v>10</v>
      </c>
      <c r="I83" s="143">
        <v>6061323800</v>
      </c>
      <c r="J83" s="144">
        <v>7.0336429454693379</v>
      </c>
      <c r="K83" s="145">
        <v>8.9048131249040256E-3</v>
      </c>
      <c r="L83" s="146">
        <v>1</v>
      </c>
      <c r="M83" s="58">
        <v>1</v>
      </c>
      <c r="N83" s="58">
        <v>1</v>
      </c>
      <c r="O83" s="147">
        <v>1</v>
      </c>
      <c r="P83" s="148">
        <v>1E-4</v>
      </c>
      <c r="Q83" s="148">
        <v>1E-4</v>
      </c>
      <c r="R83" s="148">
        <v>1E-4</v>
      </c>
      <c r="S83" s="153">
        <v>0.05</v>
      </c>
      <c r="T83" s="154">
        <v>7.4999999999999997E-3</v>
      </c>
      <c r="U83" s="155">
        <v>3</v>
      </c>
      <c r="V83" s="159">
        <v>7.4999999999999997E-2</v>
      </c>
      <c r="W83" s="160">
        <v>1.4999999999999999E-2</v>
      </c>
      <c r="X83" s="161">
        <v>6</v>
      </c>
      <c r="Y83" s="165">
        <v>0.1</v>
      </c>
      <c r="Z83" s="166">
        <v>0.03</v>
      </c>
      <c r="AA83" s="167">
        <v>9</v>
      </c>
    </row>
    <row r="84" spans="2:27" x14ac:dyDescent="0.25">
      <c r="B84" s="51" t="s">
        <v>554</v>
      </c>
      <c r="C84" s="4" t="s">
        <v>560</v>
      </c>
      <c r="D84" s="142" t="e">
        <v>#VALUE!</v>
      </c>
      <c r="E84" s="142" t="e">
        <v>#VALUE!</v>
      </c>
      <c r="F84" s="4" t="s">
        <v>592</v>
      </c>
      <c r="G84" s="143">
        <v>50000000</v>
      </c>
      <c r="H84" s="4">
        <v>10</v>
      </c>
      <c r="I84" s="143">
        <v>6061323800</v>
      </c>
      <c r="J84" s="144">
        <v>7.061653223607701</v>
      </c>
      <c r="K84" s="145">
        <v>8.3486168815738553E-3</v>
      </c>
      <c r="L84" s="146">
        <v>1</v>
      </c>
      <c r="M84" s="58">
        <v>1</v>
      </c>
      <c r="N84" s="58">
        <v>1</v>
      </c>
      <c r="O84" s="147">
        <v>1</v>
      </c>
      <c r="P84" s="148">
        <v>1E-4</v>
      </c>
      <c r="Q84" s="148">
        <v>1E-4</v>
      </c>
      <c r="R84" s="148">
        <v>1E-4</v>
      </c>
      <c r="S84" s="153">
        <v>0.05</v>
      </c>
      <c r="T84" s="154">
        <v>7.4999999999999997E-3</v>
      </c>
      <c r="U84" s="155">
        <v>3</v>
      </c>
      <c r="V84" s="159">
        <v>7.4999999999999997E-2</v>
      </c>
      <c r="W84" s="160">
        <v>1.4999999999999999E-2</v>
      </c>
      <c r="X84" s="161">
        <v>6</v>
      </c>
      <c r="Y84" s="165">
        <v>0.1</v>
      </c>
      <c r="Z84" s="166">
        <v>0.03</v>
      </c>
      <c r="AA84" s="167">
        <v>9</v>
      </c>
    </row>
    <row r="85" spans="2:27" x14ac:dyDescent="0.25">
      <c r="B85" s="51" t="s">
        <v>565</v>
      </c>
      <c r="C85" s="4" t="s">
        <v>574</v>
      </c>
      <c r="D85" s="142" t="e">
        <v>#VALUE!</v>
      </c>
      <c r="E85" s="142" t="e">
        <v>#VALUE!</v>
      </c>
      <c r="F85" s="4" t="s">
        <v>592</v>
      </c>
      <c r="G85" s="143">
        <v>50000000</v>
      </c>
      <c r="H85" s="4">
        <v>8</v>
      </c>
      <c r="I85" s="143">
        <v>641230780</v>
      </c>
      <c r="J85" s="144">
        <v>6.4833576411034093</v>
      </c>
      <c r="K85" s="145">
        <v>8.6597281854056563E-3</v>
      </c>
      <c r="L85" s="146">
        <v>1</v>
      </c>
      <c r="M85" s="58">
        <v>1</v>
      </c>
      <c r="N85" s="58">
        <v>1</v>
      </c>
      <c r="O85" s="147">
        <v>1</v>
      </c>
      <c r="P85" s="148">
        <v>1E-4</v>
      </c>
      <c r="Q85" s="148">
        <v>1E-4</v>
      </c>
      <c r="R85" s="148">
        <v>1E-4</v>
      </c>
      <c r="S85" s="153">
        <v>0.05</v>
      </c>
      <c r="T85" s="154">
        <v>7.4999999999999997E-3</v>
      </c>
      <c r="U85" s="155">
        <v>3</v>
      </c>
      <c r="V85" s="159">
        <v>7.4999999999999997E-2</v>
      </c>
      <c r="W85" s="160">
        <v>1.4999999999999999E-2</v>
      </c>
      <c r="X85" s="161">
        <v>6</v>
      </c>
      <c r="Y85" s="165">
        <v>0.1</v>
      </c>
      <c r="Z85" s="166">
        <v>0.03</v>
      </c>
      <c r="AA85" s="167">
        <v>9</v>
      </c>
    </row>
    <row r="86" spans="2:27" x14ac:dyDescent="0.25">
      <c r="B86" s="51" t="s">
        <v>555</v>
      </c>
      <c r="C86" s="4" t="s">
        <v>559</v>
      </c>
      <c r="D86" s="142" t="e">
        <v>#VALUE!</v>
      </c>
      <c r="E86" s="142" t="e">
        <v>#VALUE!</v>
      </c>
      <c r="F86" s="4" t="s">
        <v>592</v>
      </c>
      <c r="G86" s="143">
        <v>50000000</v>
      </c>
      <c r="H86" s="4">
        <v>10</v>
      </c>
      <c r="I86" s="143">
        <v>6061323800</v>
      </c>
      <c r="J86" s="144">
        <v>7.0588525860971645</v>
      </c>
      <c r="K86" s="145">
        <v>8.4026286246286098E-3</v>
      </c>
      <c r="L86" s="146">
        <v>1</v>
      </c>
      <c r="M86" s="58">
        <v>1</v>
      </c>
      <c r="N86" s="58">
        <v>1</v>
      </c>
      <c r="O86" s="147">
        <v>1</v>
      </c>
      <c r="P86" s="148">
        <v>1E-4</v>
      </c>
      <c r="Q86" s="148">
        <v>1E-4</v>
      </c>
      <c r="R86" s="148">
        <v>1E-4</v>
      </c>
      <c r="S86" s="153">
        <v>0.05</v>
      </c>
      <c r="T86" s="154">
        <v>7.4999999999999997E-3</v>
      </c>
      <c r="U86" s="155">
        <v>3</v>
      </c>
      <c r="V86" s="159">
        <v>7.4999999999999997E-2</v>
      </c>
      <c r="W86" s="160">
        <v>1.4999999999999999E-2</v>
      </c>
      <c r="X86" s="161">
        <v>6</v>
      </c>
      <c r="Y86" s="165">
        <v>0.1</v>
      </c>
      <c r="Z86" s="166">
        <v>0.03</v>
      </c>
      <c r="AA86" s="167">
        <v>9</v>
      </c>
    </row>
    <row r="87" spans="2:27" x14ac:dyDescent="0.25">
      <c r="B87" s="51" t="s">
        <v>566</v>
      </c>
      <c r="C87" s="4" t="s">
        <v>573</v>
      </c>
      <c r="D87" s="142" t="e">
        <v>#VALUE!</v>
      </c>
      <c r="E87" s="142" t="e">
        <v>#VALUE!</v>
      </c>
      <c r="F87" s="4" t="s">
        <v>592</v>
      </c>
      <c r="G87" s="143">
        <v>50000000</v>
      </c>
      <c r="H87" s="4">
        <v>8</v>
      </c>
      <c r="I87" s="143">
        <v>641230780</v>
      </c>
      <c r="J87" s="144">
        <v>6.5105023368822312</v>
      </c>
      <c r="K87" s="145">
        <v>8.1350376016026682E-3</v>
      </c>
      <c r="L87" s="146">
        <v>1</v>
      </c>
      <c r="M87" s="58">
        <v>1</v>
      </c>
      <c r="N87" s="58">
        <v>1</v>
      </c>
      <c r="O87" s="147">
        <v>1</v>
      </c>
      <c r="P87" s="148">
        <v>1E-4</v>
      </c>
      <c r="Q87" s="148">
        <v>1E-4</v>
      </c>
      <c r="R87" s="148">
        <v>1E-4</v>
      </c>
      <c r="S87" s="153">
        <v>0.05</v>
      </c>
      <c r="T87" s="154">
        <v>7.4999999999999997E-3</v>
      </c>
      <c r="U87" s="155">
        <v>3</v>
      </c>
      <c r="V87" s="159">
        <v>7.4999999999999997E-2</v>
      </c>
      <c r="W87" s="160">
        <v>1.4999999999999999E-2</v>
      </c>
      <c r="X87" s="161">
        <v>6</v>
      </c>
      <c r="Y87" s="165">
        <v>0.1</v>
      </c>
      <c r="Z87" s="166">
        <v>0.03</v>
      </c>
      <c r="AA87" s="167">
        <v>9</v>
      </c>
    </row>
    <row r="88" spans="2:27" x14ac:dyDescent="0.25">
      <c r="B88" s="51" t="s">
        <v>567</v>
      </c>
      <c r="C88" s="4" t="s">
        <v>575</v>
      </c>
      <c r="D88" s="142" t="e">
        <v>#VALUE!</v>
      </c>
      <c r="E88" s="142" t="e">
        <v>#VALUE!</v>
      </c>
      <c r="F88" s="4" t="s">
        <v>592</v>
      </c>
      <c r="G88" s="143">
        <v>50000000</v>
      </c>
      <c r="H88" s="4">
        <v>8</v>
      </c>
      <c r="I88" s="143">
        <v>641230780</v>
      </c>
      <c r="J88" s="144">
        <v>6.5116029345021902</v>
      </c>
      <c r="K88" s="145">
        <v>8.1144477299196494E-3</v>
      </c>
      <c r="L88" s="146">
        <v>1</v>
      </c>
      <c r="M88" s="58">
        <v>1</v>
      </c>
      <c r="N88" s="58">
        <v>1</v>
      </c>
      <c r="O88" s="147">
        <v>1</v>
      </c>
      <c r="P88" s="148">
        <v>1E-4</v>
      </c>
      <c r="Q88" s="148">
        <v>1E-4</v>
      </c>
      <c r="R88" s="148">
        <v>1E-4</v>
      </c>
      <c r="S88" s="153">
        <v>0.05</v>
      </c>
      <c r="T88" s="154">
        <v>7.4999999999999997E-3</v>
      </c>
      <c r="U88" s="155">
        <v>3</v>
      </c>
      <c r="V88" s="159">
        <v>7.4999999999999997E-2</v>
      </c>
      <c r="W88" s="160">
        <v>1.4999999999999999E-2</v>
      </c>
      <c r="X88" s="161">
        <v>6</v>
      </c>
      <c r="Y88" s="165">
        <v>0.1</v>
      </c>
      <c r="Z88" s="166">
        <v>0.03</v>
      </c>
      <c r="AA88" s="167">
        <v>9</v>
      </c>
    </row>
    <row r="89" spans="2:27" x14ac:dyDescent="0.25">
      <c r="B89" s="51" t="s">
        <v>556</v>
      </c>
      <c r="C89" s="4" t="s">
        <v>560</v>
      </c>
      <c r="D89" s="142" t="e">
        <v>#VALUE!</v>
      </c>
      <c r="E89" s="142" t="e">
        <v>#VALUE!</v>
      </c>
      <c r="F89" s="4" t="s">
        <v>592</v>
      </c>
      <c r="G89" s="143">
        <v>50000000</v>
      </c>
      <c r="H89" s="4">
        <v>10</v>
      </c>
      <c r="I89" s="143">
        <v>6061323800</v>
      </c>
      <c r="J89" s="144">
        <v>7.0575109969549921</v>
      </c>
      <c r="K89" s="145">
        <v>8.4286255124359985E-3</v>
      </c>
      <c r="L89" s="146">
        <v>1</v>
      </c>
      <c r="M89" s="58">
        <v>1</v>
      </c>
      <c r="N89" s="58">
        <v>1</v>
      </c>
      <c r="O89" s="147">
        <v>1</v>
      </c>
      <c r="P89" s="148">
        <v>1E-4</v>
      </c>
      <c r="Q89" s="148">
        <v>1E-4</v>
      </c>
      <c r="R89" s="148">
        <v>1E-4</v>
      </c>
      <c r="S89" s="153">
        <v>0.05</v>
      </c>
      <c r="T89" s="154">
        <v>7.4999999999999997E-3</v>
      </c>
      <c r="U89" s="155">
        <v>3</v>
      </c>
      <c r="V89" s="159">
        <v>7.4999999999999997E-2</v>
      </c>
      <c r="W89" s="160">
        <v>1.4999999999999999E-2</v>
      </c>
      <c r="X89" s="161">
        <v>6</v>
      </c>
      <c r="Y89" s="165">
        <v>0.1</v>
      </c>
      <c r="Z89" s="166">
        <v>0.03</v>
      </c>
      <c r="AA89" s="167">
        <v>9</v>
      </c>
    </row>
    <row r="90" spans="2:27" x14ac:dyDescent="0.25">
      <c r="B90" s="51" t="s">
        <v>627</v>
      </c>
      <c r="C90" s="4" t="s">
        <v>628</v>
      </c>
      <c r="D90" s="142" t="e">
        <v>#VALUE!</v>
      </c>
      <c r="E90" s="142" t="e">
        <v>#VALUE!</v>
      </c>
      <c r="F90" s="4" t="s">
        <v>592</v>
      </c>
      <c r="G90" s="143">
        <v>50000000</v>
      </c>
      <c r="H90" s="4">
        <v>7</v>
      </c>
      <c r="I90" s="143">
        <v>81521560</v>
      </c>
      <c r="J90" s="144">
        <v>5.177229639747928</v>
      </c>
      <c r="K90" s="145">
        <v>8.6048462018296652E-3</v>
      </c>
      <c r="L90" s="146">
        <v>1</v>
      </c>
      <c r="M90" s="58">
        <v>1</v>
      </c>
      <c r="N90" s="58">
        <v>1</v>
      </c>
      <c r="O90" s="147">
        <v>1</v>
      </c>
      <c r="P90" s="148">
        <v>8.7789314736915999E-4</v>
      </c>
      <c r="Q90" s="148">
        <v>2.4640108405165001E-4</v>
      </c>
      <c r="R90" s="148">
        <v>1E-4</v>
      </c>
      <c r="S90" s="153">
        <v>0.05</v>
      </c>
      <c r="T90" s="154">
        <v>7.4999999999999997E-3</v>
      </c>
      <c r="U90" s="155">
        <v>3</v>
      </c>
      <c r="V90" s="159">
        <v>7.4999999999999997E-2</v>
      </c>
      <c r="W90" s="160">
        <v>1.4999999999999999E-2</v>
      </c>
      <c r="X90" s="161">
        <v>6</v>
      </c>
      <c r="Y90" s="165">
        <v>0.1</v>
      </c>
      <c r="Z90" s="166">
        <v>0.03</v>
      </c>
      <c r="AA90" s="167">
        <v>9</v>
      </c>
    </row>
    <row r="91" spans="2:27" x14ac:dyDescent="0.25">
      <c r="B91" s="51" t="s">
        <v>568</v>
      </c>
      <c r="C91" s="4" t="s">
        <v>574</v>
      </c>
      <c r="D91" s="142" t="e">
        <v>#VALUE!</v>
      </c>
      <c r="E91" s="142" t="e">
        <v>#VALUE!</v>
      </c>
      <c r="F91" s="4" t="s">
        <v>592</v>
      </c>
      <c r="G91" s="143">
        <v>50000000</v>
      </c>
      <c r="H91" s="4">
        <v>8</v>
      </c>
      <c r="I91" s="143">
        <v>641230780</v>
      </c>
      <c r="J91" s="144">
        <v>6.4666714155041536</v>
      </c>
      <c r="K91" s="145">
        <v>8.9989219698883311E-3</v>
      </c>
      <c r="L91" s="146">
        <v>1</v>
      </c>
      <c r="M91" s="58">
        <v>1</v>
      </c>
      <c r="N91" s="58">
        <v>1</v>
      </c>
      <c r="O91" s="147">
        <v>1</v>
      </c>
      <c r="P91" s="148">
        <v>1E-4</v>
      </c>
      <c r="Q91" s="148">
        <v>1E-4</v>
      </c>
      <c r="R91" s="148">
        <v>1E-4</v>
      </c>
      <c r="S91" s="153">
        <v>0.05</v>
      </c>
      <c r="T91" s="154">
        <v>7.4999999999999997E-3</v>
      </c>
      <c r="U91" s="155">
        <v>3</v>
      </c>
      <c r="V91" s="159">
        <v>7.4999999999999997E-2</v>
      </c>
      <c r="W91" s="160">
        <v>1.4999999999999999E-2</v>
      </c>
      <c r="X91" s="161">
        <v>6</v>
      </c>
      <c r="Y91" s="165">
        <v>0.1</v>
      </c>
      <c r="Z91" s="166">
        <v>0.03</v>
      </c>
      <c r="AA91" s="167">
        <v>9</v>
      </c>
    </row>
    <row r="92" spans="2:27" x14ac:dyDescent="0.25">
      <c r="B92" s="51" t="s">
        <v>569</v>
      </c>
      <c r="C92" s="4" t="s">
        <v>574</v>
      </c>
      <c r="D92" s="142" t="e">
        <v>#VALUE!</v>
      </c>
      <c r="E92" s="142" t="e">
        <v>#VALUE!</v>
      </c>
      <c r="F92" s="4" t="s">
        <v>592</v>
      </c>
      <c r="G92" s="143">
        <v>50000000</v>
      </c>
      <c r="H92" s="4">
        <v>8</v>
      </c>
      <c r="I92" s="143">
        <v>641230780</v>
      </c>
      <c r="J92" s="144">
        <v>6.5301430277027315</v>
      </c>
      <c r="K92" s="145">
        <v>7.7753307780550462E-3</v>
      </c>
      <c r="L92" s="146">
        <v>1</v>
      </c>
      <c r="M92" s="58">
        <v>1</v>
      </c>
      <c r="N92" s="58">
        <v>1</v>
      </c>
      <c r="O92" s="147">
        <v>1</v>
      </c>
      <c r="P92" s="148">
        <v>1E-4</v>
      </c>
      <c r="Q92" s="148">
        <v>1E-4</v>
      </c>
      <c r="R92" s="148">
        <v>1E-4</v>
      </c>
      <c r="S92" s="153">
        <v>0.05</v>
      </c>
      <c r="T92" s="154">
        <v>7.4999999999999997E-3</v>
      </c>
      <c r="U92" s="155">
        <v>3</v>
      </c>
      <c r="V92" s="159">
        <v>7.4999999999999997E-2</v>
      </c>
      <c r="W92" s="160">
        <v>1.4999999999999999E-2</v>
      </c>
      <c r="X92" s="161">
        <v>6</v>
      </c>
      <c r="Y92" s="165">
        <v>0.1</v>
      </c>
      <c r="Z92" s="166">
        <v>0.03</v>
      </c>
      <c r="AA92" s="167">
        <v>9</v>
      </c>
    </row>
    <row r="93" spans="2:27" x14ac:dyDescent="0.25">
      <c r="B93" s="51" t="s">
        <v>570</v>
      </c>
      <c r="C93" s="4" t="s">
        <v>574</v>
      </c>
      <c r="D93" s="142" t="e">
        <v>#VALUE!</v>
      </c>
      <c r="E93" s="142" t="e">
        <v>#VALUE!</v>
      </c>
      <c r="F93" s="4" t="s">
        <v>592</v>
      </c>
      <c r="G93" s="143">
        <v>50000000</v>
      </c>
      <c r="H93" s="4">
        <v>8</v>
      </c>
      <c r="I93" s="143">
        <v>641230780</v>
      </c>
      <c r="J93" s="144">
        <v>6.4705365308506311</v>
      </c>
      <c r="K93" s="145">
        <v>8.9191890792278267E-3</v>
      </c>
      <c r="L93" s="146">
        <v>1</v>
      </c>
      <c r="M93" s="58">
        <v>1</v>
      </c>
      <c r="N93" s="58">
        <v>1</v>
      </c>
      <c r="O93" s="147">
        <v>1</v>
      </c>
      <c r="P93" s="148">
        <v>1E-4</v>
      </c>
      <c r="Q93" s="148">
        <v>1E-4</v>
      </c>
      <c r="R93" s="148">
        <v>1E-4</v>
      </c>
      <c r="S93" s="153">
        <v>0.05</v>
      </c>
      <c r="T93" s="154">
        <v>7.4999999999999997E-3</v>
      </c>
      <c r="U93" s="155">
        <v>3</v>
      </c>
      <c r="V93" s="159">
        <v>7.4999999999999997E-2</v>
      </c>
      <c r="W93" s="160">
        <v>1.4999999999999999E-2</v>
      </c>
      <c r="X93" s="161">
        <v>6</v>
      </c>
      <c r="Y93" s="165">
        <v>0.1</v>
      </c>
      <c r="Z93" s="166">
        <v>0.03</v>
      </c>
      <c r="AA93" s="167">
        <v>9</v>
      </c>
    </row>
    <row r="94" spans="2:27" x14ac:dyDescent="0.25">
      <c r="B94" s="51" t="s">
        <v>660</v>
      </c>
      <c r="C94" s="4" t="s">
        <v>600</v>
      </c>
      <c r="D94" s="142" t="e">
        <v>#VALUE!</v>
      </c>
      <c r="E94" s="142" t="e">
        <v>#VALUE!</v>
      </c>
      <c r="F94" s="4" t="s">
        <v>592</v>
      </c>
      <c r="G94" s="143">
        <v>50000000</v>
      </c>
      <c r="H94" s="4">
        <v>9</v>
      </c>
      <c r="I94" s="143">
        <v>5715033100</v>
      </c>
      <c r="J94" s="144">
        <v>6.9593243347485352</v>
      </c>
      <c r="K94" s="145">
        <v>1.3154520477586315E-2</v>
      </c>
      <c r="L94" s="146">
        <v>1</v>
      </c>
      <c r="M94" s="58">
        <v>1</v>
      </c>
      <c r="N94" s="58">
        <v>1</v>
      </c>
      <c r="O94" s="147">
        <v>1</v>
      </c>
      <c r="P94" s="148">
        <v>1E-4</v>
      </c>
      <c r="Q94" s="148">
        <v>1E-4</v>
      </c>
      <c r="R94" s="148">
        <v>1E-4</v>
      </c>
      <c r="S94" s="153">
        <v>0.05</v>
      </c>
      <c r="T94" s="154">
        <v>7.4999999999999997E-3</v>
      </c>
      <c r="U94" s="155">
        <v>3</v>
      </c>
      <c r="V94" s="159">
        <v>7.4999999999999997E-2</v>
      </c>
      <c r="W94" s="160">
        <v>1.4999999999999999E-2</v>
      </c>
      <c r="X94" s="161">
        <v>6</v>
      </c>
      <c r="Y94" s="165">
        <v>0.1</v>
      </c>
      <c r="Z94" s="166">
        <v>0.03</v>
      </c>
      <c r="AA94" s="167">
        <v>9</v>
      </c>
    </row>
    <row r="95" spans="2:27" x14ac:dyDescent="0.25">
      <c r="B95" s="51" t="s">
        <v>571</v>
      </c>
      <c r="C95" s="4" t="s">
        <v>574</v>
      </c>
      <c r="D95" s="142" t="e">
        <v>#VALUE!</v>
      </c>
      <c r="E95" s="142" t="e">
        <v>#VALUE!</v>
      </c>
      <c r="F95" s="4" t="s">
        <v>592</v>
      </c>
      <c r="G95" s="143">
        <v>50000000</v>
      </c>
      <c r="H95" s="4">
        <v>8</v>
      </c>
      <c r="I95" s="143">
        <v>641230780</v>
      </c>
      <c r="J95" s="144">
        <v>6.535583748052864</v>
      </c>
      <c r="K95" s="145">
        <v>7.6785312039873883E-3</v>
      </c>
      <c r="L95" s="146">
        <v>1</v>
      </c>
      <c r="M95" s="58">
        <v>1</v>
      </c>
      <c r="N95" s="58">
        <v>1</v>
      </c>
      <c r="O95" s="147">
        <v>1</v>
      </c>
      <c r="P95" s="148">
        <v>1E-4</v>
      </c>
      <c r="Q95" s="148">
        <v>1E-4</v>
      </c>
      <c r="R95" s="148">
        <v>1E-4</v>
      </c>
      <c r="S95" s="153">
        <v>0.05</v>
      </c>
      <c r="T95" s="154">
        <v>7.4999999999999997E-3</v>
      </c>
      <c r="U95" s="155">
        <v>3</v>
      </c>
      <c r="V95" s="159">
        <v>7.4999999999999997E-2</v>
      </c>
      <c r="W95" s="160">
        <v>1.4999999999999999E-2</v>
      </c>
      <c r="X95" s="161">
        <v>6</v>
      </c>
      <c r="Y95" s="165">
        <v>0.1</v>
      </c>
      <c r="Z95" s="166">
        <v>0.03</v>
      </c>
      <c r="AA95" s="167">
        <v>9</v>
      </c>
    </row>
    <row r="96" spans="2:27" x14ac:dyDescent="0.25">
      <c r="B96" s="51" t="s">
        <v>597</v>
      </c>
      <c r="C96" s="4" t="s">
        <v>600</v>
      </c>
      <c r="D96" s="142" t="e">
        <v>#VALUE!</v>
      </c>
      <c r="E96" s="142" t="e">
        <v>#VALUE!</v>
      </c>
      <c r="F96" s="4" t="s">
        <v>592</v>
      </c>
      <c r="G96" s="143">
        <v>50000000</v>
      </c>
      <c r="H96" s="4">
        <v>10</v>
      </c>
      <c r="I96" s="143">
        <v>5715033100</v>
      </c>
      <c r="J96" s="144">
        <v>6.985714573918405</v>
      </c>
      <c r="K96" s="145">
        <v>1.2378977745577099E-2</v>
      </c>
      <c r="L96" s="146">
        <v>1</v>
      </c>
      <c r="M96" s="58">
        <v>1</v>
      </c>
      <c r="N96" s="58">
        <v>1</v>
      </c>
      <c r="O96" s="147">
        <v>1</v>
      </c>
      <c r="P96" s="148">
        <v>1E-4</v>
      </c>
      <c r="Q96" s="148">
        <v>1E-4</v>
      </c>
      <c r="R96" s="148">
        <v>1E-4</v>
      </c>
      <c r="S96" s="153">
        <v>0.05</v>
      </c>
      <c r="T96" s="154">
        <v>7.4999999999999997E-3</v>
      </c>
      <c r="U96" s="155">
        <v>3</v>
      </c>
      <c r="V96" s="159">
        <v>7.4999999999999997E-2</v>
      </c>
      <c r="W96" s="160">
        <v>1.4999999999999999E-2</v>
      </c>
      <c r="X96" s="161">
        <v>6</v>
      </c>
      <c r="Y96" s="165">
        <v>0.1</v>
      </c>
      <c r="Z96" s="166">
        <v>0.03</v>
      </c>
      <c r="AA96" s="167">
        <v>9</v>
      </c>
    </row>
    <row r="97" spans="2:27" x14ac:dyDescent="0.25">
      <c r="B97" s="51" t="s">
        <v>562</v>
      </c>
      <c r="C97" s="4" t="s">
        <v>576</v>
      </c>
      <c r="D97" s="142" t="e">
        <v>#VALUE!</v>
      </c>
      <c r="E97" s="142" t="e">
        <v>#VALUE!</v>
      </c>
      <c r="F97" s="4" t="s">
        <v>592</v>
      </c>
      <c r="G97" s="143">
        <v>50000000</v>
      </c>
      <c r="H97" s="4">
        <v>9</v>
      </c>
      <c r="I97" s="143">
        <v>6061323800</v>
      </c>
      <c r="J97" s="144">
        <v>6.9603625836636427</v>
      </c>
      <c r="K97" s="145">
        <v>1.0541566958074207E-2</v>
      </c>
      <c r="L97" s="146">
        <v>1</v>
      </c>
      <c r="M97" s="58">
        <v>1</v>
      </c>
      <c r="N97" s="58">
        <v>1</v>
      </c>
      <c r="O97" s="147">
        <v>1</v>
      </c>
      <c r="P97" s="148">
        <v>1E-4</v>
      </c>
      <c r="Q97" s="148">
        <v>1E-4</v>
      </c>
      <c r="R97" s="148">
        <v>1E-4</v>
      </c>
      <c r="S97" s="153">
        <v>0.05</v>
      </c>
      <c r="T97" s="154">
        <v>7.4999999999999997E-3</v>
      </c>
      <c r="U97" s="155">
        <v>3</v>
      </c>
      <c r="V97" s="159">
        <v>7.4999999999999997E-2</v>
      </c>
      <c r="W97" s="160">
        <v>1.4999999999999999E-2</v>
      </c>
      <c r="X97" s="161">
        <v>6</v>
      </c>
      <c r="Y97" s="165">
        <v>0.1</v>
      </c>
      <c r="Z97" s="166">
        <v>0.03</v>
      </c>
      <c r="AA97" s="167">
        <v>9</v>
      </c>
    </row>
    <row r="98" spans="2:27" x14ac:dyDescent="0.25">
      <c r="B98" s="51" t="s">
        <v>2633</v>
      </c>
      <c r="C98" s="4" t="s">
        <v>4102</v>
      </c>
      <c r="D98" s="142" t="e">
        <v>#VALUE!</v>
      </c>
      <c r="E98" s="142" t="e">
        <v>#VALUE!</v>
      </c>
      <c r="F98" s="4" t="s">
        <v>592</v>
      </c>
      <c r="G98" s="143">
        <v>3534716.9909999999</v>
      </c>
      <c r="H98" s="4">
        <v>8</v>
      </c>
      <c r="I98" s="143">
        <v>1924747780</v>
      </c>
      <c r="J98" s="144">
        <v>6.5841814762519038</v>
      </c>
      <c r="K98" s="145">
        <v>1.1405708493387305E-2</v>
      </c>
      <c r="L98" s="146">
        <v>1</v>
      </c>
      <c r="M98" s="58">
        <v>1</v>
      </c>
      <c r="N98" s="58">
        <v>1</v>
      </c>
      <c r="O98" s="147">
        <v>1</v>
      </c>
      <c r="P98" s="148">
        <v>1E-4</v>
      </c>
      <c r="Q98" s="148">
        <v>1E-4</v>
      </c>
      <c r="R98" s="148">
        <v>1E-4</v>
      </c>
      <c r="S98" s="153">
        <v>0.05</v>
      </c>
      <c r="T98" s="154">
        <v>7.4999999999999997E-3</v>
      </c>
      <c r="U98" s="155">
        <v>3</v>
      </c>
      <c r="V98" s="159">
        <v>7.4999999999999997E-2</v>
      </c>
      <c r="W98" s="160">
        <v>1.4999999999999999E-2</v>
      </c>
      <c r="X98" s="161">
        <v>6</v>
      </c>
      <c r="Y98" s="165">
        <v>0.1</v>
      </c>
      <c r="Z98" s="166">
        <v>0.03</v>
      </c>
      <c r="AA98" s="167">
        <v>9</v>
      </c>
    </row>
    <row r="99" spans="2:27" x14ac:dyDescent="0.25">
      <c r="B99" s="51" t="s">
        <v>796</v>
      </c>
      <c r="C99" s="4" t="s">
        <v>803</v>
      </c>
      <c r="D99" s="142" t="e">
        <v>#VALUE!</v>
      </c>
      <c r="E99" s="142" t="e">
        <v>#VALUE!</v>
      </c>
      <c r="F99" s="4" t="s">
        <v>592</v>
      </c>
      <c r="G99" s="143">
        <v>50000000</v>
      </c>
      <c r="H99" s="4">
        <v>10</v>
      </c>
      <c r="I99" s="143">
        <v>6061323800</v>
      </c>
      <c r="J99" s="144">
        <v>7.0642566618482645</v>
      </c>
      <c r="K99" s="145">
        <v>8.2987196522129915E-3</v>
      </c>
      <c r="L99" s="146">
        <v>1</v>
      </c>
      <c r="M99" s="58">
        <v>1</v>
      </c>
      <c r="N99" s="58">
        <v>1</v>
      </c>
      <c r="O99" s="147">
        <v>1</v>
      </c>
      <c r="P99" s="148">
        <v>1E-4</v>
      </c>
      <c r="Q99" s="148">
        <v>1E-4</v>
      </c>
      <c r="R99" s="148">
        <v>1E-4</v>
      </c>
      <c r="S99" s="153">
        <v>0.05</v>
      </c>
      <c r="T99" s="154">
        <v>7.4999999999999997E-3</v>
      </c>
      <c r="U99" s="155">
        <v>3</v>
      </c>
      <c r="V99" s="159">
        <v>7.4999999999999997E-2</v>
      </c>
      <c r="W99" s="160">
        <v>1.4999999999999999E-2</v>
      </c>
      <c r="X99" s="161">
        <v>6</v>
      </c>
      <c r="Y99" s="165">
        <v>0.1</v>
      </c>
      <c r="Z99" s="166">
        <v>0.03</v>
      </c>
      <c r="AA99" s="167">
        <v>9</v>
      </c>
    </row>
    <row r="100" spans="2:27" x14ac:dyDescent="0.25">
      <c r="B100" s="51" t="s">
        <v>1639</v>
      </c>
      <c r="C100" s="4" t="s">
        <v>4103</v>
      </c>
      <c r="D100" s="142" t="e">
        <v>#VALUE!</v>
      </c>
      <c r="E100" s="142" t="e">
        <v>#VALUE!</v>
      </c>
      <c r="F100" s="4" t="s">
        <v>592</v>
      </c>
      <c r="G100" s="143">
        <v>3001634.648</v>
      </c>
      <c r="H100" s="4">
        <v>10</v>
      </c>
      <c r="I100" s="143">
        <v>5715033100</v>
      </c>
      <c r="J100" s="144">
        <v>6.9853428715645975</v>
      </c>
      <c r="K100" s="145">
        <v>1.2389577154479487E-2</v>
      </c>
      <c r="L100" s="146">
        <v>1</v>
      </c>
      <c r="M100" s="58">
        <v>1</v>
      </c>
      <c r="N100" s="58">
        <v>1</v>
      </c>
      <c r="O100" s="147">
        <v>1</v>
      </c>
      <c r="P100" s="148">
        <v>1E-4</v>
      </c>
      <c r="Q100" s="148">
        <v>1E-4</v>
      </c>
      <c r="R100" s="148">
        <v>1E-4</v>
      </c>
      <c r="S100" s="153">
        <v>0.05</v>
      </c>
      <c r="T100" s="154">
        <v>7.4999999999999997E-3</v>
      </c>
      <c r="U100" s="155">
        <v>3</v>
      </c>
      <c r="V100" s="159">
        <v>7.4999999999999997E-2</v>
      </c>
      <c r="W100" s="160">
        <v>1.4999999999999999E-2</v>
      </c>
      <c r="X100" s="161">
        <v>6</v>
      </c>
      <c r="Y100" s="165">
        <v>0.1</v>
      </c>
      <c r="Z100" s="166">
        <v>0.03</v>
      </c>
      <c r="AA100" s="167">
        <v>9</v>
      </c>
    </row>
    <row r="101" spans="2:27" x14ac:dyDescent="0.25">
      <c r="B101" s="51" t="s">
        <v>596</v>
      </c>
      <c r="C101" s="4" t="s">
        <v>602</v>
      </c>
      <c r="D101" s="142" t="e">
        <v>#VALUE!</v>
      </c>
      <c r="E101" s="142" t="e">
        <v>#VALUE!</v>
      </c>
      <c r="F101" s="4" t="s">
        <v>592</v>
      </c>
      <c r="G101" s="143">
        <v>50000000</v>
      </c>
      <c r="H101" s="4">
        <v>10</v>
      </c>
      <c r="I101" s="143">
        <v>5715033100</v>
      </c>
      <c r="J101" s="144">
        <v>7.1584163694881111</v>
      </c>
      <c r="K101" s="145">
        <v>8.3173118758261035E-3</v>
      </c>
      <c r="L101" s="146">
        <v>1</v>
      </c>
      <c r="M101" s="58">
        <v>1</v>
      </c>
      <c r="N101" s="58">
        <v>1</v>
      </c>
      <c r="O101" s="147">
        <v>1</v>
      </c>
      <c r="P101" s="148">
        <v>1E-4</v>
      </c>
      <c r="Q101" s="148">
        <v>1E-4</v>
      </c>
      <c r="R101" s="148">
        <v>1E-4</v>
      </c>
      <c r="S101" s="153">
        <v>0.05</v>
      </c>
      <c r="T101" s="154">
        <v>7.4999999999999997E-3</v>
      </c>
      <c r="U101" s="155">
        <v>3</v>
      </c>
      <c r="V101" s="159">
        <v>7.4999999999999997E-2</v>
      </c>
      <c r="W101" s="160">
        <v>1.4999999999999999E-2</v>
      </c>
      <c r="X101" s="161">
        <v>6</v>
      </c>
      <c r="Y101" s="165">
        <v>0.1</v>
      </c>
      <c r="Z101" s="166">
        <v>0.03</v>
      </c>
      <c r="AA101" s="167">
        <v>9</v>
      </c>
    </row>
    <row r="102" spans="2:27" x14ac:dyDescent="0.25">
      <c r="B102" s="51" t="s">
        <v>1790</v>
      </c>
      <c r="C102" s="4" t="s">
        <v>4104</v>
      </c>
      <c r="D102" s="142" t="e">
        <v>#VALUE!</v>
      </c>
      <c r="E102" s="142" t="e">
        <v>#VALUE!</v>
      </c>
      <c r="F102" s="4" t="s">
        <v>592</v>
      </c>
      <c r="G102" s="143">
        <v>2372709.5350000001</v>
      </c>
      <c r="H102" s="4">
        <v>10</v>
      </c>
      <c r="I102" s="143">
        <v>6061323800</v>
      </c>
      <c r="J102" s="144">
        <v>6.9851058363816989</v>
      </c>
      <c r="K102" s="145">
        <v>9.9577660567799382E-3</v>
      </c>
      <c r="L102" s="146">
        <v>1</v>
      </c>
      <c r="M102" s="58">
        <v>1</v>
      </c>
      <c r="N102" s="58">
        <v>1</v>
      </c>
      <c r="O102" s="147">
        <v>1</v>
      </c>
      <c r="P102" s="148">
        <v>1E-4</v>
      </c>
      <c r="Q102" s="148">
        <v>1E-4</v>
      </c>
      <c r="R102" s="148">
        <v>1E-4</v>
      </c>
      <c r="S102" s="153">
        <v>0.05</v>
      </c>
      <c r="T102" s="154">
        <v>7.4999999999999997E-3</v>
      </c>
      <c r="U102" s="155">
        <v>3</v>
      </c>
      <c r="V102" s="159">
        <v>7.4999999999999997E-2</v>
      </c>
      <c r="W102" s="160">
        <v>1.4999999999999999E-2</v>
      </c>
      <c r="X102" s="161">
        <v>6</v>
      </c>
      <c r="Y102" s="165">
        <v>0.1</v>
      </c>
      <c r="Z102" s="166">
        <v>0.03</v>
      </c>
      <c r="AA102" s="167">
        <v>9</v>
      </c>
    </row>
    <row r="103" spans="2:27" x14ac:dyDescent="0.25">
      <c r="B103" s="51" t="s">
        <v>1793</v>
      </c>
      <c r="C103" s="4" t="s">
        <v>4105</v>
      </c>
      <c r="D103" s="142" t="e">
        <v>#VALUE!</v>
      </c>
      <c r="E103" s="142" t="e">
        <v>#VALUE!</v>
      </c>
      <c r="F103" s="4" t="s">
        <v>592</v>
      </c>
      <c r="G103" s="143">
        <v>2259380.1839999999</v>
      </c>
      <c r="H103" s="4">
        <v>10</v>
      </c>
      <c r="I103" s="143">
        <v>5715033100</v>
      </c>
      <c r="J103" s="144">
        <v>7.0071997631869953</v>
      </c>
      <c r="K103" s="145">
        <v>1.1781473016622093E-2</v>
      </c>
      <c r="L103" s="146">
        <v>1</v>
      </c>
      <c r="M103" s="58">
        <v>1</v>
      </c>
      <c r="N103" s="58">
        <v>1</v>
      </c>
      <c r="O103" s="147">
        <v>1</v>
      </c>
      <c r="P103" s="148">
        <v>1E-4</v>
      </c>
      <c r="Q103" s="148">
        <v>1E-4</v>
      </c>
      <c r="R103" s="148">
        <v>1E-4</v>
      </c>
      <c r="S103" s="153">
        <v>0.05</v>
      </c>
      <c r="T103" s="154">
        <v>7.4999999999999997E-3</v>
      </c>
      <c r="U103" s="155">
        <v>3</v>
      </c>
      <c r="V103" s="159">
        <v>7.4999999999999997E-2</v>
      </c>
      <c r="W103" s="160">
        <v>1.4999999999999999E-2</v>
      </c>
      <c r="X103" s="161">
        <v>6</v>
      </c>
      <c r="Y103" s="165">
        <v>0.1</v>
      </c>
      <c r="Z103" s="166">
        <v>0.03</v>
      </c>
      <c r="AA103" s="167">
        <v>9</v>
      </c>
    </row>
    <row r="104" spans="2:27" x14ac:dyDescent="0.25">
      <c r="B104" s="51" t="s">
        <v>1795</v>
      </c>
      <c r="C104" s="4" t="s">
        <v>4104</v>
      </c>
      <c r="D104" s="142" t="e">
        <v>#VALUE!</v>
      </c>
      <c r="E104" s="142" t="e">
        <v>#VALUE!</v>
      </c>
      <c r="F104" s="4" t="s">
        <v>592</v>
      </c>
      <c r="G104" s="143">
        <v>2826928.06</v>
      </c>
      <c r="H104" s="4">
        <v>9</v>
      </c>
      <c r="I104" s="143">
        <v>6061323800</v>
      </c>
      <c r="J104" s="144">
        <v>6.9350857842298623</v>
      </c>
      <c r="K104" s="145">
        <v>1.1173313159242091E-2</v>
      </c>
      <c r="L104" s="146">
        <v>1</v>
      </c>
      <c r="M104" s="58">
        <v>1</v>
      </c>
      <c r="N104" s="58">
        <v>1</v>
      </c>
      <c r="O104" s="147">
        <v>1</v>
      </c>
      <c r="P104" s="148">
        <v>1E-4</v>
      </c>
      <c r="Q104" s="148">
        <v>1E-4</v>
      </c>
      <c r="R104" s="148">
        <v>1E-4</v>
      </c>
      <c r="S104" s="153">
        <v>0.05</v>
      </c>
      <c r="T104" s="154">
        <v>7.4999999999999997E-3</v>
      </c>
      <c r="U104" s="155">
        <v>3</v>
      </c>
      <c r="V104" s="159">
        <v>7.4999999999999997E-2</v>
      </c>
      <c r="W104" s="160">
        <v>1.4999999999999999E-2</v>
      </c>
      <c r="X104" s="161">
        <v>6</v>
      </c>
      <c r="Y104" s="165">
        <v>0.1</v>
      </c>
      <c r="Z104" s="166">
        <v>0.03</v>
      </c>
      <c r="AA104" s="167">
        <v>9</v>
      </c>
    </row>
    <row r="105" spans="2:27" x14ac:dyDescent="0.25">
      <c r="B105" s="51" t="s">
        <v>626</v>
      </c>
      <c r="C105" s="4" t="s">
        <v>629</v>
      </c>
      <c r="D105" s="142" t="e">
        <v>#VALUE!</v>
      </c>
      <c r="E105" s="142" t="e">
        <v>#VALUE!</v>
      </c>
      <c r="F105" s="4" t="s">
        <v>592</v>
      </c>
      <c r="G105" s="143">
        <v>50000000</v>
      </c>
      <c r="H105" s="4">
        <v>9</v>
      </c>
      <c r="I105" s="143">
        <v>1924747780</v>
      </c>
      <c r="J105" s="144">
        <v>6.6842062549522767</v>
      </c>
      <c r="K105" s="145">
        <v>9.0593593962372421E-3</v>
      </c>
      <c r="L105" s="146">
        <v>1</v>
      </c>
      <c r="M105" s="58">
        <v>1</v>
      </c>
      <c r="N105" s="58">
        <v>1</v>
      </c>
      <c r="O105" s="147">
        <v>1</v>
      </c>
      <c r="P105" s="148">
        <v>1E-4</v>
      </c>
      <c r="Q105" s="148">
        <v>1E-4</v>
      </c>
      <c r="R105" s="148">
        <v>1E-4</v>
      </c>
      <c r="S105" s="153">
        <v>0.05</v>
      </c>
      <c r="T105" s="154">
        <v>7.4999999999999997E-3</v>
      </c>
      <c r="U105" s="155">
        <v>3</v>
      </c>
      <c r="V105" s="159">
        <v>7.4999999999999997E-2</v>
      </c>
      <c r="W105" s="160">
        <v>1.4999999999999999E-2</v>
      </c>
      <c r="X105" s="161">
        <v>6</v>
      </c>
      <c r="Y105" s="165">
        <v>0.1</v>
      </c>
      <c r="Z105" s="166">
        <v>0.03</v>
      </c>
      <c r="AA105" s="167">
        <v>9</v>
      </c>
    </row>
    <row r="106" spans="2:27" x14ac:dyDescent="0.25">
      <c r="B106" s="51" t="s">
        <v>648</v>
      </c>
      <c r="C106" s="4" t="s">
        <v>653</v>
      </c>
      <c r="D106" s="142" t="e">
        <v>#VALUE!</v>
      </c>
      <c r="E106" s="142" t="e">
        <v>#VALUE!</v>
      </c>
      <c r="F106" s="4" t="s">
        <v>592</v>
      </c>
      <c r="G106" s="143">
        <v>50000000</v>
      </c>
      <c r="H106" s="4">
        <v>10</v>
      </c>
      <c r="I106" s="143">
        <v>6061323800</v>
      </c>
      <c r="J106" s="144">
        <v>7.0642566618482645</v>
      </c>
      <c r="K106" s="145">
        <v>8.2987196522129915E-3</v>
      </c>
      <c r="L106" s="146">
        <v>1</v>
      </c>
      <c r="M106" s="58">
        <v>1</v>
      </c>
      <c r="N106" s="58">
        <v>1</v>
      </c>
      <c r="O106" s="147">
        <v>1</v>
      </c>
      <c r="P106" s="148">
        <v>1E-4</v>
      </c>
      <c r="Q106" s="148">
        <v>1E-4</v>
      </c>
      <c r="R106" s="148">
        <v>1E-4</v>
      </c>
      <c r="S106" s="153">
        <v>0.05</v>
      </c>
      <c r="T106" s="154">
        <v>7.4999999999999997E-3</v>
      </c>
      <c r="U106" s="155">
        <v>3</v>
      </c>
      <c r="V106" s="159">
        <v>7.4999999999999997E-2</v>
      </c>
      <c r="W106" s="160">
        <v>1.4999999999999999E-2</v>
      </c>
      <c r="X106" s="161">
        <v>6</v>
      </c>
      <c r="Y106" s="165">
        <v>0.1</v>
      </c>
      <c r="Z106" s="166">
        <v>0.03</v>
      </c>
      <c r="AA106" s="167">
        <v>9</v>
      </c>
    </row>
    <row r="107" spans="2:27" x14ac:dyDescent="0.25">
      <c r="B107" s="51" t="s">
        <v>649</v>
      </c>
      <c r="C107" s="4" t="s">
        <v>653</v>
      </c>
      <c r="D107" s="142" t="e">
        <v>#VALUE!</v>
      </c>
      <c r="E107" s="142" t="e">
        <v>#VALUE!</v>
      </c>
      <c r="F107" s="4" t="s">
        <v>592</v>
      </c>
      <c r="G107" s="143">
        <v>50000000</v>
      </c>
      <c r="H107" s="4">
        <v>10</v>
      </c>
      <c r="I107" s="143">
        <v>6061323800</v>
      </c>
      <c r="J107" s="144">
        <v>7.0642566618482645</v>
      </c>
      <c r="K107" s="145">
        <v>8.2987196522129915E-3</v>
      </c>
      <c r="L107" s="146">
        <v>1</v>
      </c>
      <c r="M107" s="58">
        <v>1</v>
      </c>
      <c r="N107" s="58">
        <v>1</v>
      </c>
      <c r="O107" s="147">
        <v>1</v>
      </c>
      <c r="P107" s="148">
        <v>1E-4</v>
      </c>
      <c r="Q107" s="148">
        <v>1E-4</v>
      </c>
      <c r="R107" s="148">
        <v>1E-4</v>
      </c>
      <c r="S107" s="153">
        <v>0.05</v>
      </c>
      <c r="T107" s="154">
        <v>7.4999999999999997E-3</v>
      </c>
      <c r="U107" s="155">
        <v>3</v>
      </c>
      <c r="V107" s="159">
        <v>7.4999999999999997E-2</v>
      </c>
      <c r="W107" s="160">
        <v>1.4999999999999999E-2</v>
      </c>
      <c r="X107" s="161">
        <v>6</v>
      </c>
      <c r="Y107" s="165">
        <v>0.1</v>
      </c>
      <c r="Z107" s="166">
        <v>0.03</v>
      </c>
      <c r="AA107" s="167">
        <v>9</v>
      </c>
    </row>
    <row r="108" spans="2:27" x14ac:dyDescent="0.25">
      <c r="B108" s="51" t="s">
        <v>650</v>
      </c>
      <c r="C108" s="4" t="s">
        <v>654</v>
      </c>
      <c r="D108" s="142" t="e">
        <v>#VALUE!</v>
      </c>
      <c r="E108" s="142" t="e">
        <v>#VALUE!</v>
      </c>
      <c r="F108" s="4" t="s">
        <v>592</v>
      </c>
      <c r="G108" s="143">
        <v>50000000</v>
      </c>
      <c r="H108" s="4">
        <v>3</v>
      </c>
      <c r="I108" s="143">
        <v>80829.600000000006</v>
      </c>
      <c r="J108" s="144">
        <v>1.6648811228924569</v>
      </c>
      <c r="K108" s="145">
        <v>2.7758089844978288E-2</v>
      </c>
      <c r="L108" s="146">
        <v>100</v>
      </c>
      <c r="M108" s="58">
        <v>100</v>
      </c>
      <c r="N108" s="58">
        <v>100</v>
      </c>
      <c r="O108" s="147">
        <v>24</v>
      </c>
      <c r="P108" s="148">
        <v>5.1807769330247E-2</v>
      </c>
      <c r="Q108" s="148">
        <v>4.4290441459684998E-2</v>
      </c>
      <c r="R108" s="148">
        <v>3.8492749329116997E-2</v>
      </c>
      <c r="S108" s="153">
        <v>6.9395224612445724E-2</v>
      </c>
      <c r="T108" s="154">
        <v>3.8492749329116997E-2</v>
      </c>
      <c r="U108" s="155">
        <v>50</v>
      </c>
      <c r="V108" s="159">
        <v>0.13879044922489145</v>
      </c>
      <c r="W108" s="160">
        <v>7.6985498658233995E-2</v>
      </c>
      <c r="X108" s="161">
        <v>100</v>
      </c>
      <c r="Y108" s="165">
        <v>0.20818567383733716</v>
      </c>
      <c r="Z108" s="166">
        <v>0.15397099731646799</v>
      </c>
      <c r="AA108" s="167">
        <v>150</v>
      </c>
    </row>
    <row r="109" spans="2:27" x14ac:dyDescent="0.25">
      <c r="B109" s="51" t="s">
        <v>3651</v>
      </c>
      <c r="C109" s="4" t="s">
        <v>4106</v>
      </c>
      <c r="D109" s="142" t="e">
        <v>#VALUE!</v>
      </c>
      <c r="E109" s="142" t="e">
        <v>#VALUE!</v>
      </c>
      <c r="F109" s="4" t="s">
        <v>592</v>
      </c>
      <c r="G109" s="143">
        <v>2474169.7779999999</v>
      </c>
      <c r="H109" s="4">
        <v>8</v>
      </c>
      <c r="I109" s="143">
        <v>1924747780</v>
      </c>
      <c r="J109" s="144">
        <v>6.6248181900492966</v>
      </c>
      <c r="K109" s="145">
        <v>1.0386890515776487E-2</v>
      </c>
      <c r="L109" s="146">
        <v>1</v>
      </c>
      <c r="M109" s="58">
        <v>1</v>
      </c>
      <c r="N109" s="58">
        <v>1</v>
      </c>
      <c r="O109" s="147">
        <v>1</v>
      </c>
      <c r="P109" s="148">
        <v>1E-4</v>
      </c>
      <c r="Q109" s="148">
        <v>1E-4</v>
      </c>
      <c r="R109" s="148">
        <v>1E-4</v>
      </c>
      <c r="S109" s="153">
        <v>0.05</v>
      </c>
      <c r="T109" s="154">
        <v>7.4999999999999997E-3</v>
      </c>
      <c r="U109" s="155">
        <v>3</v>
      </c>
      <c r="V109" s="159">
        <v>7.4999999999999997E-2</v>
      </c>
      <c r="W109" s="160">
        <v>1.4999999999999999E-2</v>
      </c>
      <c r="X109" s="161">
        <v>6</v>
      </c>
      <c r="Y109" s="165">
        <v>0.1</v>
      </c>
      <c r="Z109" s="166">
        <v>0.03</v>
      </c>
      <c r="AA109" s="167">
        <v>9</v>
      </c>
    </row>
    <row r="110" spans="2:27" x14ac:dyDescent="0.25">
      <c r="B110" s="51" t="s">
        <v>779</v>
      </c>
      <c r="C110" s="4" t="s">
        <v>781</v>
      </c>
      <c r="D110" s="142" t="e">
        <v>#VALUE!</v>
      </c>
      <c r="E110" s="142" t="e">
        <v>#VALUE!</v>
      </c>
      <c r="F110" s="4" t="s">
        <v>592</v>
      </c>
      <c r="G110" s="143">
        <v>50000000</v>
      </c>
      <c r="H110" s="4">
        <v>10</v>
      </c>
      <c r="I110" s="143">
        <v>6061323800</v>
      </c>
      <c r="J110" s="144">
        <v>7.0642566618482645</v>
      </c>
      <c r="K110" s="145">
        <v>8.2987196522129915E-3</v>
      </c>
      <c r="L110" s="146">
        <v>1</v>
      </c>
      <c r="M110" s="58">
        <v>1</v>
      </c>
      <c r="N110" s="58">
        <v>1</v>
      </c>
      <c r="O110" s="147">
        <v>1</v>
      </c>
      <c r="P110" s="148">
        <v>1E-4</v>
      </c>
      <c r="Q110" s="148">
        <v>1E-4</v>
      </c>
      <c r="R110" s="148">
        <v>1E-4</v>
      </c>
      <c r="S110" s="153">
        <v>0.05</v>
      </c>
      <c r="T110" s="154">
        <v>7.4999999999999997E-3</v>
      </c>
      <c r="U110" s="155">
        <v>3</v>
      </c>
      <c r="V110" s="159">
        <v>7.4999999999999997E-2</v>
      </c>
      <c r="W110" s="160">
        <v>1.4999999999999999E-2</v>
      </c>
      <c r="X110" s="161">
        <v>6</v>
      </c>
      <c r="Y110" s="165">
        <v>0.1</v>
      </c>
      <c r="Z110" s="166">
        <v>0.03</v>
      </c>
      <c r="AA110" s="167">
        <v>9</v>
      </c>
    </row>
    <row r="111" spans="2:27" x14ac:dyDescent="0.25">
      <c r="B111" s="51" t="s">
        <v>896</v>
      </c>
      <c r="C111" s="4" t="s">
        <v>512</v>
      </c>
      <c r="D111" s="142" t="e">
        <v>#VALUE!</v>
      </c>
      <c r="E111" s="142" t="e">
        <v>#VALUE!</v>
      </c>
      <c r="F111" s="4" t="s">
        <v>592</v>
      </c>
      <c r="G111" s="143">
        <v>50000000</v>
      </c>
      <c r="H111" s="4">
        <v>9</v>
      </c>
      <c r="I111" s="143">
        <v>6061323800</v>
      </c>
      <c r="J111" s="144">
        <v>6.9357304486793243</v>
      </c>
      <c r="K111" s="145">
        <v>1.1156739855539425E-2</v>
      </c>
      <c r="L111" s="146">
        <v>1</v>
      </c>
      <c r="M111" s="58">
        <v>1</v>
      </c>
      <c r="N111" s="58">
        <v>1</v>
      </c>
      <c r="O111" s="147">
        <v>1</v>
      </c>
      <c r="P111" s="148">
        <v>1E-4</v>
      </c>
      <c r="Q111" s="148">
        <v>1E-4</v>
      </c>
      <c r="R111" s="148">
        <v>1E-4</v>
      </c>
      <c r="S111" s="153">
        <v>0.05</v>
      </c>
      <c r="T111" s="154">
        <v>7.4999999999999997E-3</v>
      </c>
      <c r="U111" s="155">
        <v>3</v>
      </c>
      <c r="V111" s="159">
        <v>7.4999999999999997E-2</v>
      </c>
      <c r="W111" s="160">
        <v>1.4999999999999999E-2</v>
      </c>
      <c r="X111" s="161">
        <v>6</v>
      </c>
      <c r="Y111" s="165">
        <v>0.1</v>
      </c>
      <c r="Z111" s="166">
        <v>0.03</v>
      </c>
      <c r="AA111" s="167">
        <v>9</v>
      </c>
    </row>
    <row r="112" spans="2:27" x14ac:dyDescent="0.25">
      <c r="B112" s="51" t="s">
        <v>895</v>
      </c>
      <c r="C112" s="4" t="s">
        <v>1043</v>
      </c>
      <c r="D112" s="142" t="e">
        <v>#VALUE!</v>
      </c>
      <c r="E112" s="142" t="e">
        <v>#VALUE!</v>
      </c>
      <c r="F112" s="4" t="s">
        <v>592</v>
      </c>
      <c r="G112" s="143">
        <v>50000000</v>
      </c>
      <c r="H112" s="4">
        <v>10</v>
      </c>
      <c r="I112" s="143">
        <v>5715033100</v>
      </c>
      <c r="J112" s="144">
        <v>7.0202811683351314</v>
      </c>
      <c r="K112" s="145">
        <v>1.1431893970348148E-2</v>
      </c>
      <c r="L112" s="146">
        <v>1</v>
      </c>
      <c r="M112" s="58">
        <v>1</v>
      </c>
      <c r="N112" s="58">
        <v>1</v>
      </c>
      <c r="O112" s="147">
        <v>1</v>
      </c>
      <c r="P112" s="148">
        <v>1E-4</v>
      </c>
      <c r="Q112" s="148">
        <v>1E-4</v>
      </c>
      <c r="R112" s="148">
        <v>1E-4</v>
      </c>
      <c r="S112" s="153">
        <v>0.05</v>
      </c>
      <c r="T112" s="154">
        <v>7.4999999999999997E-3</v>
      </c>
      <c r="U112" s="155">
        <v>3</v>
      </c>
      <c r="V112" s="159">
        <v>7.4999999999999997E-2</v>
      </c>
      <c r="W112" s="160">
        <v>1.4999999999999999E-2</v>
      </c>
      <c r="X112" s="161">
        <v>6</v>
      </c>
      <c r="Y112" s="165">
        <v>0.1</v>
      </c>
      <c r="Z112" s="166">
        <v>0.03</v>
      </c>
      <c r="AA112" s="167">
        <v>9</v>
      </c>
    </row>
    <row r="113" spans="2:27" x14ac:dyDescent="0.25">
      <c r="B113" s="51" t="s">
        <v>733</v>
      </c>
      <c r="C113" s="4" t="s">
        <v>734</v>
      </c>
      <c r="D113" s="142" t="e">
        <v>#VALUE!</v>
      </c>
      <c r="E113" s="142" t="e">
        <v>#VALUE!</v>
      </c>
      <c r="F113" s="4" t="s">
        <v>592</v>
      </c>
      <c r="G113" s="143">
        <v>50000000</v>
      </c>
      <c r="H113" s="4">
        <v>8</v>
      </c>
      <c r="I113" s="143">
        <v>1924747780</v>
      </c>
      <c r="J113" s="144">
        <v>6.3777484772675788</v>
      </c>
      <c r="K113" s="145">
        <v>1.834658624074097E-2</v>
      </c>
      <c r="L113" s="146">
        <v>1</v>
      </c>
      <c r="M113" s="58">
        <v>1</v>
      </c>
      <c r="N113" s="58">
        <v>1</v>
      </c>
      <c r="O113" s="147">
        <v>1</v>
      </c>
      <c r="P113" s="148">
        <v>1E-4</v>
      </c>
      <c r="Q113" s="148">
        <v>1E-4</v>
      </c>
      <c r="R113" s="148">
        <v>1E-4</v>
      </c>
      <c r="S113" s="153">
        <v>0.05</v>
      </c>
      <c r="T113" s="154">
        <v>7.4999999999999997E-3</v>
      </c>
      <c r="U113" s="155">
        <v>3</v>
      </c>
      <c r="V113" s="159">
        <v>9.1732931203704848E-2</v>
      </c>
      <c r="W113" s="160">
        <v>1.4999999999999999E-2</v>
      </c>
      <c r="X113" s="161">
        <v>6</v>
      </c>
      <c r="Y113" s="165">
        <v>0.13759939680555727</v>
      </c>
      <c r="Z113" s="166">
        <v>0.03</v>
      </c>
      <c r="AA113" s="167">
        <v>9</v>
      </c>
    </row>
    <row r="114" spans="2:27" x14ac:dyDescent="0.25">
      <c r="B114" s="51" t="s">
        <v>877</v>
      </c>
      <c r="C114" s="4" t="s">
        <v>1044</v>
      </c>
      <c r="D114" s="142" t="e">
        <v>#VALUE!</v>
      </c>
      <c r="E114" s="142" t="e">
        <v>#VALUE!</v>
      </c>
      <c r="F114" s="4" t="s">
        <v>592</v>
      </c>
      <c r="G114" s="143">
        <v>50000000</v>
      </c>
      <c r="H114" s="4">
        <v>10</v>
      </c>
      <c r="I114" s="143">
        <v>6061323800</v>
      </c>
      <c r="J114" s="144">
        <v>6.9952926985987762</v>
      </c>
      <c r="K114" s="145">
        <v>9.7269135660542558E-3</v>
      </c>
      <c r="L114" s="146">
        <v>1</v>
      </c>
      <c r="M114" s="58">
        <v>1</v>
      </c>
      <c r="N114" s="58">
        <v>1</v>
      </c>
      <c r="O114" s="147">
        <v>1</v>
      </c>
      <c r="P114" s="148">
        <v>1E-4</v>
      </c>
      <c r="Q114" s="148">
        <v>1E-4</v>
      </c>
      <c r="R114" s="148">
        <v>1E-4</v>
      </c>
      <c r="S114" s="153">
        <v>0.05</v>
      </c>
      <c r="T114" s="154">
        <v>7.4999999999999997E-3</v>
      </c>
      <c r="U114" s="155">
        <v>3</v>
      </c>
      <c r="V114" s="159">
        <v>7.4999999999999997E-2</v>
      </c>
      <c r="W114" s="160">
        <v>1.4999999999999999E-2</v>
      </c>
      <c r="X114" s="161">
        <v>6</v>
      </c>
      <c r="Y114" s="165">
        <v>0.1</v>
      </c>
      <c r="Z114" s="166">
        <v>0.03</v>
      </c>
      <c r="AA114" s="167">
        <v>9</v>
      </c>
    </row>
    <row r="115" spans="2:27" x14ac:dyDescent="0.25">
      <c r="B115" s="51" t="s">
        <v>996</v>
      </c>
      <c r="C115" s="4" t="s">
        <v>1045</v>
      </c>
      <c r="D115" s="142" t="e">
        <v>#VALUE!</v>
      </c>
      <c r="E115" s="142" t="e">
        <v>#VALUE!</v>
      </c>
      <c r="F115" s="4" t="s">
        <v>592</v>
      </c>
      <c r="G115" s="143">
        <v>8408014.3200000003</v>
      </c>
      <c r="H115" s="4">
        <v>10</v>
      </c>
      <c r="I115" s="143">
        <v>5715033100</v>
      </c>
      <c r="J115" s="144">
        <v>7.0296351621344808</v>
      </c>
      <c r="K115" s="145">
        <v>1.1188302345804769E-2</v>
      </c>
      <c r="L115" s="146">
        <v>1</v>
      </c>
      <c r="M115" s="58">
        <v>1</v>
      </c>
      <c r="N115" s="58">
        <v>1</v>
      </c>
      <c r="O115" s="147">
        <v>1</v>
      </c>
      <c r="P115" s="148">
        <v>1E-4</v>
      </c>
      <c r="Q115" s="148">
        <v>1E-4</v>
      </c>
      <c r="R115" s="148">
        <v>1E-4</v>
      </c>
      <c r="S115" s="153">
        <v>0.05</v>
      </c>
      <c r="T115" s="154">
        <v>7.4999999999999997E-3</v>
      </c>
      <c r="U115" s="155">
        <v>3</v>
      </c>
      <c r="V115" s="159">
        <v>7.4999999999999997E-2</v>
      </c>
      <c r="W115" s="160">
        <v>1.4999999999999999E-2</v>
      </c>
      <c r="X115" s="161">
        <v>6</v>
      </c>
      <c r="Y115" s="165">
        <v>0.1</v>
      </c>
      <c r="Z115" s="166">
        <v>0.03</v>
      </c>
      <c r="AA115" s="167">
        <v>9</v>
      </c>
    </row>
    <row r="116" spans="2:27" x14ac:dyDescent="0.25">
      <c r="B116" s="51" t="s">
        <v>3450</v>
      </c>
      <c r="C116" s="4" t="s">
        <v>4107</v>
      </c>
      <c r="D116" s="142" t="e">
        <v>#VALUE!</v>
      </c>
      <c r="E116" s="142" t="e">
        <v>#VALUE!</v>
      </c>
      <c r="F116" s="4" t="s">
        <v>592</v>
      </c>
      <c r="G116" s="143">
        <v>3557214.9739999999</v>
      </c>
      <c r="H116" s="4">
        <v>10</v>
      </c>
      <c r="I116" s="143">
        <v>69841986000</v>
      </c>
      <c r="J116" s="144">
        <v>7.7259278706712067</v>
      </c>
      <c r="K116" s="145">
        <v>2.0839580866659151E-2</v>
      </c>
      <c r="L116" s="146">
        <v>1</v>
      </c>
      <c r="M116" s="58">
        <v>1</v>
      </c>
      <c r="N116" s="58">
        <v>1</v>
      </c>
      <c r="O116" s="147">
        <v>1</v>
      </c>
      <c r="P116" s="148">
        <v>1E-4</v>
      </c>
      <c r="Q116" s="148">
        <v>1E-4</v>
      </c>
      <c r="R116" s="148">
        <v>1E-4</v>
      </c>
      <c r="S116" s="153">
        <v>5.209895216664788E-2</v>
      </c>
      <c r="T116" s="154">
        <v>7.4999999999999997E-3</v>
      </c>
      <c r="U116" s="155">
        <v>3</v>
      </c>
      <c r="V116" s="159">
        <v>0.10419790433329576</v>
      </c>
      <c r="W116" s="160">
        <v>1.4999999999999999E-2</v>
      </c>
      <c r="X116" s="161">
        <v>6</v>
      </c>
      <c r="Y116" s="165">
        <v>0.15629685649994363</v>
      </c>
      <c r="Z116" s="166">
        <v>0.03</v>
      </c>
      <c r="AA116" s="167">
        <v>9</v>
      </c>
    </row>
    <row r="117" spans="2:27" x14ac:dyDescent="0.25">
      <c r="B117" s="51" t="s">
        <v>791</v>
      </c>
      <c r="C117" s="4" t="s">
        <v>804</v>
      </c>
      <c r="D117" s="142" t="e">
        <v>#VALUE!</v>
      </c>
      <c r="E117" s="142" t="e">
        <v>#VALUE!</v>
      </c>
      <c r="F117" s="4" t="s">
        <v>592</v>
      </c>
      <c r="G117" s="143">
        <v>50000000</v>
      </c>
      <c r="H117" s="4">
        <v>9</v>
      </c>
      <c r="I117" s="143">
        <v>1924747780</v>
      </c>
      <c r="J117" s="144">
        <v>6.699684611718757</v>
      </c>
      <c r="K117" s="145">
        <v>8.7421676796573793E-3</v>
      </c>
      <c r="L117" s="146">
        <v>1</v>
      </c>
      <c r="M117" s="58">
        <v>1</v>
      </c>
      <c r="N117" s="58">
        <v>1</v>
      </c>
      <c r="O117" s="147">
        <v>1</v>
      </c>
      <c r="P117" s="148">
        <v>1E-4</v>
      </c>
      <c r="Q117" s="148">
        <v>1E-4</v>
      </c>
      <c r="R117" s="148">
        <v>1E-4</v>
      </c>
      <c r="S117" s="153">
        <v>0.05</v>
      </c>
      <c r="T117" s="154">
        <v>7.4999999999999997E-3</v>
      </c>
      <c r="U117" s="155">
        <v>3</v>
      </c>
      <c r="V117" s="159">
        <v>7.4999999999999997E-2</v>
      </c>
      <c r="W117" s="160">
        <v>1.4999999999999999E-2</v>
      </c>
      <c r="X117" s="161">
        <v>6</v>
      </c>
      <c r="Y117" s="165">
        <v>0.1</v>
      </c>
      <c r="Z117" s="166">
        <v>0.03</v>
      </c>
      <c r="AA117" s="167">
        <v>9</v>
      </c>
    </row>
    <row r="118" spans="2:27" x14ac:dyDescent="0.25">
      <c r="B118" s="51" t="s">
        <v>717</v>
      </c>
      <c r="C118" s="4" t="s">
        <v>718</v>
      </c>
      <c r="D118" s="142" t="e">
        <v>#VALUE!</v>
      </c>
      <c r="E118" s="142" t="e">
        <v>#VALUE!</v>
      </c>
      <c r="F118" s="4" t="s">
        <v>592</v>
      </c>
      <c r="G118" s="143">
        <v>50000000</v>
      </c>
      <c r="H118" s="4">
        <v>8</v>
      </c>
      <c r="I118" s="143">
        <v>1924747780</v>
      </c>
      <c r="J118" s="144">
        <v>6.590917993103826</v>
      </c>
      <c r="K118" s="145">
        <v>1.1230155009559263E-2</v>
      </c>
      <c r="L118" s="146">
        <v>1</v>
      </c>
      <c r="M118" s="58">
        <v>1</v>
      </c>
      <c r="N118" s="58">
        <v>1</v>
      </c>
      <c r="O118" s="147">
        <v>1</v>
      </c>
      <c r="P118" s="148">
        <v>1E-4</v>
      </c>
      <c r="Q118" s="148">
        <v>1E-4</v>
      </c>
      <c r="R118" s="148">
        <v>1E-4</v>
      </c>
      <c r="S118" s="153">
        <v>0.05</v>
      </c>
      <c r="T118" s="154">
        <v>7.4999999999999997E-3</v>
      </c>
      <c r="U118" s="155">
        <v>3</v>
      </c>
      <c r="V118" s="159">
        <v>7.4999999999999997E-2</v>
      </c>
      <c r="W118" s="160">
        <v>1.4999999999999999E-2</v>
      </c>
      <c r="X118" s="161">
        <v>6</v>
      </c>
      <c r="Y118" s="165">
        <v>0.1</v>
      </c>
      <c r="Z118" s="166">
        <v>0.03</v>
      </c>
      <c r="AA118" s="167">
        <v>9</v>
      </c>
    </row>
    <row r="119" spans="2:27" x14ac:dyDescent="0.25">
      <c r="B119" s="51" t="s">
        <v>770</v>
      </c>
      <c r="C119" s="4" t="s">
        <v>718</v>
      </c>
      <c r="D119" s="142" t="e">
        <v>#VALUE!</v>
      </c>
      <c r="E119" s="142" t="e">
        <v>#VALUE!</v>
      </c>
      <c r="F119" s="4" t="s">
        <v>592</v>
      </c>
      <c r="G119" s="143">
        <v>50000000</v>
      </c>
      <c r="H119" s="4">
        <v>9</v>
      </c>
      <c r="I119" s="143">
        <v>1924747780</v>
      </c>
      <c r="J119" s="144">
        <v>6.7060723498269912</v>
      </c>
      <c r="K119" s="145">
        <v>8.6145261592364304E-3</v>
      </c>
      <c r="L119" s="146">
        <v>1</v>
      </c>
      <c r="M119" s="58">
        <v>1</v>
      </c>
      <c r="N119" s="58">
        <v>1</v>
      </c>
      <c r="O119" s="147">
        <v>1</v>
      </c>
      <c r="P119" s="148">
        <v>1E-4</v>
      </c>
      <c r="Q119" s="148">
        <v>1E-4</v>
      </c>
      <c r="R119" s="148">
        <v>1E-4</v>
      </c>
      <c r="S119" s="153">
        <v>0.05</v>
      </c>
      <c r="T119" s="154">
        <v>7.4999999999999997E-3</v>
      </c>
      <c r="U119" s="155">
        <v>3</v>
      </c>
      <c r="V119" s="159">
        <v>7.4999999999999997E-2</v>
      </c>
      <c r="W119" s="160">
        <v>1.4999999999999999E-2</v>
      </c>
      <c r="X119" s="161">
        <v>6</v>
      </c>
      <c r="Y119" s="165">
        <v>0.1</v>
      </c>
      <c r="Z119" s="166">
        <v>0.03</v>
      </c>
      <c r="AA119" s="167">
        <v>9</v>
      </c>
    </row>
    <row r="120" spans="2:27" x14ac:dyDescent="0.25">
      <c r="B120" s="51" t="s">
        <v>946</v>
      </c>
      <c r="C120" s="4" t="s">
        <v>1046</v>
      </c>
      <c r="D120" s="142" t="e">
        <v>#VALUE!</v>
      </c>
      <c r="E120" s="142" t="e">
        <v>#VALUE!</v>
      </c>
      <c r="F120" s="4" t="s">
        <v>592</v>
      </c>
      <c r="G120" s="143">
        <v>50000000</v>
      </c>
      <c r="H120" s="4">
        <v>10</v>
      </c>
      <c r="I120" s="143">
        <v>6061323800</v>
      </c>
      <c r="J120" s="144">
        <v>7.0194582606735381</v>
      </c>
      <c r="K120" s="145">
        <v>9.2004590069371551E-3</v>
      </c>
      <c r="L120" s="146">
        <v>1</v>
      </c>
      <c r="M120" s="58">
        <v>1</v>
      </c>
      <c r="N120" s="58">
        <v>1</v>
      </c>
      <c r="O120" s="147">
        <v>1</v>
      </c>
      <c r="P120" s="148">
        <v>1E-4</v>
      </c>
      <c r="Q120" s="148">
        <v>1E-4</v>
      </c>
      <c r="R120" s="148">
        <v>1E-4</v>
      </c>
      <c r="S120" s="153">
        <v>0.05</v>
      </c>
      <c r="T120" s="154">
        <v>7.4999999999999997E-3</v>
      </c>
      <c r="U120" s="155">
        <v>3</v>
      </c>
      <c r="V120" s="159">
        <v>7.4999999999999997E-2</v>
      </c>
      <c r="W120" s="160">
        <v>1.4999999999999999E-2</v>
      </c>
      <c r="X120" s="161">
        <v>6</v>
      </c>
      <c r="Y120" s="165">
        <v>0.1</v>
      </c>
      <c r="Z120" s="166">
        <v>0.03</v>
      </c>
      <c r="AA120" s="167">
        <v>9</v>
      </c>
    </row>
    <row r="121" spans="2:27" x14ac:dyDescent="0.25">
      <c r="B121" s="51" t="s">
        <v>2284</v>
      </c>
      <c r="C121" s="4" t="s">
        <v>4108</v>
      </c>
      <c r="D121" s="142" t="e">
        <v>#VALUE!</v>
      </c>
      <c r="E121" s="142" t="e">
        <v>#VALUE!</v>
      </c>
      <c r="F121" s="4" t="s">
        <v>592</v>
      </c>
      <c r="G121" s="143">
        <v>27379355.420000002</v>
      </c>
      <c r="H121" s="4">
        <v>10</v>
      </c>
      <c r="I121" s="143">
        <v>21799079900</v>
      </c>
      <c r="J121" s="144">
        <v>7.3793902826714639</v>
      </c>
      <c r="K121" s="145">
        <v>1.4718227762809314E-2</v>
      </c>
      <c r="L121" s="146">
        <v>1</v>
      </c>
      <c r="M121" s="58">
        <v>1</v>
      </c>
      <c r="N121" s="58">
        <v>1</v>
      </c>
      <c r="O121" s="147">
        <v>1</v>
      </c>
      <c r="P121" s="148">
        <v>1E-4</v>
      </c>
      <c r="Q121" s="148">
        <v>1E-4</v>
      </c>
      <c r="R121" s="148">
        <v>1E-4</v>
      </c>
      <c r="S121" s="153">
        <v>0.05</v>
      </c>
      <c r="T121" s="154">
        <v>7.4999999999999997E-3</v>
      </c>
      <c r="U121" s="155">
        <v>3</v>
      </c>
      <c r="V121" s="159">
        <v>7.4999999999999997E-2</v>
      </c>
      <c r="W121" s="160">
        <v>1.4999999999999999E-2</v>
      </c>
      <c r="X121" s="161">
        <v>6</v>
      </c>
      <c r="Y121" s="165">
        <v>0.11038670822106986</v>
      </c>
      <c r="Z121" s="166">
        <v>0.03</v>
      </c>
      <c r="AA121" s="167">
        <v>9</v>
      </c>
    </row>
    <row r="122" spans="2:27" x14ac:dyDescent="0.25">
      <c r="B122" s="51" t="s">
        <v>3449</v>
      </c>
      <c r="C122" s="4" t="s">
        <v>4109</v>
      </c>
      <c r="D122" s="142" t="e">
        <v>#VALUE!</v>
      </c>
      <c r="E122" s="142" t="e">
        <v>#VALUE!</v>
      </c>
      <c r="F122" s="4" t="s">
        <v>592</v>
      </c>
      <c r="G122" s="143">
        <v>11480769.949999999</v>
      </c>
      <c r="H122" s="4">
        <v>10</v>
      </c>
      <c r="I122" s="143">
        <v>21799079900</v>
      </c>
      <c r="J122" s="144">
        <v>7.3090592724533492</v>
      </c>
      <c r="K122" s="145">
        <v>1.7305594750542382E-2</v>
      </c>
      <c r="L122" s="146">
        <v>1</v>
      </c>
      <c r="M122" s="58">
        <v>1</v>
      </c>
      <c r="N122" s="58">
        <v>1</v>
      </c>
      <c r="O122" s="147">
        <v>1</v>
      </c>
      <c r="P122" s="148">
        <v>1E-4</v>
      </c>
      <c r="Q122" s="148">
        <v>1E-4</v>
      </c>
      <c r="R122" s="148">
        <v>1E-4</v>
      </c>
      <c r="S122" s="153">
        <v>0.05</v>
      </c>
      <c r="T122" s="154">
        <v>7.4999999999999997E-3</v>
      </c>
      <c r="U122" s="155">
        <v>3</v>
      </c>
      <c r="V122" s="159">
        <v>8.6527973752711915E-2</v>
      </c>
      <c r="W122" s="160">
        <v>1.4999999999999999E-2</v>
      </c>
      <c r="X122" s="161">
        <v>6</v>
      </c>
      <c r="Y122" s="165">
        <v>0.12979196062906787</v>
      </c>
      <c r="Z122" s="166">
        <v>0.03</v>
      </c>
      <c r="AA122" s="167">
        <v>9</v>
      </c>
    </row>
    <row r="123" spans="2:27" x14ac:dyDescent="0.25">
      <c r="B123" s="51" t="s">
        <v>2879</v>
      </c>
      <c r="C123" s="4" t="s">
        <v>4110</v>
      </c>
      <c r="D123" s="142" t="e">
        <v>#VALUE!</v>
      </c>
      <c r="E123" s="142" t="e">
        <v>#VALUE!</v>
      </c>
      <c r="F123" s="4" t="s">
        <v>592</v>
      </c>
      <c r="G123" s="143">
        <v>14643754.949999999</v>
      </c>
      <c r="H123" s="4">
        <v>10</v>
      </c>
      <c r="I123" s="143">
        <v>21799079900</v>
      </c>
      <c r="J123" s="144">
        <v>7.3736975646770135</v>
      </c>
      <c r="K123" s="145">
        <v>1.4912423792440408E-2</v>
      </c>
      <c r="L123" s="146">
        <v>1</v>
      </c>
      <c r="M123" s="58">
        <v>1</v>
      </c>
      <c r="N123" s="58">
        <v>1</v>
      </c>
      <c r="O123" s="147">
        <v>1</v>
      </c>
      <c r="P123" s="148">
        <v>1E-4</v>
      </c>
      <c r="Q123" s="148">
        <v>1E-4</v>
      </c>
      <c r="R123" s="148">
        <v>1E-4</v>
      </c>
      <c r="S123" s="153">
        <v>0.05</v>
      </c>
      <c r="T123" s="154">
        <v>7.4999999999999997E-3</v>
      </c>
      <c r="U123" s="155">
        <v>3</v>
      </c>
      <c r="V123" s="159">
        <v>7.4999999999999997E-2</v>
      </c>
      <c r="W123" s="160">
        <v>1.4999999999999999E-2</v>
      </c>
      <c r="X123" s="161">
        <v>6</v>
      </c>
      <c r="Y123" s="165">
        <v>0.11184317844330306</v>
      </c>
      <c r="Z123" s="166">
        <v>0.03</v>
      </c>
      <c r="AA123" s="167">
        <v>9</v>
      </c>
    </row>
    <row r="124" spans="2:27" x14ac:dyDescent="0.25">
      <c r="B124" s="51" t="s">
        <v>3448</v>
      </c>
      <c r="C124" s="4" t="s">
        <v>4111</v>
      </c>
      <c r="D124" s="142" t="e">
        <v>#VALUE!</v>
      </c>
      <c r="E124" s="142" t="e">
        <v>#VALUE!</v>
      </c>
      <c r="F124" s="4" t="s">
        <v>592</v>
      </c>
      <c r="G124" s="143">
        <v>10957931.82</v>
      </c>
      <c r="H124" s="4">
        <v>10</v>
      </c>
      <c r="I124" s="143">
        <v>6061323800</v>
      </c>
      <c r="J124" s="144">
        <v>6.9768821417832259</v>
      </c>
      <c r="K124" s="145">
        <v>1.0148120455507365E-2</v>
      </c>
      <c r="L124" s="146">
        <v>1</v>
      </c>
      <c r="M124" s="58">
        <v>1</v>
      </c>
      <c r="N124" s="58">
        <v>1</v>
      </c>
      <c r="O124" s="147">
        <v>1</v>
      </c>
      <c r="P124" s="148">
        <v>1E-4</v>
      </c>
      <c r="Q124" s="148">
        <v>1E-4</v>
      </c>
      <c r="R124" s="148">
        <v>1E-4</v>
      </c>
      <c r="S124" s="153">
        <v>0.05</v>
      </c>
      <c r="T124" s="154">
        <v>7.4999999999999997E-3</v>
      </c>
      <c r="U124" s="155">
        <v>3</v>
      </c>
      <c r="V124" s="159">
        <v>7.4999999999999997E-2</v>
      </c>
      <c r="W124" s="160">
        <v>1.4999999999999999E-2</v>
      </c>
      <c r="X124" s="161">
        <v>6</v>
      </c>
      <c r="Y124" s="165">
        <v>0.1</v>
      </c>
      <c r="Z124" s="166">
        <v>0.03</v>
      </c>
      <c r="AA124" s="167">
        <v>9</v>
      </c>
    </row>
    <row r="125" spans="2:27" x14ac:dyDescent="0.25">
      <c r="B125" s="51" t="s">
        <v>1890</v>
      </c>
      <c r="C125" s="4" t="s">
        <v>4112</v>
      </c>
      <c r="D125" s="142" t="e">
        <v>#VALUE!</v>
      </c>
      <c r="E125" s="142" t="e">
        <v>#VALUE!</v>
      </c>
      <c r="F125" s="4" t="s">
        <v>592</v>
      </c>
      <c r="G125" s="143">
        <v>355028.098</v>
      </c>
      <c r="H125" s="4">
        <v>9</v>
      </c>
      <c r="I125" s="143">
        <v>1924747780</v>
      </c>
      <c r="J125" s="144">
        <v>6.6751156765639932</v>
      </c>
      <c r="K125" s="145">
        <v>9.2509869304955514E-3</v>
      </c>
      <c r="L125" s="146">
        <v>1</v>
      </c>
      <c r="M125" s="58">
        <v>1</v>
      </c>
      <c r="N125" s="58">
        <v>1</v>
      </c>
      <c r="O125" s="147">
        <v>1</v>
      </c>
      <c r="P125" s="148">
        <v>1E-4</v>
      </c>
      <c r="Q125" s="148">
        <v>1E-4</v>
      </c>
      <c r="R125" s="148">
        <v>1E-4</v>
      </c>
      <c r="S125" s="153">
        <v>0.05</v>
      </c>
      <c r="T125" s="154">
        <v>7.4999999999999997E-3</v>
      </c>
      <c r="U125" s="155">
        <v>3</v>
      </c>
      <c r="V125" s="159">
        <v>7.4999999999999997E-2</v>
      </c>
      <c r="W125" s="160">
        <v>1.4999999999999999E-2</v>
      </c>
      <c r="X125" s="161">
        <v>6</v>
      </c>
      <c r="Y125" s="165">
        <v>0.1</v>
      </c>
      <c r="Z125" s="166">
        <v>0.03</v>
      </c>
      <c r="AA125" s="167">
        <v>9</v>
      </c>
    </row>
    <row r="126" spans="2:27" x14ac:dyDescent="0.25">
      <c r="B126" s="51" t="s">
        <v>572</v>
      </c>
      <c r="C126" s="4" t="s">
        <v>577</v>
      </c>
      <c r="D126" s="142" t="e">
        <v>#VALUE!</v>
      </c>
      <c r="E126" s="142" t="e">
        <v>#VALUE!</v>
      </c>
      <c r="F126" s="4" t="s">
        <v>592</v>
      </c>
      <c r="G126" s="143">
        <v>50000000</v>
      </c>
      <c r="H126" s="4">
        <v>9</v>
      </c>
      <c r="I126" s="143">
        <v>2467061760</v>
      </c>
      <c r="J126" s="144">
        <v>6.7199911497346285</v>
      </c>
      <c r="K126" s="145">
        <v>1.0019593455037629E-2</v>
      </c>
      <c r="L126" s="146">
        <v>1</v>
      </c>
      <c r="M126" s="58">
        <v>1</v>
      </c>
      <c r="N126" s="58">
        <v>1</v>
      </c>
      <c r="O126" s="147">
        <v>1</v>
      </c>
      <c r="P126" s="148">
        <v>1E-4</v>
      </c>
      <c r="Q126" s="148">
        <v>1E-4</v>
      </c>
      <c r="R126" s="148">
        <v>1E-4</v>
      </c>
      <c r="S126" s="153">
        <v>0.05</v>
      </c>
      <c r="T126" s="154">
        <v>7.4999999999999997E-3</v>
      </c>
      <c r="U126" s="155">
        <v>3</v>
      </c>
      <c r="V126" s="159">
        <v>7.4999999999999997E-2</v>
      </c>
      <c r="W126" s="160">
        <v>1.4999999999999999E-2</v>
      </c>
      <c r="X126" s="161">
        <v>6</v>
      </c>
      <c r="Y126" s="165">
        <v>0.1</v>
      </c>
      <c r="Z126" s="166">
        <v>0.03</v>
      </c>
      <c r="AA126" s="167">
        <v>9</v>
      </c>
    </row>
    <row r="127" spans="2:27" x14ac:dyDescent="0.25">
      <c r="B127" s="51" t="s">
        <v>1413</v>
      </c>
      <c r="C127" s="4" t="s">
        <v>4113</v>
      </c>
      <c r="D127" s="142" t="e">
        <v>#VALUE!</v>
      </c>
      <c r="E127" s="142" t="e">
        <v>#VALUE!</v>
      </c>
      <c r="F127" s="4" t="s">
        <v>592</v>
      </c>
      <c r="G127" s="143">
        <v>50000000</v>
      </c>
      <c r="H127" s="4">
        <v>9</v>
      </c>
      <c r="I127" s="143">
        <v>1924747780</v>
      </c>
      <c r="J127" s="144">
        <v>6.6925040982193451</v>
      </c>
      <c r="K127" s="145">
        <v>8.8879099489278975E-3</v>
      </c>
      <c r="L127" s="146">
        <v>1</v>
      </c>
      <c r="M127" s="58">
        <v>1</v>
      </c>
      <c r="N127" s="58">
        <v>1</v>
      </c>
      <c r="O127" s="147">
        <v>1</v>
      </c>
      <c r="P127" s="148">
        <v>1E-4</v>
      </c>
      <c r="Q127" s="148">
        <v>1E-4</v>
      </c>
      <c r="R127" s="148">
        <v>1E-4</v>
      </c>
      <c r="S127" s="153">
        <v>0.05</v>
      </c>
      <c r="T127" s="154">
        <v>7.4999999999999997E-3</v>
      </c>
      <c r="U127" s="155">
        <v>3</v>
      </c>
      <c r="V127" s="159">
        <v>7.4999999999999997E-2</v>
      </c>
      <c r="W127" s="160">
        <v>1.4999999999999999E-2</v>
      </c>
      <c r="X127" s="161">
        <v>6</v>
      </c>
      <c r="Y127" s="165">
        <v>0.1</v>
      </c>
      <c r="Z127" s="166">
        <v>0.03</v>
      </c>
      <c r="AA127" s="167">
        <v>9</v>
      </c>
    </row>
    <row r="128" spans="2:27" x14ac:dyDescent="0.25">
      <c r="B128" s="51" t="s">
        <v>1417</v>
      </c>
      <c r="C128" s="4" t="s">
        <v>4114</v>
      </c>
      <c r="D128" s="142" t="e">
        <v>#VALUE!</v>
      </c>
      <c r="E128" s="142" t="e">
        <v>#VALUE!</v>
      </c>
      <c r="F128" s="4" t="s">
        <v>592</v>
      </c>
      <c r="G128" s="143">
        <v>50000000</v>
      </c>
      <c r="H128" s="4">
        <v>7</v>
      </c>
      <c r="I128" s="143">
        <v>5362412.5</v>
      </c>
      <c r="J128" s="144">
        <v>4.1758233098360904</v>
      </c>
      <c r="K128" s="145">
        <v>5.6785464065232478E-3</v>
      </c>
      <c r="L128" s="146">
        <v>1</v>
      </c>
      <c r="M128" s="58">
        <v>1</v>
      </c>
      <c r="N128" s="58">
        <v>1</v>
      </c>
      <c r="O128" s="147">
        <v>1</v>
      </c>
      <c r="P128" s="148">
        <v>3.1567618393254998E-3</v>
      </c>
      <c r="Q128" s="148">
        <v>2.2242596086917E-3</v>
      </c>
      <c r="R128" s="148">
        <v>1.5050730922363E-3</v>
      </c>
      <c r="S128" s="153">
        <v>0.05</v>
      </c>
      <c r="T128" s="154">
        <v>7.4999999999999997E-3</v>
      </c>
      <c r="U128" s="155">
        <v>3</v>
      </c>
      <c r="V128" s="159">
        <v>7.4999999999999997E-2</v>
      </c>
      <c r="W128" s="160">
        <v>1.4999999999999999E-2</v>
      </c>
      <c r="X128" s="161">
        <v>6</v>
      </c>
      <c r="Y128" s="165">
        <v>0.1</v>
      </c>
      <c r="Z128" s="166">
        <v>0.03</v>
      </c>
      <c r="AA128" s="167">
        <v>9</v>
      </c>
    </row>
    <row r="129" spans="2:27" x14ac:dyDescent="0.25">
      <c r="B129" s="51" t="s">
        <v>1421</v>
      </c>
      <c r="C129" s="4" t="s">
        <v>4115</v>
      </c>
      <c r="D129" s="142" t="e">
        <v>#VALUE!</v>
      </c>
      <c r="E129" s="142" t="e">
        <v>#VALUE!</v>
      </c>
      <c r="F129" s="4" t="s">
        <v>592</v>
      </c>
      <c r="G129" s="143">
        <v>50000000</v>
      </c>
      <c r="H129" s="4">
        <v>7</v>
      </c>
      <c r="I129" s="143">
        <v>5362412.5</v>
      </c>
      <c r="J129" s="144">
        <v>4.1758233098360904</v>
      </c>
      <c r="K129" s="145">
        <v>5.6785464065232478E-3</v>
      </c>
      <c r="L129" s="146">
        <v>1</v>
      </c>
      <c r="M129" s="58">
        <v>1</v>
      </c>
      <c r="N129" s="58">
        <v>1</v>
      </c>
      <c r="O129" s="147">
        <v>1</v>
      </c>
      <c r="P129" s="148">
        <v>3.1299343666942002E-3</v>
      </c>
      <c r="Q129" s="148">
        <v>2.1980076260801999E-3</v>
      </c>
      <c r="R129" s="148">
        <v>1.4792649527052E-3</v>
      </c>
      <c r="S129" s="153">
        <v>0.05</v>
      </c>
      <c r="T129" s="154">
        <v>7.4999999999999997E-3</v>
      </c>
      <c r="U129" s="155">
        <v>3</v>
      </c>
      <c r="V129" s="159">
        <v>7.4999999999999997E-2</v>
      </c>
      <c r="W129" s="160">
        <v>1.4999999999999999E-2</v>
      </c>
      <c r="X129" s="161">
        <v>6</v>
      </c>
      <c r="Y129" s="165">
        <v>0.1</v>
      </c>
      <c r="Z129" s="166">
        <v>0.03</v>
      </c>
      <c r="AA129" s="167">
        <v>9</v>
      </c>
    </row>
    <row r="130" spans="2:27" x14ac:dyDescent="0.25">
      <c r="B130" s="51" t="s">
        <v>1423</v>
      </c>
      <c r="C130" s="4" t="s">
        <v>4116</v>
      </c>
      <c r="D130" s="142" t="e">
        <v>#VALUE!</v>
      </c>
      <c r="E130" s="142" t="e">
        <v>#VALUE!</v>
      </c>
      <c r="F130" s="4" t="s">
        <v>592</v>
      </c>
      <c r="G130" s="143">
        <v>50000000</v>
      </c>
      <c r="H130" s="4">
        <v>7</v>
      </c>
      <c r="I130" s="143">
        <v>5362412.5</v>
      </c>
      <c r="J130" s="144">
        <v>4.0056254564773308</v>
      </c>
      <c r="K130" s="145">
        <v>8.4030129464640543E-3</v>
      </c>
      <c r="L130" s="146">
        <v>1</v>
      </c>
      <c r="M130" s="58">
        <v>1</v>
      </c>
      <c r="N130" s="58">
        <v>1</v>
      </c>
      <c r="O130" s="147">
        <v>1</v>
      </c>
      <c r="P130" s="148">
        <v>3.2095365407666999E-3</v>
      </c>
      <c r="Q130" s="148">
        <v>2.2813440680493E-3</v>
      </c>
      <c r="R130" s="148">
        <v>1.5654814254474E-3</v>
      </c>
      <c r="S130" s="153">
        <v>0.05</v>
      </c>
      <c r="T130" s="154">
        <v>7.4999999999999997E-3</v>
      </c>
      <c r="U130" s="155">
        <v>3</v>
      </c>
      <c r="V130" s="159">
        <v>7.4999999999999997E-2</v>
      </c>
      <c r="W130" s="160">
        <v>1.4999999999999999E-2</v>
      </c>
      <c r="X130" s="161">
        <v>6</v>
      </c>
      <c r="Y130" s="165">
        <v>0.1</v>
      </c>
      <c r="Z130" s="166">
        <v>0.03</v>
      </c>
      <c r="AA130" s="167">
        <v>9</v>
      </c>
    </row>
    <row r="131" spans="2:27" x14ac:dyDescent="0.25">
      <c r="B131" s="51" t="s">
        <v>1425</v>
      </c>
      <c r="C131" s="4" t="s">
        <v>4117</v>
      </c>
      <c r="D131" s="142" t="e">
        <v>#VALUE!</v>
      </c>
      <c r="E131" s="142" t="e">
        <v>#VALUE!</v>
      </c>
      <c r="F131" s="4" t="s">
        <v>592</v>
      </c>
      <c r="G131" s="143">
        <v>50000000</v>
      </c>
      <c r="H131" s="4">
        <v>7</v>
      </c>
      <c r="I131" s="143">
        <v>4979937.5</v>
      </c>
      <c r="J131" s="144">
        <v>3.9571189026763487</v>
      </c>
      <c r="K131" s="145">
        <v>8.7258001095766608E-3</v>
      </c>
      <c r="L131" s="146">
        <v>1</v>
      </c>
      <c r="M131" s="58">
        <v>1</v>
      </c>
      <c r="N131" s="58">
        <v>1</v>
      </c>
      <c r="O131" s="147">
        <v>1</v>
      </c>
      <c r="P131" s="148">
        <v>3.6935237535056999E-3</v>
      </c>
      <c r="Q131" s="148">
        <v>2.7142475348988001E-3</v>
      </c>
      <c r="R131" s="148">
        <v>1.9589868725958001E-3</v>
      </c>
      <c r="S131" s="153">
        <v>0.05</v>
      </c>
      <c r="T131" s="154">
        <v>7.4999999999999997E-3</v>
      </c>
      <c r="U131" s="155">
        <v>3</v>
      </c>
      <c r="V131" s="159">
        <v>7.4999999999999997E-2</v>
      </c>
      <c r="W131" s="160">
        <v>1.4999999999999999E-2</v>
      </c>
      <c r="X131" s="161">
        <v>6</v>
      </c>
      <c r="Y131" s="165">
        <v>0.1</v>
      </c>
      <c r="Z131" s="166">
        <v>0.03</v>
      </c>
      <c r="AA131" s="167">
        <v>9</v>
      </c>
    </row>
    <row r="132" spans="2:27" x14ac:dyDescent="0.25">
      <c r="B132" s="51" t="s">
        <v>1428</v>
      </c>
      <c r="C132" s="4" t="s">
        <v>4118</v>
      </c>
      <c r="D132" s="142" t="e">
        <v>#VALUE!</v>
      </c>
      <c r="E132" s="142" t="e">
        <v>#VALUE!</v>
      </c>
      <c r="F132" s="4" t="s">
        <v>592</v>
      </c>
      <c r="G132" s="143">
        <v>50000000</v>
      </c>
      <c r="H132" s="4">
        <v>8</v>
      </c>
      <c r="I132" s="143">
        <v>1924747780</v>
      </c>
      <c r="J132" s="144">
        <v>6.3367051414396949</v>
      </c>
      <c r="K132" s="145">
        <v>2.0165017466638808E-2</v>
      </c>
      <c r="L132" s="146">
        <v>1</v>
      </c>
      <c r="M132" s="58">
        <v>1</v>
      </c>
      <c r="N132" s="58">
        <v>1</v>
      </c>
      <c r="O132" s="147">
        <v>1</v>
      </c>
      <c r="P132" s="148">
        <v>1E-4</v>
      </c>
      <c r="Q132" s="148">
        <v>1E-4</v>
      </c>
      <c r="R132" s="148">
        <v>1E-4</v>
      </c>
      <c r="S132" s="153">
        <v>5.0412543666597018E-2</v>
      </c>
      <c r="T132" s="154">
        <v>7.4999999999999997E-3</v>
      </c>
      <c r="U132" s="155">
        <v>3</v>
      </c>
      <c r="V132" s="159">
        <v>0.10082508733319404</v>
      </c>
      <c r="W132" s="160">
        <v>1.4999999999999999E-2</v>
      </c>
      <c r="X132" s="161">
        <v>6</v>
      </c>
      <c r="Y132" s="165">
        <v>0.15123763099979107</v>
      </c>
      <c r="Z132" s="166">
        <v>0.03</v>
      </c>
      <c r="AA132" s="167">
        <v>9</v>
      </c>
    </row>
    <row r="133" spans="2:27" x14ac:dyDescent="0.25">
      <c r="B133" s="51" t="s">
        <v>1432</v>
      </c>
      <c r="C133" s="4" t="s">
        <v>4119</v>
      </c>
      <c r="D133" s="142" t="e">
        <v>#VALUE!</v>
      </c>
      <c r="E133" s="142" t="e">
        <v>#VALUE!</v>
      </c>
      <c r="F133" s="4" t="s">
        <v>592</v>
      </c>
      <c r="G133" s="143">
        <v>50000000</v>
      </c>
      <c r="H133" s="4">
        <v>8</v>
      </c>
      <c r="I133" s="143">
        <v>1924747780</v>
      </c>
      <c r="J133" s="144">
        <v>6.5648672622448272</v>
      </c>
      <c r="K133" s="145">
        <v>1.19243985132168E-2</v>
      </c>
      <c r="L133" s="146">
        <v>1</v>
      </c>
      <c r="M133" s="58">
        <v>1</v>
      </c>
      <c r="N133" s="58">
        <v>1</v>
      </c>
      <c r="O133" s="147">
        <v>1</v>
      </c>
      <c r="P133" s="148">
        <v>1E-4</v>
      </c>
      <c r="Q133" s="148">
        <v>1E-4</v>
      </c>
      <c r="R133" s="148">
        <v>1E-4</v>
      </c>
      <c r="S133" s="153">
        <v>0.05</v>
      </c>
      <c r="T133" s="154">
        <v>7.4999999999999997E-3</v>
      </c>
      <c r="U133" s="155">
        <v>3</v>
      </c>
      <c r="V133" s="159">
        <v>7.4999999999999997E-2</v>
      </c>
      <c r="W133" s="160">
        <v>1.4999999999999999E-2</v>
      </c>
      <c r="X133" s="161">
        <v>6</v>
      </c>
      <c r="Y133" s="165">
        <v>0.1</v>
      </c>
      <c r="Z133" s="166">
        <v>0.03</v>
      </c>
      <c r="AA133" s="167">
        <v>9</v>
      </c>
    </row>
    <row r="134" spans="2:27" x14ac:dyDescent="0.25">
      <c r="B134" s="51" t="s">
        <v>590</v>
      </c>
      <c r="C134" s="4" t="s">
        <v>591</v>
      </c>
      <c r="D134" s="142" t="e">
        <v>#VALUE!</v>
      </c>
      <c r="E134" s="142" t="e">
        <v>#VALUE!</v>
      </c>
      <c r="F134" s="4" t="s">
        <v>592</v>
      </c>
      <c r="G134" s="143">
        <v>50000000</v>
      </c>
      <c r="H134" s="4">
        <v>7</v>
      </c>
      <c r="I134" s="143">
        <v>81521560</v>
      </c>
      <c r="J134" s="144">
        <v>5.2625065902759909</v>
      </c>
      <c r="K134" s="145">
        <v>7.070761065775504E-3</v>
      </c>
      <c r="L134" s="146">
        <v>1</v>
      </c>
      <c r="M134" s="58">
        <v>1</v>
      </c>
      <c r="N134" s="58">
        <v>1</v>
      </c>
      <c r="O134" s="147">
        <v>1</v>
      </c>
      <c r="P134" s="148">
        <v>7.9189077204245997E-4</v>
      </c>
      <c r="Q134" s="148">
        <v>1.5210024984474999E-4</v>
      </c>
      <c r="R134" s="148">
        <v>1E-4</v>
      </c>
      <c r="S134" s="153">
        <v>0.05</v>
      </c>
      <c r="T134" s="154">
        <v>7.4999999999999997E-3</v>
      </c>
      <c r="U134" s="155">
        <v>3</v>
      </c>
      <c r="V134" s="159">
        <v>7.4999999999999997E-2</v>
      </c>
      <c r="W134" s="160">
        <v>1.4999999999999999E-2</v>
      </c>
      <c r="X134" s="161">
        <v>6</v>
      </c>
      <c r="Y134" s="165">
        <v>0.1</v>
      </c>
      <c r="Z134" s="166">
        <v>0.03</v>
      </c>
      <c r="AA134" s="167">
        <v>9</v>
      </c>
    </row>
    <row r="135" spans="2:27" x14ac:dyDescent="0.25">
      <c r="B135" s="51" t="s">
        <v>1438</v>
      </c>
      <c r="C135" s="4" t="s">
        <v>4120</v>
      </c>
      <c r="D135" s="142" t="e">
        <v>#VALUE!</v>
      </c>
      <c r="E135" s="142" t="e">
        <v>#VALUE!</v>
      </c>
      <c r="F135" s="4" t="s">
        <v>592</v>
      </c>
      <c r="G135" s="143">
        <v>50000000</v>
      </c>
      <c r="H135" s="4">
        <v>9</v>
      </c>
      <c r="I135" s="143">
        <v>2467061760</v>
      </c>
      <c r="J135" s="144">
        <v>6.7709001351330755</v>
      </c>
      <c r="K135" s="145">
        <v>8.9113010362690172E-3</v>
      </c>
      <c r="L135" s="146">
        <v>1</v>
      </c>
      <c r="M135" s="58">
        <v>1</v>
      </c>
      <c r="N135" s="58">
        <v>1</v>
      </c>
      <c r="O135" s="147">
        <v>1</v>
      </c>
      <c r="P135" s="148">
        <v>1E-4</v>
      </c>
      <c r="Q135" s="148">
        <v>1E-4</v>
      </c>
      <c r="R135" s="148">
        <v>1E-4</v>
      </c>
      <c r="S135" s="153">
        <v>0.05</v>
      </c>
      <c r="T135" s="154">
        <v>7.4999999999999997E-3</v>
      </c>
      <c r="U135" s="155">
        <v>3</v>
      </c>
      <c r="V135" s="159">
        <v>7.4999999999999997E-2</v>
      </c>
      <c r="W135" s="160">
        <v>1.4999999999999999E-2</v>
      </c>
      <c r="X135" s="161">
        <v>6</v>
      </c>
      <c r="Y135" s="165">
        <v>0.1</v>
      </c>
      <c r="Z135" s="166">
        <v>0.03</v>
      </c>
      <c r="AA135" s="167">
        <v>9</v>
      </c>
    </row>
    <row r="136" spans="2:27" x14ac:dyDescent="0.25">
      <c r="B136" s="51" t="s">
        <v>1441</v>
      </c>
      <c r="C136" s="4" t="s">
        <v>4121</v>
      </c>
      <c r="D136" s="142" t="e">
        <v>#VALUE!</v>
      </c>
      <c r="E136" s="142" t="e">
        <v>#VALUE!</v>
      </c>
      <c r="F136" s="4" t="s">
        <v>592</v>
      </c>
      <c r="G136" s="143">
        <v>50000000</v>
      </c>
      <c r="H136" s="4">
        <v>7</v>
      </c>
      <c r="I136" s="143">
        <v>220161152</v>
      </c>
      <c r="J136" s="144">
        <v>5.6779249224922328</v>
      </c>
      <c r="K136" s="145">
        <v>9.9698735439296329E-3</v>
      </c>
      <c r="L136" s="146">
        <v>1</v>
      </c>
      <c r="M136" s="58">
        <v>1</v>
      </c>
      <c r="N136" s="58">
        <v>1</v>
      </c>
      <c r="O136" s="147">
        <v>1</v>
      </c>
      <c r="P136" s="148">
        <v>1E-4</v>
      </c>
      <c r="Q136" s="148">
        <v>1E-4</v>
      </c>
      <c r="R136" s="148">
        <v>1E-4</v>
      </c>
      <c r="S136" s="153">
        <v>0.05</v>
      </c>
      <c r="T136" s="154">
        <v>7.4999999999999997E-3</v>
      </c>
      <c r="U136" s="155">
        <v>3</v>
      </c>
      <c r="V136" s="159">
        <v>7.4999999999999997E-2</v>
      </c>
      <c r="W136" s="160">
        <v>1.4999999999999999E-2</v>
      </c>
      <c r="X136" s="161">
        <v>6</v>
      </c>
      <c r="Y136" s="165">
        <v>0.1</v>
      </c>
      <c r="Z136" s="166">
        <v>0.03</v>
      </c>
      <c r="AA136" s="167">
        <v>9</v>
      </c>
    </row>
    <row r="137" spans="2:27" x14ac:dyDescent="0.25">
      <c r="B137" s="51" t="s">
        <v>815</v>
      </c>
      <c r="C137" s="4" t="s">
        <v>819</v>
      </c>
      <c r="D137" s="142" t="e">
        <v>#VALUE!</v>
      </c>
      <c r="E137" s="142" t="e">
        <v>#VALUE!</v>
      </c>
      <c r="F137" s="4" t="s">
        <v>592</v>
      </c>
      <c r="G137" s="143">
        <v>50000000</v>
      </c>
      <c r="H137" s="4">
        <v>10</v>
      </c>
      <c r="I137" s="143">
        <v>6061323800</v>
      </c>
      <c r="J137" s="144">
        <v>7.0642566618482645</v>
      </c>
      <c r="K137" s="145">
        <v>8.2987196522129915E-3</v>
      </c>
      <c r="L137" s="146">
        <v>1</v>
      </c>
      <c r="M137" s="58">
        <v>1</v>
      </c>
      <c r="N137" s="58">
        <v>1</v>
      </c>
      <c r="O137" s="147">
        <v>1</v>
      </c>
      <c r="P137" s="148">
        <v>1E-4</v>
      </c>
      <c r="Q137" s="148">
        <v>1E-4</v>
      </c>
      <c r="R137" s="148">
        <v>1E-4</v>
      </c>
      <c r="S137" s="153">
        <v>0.05</v>
      </c>
      <c r="T137" s="154">
        <v>7.4999999999999997E-3</v>
      </c>
      <c r="U137" s="155">
        <v>3</v>
      </c>
      <c r="V137" s="159">
        <v>7.4999999999999997E-2</v>
      </c>
      <c r="W137" s="160">
        <v>1.4999999999999999E-2</v>
      </c>
      <c r="X137" s="161">
        <v>6</v>
      </c>
      <c r="Y137" s="165">
        <v>0.1</v>
      </c>
      <c r="Z137" s="166">
        <v>0.03</v>
      </c>
      <c r="AA137" s="167">
        <v>9</v>
      </c>
    </row>
    <row r="138" spans="2:27" x14ac:dyDescent="0.25">
      <c r="B138" s="51" t="s">
        <v>535</v>
      </c>
      <c r="C138" s="4" t="s">
        <v>536</v>
      </c>
      <c r="D138" s="142" t="e">
        <v>#VALUE!</v>
      </c>
      <c r="E138" s="142" t="e">
        <v>#VALUE!</v>
      </c>
      <c r="F138" s="4" t="s">
        <v>592</v>
      </c>
      <c r="G138" s="143">
        <v>50000000</v>
      </c>
      <c r="H138" s="4">
        <v>10</v>
      </c>
      <c r="I138" s="143">
        <v>6061323800</v>
      </c>
      <c r="J138" s="144">
        <v>7.0642566618482645</v>
      </c>
      <c r="K138" s="145">
        <v>8.2987196522129915E-3</v>
      </c>
      <c r="L138" s="146">
        <v>1</v>
      </c>
      <c r="M138" s="58">
        <v>1</v>
      </c>
      <c r="N138" s="58">
        <v>1</v>
      </c>
      <c r="O138" s="147">
        <v>1</v>
      </c>
      <c r="P138" s="148">
        <v>1E-4</v>
      </c>
      <c r="Q138" s="148">
        <v>1E-4</v>
      </c>
      <c r="R138" s="148">
        <v>1E-4</v>
      </c>
      <c r="S138" s="153">
        <v>0.05</v>
      </c>
      <c r="T138" s="154">
        <v>7.4999999999999997E-3</v>
      </c>
      <c r="U138" s="155">
        <v>3</v>
      </c>
      <c r="V138" s="159">
        <v>7.4999999999999997E-2</v>
      </c>
      <c r="W138" s="160">
        <v>1.4999999999999999E-2</v>
      </c>
      <c r="X138" s="161">
        <v>6</v>
      </c>
      <c r="Y138" s="165">
        <v>0.1</v>
      </c>
      <c r="Z138" s="166">
        <v>0.03</v>
      </c>
      <c r="AA138" s="167">
        <v>9</v>
      </c>
    </row>
    <row r="139" spans="2:27" x14ac:dyDescent="0.25">
      <c r="B139" s="51" t="s">
        <v>1799</v>
      </c>
      <c r="C139" s="4" t="s">
        <v>560</v>
      </c>
      <c r="D139" s="142" t="e">
        <v>#VALUE!</v>
      </c>
      <c r="E139" s="142" t="e">
        <v>#VALUE!</v>
      </c>
      <c r="F139" s="4" t="s">
        <v>592</v>
      </c>
      <c r="G139" s="143">
        <v>1631176.2679999999</v>
      </c>
      <c r="H139" s="4">
        <v>10</v>
      </c>
      <c r="I139" s="143">
        <v>6061323800</v>
      </c>
      <c r="J139" s="144">
        <v>7.0642566618482645</v>
      </c>
      <c r="K139" s="145">
        <v>8.2987196522129915E-3</v>
      </c>
      <c r="L139" s="146">
        <v>1</v>
      </c>
      <c r="M139" s="58">
        <v>1</v>
      </c>
      <c r="N139" s="58">
        <v>1</v>
      </c>
      <c r="O139" s="147">
        <v>1</v>
      </c>
      <c r="P139" s="148">
        <v>1E-4</v>
      </c>
      <c r="Q139" s="148">
        <v>1E-4</v>
      </c>
      <c r="R139" s="148">
        <v>1E-4</v>
      </c>
      <c r="S139" s="153">
        <v>0.05</v>
      </c>
      <c r="T139" s="154">
        <v>7.4999999999999997E-3</v>
      </c>
      <c r="U139" s="155">
        <v>3</v>
      </c>
      <c r="V139" s="159">
        <v>7.4999999999999997E-2</v>
      </c>
      <c r="W139" s="160">
        <v>1.4999999999999999E-2</v>
      </c>
      <c r="X139" s="161">
        <v>6</v>
      </c>
      <c r="Y139" s="165">
        <v>0.1</v>
      </c>
      <c r="Z139" s="166">
        <v>0.03</v>
      </c>
      <c r="AA139" s="167">
        <v>9</v>
      </c>
    </row>
    <row r="140" spans="2:27" x14ac:dyDescent="0.25">
      <c r="B140" s="51" t="s">
        <v>518</v>
      </c>
      <c r="C140" s="4" t="s">
        <v>520</v>
      </c>
      <c r="D140" s="142" t="e">
        <v>#VALUE!</v>
      </c>
      <c r="E140" s="142" t="e">
        <v>#VALUE!</v>
      </c>
      <c r="F140" s="4" t="s">
        <v>592</v>
      </c>
      <c r="G140" s="143">
        <v>50000000</v>
      </c>
      <c r="H140" s="4">
        <v>9</v>
      </c>
      <c r="I140" s="143">
        <v>6061323800</v>
      </c>
      <c r="J140" s="144">
        <v>6.8871826788456341</v>
      </c>
      <c r="K140" s="145">
        <v>1.2476278954093336E-2</v>
      </c>
      <c r="L140" s="146">
        <v>1</v>
      </c>
      <c r="M140" s="58">
        <v>1</v>
      </c>
      <c r="N140" s="58">
        <v>1</v>
      </c>
      <c r="O140" s="147">
        <v>1</v>
      </c>
      <c r="P140" s="148">
        <v>1E-4</v>
      </c>
      <c r="Q140" s="148">
        <v>1E-4</v>
      </c>
      <c r="R140" s="148">
        <v>1E-4</v>
      </c>
      <c r="S140" s="153">
        <v>0.05</v>
      </c>
      <c r="T140" s="154">
        <v>7.4999999999999997E-3</v>
      </c>
      <c r="U140" s="155">
        <v>3</v>
      </c>
      <c r="V140" s="159">
        <v>7.4999999999999997E-2</v>
      </c>
      <c r="W140" s="160">
        <v>1.4999999999999999E-2</v>
      </c>
      <c r="X140" s="161">
        <v>6</v>
      </c>
      <c r="Y140" s="165">
        <v>0.1</v>
      </c>
      <c r="Z140" s="166">
        <v>0.03</v>
      </c>
      <c r="AA140" s="167">
        <v>9</v>
      </c>
    </row>
    <row r="141" spans="2:27" x14ac:dyDescent="0.25">
      <c r="B141" s="51" t="s">
        <v>519</v>
      </c>
      <c r="C141" s="4" t="s">
        <v>525</v>
      </c>
      <c r="D141" s="142" t="e">
        <v>#VALUE!</v>
      </c>
      <c r="E141" s="142" t="e">
        <v>#VALUE!</v>
      </c>
      <c r="F141" s="4" t="s">
        <v>592</v>
      </c>
      <c r="G141" s="143">
        <v>50000000</v>
      </c>
      <c r="H141" s="4">
        <v>10</v>
      </c>
      <c r="I141" s="143">
        <v>6061323800</v>
      </c>
      <c r="J141" s="144">
        <v>7.0573951086186995</v>
      </c>
      <c r="K141" s="145">
        <v>8.4308749302006662E-3</v>
      </c>
      <c r="L141" s="146">
        <v>1</v>
      </c>
      <c r="M141" s="58">
        <v>1</v>
      </c>
      <c r="N141" s="58">
        <v>1</v>
      </c>
      <c r="O141" s="147">
        <v>1</v>
      </c>
      <c r="P141" s="148">
        <v>1E-4</v>
      </c>
      <c r="Q141" s="148">
        <v>1E-4</v>
      </c>
      <c r="R141" s="148">
        <v>1E-4</v>
      </c>
      <c r="S141" s="153">
        <v>0.05</v>
      </c>
      <c r="T141" s="154">
        <v>7.4999999999999997E-3</v>
      </c>
      <c r="U141" s="155">
        <v>3</v>
      </c>
      <c r="V141" s="159">
        <v>7.4999999999999997E-2</v>
      </c>
      <c r="W141" s="160">
        <v>1.4999999999999999E-2</v>
      </c>
      <c r="X141" s="161">
        <v>6</v>
      </c>
      <c r="Y141" s="165">
        <v>0.1</v>
      </c>
      <c r="Z141" s="166">
        <v>0.03</v>
      </c>
      <c r="AA141" s="167">
        <v>9</v>
      </c>
    </row>
    <row r="142" spans="2:27" x14ac:dyDescent="0.25">
      <c r="B142" s="51" t="s">
        <v>636</v>
      </c>
      <c r="C142" s="4" t="s">
        <v>637</v>
      </c>
      <c r="D142" s="142" t="e">
        <v>#VALUE!</v>
      </c>
      <c r="E142" s="142" t="e">
        <v>#VALUE!</v>
      </c>
      <c r="F142" s="4" t="s">
        <v>592</v>
      </c>
      <c r="G142" s="143">
        <v>50000000</v>
      </c>
      <c r="H142" s="4">
        <v>10</v>
      </c>
      <c r="I142" s="143">
        <v>6061323800</v>
      </c>
      <c r="J142" s="144">
        <v>7.0642566618482645</v>
      </c>
      <c r="K142" s="323">
        <v>8.2987196522129915E-3</v>
      </c>
      <c r="L142" s="146">
        <v>1</v>
      </c>
      <c r="M142" s="58">
        <v>1</v>
      </c>
      <c r="N142" s="58">
        <v>1</v>
      </c>
      <c r="O142" s="147">
        <v>1</v>
      </c>
      <c r="P142" s="148">
        <v>1E-4</v>
      </c>
      <c r="Q142" s="148">
        <v>1E-4</v>
      </c>
      <c r="R142" s="148">
        <v>1E-4</v>
      </c>
      <c r="S142" s="153">
        <v>0.05</v>
      </c>
      <c r="T142" s="154">
        <v>7.4999999999999997E-3</v>
      </c>
      <c r="U142" s="155">
        <v>3</v>
      </c>
      <c r="V142" s="159">
        <v>7.4999999999999997E-2</v>
      </c>
      <c r="W142" s="160">
        <v>1.4999999999999999E-2</v>
      </c>
      <c r="X142" s="161">
        <v>6</v>
      </c>
      <c r="Y142" s="165">
        <v>0.1</v>
      </c>
      <c r="Z142" s="166">
        <v>0.03</v>
      </c>
      <c r="AA142" s="167">
        <v>9</v>
      </c>
    </row>
    <row r="143" spans="2:27" x14ac:dyDescent="0.25">
      <c r="B143" s="51" t="s">
        <v>661</v>
      </c>
      <c r="C143" s="4" t="s">
        <v>681</v>
      </c>
      <c r="D143" s="142" t="e">
        <v>#VALUE!</v>
      </c>
      <c r="E143" s="142" t="e">
        <v>#VALUE!</v>
      </c>
      <c r="F143" s="4" t="s">
        <v>592</v>
      </c>
      <c r="G143" s="143">
        <v>50000000</v>
      </c>
      <c r="H143" s="4">
        <v>7</v>
      </c>
      <c r="I143" s="143">
        <v>220161152</v>
      </c>
      <c r="J143" s="144">
        <v>5.6752429575448788</v>
      </c>
      <c r="K143" s="145">
        <v>1.003163252305842E-2</v>
      </c>
      <c r="L143" s="146">
        <v>1</v>
      </c>
      <c r="M143" s="58">
        <v>1</v>
      </c>
      <c r="N143" s="58">
        <v>1</v>
      </c>
      <c r="O143" s="147">
        <v>1</v>
      </c>
      <c r="P143" s="148">
        <v>1E-4</v>
      </c>
      <c r="Q143" s="148">
        <v>1E-4</v>
      </c>
      <c r="R143" s="148">
        <v>1E-4</v>
      </c>
      <c r="S143" s="153">
        <v>0.05</v>
      </c>
      <c r="T143" s="154">
        <v>7.4999999999999997E-3</v>
      </c>
      <c r="U143" s="155">
        <v>3</v>
      </c>
      <c r="V143" s="159">
        <v>7.4999999999999997E-2</v>
      </c>
      <c r="W143" s="160">
        <v>1.4999999999999999E-2</v>
      </c>
      <c r="X143" s="161">
        <v>6</v>
      </c>
      <c r="Y143" s="165">
        <v>0.1</v>
      </c>
      <c r="Z143" s="166">
        <v>0.03</v>
      </c>
      <c r="AA143" s="167">
        <v>9</v>
      </c>
    </row>
    <row r="144" spans="2:27" x14ac:dyDescent="0.25">
      <c r="B144" s="51" t="s">
        <v>4122</v>
      </c>
      <c r="C144" s="4" t="s">
        <v>4123</v>
      </c>
      <c r="D144" s="142" t="e">
        <v>#VALUE!</v>
      </c>
      <c r="E144" s="142" t="e">
        <v>#VALUE!</v>
      </c>
      <c r="F144" s="4" t="s">
        <v>592</v>
      </c>
      <c r="G144" s="143">
        <v>29039380.690000001</v>
      </c>
      <c r="H144" s="4">
        <v>10</v>
      </c>
      <c r="I144" s="143">
        <v>21799079900</v>
      </c>
      <c r="J144" s="144">
        <v>7.4089310774457866</v>
      </c>
      <c r="K144" s="145">
        <v>1.3750380766271443E-2</v>
      </c>
      <c r="L144" s="146">
        <v>1</v>
      </c>
      <c r="M144" s="58">
        <v>1</v>
      </c>
      <c r="N144" s="58">
        <v>1</v>
      </c>
      <c r="O144" s="147">
        <v>1</v>
      </c>
      <c r="P144" s="148">
        <v>1E-4</v>
      </c>
      <c r="Q144" s="148">
        <v>1E-4</v>
      </c>
      <c r="R144" s="148">
        <v>1E-4</v>
      </c>
      <c r="S144" s="153">
        <v>0.05</v>
      </c>
      <c r="T144" s="154">
        <v>7.4999999999999997E-3</v>
      </c>
      <c r="U144" s="155">
        <v>3</v>
      </c>
      <c r="V144" s="159">
        <v>7.4999999999999997E-2</v>
      </c>
      <c r="W144" s="160">
        <v>1.4999999999999999E-2</v>
      </c>
      <c r="X144" s="161">
        <v>6</v>
      </c>
      <c r="Y144" s="165">
        <v>0.10312785574703583</v>
      </c>
      <c r="Z144" s="166">
        <v>0.03</v>
      </c>
      <c r="AA144" s="167">
        <v>9</v>
      </c>
    </row>
    <row r="145" spans="2:27" x14ac:dyDescent="0.25">
      <c r="B145" s="51" t="s">
        <v>988</v>
      </c>
      <c r="C145" s="4" t="s">
        <v>1047</v>
      </c>
      <c r="D145" s="142" t="e">
        <v>#VALUE!</v>
      </c>
      <c r="E145" s="142" t="e">
        <v>#VALUE!</v>
      </c>
      <c r="F145" s="4" t="s">
        <v>592</v>
      </c>
      <c r="G145" s="143">
        <v>50000000</v>
      </c>
      <c r="H145" s="4">
        <v>10</v>
      </c>
      <c r="I145" s="143">
        <v>6061323800</v>
      </c>
      <c r="J145" s="144">
        <v>7.0642566618482645</v>
      </c>
      <c r="K145" s="145">
        <v>8.2987196522129915E-3</v>
      </c>
      <c r="L145" s="146">
        <v>1</v>
      </c>
      <c r="M145" s="58">
        <v>1</v>
      </c>
      <c r="N145" s="58">
        <v>1</v>
      </c>
      <c r="O145" s="147">
        <v>1</v>
      </c>
      <c r="P145" s="148">
        <v>1E-4</v>
      </c>
      <c r="Q145" s="148">
        <v>1E-4</v>
      </c>
      <c r="R145" s="148">
        <v>1E-4</v>
      </c>
      <c r="S145" s="153">
        <v>0.05</v>
      </c>
      <c r="T145" s="154">
        <v>7.4999999999999997E-3</v>
      </c>
      <c r="U145" s="155">
        <v>3</v>
      </c>
      <c r="V145" s="159">
        <v>7.4999999999999997E-2</v>
      </c>
      <c r="W145" s="160">
        <v>1.4999999999999999E-2</v>
      </c>
      <c r="X145" s="161">
        <v>6</v>
      </c>
      <c r="Y145" s="165">
        <v>0.1</v>
      </c>
      <c r="Z145" s="166">
        <v>0.03</v>
      </c>
      <c r="AA145" s="167">
        <v>9</v>
      </c>
    </row>
    <row r="146" spans="2:27" x14ac:dyDescent="0.25">
      <c r="B146" s="51" t="s">
        <v>894</v>
      </c>
      <c r="C146" s="4" t="s">
        <v>1048</v>
      </c>
      <c r="D146" s="142" t="e">
        <v>#VALUE!</v>
      </c>
      <c r="E146" s="142" t="e">
        <v>#VALUE!</v>
      </c>
      <c r="F146" s="4" t="s">
        <v>592</v>
      </c>
      <c r="G146" s="143">
        <v>50000000</v>
      </c>
      <c r="H146" s="4">
        <v>9</v>
      </c>
      <c r="I146" s="143">
        <v>1924747780</v>
      </c>
      <c r="J146" s="144">
        <v>6.6630121724532732</v>
      </c>
      <c r="K146" s="145">
        <v>9.5124321378010218E-3</v>
      </c>
      <c r="L146" s="146">
        <v>1</v>
      </c>
      <c r="M146" s="58">
        <v>1</v>
      </c>
      <c r="N146" s="58">
        <v>1</v>
      </c>
      <c r="O146" s="147">
        <v>1</v>
      </c>
      <c r="P146" s="148">
        <v>1E-4</v>
      </c>
      <c r="Q146" s="148">
        <v>1E-4</v>
      </c>
      <c r="R146" s="148">
        <v>1E-4</v>
      </c>
      <c r="S146" s="153">
        <v>0.05</v>
      </c>
      <c r="T146" s="154">
        <v>7.4999999999999997E-3</v>
      </c>
      <c r="U146" s="155">
        <v>3</v>
      </c>
      <c r="V146" s="159">
        <v>7.4999999999999997E-2</v>
      </c>
      <c r="W146" s="160">
        <v>1.4999999999999999E-2</v>
      </c>
      <c r="X146" s="161">
        <v>6</v>
      </c>
      <c r="Y146" s="165">
        <v>0.1</v>
      </c>
      <c r="Z146" s="166">
        <v>0.03</v>
      </c>
      <c r="AA146" s="167">
        <v>9</v>
      </c>
    </row>
    <row r="147" spans="2:27" x14ac:dyDescent="0.25">
      <c r="B147" s="51" t="s">
        <v>4124</v>
      </c>
      <c r="C147" s="4" t="s">
        <v>4125</v>
      </c>
      <c r="D147" s="142" t="e">
        <v>#VALUE!</v>
      </c>
      <c r="E147" s="142" t="e">
        <v>#VALUE!</v>
      </c>
      <c r="F147" s="4" t="s">
        <v>592</v>
      </c>
      <c r="G147" s="143">
        <v>25215509.699999999</v>
      </c>
      <c r="H147" s="4">
        <v>9</v>
      </c>
      <c r="I147" s="143">
        <v>9360997400</v>
      </c>
      <c r="J147" s="144">
        <v>6.9440483951132874</v>
      </c>
      <c r="K147" s="145">
        <v>1.7351475253177817E-2</v>
      </c>
      <c r="L147" s="146">
        <v>1</v>
      </c>
      <c r="M147" s="58">
        <v>1</v>
      </c>
      <c r="N147" s="58">
        <v>1</v>
      </c>
      <c r="O147" s="147">
        <v>1</v>
      </c>
      <c r="P147" s="148">
        <v>1E-4</v>
      </c>
      <c r="Q147" s="148">
        <v>1E-4</v>
      </c>
      <c r="R147" s="148">
        <v>1E-4</v>
      </c>
      <c r="S147" s="153">
        <v>0.05</v>
      </c>
      <c r="T147" s="154">
        <v>7.4999999999999997E-3</v>
      </c>
      <c r="U147" s="155">
        <v>3</v>
      </c>
      <c r="V147" s="159">
        <v>8.6757376265889086E-2</v>
      </c>
      <c r="W147" s="160">
        <v>1.4999999999999999E-2</v>
      </c>
      <c r="X147" s="161">
        <v>6</v>
      </c>
      <c r="Y147" s="165">
        <v>0.13013606439883363</v>
      </c>
      <c r="Z147" s="166">
        <v>0.03</v>
      </c>
      <c r="AA147" s="167">
        <v>9</v>
      </c>
    </row>
    <row r="148" spans="2:27" x14ac:dyDescent="0.25">
      <c r="B148" s="51" t="s">
        <v>3650</v>
      </c>
      <c r="C148" s="4" t="s">
        <v>4126</v>
      </c>
      <c r="D148" s="142" t="e">
        <v>#VALUE!</v>
      </c>
      <c r="E148" s="142" t="e">
        <v>#VALUE!</v>
      </c>
      <c r="F148" s="4" t="s">
        <v>592</v>
      </c>
      <c r="G148" s="143">
        <v>15325019.699999999</v>
      </c>
      <c r="H148" s="4">
        <v>7</v>
      </c>
      <c r="I148" s="143">
        <v>236846656</v>
      </c>
      <c r="J148" s="144">
        <v>5.0193033058773509</v>
      </c>
      <c r="K148" s="145">
        <v>3.5963688046596262E-2</v>
      </c>
      <c r="L148" s="146">
        <v>1</v>
      </c>
      <c r="M148" s="58">
        <v>1</v>
      </c>
      <c r="N148" s="58">
        <v>1</v>
      </c>
      <c r="O148" s="147">
        <v>1</v>
      </c>
      <c r="P148" s="148">
        <v>2.5613742195823999E-3</v>
      </c>
      <c r="Q148" s="148">
        <v>1.6055815284410999E-3</v>
      </c>
      <c r="R148" s="148">
        <v>8.6843238990423003E-4</v>
      </c>
      <c r="S148" s="153">
        <v>8.9909220116490662E-2</v>
      </c>
      <c r="T148" s="154">
        <v>7.4999999999999997E-3</v>
      </c>
      <c r="U148" s="155">
        <v>3</v>
      </c>
      <c r="V148" s="159">
        <v>0.17981844023298132</v>
      </c>
      <c r="W148" s="160">
        <v>1.4999999999999999E-2</v>
      </c>
      <c r="X148" s="161">
        <v>6</v>
      </c>
      <c r="Y148" s="165">
        <v>0.26972766034947199</v>
      </c>
      <c r="Z148" s="166">
        <v>0.03</v>
      </c>
      <c r="AA148" s="167">
        <v>9</v>
      </c>
    </row>
    <row r="149" spans="2:27" x14ac:dyDescent="0.25">
      <c r="B149" s="51" t="s">
        <v>1831</v>
      </c>
      <c r="C149" s="4" t="s">
        <v>4127</v>
      </c>
      <c r="D149" s="142" t="e">
        <v>#VALUE!</v>
      </c>
      <c r="E149" s="142" t="e">
        <v>#VALUE!</v>
      </c>
      <c r="F149" s="4" t="s">
        <v>592</v>
      </c>
      <c r="G149" s="143">
        <v>532179.0882</v>
      </c>
      <c r="H149" s="4">
        <v>8</v>
      </c>
      <c r="I149" s="143">
        <v>1615141630</v>
      </c>
      <c r="J149" s="144">
        <v>6.4144611256323554</v>
      </c>
      <c r="K149" s="145">
        <v>1.0508780543252364E-2</v>
      </c>
      <c r="L149" s="146">
        <v>1</v>
      </c>
      <c r="M149" s="58">
        <v>1</v>
      </c>
      <c r="N149" s="58">
        <v>1</v>
      </c>
      <c r="O149" s="147">
        <v>1</v>
      </c>
      <c r="P149" s="148">
        <v>1E-4</v>
      </c>
      <c r="Q149" s="148">
        <v>1E-4</v>
      </c>
      <c r="R149" s="148">
        <v>1E-4</v>
      </c>
      <c r="S149" s="153">
        <v>0.05</v>
      </c>
      <c r="T149" s="154">
        <v>7.4999999999999997E-3</v>
      </c>
      <c r="U149" s="155">
        <v>3</v>
      </c>
      <c r="V149" s="159">
        <v>7.4999999999999997E-2</v>
      </c>
      <c r="W149" s="160">
        <v>1.4999999999999999E-2</v>
      </c>
      <c r="X149" s="161">
        <v>6</v>
      </c>
      <c r="Y149" s="165">
        <v>0.1</v>
      </c>
      <c r="Z149" s="166">
        <v>0.03</v>
      </c>
      <c r="AA149" s="167">
        <v>9</v>
      </c>
    </row>
    <row r="150" spans="2:27" x14ac:dyDescent="0.25">
      <c r="B150" s="51" t="s">
        <v>1486</v>
      </c>
      <c r="C150" s="4" t="s">
        <v>4128</v>
      </c>
      <c r="D150" s="142" t="e">
        <v>#VALUE!</v>
      </c>
      <c r="E150" s="142" t="e">
        <v>#VALUE!</v>
      </c>
      <c r="F150" s="4" t="s">
        <v>592</v>
      </c>
      <c r="G150" s="143">
        <v>50000000</v>
      </c>
      <c r="H150" s="4">
        <v>8</v>
      </c>
      <c r="I150" s="143">
        <v>1615141630</v>
      </c>
      <c r="J150" s="144">
        <v>6.5383723269165346</v>
      </c>
      <c r="K150" s="145">
        <v>7.9002552177095814E-3</v>
      </c>
      <c r="L150" s="146">
        <v>1</v>
      </c>
      <c r="M150" s="58">
        <v>1</v>
      </c>
      <c r="N150" s="58">
        <v>1</v>
      </c>
      <c r="O150" s="147">
        <v>1</v>
      </c>
      <c r="P150" s="148">
        <v>1E-4</v>
      </c>
      <c r="Q150" s="148">
        <v>1E-4</v>
      </c>
      <c r="R150" s="148">
        <v>1E-4</v>
      </c>
      <c r="S150" s="153">
        <v>0.05</v>
      </c>
      <c r="T150" s="154">
        <v>7.4999999999999997E-3</v>
      </c>
      <c r="U150" s="155">
        <v>3</v>
      </c>
      <c r="V150" s="159">
        <v>7.4999999999999997E-2</v>
      </c>
      <c r="W150" s="160">
        <v>1.4999999999999999E-2</v>
      </c>
      <c r="X150" s="161">
        <v>6</v>
      </c>
      <c r="Y150" s="165">
        <v>0.1</v>
      </c>
      <c r="Z150" s="166">
        <v>0.03</v>
      </c>
      <c r="AA150" s="167">
        <v>9</v>
      </c>
    </row>
    <row r="151" spans="2:27" x14ac:dyDescent="0.25">
      <c r="B151" s="51" t="s">
        <v>1491</v>
      </c>
      <c r="C151" s="4" t="s">
        <v>4129</v>
      </c>
      <c r="D151" s="142" t="e">
        <v>#VALUE!</v>
      </c>
      <c r="E151" s="142" t="e">
        <v>#VALUE!</v>
      </c>
      <c r="F151" s="4" t="s">
        <v>592</v>
      </c>
      <c r="G151" s="143">
        <v>50000000</v>
      </c>
      <c r="H151" s="4">
        <v>8</v>
      </c>
      <c r="I151" s="143">
        <v>498956544</v>
      </c>
      <c r="J151" s="144">
        <v>5.9446886015711895</v>
      </c>
      <c r="K151" s="145">
        <v>1.1267870141583463E-2</v>
      </c>
      <c r="L151" s="146">
        <v>1</v>
      </c>
      <c r="M151" s="58">
        <v>1</v>
      </c>
      <c r="N151" s="58">
        <v>1</v>
      </c>
      <c r="O151" s="147">
        <v>1</v>
      </c>
      <c r="P151" s="148">
        <v>1E-4</v>
      </c>
      <c r="Q151" s="148">
        <v>1E-4</v>
      </c>
      <c r="R151" s="148">
        <v>1E-4</v>
      </c>
      <c r="S151" s="153">
        <v>0.05</v>
      </c>
      <c r="T151" s="154">
        <v>7.4999999999999997E-3</v>
      </c>
      <c r="U151" s="155">
        <v>3</v>
      </c>
      <c r="V151" s="159">
        <v>7.4999999999999997E-2</v>
      </c>
      <c r="W151" s="160">
        <v>1.4999999999999999E-2</v>
      </c>
      <c r="X151" s="161">
        <v>6</v>
      </c>
      <c r="Y151" s="165">
        <v>0.1</v>
      </c>
      <c r="Z151" s="166">
        <v>0.03</v>
      </c>
      <c r="AA151" s="167">
        <v>9</v>
      </c>
    </row>
    <row r="152" spans="2:27" x14ac:dyDescent="0.25">
      <c r="B152" s="51" t="s">
        <v>1495</v>
      </c>
      <c r="C152" s="4" t="s">
        <v>4130</v>
      </c>
      <c r="D152" s="142" t="e">
        <v>#VALUE!</v>
      </c>
      <c r="E152" s="142" t="e">
        <v>#VALUE!</v>
      </c>
      <c r="F152" s="4" t="s">
        <v>592</v>
      </c>
      <c r="G152" s="143">
        <v>50000000</v>
      </c>
      <c r="H152" s="4">
        <v>8</v>
      </c>
      <c r="I152" s="143">
        <v>498956544</v>
      </c>
      <c r="J152" s="144">
        <v>5.9164717509518141</v>
      </c>
      <c r="K152" s="145">
        <v>1.2024269010831212E-2</v>
      </c>
      <c r="L152" s="146">
        <v>1</v>
      </c>
      <c r="M152" s="58">
        <v>1</v>
      </c>
      <c r="N152" s="58">
        <v>1</v>
      </c>
      <c r="O152" s="147">
        <v>1</v>
      </c>
      <c r="P152" s="148">
        <v>1E-4</v>
      </c>
      <c r="Q152" s="148">
        <v>1E-4</v>
      </c>
      <c r="R152" s="148">
        <v>1E-4</v>
      </c>
      <c r="S152" s="153">
        <v>0.05</v>
      </c>
      <c r="T152" s="154">
        <v>7.4999999999999997E-3</v>
      </c>
      <c r="U152" s="155">
        <v>3</v>
      </c>
      <c r="V152" s="159">
        <v>7.4999999999999997E-2</v>
      </c>
      <c r="W152" s="160">
        <v>1.4999999999999999E-2</v>
      </c>
      <c r="X152" s="161">
        <v>6</v>
      </c>
      <c r="Y152" s="165">
        <v>0.1</v>
      </c>
      <c r="Z152" s="166">
        <v>0.03</v>
      </c>
      <c r="AA152" s="167">
        <v>9</v>
      </c>
    </row>
    <row r="153" spans="2:27" x14ac:dyDescent="0.25">
      <c r="B153" s="51" t="s">
        <v>1499</v>
      </c>
      <c r="C153" s="4" t="s">
        <v>4131</v>
      </c>
      <c r="D153" s="142" t="e">
        <v>#VALUE!</v>
      </c>
      <c r="E153" s="142" t="e">
        <v>#VALUE!</v>
      </c>
      <c r="F153" s="4" t="s">
        <v>592</v>
      </c>
      <c r="G153" s="143">
        <v>50000000</v>
      </c>
      <c r="H153" s="4">
        <v>7</v>
      </c>
      <c r="I153" s="143">
        <v>152533440</v>
      </c>
      <c r="J153" s="144">
        <v>5.2958246728678064</v>
      </c>
      <c r="K153" s="145">
        <v>1.225295002762585E-2</v>
      </c>
      <c r="L153" s="146">
        <v>1</v>
      </c>
      <c r="M153" s="58">
        <v>1</v>
      </c>
      <c r="N153" s="58">
        <v>1</v>
      </c>
      <c r="O153" s="147">
        <v>1</v>
      </c>
      <c r="P153" s="148">
        <v>1.3068892692883001E-3</v>
      </c>
      <c r="Q153" s="148">
        <v>3.5109657814706003E-4</v>
      </c>
      <c r="R153" s="148">
        <v>1E-4</v>
      </c>
      <c r="S153" s="153">
        <v>0.05</v>
      </c>
      <c r="T153" s="154">
        <v>7.4999999999999997E-3</v>
      </c>
      <c r="U153" s="155">
        <v>3</v>
      </c>
      <c r="V153" s="159">
        <v>7.4999999999999997E-2</v>
      </c>
      <c r="W153" s="160">
        <v>1.4999999999999999E-2</v>
      </c>
      <c r="X153" s="161">
        <v>6</v>
      </c>
      <c r="Y153" s="165">
        <v>0.1</v>
      </c>
      <c r="Z153" s="166">
        <v>0.03</v>
      </c>
      <c r="AA153" s="167">
        <v>9</v>
      </c>
    </row>
    <row r="154" spans="2:27" x14ac:dyDescent="0.25">
      <c r="B154" s="51" t="s">
        <v>1507</v>
      </c>
      <c r="C154" s="4" t="s">
        <v>4132</v>
      </c>
      <c r="D154" s="142" t="e">
        <v>#VALUE!</v>
      </c>
      <c r="E154" s="142" t="e">
        <v>#VALUE!</v>
      </c>
      <c r="F154" s="4" t="s">
        <v>592</v>
      </c>
      <c r="G154" s="143">
        <v>50000000</v>
      </c>
      <c r="H154" s="4">
        <v>8</v>
      </c>
      <c r="I154" s="143">
        <v>498956544</v>
      </c>
      <c r="J154" s="144">
        <v>5.8798735070845654</v>
      </c>
      <c r="K154" s="145">
        <v>1.3081481390657831E-2</v>
      </c>
      <c r="L154" s="146">
        <v>1</v>
      </c>
      <c r="M154" s="58">
        <v>1</v>
      </c>
      <c r="N154" s="58">
        <v>1</v>
      </c>
      <c r="O154" s="147">
        <v>1</v>
      </c>
      <c r="P154" s="148">
        <v>2.0942329838451E-4</v>
      </c>
      <c r="Q154" s="148">
        <v>1E-4</v>
      </c>
      <c r="R154" s="148">
        <v>1E-4</v>
      </c>
      <c r="S154" s="153">
        <v>0.05</v>
      </c>
      <c r="T154" s="154">
        <v>7.4999999999999997E-3</v>
      </c>
      <c r="U154" s="155">
        <v>3</v>
      </c>
      <c r="V154" s="159">
        <v>7.4999999999999997E-2</v>
      </c>
      <c r="W154" s="160">
        <v>1.4999999999999999E-2</v>
      </c>
      <c r="X154" s="161">
        <v>6</v>
      </c>
      <c r="Y154" s="165">
        <v>0.1</v>
      </c>
      <c r="Z154" s="166">
        <v>0.03</v>
      </c>
      <c r="AA154" s="167">
        <v>9</v>
      </c>
    </row>
    <row r="155" spans="2:27" x14ac:dyDescent="0.25">
      <c r="B155" s="51" t="s">
        <v>1511</v>
      </c>
      <c r="C155" s="4" t="s">
        <v>4133</v>
      </c>
      <c r="D155" s="142" t="e">
        <v>#VALUE!</v>
      </c>
      <c r="E155" s="142" t="e">
        <v>#VALUE!</v>
      </c>
      <c r="F155" s="4" t="s">
        <v>592</v>
      </c>
      <c r="G155" s="143">
        <v>50000000</v>
      </c>
      <c r="H155" s="4">
        <v>7</v>
      </c>
      <c r="I155" s="143">
        <v>152533440</v>
      </c>
      <c r="J155" s="144">
        <v>5.24935769432948</v>
      </c>
      <c r="K155" s="145">
        <v>1.3636648330897946E-2</v>
      </c>
      <c r="L155" s="146">
        <v>1</v>
      </c>
      <c r="M155" s="58">
        <v>1</v>
      </c>
      <c r="N155" s="58">
        <v>1</v>
      </c>
      <c r="O155" s="147">
        <v>1</v>
      </c>
      <c r="P155" s="148">
        <v>1.4580980810568001E-3</v>
      </c>
      <c r="Q155" s="148">
        <v>5.0230538991555003E-4</v>
      </c>
      <c r="R155" s="148">
        <v>1E-4</v>
      </c>
      <c r="S155" s="153">
        <v>0.05</v>
      </c>
      <c r="T155" s="154">
        <v>7.4999999999999997E-3</v>
      </c>
      <c r="U155" s="155">
        <v>3</v>
      </c>
      <c r="V155" s="159">
        <v>7.4999999999999997E-2</v>
      </c>
      <c r="W155" s="160">
        <v>1.4999999999999999E-2</v>
      </c>
      <c r="X155" s="161">
        <v>6</v>
      </c>
      <c r="Y155" s="165">
        <v>0.10227486248173459</v>
      </c>
      <c r="Z155" s="166">
        <v>0.03</v>
      </c>
      <c r="AA155" s="167">
        <v>9</v>
      </c>
    </row>
    <row r="156" spans="2:27" x14ac:dyDescent="0.25">
      <c r="B156" s="51" t="s">
        <v>1516</v>
      </c>
      <c r="C156" s="4" t="s">
        <v>4134</v>
      </c>
      <c r="D156" s="142" t="e">
        <v>#VALUE!</v>
      </c>
      <c r="E156" s="142" t="e">
        <v>#VALUE!</v>
      </c>
      <c r="F156" s="4" t="s">
        <v>592</v>
      </c>
      <c r="G156" s="143">
        <v>50000000</v>
      </c>
      <c r="H156" s="4">
        <v>7</v>
      </c>
      <c r="I156" s="143">
        <v>5214404</v>
      </c>
      <c r="J156" s="144">
        <v>4.0238709682079712</v>
      </c>
      <c r="K156" s="145">
        <v>7.8349093935283845E-3</v>
      </c>
      <c r="L156" s="146">
        <v>1</v>
      </c>
      <c r="M156" s="58">
        <v>1</v>
      </c>
      <c r="N156" s="58">
        <v>1</v>
      </c>
      <c r="O156" s="147">
        <v>1</v>
      </c>
      <c r="P156" s="148">
        <v>3.3048663900370999E-3</v>
      </c>
      <c r="Q156" s="148">
        <v>2.3598021982674999E-3</v>
      </c>
      <c r="R156" s="148">
        <v>1.630927347809E-3</v>
      </c>
      <c r="S156" s="153">
        <v>0.05</v>
      </c>
      <c r="T156" s="154">
        <v>7.4999999999999997E-3</v>
      </c>
      <c r="U156" s="155">
        <v>3</v>
      </c>
      <c r="V156" s="159">
        <v>7.4999999999999997E-2</v>
      </c>
      <c r="W156" s="160">
        <v>1.4999999999999999E-2</v>
      </c>
      <c r="X156" s="161">
        <v>6</v>
      </c>
      <c r="Y156" s="165">
        <v>0.1</v>
      </c>
      <c r="Z156" s="166">
        <v>0.03</v>
      </c>
      <c r="AA156" s="167">
        <v>9</v>
      </c>
    </row>
    <row r="157" spans="2:27" x14ac:dyDescent="0.25">
      <c r="B157" s="51" t="s">
        <v>1520</v>
      </c>
      <c r="C157" s="4" t="s">
        <v>4135</v>
      </c>
      <c r="D157" s="142" t="e">
        <v>#VALUE!</v>
      </c>
      <c r="E157" s="142" t="e">
        <v>#VALUE!</v>
      </c>
      <c r="F157" s="4" t="s">
        <v>592</v>
      </c>
      <c r="G157" s="143">
        <v>50000000</v>
      </c>
      <c r="H157" s="4">
        <v>6</v>
      </c>
      <c r="I157" s="143">
        <v>0</v>
      </c>
      <c r="J157" s="144">
        <v>2.656786448932718</v>
      </c>
      <c r="K157" s="145">
        <v>9.1830319722014352E-3</v>
      </c>
      <c r="L157" s="146">
        <v>100</v>
      </c>
      <c r="M157" s="58">
        <v>46</v>
      </c>
      <c r="N157" s="58">
        <v>3</v>
      </c>
      <c r="O157" s="147">
        <v>1</v>
      </c>
      <c r="P157" s="148">
        <v>2.4735975759640001E-2</v>
      </c>
      <c r="Q157" s="148">
        <v>2.0515819675045E-2</v>
      </c>
      <c r="R157" s="148">
        <v>1.7261050674315999E-2</v>
      </c>
      <c r="S157" s="153">
        <v>0.05</v>
      </c>
      <c r="T157" s="154">
        <v>1.7261050674315999E-2</v>
      </c>
      <c r="U157" s="155">
        <v>20.5</v>
      </c>
      <c r="V157" s="159">
        <v>7.4999999999999997E-2</v>
      </c>
      <c r="W157" s="160">
        <v>3.4522101348631998E-2</v>
      </c>
      <c r="X157" s="161">
        <v>41</v>
      </c>
      <c r="Y157" s="165">
        <v>0.1</v>
      </c>
      <c r="Z157" s="166">
        <v>6.9044202697263996E-2</v>
      </c>
      <c r="AA157" s="167">
        <v>61.5</v>
      </c>
    </row>
    <row r="158" spans="2:27" x14ac:dyDescent="0.25">
      <c r="B158" s="51" t="s">
        <v>1524</v>
      </c>
      <c r="C158" s="4" t="s">
        <v>4136</v>
      </c>
      <c r="D158" s="142" t="e">
        <v>#VALUE!</v>
      </c>
      <c r="E158" s="142" t="e">
        <v>#VALUE!</v>
      </c>
      <c r="F158" s="4" t="s">
        <v>592</v>
      </c>
      <c r="G158" s="143">
        <v>50000000</v>
      </c>
      <c r="H158" s="4">
        <v>7</v>
      </c>
      <c r="I158" s="143">
        <v>5214404</v>
      </c>
      <c r="J158" s="144">
        <v>4.1461153361915111</v>
      </c>
      <c r="K158" s="145">
        <v>5.9127512758201531E-3</v>
      </c>
      <c r="L158" s="146">
        <v>1</v>
      </c>
      <c r="M158" s="58">
        <v>1</v>
      </c>
      <c r="N158" s="58">
        <v>1</v>
      </c>
      <c r="O158" s="147">
        <v>1</v>
      </c>
      <c r="P158" s="148">
        <v>3.2701640221661E-3</v>
      </c>
      <c r="Q158" s="148">
        <v>2.3218293259345E-3</v>
      </c>
      <c r="R158" s="148">
        <v>1.5904321193530001E-3</v>
      </c>
      <c r="S158" s="153">
        <v>0.05</v>
      </c>
      <c r="T158" s="154">
        <v>7.4999999999999997E-3</v>
      </c>
      <c r="U158" s="155">
        <v>3</v>
      </c>
      <c r="V158" s="159">
        <v>7.4999999999999997E-2</v>
      </c>
      <c r="W158" s="160">
        <v>1.4999999999999999E-2</v>
      </c>
      <c r="X158" s="161">
        <v>6</v>
      </c>
      <c r="Y158" s="165">
        <v>0.1</v>
      </c>
      <c r="Z158" s="166">
        <v>0.03</v>
      </c>
      <c r="AA158" s="167">
        <v>9</v>
      </c>
    </row>
    <row r="159" spans="2:27" x14ac:dyDescent="0.25">
      <c r="B159" s="51" t="s">
        <v>1527</v>
      </c>
      <c r="C159" s="4" t="s">
        <v>4137</v>
      </c>
      <c r="D159" s="142" t="e">
        <v>#VALUE!</v>
      </c>
      <c r="E159" s="142" t="e">
        <v>#VALUE!</v>
      </c>
      <c r="F159" s="4" t="s">
        <v>592</v>
      </c>
      <c r="G159" s="143">
        <v>50000000</v>
      </c>
      <c r="H159" s="4">
        <v>7</v>
      </c>
      <c r="I159" s="143">
        <v>5214404</v>
      </c>
      <c r="J159" s="144">
        <v>3.9938462182659995</v>
      </c>
      <c r="K159" s="145">
        <v>8.3957351195876311E-3</v>
      </c>
      <c r="L159" s="146">
        <v>1</v>
      </c>
      <c r="M159" s="58">
        <v>1</v>
      </c>
      <c r="N159" s="58">
        <v>1</v>
      </c>
      <c r="O159" s="147">
        <v>1</v>
      </c>
      <c r="P159" s="148">
        <v>4.7263029743221004E-3</v>
      </c>
      <c r="Q159" s="148">
        <v>3.7717378244963998E-3</v>
      </c>
      <c r="R159" s="148">
        <v>3.0355354195260999E-3</v>
      </c>
      <c r="S159" s="153">
        <v>0.05</v>
      </c>
      <c r="T159" s="154">
        <v>7.4999999999999997E-3</v>
      </c>
      <c r="U159" s="155">
        <v>3</v>
      </c>
      <c r="V159" s="159">
        <v>7.4999999999999997E-2</v>
      </c>
      <c r="W159" s="160">
        <v>1.4999999999999999E-2</v>
      </c>
      <c r="X159" s="161">
        <v>6</v>
      </c>
      <c r="Y159" s="165">
        <v>0.1</v>
      </c>
      <c r="Z159" s="166">
        <v>0.03</v>
      </c>
      <c r="AA159" s="167">
        <v>9</v>
      </c>
    </row>
    <row r="160" spans="2:27" x14ac:dyDescent="0.25">
      <c r="B160" s="51" t="s">
        <v>1804</v>
      </c>
      <c r="C160" s="4" t="s">
        <v>4138</v>
      </c>
      <c r="D160" s="142" t="e">
        <v>#VALUE!</v>
      </c>
      <c r="E160" s="142" t="e">
        <v>#VALUE!</v>
      </c>
      <c r="F160" s="4" t="s">
        <v>592</v>
      </c>
      <c r="G160" s="143">
        <v>2895084.52</v>
      </c>
      <c r="H160" s="4">
        <v>4</v>
      </c>
      <c r="I160" s="143">
        <v>33478.61</v>
      </c>
      <c r="J160" s="144">
        <v>1.9909274891375153</v>
      </c>
      <c r="K160" s="145">
        <v>5.4267548049414848E-3</v>
      </c>
      <c r="L160" s="146">
        <v>40</v>
      </c>
      <c r="M160" s="58">
        <v>5</v>
      </c>
      <c r="N160" s="58">
        <v>1</v>
      </c>
      <c r="O160" s="147">
        <v>1</v>
      </c>
      <c r="P160" s="148">
        <v>1.4670064894691E-2</v>
      </c>
      <c r="Q160" s="148">
        <v>1.1791866109799E-2</v>
      </c>
      <c r="R160" s="148">
        <v>9.5720732881076007E-3</v>
      </c>
      <c r="S160" s="153">
        <v>0.05</v>
      </c>
      <c r="T160" s="154">
        <v>9.5720732881076007E-3</v>
      </c>
      <c r="U160" s="155">
        <v>5.7</v>
      </c>
      <c r="V160" s="159">
        <v>7.4999999999999997E-2</v>
      </c>
      <c r="W160" s="160">
        <v>1.9144146576215201E-2</v>
      </c>
      <c r="X160" s="161">
        <v>11.4</v>
      </c>
      <c r="Y160" s="165">
        <v>0.1</v>
      </c>
      <c r="Z160" s="166">
        <v>3.8288293152430403E-2</v>
      </c>
      <c r="AA160" s="167">
        <v>17.100000000000001</v>
      </c>
    </row>
    <row r="161" spans="2:27" x14ac:dyDescent="0.25">
      <c r="B161" s="51" t="s">
        <v>1456</v>
      </c>
      <c r="C161" s="4" t="s">
        <v>4139</v>
      </c>
      <c r="D161" s="142" t="e">
        <v>#VALUE!</v>
      </c>
      <c r="E161" s="142" t="e">
        <v>#VALUE!</v>
      </c>
      <c r="F161" s="4" t="s">
        <v>592</v>
      </c>
      <c r="G161" s="143">
        <v>50000000</v>
      </c>
      <c r="H161" s="4">
        <v>7</v>
      </c>
      <c r="I161" s="143">
        <v>2517867</v>
      </c>
      <c r="J161" s="144">
        <v>3.6354125052828534</v>
      </c>
      <c r="K161" s="145">
        <v>9.2538094179941965E-3</v>
      </c>
      <c r="L161" s="146">
        <v>2</v>
      </c>
      <c r="M161" s="58">
        <v>1</v>
      </c>
      <c r="N161" s="58">
        <v>1</v>
      </c>
      <c r="O161" s="147">
        <v>1</v>
      </c>
      <c r="P161" s="148">
        <v>6.0191490675931001E-3</v>
      </c>
      <c r="Q161" s="148">
        <v>4.6492732697636001E-3</v>
      </c>
      <c r="R161" s="148">
        <v>3.5927651235599998E-3</v>
      </c>
      <c r="S161" s="153">
        <v>0.05</v>
      </c>
      <c r="T161" s="154">
        <v>7.4999999999999997E-3</v>
      </c>
      <c r="U161" s="155">
        <v>3</v>
      </c>
      <c r="V161" s="159">
        <v>7.4999999999999997E-2</v>
      </c>
      <c r="W161" s="160">
        <v>1.4999999999999999E-2</v>
      </c>
      <c r="X161" s="161">
        <v>6</v>
      </c>
      <c r="Y161" s="165">
        <v>0.1</v>
      </c>
      <c r="Z161" s="166">
        <v>0.03</v>
      </c>
      <c r="AA161" s="167">
        <v>9</v>
      </c>
    </row>
    <row r="162" spans="2:27" x14ac:dyDescent="0.25">
      <c r="B162" s="51" t="s">
        <v>1459</v>
      </c>
      <c r="C162" s="4" t="s">
        <v>4140</v>
      </c>
      <c r="D162" s="142" t="e">
        <v>#VALUE!</v>
      </c>
      <c r="E162" s="142" t="e">
        <v>#VALUE!</v>
      </c>
      <c r="F162" s="4" t="s">
        <v>592</v>
      </c>
      <c r="G162" s="143">
        <v>50000000</v>
      </c>
      <c r="H162" s="4">
        <v>10</v>
      </c>
      <c r="I162" s="143">
        <v>3115021570</v>
      </c>
      <c r="J162" s="144">
        <v>7.0756291580304138</v>
      </c>
      <c r="K162" s="145">
        <v>4.1546282577771916E-3</v>
      </c>
      <c r="L162" s="146">
        <v>1</v>
      </c>
      <c r="M162" s="58">
        <v>1</v>
      </c>
      <c r="N162" s="58">
        <v>1</v>
      </c>
      <c r="O162" s="147">
        <v>1</v>
      </c>
      <c r="P162" s="148">
        <v>1E-4</v>
      </c>
      <c r="Q162" s="148">
        <v>1E-4</v>
      </c>
      <c r="R162" s="148">
        <v>1E-4</v>
      </c>
      <c r="S162" s="153">
        <v>0.05</v>
      </c>
      <c r="T162" s="154">
        <v>7.4999999999999997E-3</v>
      </c>
      <c r="U162" s="155">
        <v>3</v>
      </c>
      <c r="V162" s="159">
        <v>7.4999999999999997E-2</v>
      </c>
      <c r="W162" s="160">
        <v>1.4999999999999999E-2</v>
      </c>
      <c r="X162" s="161">
        <v>6</v>
      </c>
      <c r="Y162" s="165">
        <v>0.1</v>
      </c>
      <c r="Z162" s="166">
        <v>0.03</v>
      </c>
      <c r="AA162" s="167">
        <v>9</v>
      </c>
    </row>
    <row r="163" spans="2:27" x14ac:dyDescent="0.25">
      <c r="B163" s="51" t="s">
        <v>277</v>
      </c>
      <c r="C163" s="4" t="s">
        <v>4141</v>
      </c>
      <c r="D163" s="142" t="e">
        <v>#VALUE!</v>
      </c>
      <c r="E163" s="142" t="e">
        <v>#VALUE!</v>
      </c>
      <c r="F163" s="4" t="s">
        <v>592</v>
      </c>
      <c r="G163" s="143">
        <v>50000000</v>
      </c>
      <c r="H163" s="4">
        <v>9</v>
      </c>
      <c r="I163" s="143">
        <v>3115021570</v>
      </c>
      <c r="J163" s="144">
        <v>6.9026860217473285</v>
      </c>
      <c r="K163" s="145">
        <v>6.1869314895712747E-3</v>
      </c>
      <c r="L163" s="146">
        <v>1</v>
      </c>
      <c r="M163" s="58">
        <v>1</v>
      </c>
      <c r="N163" s="58">
        <v>1</v>
      </c>
      <c r="O163" s="147">
        <v>1</v>
      </c>
      <c r="P163" s="148">
        <v>1E-4</v>
      </c>
      <c r="Q163" s="148">
        <v>1E-4</v>
      </c>
      <c r="R163" s="148">
        <v>1E-4</v>
      </c>
      <c r="S163" s="153">
        <v>0.05</v>
      </c>
      <c r="T163" s="154">
        <v>7.4999999999999997E-3</v>
      </c>
      <c r="U163" s="155">
        <v>3</v>
      </c>
      <c r="V163" s="159">
        <v>7.4999999999999997E-2</v>
      </c>
      <c r="W163" s="160">
        <v>1.4999999999999999E-2</v>
      </c>
      <c r="X163" s="161">
        <v>6</v>
      </c>
      <c r="Y163" s="165">
        <v>0.1</v>
      </c>
      <c r="Z163" s="166">
        <v>0.03</v>
      </c>
      <c r="AA163" s="167">
        <v>9</v>
      </c>
    </row>
    <row r="164" spans="2:27" x14ac:dyDescent="0.25">
      <c r="B164" s="51" t="s">
        <v>278</v>
      </c>
      <c r="C164" s="4" t="s">
        <v>279</v>
      </c>
      <c r="D164" s="142" t="e">
        <v>#VALUE!</v>
      </c>
      <c r="E164" s="142" t="e">
        <v>#VALUE!</v>
      </c>
      <c r="F164" s="4" t="s">
        <v>592</v>
      </c>
      <c r="G164" s="143">
        <v>50000000</v>
      </c>
      <c r="H164" s="4">
        <v>7</v>
      </c>
      <c r="I164" s="143">
        <v>0</v>
      </c>
      <c r="J164" s="144">
        <v>4.5509821081433302</v>
      </c>
      <c r="K164" s="145">
        <v>9.6734663204992299E-3</v>
      </c>
      <c r="L164" s="146">
        <v>1</v>
      </c>
      <c r="M164" s="58">
        <v>1</v>
      </c>
      <c r="N164" s="58">
        <v>1</v>
      </c>
      <c r="O164" s="147">
        <v>1</v>
      </c>
      <c r="P164" s="148">
        <v>1.8962955710208E-3</v>
      </c>
      <c r="Q164" s="148">
        <v>1.4235928440811999E-3</v>
      </c>
      <c r="R164" s="148">
        <v>9.9958015146274005E-4</v>
      </c>
      <c r="S164" s="153">
        <v>0.05</v>
      </c>
      <c r="T164" s="154">
        <v>7.4999999999999997E-3</v>
      </c>
      <c r="U164" s="155">
        <v>3</v>
      </c>
      <c r="V164" s="159">
        <v>7.4999999999999997E-2</v>
      </c>
      <c r="W164" s="160">
        <v>1.4999999999999999E-2</v>
      </c>
      <c r="X164" s="161">
        <v>6</v>
      </c>
      <c r="Y164" s="165">
        <v>0.1</v>
      </c>
      <c r="Z164" s="166">
        <v>0.03</v>
      </c>
      <c r="AA164" s="167">
        <v>9</v>
      </c>
    </row>
    <row r="165" spans="2:27" x14ac:dyDescent="0.25">
      <c r="B165" s="51" t="s">
        <v>280</v>
      </c>
      <c r="C165" s="4" t="s">
        <v>281</v>
      </c>
      <c r="D165" s="142" t="e">
        <v>#VALUE!</v>
      </c>
      <c r="E165" s="142" t="e">
        <v>#VALUE!</v>
      </c>
      <c r="F165" s="4" t="s">
        <v>592</v>
      </c>
      <c r="G165" s="143">
        <v>50000000</v>
      </c>
      <c r="H165" s="4">
        <v>7</v>
      </c>
      <c r="I165" s="143">
        <v>0</v>
      </c>
      <c r="J165" s="144">
        <v>4.7710045161752461</v>
      </c>
      <c r="K165" s="145">
        <v>9.6037962803752295E-3</v>
      </c>
      <c r="L165" s="146">
        <v>1</v>
      </c>
      <c r="M165" s="58">
        <v>1</v>
      </c>
      <c r="N165" s="58">
        <v>1</v>
      </c>
      <c r="O165" s="147">
        <v>1</v>
      </c>
      <c r="P165" s="148">
        <v>1.4098906195462999E-3</v>
      </c>
      <c r="Q165" s="148">
        <v>1.0409060395931999E-3</v>
      </c>
      <c r="R165" s="148">
        <v>4.1949940225066002E-4</v>
      </c>
      <c r="S165" s="153">
        <v>0.05</v>
      </c>
      <c r="T165" s="154">
        <v>7.4999999999999997E-3</v>
      </c>
      <c r="U165" s="155">
        <v>3</v>
      </c>
      <c r="V165" s="159">
        <v>7.4999999999999997E-2</v>
      </c>
      <c r="W165" s="160">
        <v>1.4999999999999999E-2</v>
      </c>
      <c r="X165" s="161">
        <v>6</v>
      </c>
      <c r="Y165" s="165">
        <v>0.1</v>
      </c>
      <c r="Z165" s="166">
        <v>0.03</v>
      </c>
      <c r="AA165" s="167">
        <v>9</v>
      </c>
    </row>
    <row r="166" spans="2:27" x14ac:dyDescent="0.25">
      <c r="B166" s="51" t="s">
        <v>282</v>
      </c>
      <c r="C166" s="4" t="s">
        <v>283</v>
      </c>
      <c r="D166" s="142" t="e">
        <v>#VALUE!</v>
      </c>
      <c r="E166" s="142" t="e">
        <v>#VALUE!</v>
      </c>
      <c r="F166" s="4" t="s">
        <v>592</v>
      </c>
      <c r="G166" s="143">
        <v>50000000</v>
      </c>
      <c r="H166" s="4">
        <v>8</v>
      </c>
      <c r="I166" s="143">
        <v>0</v>
      </c>
      <c r="J166" s="144">
        <v>5.7729603198095933</v>
      </c>
      <c r="K166" s="145">
        <v>8.1796735428213765E-3</v>
      </c>
      <c r="L166" s="146">
        <v>1</v>
      </c>
      <c r="M166" s="58">
        <v>1</v>
      </c>
      <c r="N166" s="58">
        <v>1</v>
      </c>
      <c r="O166" s="147">
        <v>1</v>
      </c>
      <c r="P166" s="148">
        <v>1.5478763762997999E-4</v>
      </c>
      <c r="Q166" s="148">
        <v>1E-4</v>
      </c>
      <c r="R166" s="148">
        <v>1E-4</v>
      </c>
      <c r="S166" s="153">
        <v>0.05</v>
      </c>
      <c r="T166" s="154">
        <v>7.4999999999999997E-3</v>
      </c>
      <c r="U166" s="155">
        <v>3</v>
      </c>
      <c r="V166" s="159">
        <v>7.4999999999999997E-2</v>
      </c>
      <c r="W166" s="160">
        <v>1.4999999999999999E-2</v>
      </c>
      <c r="X166" s="161">
        <v>6</v>
      </c>
      <c r="Y166" s="165">
        <v>0.1</v>
      </c>
      <c r="Z166" s="166">
        <v>0.03</v>
      </c>
      <c r="AA166" s="167">
        <v>9</v>
      </c>
    </row>
    <row r="167" spans="2:27" x14ac:dyDescent="0.25">
      <c r="B167" s="51" t="s">
        <v>1808</v>
      </c>
      <c r="C167" s="4" t="s">
        <v>4142</v>
      </c>
      <c r="D167" s="142" t="e">
        <v>#VALUE!</v>
      </c>
      <c r="E167" s="142" t="e">
        <v>#VALUE!</v>
      </c>
      <c r="F167" s="4" t="s">
        <v>592</v>
      </c>
      <c r="G167" s="143">
        <v>179084.1164</v>
      </c>
      <c r="H167" s="4">
        <v>9</v>
      </c>
      <c r="I167" s="143">
        <v>2366726140</v>
      </c>
      <c r="J167" s="144">
        <v>6.6259040936826903</v>
      </c>
      <c r="K167" s="145">
        <v>1.0479070608055025E-2</v>
      </c>
      <c r="L167" s="146">
        <v>1</v>
      </c>
      <c r="M167" s="58">
        <v>1</v>
      </c>
      <c r="N167" s="58">
        <v>1</v>
      </c>
      <c r="O167" s="147">
        <v>1</v>
      </c>
      <c r="P167" s="148">
        <v>1E-4</v>
      </c>
      <c r="Q167" s="148">
        <v>1E-4</v>
      </c>
      <c r="R167" s="148">
        <v>1E-4</v>
      </c>
      <c r="S167" s="153">
        <v>0.05</v>
      </c>
      <c r="T167" s="154">
        <v>7.4999999999999997E-3</v>
      </c>
      <c r="U167" s="155">
        <v>3</v>
      </c>
      <c r="V167" s="159">
        <v>7.4999999999999997E-2</v>
      </c>
      <c r="W167" s="160">
        <v>1.4999999999999999E-2</v>
      </c>
      <c r="X167" s="161">
        <v>6</v>
      </c>
      <c r="Y167" s="165">
        <v>0.1</v>
      </c>
      <c r="Z167" s="166">
        <v>0.03</v>
      </c>
      <c r="AA167" s="167">
        <v>9</v>
      </c>
    </row>
    <row r="168" spans="2:27" x14ac:dyDescent="0.25">
      <c r="B168" s="51" t="s">
        <v>732</v>
      </c>
      <c r="C168" s="4" t="s">
        <v>735</v>
      </c>
      <c r="D168" s="142" t="e">
        <v>#VALUE!</v>
      </c>
      <c r="E168" s="142" t="e">
        <v>#VALUE!</v>
      </c>
      <c r="F168" s="4" t="s">
        <v>592</v>
      </c>
      <c r="G168" s="143">
        <v>50000000</v>
      </c>
      <c r="H168" s="4">
        <v>8</v>
      </c>
      <c r="I168" s="143">
        <v>498956544</v>
      </c>
      <c r="J168" s="144">
        <v>5.9742450455608953</v>
      </c>
      <c r="K168" s="145">
        <v>1.0526533799124738E-2</v>
      </c>
      <c r="L168" s="146">
        <v>1</v>
      </c>
      <c r="M168" s="58">
        <v>1</v>
      </c>
      <c r="N168" s="58">
        <v>1</v>
      </c>
      <c r="O168" s="147">
        <v>1</v>
      </c>
      <c r="P168" s="148">
        <v>1E-4</v>
      </c>
      <c r="Q168" s="148">
        <v>1E-4</v>
      </c>
      <c r="R168" s="148">
        <v>1E-4</v>
      </c>
      <c r="S168" s="153">
        <v>0.05</v>
      </c>
      <c r="T168" s="154">
        <v>7.4999999999999997E-3</v>
      </c>
      <c r="U168" s="155">
        <v>3</v>
      </c>
      <c r="V168" s="159">
        <v>7.4999999999999997E-2</v>
      </c>
      <c r="W168" s="160">
        <v>1.4999999999999999E-2</v>
      </c>
      <c r="X168" s="161">
        <v>6</v>
      </c>
      <c r="Y168" s="165">
        <v>0.1</v>
      </c>
      <c r="Z168" s="166">
        <v>0.03</v>
      </c>
      <c r="AA168" s="167">
        <v>9</v>
      </c>
    </row>
    <row r="169" spans="2:27" x14ac:dyDescent="0.25">
      <c r="B169" s="51" t="s">
        <v>1892</v>
      </c>
      <c r="C169" s="4" t="s">
        <v>4143</v>
      </c>
      <c r="D169" s="142" t="e">
        <v>#VALUE!</v>
      </c>
      <c r="E169" s="142" t="e">
        <v>#VALUE!</v>
      </c>
      <c r="F169" s="4" t="s">
        <v>592</v>
      </c>
      <c r="G169" s="143">
        <v>603724.38060000003</v>
      </c>
      <c r="H169" s="4">
        <v>3</v>
      </c>
      <c r="I169" s="143">
        <v>50342.805</v>
      </c>
      <c r="J169" s="144">
        <v>1.547057165184152</v>
      </c>
      <c r="K169" s="145">
        <v>2.2676734487134607E-2</v>
      </c>
      <c r="L169" s="146">
        <v>1</v>
      </c>
      <c r="M169" s="58">
        <v>1</v>
      </c>
      <c r="N169" s="58">
        <v>1</v>
      </c>
      <c r="O169" s="147">
        <v>1</v>
      </c>
      <c r="P169" s="148">
        <v>5.2721897649983997E-3</v>
      </c>
      <c r="Q169" s="148">
        <v>4.1897303691347003E-3</v>
      </c>
      <c r="R169" s="148">
        <v>3.3548903263536998E-3</v>
      </c>
      <c r="S169" s="153">
        <v>5.6691836217836522E-2</v>
      </c>
      <c r="T169" s="154">
        <v>7.4999999999999997E-3</v>
      </c>
      <c r="U169" s="155">
        <v>3</v>
      </c>
      <c r="V169" s="159">
        <v>0.11338367243567304</v>
      </c>
      <c r="W169" s="160">
        <v>1.4999999999999999E-2</v>
      </c>
      <c r="X169" s="161">
        <v>6</v>
      </c>
      <c r="Y169" s="165">
        <v>0.17007550865350957</v>
      </c>
      <c r="Z169" s="166">
        <v>0.03</v>
      </c>
      <c r="AA169" s="167">
        <v>9</v>
      </c>
    </row>
    <row r="170" spans="2:27" x14ac:dyDescent="0.25">
      <c r="B170" s="51" t="s">
        <v>1811</v>
      </c>
      <c r="C170" s="4" t="s">
        <v>4144</v>
      </c>
      <c r="D170" s="142" t="e">
        <v>#VALUE!</v>
      </c>
      <c r="E170" s="142" t="e">
        <v>#VALUE!</v>
      </c>
      <c r="F170" s="4" t="s">
        <v>592</v>
      </c>
      <c r="G170" s="143">
        <v>336141.37190000003</v>
      </c>
      <c r="H170" s="4">
        <v>3</v>
      </c>
      <c r="I170" s="143">
        <v>58374.008000000002</v>
      </c>
      <c r="J170" s="144">
        <v>1.5723985700500738</v>
      </c>
      <c r="K170" s="145">
        <v>2.4803970927106497E-2</v>
      </c>
      <c r="L170" s="146">
        <v>1</v>
      </c>
      <c r="M170" s="58">
        <v>1</v>
      </c>
      <c r="N170" s="58">
        <v>1</v>
      </c>
      <c r="O170" s="147">
        <v>1</v>
      </c>
      <c r="P170" s="148">
        <v>3.8731458292147001E-3</v>
      </c>
      <c r="Q170" s="148">
        <v>3.1243012304639E-3</v>
      </c>
      <c r="R170" s="148">
        <v>2.5467595145841002E-3</v>
      </c>
      <c r="S170" s="153">
        <v>6.2009927317766243E-2</v>
      </c>
      <c r="T170" s="154">
        <v>7.4999999999999997E-3</v>
      </c>
      <c r="U170" s="155">
        <v>3</v>
      </c>
      <c r="V170" s="159">
        <v>0.12401985463553249</v>
      </c>
      <c r="W170" s="160">
        <v>1.4999999999999999E-2</v>
      </c>
      <c r="X170" s="161">
        <v>6</v>
      </c>
      <c r="Y170" s="165">
        <v>0.18602978195329872</v>
      </c>
      <c r="Z170" s="166">
        <v>0.03</v>
      </c>
      <c r="AA170" s="167">
        <v>9</v>
      </c>
    </row>
    <row r="171" spans="2:27" x14ac:dyDescent="0.25">
      <c r="B171" s="51" t="s">
        <v>1812</v>
      </c>
      <c r="C171" s="4" t="s">
        <v>4145</v>
      </c>
      <c r="D171" s="142" t="e">
        <v>#VALUE!</v>
      </c>
      <c r="E171" s="142" t="e">
        <v>#VALUE!</v>
      </c>
      <c r="F171" s="4" t="s">
        <v>592</v>
      </c>
      <c r="G171" s="143">
        <v>1560050.0889999999</v>
      </c>
      <c r="H171" s="4">
        <v>3</v>
      </c>
      <c r="I171" s="143">
        <v>52546.644999999997</v>
      </c>
      <c r="J171" s="144">
        <v>1.5164506610198341</v>
      </c>
      <c r="K171" s="145">
        <v>2.5397712445226695E-2</v>
      </c>
      <c r="L171" s="146">
        <v>12</v>
      </c>
      <c r="M171" s="58">
        <v>1</v>
      </c>
      <c r="N171" s="58">
        <v>1</v>
      </c>
      <c r="O171" s="147">
        <v>1</v>
      </c>
      <c r="P171" s="148">
        <v>8.9010684092840995E-3</v>
      </c>
      <c r="Q171" s="148">
        <v>7.1854192613537999E-3</v>
      </c>
      <c r="R171" s="148">
        <v>5.8622355802584996E-3</v>
      </c>
      <c r="S171" s="153">
        <v>6.3494281113066736E-2</v>
      </c>
      <c r="T171" s="154">
        <v>7.4999999999999997E-3</v>
      </c>
      <c r="U171" s="155">
        <v>3</v>
      </c>
      <c r="V171" s="159">
        <v>0.12698856222613347</v>
      </c>
      <c r="W171" s="160">
        <v>1.4999999999999999E-2</v>
      </c>
      <c r="X171" s="161">
        <v>6</v>
      </c>
      <c r="Y171" s="165">
        <v>0.19048284333920021</v>
      </c>
      <c r="Z171" s="166">
        <v>0.03</v>
      </c>
      <c r="AA171" s="167">
        <v>9</v>
      </c>
    </row>
    <row r="172" spans="2:27" x14ac:dyDescent="0.25">
      <c r="B172" s="51" t="s">
        <v>1813</v>
      </c>
      <c r="C172" s="4" t="s">
        <v>4146</v>
      </c>
      <c r="D172" s="142" t="e">
        <v>#VALUE!</v>
      </c>
      <c r="E172" s="142" t="e">
        <v>#VALUE!</v>
      </c>
      <c r="F172" s="4" t="s">
        <v>592</v>
      </c>
      <c r="G172" s="143">
        <v>1903952.82</v>
      </c>
      <c r="H172" s="4">
        <v>4</v>
      </c>
      <c r="I172" s="143">
        <v>36670.633000000002</v>
      </c>
      <c r="J172" s="144">
        <v>1.8602540706916069</v>
      </c>
      <c r="K172" s="145">
        <v>8.0309071798023123E-3</v>
      </c>
      <c r="L172" s="146">
        <v>16</v>
      </c>
      <c r="M172" s="58">
        <v>1</v>
      </c>
      <c r="N172" s="58">
        <v>1</v>
      </c>
      <c r="O172" s="147">
        <v>1</v>
      </c>
      <c r="P172" s="148">
        <v>1.0700511294027999E-2</v>
      </c>
      <c r="Q172" s="148">
        <v>8.4593534080911002E-3</v>
      </c>
      <c r="R172" s="148">
        <v>6.7308743976784002E-3</v>
      </c>
      <c r="S172" s="153">
        <v>0.05</v>
      </c>
      <c r="T172" s="154">
        <v>7.4999999999999997E-3</v>
      </c>
      <c r="U172" s="155">
        <v>3</v>
      </c>
      <c r="V172" s="159">
        <v>7.4999999999999997E-2</v>
      </c>
      <c r="W172" s="160">
        <v>1.4999999999999999E-2</v>
      </c>
      <c r="X172" s="161">
        <v>6</v>
      </c>
      <c r="Y172" s="165">
        <v>0.1</v>
      </c>
      <c r="Z172" s="166">
        <v>0.03</v>
      </c>
      <c r="AA172" s="167">
        <v>9</v>
      </c>
    </row>
    <row r="173" spans="2:27" x14ac:dyDescent="0.25">
      <c r="B173" s="51" t="s">
        <v>1819</v>
      </c>
      <c r="C173" s="4" t="s">
        <v>4147</v>
      </c>
      <c r="D173" s="142" t="e">
        <v>#VALUE!</v>
      </c>
      <c r="E173" s="142" t="e">
        <v>#VALUE!</v>
      </c>
      <c r="F173" s="4" t="s">
        <v>592</v>
      </c>
      <c r="G173" s="143">
        <v>1870138.463</v>
      </c>
      <c r="H173" s="4">
        <v>4</v>
      </c>
      <c r="I173" s="143">
        <v>33478.637000000002</v>
      </c>
      <c r="J173" s="144">
        <v>1.9252929067413944</v>
      </c>
      <c r="K173" s="145">
        <v>6.3121183348408428E-3</v>
      </c>
      <c r="L173" s="146">
        <v>17</v>
      </c>
      <c r="M173" s="58">
        <v>1</v>
      </c>
      <c r="N173" s="58">
        <v>1</v>
      </c>
      <c r="O173" s="147">
        <v>1</v>
      </c>
      <c r="P173" s="148">
        <v>1.1073154759546001E-2</v>
      </c>
      <c r="Q173" s="148">
        <v>8.7531773890290009E-3</v>
      </c>
      <c r="R173" s="148">
        <v>6.9639093438220003E-3</v>
      </c>
      <c r="S173" s="153">
        <v>0.05</v>
      </c>
      <c r="T173" s="154">
        <v>7.4999999999999997E-3</v>
      </c>
      <c r="U173" s="155">
        <v>3</v>
      </c>
      <c r="V173" s="159">
        <v>7.4999999999999997E-2</v>
      </c>
      <c r="W173" s="160">
        <v>1.4999999999999999E-2</v>
      </c>
      <c r="X173" s="161">
        <v>6</v>
      </c>
      <c r="Y173" s="165">
        <v>0.1</v>
      </c>
      <c r="Z173" s="166">
        <v>0.03</v>
      </c>
      <c r="AA173" s="167">
        <v>9</v>
      </c>
    </row>
    <row r="174" spans="2:27" x14ac:dyDescent="0.25">
      <c r="B174" s="51" t="s">
        <v>1822</v>
      </c>
      <c r="C174" s="4" t="s">
        <v>4148</v>
      </c>
      <c r="D174" s="142" t="e">
        <v>#VALUE!</v>
      </c>
      <c r="E174" s="142" t="e">
        <v>#VALUE!</v>
      </c>
      <c r="F174" s="4" t="s">
        <v>592</v>
      </c>
      <c r="G174" s="143">
        <v>1970724.912</v>
      </c>
      <c r="H174" s="4">
        <v>4</v>
      </c>
      <c r="I174" s="143">
        <v>62999.027000000002</v>
      </c>
      <c r="J174" s="144">
        <v>2.0813907840807766</v>
      </c>
      <c r="K174" s="145">
        <v>8.2916951824821127E-3</v>
      </c>
      <c r="L174" s="146">
        <v>5</v>
      </c>
      <c r="M174" s="58">
        <v>1</v>
      </c>
      <c r="N174" s="58">
        <v>1</v>
      </c>
      <c r="O174" s="147">
        <v>1</v>
      </c>
      <c r="P174" s="148">
        <v>7.7259440335916999E-3</v>
      </c>
      <c r="Q174" s="148">
        <v>5.9793556957228999E-3</v>
      </c>
      <c r="R174" s="148">
        <v>4.6323103577833999E-3</v>
      </c>
      <c r="S174" s="153">
        <v>0.05</v>
      </c>
      <c r="T174" s="154">
        <v>7.4999999999999997E-3</v>
      </c>
      <c r="U174" s="155">
        <v>3</v>
      </c>
      <c r="V174" s="159">
        <v>7.4999999999999997E-2</v>
      </c>
      <c r="W174" s="160">
        <v>1.4999999999999999E-2</v>
      </c>
      <c r="X174" s="161">
        <v>6</v>
      </c>
      <c r="Y174" s="165">
        <v>0.1</v>
      </c>
      <c r="Z174" s="166">
        <v>0.03</v>
      </c>
      <c r="AA174" s="167">
        <v>9</v>
      </c>
    </row>
    <row r="175" spans="2:27" x14ac:dyDescent="0.25">
      <c r="B175" s="51" t="s">
        <v>1826</v>
      </c>
      <c r="C175" s="4" t="s">
        <v>4149</v>
      </c>
      <c r="D175" s="142" t="e">
        <v>#VALUE!</v>
      </c>
      <c r="E175" s="142" t="e">
        <v>#VALUE!</v>
      </c>
      <c r="F175" s="4" t="s">
        <v>592</v>
      </c>
      <c r="G175" s="143">
        <v>2033054.0989999999</v>
      </c>
      <c r="H175" s="4">
        <v>5</v>
      </c>
      <c r="I175" s="143">
        <v>82309.23</v>
      </c>
      <c r="J175" s="144">
        <v>2.1543600751350644</v>
      </c>
      <c r="K175" s="145">
        <v>9.1577489610127974E-3</v>
      </c>
      <c r="L175" s="146">
        <v>3</v>
      </c>
      <c r="M175" s="58">
        <v>1</v>
      </c>
      <c r="N175" s="58">
        <v>1</v>
      </c>
      <c r="O175" s="147">
        <v>1</v>
      </c>
      <c r="P175" s="148">
        <v>6.6628191655716002E-3</v>
      </c>
      <c r="Q175" s="148">
        <v>5.1114920869260996E-3</v>
      </c>
      <c r="R175" s="148">
        <v>3.9150407746158002E-3</v>
      </c>
      <c r="S175" s="153">
        <v>0.05</v>
      </c>
      <c r="T175" s="154">
        <v>7.4999999999999997E-3</v>
      </c>
      <c r="U175" s="155">
        <v>3</v>
      </c>
      <c r="V175" s="159">
        <v>7.4999999999999997E-2</v>
      </c>
      <c r="W175" s="160">
        <v>1.4999999999999999E-2</v>
      </c>
      <c r="X175" s="161">
        <v>6</v>
      </c>
      <c r="Y175" s="165">
        <v>0.1</v>
      </c>
      <c r="Z175" s="166">
        <v>0.03</v>
      </c>
      <c r="AA175" s="167">
        <v>9</v>
      </c>
    </row>
    <row r="176" spans="2:27" x14ac:dyDescent="0.25">
      <c r="B176" s="51" t="s">
        <v>1829</v>
      </c>
      <c r="C176" s="4" t="s">
        <v>4150</v>
      </c>
      <c r="D176" s="142" t="e">
        <v>#VALUE!</v>
      </c>
      <c r="E176" s="142" t="e">
        <v>#VALUE!</v>
      </c>
      <c r="F176" s="4" t="s">
        <v>592</v>
      </c>
      <c r="G176" s="143">
        <v>3484557.3560000001</v>
      </c>
      <c r="H176" s="4">
        <v>5</v>
      </c>
      <c r="I176" s="143">
        <v>94119.33</v>
      </c>
      <c r="J176" s="144">
        <v>2.1612041487998628</v>
      </c>
      <c r="K176" s="145">
        <v>1.0308012784854744E-2</v>
      </c>
      <c r="L176" s="146">
        <v>8</v>
      </c>
      <c r="M176" s="58">
        <v>1</v>
      </c>
      <c r="N176" s="58">
        <v>1</v>
      </c>
      <c r="O176" s="147">
        <v>1</v>
      </c>
      <c r="P176" s="148">
        <v>8.6981783823834001E-3</v>
      </c>
      <c r="Q176" s="148">
        <v>6.8038213704097999E-3</v>
      </c>
      <c r="R176" s="148">
        <v>5.3428103662450004E-3</v>
      </c>
      <c r="S176" s="153">
        <v>0.05</v>
      </c>
      <c r="T176" s="154">
        <v>7.4999999999999997E-3</v>
      </c>
      <c r="U176" s="155">
        <v>3</v>
      </c>
      <c r="V176" s="159">
        <v>7.4999999999999997E-2</v>
      </c>
      <c r="W176" s="160">
        <v>1.4999999999999999E-2</v>
      </c>
      <c r="X176" s="161">
        <v>6</v>
      </c>
      <c r="Y176" s="165">
        <v>0.1</v>
      </c>
      <c r="Z176" s="166">
        <v>0.03</v>
      </c>
      <c r="AA176" s="167">
        <v>9</v>
      </c>
    </row>
    <row r="177" spans="2:27" x14ac:dyDescent="0.25">
      <c r="B177" s="51" t="s">
        <v>1479</v>
      </c>
      <c r="C177" s="4" t="s">
        <v>4151</v>
      </c>
      <c r="D177" s="142" t="e">
        <v>#VALUE!</v>
      </c>
      <c r="E177" s="142" t="e">
        <v>#VALUE!</v>
      </c>
      <c r="F177" s="4" t="s">
        <v>592</v>
      </c>
      <c r="G177" s="143">
        <v>50000000</v>
      </c>
      <c r="H177" s="4">
        <v>8</v>
      </c>
      <c r="I177" s="143">
        <v>498956544</v>
      </c>
      <c r="J177" s="144">
        <v>6.0345829281195842</v>
      </c>
      <c r="K177" s="145">
        <v>9.1610975297021328E-3</v>
      </c>
      <c r="L177" s="146">
        <v>1</v>
      </c>
      <c r="M177" s="58">
        <v>1</v>
      </c>
      <c r="N177" s="58">
        <v>1</v>
      </c>
      <c r="O177" s="147">
        <v>1</v>
      </c>
      <c r="P177" s="148">
        <v>1E-4</v>
      </c>
      <c r="Q177" s="148">
        <v>1E-4</v>
      </c>
      <c r="R177" s="148">
        <v>1E-4</v>
      </c>
      <c r="S177" s="153">
        <v>0.05</v>
      </c>
      <c r="T177" s="154">
        <v>7.4999999999999997E-3</v>
      </c>
      <c r="U177" s="155">
        <v>3</v>
      </c>
      <c r="V177" s="159">
        <v>7.4999999999999997E-2</v>
      </c>
      <c r="W177" s="160">
        <v>1.4999999999999999E-2</v>
      </c>
      <c r="X177" s="161">
        <v>6</v>
      </c>
      <c r="Y177" s="165">
        <v>0.1</v>
      </c>
      <c r="Z177" s="166">
        <v>0.03</v>
      </c>
      <c r="AA177" s="167">
        <v>9</v>
      </c>
    </row>
    <row r="178" spans="2:27" x14ac:dyDescent="0.25">
      <c r="B178" s="51" t="s">
        <v>1483</v>
      </c>
      <c r="C178" s="4" t="s">
        <v>4152</v>
      </c>
      <c r="D178" s="142" t="e">
        <v>#VALUE!</v>
      </c>
      <c r="E178" s="142" t="e">
        <v>#VALUE!</v>
      </c>
      <c r="F178" s="4" t="s">
        <v>592</v>
      </c>
      <c r="G178" s="143">
        <v>50000000</v>
      </c>
      <c r="H178" s="4">
        <v>7</v>
      </c>
      <c r="I178" s="143">
        <v>5214404</v>
      </c>
      <c r="J178" s="144">
        <v>4.1461153361915111</v>
      </c>
      <c r="K178" s="145">
        <v>5.9127512758201531E-3</v>
      </c>
      <c r="L178" s="146">
        <v>1</v>
      </c>
      <c r="M178" s="58">
        <v>1</v>
      </c>
      <c r="N178" s="58">
        <v>1</v>
      </c>
      <c r="O178" s="147">
        <v>1</v>
      </c>
      <c r="P178" s="148">
        <v>3.2660838915563001E-3</v>
      </c>
      <c r="Q178" s="148">
        <v>2.3175950515042002E-3</v>
      </c>
      <c r="R178" s="148">
        <v>1.5860789624647E-3</v>
      </c>
      <c r="S178" s="153">
        <v>0.05</v>
      </c>
      <c r="T178" s="154">
        <v>7.4999999999999997E-3</v>
      </c>
      <c r="U178" s="155">
        <v>3</v>
      </c>
      <c r="V178" s="159">
        <v>7.4999999999999997E-2</v>
      </c>
      <c r="W178" s="160">
        <v>1.4999999999999999E-2</v>
      </c>
      <c r="X178" s="161">
        <v>6</v>
      </c>
      <c r="Y178" s="165">
        <v>0.1</v>
      </c>
      <c r="Z178" s="166">
        <v>0.03</v>
      </c>
      <c r="AA178" s="167">
        <v>9</v>
      </c>
    </row>
    <row r="179" spans="2:27" x14ac:dyDescent="0.25">
      <c r="B179" s="51" t="s">
        <v>1834</v>
      </c>
      <c r="C179" s="4" t="s">
        <v>4153</v>
      </c>
      <c r="D179" s="142" t="e">
        <v>#VALUE!</v>
      </c>
      <c r="E179" s="142" t="e">
        <v>#VALUE!</v>
      </c>
      <c r="F179" s="4" t="s">
        <v>592</v>
      </c>
      <c r="G179" s="143">
        <v>563737.32799999998</v>
      </c>
      <c r="H179" s="4">
        <v>5</v>
      </c>
      <c r="I179" s="143">
        <v>33679.410000000003</v>
      </c>
      <c r="J179" s="144">
        <v>2.279338850963136</v>
      </c>
      <c r="K179" s="145">
        <v>2.8101266543484639E-3</v>
      </c>
      <c r="L179" s="146">
        <v>1</v>
      </c>
      <c r="M179" s="58">
        <v>1</v>
      </c>
      <c r="N179" s="58">
        <v>1</v>
      </c>
      <c r="O179" s="147">
        <v>1</v>
      </c>
      <c r="P179" s="148">
        <v>4.4608034524255998E-3</v>
      </c>
      <c r="Q179" s="148">
        <v>3.2153720946518998E-3</v>
      </c>
      <c r="R179" s="148">
        <v>2.2548409449593999E-3</v>
      </c>
      <c r="S179" s="153">
        <v>0.05</v>
      </c>
      <c r="T179" s="154">
        <v>7.4999999999999997E-3</v>
      </c>
      <c r="U179" s="155">
        <v>3</v>
      </c>
      <c r="V179" s="159">
        <v>7.4999999999999997E-2</v>
      </c>
      <c r="W179" s="160">
        <v>1.4999999999999999E-2</v>
      </c>
      <c r="X179" s="161">
        <v>6</v>
      </c>
      <c r="Y179" s="165">
        <v>0.1</v>
      </c>
      <c r="Z179" s="166">
        <v>0.03</v>
      </c>
      <c r="AA179" s="167">
        <v>9</v>
      </c>
    </row>
    <row r="180" spans="2:27" x14ac:dyDescent="0.25">
      <c r="B180" s="51" t="s">
        <v>1503</v>
      </c>
      <c r="C180" s="4" t="s">
        <v>4154</v>
      </c>
      <c r="D180" s="142" t="e">
        <v>#VALUE!</v>
      </c>
      <c r="E180" s="142" t="e">
        <v>#VALUE!</v>
      </c>
      <c r="F180" s="4" t="s">
        <v>592</v>
      </c>
      <c r="G180" s="143">
        <v>50000000</v>
      </c>
      <c r="H180" s="4">
        <v>8</v>
      </c>
      <c r="I180" s="143">
        <v>498956544</v>
      </c>
      <c r="J180" s="144">
        <v>6.0485534516782584</v>
      </c>
      <c r="K180" s="145">
        <v>8.8710899553729877E-3</v>
      </c>
      <c r="L180" s="146">
        <v>1</v>
      </c>
      <c r="M180" s="58">
        <v>1</v>
      </c>
      <c r="N180" s="58">
        <v>1</v>
      </c>
      <c r="O180" s="147">
        <v>1</v>
      </c>
      <c r="P180" s="148">
        <v>1E-4</v>
      </c>
      <c r="Q180" s="148">
        <v>1E-4</v>
      </c>
      <c r="R180" s="148">
        <v>1E-4</v>
      </c>
      <c r="S180" s="153">
        <v>0.05</v>
      </c>
      <c r="T180" s="154">
        <v>7.4999999999999997E-3</v>
      </c>
      <c r="U180" s="155">
        <v>3</v>
      </c>
      <c r="V180" s="159">
        <v>7.4999999999999997E-2</v>
      </c>
      <c r="W180" s="160">
        <v>1.4999999999999999E-2</v>
      </c>
      <c r="X180" s="161">
        <v>6</v>
      </c>
      <c r="Y180" s="165">
        <v>0.1</v>
      </c>
      <c r="Z180" s="166">
        <v>0.03</v>
      </c>
      <c r="AA180" s="167">
        <v>9</v>
      </c>
    </row>
    <row r="181" spans="2:27" x14ac:dyDescent="0.25">
      <c r="B181" s="51">
        <v>0</v>
      </c>
      <c r="C181" s="4" t="s">
        <v>146</v>
      </c>
      <c r="D181" s="142" t="s">
        <v>146</v>
      </c>
      <c r="E181" s="142" t="s">
        <v>146</v>
      </c>
      <c r="F181" s="4" t="s">
        <v>146</v>
      </c>
      <c r="G181" s="143">
        <v>0</v>
      </c>
      <c r="H181" s="4">
        <v>0</v>
      </c>
      <c r="I181" s="143">
        <v>0</v>
      </c>
      <c r="J181" s="144" t="s">
        <v>146</v>
      </c>
      <c r="K181" s="145">
        <v>0</v>
      </c>
      <c r="L181" s="146">
        <v>0</v>
      </c>
      <c r="M181" s="58">
        <v>0</v>
      </c>
      <c r="N181" s="58">
        <v>0</v>
      </c>
      <c r="O181" s="147">
        <v>0</v>
      </c>
      <c r="P181" s="148">
        <v>0</v>
      </c>
      <c r="Q181" s="148">
        <v>0</v>
      </c>
      <c r="R181" s="148">
        <v>0</v>
      </c>
      <c r="S181" s="153">
        <v>0.05</v>
      </c>
      <c r="T181" s="154">
        <v>7.4999999999999997E-3</v>
      </c>
      <c r="U181" s="155">
        <v>3</v>
      </c>
      <c r="V181" s="159">
        <v>7.4999999999999997E-2</v>
      </c>
      <c r="W181" s="160">
        <v>1.4999999999999999E-2</v>
      </c>
      <c r="X181" s="161">
        <v>6</v>
      </c>
      <c r="Y181" s="165">
        <v>0.1</v>
      </c>
      <c r="Z181" s="166">
        <v>0.03</v>
      </c>
      <c r="AA181" s="167">
        <v>9</v>
      </c>
    </row>
    <row r="182" spans="2:27" x14ac:dyDescent="0.25">
      <c r="B182" s="51">
        <v>0</v>
      </c>
      <c r="C182" s="4" t="s">
        <v>146</v>
      </c>
      <c r="D182" s="142" t="s">
        <v>146</v>
      </c>
      <c r="E182" s="142" t="s">
        <v>146</v>
      </c>
      <c r="F182" s="4" t="s">
        <v>146</v>
      </c>
      <c r="G182" s="143">
        <v>0</v>
      </c>
      <c r="H182" s="4">
        <v>0</v>
      </c>
      <c r="I182" s="143">
        <v>0</v>
      </c>
      <c r="J182" s="144" t="s">
        <v>146</v>
      </c>
      <c r="K182" s="145">
        <v>0</v>
      </c>
      <c r="L182" s="146">
        <v>0</v>
      </c>
      <c r="M182" s="58">
        <v>0</v>
      </c>
      <c r="N182" s="58">
        <v>0</v>
      </c>
      <c r="O182" s="147">
        <v>0</v>
      </c>
      <c r="P182" s="148">
        <v>0</v>
      </c>
      <c r="Q182" s="148">
        <v>0</v>
      </c>
      <c r="R182" s="148">
        <v>0</v>
      </c>
      <c r="S182" s="153">
        <v>0.05</v>
      </c>
      <c r="T182" s="154">
        <v>7.4999999999999997E-3</v>
      </c>
      <c r="U182" s="155">
        <v>3</v>
      </c>
      <c r="V182" s="159">
        <v>7.4999999999999997E-2</v>
      </c>
      <c r="W182" s="160">
        <v>1.4999999999999999E-2</v>
      </c>
      <c r="X182" s="161">
        <v>6</v>
      </c>
      <c r="Y182" s="165">
        <v>0.1</v>
      </c>
      <c r="Z182" s="166">
        <v>0.03</v>
      </c>
      <c r="AA182" s="167">
        <v>9</v>
      </c>
    </row>
    <row r="183" spans="2:27" x14ac:dyDescent="0.25">
      <c r="B183" s="51">
        <v>0</v>
      </c>
      <c r="C183" s="4" t="s">
        <v>146</v>
      </c>
      <c r="D183" s="142" t="s">
        <v>146</v>
      </c>
      <c r="E183" s="142" t="s">
        <v>146</v>
      </c>
      <c r="F183" s="4" t="s">
        <v>146</v>
      </c>
      <c r="G183" s="143">
        <v>0</v>
      </c>
      <c r="H183" s="4">
        <v>0</v>
      </c>
      <c r="I183" s="143">
        <v>0</v>
      </c>
      <c r="J183" s="144" t="s">
        <v>146</v>
      </c>
      <c r="K183" s="145">
        <v>0</v>
      </c>
      <c r="L183" s="146">
        <v>0</v>
      </c>
      <c r="M183" s="58">
        <v>0</v>
      </c>
      <c r="N183" s="58">
        <v>0</v>
      </c>
      <c r="O183" s="147">
        <v>0</v>
      </c>
      <c r="P183" s="148">
        <v>0</v>
      </c>
      <c r="Q183" s="148">
        <v>0</v>
      </c>
      <c r="R183" s="148">
        <v>0</v>
      </c>
      <c r="S183" s="153">
        <v>0.05</v>
      </c>
      <c r="T183" s="154">
        <v>7.4999999999999997E-3</v>
      </c>
      <c r="U183" s="155">
        <v>3</v>
      </c>
      <c r="V183" s="159">
        <v>7.4999999999999997E-2</v>
      </c>
      <c r="W183" s="160">
        <v>1.4999999999999999E-2</v>
      </c>
      <c r="X183" s="161">
        <v>6</v>
      </c>
      <c r="Y183" s="165">
        <v>0.1</v>
      </c>
      <c r="Z183" s="166">
        <v>0.03</v>
      </c>
      <c r="AA183" s="167">
        <v>9</v>
      </c>
    </row>
    <row r="184" spans="2:27" x14ac:dyDescent="0.25">
      <c r="B184" s="51">
        <v>0</v>
      </c>
      <c r="C184" s="4" t="s">
        <v>146</v>
      </c>
      <c r="D184" s="142" t="s">
        <v>146</v>
      </c>
      <c r="E184" s="142" t="s">
        <v>146</v>
      </c>
      <c r="F184" s="4" t="s">
        <v>146</v>
      </c>
      <c r="G184" s="143">
        <v>0</v>
      </c>
      <c r="H184" s="4">
        <v>0</v>
      </c>
      <c r="I184" s="143">
        <v>0</v>
      </c>
      <c r="J184" s="144" t="s">
        <v>146</v>
      </c>
      <c r="K184" s="145">
        <v>0</v>
      </c>
      <c r="L184" s="146">
        <v>0</v>
      </c>
      <c r="M184" s="58">
        <v>0</v>
      </c>
      <c r="N184" s="58">
        <v>0</v>
      </c>
      <c r="O184" s="147">
        <v>0</v>
      </c>
      <c r="P184" s="148">
        <v>0</v>
      </c>
      <c r="Q184" s="148">
        <v>0</v>
      </c>
      <c r="R184" s="148">
        <v>0</v>
      </c>
      <c r="S184" s="153">
        <v>0.05</v>
      </c>
      <c r="T184" s="154">
        <v>7.4999999999999997E-3</v>
      </c>
      <c r="U184" s="155">
        <v>3</v>
      </c>
      <c r="V184" s="159">
        <v>7.4999999999999997E-2</v>
      </c>
      <c r="W184" s="160">
        <v>1.4999999999999999E-2</v>
      </c>
      <c r="X184" s="161">
        <v>6</v>
      </c>
      <c r="Y184" s="165">
        <v>0.1</v>
      </c>
      <c r="Z184" s="166">
        <v>0.03</v>
      </c>
      <c r="AA184" s="167">
        <v>9</v>
      </c>
    </row>
    <row r="185" spans="2:27" x14ac:dyDescent="0.25">
      <c r="B185" s="51">
        <v>0</v>
      </c>
      <c r="C185" s="4" t="s">
        <v>146</v>
      </c>
      <c r="D185" s="142" t="s">
        <v>146</v>
      </c>
      <c r="E185" s="142" t="s">
        <v>146</v>
      </c>
      <c r="F185" s="4" t="s">
        <v>146</v>
      </c>
      <c r="G185" s="143">
        <v>0</v>
      </c>
      <c r="H185" s="4">
        <v>0</v>
      </c>
      <c r="I185" s="143">
        <v>0</v>
      </c>
      <c r="J185" s="144" t="s">
        <v>146</v>
      </c>
      <c r="K185" s="145">
        <v>0</v>
      </c>
      <c r="L185" s="146">
        <v>0</v>
      </c>
      <c r="M185" s="58">
        <v>0</v>
      </c>
      <c r="N185" s="58">
        <v>0</v>
      </c>
      <c r="O185" s="147">
        <v>0</v>
      </c>
      <c r="P185" s="148">
        <v>0</v>
      </c>
      <c r="Q185" s="148">
        <v>0</v>
      </c>
      <c r="R185" s="148">
        <v>0</v>
      </c>
      <c r="S185" s="153">
        <v>0.05</v>
      </c>
      <c r="T185" s="154">
        <v>7.4999999999999997E-3</v>
      </c>
      <c r="U185" s="155">
        <v>3</v>
      </c>
      <c r="V185" s="159">
        <v>7.4999999999999997E-2</v>
      </c>
      <c r="W185" s="160">
        <v>1.4999999999999999E-2</v>
      </c>
      <c r="X185" s="161">
        <v>6</v>
      </c>
      <c r="Y185" s="165">
        <v>0.1</v>
      </c>
      <c r="Z185" s="166">
        <v>0.03</v>
      </c>
      <c r="AA185" s="167">
        <v>9</v>
      </c>
    </row>
    <row r="186" spans="2:27" x14ac:dyDescent="0.25">
      <c r="B186" s="51">
        <v>0</v>
      </c>
      <c r="C186" s="4" t="s">
        <v>146</v>
      </c>
      <c r="D186" s="142" t="s">
        <v>146</v>
      </c>
      <c r="E186" s="142" t="s">
        <v>146</v>
      </c>
      <c r="F186" s="4" t="s">
        <v>146</v>
      </c>
      <c r="G186" s="143">
        <v>0</v>
      </c>
      <c r="H186" s="4">
        <v>0</v>
      </c>
      <c r="I186" s="143">
        <v>0</v>
      </c>
      <c r="J186" s="144" t="s">
        <v>146</v>
      </c>
      <c r="K186" s="145">
        <v>0</v>
      </c>
      <c r="L186" s="146">
        <v>0</v>
      </c>
      <c r="M186" s="58">
        <v>0</v>
      </c>
      <c r="N186" s="58">
        <v>0</v>
      </c>
      <c r="O186" s="147">
        <v>0</v>
      </c>
      <c r="P186" s="148">
        <v>0</v>
      </c>
      <c r="Q186" s="148">
        <v>0</v>
      </c>
      <c r="R186" s="148">
        <v>0</v>
      </c>
      <c r="S186" s="153">
        <v>0.05</v>
      </c>
      <c r="T186" s="154">
        <v>7.4999999999999997E-3</v>
      </c>
      <c r="U186" s="155">
        <v>3</v>
      </c>
      <c r="V186" s="159">
        <v>7.4999999999999997E-2</v>
      </c>
      <c r="W186" s="160">
        <v>1.4999999999999999E-2</v>
      </c>
      <c r="X186" s="161">
        <v>6</v>
      </c>
      <c r="Y186" s="165">
        <v>0.1</v>
      </c>
      <c r="Z186" s="166">
        <v>0.03</v>
      </c>
      <c r="AA186" s="167">
        <v>9</v>
      </c>
    </row>
    <row r="187" spans="2:27" x14ac:dyDescent="0.25">
      <c r="B187" s="51">
        <v>0</v>
      </c>
      <c r="C187" s="4" t="s">
        <v>146</v>
      </c>
      <c r="D187" s="142" t="s">
        <v>146</v>
      </c>
      <c r="E187" s="142" t="s">
        <v>146</v>
      </c>
      <c r="F187" s="4" t="s">
        <v>146</v>
      </c>
      <c r="G187" s="143">
        <v>0</v>
      </c>
      <c r="H187" s="4">
        <v>0</v>
      </c>
      <c r="I187" s="143">
        <v>0</v>
      </c>
      <c r="J187" s="144" t="s">
        <v>146</v>
      </c>
      <c r="K187" s="145">
        <v>0</v>
      </c>
      <c r="L187" s="146">
        <v>0</v>
      </c>
      <c r="M187" s="58">
        <v>0</v>
      </c>
      <c r="N187" s="58">
        <v>0</v>
      </c>
      <c r="O187" s="147">
        <v>0</v>
      </c>
      <c r="P187" s="148">
        <v>0</v>
      </c>
      <c r="Q187" s="148">
        <v>0</v>
      </c>
      <c r="R187" s="148">
        <v>0</v>
      </c>
      <c r="S187" s="153">
        <v>0.05</v>
      </c>
      <c r="T187" s="154">
        <v>7.4999999999999997E-3</v>
      </c>
      <c r="U187" s="155">
        <v>3</v>
      </c>
      <c r="V187" s="159">
        <v>7.4999999999999997E-2</v>
      </c>
      <c r="W187" s="160">
        <v>1.4999999999999999E-2</v>
      </c>
      <c r="X187" s="161">
        <v>6</v>
      </c>
      <c r="Y187" s="165">
        <v>0.1</v>
      </c>
      <c r="Z187" s="166">
        <v>0.03</v>
      </c>
      <c r="AA187" s="167">
        <v>9</v>
      </c>
    </row>
    <row r="188" spans="2:27" x14ac:dyDescent="0.25">
      <c r="B188" s="51">
        <v>0</v>
      </c>
      <c r="C188" s="4" t="s">
        <v>146</v>
      </c>
      <c r="D188" s="142" t="s">
        <v>146</v>
      </c>
      <c r="E188" s="142" t="s">
        <v>146</v>
      </c>
      <c r="F188" s="4" t="s">
        <v>146</v>
      </c>
      <c r="G188" s="143">
        <v>0</v>
      </c>
      <c r="H188" s="4">
        <v>0</v>
      </c>
      <c r="I188" s="143">
        <v>0</v>
      </c>
      <c r="J188" s="144" t="s">
        <v>146</v>
      </c>
      <c r="K188" s="145">
        <v>0</v>
      </c>
      <c r="L188" s="146">
        <v>0</v>
      </c>
      <c r="M188" s="58">
        <v>0</v>
      </c>
      <c r="N188" s="58">
        <v>0</v>
      </c>
      <c r="O188" s="147">
        <v>0</v>
      </c>
      <c r="P188" s="148">
        <v>0</v>
      </c>
      <c r="Q188" s="148">
        <v>0</v>
      </c>
      <c r="R188" s="148">
        <v>0</v>
      </c>
      <c r="S188" s="153">
        <v>0.05</v>
      </c>
      <c r="T188" s="154">
        <v>7.4999999999999997E-3</v>
      </c>
      <c r="U188" s="155">
        <v>3</v>
      </c>
      <c r="V188" s="159">
        <v>7.4999999999999997E-2</v>
      </c>
      <c r="W188" s="160">
        <v>1.4999999999999999E-2</v>
      </c>
      <c r="X188" s="161">
        <v>6</v>
      </c>
      <c r="Y188" s="165">
        <v>0.1</v>
      </c>
      <c r="Z188" s="166">
        <v>0.03</v>
      </c>
      <c r="AA188" s="167">
        <v>9</v>
      </c>
    </row>
    <row r="189" spans="2:27" x14ac:dyDescent="0.25">
      <c r="B189" s="51">
        <v>0</v>
      </c>
      <c r="C189" s="4" t="s">
        <v>146</v>
      </c>
      <c r="D189" s="142" t="s">
        <v>146</v>
      </c>
      <c r="E189" s="142" t="s">
        <v>146</v>
      </c>
      <c r="F189" s="4" t="s">
        <v>146</v>
      </c>
      <c r="G189" s="143">
        <v>0</v>
      </c>
      <c r="H189" s="4">
        <v>0</v>
      </c>
      <c r="I189" s="143">
        <v>0</v>
      </c>
      <c r="J189" s="144" t="s">
        <v>146</v>
      </c>
      <c r="K189" s="145">
        <v>0</v>
      </c>
      <c r="L189" s="146">
        <v>0</v>
      </c>
      <c r="M189" s="58">
        <v>0</v>
      </c>
      <c r="N189" s="58">
        <v>0</v>
      </c>
      <c r="O189" s="147">
        <v>0</v>
      </c>
      <c r="P189" s="148">
        <v>0</v>
      </c>
      <c r="Q189" s="148">
        <v>0</v>
      </c>
      <c r="R189" s="148">
        <v>0</v>
      </c>
      <c r="S189" s="153">
        <v>0.05</v>
      </c>
      <c r="T189" s="154">
        <v>7.4999999999999997E-3</v>
      </c>
      <c r="U189" s="155">
        <v>3</v>
      </c>
      <c r="V189" s="159">
        <v>7.4999999999999997E-2</v>
      </c>
      <c r="W189" s="160">
        <v>1.4999999999999999E-2</v>
      </c>
      <c r="X189" s="161">
        <v>6</v>
      </c>
      <c r="Y189" s="165">
        <v>0.1</v>
      </c>
      <c r="Z189" s="166">
        <v>0.03</v>
      </c>
      <c r="AA189" s="167">
        <v>9</v>
      </c>
    </row>
    <row r="190" spans="2:27" x14ac:dyDescent="0.25">
      <c r="B190" s="51">
        <v>0</v>
      </c>
      <c r="C190" s="4" t="s">
        <v>146</v>
      </c>
      <c r="D190" s="142" t="s">
        <v>146</v>
      </c>
      <c r="E190" s="142" t="s">
        <v>146</v>
      </c>
      <c r="F190" s="4" t="s">
        <v>146</v>
      </c>
      <c r="G190" s="143">
        <v>0</v>
      </c>
      <c r="H190" s="4">
        <v>0</v>
      </c>
      <c r="I190" s="143">
        <v>0</v>
      </c>
      <c r="J190" s="144" t="s">
        <v>146</v>
      </c>
      <c r="K190" s="145">
        <v>0</v>
      </c>
      <c r="L190" s="146">
        <v>0</v>
      </c>
      <c r="M190" s="58">
        <v>0</v>
      </c>
      <c r="N190" s="58">
        <v>0</v>
      </c>
      <c r="O190" s="147">
        <v>0</v>
      </c>
      <c r="P190" s="148">
        <v>0</v>
      </c>
      <c r="Q190" s="148">
        <v>0</v>
      </c>
      <c r="R190" s="148">
        <v>0</v>
      </c>
      <c r="S190" s="153">
        <v>0.05</v>
      </c>
      <c r="T190" s="154">
        <v>7.4999999999999997E-3</v>
      </c>
      <c r="U190" s="155">
        <v>3</v>
      </c>
      <c r="V190" s="159">
        <v>7.4999999999999997E-2</v>
      </c>
      <c r="W190" s="160">
        <v>1.4999999999999999E-2</v>
      </c>
      <c r="X190" s="161">
        <v>6</v>
      </c>
      <c r="Y190" s="165">
        <v>0.1</v>
      </c>
      <c r="Z190" s="166">
        <v>0.03</v>
      </c>
      <c r="AA190" s="167">
        <v>9</v>
      </c>
    </row>
    <row r="191" spans="2:27" x14ac:dyDescent="0.25">
      <c r="B191" s="51">
        <v>0</v>
      </c>
      <c r="C191" s="4" t="s">
        <v>146</v>
      </c>
      <c r="D191" s="142" t="s">
        <v>146</v>
      </c>
      <c r="E191" s="142" t="s">
        <v>146</v>
      </c>
      <c r="F191" s="4" t="s">
        <v>146</v>
      </c>
      <c r="G191" s="143">
        <v>0</v>
      </c>
      <c r="H191" s="4">
        <v>0</v>
      </c>
      <c r="I191" s="143">
        <v>0</v>
      </c>
      <c r="J191" s="144" t="s">
        <v>146</v>
      </c>
      <c r="K191" s="145">
        <v>0</v>
      </c>
      <c r="L191" s="146">
        <v>0</v>
      </c>
      <c r="M191" s="58">
        <v>0</v>
      </c>
      <c r="N191" s="58">
        <v>0</v>
      </c>
      <c r="O191" s="147">
        <v>0</v>
      </c>
      <c r="P191" s="148">
        <v>0</v>
      </c>
      <c r="Q191" s="148">
        <v>0</v>
      </c>
      <c r="R191" s="148">
        <v>0</v>
      </c>
      <c r="S191" s="153">
        <v>0.05</v>
      </c>
      <c r="T191" s="154">
        <v>7.4999999999999997E-3</v>
      </c>
      <c r="U191" s="155">
        <v>3</v>
      </c>
      <c r="V191" s="159">
        <v>7.4999999999999997E-2</v>
      </c>
      <c r="W191" s="160">
        <v>1.4999999999999999E-2</v>
      </c>
      <c r="X191" s="161">
        <v>6</v>
      </c>
      <c r="Y191" s="165">
        <v>0.1</v>
      </c>
      <c r="Z191" s="166">
        <v>0.03</v>
      </c>
      <c r="AA191" s="167">
        <v>9</v>
      </c>
    </row>
    <row r="192" spans="2:27" x14ac:dyDescent="0.25">
      <c r="B192" s="51">
        <v>0</v>
      </c>
      <c r="C192" s="4" t="s">
        <v>146</v>
      </c>
      <c r="D192" s="142" t="s">
        <v>146</v>
      </c>
      <c r="E192" s="142" t="s">
        <v>146</v>
      </c>
      <c r="F192" s="4" t="s">
        <v>146</v>
      </c>
      <c r="G192" s="143">
        <v>0</v>
      </c>
      <c r="H192" s="4">
        <v>0</v>
      </c>
      <c r="I192" s="143">
        <v>0</v>
      </c>
      <c r="J192" s="144" t="s">
        <v>146</v>
      </c>
      <c r="K192" s="145">
        <v>0</v>
      </c>
      <c r="L192" s="146">
        <v>0</v>
      </c>
      <c r="M192" s="58">
        <v>0</v>
      </c>
      <c r="N192" s="58">
        <v>0</v>
      </c>
      <c r="O192" s="147">
        <v>0</v>
      </c>
      <c r="P192" s="148">
        <v>0</v>
      </c>
      <c r="Q192" s="148">
        <v>0</v>
      </c>
      <c r="R192" s="148">
        <v>0</v>
      </c>
      <c r="S192" s="153">
        <v>0.05</v>
      </c>
      <c r="T192" s="154">
        <v>7.4999999999999997E-3</v>
      </c>
      <c r="U192" s="155">
        <v>3</v>
      </c>
      <c r="V192" s="159">
        <v>7.4999999999999997E-2</v>
      </c>
      <c r="W192" s="160">
        <v>1.4999999999999999E-2</v>
      </c>
      <c r="X192" s="161">
        <v>6</v>
      </c>
      <c r="Y192" s="165">
        <v>0.1</v>
      </c>
      <c r="Z192" s="166">
        <v>0.03</v>
      </c>
      <c r="AA192" s="167">
        <v>9</v>
      </c>
    </row>
    <row r="193" spans="2:27" x14ac:dyDescent="0.25">
      <c r="B193" s="51">
        <v>0</v>
      </c>
      <c r="C193" s="4" t="s">
        <v>146</v>
      </c>
      <c r="D193" s="142" t="s">
        <v>146</v>
      </c>
      <c r="E193" s="142" t="s">
        <v>146</v>
      </c>
      <c r="F193" s="4" t="s">
        <v>146</v>
      </c>
      <c r="G193" s="143">
        <v>0</v>
      </c>
      <c r="H193" s="4">
        <v>0</v>
      </c>
      <c r="I193" s="143">
        <v>0</v>
      </c>
      <c r="J193" s="144" t="s">
        <v>146</v>
      </c>
      <c r="K193" s="145">
        <v>0</v>
      </c>
      <c r="L193" s="146">
        <v>0</v>
      </c>
      <c r="M193" s="58">
        <v>0</v>
      </c>
      <c r="N193" s="58">
        <v>0</v>
      </c>
      <c r="O193" s="147">
        <v>0</v>
      </c>
      <c r="P193" s="148">
        <v>0</v>
      </c>
      <c r="Q193" s="148">
        <v>0</v>
      </c>
      <c r="R193" s="148">
        <v>0</v>
      </c>
      <c r="S193" s="153">
        <v>0.05</v>
      </c>
      <c r="T193" s="154">
        <v>7.4999999999999997E-3</v>
      </c>
      <c r="U193" s="155">
        <v>3</v>
      </c>
      <c r="V193" s="159">
        <v>7.4999999999999997E-2</v>
      </c>
      <c r="W193" s="160">
        <v>1.4999999999999999E-2</v>
      </c>
      <c r="X193" s="161">
        <v>6</v>
      </c>
      <c r="Y193" s="165">
        <v>0.1</v>
      </c>
      <c r="Z193" s="166">
        <v>0.03</v>
      </c>
      <c r="AA193" s="167">
        <v>9</v>
      </c>
    </row>
    <row r="194" spans="2:27" x14ac:dyDescent="0.25">
      <c r="B194" s="51">
        <v>0</v>
      </c>
      <c r="C194" s="4" t="s">
        <v>146</v>
      </c>
      <c r="D194" s="142" t="s">
        <v>146</v>
      </c>
      <c r="E194" s="142" t="s">
        <v>146</v>
      </c>
      <c r="F194" s="4" t="s">
        <v>146</v>
      </c>
      <c r="G194" s="143">
        <v>0</v>
      </c>
      <c r="H194" s="4">
        <v>0</v>
      </c>
      <c r="I194" s="143">
        <v>0</v>
      </c>
      <c r="J194" s="144" t="s">
        <v>146</v>
      </c>
      <c r="K194" s="145">
        <v>0</v>
      </c>
      <c r="L194" s="146">
        <v>0</v>
      </c>
      <c r="M194" s="58">
        <v>0</v>
      </c>
      <c r="N194" s="58">
        <v>0</v>
      </c>
      <c r="O194" s="147">
        <v>0</v>
      </c>
      <c r="P194" s="148">
        <v>0</v>
      </c>
      <c r="Q194" s="148">
        <v>0</v>
      </c>
      <c r="R194" s="148">
        <v>0</v>
      </c>
      <c r="S194" s="153">
        <v>0.05</v>
      </c>
      <c r="T194" s="154">
        <v>7.4999999999999997E-3</v>
      </c>
      <c r="U194" s="155">
        <v>3</v>
      </c>
      <c r="V194" s="159">
        <v>7.4999999999999997E-2</v>
      </c>
      <c r="W194" s="160">
        <v>1.4999999999999999E-2</v>
      </c>
      <c r="X194" s="161">
        <v>6</v>
      </c>
      <c r="Y194" s="165">
        <v>0.1</v>
      </c>
      <c r="Z194" s="166">
        <v>0.03</v>
      </c>
      <c r="AA194" s="167">
        <v>9</v>
      </c>
    </row>
    <row r="195" spans="2:27" x14ac:dyDescent="0.25">
      <c r="B195" s="51">
        <v>0</v>
      </c>
      <c r="C195" s="4" t="s">
        <v>146</v>
      </c>
      <c r="D195" s="142" t="s">
        <v>146</v>
      </c>
      <c r="E195" s="142" t="s">
        <v>146</v>
      </c>
      <c r="F195" s="4" t="s">
        <v>146</v>
      </c>
      <c r="G195" s="143">
        <v>0</v>
      </c>
      <c r="H195" s="4">
        <v>0</v>
      </c>
      <c r="I195" s="143">
        <v>0</v>
      </c>
      <c r="J195" s="144" t="s">
        <v>146</v>
      </c>
      <c r="K195" s="145">
        <v>0</v>
      </c>
      <c r="L195" s="146">
        <v>0</v>
      </c>
      <c r="M195" s="58">
        <v>0</v>
      </c>
      <c r="N195" s="58">
        <v>0</v>
      </c>
      <c r="O195" s="147">
        <v>0</v>
      </c>
      <c r="P195" s="148">
        <v>0</v>
      </c>
      <c r="Q195" s="148">
        <v>0</v>
      </c>
      <c r="R195" s="148">
        <v>0</v>
      </c>
      <c r="S195" s="153">
        <v>0.05</v>
      </c>
      <c r="T195" s="154">
        <v>7.4999999999999997E-3</v>
      </c>
      <c r="U195" s="155">
        <v>3</v>
      </c>
      <c r="V195" s="159">
        <v>7.4999999999999997E-2</v>
      </c>
      <c r="W195" s="160">
        <v>1.4999999999999999E-2</v>
      </c>
      <c r="X195" s="161">
        <v>6</v>
      </c>
      <c r="Y195" s="165">
        <v>0.1</v>
      </c>
      <c r="Z195" s="166">
        <v>0.03</v>
      </c>
      <c r="AA195" s="167">
        <v>9</v>
      </c>
    </row>
    <row r="196" spans="2:27" x14ac:dyDescent="0.25">
      <c r="B196" s="51">
        <v>0</v>
      </c>
      <c r="C196" s="4" t="s">
        <v>146</v>
      </c>
      <c r="D196" s="142" t="s">
        <v>146</v>
      </c>
      <c r="E196" s="142" t="s">
        <v>146</v>
      </c>
      <c r="F196" s="4" t="s">
        <v>146</v>
      </c>
      <c r="G196" s="143">
        <v>0</v>
      </c>
      <c r="H196" s="4">
        <v>0</v>
      </c>
      <c r="I196" s="143">
        <v>0</v>
      </c>
      <c r="J196" s="144" t="s">
        <v>146</v>
      </c>
      <c r="K196" s="145">
        <v>0</v>
      </c>
      <c r="L196" s="146">
        <v>0</v>
      </c>
      <c r="M196" s="58">
        <v>0</v>
      </c>
      <c r="N196" s="58">
        <v>0</v>
      </c>
      <c r="O196" s="147">
        <v>0</v>
      </c>
      <c r="P196" s="148">
        <v>0</v>
      </c>
      <c r="Q196" s="148">
        <v>0</v>
      </c>
      <c r="R196" s="148">
        <v>0</v>
      </c>
      <c r="S196" s="153">
        <v>0.05</v>
      </c>
      <c r="T196" s="154">
        <v>7.4999999999999997E-3</v>
      </c>
      <c r="U196" s="155">
        <v>3</v>
      </c>
      <c r="V196" s="159">
        <v>7.4999999999999997E-2</v>
      </c>
      <c r="W196" s="160">
        <v>1.4999999999999999E-2</v>
      </c>
      <c r="X196" s="161">
        <v>6</v>
      </c>
      <c r="Y196" s="165">
        <v>0.1</v>
      </c>
      <c r="Z196" s="166">
        <v>0.03</v>
      </c>
      <c r="AA196" s="167">
        <v>9</v>
      </c>
    </row>
    <row r="197" spans="2:27" x14ac:dyDescent="0.25">
      <c r="B197" s="51">
        <v>0</v>
      </c>
      <c r="C197" s="4" t="s">
        <v>146</v>
      </c>
      <c r="D197" s="142" t="s">
        <v>146</v>
      </c>
      <c r="E197" s="142" t="s">
        <v>146</v>
      </c>
      <c r="F197" s="4" t="s">
        <v>146</v>
      </c>
      <c r="G197" s="143">
        <v>0</v>
      </c>
      <c r="H197" s="4">
        <v>0</v>
      </c>
      <c r="I197" s="143">
        <v>0</v>
      </c>
      <c r="J197" s="144" t="s">
        <v>146</v>
      </c>
      <c r="K197" s="145">
        <v>0</v>
      </c>
      <c r="L197" s="146">
        <v>0</v>
      </c>
      <c r="M197" s="58">
        <v>0</v>
      </c>
      <c r="N197" s="58">
        <v>0</v>
      </c>
      <c r="O197" s="147">
        <v>0</v>
      </c>
      <c r="P197" s="148">
        <v>0</v>
      </c>
      <c r="Q197" s="148">
        <v>0</v>
      </c>
      <c r="R197" s="148">
        <v>0</v>
      </c>
      <c r="S197" s="153">
        <v>0.05</v>
      </c>
      <c r="T197" s="154">
        <v>7.4999999999999997E-3</v>
      </c>
      <c r="U197" s="155">
        <v>3</v>
      </c>
      <c r="V197" s="159">
        <v>7.4999999999999997E-2</v>
      </c>
      <c r="W197" s="160">
        <v>1.4999999999999999E-2</v>
      </c>
      <c r="X197" s="161">
        <v>6</v>
      </c>
      <c r="Y197" s="165">
        <v>0.1</v>
      </c>
      <c r="Z197" s="166">
        <v>0.03</v>
      </c>
      <c r="AA197" s="167">
        <v>9</v>
      </c>
    </row>
    <row r="198" spans="2:27" x14ac:dyDescent="0.25">
      <c r="B198" s="51">
        <v>0</v>
      </c>
      <c r="C198" s="4" t="s">
        <v>146</v>
      </c>
      <c r="D198" s="142" t="s">
        <v>146</v>
      </c>
      <c r="E198" s="142" t="s">
        <v>146</v>
      </c>
      <c r="F198" s="4" t="s">
        <v>146</v>
      </c>
      <c r="G198" s="143">
        <v>0</v>
      </c>
      <c r="H198" s="4">
        <v>0</v>
      </c>
      <c r="I198" s="143">
        <v>0</v>
      </c>
      <c r="J198" s="144" t="s">
        <v>146</v>
      </c>
      <c r="K198" s="145">
        <v>0</v>
      </c>
      <c r="L198" s="146">
        <v>0</v>
      </c>
      <c r="M198" s="58">
        <v>0</v>
      </c>
      <c r="N198" s="58">
        <v>0</v>
      </c>
      <c r="O198" s="147">
        <v>0</v>
      </c>
      <c r="P198" s="148">
        <v>0</v>
      </c>
      <c r="Q198" s="148">
        <v>0</v>
      </c>
      <c r="R198" s="148">
        <v>0</v>
      </c>
      <c r="S198" s="153">
        <v>0.05</v>
      </c>
      <c r="T198" s="154">
        <v>7.4999999999999997E-3</v>
      </c>
      <c r="U198" s="155">
        <v>3</v>
      </c>
      <c r="V198" s="159">
        <v>7.4999999999999997E-2</v>
      </c>
      <c r="W198" s="160">
        <v>1.4999999999999999E-2</v>
      </c>
      <c r="X198" s="161">
        <v>6</v>
      </c>
      <c r="Y198" s="165">
        <v>0.1</v>
      </c>
      <c r="Z198" s="166">
        <v>0.03</v>
      </c>
      <c r="AA198" s="167">
        <v>9</v>
      </c>
    </row>
    <row r="199" spans="2:27" x14ac:dyDescent="0.25">
      <c r="B199" s="51">
        <v>0</v>
      </c>
      <c r="C199" s="4" t="s">
        <v>146</v>
      </c>
      <c r="D199" s="142" t="s">
        <v>146</v>
      </c>
      <c r="E199" s="142" t="s">
        <v>146</v>
      </c>
      <c r="F199" s="4" t="s">
        <v>146</v>
      </c>
      <c r="G199" s="143">
        <v>0</v>
      </c>
      <c r="H199" s="4">
        <v>0</v>
      </c>
      <c r="I199" s="143">
        <v>0</v>
      </c>
      <c r="J199" s="144" t="s">
        <v>146</v>
      </c>
      <c r="K199" s="145">
        <v>0</v>
      </c>
      <c r="L199" s="146">
        <v>0</v>
      </c>
      <c r="M199" s="58">
        <v>0</v>
      </c>
      <c r="N199" s="58">
        <v>0</v>
      </c>
      <c r="O199" s="147">
        <v>0</v>
      </c>
      <c r="P199" s="148">
        <v>0</v>
      </c>
      <c r="Q199" s="148">
        <v>0</v>
      </c>
      <c r="R199" s="148">
        <v>0</v>
      </c>
      <c r="S199" s="153">
        <v>0.05</v>
      </c>
      <c r="T199" s="154">
        <v>7.4999999999999997E-3</v>
      </c>
      <c r="U199" s="155">
        <v>3</v>
      </c>
      <c r="V199" s="159">
        <v>7.4999999999999997E-2</v>
      </c>
      <c r="W199" s="160">
        <v>1.4999999999999999E-2</v>
      </c>
      <c r="X199" s="161">
        <v>6</v>
      </c>
      <c r="Y199" s="165">
        <v>0.1</v>
      </c>
      <c r="Z199" s="166">
        <v>0.03</v>
      </c>
      <c r="AA199" s="167">
        <v>9</v>
      </c>
    </row>
    <row r="200" spans="2:27" x14ac:dyDescent="0.25">
      <c r="B200" s="51">
        <v>0</v>
      </c>
      <c r="C200" s="4" t="s">
        <v>146</v>
      </c>
      <c r="D200" s="142" t="s">
        <v>146</v>
      </c>
      <c r="E200" s="142" t="s">
        <v>146</v>
      </c>
      <c r="F200" s="4" t="s">
        <v>146</v>
      </c>
      <c r="G200" s="143">
        <v>0</v>
      </c>
      <c r="H200" s="4">
        <v>0</v>
      </c>
      <c r="I200" s="143">
        <v>0</v>
      </c>
      <c r="J200" s="144" t="s">
        <v>146</v>
      </c>
      <c r="K200" s="145">
        <v>0</v>
      </c>
      <c r="L200" s="146">
        <v>0</v>
      </c>
      <c r="M200" s="58">
        <v>0</v>
      </c>
      <c r="N200" s="58">
        <v>0</v>
      </c>
      <c r="O200" s="147">
        <v>0</v>
      </c>
      <c r="P200" s="148">
        <v>0</v>
      </c>
      <c r="Q200" s="148">
        <v>0</v>
      </c>
      <c r="R200" s="148">
        <v>0</v>
      </c>
      <c r="S200" s="153">
        <v>0.05</v>
      </c>
      <c r="T200" s="154">
        <v>7.4999999999999997E-3</v>
      </c>
      <c r="U200" s="155">
        <v>3</v>
      </c>
      <c r="V200" s="159">
        <v>7.4999999999999997E-2</v>
      </c>
      <c r="W200" s="160">
        <v>1.4999999999999999E-2</v>
      </c>
      <c r="X200" s="161">
        <v>6</v>
      </c>
      <c r="Y200" s="165">
        <v>0.1</v>
      </c>
      <c r="Z200" s="166">
        <v>0.03</v>
      </c>
      <c r="AA200" s="167">
        <v>9</v>
      </c>
    </row>
    <row r="201" spans="2:27" x14ac:dyDescent="0.25">
      <c r="B201" s="51">
        <v>0</v>
      </c>
      <c r="C201" s="4" t="s">
        <v>146</v>
      </c>
      <c r="D201" s="142" t="s">
        <v>146</v>
      </c>
      <c r="E201" s="142" t="s">
        <v>146</v>
      </c>
      <c r="F201" s="4" t="s">
        <v>146</v>
      </c>
      <c r="G201" s="143">
        <v>0</v>
      </c>
      <c r="H201" s="4">
        <v>0</v>
      </c>
      <c r="I201" s="143">
        <v>0</v>
      </c>
      <c r="J201" s="144" t="s">
        <v>146</v>
      </c>
      <c r="K201" s="145">
        <v>0</v>
      </c>
      <c r="L201" s="146">
        <v>0</v>
      </c>
      <c r="M201" s="58">
        <v>0</v>
      </c>
      <c r="N201" s="58">
        <v>0</v>
      </c>
      <c r="O201" s="147">
        <v>0</v>
      </c>
      <c r="P201" s="148">
        <v>0</v>
      </c>
      <c r="Q201" s="148">
        <v>0</v>
      </c>
      <c r="R201" s="148">
        <v>0</v>
      </c>
      <c r="S201" s="153">
        <v>0.05</v>
      </c>
      <c r="T201" s="154">
        <v>7.4999999999999997E-3</v>
      </c>
      <c r="U201" s="155">
        <v>3</v>
      </c>
      <c r="V201" s="159">
        <v>7.4999999999999997E-2</v>
      </c>
      <c r="W201" s="160">
        <v>1.4999999999999999E-2</v>
      </c>
      <c r="X201" s="161">
        <v>6</v>
      </c>
      <c r="Y201" s="165">
        <v>0.1</v>
      </c>
      <c r="Z201" s="166">
        <v>0.03</v>
      </c>
      <c r="AA201" s="167">
        <v>9</v>
      </c>
    </row>
    <row r="202" spans="2:27" x14ac:dyDescent="0.25">
      <c r="B202" s="51">
        <v>0</v>
      </c>
      <c r="C202" s="4" t="s">
        <v>146</v>
      </c>
      <c r="D202" s="142" t="s">
        <v>146</v>
      </c>
      <c r="E202" s="142" t="s">
        <v>146</v>
      </c>
      <c r="F202" s="4" t="s">
        <v>146</v>
      </c>
      <c r="G202" s="143">
        <v>0</v>
      </c>
      <c r="H202" s="4">
        <v>0</v>
      </c>
      <c r="I202" s="143">
        <v>0</v>
      </c>
      <c r="J202" s="144" t="s">
        <v>146</v>
      </c>
      <c r="K202" s="145">
        <v>0</v>
      </c>
      <c r="L202" s="146">
        <v>0</v>
      </c>
      <c r="M202" s="58">
        <v>0</v>
      </c>
      <c r="N202" s="58">
        <v>0</v>
      </c>
      <c r="O202" s="147">
        <v>0</v>
      </c>
      <c r="P202" s="148">
        <v>0</v>
      </c>
      <c r="Q202" s="148">
        <v>0</v>
      </c>
      <c r="R202" s="148">
        <v>0</v>
      </c>
      <c r="S202" s="153">
        <v>0.05</v>
      </c>
      <c r="T202" s="154">
        <v>7.4999999999999997E-3</v>
      </c>
      <c r="U202" s="155">
        <v>3</v>
      </c>
      <c r="V202" s="159">
        <v>7.4999999999999997E-2</v>
      </c>
      <c r="W202" s="160">
        <v>1.4999999999999999E-2</v>
      </c>
      <c r="X202" s="161">
        <v>6</v>
      </c>
      <c r="Y202" s="165">
        <v>0.1</v>
      </c>
      <c r="Z202" s="166">
        <v>0.03</v>
      </c>
      <c r="AA202" s="167">
        <v>9</v>
      </c>
    </row>
    <row r="203" spans="2:27" x14ac:dyDescent="0.25">
      <c r="B203" s="51">
        <v>0</v>
      </c>
      <c r="C203" s="4" t="s">
        <v>146</v>
      </c>
      <c r="D203" s="142" t="s">
        <v>146</v>
      </c>
      <c r="E203" s="142" t="s">
        <v>146</v>
      </c>
      <c r="F203" s="4" t="s">
        <v>146</v>
      </c>
      <c r="G203" s="143">
        <v>0</v>
      </c>
      <c r="H203" s="4">
        <v>0</v>
      </c>
      <c r="I203" s="143">
        <v>0</v>
      </c>
      <c r="J203" s="144" t="s">
        <v>146</v>
      </c>
      <c r="K203" s="145">
        <v>0</v>
      </c>
      <c r="L203" s="146">
        <v>0</v>
      </c>
      <c r="M203" s="58">
        <v>0</v>
      </c>
      <c r="N203" s="58">
        <v>0</v>
      </c>
      <c r="O203" s="147">
        <v>0</v>
      </c>
      <c r="P203" s="148">
        <v>0</v>
      </c>
      <c r="Q203" s="148">
        <v>0</v>
      </c>
      <c r="R203" s="148">
        <v>0</v>
      </c>
      <c r="S203" s="153">
        <v>0.05</v>
      </c>
      <c r="T203" s="154">
        <v>7.4999999999999997E-3</v>
      </c>
      <c r="U203" s="155">
        <v>3</v>
      </c>
      <c r="V203" s="159">
        <v>7.4999999999999997E-2</v>
      </c>
      <c r="W203" s="160">
        <v>1.4999999999999999E-2</v>
      </c>
      <c r="X203" s="161">
        <v>6</v>
      </c>
      <c r="Y203" s="165">
        <v>0.1</v>
      </c>
      <c r="Z203" s="166">
        <v>0.03</v>
      </c>
      <c r="AA203" s="167">
        <v>9</v>
      </c>
    </row>
    <row r="204" spans="2:27" x14ac:dyDescent="0.25">
      <c r="B204" s="51">
        <v>0</v>
      </c>
      <c r="C204" s="4" t="s">
        <v>146</v>
      </c>
      <c r="D204" s="142" t="s">
        <v>146</v>
      </c>
      <c r="E204" s="142" t="s">
        <v>146</v>
      </c>
      <c r="F204" s="4" t="s">
        <v>146</v>
      </c>
      <c r="G204" s="143">
        <v>0</v>
      </c>
      <c r="H204" s="4">
        <v>0</v>
      </c>
      <c r="I204" s="143">
        <v>0</v>
      </c>
      <c r="J204" s="144" t="s">
        <v>146</v>
      </c>
      <c r="K204" s="145">
        <v>0</v>
      </c>
      <c r="L204" s="146">
        <v>0</v>
      </c>
      <c r="M204" s="58">
        <v>0</v>
      </c>
      <c r="N204" s="58">
        <v>0</v>
      </c>
      <c r="O204" s="147">
        <v>0</v>
      </c>
      <c r="P204" s="148">
        <v>0</v>
      </c>
      <c r="Q204" s="148">
        <v>0</v>
      </c>
      <c r="R204" s="148">
        <v>0</v>
      </c>
      <c r="S204" s="153">
        <v>0.05</v>
      </c>
      <c r="T204" s="154">
        <v>7.4999999999999997E-3</v>
      </c>
      <c r="U204" s="155">
        <v>3</v>
      </c>
      <c r="V204" s="159">
        <v>7.4999999999999997E-2</v>
      </c>
      <c r="W204" s="160">
        <v>1.4999999999999999E-2</v>
      </c>
      <c r="X204" s="161">
        <v>6</v>
      </c>
      <c r="Y204" s="165">
        <v>0.1</v>
      </c>
      <c r="Z204" s="166">
        <v>0.03</v>
      </c>
      <c r="AA204" s="167">
        <v>9</v>
      </c>
    </row>
    <row r="205" spans="2:27" x14ac:dyDescent="0.25">
      <c r="B205" s="51">
        <v>0</v>
      </c>
      <c r="C205" s="4" t="s">
        <v>146</v>
      </c>
      <c r="D205" s="142" t="s">
        <v>146</v>
      </c>
      <c r="E205" s="142" t="s">
        <v>146</v>
      </c>
      <c r="F205" s="4" t="s">
        <v>146</v>
      </c>
      <c r="G205" s="143">
        <v>0</v>
      </c>
      <c r="H205" s="4">
        <v>0</v>
      </c>
      <c r="I205" s="143">
        <v>0</v>
      </c>
      <c r="J205" s="144" t="s">
        <v>146</v>
      </c>
      <c r="K205" s="145">
        <v>0</v>
      </c>
      <c r="L205" s="146">
        <v>0</v>
      </c>
      <c r="M205" s="58">
        <v>0</v>
      </c>
      <c r="N205" s="58">
        <v>0</v>
      </c>
      <c r="O205" s="147">
        <v>0</v>
      </c>
      <c r="P205" s="148">
        <v>0</v>
      </c>
      <c r="Q205" s="148">
        <v>0</v>
      </c>
      <c r="R205" s="148">
        <v>0</v>
      </c>
      <c r="S205" s="153">
        <v>0.05</v>
      </c>
      <c r="T205" s="154">
        <v>7.4999999999999997E-3</v>
      </c>
      <c r="U205" s="155">
        <v>3</v>
      </c>
      <c r="V205" s="159">
        <v>7.4999999999999997E-2</v>
      </c>
      <c r="W205" s="160">
        <v>1.4999999999999999E-2</v>
      </c>
      <c r="X205" s="161">
        <v>6</v>
      </c>
      <c r="Y205" s="165">
        <v>0.1</v>
      </c>
      <c r="Z205" s="166">
        <v>0.03</v>
      </c>
      <c r="AA205" s="167">
        <v>9</v>
      </c>
    </row>
    <row r="206" spans="2:27" x14ac:dyDescent="0.25">
      <c r="B206" s="51">
        <v>0</v>
      </c>
      <c r="C206" s="4" t="s">
        <v>146</v>
      </c>
      <c r="D206" s="142" t="s">
        <v>146</v>
      </c>
      <c r="E206" s="142" t="s">
        <v>146</v>
      </c>
      <c r="F206" s="4" t="s">
        <v>146</v>
      </c>
      <c r="G206" s="143">
        <v>0</v>
      </c>
      <c r="H206" s="4">
        <v>0</v>
      </c>
      <c r="I206" s="143">
        <v>0</v>
      </c>
      <c r="J206" s="144" t="s">
        <v>146</v>
      </c>
      <c r="K206" s="145">
        <v>0</v>
      </c>
      <c r="L206" s="146">
        <v>0</v>
      </c>
      <c r="M206" s="58">
        <v>0</v>
      </c>
      <c r="N206" s="58">
        <v>0</v>
      </c>
      <c r="O206" s="147">
        <v>0</v>
      </c>
      <c r="P206" s="148">
        <v>0</v>
      </c>
      <c r="Q206" s="148">
        <v>0</v>
      </c>
      <c r="R206" s="148">
        <v>0</v>
      </c>
      <c r="S206" s="153">
        <v>0.05</v>
      </c>
      <c r="T206" s="154">
        <v>7.4999999999999997E-3</v>
      </c>
      <c r="U206" s="155">
        <v>3</v>
      </c>
      <c r="V206" s="159">
        <v>7.4999999999999997E-2</v>
      </c>
      <c r="W206" s="160">
        <v>1.4999999999999999E-2</v>
      </c>
      <c r="X206" s="161">
        <v>6</v>
      </c>
      <c r="Y206" s="165">
        <v>0.1</v>
      </c>
      <c r="Z206" s="166">
        <v>0.03</v>
      </c>
      <c r="AA206" s="167">
        <v>9</v>
      </c>
    </row>
    <row r="207" spans="2:27" x14ac:dyDescent="0.25">
      <c r="B207" s="51">
        <v>0</v>
      </c>
      <c r="C207" s="4" t="s">
        <v>146</v>
      </c>
      <c r="D207" s="142" t="s">
        <v>146</v>
      </c>
      <c r="E207" s="142" t="s">
        <v>146</v>
      </c>
      <c r="F207" s="4" t="s">
        <v>146</v>
      </c>
      <c r="G207" s="143">
        <v>0</v>
      </c>
      <c r="H207" s="4">
        <v>0</v>
      </c>
      <c r="I207" s="143">
        <v>0</v>
      </c>
      <c r="J207" s="144" t="s">
        <v>146</v>
      </c>
      <c r="K207" s="145">
        <v>0</v>
      </c>
      <c r="L207" s="146">
        <v>0</v>
      </c>
      <c r="M207" s="58">
        <v>0</v>
      </c>
      <c r="N207" s="58">
        <v>0</v>
      </c>
      <c r="O207" s="147">
        <v>0</v>
      </c>
      <c r="P207" s="148">
        <v>0</v>
      </c>
      <c r="Q207" s="148">
        <v>0</v>
      </c>
      <c r="R207" s="148">
        <v>0</v>
      </c>
      <c r="S207" s="153">
        <v>0.05</v>
      </c>
      <c r="T207" s="154">
        <v>7.4999999999999997E-3</v>
      </c>
      <c r="U207" s="155">
        <v>3</v>
      </c>
      <c r="V207" s="159">
        <v>7.4999999999999997E-2</v>
      </c>
      <c r="W207" s="160">
        <v>1.4999999999999999E-2</v>
      </c>
      <c r="X207" s="161">
        <v>6</v>
      </c>
      <c r="Y207" s="165">
        <v>0.1</v>
      </c>
      <c r="Z207" s="166">
        <v>0.03</v>
      </c>
      <c r="AA207" s="167">
        <v>9</v>
      </c>
    </row>
    <row r="208" spans="2:27" x14ac:dyDescent="0.25">
      <c r="B208" s="51">
        <v>0</v>
      </c>
      <c r="C208" s="4" t="s">
        <v>146</v>
      </c>
      <c r="D208" s="142" t="s">
        <v>146</v>
      </c>
      <c r="E208" s="142" t="s">
        <v>146</v>
      </c>
      <c r="F208" s="4" t="s">
        <v>146</v>
      </c>
      <c r="G208" s="143">
        <v>0</v>
      </c>
      <c r="H208" s="4">
        <v>0</v>
      </c>
      <c r="I208" s="143">
        <v>0</v>
      </c>
      <c r="J208" s="144" t="s">
        <v>146</v>
      </c>
      <c r="K208" s="145">
        <v>0</v>
      </c>
      <c r="L208" s="146">
        <v>0</v>
      </c>
      <c r="M208" s="58">
        <v>0</v>
      </c>
      <c r="N208" s="58">
        <v>0</v>
      </c>
      <c r="O208" s="147">
        <v>0</v>
      </c>
      <c r="P208" s="148">
        <v>0</v>
      </c>
      <c r="Q208" s="148">
        <v>0</v>
      </c>
      <c r="R208" s="148">
        <v>0</v>
      </c>
      <c r="S208" s="153">
        <v>0.05</v>
      </c>
      <c r="T208" s="154">
        <v>7.4999999999999997E-3</v>
      </c>
      <c r="U208" s="155">
        <v>3</v>
      </c>
      <c r="V208" s="159">
        <v>7.4999999999999997E-2</v>
      </c>
      <c r="W208" s="160">
        <v>1.4999999999999999E-2</v>
      </c>
      <c r="X208" s="161">
        <v>6</v>
      </c>
      <c r="Y208" s="165">
        <v>0.1</v>
      </c>
      <c r="Z208" s="166">
        <v>0.03</v>
      </c>
      <c r="AA208" s="167">
        <v>9</v>
      </c>
    </row>
    <row r="209" spans="2:27" x14ac:dyDescent="0.25">
      <c r="B209" s="51">
        <v>0</v>
      </c>
      <c r="C209" s="4" t="s">
        <v>146</v>
      </c>
      <c r="D209" s="142" t="s">
        <v>146</v>
      </c>
      <c r="E209" s="142" t="s">
        <v>146</v>
      </c>
      <c r="F209" s="4" t="s">
        <v>146</v>
      </c>
      <c r="G209" s="143">
        <v>0</v>
      </c>
      <c r="H209" s="4">
        <v>0</v>
      </c>
      <c r="I209" s="143">
        <v>0</v>
      </c>
      <c r="J209" s="144" t="s">
        <v>146</v>
      </c>
      <c r="K209" s="145">
        <v>0</v>
      </c>
      <c r="L209" s="146">
        <v>0</v>
      </c>
      <c r="M209" s="58">
        <v>0</v>
      </c>
      <c r="N209" s="58">
        <v>0</v>
      </c>
      <c r="O209" s="147">
        <v>0</v>
      </c>
      <c r="P209" s="148">
        <v>0</v>
      </c>
      <c r="Q209" s="148">
        <v>0</v>
      </c>
      <c r="R209" s="148">
        <v>0</v>
      </c>
      <c r="S209" s="153">
        <v>0.05</v>
      </c>
      <c r="T209" s="154">
        <v>7.4999999999999997E-3</v>
      </c>
      <c r="U209" s="155">
        <v>3</v>
      </c>
      <c r="V209" s="159">
        <v>7.4999999999999997E-2</v>
      </c>
      <c r="W209" s="160">
        <v>1.4999999999999999E-2</v>
      </c>
      <c r="X209" s="161">
        <v>6</v>
      </c>
      <c r="Y209" s="165">
        <v>0.1</v>
      </c>
      <c r="Z209" s="166">
        <v>0.03</v>
      </c>
      <c r="AA209" s="167">
        <v>9</v>
      </c>
    </row>
    <row r="210" spans="2:27" x14ac:dyDescent="0.25">
      <c r="B210" s="51">
        <v>0</v>
      </c>
      <c r="C210" s="4" t="s">
        <v>146</v>
      </c>
      <c r="D210" s="142" t="s">
        <v>146</v>
      </c>
      <c r="E210" s="142" t="s">
        <v>146</v>
      </c>
      <c r="F210" s="4" t="s">
        <v>146</v>
      </c>
      <c r="G210" s="143">
        <v>0</v>
      </c>
      <c r="H210" s="4">
        <v>0</v>
      </c>
      <c r="I210" s="143">
        <v>0</v>
      </c>
      <c r="J210" s="144" t="s">
        <v>146</v>
      </c>
      <c r="K210" s="145">
        <v>0</v>
      </c>
      <c r="L210" s="146">
        <v>0</v>
      </c>
      <c r="M210" s="58">
        <v>0</v>
      </c>
      <c r="N210" s="58">
        <v>0</v>
      </c>
      <c r="O210" s="147">
        <v>0</v>
      </c>
      <c r="P210" s="148">
        <v>0</v>
      </c>
      <c r="Q210" s="148">
        <v>0</v>
      </c>
      <c r="R210" s="148">
        <v>0</v>
      </c>
      <c r="S210" s="153">
        <v>0.05</v>
      </c>
      <c r="T210" s="154">
        <v>7.4999999999999997E-3</v>
      </c>
      <c r="U210" s="155">
        <v>3</v>
      </c>
      <c r="V210" s="159">
        <v>7.4999999999999997E-2</v>
      </c>
      <c r="W210" s="160">
        <v>1.4999999999999999E-2</v>
      </c>
      <c r="X210" s="161">
        <v>6</v>
      </c>
      <c r="Y210" s="165">
        <v>0.1</v>
      </c>
      <c r="Z210" s="166">
        <v>0.03</v>
      </c>
      <c r="AA210" s="167">
        <v>9</v>
      </c>
    </row>
    <row r="211" spans="2:27" x14ac:dyDescent="0.25">
      <c r="B211" s="51">
        <v>0</v>
      </c>
      <c r="C211" s="4" t="s">
        <v>146</v>
      </c>
      <c r="D211" s="142" t="s">
        <v>146</v>
      </c>
      <c r="E211" s="142" t="s">
        <v>146</v>
      </c>
      <c r="F211" s="4" t="s">
        <v>146</v>
      </c>
      <c r="G211" s="143">
        <v>0</v>
      </c>
      <c r="H211" s="4">
        <v>0</v>
      </c>
      <c r="I211" s="143">
        <v>0</v>
      </c>
      <c r="J211" s="144" t="s">
        <v>146</v>
      </c>
      <c r="K211" s="145">
        <v>0</v>
      </c>
      <c r="L211" s="146">
        <v>0</v>
      </c>
      <c r="M211" s="58">
        <v>0</v>
      </c>
      <c r="N211" s="58">
        <v>0</v>
      </c>
      <c r="O211" s="147">
        <v>0</v>
      </c>
      <c r="P211" s="148">
        <v>0</v>
      </c>
      <c r="Q211" s="148">
        <v>0</v>
      </c>
      <c r="R211" s="148">
        <v>0</v>
      </c>
      <c r="S211" s="153">
        <v>0.05</v>
      </c>
      <c r="T211" s="154">
        <v>7.4999999999999997E-3</v>
      </c>
      <c r="U211" s="155">
        <v>3</v>
      </c>
      <c r="V211" s="159">
        <v>7.4999999999999997E-2</v>
      </c>
      <c r="W211" s="160">
        <v>1.4999999999999999E-2</v>
      </c>
      <c r="X211" s="161">
        <v>6</v>
      </c>
      <c r="Y211" s="165">
        <v>0.1</v>
      </c>
      <c r="Z211" s="166">
        <v>0.03</v>
      </c>
      <c r="AA211" s="167">
        <v>9</v>
      </c>
    </row>
    <row r="212" spans="2:27" x14ac:dyDescent="0.25">
      <c r="B212" s="51">
        <v>0</v>
      </c>
      <c r="C212" s="4" t="s">
        <v>146</v>
      </c>
      <c r="D212" s="142" t="s">
        <v>146</v>
      </c>
      <c r="E212" s="142" t="s">
        <v>146</v>
      </c>
      <c r="F212" s="4" t="s">
        <v>146</v>
      </c>
      <c r="G212" s="143">
        <v>0</v>
      </c>
      <c r="H212" s="4">
        <v>0</v>
      </c>
      <c r="I212" s="143">
        <v>0</v>
      </c>
      <c r="J212" s="144" t="s">
        <v>146</v>
      </c>
      <c r="K212" s="145">
        <v>0</v>
      </c>
      <c r="L212" s="146">
        <v>0</v>
      </c>
      <c r="M212" s="58">
        <v>0</v>
      </c>
      <c r="N212" s="58">
        <v>0</v>
      </c>
      <c r="O212" s="147">
        <v>0</v>
      </c>
      <c r="P212" s="148">
        <v>0</v>
      </c>
      <c r="Q212" s="148">
        <v>0</v>
      </c>
      <c r="R212" s="148">
        <v>0</v>
      </c>
      <c r="S212" s="153">
        <v>0.05</v>
      </c>
      <c r="T212" s="154">
        <v>7.4999999999999997E-3</v>
      </c>
      <c r="U212" s="155">
        <v>3</v>
      </c>
      <c r="V212" s="159">
        <v>7.4999999999999997E-2</v>
      </c>
      <c r="W212" s="160">
        <v>1.4999999999999999E-2</v>
      </c>
      <c r="X212" s="161">
        <v>6</v>
      </c>
      <c r="Y212" s="165">
        <v>0.1</v>
      </c>
      <c r="Z212" s="166">
        <v>0.03</v>
      </c>
      <c r="AA212" s="167">
        <v>9</v>
      </c>
    </row>
    <row r="213" spans="2:27" x14ac:dyDescent="0.25">
      <c r="B213" s="51">
        <v>0</v>
      </c>
      <c r="C213" s="4" t="s">
        <v>146</v>
      </c>
      <c r="D213" s="142" t="s">
        <v>146</v>
      </c>
      <c r="E213" s="142" t="s">
        <v>146</v>
      </c>
      <c r="F213" s="4" t="s">
        <v>146</v>
      </c>
      <c r="G213" s="143">
        <v>0</v>
      </c>
      <c r="H213" s="4">
        <v>0</v>
      </c>
      <c r="I213" s="143">
        <v>0</v>
      </c>
      <c r="J213" s="144" t="s">
        <v>146</v>
      </c>
      <c r="K213" s="145">
        <v>0</v>
      </c>
      <c r="L213" s="146">
        <v>0</v>
      </c>
      <c r="M213" s="58">
        <v>0</v>
      </c>
      <c r="N213" s="58">
        <v>0</v>
      </c>
      <c r="O213" s="147">
        <v>0</v>
      </c>
      <c r="P213" s="148">
        <v>0</v>
      </c>
      <c r="Q213" s="148">
        <v>0</v>
      </c>
      <c r="R213" s="148">
        <v>0</v>
      </c>
      <c r="S213" s="153">
        <v>0.05</v>
      </c>
      <c r="T213" s="154">
        <v>7.4999999999999997E-3</v>
      </c>
      <c r="U213" s="155">
        <v>3</v>
      </c>
      <c r="V213" s="159">
        <v>7.4999999999999997E-2</v>
      </c>
      <c r="W213" s="160">
        <v>1.4999999999999999E-2</v>
      </c>
      <c r="X213" s="161">
        <v>6</v>
      </c>
      <c r="Y213" s="165">
        <v>0.1</v>
      </c>
      <c r="Z213" s="166">
        <v>0.03</v>
      </c>
      <c r="AA213" s="167">
        <v>9</v>
      </c>
    </row>
    <row r="214" spans="2:27" x14ac:dyDescent="0.25">
      <c r="B214" s="51">
        <v>0</v>
      </c>
      <c r="C214" s="4" t="s">
        <v>146</v>
      </c>
      <c r="D214" s="142" t="s">
        <v>146</v>
      </c>
      <c r="E214" s="142" t="s">
        <v>146</v>
      </c>
      <c r="F214" s="4" t="s">
        <v>146</v>
      </c>
      <c r="G214" s="143">
        <v>0</v>
      </c>
      <c r="H214" s="4">
        <v>0</v>
      </c>
      <c r="I214" s="143">
        <v>0</v>
      </c>
      <c r="J214" s="144" t="s">
        <v>146</v>
      </c>
      <c r="K214" s="145">
        <v>0</v>
      </c>
      <c r="L214" s="146">
        <v>0</v>
      </c>
      <c r="M214" s="58">
        <v>0</v>
      </c>
      <c r="N214" s="58">
        <v>0</v>
      </c>
      <c r="O214" s="147">
        <v>0</v>
      </c>
      <c r="P214" s="148">
        <v>0</v>
      </c>
      <c r="Q214" s="148">
        <v>0</v>
      </c>
      <c r="R214" s="148">
        <v>0</v>
      </c>
      <c r="S214" s="153">
        <v>0.05</v>
      </c>
      <c r="T214" s="154">
        <v>7.4999999999999997E-3</v>
      </c>
      <c r="U214" s="155">
        <v>3</v>
      </c>
      <c r="V214" s="159">
        <v>7.4999999999999997E-2</v>
      </c>
      <c r="W214" s="160">
        <v>1.4999999999999999E-2</v>
      </c>
      <c r="X214" s="161">
        <v>6</v>
      </c>
      <c r="Y214" s="165">
        <v>0.1</v>
      </c>
      <c r="Z214" s="166">
        <v>0.03</v>
      </c>
      <c r="AA214" s="167">
        <v>9</v>
      </c>
    </row>
    <row r="215" spans="2:27" x14ac:dyDescent="0.25">
      <c r="B215" s="51">
        <v>0</v>
      </c>
      <c r="C215" s="4" t="s">
        <v>146</v>
      </c>
      <c r="D215" s="142" t="s">
        <v>146</v>
      </c>
      <c r="E215" s="142" t="s">
        <v>146</v>
      </c>
      <c r="F215" s="4" t="s">
        <v>146</v>
      </c>
      <c r="G215" s="143">
        <v>0</v>
      </c>
      <c r="H215" s="4">
        <v>0</v>
      </c>
      <c r="I215" s="143">
        <v>0</v>
      </c>
      <c r="J215" s="144" t="s">
        <v>146</v>
      </c>
      <c r="K215" s="145">
        <v>0</v>
      </c>
      <c r="L215" s="146">
        <v>0</v>
      </c>
      <c r="M215" s="58">
        <v>0</v>
      </c>
      <c r="N215" s="58">
        <v>0</v>
      </c>
      <c r="O215" s="147">
        <v>0</v>
      </c>
      <c r="P215" s="148">
        <v>0</v>
      </c>
      <c r="Q215" s="148">
        <v>0</v>
      </c>
      <c r="R215" s="148">
        <v>0</v>
      </c>
      <c r="S215" s="153">
        <v>0.05</v>
      </c>
      <c r="T215" s="154">
        <v>7.4999999999999997E-3</v>
      </c>
      <c r="U215" s="155">
        <v>3</v>
      </c>
      <c r="V215" s="159">
        <v>7.4999999999999997E-2</v>
      </c>
      <c r="W215" s="160">
        <v>1.4999999999999999E-2</v>
      </c>
      <c r="X215" s="161">
        <v>6</v>
      </c>
      <c r="Y215" s="165">
        <v>0.1</v>
      </c>
      <c r="Z215" s="166">
        <v>0.03</v>
      </c>
      <c r="AA215" s="167">
        <v>9</v>
      </c>
    </row>
    <row r="216" spans="2:27" x14ac:dyDescent="0.25">
      <c r="B216" s="51">
        <v>0</v>
      </c>
      <c r="C216" s="4" t="s">
        <v>146</v>
      </c>
      <c r="D216" s="142" t="s">
        <v>146</v>
      </c>
      <c r="E216" s="142" t="s">
        <v>146</v>
      </c>
      <c r="F216" s="4" t="s">
        <v>146</v>
      </c>
      <c r="G216" s="143">
        <v>0</v>
      </c>
      <c r="H216" s="4">
        <v>0</v>
      </c>
      <c r="I216" s="143">
        <v>0</v>
      </c>
      <c r="J216" s="144" t="s">
        <v>146</v>
      </c>
      <c r="K216" s="145">
        <v>0</v>
      </c>
      <c r="L216" s="146">
        <v>0</v>
      </c>
      <c r="M216" s="58">
        <v>0</v>
      </c>
      <c r="N216" s="58">
        <v>0</v>
      </c>
      <c r="O216" s="147">
        <v>0</v>
      </c>
      <c r="P216" s="148">
        <v>0</v>
      </c>
      <c r="Q216" s="148">
        <v>0</v>
      </c>
      <c r="R216" s="148">
        <v>0</v>
      </c>
      <c r="S216" s="153">
        <v>0.05</v>
      </c>
      <c r="T216" s="154">
        <v>7.4999999999999997E-3</v>
      </c>
      <c r="U216" s="155">
        <v>3</v>
      </c>
      <c r="V216" s="159">
        <v>7.4999999999999997E-2</v>
      </c>
      <c r="W216" s="160">
        <v>1.4999999999999999E-2</v>
      </c>
      <c r="X216" s="161">
        <v>6</v>
      </c>
      <c r="Y216" s="165">
        <v>0.1</v>
      </c>
      <c r="Z216" s="166">
        <v>0.03</v>
      </c>
      <c r="AA216" s="167">
        <v>9</v>
      </c>
    </row>
    <row r="217" spans="2:27" x14ac:dyDescent="0.25">
      <c r="B217" s="51">
        <v>0</v>
      </c>
      <c r="C217" s="4" t="s">
        <v>146</v>
      </c>
      <c r="D217" s="142" t="s">
        <v>146</v>
      </c>
      <c r="E217" s="142" t="s">
        <v>146</v>
      </c>
      <c r="F217" s="4" t="s">
        <v>146</v>
      </c>
      <c r="G217" s="143">
        <v>0</v>
      </c>
      <c r="H217" s="4">
        <v>0</v>
      </c>
      <c r="I217" s="143">
        <v>0</v>
      </c>
      <c r="J217" s="144" t="s">
        <v>146</v>
      </c>
      <c r="K217" s="145">
        <v>0</v>
      </c>
      <c r="L217" s="146">
        <v>0</v>
      </c>
      <c r="M217" s="58">
        <v>0</v>
      </c>
      <c r="N217" s="58">
        <v>0</v>
      </c>
      <c r="O217" s="147">
        <v>0</v>
      </c>
      <c r="P217" s="148">
        <v>0</v>
      </c>
      <c r="Q217" s="148">
        <v>0</v>
      </c>
      <c r="R217" s="148">
        <v>0</v>
      </c>
      <c r="S217" s="153">
        <v>0.05</v>
      </c>
      <c r="T217" s="154">
        <v>7.4999999999999997E-3</v>
      </c>
      <c r="U217" s="155">
        <v>3</v>
      </c>
      <c r="V217" s="159">
        <v>7.4999999999999997E-2</v>
      </c>
      <c r="W217" s="160">
        <v>1.4999999999999999E-2</v>
      </c>
      <c r="X217" s="161">
        <v>6</v>
      </c>
      <c r="Y217" s="165">
        <v>0.1</v>
      </c>
      <c r="Z217" s="166">
        <v>0.03</v>
      </c>
      <c r="AA217" s="167">
        <v>9</v>
      </c>
    </row>
    <row r="218" spans="2:27" x14ac:dyDescent="0.25">
      <c r="B218" s="51">
        <v>0</v>
      </c>
      <c r="C218" s="4" t="s">
        <v>146</v>
      </c>
      <c r="D218" s="142" t="s">
        <v>146</v>
      </c>
      <c r="E218" s="142" t="s">
        <v>146</v>
      </c>
      <c r="F218" s="4" t="s">
        <v>146</v>
      </c>
      <c r="G218" s="143">
        <v>0</v>
      </c>
      <c r="H218" s="4">
        <v>0</v>
      </c>
      <c r="I218" s="143">
        <v>0</v>
      </c>
      <c r="J218" s="144" t="s">
        <v>146</v>
      </c>
      <c r="K218" s="145">
        <v>0</v>
      </c>
      <c r="L218" s="146">
        <v>0</v>
      </c>
      <c r="M218" s="58">
        <v>0</v>
      </c>
      <c r="N218" s="58">
        <v>0</v>
      </c>
      <c r="O218" s="147">
        <v>0</v>
      </c>
      <c r="P218" s="148">
        <v>0</v>
      </c>
      <c r="Q218" s="148">
        <v>0</v>
      </c>
      <c r="R218" s="148">
        <v>0</v>
      </c>
      <c r="S218" s="153">
        <v>0.05</v>
      </c>
      <c r="T218" s="154">
        <v>7.4999999999999997E-3</v>
      </c>
      <c r="U218" s="155">
        <v>3</v>
      </c>
      <c r="V218" s="159">
        <v>7.4999999999999997E-2</v>
      </c>
      <c r="W218" s="160">
        <v>1.4999999999999999E-2</v>
      </c>
      <c r="X218" s="161">
        <v>6</v>
      </c>
      <c r="Y218" s="165">
        <v>0.1</v>
      </c>
      <c r="Z218" s="166">
        <v>0.03</v>
      </c>
      <c r="AA218" s="167">
        <v>9</v>
      </c>
    </row>
    <row r="219" spans="2:27" x14ac:dyDescent="0.25">
      <c r="B219" s="51">
        <v>0</v>
      </c>
      <c r="C219" s="4" t="s">
        <v>146</v>
      </c>
      <c r="D219" s="142" t="s">
        <v>146</v>
      </c>
      <c r="E219" s="142" t="s">
        <v>146</v>
      </c>
      <c r="F219" s="4" t="s">
        <v>146</v>
      </c>
      <c r="G219" s="143">
        <v>0</v>
      </c>
      <c r="H219" s="4">
        <v>0</v>
      </c>
      <c r="I219" s="143">
        <v>0</v>
      </c>
      <c r="J219" s="144" t="s">
        <v>146</v>
      </c>
      <c r="K219" s="145">
        <v>0</v>
      </c>
      <c r="L219" s="146">
        <v>0</v>
      </c>
      <c r="M219" s="58">
        <v>0</v>
      </c>
      <c r="N219" s="58">
        <v>0</v>
      </c>
      <c r="O219" s="147">
        <v>0</v>
      </c>
      <c r="P219" s="148">
        <v>0</v>
      </c>
      <c r="Q219" s="148">
        <v>0</v>
      </c>
      <c r="R219" s="148">
        <v>0</v>
      </c>
      <c r="S219" s="153">
        <v>0.05</v>
      </c>
      <c r="T219" s="154">
        <v>7.4999999999999997E-3</v>
      </c>
      <c r="U219" s="155">
        <v>3</v>
      </c>
      <c r="V219" s="159">
        <v>7.4999999999999997E-2</v>
      </c>
      <c r="W219" s="160">
        <v>1.4999999999999999E-2</v>
      </c>
      <c r="X219" s="161">
        <v>6</v>
      </c>
      <c r="Y219" s="165">
        <v>0.1</v>
      </c>
      <c r="Z219" s="166">
        <v>0.03</v>
      </c>
      <c r="AA219" s="167">
        <v>9</v>
      </c>
    </row>
    <row r="220" spans="2:27" x14ac:dyDescent="0.25">
      <c r="B220" s="51">
        <v>0</v>
      </c>
      <c r="C220" s="4" t="s">
        <v>146</v>
      </c>
      <c r="D220" s="142" t="s">
        <v>146</v>
      </c>
      <c r="E220" s="142" t="s">
        <v>146</v>
      </c>
      <c r="F220" s="4" t="s">
        <v>146</v>
      </c>
      <c r="G220" s="143">
        <v>0</v>
      </c>
      <c r="H220" s="4">
        <v>0</v>
      </c>
      <c r="I220" s="143">
        <v>0</v>
      </c>
      <c r="J220" s="144" t="s">
        <v>146</v>
      </c>
      <c r="K220" s="145">
        <v>0</v>
      </c>
      <c r="L220" s="146">
        <v>0</v>
      </c>
      <c r="M220" s="58">
        <v>0</v>
      </c>
      <c r="N220" s="58">
        <v>0</v>
      </c>
      <c r="O220" s="147">
        <v>0</v>
      </c>
      <c r="P220" s="148">
        <v>0</v>
      </c>
      <c r="Q220" s="148">
        <v>0</v>
      </c>
      <c r="R220" s="148">
        <v>0</v>
      </c>
      <c r="S220" s="153">
        <v>0.05</v>
      </c>
      <c r="T220" s="154">
        <v>7.4999999999999997E-3</v>
      </c>
      <c r="U220" s="155">
        <v>3</v>
      </c>
      <c r="V220" s="159">
        <v>7.4999999999999997E-2</v>
      </c>
      <c r="W220" s="160">
        <v>1.4999999999999999E-2</v>
      </c>
      <c r="X220" s="161">
        <v>6</v>
      </c>
      <c r="Y220" s="165">
        <v>0.1</v>
      </c>
      <c r="Z220" s="166">
        <v>0.03</v>
      </c>
      <c r="AA220" s="167">
        <v>9</v>
      </c>
    </row>
    <row r="221" spans="2:27" x14ac:dyDescent="0.25">
      <c r="B221" s="51">
        <v>0</v>
      </c>
      <c r="C221" s="4" t="s">
        <v>146</v>
      </c>
      <c r="D221" s="142" t="s">
        <v>146</v>
      </c>
      <c r="E221" s="142" t="s">
        <v>146</v>
      </c>
      <c r="F221" s="4" t="s">
        <v>146</v>
      </c>
      <c r="G221" s="143">
        <v>0</v>
      </c>
      <c r="H221" s="4">
        <v>0</v>
      </c>
      <c r="I221" s="143">
        <v>0</v>
      </c>
      <c r="J221" s="144" t="s">
        <v>146</v>
      </c>
      <c r="K221" s="145">
        <v>0</v>
      </c>
      <c r="L221" s="146">
        <v>0</v>
      </c>
      <c r="M221" s="58">
        <v>0</v>
      </c>
      <c r="N221" s="58">
        <v>0</v>
      </c>
      <c r="O221" s="147">
        <v>0</v>
      </c>
      <c r="P221" s="148">
        <v>0</v>
      </c>
      <c r="Q221" s="148">
        <v>0</v>
      </c>
      <c r="R221" s="148">
        <v>0</v>
      </c>
      <c r="S221" s="153">
        <v>0.05</v>
      </c>
      <c r="T221" s="154">
        <v>7.4999999999999997E-3</v>
      </c>
      <c r="U221" s="155">
        <v>3</v>
      </c>
      <c r="V221" s="159">
        <v>7.4999999999999997E-2</v>
      </c>
      <c r="W221" s="160">
        <v>1.4999999999999999E-2</v>
      </c>
      <c r="X221" s="161">
        <v>6</v>
      </c>
      <c r="Y221" s="165">
        <v>0.1</v>
      </c>
      <c r="Z221" s="166">
        <v>0.03</v>
      </c>
      <c r="AA221" s="167">
        <v>9</v>
      </c>
    </row>
    <row r="222" spans="2:27" x14ac:dyDescent="0.25">
      <c r="B222" s="51">
        <v>0</v>
      </c>
      <c r="C222" s="4" t="s">
        <v>146</v>
      </c>
      <c r="D222" s="142" t="s">
        <v>146</v>
      </c>
      <c r="E222" s="142" t="s">
        <v>146</v>
      </c>
      <c r="F222" s="4" t="s">
        <v>146</v>
      </c>
      <c r="G222" s="143">
        <v>0</v>
      </c>
      <c r="H222" s="4">
        <v>0</v>
      </c>
      <c r="I222" s="143">
        <v>0</v>
      </c>
      <c r="J222" s="144" t="s">
        <v>146</v>
      </c>
      <c r="K222" s="145">
        <v>0</v>
      </c>
      <c r="L222" s="146">
        <v>0</v>
      </c>
      <c r="M222" s="58">
        <v>0</v>
      </c>
      <c r="N222" s="58">
        <v>0</v>
      </c>
      <c r="O222" s="147">
        <v>0</v>
      </c>
      <c r="P222" s="148">
        <v>0</v>
      </c>
      <c r="Q222" s="148">
        <v>0</v>
      </c>
      <c r="R222" s="148">
        <v>0</v>
      </c>
      <c r="S222" s="153">
        <v>0.05</v>
      </c>
      <c r="T222" s="154">
        <v>7.4999999999999997E-3</v>
      </c>
      <c r="U222" s="155">
        <v>3</v>
      </c>
      <c r="V222" s="159">
        <v>7.4999999999999997E-2</v>
      </c>
      <c r="W222" s="160">
        <v>1.4999999999999999E-2</v>
      </c>
      <c r="X222" s="161">
        <v>6</v>
      </c>
      <c r="Y222" s="165">
        <v>0.1</v>
      </c>
      <c r="Z222" s="166">
        <v>0.03</v>
      </c>
      <c r="AA222" s="167">
        <v>9</v>
      </c>
    </row>
    <row r="223" spans="2:27" x14ac:dyDescent="0.25">
      <c r="B223" s="51">
        <v>0</v>
      </c>
      <c r="C223" s="4" t="s">
        <v>146</v>
      </c>
      <c r="D223" s="142" t="s">
        <v>146</v>
      </c>
      <c r="E223" s="142" t="s">
        <v>146</v>
      </c>
      <c r="F223" s="4" t="s">
        <v>146</v>
      </c>
      <c r="G223" s="143">
        <v>0</v>
      </c>
      <c r="H223" s="4">
        <v>0</v>
      </c>
      <c r="I223" s="143">
        <v>0</v>
      </c>
      <c r="J223" s="144" t="s">
        <v>146</v>
      </c>
      <c r="K223" s="145">
        <v>0</v>
      </c>
      <c r="L223" s="146">
        <v>0</v>
      </c>
      <c r="M223" s="58">
        <v>0</v>
      </c>
      <c r="N223" s="58">
        <v>0</v>
      </c>
      <c r="O223" s="147">
        <v>0</v>
      </c>
      <c r="P223" s="148">
        <v>0</v>
      </c>
      <c r="Q223" s="148">
        <v>0</v>
      </c>
      <c r="R223" s="148">
        <v>0</v>
      </c>
      <c r="S223" s="153">
        <v>0.05</v>
      </c>
      <c r="T223" s="154">
        <v>7.4999999999999997E-3</v>
      </c>
      <c r="U223" s="155">
        <v>3</v>
      </c>
      <c r="V223" s="159">
        <v>7.4999999999999997E-2</v>
      </c>
      <c r="W223" s="160">
        <v>1.4999999999999999E-2</v>
      </c>
      <c r="X223" s="161">
        <v>6</v>
      </c>
      <c r="Y223" s="165">
        <v>0.1</v>
      </c>
      <c r="Z223" s="166">
        <v>0.03</v>
      </c>
      <c r="AA223" s="167">
        <v>9</v>
      </c>
    </row>
    <row r="224" spans="2:27" x14ac:dyDescent="0.25">
      <c r="B224" s="51">
        <v>0</v>
      </c>
      <c r="C224" s="4" t="s">
        <v>146</v>
      </c>
      <c r="D224" s="142" t="s">
        <v>146</v>
      </c>
      <c r="E224" s="142" t="s">
        <v>146</v>
      </c>
      <c r="F224" s="4" t="s">
        <v>146</v>
      </c>
      <c r="G224" s="143">
        <v>0</v>
      </c>
      <c r="H224" s="4">
        <v>0</v>
      </c>
      <c r="I224" s="143">
        <v>0</v>
      </c>
      <c r="J224" s="144" t="s">
        <v>146</v>
      </c>
      <c r="K224" s="145">
        <v>0</v>
      </c>
      <c r="L224" s="146">
        <v>0</v>
      </c>
      <c r="M224" s="58">
        <v>0</v>
      </c>
      <c r="N224" s="58">
        <v>0</v>
      </c>
      <c r="O224" s="147">
        <v>0</v>
      </c>
      <c r="P224" s="148">
        <v>0</v>
      </c>
      <c r="Q224" s="148">
        <v>0</v>
      </c>
      <c r="R224" s="148">
        <v>0</v>
      </c>
      <c r="S224" s="153">
        <v>0.05</v>
      </c>
      <c r="T224" s="154">
        <v>7.4999999999999997E-3</v>
      </c>
      <c r="U224" s="155">
        <v>3</v>
      </c>
      <c r="V224" s="159">
        <v>7.4999999999999997E-2</v>
      </c>
      <c r="W224" s="160">
        <v>1.4999999999999999E-2</v>
      </c>
      <c r="X224" s="161">
        <v>6</v>
      </c>
      <c r="Y224" s="165">
        <v>0.1</v>
      </c>
      <c r="Z224" s="166">
        <v>0.03</v>
      </c>
      <c r="AA224" s="167">
        <v>9</v>
      </c>
    </row>
    <row r="225" spans="2:27" x14ac:dyDescent="0.25">
      <c r="B225" s="51">
        <v>0</v>
      </c>
      <c r="C225" s="4" t="s">
        <v>146</v>
      </c>
      <c r="D225" s="142" t="s">
        <v>146</v>
      </c>
      <c r="E225" s="142" t="s">
        <v>146</v>
      </c>
      <c r="F225" s="4" t="s">
        <v>146</v>
      </c>
      <c r="G225" s="143">
        <v>0</v>
      </c>
      <c r="H225" s="4">
        <v>0</v>
      </c>
      <c r="I225" s="143">
        <v>0</v>
      </c>
      <c r="J225" s="144" t="s">
        <v>146</v>
      </c>
      <c r="K225" s="145">
        <v>0</v>
      </c>
      <c r="L225" s="146">
        <v>0</v>
      </c>
      <c r="M225" s="58">
        <v>0</v>
      </c>
      <c r="N225" s="58">
        <v>0</v>
      </c>
      <c r="O225" s="147">
        <v>0</v>
      </c>
      <c r="P225" s="148">
        <v>0</v>
      </c>
      <c r="Q225" s="148">
        <v>0</v>
      </c>
      <c r="R225" s="148">
        <v>0</v>
      </c>
      <c r="S225" s="153">
        <v>0.05</v>
      </c>
      <c r="T225" s="154">
        <v>7.4999999999999997E-3</v>
      </c>
      <c r="U225" s="155">
        <v>3</v>
      </c>
      <c r="V225" s="159">
        <v>7.4999999999999997E-2</v>
      </c>
      <c r="W225" s="160">
        <v>1.4999999999999999E-2</v>
      </c>
      <c r="X225" s="161">
        <v>6</v>
      </c>
      <c r="Y225" s="165">
        <v>0.1</v>
      </c>
      <c r="Z225" s="166">
        <v>0.03</v>
      </c>
      <c r="AA225" s="167">
        <v>9</v>
      </c>
    </row>
    <row r="226" spans="2:27" x14ac:dyDescent="0.25">
      <c r="B226" s="51">
        <v>0</v>
      </c>
      <c r="C226" s="4" t="s">
        <v>146</v>
      </c>
      <c r="D226" s="142" t="s">
        <v>146</v>
      </c>
      <c r="E226" s="142" t="s">
        <v>146</v>
      </c>
      <c r="F226" s="4" t="s">
        <v>146</v>
      </c>
      <c r="G226" s="143">
        <v>0</v>
      </c>
      <c r="H226" s="4">
        <v>0</v>
      </c>
      <c r="I226" s="143">
        <v>0</v>
      </c>
      <c r="J226" s="144" t="s">
        <v>146</v>
      </c>
      <c r="K226" s="145">
        <v>0</v>
      </c>
      <c r="L226" s="146">
        <v>0</v>
      </c>
      <c r="M226" s="58">
        <v>0</v>
      </c>
      <c r="N226" s="58">
        <v>0</v>
      </c>
      <c r="O226" s="147">
        <v>0</v>
      </c>
      <c r="P226" s="148">
        <v>0</v>
      </c>
      <c r="Q226" s="148">
        <v>0</v>
      </c>
      <c r="R226" s="148">
        <v>0</v>
      </c>
      <c r="S226" s="153">
        <v>0.05</v>
      </c>
      <c r="T226" s="154">
        <v>7.4999999999999997E-3</v>
      </c>
      <c r="U226" s="155">
        <v>3</v>
      </c>
      <c r="V226" s="159">
        <v>7.4999999999999997E-2</v>
      </c>
      <c r="W226" s="160">
        <v>1.4999999999999999E-2</v>
      </c>
      <c r="X226" s="161">
        <v>6</v>
      </c>
      <c r="Y226" s="165">
        <v>0.1</v>
      </c>
      <c r="Z226" s="166">
        <v>0.03</v>
      </c>
      <c r="AA226" s="167">
        <v>9</v>
      </c>
    </row>
    <row r="227" spans="2:27" x14ac:dyDescent="0.25">
      <c r="B227" s="51">
        <v>0</v>
      </c>
      <c r="C227" s="4" t="s">
        <v>146</v>
      </c>
      <c r="D227" s="142" t="s">
        <v>146</v>
      </c>
      <c r="E227" s="142" t="s">
        <v>146</v>
      </c>
      <c r="F227" s="4" t="s">
        <v>146</v>
      </c>
      <c r="G227" s="143">
        <v>0</v>
      </c>
      <c r="H227" s="4">
        <v>0</v>
      </c>
      <c r="I227" s="143">
        <v>0</v>
      </c>
      <c r="J227" s="144" t="s">
        <v>146</v>
      </c>
      <c r="K227" s="145">
        <v>0</v>
      </c>
      <c r="L227" s="146">
        <v>0</v>
      </c>
      <c r="M227" s="58">
        <v>0</v>
      </c>
      <c r="N227" s="58">
        <v>0</v>
      </c>
      <c r="O227" s="147">
        <v>0</v>
      </c>
      <c r="P227" s="148">
        <v>0</v>
      </c>
      <c r="Q227" s="148">
        <v>0</v>
      </c>
      <c r="R227" s="148">
        <v>0</v>
      </c>
      <c r="S227" s="153">
        <v>0.05</v>
      </c>
      <c r="T227" s="154">
        <v>7.4999999999999997E-3</v>
      </c>
      <c r="U227" s="155">
        <v>3</v>
      </c>
      <c r="V227" s="159">
        <v>7.4999999999999997E-2</v>
      </c>
      <c r="W227" s="160">
        <v>1.4999999999999999E-2</v>
      </c>
      <c r="X227" s="161">
        <v>6</v>
      </c>
      <c r="Y227" s="165">
        <v>0.1</v>
      </c>
      <c r="Z227" s="166">
        <v>0.03</v>
      </c>
      <c r="AA227" s="167">
        <v>9</v>
      </c>
    </row>
    <row r="228" spans="2:27" x14ac:dyDescent="0.25">
      <c r="B228" s="51">
        <v>0</v>
      </c>
      <c r="C228" s="4" t="s">
        <v>146</v>
      </c>
      <c r="D228" s="142" t="s">
        <v>146</v>
      </c>
      <c r="E228" s="142" t="s">
        <v>146</v>
      </c>
      <c r="F228" s="4" t="s">
        <v>146</v>
      </c>
      <c r="G228" s="143">
        <v>0</v>
      </c>
      <c r="H228" s="4">
        <v>0</v>
      </c>
      <c r="I228" s="143">
        <v>0</v>
      </c>
      <c r="J228" s="144" t="s">
        <v>146</v>
      </c>
      <c r="K228" s="145">
        <v>0</v>
      </c>
      <c r="L228" s="146">
        <v>0</v>
      </c>
      <c r="M228" s="58">
        <v>0</v>
      </c>
      <c r="N228" s="58">
        <v>0</v>
      </c>
      <c r="O228" s="147">
        <v>0</v>
      </c>
      <c r="P228" s="148">
        <v>0</v>
      </c>
      <c r="Q228" s="148">
        <v>0</v>
      </c>
      <c r="R228" s="148">
        <v>0</v>
      </c>
      <c r="S228" s="153">
        <v>0.05</v>
      </c>
      <c r="T228" s="154">
        <v>7.4999999999999997E-3</v>
      </c>
      <c r="U228" s="155">
        <v>3</v>
      </c>
      <c r="V228" s="159">
        <v>7.4999999999999997E-2</v>
      </c>
      <c r="W228" s="160">
        <v>1.4999999999999999E-2</v>
      </c>
      <c r="X228" s="161">
        <v>6</v>
      </c>
      <c r="Y228" s="165">
        <v>0.1</v>
      </c>
      <c r="Z228" s="166">
        <v>0.03</v>
      </c>
      <c r="AA228" s="167">
        <v>9</v>
      </c>
    </row>
    <row r="229" spans="2:27" x14ac:dyDescent="0.25">
      <c r="B229" s="51">
        <v>0</v>
      </c>
      <c r="C229" s="4" t="s">
        <v>146</v>
      </c>
      <c r="D229" s="142" t="s">
        <v>146</v>
      </c>
      <c r="E229" s="142" t="s">
        <v>146</v>
      </c>
      <c r="F229" s="4" t="s">
        <v>146</v>
      </c>
      <c r="G229" s="143">
        <v>0</v>
      </c>
      <c r="H229" s="4">
        <v>0</v>
      </c>
      <c r="I229" s="143">
        <v>0</v>
      </c>
      <c r="J229" s="144" t="s">
        <v>146</v>
      </c>
      <c r="K229" s="145">
        <v>0</v>
      </c>
      <c r="L229" s="146">
        <v>0</v>
      </c>
      <c r="M229" s="58">
        <v>0</v>
      </c>
      <c r="N229" s="58">
        <v>0</v>
      </c>
      <c r="O229" s="147">
        <v>0</v>
      </c>
      <c r="P229" s="148">
        <v>0</v>
      </c>
      <c r="Q229" s="148">
        <v>0</v>
      </c>
      <c r="R229" s="148">
        <v>0</v>
      </c>
      <c r="S229" s="153">
        <v>0.05</v>
      </c>
      <c r="T229" s="154">
        <v>7.4999999999999997E-3</v>
      </c>
      <c r="U229" s="155">
        <v>3</v>
      </c>
      <c r="V229" s="159">
        <v>7.4999999999999997E-2</v>
      </c>
      <c r="W229" s="160">
        <v>1.4999999999999999E-2</v>
      </c>
      <c r="X229" s="161">
        <v>6</v>
      </c>
      <c r="Y229" s="165">
        <v>0.1</v>
      </c>
      <c r="Z229" s="166">
        <v>0.03</v>
      </c>
      <c r="AA229" s="167">
        <v>9</v>
      </c>
    </row>
    <row r="230" spans="2:27" x14ac:dyDescent="0.25">
      <c r="B230" s="51">
        <v>0</v>
      </c>
      <c r="C230" s="4" t="s">
        <v>146</v>
      </c>
      <c r="D230" s="142" t="s">
        <v>146</v>
      </c>
      <c r="E230" s="142" t="s">
        <v>146</v>
      </c>
      <c r="F230" s="4" t="s">
        <v>146</v>
      </c>
      <c r="G230" s="143">
        <v>0</v>
      </c>
      <c r="H230" s="4">
        <v>0</v>
      </c>
      <c r="I230" s="143">
        <v>0</v>
      </c>
      <c r="J230" s="144" t="s">
        <v>146</v>
      </c>
      <c r="K230" s="145">
        <v>0</v>
      </c>
      <c r="L230" s="146">
        <v>0</v>
      </c>
      <c r="M230" s="58">
        <v>0</v>
      </c>
      <c r="N230" s="58">
        <v>0</v>
      </c>
      <c r="O230" s="147">
        <v>0</v>
      </c>
      <c r="P230" s="148">
        <v>0</v>
      </c>
      <c r="Q230" s="148">
        <v>0</v>
      </c>
      <c r="R230" s="148">
        <v>0</v>
      </c>
      <c r="S230" s="153">
        <v>0.05</v>
      </c>
      <c r="T230" s="154">
        <v>7.4999999999999997E-3</v>
      </c>
      <c r="U230" s="155">
        <v>3</v>
      </c>
      <c r="V230" s="159">
        <v>7.4999999999999997E-2</v>
      </c>
      <c r="W230" s="160">
        <v>1.4999999999999999E-2</v>
      </c>
      <c r="X230" s="161">
        <v>6</v>
      </c>
      <c r="Y230" s="165">
        <v>0.1</v>
      </c>
      <c r="Z230" s="166">
        <v>0.03</v>
      </c>
      <c r="AA230" s="167">
        <v>9</v>
      </c>
    </row>
    <row r="231" spans="2:27" x14ac:dyDescent="0.25">
      <c r="B231" s="51">
        <v>0</v>
      </c>
      <c r="C231" s="4" t="s">
        <v>146</v>
      </c>
      <c r="D231" s="142" t="s">
        <v>146</v>
      </c>
      <c r="E231" s="142" t="s">
        <v>146</v>
      </c>
      <c r="F231" s="4" t="s">
        <v>146</v>
      </c>
      <c r="G231" s="143">
        <v>0</v>
      </c>
      <c r="H231" s="4">
        <v>0</v>
      </c>
      <c r="I231" s="143">
        <v>0</v>
      </c>
      <c r="J231" s="144" t="s">
        <v>146</v>
      </c>
      <c r="K231" s="145">
        <v>0</v>
      </c>
      <c r="L231" s="146">
        <v>0</v>
      </c>
      <c r="M231" s="58">
        <v>0</v>
      </c>
      <c r="N231" s="58">
        <v>0</v>
      </c>
      <c r="O231" s="147">
        <v>0</v>
      </c>
      <c r="P231" s="148">
        <v>0</v>
      </c>
      <c r="Q231" s="148">
        <v>0</v>
      </c>
      <c r="R231" s="148">
        <v>0</v>
      </c>
      <c r="S231" s="153">
        <v>0.05</v>
      </c>
      <c r="T231" s="154">
        <v>7.4999999999999997E-3</v>
      </c>
      <c r="U231" s="155">
        <v>3</v>
      </c>
      <c r="V231" s="159">
        <v>7.4999999999999997E-2</v>
      </c>
      <c r="W231" s="160">
        <v>1.4999999999999999E-2</v>
      </c>
      <c r="X231" s="161">
        <v>6</v>
      </c>
      <c r="Y231" s="165">
        <v>0.1</v>
      </c>
      <c r="Z231" s="166">
        <v>0.03</v>
      </c>
      <c r="AA231" s="167">
        <v>9</v>
      </c>
    </row>
    <row r="232" spans="2:27" x14ac:dyDescent="0.25">
      <c r="B232" s="51">
        <v>0</v>
      </c>
      <c r="C232" s="4" t="s">
        <v>146</v>
      </c>
      <c r="D232" s="142" t="s">
        <v>146</v>
      </c>
      <c r="E232" s="142" t="s">
        <v>146</v>
      </c>
      <c r="F232" s="4" t="s">
        <v>146</v>
      </c>
      <c r="G232" s="143">
        <v>0</v>
      </c>
      <c r="H232" s="4">
        <v>0</v>
      </c>
      <c r="I232" s="143">
        <v>0</v>
      </c>
      <c r="J232" s="144" t="s">
        <v>146</v>
      </c>
      <c r="K232" s="145">
        <v>0</v>
      </c>
      <c r="L232" s="146">
        <v>0</v>
      </c>
      <c r="M232" s="58">
        <v>0</v>
      </c>
      <c r="N232" s="58">
        <v>0</v>
      </c>
      <c r="O232" s="147">
        <v>0</v>
      </c>
      <c r="P232" s="148">
        <v>0</v>
      </c>
      <c r="Q232" s="148">
        <v>0</v>
      </c>
      <c r="R232" s="148">
        <v>0</v>
      </c>
      <c r="S232" s="153">
        <v>0.05</v>
      </c>
      <c r="T232" s="154">
        <v>7.4999999999999997E-3</v>
      </c>
      <c r="U232" s="155">
        <v>3</v>
      </c>
      <c r="V232" s="159">
        <v>7.4999999999999997E-2</v>
      </c>
      <c r="W232" s="160">
        <v>1.4999999999999999E-2</v>
      </c>
      <c r="X232" s="161">
        <v>6</v>
      </c>
      <c r="Y232" s="165">
        <v>0.1</v>
      </c>
      <c r="Z232" s="166">
        <v>0.03</v>
      </c>
      <c r="AA232" s="167">
        <v>9</v>
      </c>
    </row>
    <row r="233" spans="2:27" x14ac:dyDescent="0.25">
      <c r="B233" s="51">
        <v>0</v>
      </c>
      <c r="C233" s="4" t="s">
        <v>146</v>
      </c>
      <c r="D233" s="142" t="s">
        <v>146</v>
      </c>
      <c r="E233" s="142" t="s">
        <v>146</v>
      </c>
      <c r="F233" s="4" t="s">
        <v>146</v>
      </c>
      <c r="G233" s="143">
        <v>0</v>
      </c>
      <c r="H233" s="4">
        <v>0</v>
      </c>
      <c r="I233" s="143">
        <v>0</v>
      </c>
      <c r="J233" s="144" t="s">
        <v>146</v>
      </c>
      <c r="K233" s="145">
        <v>0</v>
      </c>
      <c r="L233" s="146">
        <v>0</v>
      </c>
      <c r="M233" s="58">
        <v>0</v>
      </c>
      <c r="N233" s="58">
        <v>0</v>
      </c>
      <c r="O233" s="147">
        <v>0</v>
      </c>
      <c r="P233" s="148">
        <v>0</v>
      </c>
      <c r="Q233" s="148">
        <v>0</v>
      </c>
      <c r="R233" s="148">
        <v>0</v>
      </c>
      <c r="S233" s="153">
        <v>0.05</v>
      </c>
      <c r="T233" s="154">
        <v>7.4999999999999997E-3</v>
      </c>
      <c r="U233" s="155">
        <v>3</v>
      </c>
      <c r="V233" s="159">
        <v>7.4999999999999997E-2</v>
      </c>
      <c r="W233" s="160">
        <v>1.4999999999999999E-2</v>
      </c>
      <c r="X233" s="161">
        <v>6</v>
      </c>
      <c r="Y233" s="165">
        <v>0.1</v>
      </c>
      <c r="Z233" s="166">
        <v>0.03</v>
      </c>
      <c r="AA233" s="167">
        <v>9</v>
      </c>
    </row>
    <row r="234" spans="2:27" x14ac:dyDescent="0.25">
      <c r="B234" s="51">
        <v>0</v>
      </c>
      <c r="C234" s="4" t="s">
        <v>146</v>
      </c>
      <c r="D234" s="142" t="s">
        <v>146</v>
      </c>
      <c r="E234" s="142" t="s">
        <v>146</v>
      </c>
      <c r="F234" s="4" t="s">
        <v>146</v>
      </c>
      <c r="G234" s="143">
        <v>0</v>
      </c>
      <c r="H234" s="4">
        <v>0</v>
      </c>
      <c r="I234" s="143">
        <v>0</v>
      </c>
      <c r="J234" s="144" t="s">
        <v>146</v>
      </c>
      <c r="K234" s="145">
        <v>0</v>
      </c>
      <c r="L234" s="146">
        <v>0</v>
      </c>
      <c r="M234" s="58">
        <v>0</v>
      </c>
      <c r="N234" s="58">
        <v>0</v>
      </c>
      <c r="O234" s="147">
        <v>0</v>
      </c>
      <c r="P234" s="148">
        <v>0</v>
      </c>
      <c r="Q234" s="148">
        <v>0</v>
      </c>
      <c r="R234" s="148">
        <v>0</v>
      </c>
      <c r="S234" s="153">
        <v>0.05</v>
      </c>
      <c r="T234" s="154">
        <v>7.4999999999999997E-3</v>
      </c>
      <c r="U234" s="155">
        <v>3</v>
      </c>
      <c r="V234" s="159">
        <v>7.4999999999999997E-2</v>
      </c>
      <c r="W234" s="160">
        <v>1.4999999999999999E-2</v>
      </c>
      <c r="X234" s="161">
        <v>6</v>
      </c>
      <c r="Y234" s="165">
        <v>0.1</v>
      </c>
      <c r="Z234" s="166">
        <v>0.03</v>
      </c>
      <c r="AA234" s="167">
        <v>9</v>
      </c>
    </row>
    <row r="235" spans="2:27" x14ac:dyDescent="0.25">
      <c r="B235" s="51">
        <v>0</v>
      </c>
      <c r="C235" s="4" t="s">
        <v>146</v>
      </c>
      <c r="D235" s="142" t="s">
        <v>146</v>
      </c>
      <c r="E235" s="142" t="s">
        <v>146</v>
      </c>
      <c r="F235" s="4" t="s">
        <v>146</v>
      </c>
      <c r="G235" s="143">
        <v>0</v>
      </c>
      <c r="H235" s="4">
        <v>0</v>
      </c>
      <c r="I235" s="143">
        <v>0</v>
      </c>
      <c r="J235" s="144" t="s">
        <v>146</v>
      </c>
      <c r="K235" s="145">
        <v>0</v>
      </c>
      <c r="L235" s="146">
        <v>0</v>
      </c>
      <c r="M235" s="58">
        <v>0</v>
      </c>
      <c r="N235" s="58">
        <v>0</v>
      </c>
      <c r="O235" s="147">
        <v>0</v>
      </c>
      <c r="P235" s="148">
        <v>0</v>
      </c>
      <c r="Q235" s="148">
        <v>0</v>
      </c>
      <c r="R235" s="148">
        <v>0</v>
      </c>
      <c r="S235" s="153">
        <v>0.05</v>
      </c>
      <c r="T235" s="154">
        <v>7.4999999999999997E-3</v>
      </c>
      <c r="U235" s="155">
        <v>3</v>
      </c>
      <c r="V235" s="159">
        <v>7.4999999999999997E-2</v>
      </c>
      <c r="W235" s="160">
        <v>1.4999999999999999E-2</v>
      </c>
      <c r="X235" s="161">
        <v>6</v>
      </c>
      <c r="Y235" s="165">
        <v>0.1</v>
      </c>
      <c r="Z235" s="166">
        <v>0.03</v>
      </c>
      <c r="AA235" s="167">
        <v>9</v>
      </c>
    </row>
    <row r="236" spans="2:27" x14ac:dyDescent="0.25">
      <c r="B236" s="51">
        <v>0</v>
      </c>
      <c r="C236" s="4" t="s">
        <v>146</v>
      </c>
      <c r="D236" s="142" t="s">
        <v>146</v>
      </c>
      <c r="E236" s="142" t="s">
        <v>146</v>
      </c>
      <c r="F236" s="4" t="s">
        <v>146</v>
      </c>
      <c r="G236" s="143">
        <v>0</v>
      </c>
      <c r="H236" s="4">
        <v>0</v>
      </c>
      <c r="I236" s="143">
        <v>0</v>
      </c>
      <c r="J236" s="144" t="s">
        <v>146</v>
      </c>
      <c r="K236" s="145">
        <v>0</v>
      </c>
      <c r="L236" s="146">
        <v>0</v>
      </c>
      <c r="M236" s="58">
        <v>0</v>
      </c>
      <c r="N236" s="58">
        <v>0</v>
      </c>
      <c r="O236" s="147">
        <v>0</v>
      </c>
      <c r="P236" s="148">
        <v>0</v>
      </c>
      <c r="Q236" s="148">
        <v>0</v>
      </c>
      <c r="R236" s="148">
        <v>0</v>
      </c>
      <c r="S236" s="153">
        <v>0.05</v>
      </c>
      <c r="T236" s="154">
        <v>7.4999999999999997E-3</v>
      </c>
      <c r="U236" s="155">
        <v>3</v>
      </c>
      <c r="V236" s="159">
        <v>7.4999999999999997E-2</v>
      </c>
      <c r="W236" s="160">
        <v>1.4999999999999999E-2</v>
      </c>
      <c r="X236" s="161">
        <v>6</v>
      </c>
      <c r="Y236" s="165">
        <v>0.1</v>
      </c>
      <c r="Z236" s="166">
        <v>0.03</v>
      </c>
      <c r="AA236" s="167">
        <v>9</v>
      </c>
    </row>
    <row r="237" spans="2:27" x14ac:dyDescent="0.25">
      <c r="B237" s="51">
        <v>0</v>
      </c>
      <c r="C237" s="4" t="s">
        <v>146</v>
      </c>
      <c r="D237" s="142" t="s">
        <v>146</v>
      </c>
      <c r="E237" s="142" t="s">
        <v>146</v>
      </c>
      <c r="F237" s="4" t="s">
        <v>146</v>
      </c>
      <c r="G237" s="143">
        <v>0</v>
      </c>
      <c r="H237" s="4">
        <v>0</v>
      </c>
      <c r="I237" s="143">
        <v>0</v>
      </c>
      <c r="J237" s="144" t="s">
        <v>146</v>
      </c>
      <c r="K237" s="145">
        <v>0</v>
      </c>
      <c r="L237" s="146">
        <v>0</v>
      </c>
      <c r="M237" s="58">
        <v>0</v>
      </c>
      <c r="N237" s="58">
        <v>0</v>
      </c>
      <c r="O237" s="147">
        <v>0</v>
      </c>
      <c r="P237" s="148">
        <v>0</v>
      </c>
      <c r="Q237" s="148">
        <v>0</v>
      </c>
      <c r="R237" s="148">
        <v>0</v>
      </c>
      <c r="S237" s="153">
        <v>0.05</v>
      </c>
      <c r="T237" s="154">
        <v>7.4999999999999997E-3</v>
      </c>
      <c r="U237" s="155">
        <v>3</v>
      </c>
      <c r="V237" s="159">
        <v>7.4999999999999997E-2</v>
      </c>
      <c r="W237" s="160">
        <v>1.4999999999999999E-2</v>
      </c>
      <c r="X237" s="161">
        <v>6</v>
      </c>
      <c r="Y237" s="165">
        <v>0.1</v>
      </c>
      <c r="Z237" s="166">
        <v>0.03</v>
      </c>
      <c r="AA237" s="167">
        <v>9</v>
      </c>
    </row>
    <row r="238" spans="2:27" x14ac:dyDescent="0.25">
      <c r="B238" s="51">
        <v>0</v>
      </c>
      <c r="C238" s="4" t="s">
        <v>146</v>
      </c>
      <c r="D238" s="142" t="s">
        <v>146</v>
      </c>
      <c r="E238" s="142" t="s">
        <v>146</v>
      </c>
      <c r="F238" s="4" t="s">
        <v>146</v>
      </c>
      <c r="G238" s="143">
        <v>0</v>
      </c>
      <c r="H238" s="4">
        <v>0</v>
      </c>
      <c r="I238" s="143">
        <v>0</v>
      </c>
      <c r="J238" s="144" t="s">
        <v>146</v>
      </c>
      <c r="K238" s="145">
        <v>0</v>
      </c>
      <c r="L238" s="146">
        <v>0</v>
      </c>
      <c r="M238" s="58">
        <v>0</v>
      </c>
      <c r="N238" s="58">
        <v>0</v>
      </c>
      <c r="O238" s="147">
        <v>0</v>
      </c>
      <c r="P238" s="148">
        <v>0</v>
      </c>
      <c r="Q238" s="148">
        <v>0</v>
      </c>
      <c r="R238" s="148">
        <v>0</v>
      </c>
      <c r="S238" s="153">
        <v>0.05</v>
      </c>
      <c r="T238" s="154">
        <v>7.4999999999999997E-3</v>
      </c>
      <c r="U238" s="155">
        <v>3</v>
      </c>
      <c r="V238" s="159">
        <v>7.4999999999999997E-2</v>
      </c>
      <c r="W238" s="160">
        <v>1.4999999999999999E-2</v>
      </c>
      <c r="X238" s="161">
        <v>6</v>
      </c>
      <c r="Y238" s="165">
        <v>0.1</v>
      </c>
      <c r="Z238" s="166">
        <v>0.03</v>
      </c>
      <c r="AA238" s="167">
        <v>9</v>
      </c>
    </row>
    <row r="239" spans="2:27" x14ac:dyDescent="0.25">
      <c r="B239" s="51">
        <v>0</v>
      </c>
      <c r="C239" s="4" t="s">
        <v>146</v>
      </c>
      <c r="D239" s="142" t="s">
        <v>146</v>
      </c>
      <c r="E239" s="142" t="s">
        <v>146</v>
      </c>
      <c r="F239" s="4" t="s">
        <v>146</v>
      </c>
      <c r="G239" s="143">
        <v>0</v>
      </c>
      <c r="H239" s="4">
        <v>0</v>
      </c>
      <c r="I239" s="143">
        <v>0</v>
      </c>
      <c r="J239" s="144" t="s">
        <v>146</v>
      </c>
      <c r="K239" s="145">
        <v>0</v>
      </c>
      <c r="L239" s="146">
        <v>0</v>
      </c>
      <c r="M239" s="58">
        <v>0</v>
      </c>
      <c r="N239" s="58">
        <v>0</v>
      </c>
      <c r="O239" s="147">
        <v>0</v>
      </c>
      <c r="P239" s="148">
        <v>0</v>
      </c>
      <c r="Q239" s="148">
        <v>0</v>
      </c>
      <c r="R239" s="148">
        <v>0</v>
      </c>
      <c r="S239" s="153">
        <v>0.05</v>
      </c>
      <c r="T239" s="154">
        <v>7.4999999999999997E-3</v>
      </c>
      <c r="U239" s="155">
        <v>3</v>
      </c>
      <c r="V239" s="159">
        <v>7.4999999999999997E-2</v>
      </c>
      <c r="W239" s="160">
        <v>1.4999999999999999E-2</v>
      </c>
      <c r="X239" s="161">
        <v>6</v>
      </c>
      <c r="Y239" s="165">
        <v>0.1</v>
      </c>
      <c r="Z239" s="166">
        <v>0.03</v>
      </c>
      <c r="AA239" s="167">
        <v>9</v>
      </c>
    </row>
    <row r="240" spans="2:27" x14ac:dyDescent="0.25">
      <c r="B240" s="51">
        <v>0</v>
      </c>
      <c r="C240" s="4" t="s">
        <v>146</v>
      </c>
      <c r="D240" s="142" t="s">
        <v>146</v>
      </c>
      <c r="E240" s="142" t="s">
        <v>146</v>
      </c>
      <c r="F240" s="4" t="s">
        <v>146</v>
      </c>
      <c r="G240" s="143">
        <v>0</v>
      </c>
      <c r="H240" s="4">
        <v>0</v>
      </c>
      <c r="I240" s="143">
        <v>0</v>
      </c>
      <c r="J240" s="144" t="s">
        <v>146</v>
      </c>
      <c r="K240" s="145">
        <v>0</v>
      </c>
      <c r="L240" s="146">
        <v>0</v>
      </c>
      <c r="M240" s="58">
        <v>0</v>
      </c>
      <c r="N240" s="58">
        <v>0</v>
      </c>
      <c r="O240" s="147">
        <v>0</v>
      </c>
      <c r="P240" s="148">
        <v>0</v>
      </c>
      <c r="Q240" s="148">
        <v>0</v>
      </c>
      <c r="R240" s="148">
        <v>0</v>
      </c>
      <c r="S240" s="153">
        <v>0.05</v>
      </c>
      <c r="T240" s="154">
        <v>7.4999999999999997E-3</v>
      </c>
      <c r="U240" s="155">
        <v>3</v>
      </c>
      <c r="V240" s="159">
        <v>7.4999999999999997E-2</v>
      </c>
      <c r="W240" s="160">
        <v>1.4999999999999999E-2</v>
      </c>
      <c r="X240" s="161">
        <v>6</v>
      </c>
      <c r="Y240" s="165">
        <v>0.1</v>
      </c>
      <c r="Z240" s="166">
        <v>0.03</v>
      </c>
      <c r="AA240" s="167">
        <v>9</v>
      </c>
    </row>
    <row r="241" spans="2:27" x14ac:dyDescent="0.25">
      <c r="B241" s="51">
        <v>0</v>
      </c>
      <c r="C241" s="4" t="s">
        <v>146</v>
      </c>
      <c r="D241" s="142" t="s">
        <v>146</v>
      </c>
      <c r="E241" s="142" t="s">
        <v>146</v>
      </c>
      <c r="F241" s="4" t="s">
        <v>146</v>
      </c>
      <c r="G241" s="143">
        <v>0</v>
      </c>
      <c r="H241" s="4">
        <v>0</v>
      </c>
      <c r="I241" s="143">
        <v>0</v>
      </c>
      <c r="J241" s="144" t="s">
        <v>146</v>
      </c>
      <c r="K241" s="145">
        <v>0</v>
      </c>
      <c r="L241" s="146">
        <v>0</v>
      </c>
      <c r="M241" s="58">
        <v>0</v>
      </c>
      <c r="N241" s="58">
        <v>0</v>
      </c>
      <c r="O241" s="147">
        <v>0</v>
      </c>
      <c r="P241" s="148">
        <v>0</v>
      </c>
      <c r="Q241" s="148">
        <v>0</v>
      </c>
      <c r="R241" s="148">
        <v>0</v>
      </c>
      <c r="S241" s="153">
        <v>0.05</v>
      </c>
      <c r="T241" s="154">
        <v>7.4999999999999997E-3</v>
      </c>
      <c r="U241" s="155">
        <v>3</v>
      </c>
      <c r="V241" s="159">
        <v>7.4999999999999997E-2</v>
      </c>
      <c r="W241" s="160">
        <v>1.4999999999999999E-2</v>
      </c>
      <c r="X241" s="161">
        <v>6</v>
      </c>
      <c r="Y241" s="165">
        <v>0.1</v>
      </c>
      <c r="Z241" s="166">
        <v>0.03</v>
      </c>
      <c r="AA241" s="167">
        <v>9</v>
      </c>
    </row>
    <row r="242" spans="2:27" x14ac:dyDescent="0.25">
      <c r="B242" s="51">
        <v>0</v>
      </c>
      <c r="C242" s="4" t="s">
        <v>146</v>
      </c>
      <c r="D242" s="142" t="s">
        <v>146</v>
      </c>
      <c r="E242" s="142" t="s">
        <v>146</v>
      </c>
      <c r="F242" s="4" t="s">
        <v>146</v>
      </c>
      <c r="G242" s="143">
        <v>0</v>
      </c>
      <c r="H242" s="4">
        <v>0</v>
      </c>
      <c r="I242" s="143">
        <v>0</v>
      </c>
      <c r="J242" s="144" t="s">
        <v>146</v>
      </c>
      <c r="K242" s="145">
        <v>0</v>
      </c>
      <c r="L242" s="146">
        <v>0</v>
      </c>
      <c r="M242" s="58">
        <v>0</v>
      </c>
      <c r="N242" s="58">
        <v>0</v>
      </c>
      <c r="O242" s="147">
        <v>0</v>
      </c>
      <c r="P242" s="148">
        <v>0</v>
      </c>
      <c r="Q242" s="148">
        <v>0</v>
      </c>
      <c r="R242" s="148">
        <v>0</v>
      </c>
      <c r="S242" s="153">
        <v>0.05</v>
      </c>
      <c r="T242" s="154">
        <v>7.4999999999999997E-3</v>
      </c>
      <c r="U242" s="155">
        <v>3</v>
      </c>
      <c r="V242" s="159">
        <v>7.4999999999999997E-2</v>
      </c>
      <c r="W242" s="160">
        <v>1.4999999999999999E-2</v>
      </c>
      <c r="X242" s="161">
        <v>6</v>
      </c>
      <c r="Y242" s="165">
        <v>0.1</v>
      </c>
      <c r="Z242" s="166">
        <v>0.03</v>
      </c>
      <c r="AA242" s="167">
        <v>9</v>
      </c>
    </row>
    <row r="243" spans="2:27" x14ac:dyDescent="0.25">
      <c r="B243" s="51">
        <v>0</v>
      </c>
      <c r="C243" s="4" t="s">
        <v>146</v>
      </c>
      <c r="D243" s="142" t="s">
        <v>146</v>
      </c>
      <c r="E243" s="142" t="s">
        <v>146</v>
      </c>
      <c r="F243" s="4" t="s">
        <v>146</v>
      </c>
      <c r="G243" s="143">
        <v>0</v>
      </c>
      <c r="H243" s="4">
        <v>0</v>
      </c>
      <c r="I243" s="143">
        <v>0</v>
      </c>
      <c r="J243" s="144" t="s">
        <v>146</v>
      </c>
      <c r="K243" s="145">
        <v>0</v>
      </c>
      <c r="L243" s="146">
        <v>0</v>
      </c>
      <c r="M243" s="58">
        <v>0</v>
      </c>
      <c r="N243" s="58">
        <v>0</v>
      </c>
      <c r="O243" s="147">
        <v>0</v>
      </c>
      <c r="P243" s="148">
        <v>0</v>
      </c>
      <c r="Q243" s="148">
        <v>0</v>
      </c>
      <c r="R243" s="148">
        <v>0</v>
      </c>
      <c r="S243" s="153">
        <v>0.05</v>
      </c>
      <c r="T243" s="154">
        <v>7.4999999999999997E-3</v>
      </c>
      <c r="U243" s="155">
        <v>3</v>
      </c>
      <c r="V243" s="159">
        <v>7.4999999999999997E-2</v>
      </c>
      <c r="W243" s="160">
        <v>1.4999999999999999E-2</v>
      </c>
      <c r="X243" s="161">
        <v>6</v>
      </c>
      <c r="Y243" s="165">
        <v>0.1</v>
      </c>
      <c r="Z243" s="166">
        <v>0.03</v>
      </c>
      <c r="AA243" s="167">
        <v>9</v>
      </c>
    </row>
    <row r="244" spans="2:27" x14ac:dyDescent="0.25">
      <c r="B244" s="51">
        <v>0</v>
      </c>
      <c r="C244" s="4" t="s">
        <v>146</v>
      </c>
      <c r="D244" s="142" t="s">
        <v>146</v>
      </c>
      <c r="E244" s="142" t="s">
        <v>146</v>
      </c>
      <c r="F244" s="4" t="s">
        <v>146</v>
      </c>
      <c r="G244" s="143">
        <v>0</v>
      </c>
      <c r="H244" s="4">
        <v>0</v>
      </c>
      <c r="I244" s="143">
        <v>0</v>
      </c>
      <c r="J244" s="144" t="s">
        <v>146</v>
      </c>
      <c r="K244" s="145">
        <v>0</v>
      </c>
      <c r="L244" s="146">
        <v>0</v>
      </c>
      <c r="M244" s="58">
        <v>0</v>
      </c>
      <c r="N244" s="58">
        <v>0</v>
      </c>
      <c r="O244" s="147">
        <v>0</v>
      </c>
      <c r="P244" s="148">
        <v>0</v>
      </c>
      <c r="Q244" s="148">
        <v>0</v>
      </c>
      <c r="R244" s="148">
        <v>0</v>
      </c>
      <c r="S244" s="153">
        <v>0.05</v>
      </c>
      <c r="T244" s="154">
        <v>7.4999999999999997E-3</v>
      </c>
      <c r="U244" s="155">
        <v>3</v>
      </c>
      <c r="V244" s="159">
        <v>7.4999999999999997E-2</v>
      </c>
      <c r="W244" s="160">
        <v>1.4999999999999999E-2</v>
      </c>
      <c r="X244" s="161">
        <v>6</v>
      </c>
      <c r="Y244" s="165">
        <v>0.1</v>
      </c>
      <c r="Z244" s="166">
        <v>0.03</v>
      </c>
      <c r="AA244" s="167">
        <v>9</v>
      </c>
    </row>
    <row r="245" spans="2:27" x14ac:dyDescent="0.25">
      <c r="B245" s="51">
        <v>0</v>
      </c>
      <c r="C245" s="4" t="s">
        <v>146</v>
      </c>
      <c r="D245" s="142" t="s">
        <v>146</v>
      </c>
      <c r="E245" s="142" t="s">
        <v>146</v>
      </c>
      <c r="F245" s="4" t="s">
        <v>146</v>
      </c>
      <c r="G245" s="143">
        <v>0</v>
      </c>
      <c r="H245" s="4">
        <v>0</v>
      </c>
      <c r="I245" s="143">
        <v>0</v>
      </c>
      <c r="J245" s="144" t="s">
        <v>146</v>
      </c>
      <c r="K245" s="145">
        <v>0</v>
      </c>
      <c r="L245" s="146">
        <v>0</v>
      </c>
      <c r="M245" s="58">
        <v>0</v>
      </c>
      <c r="N245" s="58">
        <v>0</v>
      </c>
      <c r="O245" s="147">
        <v>0</v>
      </c>
      <c r="P245" s="148">
        <v>0</v>
      </c>
      <c r="Q245" s="148">
        <v>0</v>
      </c>
      <c r="R245" s="148">
        <v>0</v>
      </c>
      <c r="S245" s="153">
        <v>0.05</v>
      </c>
      <c r="T245" s="154">
        <v>7.4999999999999997E-3</v>
      </c>
      <c r="U245" s="155">
        <v>3</v>
      </c>
      <c r="V245" s="159">
        <v>7.4999999999999997E-2</v>
      </c>
      <c r="W245" s="160">
        <v>1.4999999999999999E-2</v>
      </c>
      <c r="X245" s="161">
        <v>6</v>
      </c>
      <c r="Y245" s="165">
        <v>0.1</v>
      </c>
      <c r="Z245" s="166">
        <v>0.03</v>
      </c>
      <c r="AA245" s="167">
        <v>9</v>
      </c>
    </row>
    <row r="246" spans="2:27" x14ac:dyDescent="0.25">
      <c r="B246" s="51">
        <v>0</v>
      </c>
      <c r="C246" s="4" t="s">
        <v>146</v>
      </c>
      <c r="D246" s="142" t="s">
        <v>146</v>
      </c>
      <c r="E246" s="142" t="s">
        <v>146</v>
      </c>
      <c r="F246" s="4" t="s">
        <v>146</v>
      </c>
      <c r="G246" s="143">
        <v>0</v>
      </c>
      <c r="H246" s="4">
        <v>0</v>
      </c>
      <c r="I246" s="143">
        <v>0</v>
      </c>
      <c r="J246" s="144" t="s">
        <v>146</v>
      </c>
      <c r="K246" s="145">
        <v>0</v>
      </c>
      <c r="L246" s="146">
        <v>0</v>
      </c>
      <c r="M246" s="58">
        <v>0</v>
      </c>
      <c r="N246" s="58">
        <v>0</v>
      </c>
      <c r="O246" s="147">
        <v>0</v>
      </c>
      <c r="P246" s="148">
        <v>0</v>
      </c>
      <c r="Q246" s="148">
        <v>0</v>
      </c>
      <c r="R246" s="148">
        <v>0</v>
      </c>
      <c r="S246" s="153">
        <v>0.05</v>
      </c>
      <c r="T246" s="154">
        <v>7.4999999999999997E-3</v>
      </c>
      <c r="U246" s="155">
        <v>3</v>
      </c>
      <c r="V246" s="159">
        <v>7.4999999999999997E-2</v>
      </c>
      <c r="W246" s="160">
        <v>1.4999999999999999E-2</v>
      </c>
      <c r="X246" s="161">
        <v>6</v>
      </c>
      <c r="Y246" s="165">
        <v>0.1</v>
      </c>
      <c r="Z246" s="166">
        <v>0.03</v>
      </c>
      <c r="AA246" s="167">
        <v>9</v>
      </c>
    </row>
    <row r="247" spans="2:27" x14ac:dyDescent="0.25">
      <c r="B247" s="51">
        <v>0</v>
      </c>
      <c r="C247" s="4" t="s">
        <v>146</v>
      </c>
      <c r="D247" s="142" t="s">
        <v>146</v>
      </c>
      <c r="E247" s="142" t="s">
        <v>146</v>
      </c>
      <c r="F247" s="4" t="s">
        <v>146</v>
      </c>
      <c r="G247" s="143">
        <v>0</v>
      </c>
      <c r="H247" s="4">
        <v>0</v>
      </c>
      <c r="I247" s="143">
        <v>0</v>
      </c>
      <c r="J247" s="144" t="s">
        <v>146</v>
      </c>
      <c r="K247" s="145">
        <v>0</v>
      </c>
      <c r="L247" s="146">
        <v>0</v>
      </c>
      <c r="M247" s="58">
        <v>0</v>
      </c>
      <c r="N247" s="58">
        <v>0</v>
      </c>
      <c r="O247" s="147">
        <v>0</v>
      </c>
      <c r="P247" s="148">
        <v>0</v>
      </c>
      <c r="Q247" s="148">
        <v>0</v>
      </c>
      <c r="R247" s="148">
        <v>0</v>
      </c>
      <c r="S247" s="153">
        <v>0.05</v>
      </c>
      <c r="T247" s="154">
        <v>7.4999999999999997E-3</v>
      </c>
      <c r="U247" s="155">
        <v>3</v>
      </c>
      <c r="V247" s="159">
        <v>7.4999999999999997E-2</v>
      </c>
      <c r="W247" s="160">
        <v>1.4999999999999999E-2</v>
      </c>
      <c r="X247" s="161">
        <v>6</v>
      </c>
      <c r="Y247" s="165">
        <v>0.1</v>
      </c>
      <c r="Z247" s="166">
        <v>0.03</v>
      </c>
      <c r="AA247" s="167">
        <v>9</v>
      </c>
    </row>
    <row r="248" spans="2:27" x14ac:dyDescent="0.25">
      <c r="B248" s="51">
        <v>0</v>
      </c>
      <c r="C248" s="4" t="s">
        <v>146</v>
      </c>
      <c r="D248" s="142" t="s">
        <v>146</v>
      </c>
      <c r="E248" s="142" t="s">
        <v>146</v>
      </c>
      <c r="F248" s="4" t="s">
        <v>146</v>
      </c>
      <c r="G248" s="143">
        <v>0</v>
      </c>
      <c r="H248" s="4">
        <v>0</v>
      </c>
      <c r="I248" s="143">
        <v>0</v>
      </c>
      <c r="J248" s="144" t="s">
        <v>146</v>
      </c>
      <c r="K248" s="145">
        <v>0</v>
      </c>
      <c r="L248" s="146">
        <v>0</v>
      </c>
      <c r="M248" s="58">
        <v>0</v>
      </c>
      <c r="N248" s="58">
        <v>0</v>
      </c>
      <c r="O248" s="147">
        <v>0</v>
      </c>
      <c r="P248" s="148">
        <v>0</v>
      </c>
      <c r="Q248" s="148">
        <v>0</v>
      </c>
      <c r="R248" s="148">
        <v>0</v>
      </c>
      <c r="S248" s="153">
        <v>0.05</v>
      </c>
      <c r="T248" s="154">
        <v>7.4999999999999997E-3</v>
      </c>
      <c r="U248" s="155">
        <v>3</v>
      </c>
      <c r="V248" s="159">
        <v>7.4999999999999997E-2</v>
      </c>
      <c r="W248" s="160">
        <v>1.4999999999999999E-2</v>
      </c>
      <c r="X248" s="161">
        <v>6</v>
      </c>
      <c r="Y248" s="165">
        <v>0.1</v>
      </c>
      <c r="Z248" s="166">
        <v>0.03</v>
      </c>
      <c r="AA248" s="167">
        <v>9</v>
      </c>
    </row>
    <row r="249" spans="2:27" x14ac:dyDescent="0.25">
      <c r="B249" s="51">
        <v>0</v>
      </c>
      <c r="C249" s="4" t="s">
        <v>146</v>
      </c>
      <c r="D249" s="142" t="s">
        <v>146</v>
      </c>
      <c r="E249" s="142" t="s">
        <v>146</v>
      </c>
      <c r="F249" s="4" t="s">
        <v>146</v>
      </c>
      <c r="G249" s="143">
        <v>0</v>
      </c>
      <c r="H249" s="4">
        <v>0</v>
      </c>
      <c r="I249" s="143">
        <v>0</v>
      </c>
      <c r="J249" s="144" t="s">
        <v>146</v>
      </c>
      <c r="K249" s="145">
        <v>0</v>
      </c>
      <c r="L249" s="146">
        <v>0</v>
      </c>
      <c r="M249" s="58">
        <v>0</v>
      </c>
      <c r="N249" s="58">
        <v>0</v>
      </c>
      <c r="O249" s="147">
        <v>0</v>
      </c>
      <c r="P249" s="148">
        <v>0</v>
      </c>
      <c r="Q249" s="148">
        <v>0</v>
      </c>
      <c r="R249" s="148">
        <v>0</v>
      </c>
      <c r="S249" s="153">
        <v>0.05</v>
      </c>
      <c r="T249" s="154">
        <v>7.4999999999999997E-3</v>
      </c>
      <c r="U249" s="155">
        <v>3</v>
      </c>
      <c r="V249" s="159">
        <v>7.4999999999999997E-2</v>
      </c>
      <c r="W249" s="160">
        <v>1.4999999999999999E-2</v>
      </c>
      <c r="X249" s="161">
        <v>6</v>
      </c>
      <c r="Y249" s="165">
        <v>0.1</v>
      </c>
      <c r="Z249" s="166">
        <v>0.03</v>
      </c>
      <c r="AA249" s="167">
        <v>9</v>
      </c>
    </row>
    <row r="250" spans="2:27" x14ac:dyDescent="0.25">
      <c r="B250" s="51">
        <v>0</v>
      </c>
      <c r="C250" s="4" t="s">
        <v>146</v>
      </c>
      <c r="D250" s="142" t="s">
        <v>146</v>
      </c>
      <c r="E250" s="142" t="s">
        <v>146</v>
      </c>
      <c r="F250" s="4" t="s">
        <v>146</v>
      </c>
      <c r="G250" s="143">
        <v>0</v>
      </c>
      <c r="H250" s="4">
        <v>0</v>
      </c>
      <c r="I250" s="143">
        <v>0</v>
      </c>
      <c r="J250" s="144" t="s">
        <v>146</v>
      </c>
      <c r="K250" s="145">
        <v>0</v>
      </c>
      <c r="L250" s="146">
        <v>0</v>
      </c>
      <c r="M250" s="58">
        <v>0</v>
      </c>
      <c r="N250" s="58">
        <v>0</v>
      </c>
      <c r="O250" s="147">
        <v>0</v>
      </c>
      <c r="P250" s="148">
        <v>0</v>
      </c>
      <c r="Q250" s="148">
        <v>0</v>
      </c>
      <c r="R250" s="148">
        <v>0</v>
      </c>
      <c r="S250" s="153">
        <v>0.05</v>
      </c>
      <c r="T250" s="154">
        <v>7.4999999999999997E-3</v>
      </c>
      <c r="U250" s="155">
        <v>3</v>
      </c>
      <c r="V250" s="159">
        <v>7.4999999999999997E-2</v>
      </c>
      <c r="W250" s="160">
        <v>1.4999999999999999E-2</v>
      </c>
      <c r="X250" s="161">
        <v>6</v>
      </c>
      <c r="Y250" s="165">
        <v>0.1</v>
      </c>
      <c r="Z250" s="166">
        <v>0.03</v>
      </c>
      <c r="AA250" s="167">
        <v>9</v>
      </c>
    </row>
    <row r="251" spans="2:27" x14ac:dyDescent="0.25">
      <c r="B251" s="51">
        <v>0</v>
      </c>
      <c r="C251" s="4" t="s">
        <v>146</v>
      </c>
      <c r="D251" s="142" t="s">
        <v>146</v>
      </c>
      <c r="E251" s="142" t="s">
        <v>146</v>
      </c>
      <c r="F251" s="4" t="s">
        <v>146</v>
      </c>
      <c r="G251" s="143">
        <v>0</v>
      </c>
      <c r="H251" s="4">
        <v>0</v>
      </c>
      <c r="I251" s="143">
        <v>0</v>
      </c>
      <c r="J251" s="144" t="s">
        <v>146</v>
      </c>
      <c r="K251" s="145">
        <v>0</v>
      </c>
      <c r="L251" s="146">
        <v>0</v>
      </c>
      <c r="M251" s="58">
        <v>0</v>
      </c>
      <c r="N251" s="58">
        <v>0</v>
      </c>
      <c r="O251" s="147">
        <v>0</v>
      </c>
      <c r="P251" s="148">
        <v>0</v>
      </c>
      <c r="Q251" s="148">
        <v>0</v>
      </c>
      <c r="R251" s="148">
        <v>0</v>
      </c>
      <c r="S251" s="153">
        <v>0.05</v>
      </c>
      <c r="T251" s="154">
        <v>7.4999999999999997E-3</v>
      </c>
      <c r="U251" s="155">
        <v>3</v>
      </c>
      <c r="V251" s="159">
        <v>7.4999999999999997E-2</v>
      </c>
      <c r="W251" s="160">
        <v>1.4999999999999999E-2</v>
      </c>
      <c r="X251" s="161">
        <v>6</v>
      </c>
      <c r="Y251" s="165">
        <v>0.1</v>
      </c>
      <c r="Z251" s="166">
        <v>0.03</v>
      </c>
      <c r="AA251" s="167">
        <v>9</v>
      </c>
    </row>
    <row r="252" spans="2:27" x14ac:dyDescent="0.25">
      <c r="B252" s="51">
        <v>0</v>
      </c>
      <c r="C252" s="4" t="s">
        <v>146</v>
      </c>
      <c r="D252" s="142" t="s">
        <v>146</v>
      </c>
      <c r="E252" s="142" t="s">
        <v>146</v>
      </c>
      <c r="F252" s="4" t="s">
        <v>146</v>
      </c>
      <c r="G252" s="143">
        <v>0</v>
      </c>
      <c r="H252" s="4">
        <v>0</v>
      </c>
      <c r="I252" s="143">
        <v>0</v>
      </c>
      <c r="J252" s="144" t="s">
        <v>146</v>
      </c>
      <c r="K252" s="145">
        <v>0</v>
      </c>
      <c r="L252" s="146">
        <v>0</v>
      </c>
      <c r="M252" s="58">
        <v>0</v>
      </c>
      <c r="N252" s="58">
        <v>0</v>
      </c>
      <c r="O252" s="147">
        <v>0</v>
      </c>
      <c r="P252" s="148">
        <v>0</v>
      </c>
      <c r="Q252" s="148">
        <v>0</v>
      </c>
      <c r="R252" s="148">
        <v>0</v>
      </c>
      <c r="S252" s="153">
        <v>0.05</v>
      </c>
      <c r="T252" s="154">
        <v>7.4999999999999997E-3</v>
      </c>
      <c r="U252" s="155">
        <v>3</v>
      </c>
      <c r="V252" s="159">
        <v>7.4999999999999997E-2</v>
      </c>
      <c r="W252" s="160">
        <v>1.4999999999999999E-2</v>
      </c>
      <c r="X252" s="161">
        <v>6</v>
      </c>
      <c r="Y252" s="165">
        <v>0.1</v>
      </c>
      <c r="Z252" s="166">
        <v>0.03</v>
      </c>
      <c r="AA252" s="167">
        <v>9</v>
      </c>
    </row>
    <row r="253" spans="2:27" x14ac:dyDescent="0.25">
      <c r="B253" s="51">
        <v>0</v>
      </c>
      <c r="C253" s="4" t="s">
        <v>146</v>
      </c>
      <c r="D253" s="142" t="s">
        <v>146</v>
      </c>
      <c r="E253" s="142" t="s">
        <v>146</v>
      </c>
      <c r="F253" s="4" t="s">
        <v>146</v>
      </c>
      <c r="G253" s="143">
        <v>0</v>
      </c>
      <c r="H253" s="4">
        <v>0</v>
      </c>
      <c r="I253" s="143">
        <v>0</v>
      </c>
      <c r="J253" s="144" t="s">
        <v>146</v>
      </c>
      <c r="K253" s="145">
        <v>0</v>
      </c>
      <c r="L253" s="146">
        <v>0</v>
      </c>
      <c r="M253" s="58">
        <v>0</v>
      </c>
      <c r="N253" s="58">
        <v>0</v>
      </c>
      <c r="O253" s="147">
        <v>0</v>
      </c>
      <c r="P253" s="148">
        <v>0</v>
      </c>
      <c r="Q253" s="148">
        <v>0</v>
      </c>
      <c r="R253" s="148">
        <v>0</v>
      </c>
      <c r="S253" s="153">
        <v>0.05</v>
      </c>
      <c r="T253" s="154">
        <v>7.4999999999999997E-3</v>
      </c>
      <c r="U253" s="155">
        <v>3</v>
      </c>
      <c r="V253" s="159">
        <v>7.4999999999999997E-2</v>
      </c>
      <c r="W253" s="160">
        <v>1.4999999999999999E-2</v>
      </c>
      <c r="X253" s="161">
        <v>6</v>
      </c>
      <c r="Y253" s="165">
        <v>0.1</v>
      </c>
      <c r="Z253" s="166">
        <v>0.03</v>
      </c>
      <c r="AA253" s="167">
        <v>9</v>
      </c>
    </row>
    <row r="254" spans="2:27" x14ac:dyDescent="0.25">
      <c r="B254" s="51">
        <v>0</v>
      </c>
      <c r="C254" s="4" t="s">
        <v>146</v>
      </c>
      <c r="D254" s="142" t="s">
        <v>146</v>
      </c>
      <c r="E254" s="142" t="s">
        <v>146</v>
      </c>
      <c r="F254" s="4" t="s">
        <v>146</v>
      </c>
      <c r="G254" s="143">
        <v>0</v>
      </c>
      <c r="H254" s="4">
        <v>0</v>
      </c>
      <c r="I254" s="143">
        <v>0</v>
      </c>
      <c r="J254" s="144" t="s">
        <v>146</v>
      </c>
      <c r="K254" s="145">
        <v>0</v>
      </c>
      <c r="L254" s="146">
        <v>0</v>
      </c>
      <c r="M254" s="58">
        <v>0</v>
      </c>
      <c r="N254" s="58">
        <v>0</v>
      </c>
      <c r="O254" s="147">
        <v>0</v>
      </c>
      <c r="P254" s="148">
        <v>0</v>
      </c>
      <c r="Q254" s="148">
        <v>0</v>
      </c>
      <c r="R254" s="148">
        <v>0</v>
      </c>
      <c r="S254" s="153">
        <v>0.05</v>
      </c>
      <c r="T254" s="154">
        <v>7.4999999999999997E-3</v>
      </c>
      <c r="U254" s="155">
        <v>3</v>
      </c>
      <c r="V254" s="159">
        <v>7.4999999999999997E-2</v>
      </c>
      <c r="W254" s="160">
        <v>1.4999999999999999E-2</v>
      </c>
      <c r="X254" s="161">
        <v>6</v>
      </c>
      <c r="Y254" s="165">
        <v>0.1</v>
      </c>
      <c r="Z254" s="166">
        <v>0.03</v>
      </c>
      <c r="AA254" s="167">
        <v>9</v>
      </c>
    </row>
    <row r="255" spans="2:27" x14ac:dyDescent="0.25">
      <c r="B255" s="51">
        <v>0</v>
      </c>
      <c r="C255" s="4" t="s">
        <v>146</v>
      </c>
      <c r="D255" s="142" t="s">
        <v>146</v>
      </c>
      <c r="E255" s="142" t="s">
        <v>146</v>
      </c>
      <c r="F255" s="4" t="s">
        <v>146</v>
      </c>
      <c r="G255" s="143">
        <v>0</v>
      </c>
      <c r="H255" s="4">
        <v>0</v>
      </c>
      <c r="I255" s="143">
        <v>0</v>
      </c>
      <c r="J255" s="144" t="s">
        <v>146</v>
      </c>
      <c r="K255" s="145">
        <v>0</v>
      </c>
      <c r="L255" s="146">
        <v>0</v>
      </c>
      <c r="M255" s="58">
        <v>0</v>
      </c>
      <c r="N255" s="58">
        <v>0</v>
      </c>
      <c r="O255" s="147">
        <v>0</v>
      </c>
      <c r="P255" s="148">
        <v>0</v>
      </c>
      <c r="Q255" s="148">
        <v>0</v>
      </c>
      <c r="R255" s="148">
        <v>0</v>
      </c>
      <c r="S255" s="153">
        <v>0.05</v>
      </c>
      <c r="T255" s="154">
        <v>7.4999999999999997E-3</v>
      </c>
      <c r="U255" s="155">
        <v>3</v>
      </c>
      <c r="V255" s="159">
        <v>7.4999999999999997E-2</v>
      </c>
      <c r="W255" s="160">
        <v>1.4999999999999999E-2</v>
      </c>
      <c r="X255" s="161">
        <v>6</v>
      </c>
      <c r="Y255" s="165">
        <v>0.1</v>
      </c>
      <c r="Z255" s="166">
        <v>0.03</v>
      </c>
      <c r="AA255" s="167">
        <v>9</v>
      </c>
    </row>
    <row r="256" spans="2:27" x14ac:dyDescent="0.25">
      <c r="B256" s="51">
        <v>0</v>
      </c>
      <c r="C256" s="4" t="s">
        <v>146</v>
      </c>
      <c r="D256" s="142" t="s">
        <v>146</v>
      </c>
      <c r="E256" s="142" t="s">
        <v>146</v>
      </c>
      <c r="F256" s="4" t="s">
        <v>146</v>
      </c>
      <c r="G256" s="143">
        <v>0</v>
      </c>
      <c r="H256" s="4">
        <v>0</v>
      </c>
      <c r="I256" s="143">
        <v>0</v>
      </c>
      <c r="J256" s="144" t="s">
        <v>146</v>
      </c>
      <c r="K256" s="145">
        <v>0</v>
      </c>
      <c r="L256" s="146">
        <v>0</v>
      </c>
      <c r="M256" s="58">
        <v>0</v>
      </c>
      <c r="N256" s="58">
        <v>0</v>
      </c>
      <c r="O256" s="147">
        <v>0</v>
      </c>
      <c r="P256" s="148">
        <v>0</v>
      </c>
      <c r="Q256" s="148">
        <v>0</v>
      </c>
      <c r="R256" s="148">
        <v>0</v>
      </c>
      <c r="S256" s="153">
        <v>0.05</v>
      </c>
      <c r="T256" s="154">
        <v>7.4999999999999997E-3</v>
      </c>
      <c r="U256" s="155">
        <v>3</v>
      </c>
      <c r="V256" s="159">
        <v>7.4999999999999997E-2</v>
      </c>
      <c r="W256" s="160">
        <v>1.4999999999999999E-2</v>
      </c>
      <c r="X256" s="161">
        <v>6</v>
      </c>
      <c r="Y256" s="165">
        <v>0.1</v>
      </c>
      <c r="Z256" s="166">
        <v>0.03</v>
      </c>
      <c r="AA256" s="167">
        <v>9</v>
      </c>
    </row>
    <row r="257" spans="2:27" x14ac:dyDescent="0.25">
      <c r="B257" s="51">
        <v>0</v>
      </c>
      <c r="C257" s="4" t="s">
        <v>146</v>
      </c>
      <c r="D257" s="142" t="s">
        <v>146</v>
      </c>
      <c r="E257" s="142" t="s">
        <v>146</v>
      </c>
      <c r="F257" s="4" t="s">
        <v>146</v>
      </c>
      <c r="G257" s="143">
        <v>0</v>
      </c>
      <c r="H257" s="4">
        <v>0</v>
      </c>
      <c r="I257" s="143">
        <v>0</v>
      </c>
      <c r="J257" s="144" t="s">
        <v>146</v>
      </c>
      <c r="K257" s="145">
        <v>0</v>
      </c>
      <c r="L257" s="146">
        <v>0</v>
      </c>
      <c r="M257" s="58">
        <v>0</v>
      </c>
      <c r="N257" s="58">
        <v>0</v>
      </c>
      <c r="O257" s="147">
        <v>0</v>
      </c>
      <c r="P257" s="148">
        <v>0</v>
      </c>
      <c r="Q257" s="148">
        <v>0</v>
      </c>
      <c r="R257" s="148">
        <v>0</v>
      </c>
      <c r="S257" s="153">
        <v>0.05</v>
      </c>
      <c r="T257" s="154">
        <v>7.4999999999999997E-3</v>
      </c>
      <c r="U257" s="155">
        <v>3</v>
      </c>
      <c r="V257" s="159">
        <v>7.4999999999999997E-2</v>
      </c>
      <c r="W257" s="160">
        <v>1.4999999999999999E-2</v>
      </c>
      <c r="X257" s="161">
        <v>6</v>
      </c>
      <c r="Y257" s="165">
        <v>0.1</v>
      </c>
      <c r="Z257" s="166">
        <v>0.03</v>
      </c>
      <c r="AA257" s="167">
        <v>9</v>
      </c>
    </row>
    <row r="258" spans="2:27" x14ac:dyDescent="0.25">
      <c r="B258" s="51">
        <v>0</v>
      </c>
      <c r="C258" s="4" t="s">
        <v>146</v>
      </c>
      <c r="D258" s="142" t="s">
        <v>146</v>
      </c>
      <c r="E258" s="142" t="s">
        <v>146</v>
      </c>
      <c r="F258" s="4" t="s">
        <v>146</v>
      </c>
      <c r="G258" s="143">
        <v>0</v>
      </c>
      <c r="H258" s="4">
        <v>0</v>
      </c>
      <c r="I258" s="143">
        <v>0</v>
      </c>
      <c r="J258" s="144" t="s">
        <v>146</v>
      </c>
      <c r="K258" s="145">
        <v>0</v>
      </c>
      <c r="L258" s="146">
        <v>0</v>
      </c>
      <c r="M258" s="58">
        <v>0</v>
      </c>
      <c r="N258" s="58">
        <v>0</v>
      </c>
      <c r="O258" s="147">
        <v>0</v>
      </c>
      <c r="P258" s="148">
        <v>0</v>
      </c>
      <c r="Q258" s="148">
        <v>0</v>
      </c>
      <c r="R258" s="148">
        <v>0</v>
      </c>
      <c r="S258" s="153">
        <v>0.05</v>
      </c>
      <c r="T258" s="154">
        <v>7.4999999999999997E-3</v>
      </c>
      <c r="U258" s="155">
        <v>3</v>
      </c>
      <c r="V258" s="159">
        <v>7.4999999999999997E-2</v>
      </c>
      <c r="W258" s="160">
        <v>1.4999999999999999E-2</v>
      </c>
      <c r="X258" s="161">
        <v>6</v>
      </c>
      <c r="Y258" s="165">
        <v>0.1</v>
      </c>
      <c r="Z258" s="166">
        <v>0.03</v>
      </c>
      <c r="AA258" s="167">
        <v>9</v>
      </c>
    </row>
    <row r="259" spans="2:27" x14ac:dyDescent="0.25">
      <c r="B259" s="51">
        <v>0</v>
      </c>
      <c r="C259" s="4" t="s">
        <v>146</v>
      </c>
      <c r="D259" s="142" t="s">
        <v>146</v>
      </c>
      <c r="E259" s="142" t="s">
        <v>146</v>
      </c>
      <c r="F259" s="4" t="s">
        <v>146</v>
      </c>
      <c r="G259" s="143">
        <v>0</v>
      </c>
      <c r="H259" s="4">
        <v>0</v>
      </c>
      <c r="I259" s="143">
        <v>0</v>
      </c>
      <c r="J259" s="144" t="s">
        <v>146</v>
      </c>
      <c r="K259" s="145">
        <v>0</v>
      </c>
      <c r="L259" s="146">
        <v>0</v>
      </c>
      <c r="M259" s="58">
        <v>0</v>
      </c>
      <c r="N259" s="58">
        <v>0</v>
      </c>
      <c r="O259" s="147">
        <v>0</v>
      </c>
      <c r="P259" s="148">
        <v>0</v>
      </c>
      <c r="Q259" s="148">
        <v>0</v>
      </c>
      <c r="R259" s="148">
        <v>0</v>
      </c>
      <c r="S259" s="153">
        <v>0.05</v>
      </c>
      <c r="T259" s="154">
        <v>7.4999999999999997E-3</v>
      </c>
      <c r="U259" s="155">
        <v>3</v>
      </c>
      <c r="V259" s="159">
        <v>7.4999999999999997E-2</v>
      </c>
      <c r="W259" s="160">
        <v>1.4999999999999999E-2</v>
      </c>
      <c r="X259" s="161">
        <v>6</v>
      </c>
      <c r="Y259" s="165">
        <v>0.1</v>
      </c>
      <c r="Z259" s="166">
        <v>0.03</v>
      </c>
      <c r="AA259" s="167">
        <v>9</v>
      </c>
    </row>
    <row r="260" spans="2:27" x14ac:dyDescent="0.25">
      <c r="B260" s="51">
        <v>0</v>
      </c>
      <c r="C260" s="4" t="s">
        <v>146</v>
      </c>
      <c r="D260" s="142" t="s">
        <v>146</v>
      </c>
      <c r="E260" s="142" t="s">
        <v>146</v>
      </c>
      <c r="F260" s="4" t="s">
        <v>146</v>
      </c>
      <c r="G260" s="143">
        <v>0</v>
      </c>
      <c r="H260" s="4">
        <v>0</v>
      </c>
      <c r="I260" s="143">
        <v>0</v>
      </c>
      <c r="J260" s="144" t="s">
        <v>146</v>
      </c>
      <c r="K260" s="145">
        <v>0</v>
      </c>
      <c r="L260" s="146">
        <v>0</v>
      </c>
      <c r="M260" s="58">
        <v>0</v>
      </c>
      <c r="N260" s="58">
        <v>0</v>
      </c>
      <c r="O260" s="147">
        <v>0</v>
      </c>
      <c r="P260" s="148">
        <v>0</v>
      </c>
      <c r="Q260" s="148">
        <v>0</v>
      </c>
      <c r="R260" s="148">
        <v>0</v>
      </c>
      <c r="S260" s="153">
        <v>0.05</v>
      </c>
      <c r="T260" s="154">
        <v>7.4999999999999997E-3</v>
      </c>
      <c r="U260" s="155">
        <v>3</v>
      </c>
      <c r="V260" s="159">
        <v>7.4999999999999997E-2</v>
      </c>
      <c r="W260" s="160">
        <v>1.4999999999999999E-2</v>
      </c>
      <c r="X260" s="161">
        <v>6</v>
      </c>
      <c r="Y260" s="165">
        <v>0.1</v>
      </c>
      <c r="Z260" s="166">
        <v>0.03</v>
      </c>
      <c r="AA260" s="167">
        <v>9</v>
      </c>
    </row>
    <row r="261" spans="2:27" x14ac:dyDescent="0.25">
      <c r="B261" s="51">
        <v>0</v>
      </c>
      <c r="C261" s="4" t="s">
        <v>146</v>
      </c>
      <c r="D261" s="142" t="s">
        <v>146</v>
      </c>
      <c r="E261" s="142" t="s">
        <v>146</v>
      </c>
      <c r="F261" s="4" t="s">
        <v>146</v>
      </c>
      <c r="G261" s="143">
        <v>0</v>
      </c>
      <c r="H261" s="4">
        <v>0</v>
      </c>
      <c r="I261" s="143">
        <v>0</v>
      </c>
      <c r="J261" s="144" t="s">
        <v>146</v>
      </c>
      <c r="K261" s="145">
        <v>0</v>
      </c>
      <c r="L261" s="146">
        <v>0</v>
      </c>
      <c r="M261" s="58">
        <v>0</v>
      </c>
      <c r="N261" s="58">
        <v>0</v>
      </c>
      <c r="O261" s="147">
        <v>0</v>
      </c>
      <c r="P261" s="148">
        <v>0</v>
      </c>
      <c r="Q261" s="148">
        <v>0</v>
      </c>
      <c r="R261" s="148">
        <v>0</v>
      </c>
      <c r="S261" s="153">
        <v>0.05</v>
      </c>
      <c r="T261" s="154">
        <v>7.4999999999999997E-3</v>
      </c>
      <c r="U261" s="155">
        <v>3</v>
      </c>
      <c r="V261" s="159">
        <v>7.4999999999999997E-2</v>
      </c>
      <c r="W261" s="160">
        <v>1.4999999999999999E-2</v>
      </c>
      <c r="X261" s="161">
        <v>6</v>
      </c>
      <c r="Y261" s="165">
        <v>0.1</v>
      </c>
      <c r="Z261" s="166">
        <v>0.03</v>
      </c>
      <c r="AA261" s="167">
        <v>9</v>
      </c>
    </row>
    <row r="262" spans="2:27" x14ac:dyDescent="0.25">
      <c r="B262" s="51">
        <v>0</v>
      </c>
      <c r="C262" s="4" t="s">
        <v>146</v>
      </c>
      <c r="D262" s="142" t="s">
        <v>146</v>
      </c>
      <c r="E262" s="142" t="s">
        <v>146</v>
      </c>
      <c r="F262" s="4" t="s">
        <v>146</v>
      </c>
      <c r="G262" s="143">
        <v>0</v>
      </c>
      <c r="H262" s="4">
        <v>0</v>
      </c>
      <c r="I262" s="143">
        <v>0</v>
      </c>
      <c r="J262" s="144" t="s">
        <v>146</v>
      </c>
      <c r="K262" s="145">
        <v>0</v>
      </c>
      <c r="L262" s="146">
        <v>0</v>
      </c>
      <c r="M262" s="58">
        <v>0</v>
      </c>
      <c r="N262" s="58">
        <v>0</v>
      </c>
      <c r="O262" s="147">
        <v>0</v>
      </c>
      <c r="P262" s="148">
        <v>0</v>
      </c>
      <c r="Q262" s="148">
        <v>0</v>
      </c>
      <c r="R262" s="148">
        <v>0</v>
      </c>
      <c r="S262" s="153">
        <v>0.05</v>
      </c>
      <c r="T262" s="154">
        <v>7.4999999999999997E-3</v>
      </c>
      <c r="U262" s="155">
        <v>3</v>
      </c>
      <c r="V262" s="159">
        <v>7.4999999999999997E-2</v>
      </c>
      <c r="W262" s="160">
        <v>1.4999999999999999E-2</v>
      </c>
      <c r="X262" s="161">
        <v>6</v>
      </c>
      <c r="Y262" s="165">
        <v>0.1</v>
      </c>
      <c r="Z262" s="166">
        <v>0.03</v>
      </c>
      <c r="AA262" s="167">
        <v>9</v>
      </c>
    </row>
    <row r="263" spans="2:27" x14ac:dyDescent="0.25">
      <c r="B263" s="51"/>
      <c r="C263" s="4"/>
      <c r="D263" s="142"/>
      <c r="E263" s="142"/>
      <c r="F263" s="4"/>
      <c r="G263" s="143"/>
      <c r="H263" s="4"/>
      <c r="I263" s="143"/>
      <c r="J263" s="144"/>
      <c r="K263" s="145"/>
      <c r="L263" s="146"/>
      <c r="M263" s="58"/>
      <c r="N263" s="58"/>
      <c r="O263" s="147"/>
      <c r="P263" s="148"/>
      <c r="Q263" s="148"/>
      <c r="R263" s="148"/>
      <c r="S263" s="153"/>
      <c r="T263" s="154"/>
      <c r="U263" s="155"/>
      <c r="V263" s="159"/>
      <c r="W263" s="160"/>
      <c r="X263" s="161"/>
      <c r="Y263" s="165"/>
      <c r="Z263" s="166"/>
      <c r="AA263" s="167"/>
    </row>
    <row r="264" spans="2:27" x14ac:dyDescent="0.25">
      <c r="B264" s="51"/>
      <c r="C264" s="4"/>
      <c r="D264" s="142"/>
      <c r="E264" s="142"/>
      <c r="F264" s="4"/>
      <c r="G264" s="143"/>
      <c r="H264" s="4"/>
      <c r="I264" s="143"/>
      <c r="J264" s="144"/>
      <c r="K264" s="145"/>
      <c r="L264" s="146"/>
      <c r="M264" s="58"/>
      <c r="N264" s="58"/>
      <c r="O264" s="147"/>
      <c r="P264" s="148"/>
      <c r="Q264" s="148"/>
      <c r="R264" s="148"/>
      <c r="S264" s="153"/>
      <c r="T264" s="154"/>
      <c r="U264" s="155"/>
      <c r="V264" s="159"/>
      <c r="W264" s="160"/>
      <c r="X264" s="161"/>
      <c r="Y264" s="165"/>
      <c r="Z264" s="166"/>
      <c r="AA264" s="167"/>
    </row>
    <row r="265" spans="2:27" x14ac:dyDescent="0.25">
      <c r="B265" s="51"/>
      <c r="C265" s="4"/>
      <c r="D265" s="142"/>
      <c r="E265" s="142"/>
      <c r="F265" s="4"/>
      <c r="G265" s="143"/>
      <c r="H265" s="4"/>
      <c r="I265" s="143"/>
      <c r="J265" s="144"/>
      <c r="K265" s="145"/>
      <c r="L265" s="146"/>
      <c r="M265" s="58"/>
      <c r="N265" s="58"/>
      <c r="O265" s="147"/>
      <c r="P265" s="148"/>
      <c r="Q265" s="148"/>
      <c r="R265" s="148"/>
      <c r="S265" s="153"/>
      <c r="T265" s="154"/>
      <c r="U265" s="155"/>
      <c r="V265" s="159"/>
      <c r="W265" s="160"/>
      <c r="X265" s="161"/>
      <c r="Y265" s="165"/>
      <c r="Z265" s="166"/>
      <c r="AA265" s="167"/>
    </row>
    <row r="266" spans="2:27" x14ac:dyDescent="0.25">
      <c r="B266" s="51"/>
      <c r="C266" s="4"/>
      <c r="D266" s="142"/>
      <c r="E266" s="142"/>
      <c r="F266" s="4"/>
      <c r="G266" s="143"/>
      <c r="H266" s="4"/>
      <c r="I266" s="143"/>
      <c r="J266" s="144"/>
      <c r="K266" s="145"/>
      <c r="L266" s="146"/>
      <c r="M266" s="58"/>
      <c r="N266" s="58"/>
      <c r="O266" s="147"/>
      <c r="P266" s="148"/>
      <c r="Q266" s="148"/>
      <c r="R266" s="148"/>
      <c r="S266" s="153"/>
      <c r="T266" s="154"/>
      <c r="U266" s="155"/>
      <c r="V266" s="159"/>
      <c r="W266" s="160"/>
      <c r="X266" s="161"/>
      <c r="Y266" s="165"/>
      <c r="Z266" s="166"/>
      <c r="AA266" s="167"/>
    </row>
    <row r="267" spans="2:27" x14ac:dyDescent="0.25">
      <c r="B267" s="51"/>
      <c r="C267" s="4"/>
      <c r="D267" s="142"/>
      <c r="E267" s="142"/>
      <c r="F267" s="4"/>
      <c r="G267" s="143"/>
      <c r="H267" s="4"/>
      <c r="I267" s="143"/>
      <c r="J267" s="144"/>
      <c r="K267" s="145"/>
      <c r="L267" s="146"/>
      <c r="M267" s="58"/>
      <c r="N267" s="58"/>
      <c r="O267" s="147"/>
      <c r="P267" s="148"/>
      <c r="Q267" s="148"/>
      <c r="R267" s="148"/>
      <c r="S267" s="153"/>
      <c r="T267" s="154"/>
      <c r="U267" s="155"/>
      <c r="V267" s="159"/>
      <c r="W267" s="160"/>
      <c r="X267" s="161"/>
      <c r="Y267" s="165"/>
      <c r="Z267" s="166"/>
      <c r="AA267" s="167"/>
    </row>
    <row r="1000" spans="2:27" x14ac:dyDescent="0.25">
      <c r="B1000" s="2" t="s">
        <v>207</v>
      </c>
      <c r="C1000" s="2" t="s">
        <v>207</v>
      </c>
      <c r="D1000" s="2" t="s">
        <v>207</v>
      </c>
      <c r="E1000" s="2" t="s">
        <v>207</v>
      </c>
      <c r="F1000" s="2" t="s">
        <v>207</v>
      </c>
      <c r="G1000" s="2" t="s">
        <v>207</v>
      </c>
      <c r="H1000" s="2" t="s">
        <v>207</v>
      </c>
      <c r="I1000" s="2" t="s">
        <v>207</v>
      </c>
      <c r="J1000" s="2" t="s">
        <v>207</v>
      </c>
      <c r="K1000" s="2" t="s">
        <v>207</v>
      </c>
      <c r="L1000" s="2" t="s">
        <v>207</v>
      </c>
      <c r="M1000" s="2" t="s">
        <v>207</v>
      </c>
      <c r="N1000" s="2" t="s">
        <v>207</v>
      </c>
      <c r="O1000" s="2" t="s">
        <v>207</v>
      </c>
      <c r="P1000" s="2" t="s">
        <v>207</v>
      </c>
      <c r="Q1000" s="2" t="s">
        <v>207</v>
      </c>
      <c r="R1000" s="2" t="s">
        <v>207</v>
      </c>
      <c r="S1000" s="2" t="s">
        <v>207</v>
      </c>
      <c r="T1000" s="2" t="s">
        <v>207</v>
      </c>
      <c r="U1000" s="2" t="s">
        <v>207</v>
      </c>
      <c r="V1000" s="2" t="s">
        <v>207</v>
      </c>
      <c r="W1000" s="2" t="s">
        <v>207</v>
      </c>
      <c r="X1000" s="2" t="s">
        <v>207</v>
      </c>
      <c r="Y1000" s="2" t="s">
        <v>207</v>
      </c>
      <c r="Z1000" s="2" t="s">
        <v>207</v>
      </c>
      <c r="AA1000" s="2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B1:AA1000"/>
  <sheetViews>
    <sheetView topLeftCell="A7" workbookViewId="0">
      <selection activeCell="B7" sqref="B7:AA1000"/>
    </sheetView>
  </sheetViews>
  <sheetFormatPr defaultColWidth="9.140625" defaultRowHeight="15" x14ac:dyDescent="0.25"/>
  <cols>
    <col min="1" max="1" width="4" style="765" customWidth="1"/>
    <col min="2" max="2" width="11" style="765" bestFit="1" customWidth="1"/>
    <col min="3" max="3" width="26.140625" style="765" customWidth="1"/>
    <col min="4" max="6" width="9.140625" style="765"/>
    <col min="7" max="7" width="12.85546875" style="765" bestFit="1" customWidth="1"/>
    <col min="8" max="8" width="9.140625" style="765"/>
    <col min="9" max="9" width="15.85546875" style="765" customWidth="1"/>
    <col min="10" max="10" width="12.42578125" style="765" bestFit="1" customWidth="1"/>
    <col min="11" max="20" width="9.140625" style="765"/>
    <col min="21" max="21" width="9.85546875" style="765" customWidth="1"/>
    <col min="22" max="23" width="9.140625" style="765"/>
    <col min="24" max="24" width="10.5703125" style="765" customWidth="1"/>
    <col min="25" max="25" width="10" style="765" customWidth="1"/>
    <col min="26" max="26" width="9.85546875" style="765" customWidth="1"/>
    <col min="27" max="27" width="10" style="765" customWidth="1"/>
    <col min="28" max="16384" width="9.140625" style="765"/>
  </cols>
  <sheetData>
    <row r="1" spans="2:27" x14ac:dyDescent="0.25">
      <c r="B1" s="129" t="s">
        <v>76</v>
      </c>
      <c r="C1" s="10">
        <f ca="1">TODAY()</f>
        <v>44654</v>
      </c>
    </row>
    <row r="5" spans="2:27" x14ac:dyDescent="0.25">
      <c r="L5" s="1301" t="s">
        <v>167</v>
      </c>
      <c r="M5" s="1225"/>
      <c r="N5" s="1225"/>
      <c r="O5" s="1226"/>
      <c r="P5" s="1301" t="s">
        <v>168</v>
      </c>
      <c r="Q5" s="1225"/>
      <c r="R5" s="1225"/>
      <c r="S5" s="1301" t="s">
        <v>169</v>
      </c>
      <c r="T5" s="1225"/>
      <c r="U5" s="1225"/>
      <c r="V5" s="1301" t="s">
        <v>170</v>
      </c>
      <c r="W5" s="1225"/>
      <c r="X5" s="1225"/>
      <c r="Y5" s="1301" t="s">
        <v>170</v>
      </c>
      <c r="Z5" s="1225"/>
      <c r="AA5" s="1225"/>
    </row>
    <row r="6" spans="2:27" x14ac:dyDescent="0.25">
      <c r="B6" s="130" t="s">
        <v>130</v>
      </c>
      <c r="C6" s="131" t="s">
        <v>171</v>
      </c>
      <c r="D6" s="131" t="s">
        <v>172</v>
      </c>
      <c r="E6" s="131" t="s">
        <v>173</v>
      </c>
      <c r="F6" s="131" t="s">
        <v>174</v>
      </c>
      <c r="G6" s="131" t="s">
        <v>175</v>
      </c>
      <c r="H6" s="131" t="s">
        <v>176</v>
      </c>
      <c r="I6" s="131" t="s">
        <v>177</v>
      </c>
      <c r="J6" s="131" t="s">
        <v>178</v>
      </c>
      <c r="K6" s="131" t="s">
        <v>179</v>
      </c>
      <c r="L6" s="131" t="s">
        <v>180</v>
      </c>
      <c r="M6" s="131" t="s">
        <v>181</v>
      </c>
      <c r="N6" s="131" t="s">
        <v>182</v>
      </c>
      <c r="O6" s="131" t="s">
        <v>183</v>
      </c>
      <c r="P6" s="131" t="s">
        <v>184</v>
      </c>
      <c r="Q6" s="131" t="s">
        <v>185</v>
      </c>
      <c r="R6" s="131" t="s">
        <v>186</v>
      </c>
      <c r="S6" s="131" t="s">
        <v>25</v>
      </c>
      <c r="T6" s="131" t="s">
        <v>187</v>
      </c>
      <c r="U6" s="131" t="s">
        <v>188</v>
      </c>
      <c r="V6" s="131" t="s">
        <v>25</v>
      </c>
      <c r="W6" s="131" t="s">
        <v>187</v>
      </c>
      <c r="X6" s="132" t="s">
        <v>188</v>
      </c>
      <c r="Y6" s="130" t="s">
        <v>25</v>
      </c>
      <c r="Z6" s="131" t="s">
        <v>187</v>
      </c>
      <c r="AA6" s="132" t="s">
        <v>188</v>
      </c>
    </row>
    <row r="7" spans="2:27" x14ac:dyDescent="0.25">
      <c r="B7" s="77" t="s">
        <v>1862</v>
      </c>
      <c r="C7" s="133" t="s">
        <v>4155</v>
      </c>
      <c r="D7" s="134" t="e">
        <v>#VALUE!</v>
      </c>
      <c r="E7" s="134" t="e">
        <v>#VALUE!</v>
      </c>
      <c r="F7" s="133" t="s">
        <v>592</v>
      </c>
      <c r="G7" s="135">
        <v>6000000</v>
      </c>
      <c r="H7" s="133">
        <v>6</v>
      </c>
      <c r="I7" s="135">
        <v>1052.1791000000001</v>
      </c>
      <c r="J7" s="136">
        <v>2.7461032779337571</v>
      </c>
      <c r="K7" s="137">
        <v>8.654989644807539E-3</v>
      </c>
      <c r="L7" s="138">
        <v>1</v>
      </c>
      <c r="M7" s="139">
        <v>1</v>
      </c>
      <c r="N7" s="139">
        <v>1</v>
      </c>
      <c r="O7" s="140">
        <v>1</v>
      </c>
      <c r="P7" s="141">
        <v>5.9708282042378004E-3</v>
      </c>
      <c r="Q7" s="141">
        <v>3.9676037105123001E-3</v>
      </c>
      <c r="R7" s="141">
        <v>2.4226293415594E-3</v>
      </c>
      <c r="S7" s="150">
        <v>0.05</v>
      </c>
      <c r="T7" s="151">
        <v>1.4999999999999999E-2</v>
      </c>
      <c r="U7" s="152">
        <v>5</v>
      </c>
      <c r="V7" s="156">
        <v>7.4999999999999997E-2</v>
      </c>
      <c r="W7" s="157">
        <v>0.03</v>
      </c>
      <c r="X7" s="158">
        <v>10</v>
      </c>
      <c r="Y7" s="162">
        <v>0.1</v>
      </c>
      <c r="Z7" s="163">
        <v>0.06</v>
      </c>
      <c r="AA7" s="164">
        <v>15</v>
      </c>
    </row>
    <row r="8" spans="2:27" x14ac:dyDescent="0.25">
      <c r="B8" s="51" t="s">
        <v>3641</v>
      </c>
      <c r="C8" s="4" t="s">
        <v>4156</v>
      </c>
      <c r="D8" s="142" t="e">
        <v>#VALUE!</v>
      </c>
      <c r="E8" s="142" t="e">
        <v>#VALUE!</v>
      </c>
      <c r="F8" s="4" t="s">
        <v>592</v>
      </c>
      <c r="G8" s="143">
        <v>20000000</v>
      </c>
      <c r="H8" s="4">
        <v>6</v>
      </c>
      <c r="I8" s="143">
        <v>10530.136</v>
      </c>
      <c r="J8" s="144">
        <v>3.0921946439307413</v>
      </c>
      <c r="K8" s="145">
        <v>1.1428466822844874E-2</v>
      </c>
      <c r="L8" s="146">
        <v>1</v>
      </c>
      <c r="M8" s="58">
        <v>1</v>
      </c>
      <c r="N8" s="58">
        <v>1</v>
      </c>
      <c r="O8" s="147">
        <v>1</v>
      </c>
      <c r="P8" s="148">
        <v>6.9910655007294998E-3</v>
      </c>
      <c r="Q8" s="148">
        <v>4.8027550960588004E-3</v>
      </c>
      <c r="R8" s="148">
        <v>3.1150343752316002E-3</v>
      </c>
      <c r="S8" s="153">
        <v>6.25E-2</v>
      </c>
      <c r="T8" s="154">
        <v>0.02</v>
      </c>
      <c r="U8" s="155">
        <v>5</v>
      </c>
      <c r="V8" s="159">
        <v>0.1</v>
      </c>
      <c r="W8" s="160">
        <v>0.04</v>
      </c>
      <c r="X8" s="161">
        <v>10</v>
      </c>
      <c r="Y8" s="165">
        <v>0.125</v>
      </c>
      <c r="Z8" s="166">
        <v>0.08</v>
      </c>
      <c r="AA8" s="167">
        <v>15</v>
      </c>
    </row>
    <row r="9" spans="2:27" x14ac:dyDescent="0.25">
      <c r="B9" s="51" t="s">
        <v>3628</v>
      </c>
      <c r="C9" s="4" t="s">
        <v>4157</v>
      </c>
      <c r="D9" s="142" t="e">
        <v>#VALUE!</v>
      </c>
      <c r="E9" s="142" t="e">
        <v>#VALUE!</v>
      </c>
      <c r="F9" s="4" t="s">
        <v>592</v>
      </c>
      <c r="G9" s="143">
        <v>500000</v>
      </c>
      <c r="H9" s="4">
        <v>3</v>
      </c>
      <c r="I9" s="143">
        <v>1006.61215307</v>
      </c>
      <c r="J9" s="144">
        <v>1.5834167058008726</v>
      </c>
      <c r="K9" s="145">
        <v>1.7516974493681493E-2</v>
      </c>
      <c r="L9" s="146">
        <v>1</v>
      </c>
      <c r="M9" s="58">
        <v>1</v>
      </c>
      <c r="N9" s="58">
        <v>1</v>
      </c>
      <c r="O9" s="147">
        <v>1</v>
      </c>
      <c r="P9" s="148">
        <v>5.3935862915294999E-3</v>
      </c>
      <c r="Q9" s="148">
        <v>3.2744428520502002E-3</v>
      </c>
      <c r="R9" s="148">
        <v>1.6400667207753E-3</v>
      </c>
      <c r="S9" s="153">
        <v>8.758487246840746E-2</v>
      </c>
      <c r="T9" s="154">
        <v>0.03</v>
      </c>
      <c r="U9" s="155">
        <v>5</v>
      </c>
      <c r="V9" s="159">
        <v>0.14013579594945194</v>
      </c>
      <c r="W9" s="160">
        <v>0.06</v>
      </c>
      <c r="X9" s="161">
        <v>10</v>
      </c>
      <c r="Y9" s="165">
        <v>0.17516974493681492</v>
      </c>
      <c r="Z9" s="166">
        <v>0.12</v>
      </c>
      <c r="AA9" s="167">
        <v>15</v>
      </c>
    </row>
    <row r="10" spans="2:27" x14ac:dyDescent="0.25">
      <c r="B10" s="51" t="s">
        <v>1673</v>
      </c>
      <c r="C10" s="4" t="s">
        <v>4158</v>
      </c>
      <c r="D10" s="142" t="e">
        <v>#VALUE!</v>
      </c>
      <c r="E10" s="142" t="e">
        <v>#VALUE!</v>
      </c>
      <c r="F10" s="4" t="s">
        <v>592</v>
      </c>
      <c r="G10" s="143">
        <v>10391293.27</v>
      </c>
      <c r="H10" s="4">
        <v>6</v>
      </c>
      <c r="I10" s="143">
        <v>1001.3376500000001</v>
      </c>
      <c r="J10" s="144">
        <v>3.050351963517413</v>
      </c>
      <c r="K10" s="145">
        <v>2.2055001449293606E-3</v>
      </c>
      <c r="L10" s="146">
        <v>3</v>
      </c>
      <c r="M10" s="58">
        <v>3</v>
      </c>
      <c r="N10" s="58">
        <v>1</v>
      </c>
      <c r="O10" s="147">
        <v>1</v>
      </c>
      <c r="P10" s="148">
        <v>1.3965709686733999E-2</v>
      </c>
      <c r="Q10" s="148">
        <v>1.0376902589975E-2</v>
      </c>
      <c r="R10" s="148">
        <v>7.6090575496529003E-3</v>
      </c>
      <c r="S10" s="153">
        <v>0.05</v>
      </c>
      <c r="T10" s="154">
        <v>1.4999999999999999E-2</v>
      </c>
      <c r="U10" s="155">
        <v>5</v>
      </c>
      <c r="V10" s="159">
        <v>7.4999999999999997E-2</v>
      </c>
      <c r="W10" s="160">
        <v>0.03</v>
      </c>
      <c r="X10" s="161">
        <v>10</v>
      </c>
      <c r="Y10" s="165">
        <v>0.1</v>
      </c>
      <c r="Z10" s="166">
        <v>0.06</v>
      </c>
      <c r="AA10" s="167">
        <v>15</v>
      </c>
    </row>
    <row r="11" spans="2:27" x14ac:dyDescent="0.25">
      <c r="B11" s="51" t="s">
        <v>1676</v>
      </c>
      <c r="C11" s="4" t="s">
        <v>4159</v>
      </c>
      <c r="D11" s="142" t="e">
        <v>#VALUE!</v>
      </c>
      <c r="E11" s="142" t="e">
        <v>#VALUE!</v>
      </c>
      <c r="F11" s="4" t="s">
        <v>592</v>
      </c>
      <c r="G11" s="143">
        <v>1133709.7220000001</v>
      </c>
      <c r="H11" s="4">
        <v>5</v>
      </c>
      <c r="I11" s="143">
        <v>1001.28436</v>
      </c>
      <c r="J11" s="144">
        <v>2.1996682491070163</v>
      </c>
      <c r="K11" s="145">
        <v>2.2055001449293606E-3</v>
      </c>
      <c r="L11" s="146">
        <v>1</v>
      </c>
      <c r="M11" s="58">
        <v>1</v>
      </c>
      <c r="N11" s="58">
        <v>1</v>
      </c>
      <c r="O11" s="147">
        <v>1</v>
      </c>
      <c r="P11" s="148">
        <v>1.1575017627626E-2</v>
      </c>
      <c r="Q11" s="148">
        <v>8.4185848259110997E-3</v>
      </c>
      <c r="R11" s="148">
        <v>5.9842057579401996E-3</v>
      </c>
      <c r="S11" s="153">
        <v>0.05</v>
      </c>
      <c r="T11" s="154">
        <v>1.4999999999999999E-2</v>
      </c>
      <c r="U11" s="155">
        <v>5</v>
      </c>
      <c r="V11" s="159">
        <v>7.4999999999999997E-2</v>
      </c>
      <c r="W11" s="160">
        <v>0.03</v>
      </c>
      <c r="X11" s="161">
        <v>10</v>
      </c>
      <c r="Y11" s="165">
        <v>0.1</v>
      </c>
      <c r="Z11" s="166">
        <v>0.06</v>
      </c>
      <c r="AA11" s="167">
        <v>15</v>
      </c>
    </row>
    <row r="12" spans="2:27" x14ac:dyDescent="0.25">
      <c r="B12" s="51" t="s">
        <v>1678</v>
      </c>
      <c r="C12" s="4" t="s">
        <v>4160</v>
      </c>
      <c r="D12" s="142" t="e">
        <v>#VALUE!</v>
      </c>
      <c r="E12" s="142" t="e">
        <v>#VALUE!</v>
      </c>
      <c r="F12" s="4" t="s">
        <v>592</v>
      </c>
      <c r="G12" s="143">
        <v>2250279.1239999998</v>
      </c>
      <c r="H12" s="4">
        <v>6</v>
      </c>
      <c r="I12" s="143">
        <v>1001.23004</v>
      </c>
      <c r="J12" s="144">
        <v>2.8095129675391002</v>
      </c>
      <c r="K12" s="145">
        <v>2.2055001449293606E-3</v>
      </c>
      <c r="L12" s="146">
        <v>1</v>
      </c>
      <c r="M12" s="58">
        <v>1</v>
      </c>
      <c r="N12" s="58">
        <v>1</v>
      </c>
      <c r="O12" s="147">
        <v>1</v>
      </c>
      <c r="P12" s="148">
        <v>6.7132739920920002E-3</v>
      </c>
      <c r="Q12" s="148">
        <v>4.5096896762820997E-3</v>
      </c>
      <c r="R12" s="148">
        <v>2.8101890469635002E-3</v>
      </c>
      <c r="S12" s="153">
        <v>6.25E-2</v>
      </c>
      <c r="T12" s="154">
        <v>0.02</v>
      </c>
      <c r="U12" s="155">
        <v>5</v>
      </c>
      <c r="V12" s="159">
        <v>0.1</v>
      </c>
      <c r="W12" s="160">
        <v>0.04</v>
      </c>
      <c r="X12" s="161">
        <v>10</v>
      </c>
      <c r="Y12" s="165">
        <v>0.125</v>
      </c>
      <c r="Z12" s="166">
        <v>0.08</v>
      </c>
      <c r="AA12" s="167">
        <v>15</v>
      </c>
    </row>
    <row r="13" spans="2:27" x14ac:dyDescent="0.25">
      <c r="B13" s="51" t="s">
        <v>2049</v>
      </c>
      <c r="C13" s="4" t="s">
        <v>4161</v>
      </c>
      <c r="D13" s="142" t="e">
        <v>#VALUE!</v>
      </c>
      <c r="E13" s="142" t="e">
        <v>#VALUE!</v>
      </c>
      <c r="F13" s="4" t="s">
        <v>592</v>
      </c>
      <c r="G13" s="143">
        <v>265400.81719999999</v>
      </c>
      <c r="H13" s="4">
        <v>5</v>
      </c>
      <c r="I13" s="143">
        <v>1024.3860999999999</v>
      </c>
      <c r="J13" s="144">
        <v>2.3996269302980107</v>
      </c>
      <c r="K13" s="145">
        <v>3.9350225383846882E-3</v>
      </c>
      <c r="L13" s="146">
        <v>1</v>
      </c>
      <c r="M13" s="58">
        <v>1</v>
      </c>
      <c r="N13" s="58">
        <v>1</v>
      </c>
      <c r="O13" s="147">
        <v>1</v>
      </c>
      <c r="P13" s="148">
        <v>1.650259334624E-3</v>
      </c>
      <c r="Q13" s="148">
        <v>7.3160716705325003E-4</v>
      </c>
      <c r="R13" s="148">
        <v>1E-4</v>
      </c>
      <c r="S13" s="153">
        <v>6.25E-2</v>
      </c>
      <c r="T13" s="154">
        <v>0.02</v>
      </c>
      <c r="U13" s="155">
        <v>5</v>
      </c>
      <c r="V13" s="159">
        <v>0.1</v>
      </c>
      <c r="W13" s="160">
        <v>0.04</v>
      </c>
      <c r="X13" s="161">
        <v>10</v>
      </c>
      <c r="Y13" s="165">
        <v>0.125</v>
      </c>
      <c r="Z13" s="166">
        <v>0.08</v>
      </c>
      <c r="AA13" s="167">
        <v>15</v>
      </c>
    </row>
    <row r="14" spans="2:27" x14ac:dyDescent="0.25">
      <c r="B14" s="51" t="s">
        <v>2048</v>
      </c>
      <c r="C14" s="4" t="s">
        <v>4162</v>
      </c>
      <c r="D14" s="142" t="e">
        <v>#VALUE!</v>
      </c>
      <c r="E14" s="142" t="e">
        <v>#VALUE!</v>
      </c>
      <c r="F14" s="4" t="s">
        <v>592</v>
      </c>
      <c r="G14" s="143">
        <v>350885.72499999998</v>
      </c>
      <c r="H14" s="4">
        <v>4</v>
      </c>
      <c r="I14" s="143">
        <v>1030.3188</v>
      </c>
      <c r="J14" s="144">
        <v>2.093017122548527</v>
      </c>
      <c r="K14" s="145">
        <v>3.9350225383846882E-3</v>
      </c>
      <c r="L14" s="146">
        <v>1</v>
      </c>
      <c r="M14" s="58">
        <v>1</v>
      </c>
      <c r="N14" s="58">
        <v>1</v>
      </c>
      <c r="O14" s="147">
        <v>1</v>
      </c>
      <c r="P14" s="148">
        <v>3.8558518215699002E-3</v>
      </c>
      <c r="Q14" s="148">
        <v>2.3480588994292998E-3</v>
      </c>
      <c r="R14" s="148">
        <v>1.1851830331985999E-3</v>
      </c>
      <c r="S14" s="153">
        <v>7.4999999999999997E-2</v>
      </c>
      <c r="T14" s="154">
        <v>0.03</v>
      </c>
      <c r="U14" s="155">
        <v>5</v>
      </c>
      <c r="V14" s="159">
        <v>0.125</v>
      </c>
      <c r="W14" s="160">
        <v>0.06</v>
      </c>
      <c r="X14" s="161">
        <v>10</v>
      </c>
      <c r="Y14" s="165">
        <v>0.15</v>
      </c>
      <c r="Z14" s="166">
        <v>0.12</v>
      </c>
      <c r="AA14" s="167">
        <v>15</v>
      </c>
    </row>
    <row r="15" spans="2:27" x14ac:dyDescent="0.25">
      <c r="B15" s="51" t="s">
        <v>2034</v>
      </c>
      <c r="C15" s="4" t="s">
        <v>4163</v>
      </c>
      <c r="D15" s="142" t="e">
        <v>#VALUE!</v>
      </c>
      <c r="E15" s="142" t="e">
        <v>#VALUE!</v>
      </c>
      <c r="F15" s="4" t="s">
        <v>592</v>
      </c>
      <c r="G15" s="143">
        <v>3281228.8309999998</v>
      </c>
      <c r="H15" s="4">
        <v>6</v>
      </c>
      <c r="I15" s="143">
        <v>1012.9703</v>
      </c>
      <c r="J15" s="144">
        <v>2.8223916892768179</v>
      </c>
      <c r="K15" s="145">
        <v>3.9350225383846882E-3</v>
      </c>
      <c r="L15" s="146">
        <v>1</v>
      </c>
      <c r="M15" s="58">
        <v>1</v>
      </c>
      <c r="N15" s="58">
        <v>1</v>
      </c>
      <c r="O15" s="147">
        <v>1</v>
      </c>
      <c r="P15" s="148">
        <v>5.7098744642379998E-3</v>
      </c>
      <c r="Q15" s="148">
        <v>3.7356235940404002E-3</v>
      </c>
      <c r="R15" s="148">
        <v>2.2129949511238999E-3</v>
      </c>
      <c r="S15" s="153">
        <v>0.05</v>
      </c>
      <c r="T15" s="154">
        <v>1.4999999999999999E-2</v>
      </c>
      <c r="U15" s="155">
        <v>5</v>
      </c>
      <c r="V15" s="159">
        <v>7.4999999999999997E-2</v>
      </c>
      <c r="W15" s="160">
        <v>0.03</v>
      </c>
      <c r="X15" s="161">
        <v>10</v>
      </c>
      <c r="Y15" s="165">
        <v>0.1</v>
      </c>
      <c r="Z15" s="166">
        <v>0.06</v>
      </c>
      <c r="AA15" s="167">
        <v>15</v>
      </c>
    </row>
    <row r="16" spans="2:27" x14ac:dyDescent="0.25">
      <c r="B16" s="51" t="s">
        <v>2037</v>
      </c>
      <c r="C16" s="4" t="s">
        <v>4164</v>
      </c>
      <c r="D16" s="142" t="e">
        <v>#VALUE!</v>
      </c>
      <c r="E16" s="142" t="e">
        <v>#VALUE!</v>
      </c>
      <c r="F16" s="4" t="s">
        <v>592</v>
      </c>
      <c r="G16" s="143">
        <v>905543.61250000005</v>
      </c>
      <c r="H16" s="4">
        <v>5</v>
      </c>
      <c r="I16" s="143">
        <v>1019.81976</v>
      </c>
      <c r="J16" s="144">
        <v>2.2443798578802077</v>
      </c>
      <c r="K16" s="145">
        <v>3.9350225383846882E-3</v>
      </c>
      <c r="L16" s="146">
        <v>1</v>
      </c>
      <c r="M16" s="58">
        <v>1</v>
      </c>
      <c r="N16" s="58">
        <v>1</v>
      </c>
      <c r="O16" s="147">
        <v>1</v>
      </c>
      <c r="P16" s="148">
        <v>6.0042546635506004E-3</v>
      </c>
      <c r="Q16" s="148">
        <v>3.9797999735958003E-3</v>
      </c>
      <c r="R16" s="148">
        <v>2.4184519485076E-3</v>
      </c>
      <c r="S16" s="153">
        <v>0.05</v>
      </c>
      <c r="T16" s="154">
        <v>1.4999999999999999E-2</v>
      </c>
      <c r="U16" s="155">
        <v>5</v>
      </c>
      <c r="V16" s="159">
        <v>7.4999999999999997E-2</v>
      </c>
      <c r="W16" s="160">
        <v>0.03</v>
      </c>
      <c r="X16" s="161">
        <v>10</v>
      </c>
      <c r="Y16" s="165">
        <v>0.1</v>
      </c>
      <c r="Z16" s="166">
        <v>0.06</v>
      </c>
      <c r="AA16" s="167">
        <v>15</v>
      </c>
    </row>
    <row r="17" spans="2:27" x14ac:dyDescent="0.25">
      <c r="B17" s="51" t="s">
        <v>2544</v>
      </c>
      <c r="C17" s="4" t="s">
        <v>4165</v>
      </c>
      <c r="D17" s="142" t="e">
        <v>#VALUE!</v>
      </c>
      <c r="E17" s="142" t="e">
        <v>#VALUE!</v>
      </c>
      <c r="F17" s="4" t="s">
        <v>592</v>
      </c>
      <c r="G17" s="143">
        <v>3324745.727</v>
      </c>
      <c r="H17" s="4">
        <v>6</v>
      </c>
      <c r="I17" s="143">
        <v>138972</v>
      </c>
      <c r="J17" s="144">
        <v>3.0579078438432146</v>
      </c>
      <c r="K17" s="145">
        <v>2.2055001449293606E-3</v>
      </c>
      <c r="L17" s="146">
        <v>1</v>
      </c>
      <c r="M17" s="58">
        <v>1</v>
      </c>
      <c r="N17" s="58">
        <v>1</v>
      </c>
      <c r="O17" s="147">
        <v>1</v>
      </c>
      <c r="P17" s="148">
        <v>5.8845717510917998E-3</v>
      </c>
      <c r="Q17" s="148">
        <v>3.8685216382049002E-3</v>
      </c>
      <c r="R17" s="148">
        <v>2.3136555906447002E-3</v>
      </c>
      <c r="S17" s="153">
        <v>0.05</v>
      </c>
      <c r="T17" s="154">
        <v>1.4999999999999999E-2</v>
      </c>
      <c r="U17" s="155">
        <v>5</v>
      </c>
      <c r="V17" s="159">
        <v>7.4999999999999997E-2</v>
      </c>
      <c r="W17" s="160">
        <v>0.03</v>
      </c>
      <c r="X17" s="161">
        <v>10</v>
      </c>
      <c r="Y17" s="165">
        <v>0.1</v>
      </c>
      <c r="Z17" s="166">
        <v>0.06</v>
      </c>
      <c r="AA17" s="167">
        <v>15</v>
      </c>
    </row>
    <row r="18" spans="2:27" x14ac:dyDescent="0.25">
      <c r="B18" s="51" t="s">
        <v>2543</v>
      </c>
      <c r="C18" s="4" t="s">
        <v>4166</v>
      </c>
      <c r="D18" s="142" t="e">
        <v>#VALUE!</v>
      </c>
      <c r="E18" s="142" t="e">
        <v>#VALUE!</v>
      </c>
      <c r="F18" s="4" t="s">
        <v>592</v>
      </c>
      <c r="G18" s="143">
        <v>579080.6557</v>
      </c>
      <c r="H18" s="4">
        <v>6</v>
      </c>
      <c r="I18" s="143">
        <v>1004.1994999999999</v>
      </c>
      <c r="J18" s="144">
        <v>3.0272248929172068</v>
      </c>
      <c r="K18" s="145">
        <v>2.2055001449293606E-3</v>
      </c>
      <c r="L18" s="146">
        <v>1</v>
      </c>
      <c r="M18" s="58">
        <v>1</v>
      </c>
      <c r="N18" s="58">
        <v>1</v>
      </c>
      <c r="O18" s="147">
        <v>1</v>
      </c>
      <c r="P18" s="148">
        <v>1.3793771966592E-3</v>
      </c>
      <c r="Q18" s="148">
        <v>5.0807638931591999E-4</v>
      </c>
      <c r="R18" s="148">
        <v>1E-4</v>
      </c>
      <c r="S18" s="153">
        <v>0.05</v>
      </c>
      <c r="T18" s="154">
        <v>1.4999999999999999E-2</v>
      </c>
      <c r="U18" s="155">
        <v>5</v>
      </c>
      <c r="V18" s="159">
        <v>7.4999999999999997E-2</v>
      </c>
      <c r="W18" s="160">
        <v>0.03</v>
      </c>
      <c r="X18" s="161">
        <v>10</v>
      </c>
      <c r="Y18" s="165">
        <v>0.1</v>
      </c>
      <c r="Z18" s="166">
        <v>0.06</v>
      </c>
      <c r="AA18" s="167">
        <v>15</v>
      </c>
    </row>
    <row r="19" spans="2:27" x14ac:dyDescent="0.25">
      <c r="B19" s="51" t="s">
        <v>2542</v>
      </c>
      <c r="C19" s="4" t="s">
        <v>4167</v>
      </c>
      <c r="D19" s="142" t="e">
        <v>#VALUE!</v>
      </c>
      <c r="E19" s="142" t="e">
        <v>#VALUE!</v>
      </c>
      <c r="F19" s="4" t="s">
        <v>592</v>
      </c>
      <c r="G19" s="143">
        <v>552514.23809999996</v>
      </c>
      <c r="H19" s="4">
        <v>5</v>
      </c>
      <c r="I19" s="143">
        <v>1003.4345</v>
      </c>
      <c r="J19" s="144">
        <v>2.1625119973779876</v>
      </c>
      <c r="K19" s="145">
        <v>2.2055001449293606E-3</v>
      </c>
      <c r="L19" s="146">
        <v>1</v>
      </c>
      <c r="M19" s="58">
        <v>1</v>
      </c>
      <c r="N19" s="58">
        <v>1</v>
      </c>
      <c r="O19" s="147">
        <v>1</v>
      </c>
      <c r="P19" s="148">
        <v>7.2352516055739996E-3</v>
      </c>
      <c r="Q19" s="148">
        <v>4.9329549291759001E-3</v>
      </c>
      <c r="R19" s="148">
        <v>3.1573230087886999E-3</v>
      </c>
      <c r="S19" s="153">
        <v>0.05</v>
      </c>
      <c r="T19" s="154">
        <v>1.4999999999999999E-2</v>
      </c>
      <c r="U19" s="155">
        <v>5</v>
      </c>
      <c r="V19" s="159">
        <v>7.4999999999999997E-2</v>
      </c>
      <c r="W19" s="160">
        <v>0.03</v>
      </c>
      <c r="X19" s="161">
        <v>10</v>
      </c>
      <c r="Y19" s="165">
        <v>0.1</v>
      </c>
      <c r="Z19" s="166">
        <v>0.06</v>
      </c>
      <c r="AA19" s="167">
        <v>15</v>
      </c>
    </row>
    <row r="20" spans="2:27" x14ac:dyDescent="0.25">
      <c r="B20" s="51" t="s">
        <v>2541</v>
      </c>
      <c r="C20" s="4" t="s">
        <v>4168</v>
      </c>
      <c r="D20" s="142" t="e">
        <v>#VALUE!</v>
      </c>
      <c r="E20" s="142" t="e">
        <v>#VALUE!</v>
      </c>
      <c r="F20" s="4" t="s">
        <v>592</v>
      </c>
      <c r="G20" s="143">
        <v>2020000</v>
      </c>
      <c r="H20" s="4">
        <v>4</v>
      </c>
      <c r="I20" s="143">
        <v>1008.12787</v>
      </c>
      <c r="J20" s="144">
        <v>2.0901973320808724</v>
      </c>
      <c r="K20" s="145">
        <v>3.9350225383846882E-3</v>
      </c>
      <c r="L20" s="146">
        <v>3</v>
      </c>
      <c r="M20" s="58">
        <v>3</v>
      </c>
      <c r="N20" s="58">
        <v>1</v>
      </c>
      <c r="O20" s="147">
        <v>1</v>
      </c>
      <c r="P20" s="148">
        <v>1.4060098033968E-2</v>
      </c>
      <c r="Q20" s="148">
        <v>1.0469725470039E-2</v>
      </c>
      <c r="R20" s="148">
        <v>7.7006730729486002E-3</v>
      </c>
      <c r="S20" s="153">
        <v>7.4999999999999997E-2</v>
      </c>
      <c r="T20" s="154">
        <v>0.03</v>
      </c>
      <c r="U20" s="155">
        <v>5</v>
      </c>
      <c r="V20" s="159">
        <v>0.125</v>
      </c>
      <c r="W20" s="160">
        <v>0.06</v>
      </c>
      <c r="X20" s="161">
        <v>10</v>
      </c>
      <c r="Y20" s="165">
        <v>0.15</v>
      </c>
      <c r="Z20" s="166">
        <v>0.12</v>
      </c>
      <c r="AA20" s="167">
        <v>15</v>
      </c>
    </row>
    <row r="21" spans="2:27" x14ac:dyDescent="0.25">
      <c r="B21" s="51" t="s">
        <v>2540</v>
      </c>
      <c r="C21" s="4" t="s">
        <v>4169</v>
      </c>
      <c r="D21" s="142" t="e">
        <v>#VALUE!</v>
      </c>
      <c r="E21" s="142" t="e">
        <v>#VALUE!</v>
      </c>
      <c r="F21" s="4" t="s">
        <v>592</v>
      </c>
      <c r="G21" s="143">
        <v>1168000</v>
      </c>
      <c r="H21" s="4">
        <v>3</v>
      </c>
      <c r="I21" s="143">
        <v>979.86035000000004</v>
      </c>
      <c r="J21" s="144">
        <v>1.6566157915917705</v>
      </c>
      <c r="K21" s="145">
        <v>7.7561458003182013E-3</v>
      </c>
      <c r="L21" s="146">
        <v>1</v>
      </c>
      <c r="M21" s="58">
        <v>1</v>
      </c>
      <c r="N21" s="58">
        <v>1</v>
      </c>
      <c r="O21" s="147">
        <v>1</v>
      </c>
      <c r="P21" s="148">
        <v>1.1930571959278999E-2</v>
      </c>
      <c r="Q21" s="148">
        <v>8.7721575955407999E-3</v>
      </c>
      <c r="R21" s="148">
        <v>6.3362502602463001E-3</v>
      </c>
      <c r="S21" s="153">
        <v>7.4999999999999997E-2</v>
      </c>
      <c r="T21" s="154">
        <v>0.03</v>
      </c>
      <c r="U21" s="155">
        <v>5</v>
      </c>
      <c r="V21" s="159">
        <v>0.125</v>
      </c>
      <c r="W21" s="160">
        <v>0.06</v>
      </c>
      <c r="X21" s="161">
        <v>10</v>
      </c>
      <c r="Y21" s="165">
        <v>0.15</v>
      </c>
      <c r="Z21" s="166">
        <v>0.12</v>
      </c>
      <c r="AA21" s="167">
        <v>15</v>
      </c>
    </row>
    <row r="22" spans="2:27" x14ac:dyDescent="0.25">
      <c r="B22" s="51" t="s">
        <v>2183</v>
      </c>
      <c r="C22" s="4" t="s">
        <v>4170</v>
      </c>
      <c r="D22" s="142" t="e">
        <v>#VALUE!</v>
      </c>
      <c r="E22" s="142" t="e">
        <v>#VALUE!</v>
      </c>
      <c r="F22" s="4" t="s">
        <v>592</v>
      </c>
      <c r="G22" s="143">
        <v>50804820</v>
      </c>
      <c r="H22" s="4">
        <v>6</v>
      </c>
      <c r="I22" s="143">
        <v>1561000</v>
      </c>
      <c r="J22" s="144">
        <v>3.4602371073837523</v>
      </c>
      <c r="K22" s="145">
        <v>8.5874864750072992E-3</v>
      </c>
      <c r="L22" s="146">
        <v>2</v>
      </c>
      <c r="M22" s="58">
        <v>2</v>
      </c>
      <c r="N22" s="58">
        <v>1</v>
      </c>
      <c r="O22" s="147">
        <v>1</v>
      </c>
      <c r="P22" s="148">
        <v>1.2272324115491E-2</v>
      </c>
      <c r="Q22" s="148">
        <v>8.7531531329747003E-3</v>
      </c>
      <c r="R22" s="148">
        <v>6.0390145104783997E-3</v>
      </c>
      <c r="S22" s="153">
        <v>7.4999999999999997E-2</v>
      </c>
      <c r="T22" s="154">
        <v>0.03</v>
      </c>
      <c r="U22" s="155">
        <v>5</v>
      </c>
      <c r="V22" s="159">
        <v>0.125</v>
      </c>
      <c r="W22" s="160">
        <v>0.06</v>
      </c>
      <c r="X22" s="161">
        <v>10</v>
      </c>
      <c r="Y22" s="165">
        <v>0.15</v>
      </c>
      <c r="Z22" s="166">
        <v>0.12</v>
      </c>
      <c r="AA22" s="167">
        <v>15</v>
      </c>
    </row>
    <row r="23" spans="2:27" x14ac:dyDescent="0.25">
      <c r="B23" s="51" t="s">
        <v>2432</v>
      </c>
      <c r="C23" s="4" t="s">
        <v>4171</v>
      </c>
      <c r="D23" s="142" t="e">
        <v>#VALUE!</v>
      </c>
      <c r="E23" s="142" t="e">
        <v>#VALUE!</v>
      </c>
      <c r="F23" s="4" t="s">
        <v>592</v>
      </c>
      <c r="G23" s="143">
        <v>4000000</v>
      </c>
      <c r="H23" s="4">
        <v>5</v>
      </c>
      <c r="I23" s="143">
        <v>1000</v>
      </c>
      <c r="J23" s="144">
        <v>2.4723329318134764</v>
      </c>
      <c r="K23" s="145">
        <v>1.7476138074735779E-3</v>
      </c>
      <c r="L23" s="146">
        <v>25</v>
      </c>
      <c r="M23" s="58">
        <v>25</v>
      </c>
      <c r="N23" s="58">
        <v>5</v>
      </c>
      <c r="O23" s="147">
        <v>1</v>
      </c>
      <c r="P23" s="148">
        <v>3.0024892789905E-2</v>
      </c>
      <c r="Q23" s="148">
        <v>2.3228989471758998E-2</v>
      </c>
      <c r="R23" s="148">
        <v>1.7987691517732999E-2</v>
      </c>
      <c r="S23" s="153">
        <v>7.4999999999999997E-2</v>
      </c>
      <c r="T23" s="154">
        <v>3.5975383035465998E-2</v>
      </c>
      <c r="U23" s="155">
        <v>9.4</v>
      </c>
      <c r="V23" s="159">
        <v>0.125</v>
      </c>
      <c r="W23" s="160">
        <v>7.1950766070931996E-2</v>
      </c>
      <c r="X23" s="161">
        <v>18.8</v>
      </c>
      <c r="Y23" s="165">
        <v>0.15</v>
      </c>
      <c r="Z23" s="166">
        <v>0.12</v>
      </c>
      <c r="AA23" s="167">
        <v>28.200000000000003</v>
      </c>
    </row>
    <row r="24" spans="2:27" x14ac:dyDescent="0.25">
      <c r="B24" s="51" t="s">
        <v>2336</v>
      </c>
      <c r="C24" s="4" t="s">
        <v>4172</v>
      </c>
      <c r="D24" s="142" t="e">
        <v>#VALUE!</v>
      </c>
      <c r="E24" s="142" t="e">
        <v>#VALUE!</v>
      </c>
      <c r="F24" s="4" t="s">
        <v>592</v>
      </c>
      <c r="G24" s="143">
        <v>5000000</v>
      </c>
      <c r="H24" s="4">
        <v>3</v>
      </c>
      <c r="I24" s="143">
        <v>34670.743386713999</v>
      </c>
      <c r="J24" s="144">
        <v>1.6409890991134193</v>
      </c>
      <c r="K24" s="145">
        <v>2.3932801560300528E-2</v>
      </c>
      <c r="L24" s="146">
        <v>13</v>
      </c>
      <c r="M24" s="58">
        <v>13</v>
      </c>
      <c r="N24" s="58">
        <v>1</v>
      </c>
      <c r="O24" s="147">
        <v>1</v>
      </c>
      <c r="P24" s="148">
        <v>2.3378313392269E-2</v>
      </c>
      <c r="Q24" s="148">
        <v>1.7761464546378E-2</v>
      </c>
      <c r="R24" s="148">
        <v>1.3429504984E-2</v>
      </c>
      <c r="S24" s="153">
        <v>0.11966400780150264</v>
      </c>
      <c r="T24" s="154">
        <v>0.03</v>
      </c>
      <c r="U24" s="155">
        <v>5</v>
      </c>
      <c r="V24" s="159">
        <v>0.19146241248240423</v>
      </c>
      <c r="W24" s="160">
        <v>0.06</v>
      </c>
      <c r="X24" s="161">
        <v>10</v>
      </c>
      <c r="Y24" s="165">
        <v>0.23932801560300529</v>
      </c>
      <c r="Z24" s="166">
        <v>0.12</v>
      </c>
      <c r="AA24" s="167">
        <v>15</v>
      </c>
    </row>
    <row r="25" spans="2:27" x14ac:dyDescent="0.25">
      <c r="B25" s="51" t="s">
        <v>1746</v>
      </c>
      <c r="C25" s="4" t="s">
        <v>4173</v>
      </c>
      <c r="D25" s="142" t="e">
        <v>#VALUE!</v>
      </c>
      <c r="E25" s="142" t="e">
        <v>#VALUE!</v>
      </c>
      <c r="F25" s="4" t="s">
        <v>592</v>
      </c>
      <c r="G25" s="143">
        <v>12000000</v>
      </c>
      <c r="H25" s="4">
        <v>2</v>
      </c>
      <c r="I25" s="143">
        <v>1015.34314362</v>
      </c>
      <c r="J25" s="144">
        <v>1.2185007138435378</v>
      </c>
      <c r="K25" s="145">
        <v>1.4221482626587434E-2</v>
      </c>
      <c r="L25" s="146">
        <v>100</v>
      </c>
      <c r="M25" s="58">
        <v>100</v>
      </c>
      <c r="N25" s="58">
        <v>100</v>
      </c>
      <c r="O25" s="147">
        <v>100</v>
      </c>
      <c r="P25" s="148" t="s">
        <v>411</v>
      </c>
      <c r="Q25" s="148">
        <v>9.0536227567833E-2</v>
      </c>
      <c r="R25" s="148">
        <v>7.6952049833232006E-2</v>
      </c>
      <c r="S25" s="153">
        <v>7.4999999999999997E-2</v>
      </c>
      <c r="T25" s="154">
        <v>0.15390409966646401</v>
      </c>
      <c r="U25" s="155">
        <v>30</v>
      </c>
      <c r="V25" s="159">
        <v>0.125</v>
      </c>
      <c r="W25" s="160">
        <v>0.30780819933292802</v>
      </c>
      <c r="X25" s="161">
        <v>60</v>
      </c>
      <c r="Y25" s="165">
        <v>0.15</v>
      </c>
      <c r="Z25" s="166">
        <v>0.46171229899939203</v>
      </c>
      <c r="AA25" s="167">
        <v>90</v>
      </c>
    </row>
    <row r="26" spans="2:27" x14ac:dyDescent="0.25">
      <c r="B26" s="51" t="s">
        <v>1593</v>
      </c>
      <c r="C26" s="4" t="s">
        <v>4174</v>
      </c>
      <c r="D26" s="142" t="e">
        <v>#VALUE!</v>
      </c>
      <c r="E26" s="142" t="e">
        <v>#VALUE!</v>
      </c>
      <c r="F26" s="4" t="s">
        <v>592</v>
      </c>
      <c r="G26" s="143">
        <v>6000000</v>
      </c>
      <c r="H26" s="4">
        <v>6</v>
      </c>
      <c r="I26" s="143">
        <v>223552.38</v>
      </c>
      <c r="J26" s="144">
        <v>2.6380241115873426</v>
      </c>
      <c r="K26" s="145">
        <v>8.3008579484225922E-3</v>
      </c>
      <c r="L26" s="146">
        <v>1</v>
      </c>
      <c r="M26" s="58">
        <v>1</v>
      </c>
      <c r="N26" s="58">
        <v>1</v>
      </c>
      <c r="O26" s="147">
        <v>1</v>
      </c>
      <c r="P26" s="148">
        <v>1.0279729994147E-2</v>
      </c>
      <c r="Q26" s="148">
        <v>7.0461733205602001E-3</v>
      </c>
      <c r="R26" s="148">
        <v>4.5523129484969001E-3</v>
      </c>
      <c r="S26" s="153">
        <v>7.4999999999999997E-2</v>
      </c>
      <c r="T26" s="154">
        <v>0.03</v>
      </c>
      <c r="U26" s="155">
        <v>5</v>
      </c>
      <c r="V26" s="159">
        <v>0.125</v>
      </c>
      <c r="W26" s="160">
        <v>0.06</v>
      </c>
      <c r="X26" s="161">
        <v>10</v>
      </c>
      <c r="Y26" s="165">
        <v>0.15</v>
      </c>
      <c r="Z26" s="166">
        <v>0.12</v>
      </c>
      <c r="AA26" s="167">
        <v>15</v>
      </c>
    </row>
    <row r="27" spans="2:27" x14ac:dyDescent="0.25">
      <c r="B27" s="51" t="s">
        <v>3546</v>
      </c>
      <c r="C27" s="4" t="s">
        <v>4175</v>
      </c>
      <c r="D27" s="142" t="e">
        <v>#VALUE!</v>
      </c>
      <c r="E27" s="142" t="e">
        <v>#VALUE!</v>
      </c>
      <c r="F27" s="4" t="s">
        <v>592</v>
      </c>
      <c r="G27" s="143">
        <v>24650000</v>
      </c>
      <c r="H27" s="4">
        <v>6</v>
      </c>
      <c r="I27" s="143">
        <v>31500.030999999999</v>
      </c>
      <c r="J27" s="144">
        <v>2.6724441800894239</v>
      </c>
      <c r="K27" s="145">
        <v>1.1428466822844874E-2</v>
      </c>
      <c r="L27" s="146">
        <v>6</v>
      </c>
      <c r="M27" s="58">
        <v>6</v>
      </c>
      <c r="N27" s="58">
        <v>1</v>
      </c>
      <c r="O27" s="147">
        <v>1</v>
      </c>
      <c r="P27" s="148">
        <v>1.5462567343907E-2</v>
      </c>
      <c r="Q27" s="148">
        <v>1.2148188079975E-2</v>
      </c>
      <c r="R27" s="148">
        <v>9.5919937903163992E-3</v>
      </c>
      <c r="S27" s="153">
        <v>7.4999999999999997E-2</v>
      </c>
      <c r="T27" s="154">
        <v>0.03</v>
      </c>
      <c r="U27" s="155">
        <v>5</v>
      </c>
      <c r="V27" s="159">
        <v>0.125</v>
      </c>
      <c r="W27" s="160">
        <v>0.06</v>
      </c>
      <c r="X27" s="161">
        <v>10</v>
      </c>
      <c r="Y27" s="165">
        <v>0.15</v>
      </c>
      <c r="Z27" s="166">
        <v>0.12</v>
      </c>
      <c r="AA27" s="167">
        <v>15</v>
      </c>
    </row>
    <row r="28" spans="2:27" x14ac:dyDescent="0.25">
      <c r="B28" s="51" t="s">
        <v>3932</v>
      </c>
      <c r="C28" s="4" t="s">
        <v>4176</v>
      </c>
      <c r="D28" s="142" t="e">
        <v>#VALUE!</v>
      </c>
      <c r="E28" s="142" t="e">
        <v>#VALUE!</v>
      </c>
      <c r="F28" s="4" t="s">
        <v>592</v>
      </c>
      <c r="G28" s="143">
        <v>16000000</v>
      </c>
      <c r="H28" s="4">
        <v>5</v>
      </c>
      <c r="I28" s="143">
        <v>996.30629999999996</v>
      </c>
      <c r="J28" s="144">
        <v>2.391615648564533</v>
      </c>
      <c r="K28" s="145">
        <v>1.5163646769150394E-2</v>
      </c>
      <c r="L28" s="146">
        <v>4</v>
      </c>
      <c r="M28" s="58">
        <v>4</v>
      </c>
      <c r="N28" s="58">
        <v>1</v>
      </c>
      <c r="O28" s="147">
        <v>1</v>
      </c>
      <c r="P28" s="148">
        <v>1.4738592067116999E-2</v>
      </c>
      <c r="Q28" s="148">
        <v>1.1121984765061E-2</v>
      </c>
      <c r="R28" s="148">
        <v>8.3326989901789002E-3</v>
      </c>
      <c r="S28" s="153">
        <v>7.5818233845751967E-2</v>
      </c>
      <c r="T28" s="154">
        <v>0.03</v>
      </c>
      <c r="U28" s="155">
        <v>5</v>
      </c>
      <c r="V28" s="159">
        <v>0.125</v>
      </c>
      <c r="W28" s="160">
        <v>0.06</v>
      </c>
      <c r="X28" s="161">
        <v>10</v>
      </c>
      <c r="Y28" s="165">
        <v>0.15163646769150393</v>
      </c>
      <c r="Z28" s="166">
        <v>0.12</v>
      </c>
      <c r="AA28" s="167">
        <v>15</v>
      </c>
    </row>
    <row r="29" spans="2:27" x14ac:dyDescent="0.25">
      <c r="B29" s="51" t="s">
        <v>2050</v>
      </c>
      <c r="C29" s="4" t="s">
        <v>4177</v>
      </c>
      <c r="D29" s="142" t="e">
        <v>#VALUE!</v>
      </c>
      <c r="E29" s="142" t="e">
        <v>#VALUE!</v>
      </c>
      <c r="F29" s="4" t="s">
        <v>592</v>
      </c>
      <c r="G29" s="143">
        <v>6000000</v>
      </c>
      <c r="H29" s="4">
        <v>3</v>
      </c>
      <c r="I29" s="143">
        <v>62748.1186686</v>
      </c>
      <c r="J29" s="144">
        <v>1.7761570370387283</v>
      </c>
      <c r="K29" s="145">
        <v>1.6677998965541157E-2</v>
      </c>
      <c r="L29" s="146">
        <v>18</v>
      </c>
      <c r="M29" s="58">
        <v>18</v>
      </c>
      <c r="N29" s="58">
        <v>3</v>
      </c>
      <c r="O29" s="147">
        <v>1</v>
      </c>
      <c r="P29" s="148">
        <v>2.6339804750351001E-2</v>
      </c>
      <c r="Q29" s="148">
        <v>2.0198861837509002E-2</v>
      </c>
      <c r="R29" s="148">
        <v>1.5462698002021999E-2</v>
      </c>
      <c r="S29" s="153">
        <v>8.3389994827705788E-2</v>
      </c>
      <c r="T29" s="154">
        <v>3.0925396004043999E-2</v>
      </c>
      <c r="U29" s="155">
        <v>6.7000000000000011</v>
      </c>
      <c r="V29" s="159">
        <v>0.13342399172432926</v>
      </c>
      <c r="W29" s="160">
        <v>6.1850792008087997E-2</v>
      </c>
      <c r="X29" s="161">
        <v>13.400000000000002</v>
      </c>
      <c r="Y29" s="165">
        <v>0.16677998965541158</v>
      </c>
      <c r="Z29" s="166">
        <v>0.12</v>
      </c>
      <c r="AA29" s="167">
        <v>20.100000000000001</v>
      </c>
    </row>
    <row r="30" spans="2:27" x14ac:dyDescent="0.25">
      <c r="B30" s="51" t="s">
        <v>2440</v>
      </c>
      <c r="C30" s="4" t="s">
        <v>4178</v>
      </c>
      <c r="D30" s="142" t="e">
        <v>#VALUE!</v>
      </c>
      <c r="E30" s="142" t="e">
        <v>#VALUE!</v>
      </c>
      <c r="F30" s="4" t="s">
        <v>592</v>
      </c>
      <c r="G30" s="143">
        <v>3350000</v>
      </c>
      <c r="H30" s="4">
        <v>4</v>
      </c>
      <c r="I30" s="143">
        <v>80951.262734050004</v>
      </c>
      <c r="J30" s="144">
        <v>1.8273841242816815</v>
      </c>
      <c r="K30" s="145">
        <v>1.9122284428245071E-2</v>
      </c>
      <c r="L30" s="146">
        <v>3</v>
      </c>
      <c r="M30" s="58">
        <v>3</v>
      </c>
      <c r="N30" s="58">
        <v>1</v>
      </c>
      <c r="O30" s="147">
        <v>1</v>
      </c>
      <c r="P30" s="148">
        <v>1.4547694727484999E-2</v>
      </c>
      <c r="Q30" s="148">
        <v>1.0507099995585001E-2</v>
      </c>
      <c r="R30" s="148">
        <v>7.3908165657122996E-3</v>
      </c>
      <c r="S30" s="153">
        <v>9.5611422141225352E-2</v>
      </c>
      <c r="T30" s="154">
        <v>0.03</v>
      </c>
      <c r="U30" s="155">
        <v>5</v>
      </c>
      <c r="V30" s="159">
        <v>0.15297827542596057</v>
      </c>
      <c r="W30" s="160">
        <v>0.06</v>
      </c>
      <c r="X30" s="161">
        <v>10</v>
      </c>
      <c r="Y30" s="165">
        <v>0.1912228442824507</v>
      </c>
      <c r="Z30" s="166">
        <v>0.12</v>
      </c>
      <c r="AA30" s="167">
        <v>15</v>
      </c>
    </row>
    <row r="31" spans="2:27" x14ac:dyDescent="0.25">
      <c r="B31" s="51" t="s">
        <v>2132</v>
      </c>
      <c r="C31" s="4" t="s">
        <v>4179</v>
      </c>
      <c r="D31" s="142" t="e">
        <v>#VALUE!</v>
      </c>
      <c r="E31" s="142" t="e">
        <v>#VALUE!</v>
      </c>
      <c r="F31" s="4" t="s">
        <v>592</v>
      </c>
      <c r="G31" s="143">
        <v>2000000</v>
      </c>
      <c r="H31" s="4">
        <v>3</v>
      </c>
      <c r="I31" s="143">
        <v>1022.34361752</v>
      </c>
      <c r="J31" s="144">
        <v>1.7242399741705396</v>
      </c>
      <c r="K31" s="145">
        <v>1.6190097517983421E-2</v>
      </c>
      <c r="L31" s="146">
        <v>2</v>
      </c>
      <c r="M31" s="58">
        <v>2</v>
      </c>
      <c r="N31" s="58">
        <v>1</v>
      </c>
      <c r="O31" s="147">
        <v>1</v>
      </c>
      <c r="P31" s="148">
        <v>1.3154400069738E-2</v>
      </c>
      <c r="Q31" s="148">
        <v>9.3765363085900992E-3</v>
      </c>
      <c r="R31" s="148">
        <v>6.4628824976209996E-3</v>
      </c>
      <c r="S31" s="153">
        <v>8.0950487589917103E-2</v>
      </c>
      <c r="T31" s="154">
        <v>0.03</v>
      </c>
      <c r="U31" s="155">
        <v>5</v>
      </c>
      <c r="V31" s="159">
        <v>0.12952078014386736</v>
      </c>
      <c r="W31" s="160">
        <v>0.06</v>
      </c>
      <c r="X31" s="161">
        <v>10</v>
      </c>
      <c r="Y31" s="165">
        <v>0.16190097517983421</v>
      </c>
      <c r="Z31" s="166">
        <v>0.12</v>
      </c>
      <c r="AA31" s="167">
        <v>15</v>
      </c>
    </row>
    <row r="32" spans="2:27" x14ac:dyDescent="0.25">
      <c r="B32" s="51" t="s">
        <v>2437</v>
      </c>
      <c r="C32" s="4" t="s">
        <v>4180</v>
      </c>
      <c r="D32" s="142" t="e">
        <v>#VALUE!</v>
      </c>
      <c r="E32" s="142" t="e">
        <v>#VALUE!</v>
      </c>
      <c r="F32" s="4" t="s">
        <v>592</v>
      </c>
      <c r="G32" s="143">
        <v>10000000</v>
      </c>
      <c r="H32" s="4">
        <v>3</v>
      </c>
      <c r="I32" s="143">
        <v>1073.2360405100001</v>
      </c>
      <c r="J32" s="144">
        <v>1.5588305354318708</v>
      </c>
      <c r="K32" s="145">
        <v>1.6087777897079113E-2</v>
      </c>
      <c r="L32" s="146">
        <v>100</v>
      </c>
      <c r="M32" s="58">
        <v>100</v>
      </c>
      <c r="N32" s="58">
        <v>38</v>
      </c>
      <c r="O32" s="147">
        <v>13</v>
      </c>
      <c r="P32" s="148">
        <v>5.485716668941E-2</v>
      </c>
      <c r="Q32" s="148">
        <v>4.4353052863792E-2</v>
      </c>
      <c r="R32" s="148">
        <v>3.6251820735304002E-2</v>
      </c>
      <c r="S32" s="153">
        <v>8.043888948539557E-2</v>
      </c>
      <c r="T32" s="154">
        <v>7.2503641470608005E-2</v>
      </c>
      <c r="U32" s="155">
        <v>30</v>
      </c>
      <c r="V32" s="159">
        <v>0.12870222317663291</v>
      </c>
      <c r="W32" s="160">
        <v>0.14500728294121601</v>
      </c>
      <c r="X32" s="161">
        <v>60</v>
      </c>
      <c r="Y32" s="165">
        <v>0.16087777897079114</v>
      </c>
      <c r="Z32" s="166">
        <v>0.21751092441182401</v>
      </c>
      <c r="AA32" s="167">
        <v>90</v>
      </c>
    </row>
    <row r="33" spans="2:27" x14ac:dyDescent="0.25">
      <c r="B33" s="51" t="s">
        <v>2674</v>
      </c>
      <c r="C33" s="4" t="s">
        <v>4181</v>
      </c>
      <c r="D33" s="142" t="e">
        <v>#VALUE!</v>
      </c>
      <c r="E33" s="142" t="e">
        <v>#VALUE!</v>
      </c>
      <c r="F33" s="4" t="s">
        <v>592</v>
      </c>
      <c r="G33" s="143">
        <v>6500000</v>
      </c>
      <c r="H33" s="4">
        <v>4</v>
      </c>
      <c r="I33" s="143">
        <v>878.20500000000004</v>
      </c>
      <c r="J33" s="144">
        <v>2.0026820013496467</v>
      </c>
      <c r="K33" s="145">
        <v>2.8432248445048033E-2</v>
      </c>
      <c r="L33" s="146">
        <v>1</v>
      </c>
      <c r="M33" s="58">
        <v>1</v>
      </c>
      <c r="N33" s="58">
        <v>1</v>
      </c>
      <c r="O33" s="147">
        <v>1</v>
      </c>
      <c r="P33" s="148">
        <v>9.5000610998655002E-3</v>
      </c>
      <c r="Q33" s="148">
        <v>7.0262885891885004E-3</v>
      </c>
      <c r="R33" s="148">
        <v>5.1184070034815E-3</v>
      </c>
      <c r="S33" s="153">
        <v>0.14216124222524018</v>
      </c>
      <c r="T33" s="154">
        <v>0.03</v>
      </c>
      <c r="U33" s="155">
        <v>5</v>
      </c>
      <c r="V33" s="159">
        <v>0.22745798756038427</v>
      </c>
      <c r="W33" s="160">
        <v>0.06</v>
      </c>
      <c r="X33" s="161">
        <v>10</v>
      </c>
      <c r="Y33" s="165">
        <v>0.28432248445048036</v>
      </c>
      <c r="Z33" s="166">
        <v>0.12</v>
      </c>
      <c r="AA33" s="167">
        <v>15</v>
      </c>
    </row>
    <row r="34" spans="2:27" x14ac:dyDescent="0.25">
      <c r="B34" s="51" t="s">
        <v>1772</v>
      </c>
      <c r="C34" s="4" t="s">
        <v>4182</v>
      </c>
      <c r="D34" s="142" t="e">
        <v>#VALUE!</v>
      </c>
      <c r="E34" s="142" t="e">
        <v>#VALUE!</v>
      </c>
      <c r="F34" s="4" t="s">
        <v>592</v>
      </c>
      <c r="G34" s="143">
        <v>12000000</v>
      </c>
      <c r="H34" s="4">
        <v>2</v>
      </c>
      <c r="I34" s="143">
        <v>1028.8055333299999</v>
      </c>
      <c r="J34" s="144">
        <v>1.4366489873242803</v>
      </c>
      <c r="K34" s="145">
        <v>1.4055438161708145E-2</v>
      </c>
      <c r="L34" s="146">
        <v>100</v>
      </c>
      <c r="M34" s="58">
        <v>100</v>
      </c>
      <c r="N34" s="58">
        <v>100</v>
      </c>
      <c r="O34" s="147">
        <v>49</v>
      </c>
      <c r="P34" s="148">
        <v>7.9232403600856996E-2</v>
      </c>
      <c r="Q34" s="148">
        <v>6.5359189192842004E-2</v>
      </c>
      <c r="R34" s="148">
        <v>5.4659559299882997E-2</v>
      </c>
      <c r="S34" s="153">
        <v>7.4999999999999997E-2</v>
      </c>
      <c r="T34" s="154">
        <v>0.10931911859976599</v>
      </c>
      <c r="U34" s="155">
        <v>30</v>
      </c>
      <c r="V34" s="159">
        <v>0.125</v>
      </c>
      <c r="W34" s="160">
        <v>0.21863823719953199</v>
      </c>
      <c r="X34" s="161">
        <v>60</v>
      </c>
      <c r="Y34" s="165">
        <v>0.15</v>
      </c>
      <c r="Z34" s="166">
        <v>0.32795735579929797</v>
      </c>
      <c r="AA34" s="167">
        <v>90</v>
      </c>
    </row>
    <row r="35" spans="2:27" x14ac:dyDescent="0.25">
      <c r="B35" s="51" t="s">
        <v>2527</v>
      </c>
      <c r="C35" s="4" t="s">
        <v>4183</v>
      </c>
      <c r="D35" s="142" t="e">
        <v>#VALUE!</v>
      </c>
      <c r="E35" s="142" t="e">
        <v>#VALUE!</v>
      </c>
      <c r="F35" s="4" t="s">
        <v>592</v>
      </c>
      <c r="G35" s="143">
        <v>4000000</v>
      </c>
      <c r="H35" s="4">
        <v>3</v>
      </c>
      <c r="I35" s="143">
        <v>15298.911804783</v>
      </c>
      <c r="J35" s="144">
        <v>1.5834137964291621</v>
      </c>
      <c r="K35" s="145">
        <v>1.7032788727794623E-2</v>
      </c>
      <c r="L35" s="146">
        <v>19</v>
      </c>
      <c r="M35" s="58">
        <v>19</v>
      </c>
      <c r="N35" s="58">
        <v>3</v>
      </c>
      <c r="O35" s="147">
        <v>1</v>
      </c>
      <c r="P35" s="148">
        <v>2.6597005517826001E-2</v>
      </c>
      <c r="Q35" s="148">
        <v>2.0413182561637998E-2</v>
      </c>
      <c r="R35" s="148">
        <v>1.5643947760758E-2</v>
      </c>
      <c r="S35" s="153">
        <v>8.5163943638973116E-2</v>
      </c>
      <c r="T35" s="154">
        <v>3.1287895521516E-2</v>
      </c>
      <c r="U35" s="155">
        <v>7</v>
      </c>
      <c r="V35" s="159">
        <v>0.13626230982235699</v>
      </c>
      <c r="W35" s="160">
        <v>6.2575791043032E-2</v>
      </c>
      <c r="X35" s="161">
        <v>14</v>
      </c>
      <c r="Y35" s="165">
        <v>0.17032788727794623</v>
      </c>
      <c r="Z35" s="166">
        <v>0.12</v>
      </c>
      <c r="AA35" s="167">
        <v>21</v>
      </c>
    </row>
    <row r="36" spans="2:27" x14ac:dyDescent="0.25">
      <c r="B36" s="51" t="s">
        <v>3601</v>
      </c>
      <c r="C36" s="4" t="s">
        <v>4184</v>
      </c>
      <c r="D36" s="142" t="e">
        <v>#VALUE!</v>
      </c>
      <c r="E36" s="142" t="e">
        <v>#VALUE!</v>
      </c>
      <c r="F36" s="4" t="s">
        <v>592</v>
      </c>
      <c r="G36" s="143">
        <v>14148919.09</v>
      </c>
      <c r="H36" s="4">
        <v>4</v>
      </c>
      <c r="I36" s="143">
        <v>1003.5549999999999</v>
      </c>
      <c r="J36" s="144">
        <v>1.8259067368027395</v>
      </c>
      <c r="K36" s="145">
        <v>1.2483844744542456E-2</v>
      </c>
      <c r="L36" s="146">
        <v>63</v>
      </c>
      <c r="M36" s="58">
        <v>63</v>
      </c>
      <c r="N36" s="58">
        <v>13</v>
      </c>
      <c r="O36" s="147">
        <v>3</v>
      </c>
      <c r="P36" s="148">
        <v>3.7253550840100999E-2</v>
      </c>
      <c r="Q36" s="148">
        <v>3.0034802463254E-2</v>
      </c>
      <c r="R36" s="148">
        <v>2.4467387900840999E-2</v>
      </c>
      <c r="S36" s="153">
        <v>0.05</v>
      </c>
      <c r="T36" s="154">
        <v>2.4467387900840999E-2</v>
      </c>
      <c r="U36" s="155">
        <v>24</v>
      </c>
      <c r="V36" s="159">
        <v>7.4999999999999997E-2</v>
      </c>
      <c r="W36" s="160">
        <v>4.8934775801681998E-2</v>
      </c>
      <c r="X36" s="161">
        <v>48</v>
      </c>
      <c r="Y36" s="165">
        <v>0.1</v>
      </c>
      <c r="Z36" s="166">
        <v>7.3402163702523004E-2</v>
      </c>
      <c r="AA36" s="167">
        <v>72</v>
      </c>
    </row>
    <row r="37" spans="2:27" x14ac:dyDescent="0.25">
      <c r="B37" s="51" t="s">
        <v>3068</v>
      </c>
      <c r="C37" s="4" t="s">
        <v>4185</v>
      </c>
      <c r="D37" s="142" t="e">
        <v>#VALUE!</v>
      </c>
      <c r="E37" s="142" t="e">
        <v>#VALUE!</v>
      </c>
      <c r="F37" s="4" t="s">
        <v>592</v>
      </c>
      <c r="G37" s="143">
        <v>900000</v>
      </c>
      <c r="H37" s="4">
        <v>6</v>
      </c>
      <c r="I37" s="143">
        <v>957.89120000000003</v>
      </c>
      <c r="J37" s="144">
        <v>3.4865233883331106</v>
      </c>
      <c r="K37" s="145">
        <v>1.1428466822844874E-2</v>
      </c>
      <c r="L37" s="146">
        <v>1</v>
      </c>
      <c r="M37" s="58">
        <v>1</v>
      </c>
      <c r="N37" s="58">
        <v>1</v>
      </c>
      <c r="O37" s="147">
        <v>1</v>
      </c>
      <c r="P37" s="148">
        <v>1E-4</v>
      </c>
      <c r="Q37" s="148">
        <v>1E-4</v>
      </c>
      <c r="R37" s="148">
        <v>1E-4</v>
      </c>
      <c r="S37" s="153">
        <v>7.4999999999999997E-2</v>
      </c>
      <c r="T37" s="154">
        <v>0.03</v>
      </c>
      <c r="U37" s="155">
        <v>5</v>
      </c>
      <c r="V37" s="159">
        <v>0.125</v>
      </c>
      <c r="W37" s="160">
        <v>0.06</v>
      </c>
      <c r="X37" s="161">
        <v>10</v>
      </c>
      <c r="Y37" s="165">
        <v>0.15</v>
      </c>
      <c r="Z37" s="166">
        <v>0.12</v>
      </c>
      <c r="AA37" s="167">
        <v>15</v>
      </c>
    </row>
    <row r="38" spans="2:27" x14ac:dyDescent="0.25">
      <c r="B38" s="51" t="s">
        <v>2597</v>
      </c>
      <c r="C38" s="4" t="s">
        <v>4186</v>
      </c>
      <c r="D38" s="142" t="e">
        <v>#VALUE!</v>
      </c>
      <c r="E38" s="142" t="e">
        <v>#VALUE!</v>
      </c>
      <c r="F38" s="4" t="s">
        <v>592</v>
      </c>
      <c r="G38" s="143">
        <v>2000000</v>
      </c>
      <c r="H38" s="4">
        <v>6</v>
      </c>
      <c r="I38" s="143">
        <v>39690.476999999999</v>
      </c>
      <c r="J38" s="144">
        <v>2.9328170064368408</v>
      </c>
      <c r="K38" s="145">
        <v>7.3547782358161892E-4</v>
      </c>
      <c r="L38" s="146">
        <v>4</v>
      </c>
      <c r="M38" s="58">
        <v>4</v>
      </c>
      <c r="N38" s="58">
        <v>1</v>
      </c>
      <c r="O38" s="147">
        <v>1</v>
      </c>
      <c r="P38" s="148">
        <v>1.5581999920264E-2</v>
      </c>
      <c r="Q38" s="148">
        <v>1.1222175655655999E-2</v>
      </c>
      <c r="R38" s="148">
        <v>7.8596884441357005E-3</v>
      </c>
      <c r="S38" s="153">
        <v>6.25E-2</v>
      </c>
      <c r="T38" s="154">
        <v>0.02</v>
      </c>
      <c r="U38" s="155">
        <v>5</v>
      </c>
      <c r="V38" s="159">
        <v>0.1</v>
      </c>
      <c r="W38" s="160">
        <v>0.04</v>
      </c>
      <c r="X38" s="161">
        <v>10</v>
      </c>
      <c r="Y38" s="165">
        <v>0.125</v>
      </c>
      <c r="Z38" s="166">
        <v>0.08</v>
      </c>
      <c r="AA38" s="167">
        <v>15</v>
      </c>
    </row>
    <row r="39" spans="2:27" x14ac:dyDescent="0.25">
      <c r="B39" s="51" t="s">
        <v>3047</v>
      </c>
      <c r="C39" s="4" t="s">
        <v>4187</v>
      </c>
      <c r="D39" s="142" t="e">
        <v>#VALUE!</v>
      </c>
      <c r="E39" s="142" t="e">
        <v>#VALUE!</v>
      </c>
      <c r="F39" s="4" t="s">
        <v>592</v>
      </c>
      <c r="G39" s="143">
        <v>3000000</v>
      </c>
      <c r="H39" s="4">
        <v>4</v>
      </c>
      <c r="I39" s="143">
        <v>0</v>
      </c>
      <c r="J39" s="144">
        <v>1.8336500615489661</v>
      </c>
      <c r="K39" s="145">
        <v>3.7168683839914861E-3</v>
      </c>
      <c r="L39" s="146">
        <v>53</v>
      </c>
      <c r="M39" s="58">
        <v>53</v>
      </c>
      <c r="N39" s="58">
        <v>14</v>
      </c>
      <c r="O39" s="147">
        <v>3</v>
      </c>
      <c r="P39" s="148">
        <v>4.0557834575563001E-2</v>
      </c>
      <c r="Q39" s="148">
        <v>3.2120563616617998E-2</v>
      </c>
      <c r="R39" s="148">
        <v>2.5613371129549999E-2</v>
      </c>
      <c r="S39" s="153">
        <v>7.4999999999999997E-2</v>
      </c>
      <c r="T39" s="154">
        <v>5.1226742259099997E-2</v>
      </c>
      <c r="U39" s="155">
        <v>21.3</v>
      </c>
      <c r="V39" s="159">
        <v>0.125</v>
      </c>
      <c r="W39" s="160">
        <v>0.10245348451819999</v>
      </c>
      <c r="X39" s="161">
        <v>42.6</v>
      </c>
      <c r="Y39" s="165">
        <v>0.15</v>
      </c>
      <c r="Z39" s="166">
        <v>0.15368022677729998</v>
      </c>
      <c r="AA39" s="167">
        <v>63.900000000000006</v>
      </c>
    </row>
    <row r="40" spans="2:27" x14ac:dyDescent="0.25">
      <c r="B40" s="51" t="s">
        <v>3300</v>
      </c>
      <c r="C40" s="4" t="s">
        <v>4188</v>
      </c>
      <c r="D40" s="142" t="e">
        <v>#VALUE!</v>
      </c>
      <c r="E40" s="142" t="e">
        <v>#VALUE!</v>
      </c>
      <c r="F40" s="4" t="s">
        <v>592</v>
      </c>
      <c r="G40" s="143">
        <v>2254285.84</v>
      </c>
      <c r="H40" s="4">
        <v>2</v>
      </c>
      <c r="I40" s="143">
        <v>1035.7871</v>
      </c>
      <c r="J40" s="144">
        <v>1.3553270476171473</v>
      </c>
      <c r="K40" s="145">
        <v>1.4195738020776923E-2</v>
      </c>
      <c r="L40" s="146">
        <v>13</v>
      </c>
      <c r="M40" s="58">
        <v>13</v>
      </c>
      <c r="N40" s="58">
        <v>1</v>
      </c>
      <c r="O40" s="147">
        <v>1</v>
      </c>
      <c r="P40" s="148">
        <v>2.1144553315284E-2</v>
      </c>
      <c r="Q40" s="148">
        <v>1.6427706114395001E-2</v>
      </c>
      <c r="R40" s="148">
        <v>1.2789867194959E-2</v>
      </c>
      <c r="S40" s="153">
        <v>7.4999999999999997E-2</v>
      </c>
      <c r="T40" s="154">
        <v>0.03</v>
      </c>
      <c r="U40" s="155">
        <v>5</v>
      </c>
      <c r="V40" s="159">
        <v>0.125</v>
      </c>
      <c r="W40" s="160">
        <v>0.06</v>
      </c>
      <c r="X40" s="161">
        <v>10</v>
      </c>
      <c r="Y40" s="165">
        <v>0.15</v>
      </c>
      <c r="Z40" s="166">
        <v>0.12</v>
      </c>
      <c r="AA40" s="167">
        <v>15</v>
      </c>
    </row>
    <row r="41" spans="2:27" x14ac:dyDescent="0.25">
      <c r="B41" s="51" t="s">
        <v>1947</v>
      </c>
      <c r="C41" s="4" t="s">
        <v>4189</v>
      </c>
      <c r="D41" s="142" t="e">
        <v>#VALUE!</v>
      </c>
      <c r="E41" s="142" t="e">
        <v>#VALUE!</v>
      </c>
      <c r="F41" s="4" t="s">
        <v>592</v>
      </c>
      <c r="G41" s="143">
        <v>4000000</v>
      </c>
      <c r="H41" s="4">
        <v>6</v>
      </c>
      <c r="I41" s="143">
        <v>851074.02408</v>
      </c>
      <c r="J41" s="144">
        <v>2.8672252618776723</v>
      </c>
      <c r="K41" s="145">
        <v>1.8341816488690346E-2</v>
      </c>
      <c r="L41" s="146">
        <v>1</v>
      </c>
      <c r="M41" s="58">
        <v>1</v>
      </c>
      <c r="N41" s="58">
        <v>1</v>
      </c>
      <c r="O41" s="147">
        <v>1</v>
      </c>
      <c r="P41" s="148">
        <v>2.5969531626654002E-3</v>
      </c>
      <c r="Q41" s="148">
        <v>1.2236248687112999E-3</v>
      </c>
      <c r="R41" s="148">
        <v>1E-4</v>
      </c>
      <c r="S41" s="153">
        <v>9.1709082443451731E-2</v>
      </c>
      <c r="T41" s="154">
        <v>0.03</v>
      </c>
      <c r="U41" s="155">
        <v>5</v>
      </c>
      <c r="V41" s="159">
        <v>0.14673453190952276</v>
      </c>
      <c r="W41" s="160">
        <v>0.06</v>
      </c>
      <c r="X41" s="161">
        <v>10</v>
      </c>
      <c r="Y41" s="165">
        <v>0.18341816488690346</v>
      </c>
      <c r="Z41" s="166">
        <v>0.12</v>
      </c>
      <c r="AA41" s="167">
        <v>15</v>
      </c>
    </row>
    <row r="42" spans="2:27" x14ac:dyDescent="0.25">
      <c r="B42" s="51" t="s">
        <v>3594</v>
      </c>
      <c r="C42" s="4" t="s">
        <v>4190</v>
      </c>
      <c r="D42" s="142" t="e">
        <v>#VALUE!</v>
      </c>
      <c r="E42" s="142" t="e">
        <v>#VALUE!</v>
      </c>
      <c r="F42" s="4" t="s">
        <v>592</v>
      </c>
      <c r="G42" s="143">
        <v>5600000</v>
      </c>
      <c r="H42" s="4">
        <v>6</v>
      </c>
      <c r="I42" s="143">
        <v>126442.69</v>
      </c>
      <c r="J42" s="144">
        <v>3.4097282163812137</v>
      </c>
      <c r="K42" s="145">
        <v>1.1428466822844874E-2</v>
      </c>
      <c r="L42" s="146">
        <v>1</v>
      </c>
      <c r="M42" s="58">
        <v>1</v>
      </c>
      <c r="N42" s="58">
        <v>1</v>
      </c>
      <c r="O42" s="147">
        <v>1</v>
      </c>
      <c r="P42" s="148">
        <v>1.6464625641167999E-3</v>
      </c>
      <c r="Q42" s="148">
        <v>8.8344331501188E-4</v>
      </c>
      <c r="R42" s="148">
        <v>1E-4</v>
      </c>
      <c r="S42" s="153">
        <v>7.4999999999999997E-2</v>
      </c>
      <c r="T42" s="154">
        <v>0.03</v>
      </c>
      <c r="U42" s="155">
        <v>5</v>
      </c>
      <c r="V42" s="159">
        <v>0.125</v>
      </c>
      <c r="W42" s="160">
        <v>0.06</v>
      </c>
      <c r="X42" s="161">
        <v>10</v>
      </c>
      <c r="Y42" s="165">
        <v>0.15</v>
      </c>
      <c r="Z42" s="166">
        <v>0.12</v>
      </c>
      <c r="AA42" s="167">
        <v>15</v>
      </c>
    </row>
    <row r="43" spans="2:27" x14ac:dyDescent="0.25">
      <c r="B43" s="51" t="s">
        <v>2595</v>
      </c>
      <c r="C43" s="4" t="s">
        <v>4191</v>
      </c>
      <c r="D43" s="142" t="e">
        <v>#VALUE!</v>
      </c>
      <c r="E43" s="142" t="e">
        <v>#VALUE!</v>
      </c>
      <c r="F43" s="4" t="s">
        <v>592</v>
      </c>
      <c r="G43" s="143">
        <v>6120000</v>
      </c>
      <c r="H43" s="4">
        <v>7</v>
      </c>
      <c r="I43" s="143">
        <v>997.50409999999999</v>
      </c>
      <c r="J43" s="144">
        <v>3.9125117721214049</v>
      </c>
      <c r="K43" s="145">
        <v>8.1833923050341571E-3</v>
      </c>
      <c r="L43" s="146">
        <v>1</v>
      </c>
      <c r="M43" s="58">
        <v>1</v>
      </c>
      <c r="N43" s="58">
        <v>1</v>
      </c>
      <c r="O43" s="147">
        <v>1</v>
      </c>
      <c r="P43" s="148">
        <v>6.2866502909961002E-4</v>
      </c>
      <c r="Q43" s="148">
        <v>1E-4</v>
      </c>
      <c r="R43" s="148">
        <v>1E-4</v>
      </c>
      <c r="S43" s="153">
        <v>7.4999999999999997E-2</v>
      </c>
      <c r="T43" s="154">
        <v>0.03</v>
      </c>
      <c r="U43" s="155">
        <v>5</v>
      </c>
      <c r="V43" s="159">
        <v>0.125</v>
      </c>
      <c r="W43" s="160">
        <v>0.06</v>
      </c>
      <c r="X43" s="161">
        <v>10</v>
      </c>
      <c r="Y43" s="165">
        <v>0.15</v>
      </c>
      <c r="Z43" s="166">
        <v>0.12</v>
      </c>
      <c r="AA43" s="167">
        <v>15</v>
      </c>
    </row>
    <row r="44" spans="2:27" x14ac:dyDescent="0.25">
      <c r="B44" s="51" t="s">
        <v>2443</v>
      </c>
      <c r="C44" s="4" t="s">
        <v>4192</v>
      </c>
      <c r="D44" s="142" t="e">
        <v>#VALUE!</v>
      </c>
      <c r="E44" s="142" t="e">
        <v>#VALUE!</v>
      </c>
      <c r="F44" s="4" t="s">
        <v>592</v>
      </c>
      <c r="G44" s="143">
        <v>11200000</v>
      </c>
      <c r="H44" s="4">
        <v>3</v>
      </c>
      <c r="I44" s="143">
        <v>1479.8047612446001</v>
      </c>
      <c r="J44" s="144">
        <v>1.5860615913973775</v>
      </c>
      <c r="K44" s="145">
        <v>1.6186685057727218E-2</v>
      </c>
      <c r="L44" s="146">
        <v>100</v>
      </c>
      <c r="M44" s="58">
        <v>100</v>
      </c>
      <c r="N44" s="58">
        <v>41</v>
      </c>
      <c r="O44" s="147">
        <v>14</v>
      </c>
      <c r="P44" s="148">
        <v>5.6137194651649999E-2</v>
      </c>
      <c r="Q44" s="148">
        <v>4.5450979874219997E-2</v>
      </c>
      <c r="R44" s="148">
        <v>3.7209303524930001E-2</v>
      </c>
      <c r="S44" s="153">
        <v>8.0933425288636091E-2</v>
      </c>
      <c r="T44" s="154">
        <v>7.4418607049860003E-2</v>
      </c>
      <c r="U44" s="155">
        <v>30</v>
      </c>
      <c r="V44" s="159">
        <v>0.12949348046181774</v>
      </c>
      <c r="W44" s="160">
        <v>0.14883721409972001</v>
      </c>
      <c r="X44" s="161">
        <v>60</v>
      </c>
      <c r="Y44" s="165">
        <v>0.16186685057727218</v>
      </c>
      <c r="Z44" s="166">
        <v>0.22325582114958001</v>
      </c>
      <c r="AA44" s="167">
        <v>90</v>
      </c>
    </row>
    <row r="45" spans="2:27" x14ac:dyDescent="0.25">
      <c r="B45" s="51" t="s">
        <v>2456</v>
      </c>
      <c r="C45" s="4" t="s">
        <v>4193</v>
      </c>
      <c r="D45" s="142" t="e">
        <v>#VALUE!</v>
      </c>
      <c r="E45" s="142" t="e">
        <v>#VALUE!</v>
      </c>
      <c r="F45" s="4" t="s">
        <v>592</v>
      </c>
      <c r="G45" s="143">
        <v>6000000</v>
      </c>
      <c r="H45" s="4">
        <v>2</v>
      </c>
      <c r="I45" s="143">
        <v>1024.8690033099999</v>
      </c>
      <c r="J45" s="144">
        <v>1.3883126853820364</v>
      </c>
      <c r="K45" s="145">
        <v>1.6191101041777546E-2</v>
      </c>
      <c r="L45" s="146">
        <v>84</v>
      </c>
      <c r="M45" s="58">
        <v>84</v>
      </c>
      <c r="N45" s="58">
        <v>27</v>
      </c>
      <c r="O45" s="147">
        <v>8</v>
      </c>
      <c r="P45" s="148">
        <v>4.8962807921009002E-2</v>
      </c>
      <c r="Q45" s="148">
        <v>3.9318047917215E-2</v>
      </c>
      <c r="R45" s="148">
        <v>3.1879587052126998E-2</v>
      </c>
      <c r="S45" s="153">
        <v>8.0955505208887724E-2</v>
      </c>
      <c r="T45" s="154">
        <v>6.3759174104253996E-2</v>
      </c>
      <c r="U45" s="155">
        <v>30</v>
      </c>
      <c r="V45" s="159">
        <v>0.12952880833422037</v>
      </c>
      <c r="W45" s="160">
        <v>0.12751834820850799</v>
      </c>
      <c r="X45" s="161">
        <v>60</v>
      </c>
      <c r="Y45" s="165">
        <v>0.16191101041777545</v>
      </c>
      <c r="Z45" s="166">
        <v>0.19127752231276199</v>
      </c>
      <c r="AA45" s="167">
        <v>90</v>
      </c>
    </row>
    <row r="46" spans="2:27" x14ac:dyDescent="0.25">
      <c r="B46" s="51" t="s">
        <v>3150</v>
      </c>
      <c r="C46" s="4" t="s">
        <v>4194</v>
      </c>
      <c r="D46" s="142" t="e">
        <v>#VALUE!</v>
      </c>
      <c r="E46" s="142" t="e">
        <v>#VALUE!</v>
      </c>
      <c r="F46" s="4" t="s">
        <v>592</v>
      </c>
      <c r="G46" s="143">
        <v>10500000</v>
      </c>
      <c r="H46" s="4">
        <v>5</v>
      </c>
      <c r="I46" s="143">
        <v>107035.71</v>
      </c>
      <c r="J46" s="144">
        <v>2.43057590978247</v>
      </c>
      <c r="K46" s="145">
        <v>6.3045349236879903E-3</v>
      </c>
      <c r="L46" s="146">
        <v>18</v>
      </c>
      <c r="M46" s="58">
        <v>18</v>
      </c>
      <c r="N46" s="58">
        <v>3</v>
      </c>
      <c r="O46" s="147">
        <v>1</v>
      </c>
      <c r="P46" s="148">
        <v>2.6696899724806999E-2</v>
      </c>
      <c r="Q46" s="148">
        <v>2.045273345951E-2</v>
      </c>
      <c r="R46" s="148">
        <v>1.5636959258674001E-2</v>
      </c>
      <c r="S46" s="153">
        <v>7.4999999999999997E-2</v>
      </c>
      <c r="T46" s="154">
        <v>3.1273918517348002E-2</v>
      </c>
      <c r="U46" s="155">
        <v>6.7000000000000011</v>
      </c>
      <c r="V46" s="159">
        <v>0.125</v>
      </c>
      <c r="W46" s="160">
        <v>6.2547837034696005E-2</v>
      </c>
      <c r="X46" s="161">
        <v>13.400000000000002</v>
      </c>
      <c r="Y46" s="165">
        <v>0.15</v>
      </c>
      <c r="Z46" s="166">
        <v>0.12</v>
      </c>
      <c r="AA46" s="167">
        <v>20.100000000000001</v>
      </c>
    </row>
    <row r="47" spans="2:27" x14ac:dyDescent="0.25">
      <c r="B47" s="51" t="s">
        <v>3173</v>
      </c>
      <c r="C47" s="4" t="s">
        <v>4195</v>
      </c>
      <c r="D47" s="142" t="e">
        <v>#VALUE!</v>
      </c>
      <c r="E47" s="142" t="e">
        <v>#VALUE!</v>
      </c>
      <c r="F47" s="4" t="s">
        <v>592</v>
      </c>
      <c r="G47" s="143">
        <v>7000000</v>
      </c>
      <c r="H47" s="4">
        <v>6</v>
      </c>
      <c r="I47" s="143">
        <v>1650559.4875</v>
      </c>
      <c r="J47" s="144">
        <v>2.8220607708016758</v>
      </c>
      <c r="K47" s="145">
        <v>3.9470323042035224E-2</v>
      </c>
      <c r="L47" s="146">
        <v>1</v>
      </c>
      <c r="M47" s="58">
        <v>1</v>
      </c>
      <c r="N47" s="58">
        <v>1</v>
      </c>
      <c r="O47" s="147">
        <v>1</v>
      </c>
      <c r="P47" s="148">
        <v>3.1415371851925E-3</v>
      </c>
      <c r="Q47" s="148">
        <v>1.9007706861640999E-3</v>
      </c>
      <c r="R47" s="148">
        <v>1E-4</v>
      </c>
      <c r="S47" s="153">
        <v>0.19735161521017613</v>
      </c>
      <c r="T47" s="154">
        <v>0.03</v>
      </c>
      <c r="U47" s="155">
        <v>5</v>
      </c>
      <c r="V47" s="159">
        <v>0.31576258433628179</v>
      </c>
      <c r="W47" s="160">
        <v>0.06</v>
      </c>
      <c r="X47" s="161">
        <v>10</v>
      </c>
      <c r="Y47" s="165">
        <v>0.39470323042035227</v>
      </c>
      <c r="Z47" s="166">
        <v>0.12</v>
      </c>
      <c r="AA47" s="167">
        <v>15</v>
      </c>
    </row>
    <row r="48" spans="2:27" x14ac:dyDescent="0.25">
      <c r="B48" s="51" t="s">
        <v>2152</v>
      </c>
      <c r="C48" s="4" t="s">
        <v>4196</v>
      </c>
      <c r="D48" s="142" t="e">
        <v>#VALUE!</v>
      </c>
      <c r="E48" s="142" t="e">
        <v>#VALUE!</v>
      </c>
      <c r="F48" s="4" t="s">
        <v>592</v>
      </c>
      <c r="G48" s="143">
        <v>19167326.48</v>
      </c>
      <c r="H48" s="4">
        <v>2</v>
      </c>
      <c r="I48" s="143">
        <v>1021.2323</v>
      </c>
      <c r="J48" s="144">
        <v>1.444499454638992</v>
      </c>
      <c r="K48" s="145">
        <v>1.2483844744542456E-2</v>
      </c>
      <c r="L48" s="146">
        <v>100</v>
      </c>
      <c r="M48" s="58">
        <v>100</v>
      </c>
      <c r="N48" s="58">
        <v>100</v>
      </c>
      <c r="O48" s="147">
        <v>76</v>
      </c>
      <c r="P48" s="148">
        <v>8.1894403903091995E-2</v>
      </c>
      <c r="Q48" s="148">
        <v>6.8750163429372999E-2</v>
      </c>
      <c r="R48" s="148">
        <v>5.8612750126541997E-2</v>
      </c>
      <c r="S48" s="153">
        <v>6.25E-2</v>
      </c>
      <c r="T48" s="154">
        <v>8.7919125189812999E-2</v>
      </c>
      <c r="U48" s="155">
        <v>30</v>
      </c>
      <c r="V48" s="159">
        <v>0.1</v>
      </c>
      <c r="W48" s="160">
        <v>0.175838250379626</v>
      </c>
      <c r="X48" s="161">
        <v>60</v>
      </c>
      <c r="Y48" s="165">
        <v>0.125</v>
      </c>
      <c r="Z48" s="166">
        <v>0.26375737556943901</v>
      </c>
      <c r="AA48" s="167">
        <v>90</v>
      </c>
    </row>
    <row r="49" spans="2:27" x14ac:dyDescent="0.25">
      <c r="B49" s="51" t="s">
        <v>2154</v>
      </c>
      <c r="C49" s="4" t="s">
        <v>4196</v>
      </c>
      <c r="D49" s="142" t="e">
        <v>#VALUE!</v>
      </c>
      <c r="E49" s="142" t="e">
        <v>#VALUE!</v>
      </c>
      <c r="F49" s="4" t="s">
        <v>592</v>
      </c>
      <c r="G49" s="143">
        <v>21467405.66</v>
      </c>
      <c r="H49" s="4">
        <v>2</v>
      </c>
      <c r="I49" s="143">
        <v>1016.76465</v>
      </c>
      <c r="J49" s="144">
        <v>1.4481402729955173</v>
      </c>
      <c r="K49" s="145">
        <v>1.2483844744542456E-2</v>
      </c>
      <c r="L49" s="146">
        <v>100</v>
      </c>
      <c r="M49" s="58">
        <v>100</v>
      </c>
      <c r="N49" s="58">
        <v>100</v>
      </c>
      <c r="O49" s="147">
        <v>95</v>
      </c>
      <c r="P49" s="148">
        <v>8.7310832641292996E-2</v>
      </c>
      <c r="Q49" s="148">
        <v>7.3488799052856005E-2</v>
      </c>
      <c r="R49" s="148">
        <v>6.2828642047075001E-2</v>
      </c>
      <c r="S49" s="153">
        <v>6.25E-2</v>
      </c>
      <c r="T49" s="154">
        <v>9.4242963070612501E-2</v>
      </c>
      <c r="U49" s="155">
        <v>30</v>
      </c>
      <c r="V49" s="159">
        <v>0.1</v>
      </c>
      <c r="W49" s="160">
        <v>0.188485926141225</v>
      </c>
      <c r="X49" s="161">
        <v>60</v>
      </c>
      <c r="Y49" s="165">
        <v>0.125</v>
      </c>
      <c r="Z49" s="166">
        <v>0.28272888921183748</v>
      </c>
      <c r="AA49" s="167">
        <v>90</v>
      </c>
    </row>
    <row r="50" spans="2:27" x14ac:dyDescent="0.25">
      <c r="B50" s="51" t="s">
        <v>2706</v>
      </c>
      <c r="C50" s="4" t="s">
        <v>4197</v>
      </c>
      <c r="D50" s="142" t="e">
        <v>#VALUE!</v>
      </c>
      <c r="E50" s="142" t="e">
        <v>#VALUE!</v>
      </c>
      <c r="F50" s="4" t="s">
        <v>592</v>
      </c>
      <c r="G50" s="143">
        <v>15606473.02</v>
      </c>
      <c r="H50" s="4">
        <v>6</v>
      </c>
      <c r="I50" s="143">
        <v>79285.710000000006</v>
      </c>
      <c r="J50" s="144">
        <v>2.6449779126051394</v>
      </c>
      <c r="K50" s="145">
        <v>3.080678431836566E-3</v>
      </c>
      <c r="L50" s="146">
        <v>48</v>
      </c>
      <c r="M50" s="58">
        <v>48</v>
      </c>
      <c r="N50" s="58">
        <v>12</v>
      </c>
      <c r="O50" s="147">
        <v>3</v>
      </c>
      <c r="P50" s="148">
        <v>3.8442991848962001E-2</v>
      </c>
      <c r="Q50" s="148">
        <v>3.0410771783838001E-2</v>
      </c>
      <c r="R50" s="148">
        <v>2.4215972266722001E-2</v>
      </c>
      <c r="S50" s="153">
        <v>6.25E-2</v>
      </c>
      <c r="T50" s="154">
        <v>3.6323958400082998E-2</v>
      </c>
      <c r="U50" s="155">
        <v>19.2</v>
      </c>
      <c r="V50" s="159">
        <v>0.1</v>
      </c>
      <c r="W50" s="160">
        <v>7.2647916800165996E-2</v>
      </c>
      <c r="X50" s="161">
        <v>38.4</v>
      </c>
      <c r="Y50" s="165">
        <v>0.125</v>
      </c>
      <c r="Z50" s="166">
        <v>0.10897187520024901</v>
      </c>
      <c r="AA50" s="167">
        <v>57.599999999999994</v>
      </c>
    </row>
    <row r="51" spans="2:27" x14ac:dyDescent="0.25">
      <c r="B51" s="51" t="s">
        <v>2459</v>
      </c>
      <c r="C51" s="4" t="s">
        <v>4198</v>
      </c>
      <c r="D51" s="142" t="e">
        <v>#VALUE!</v>
      </c>
      <c r="E51" s="142" t="e">
        <v>#VALUE!</v>
      </c>
      <c r="F51" s="4" t="s">
        <v>592</v>
      </c>
      <c r="G51" s="143">
        <v>10000000</v>
      </c>
      <c r="H51" s="4">
        <v>3</v>
      </c>
      <c r="I51" s="143">
        <v>1008.78524787</v>
      </c>
      <c r="J51" s="144">
        <v>1.5739765658670222</v>
      </c>
      <c r="K51" s="145">
        <v>1.5063066480099599E-2</v>
      </c>
      <c r="L51" s="146">
        <v>100</v>
      </c>
      <c r="M51" s="58">
        <v>100</v>
      </c>
      <c r="N51" s="58">
        <v>36</v>
      </c>
      <c r="O51" s="147">
        <v>12</v>
      </c>
      <c r="P51" s="148">
        <v>5.3737326322241E-2</v>
      </c>
      <c r="Q51" s="148">
        <v>4.3394820819235E-2</v>
      </c>
      <c r="R51" s="148">
        <v>3.5418228099373998E-2</v>
      </c>
      <c r="S51" s="153">
        <v>7.5315332400497995E-2</v>
      </c>
      <c r="T51" s="154">
        <v>7.0836456198747996E-2</v>
      </c>
      <c r="U51" s="155">
        <v>30</v>
      </c>
      <c r="V51" s="159">
        <v>0.125</v>
      </c>
      <c r="W51" s="160">
        <v>0.14167291239749599</v>
      </c>
      <c r="X51" s="161">
        <v>60</v>
      </c>
      <c r="Y51" s="165">
        <v>0.15063066480099599</v>
      </c>
      <c r="Z51" s="166">
        <v>0.21250936859624397</v>
      </c>
      <c r="AA51" s="167">
        <v>90</v>
      </c>
    </row>
    <row r="52" spans="2:27" x14ac:dyDescent="0.25">
      <c r="B52" s="51" t="s">
        <v>3299</v>
      </c>
      <c r="C52" s="4" t="s">
        <v>4199</v>
      </c>
      <c r="D52" s="142" t="e">
        <v>#VALUE!</v>
      </c>
      <c r="E52" s="142" t="e">
        <v>#VALUE!</v>
      </c>
      <c r="F52" s="4" t="s">
        <v>592</v>
      </c>
      <c r="G52" s="143">
        <v>3000000</v>
      </c>
      <c r="H52" s="4">
        <v>5</v>
      </c>
      <c r="I52" s="143">
        <v>992.54700000000003</v>
      </c>
      <c r="J52" s="144">
        <v>2.3940935184350178</v>
      </c>
      <c r="K52" s="145">
        <v>8.1833923050341571E-3</v>
      </c>
      <c r="L52" s="146">
        <v>1</v>
      </c>
      <c r="M52" s="58">
        <v>1</v>
      </c>
      <c r="N52" s="58">
        <v>1</v>
      </c>
      <c r="O52" s="147">
        <v>1</v>
      </c>
      <c r="P52" s="148">
        <v>6.7630410884918996E-3</v>
      </c>
      <c r="Q52" s="148">
        <v>4.6411972435059998E-3</v>
      </c>
      <c r="R52" s="148">
        <v>3.0047384413639001E-3</v>
      </c>
      <c r="S52" s="153">
        <v>7.4999999999999997E-2</v>
      </c>
      <c r="T52" s="154">
        <v>0.03</v>
      </c>
      <c r="U52" s="155">
        <v>5</v>
      </c>
      <c r="V52" s="159">
        <v>0.125</v>
      </c>
      <c r="W52" s="160">
        <v>0.06</v>
      </c>
      <c r="X52" s="161">
        <v>10</v>
      </c>
      <c r="Y52" s="165">
        <v>0.15</v>
      </c>
      <c r="Z52" s="166">
        <v>0.12</v>
      </c>
      <c r="AA52" s="167">
        <v>15</v>
      </c>
    </row>
    <row r="53" spans="2:27" x14ac:dyDescent="0.25">
      <c r="B53" s="51" t="s">
        <v>2018</v>
      </c>
      <c r="C53" s="4" t="s">
        <v>4200</v>
      </c>
      <c r="D53" s="142" t="e">
        <v>#VALUE!</v>
      </c>
      <c r="E53" s="142" t="e">
        <v>#VALUE!</v>
      </c>
      <c r="F53" s="4" t="s">
        <v>592</v>
      </c>
      <c r="G53" s="143">
        <v>2000000</v>
      </c>
      <c r="H53" s="4">
        <v>5</v>
      </c>
      <c r="I53" s="143">
        <v>1019.2619999999999</v>
      </c>
      <c r="J53" s="144">
        <v>2.2628806592472577</v>
      </c>
      <c r="K53" s="145">
        <v>2.2055001449293606E-3</v>
      </c>
      <c r="L53" s="146">
        <v>5</v>
      </c>
      <c r="M53" s="58">
        <v>5</v>
      </c>
      <c r="N53" s="58">
        <v>1</v>
      </c>
      <c r="O53" s="147">
        <v>1</v>
      </c>
      <c r="P53" s="148">
        <v>1.6022930084463999E-2</v>
      </c>
      <c r="Q53" s="148">
        <v>1.2089978333402999E-2</v>
      </c>
      <c r="R53" s="148">
        <v>9.0567138796437997E-3</v>
      </c>
      <c r="S53" s="153">
        <v>7.4999999999999997E-2</v>
      </c>
      <c r="T53" s="154">
        <v>0.03</v>
      </c>
      <c r="U53" s="155">
        <v>5</v>
      </c>
      <c r="V53" s="159">
        <v>0.125</v>
      </c>
      <c r="W53" s="160">
        <v>0.06</v>
      </c>
      <c r="X53" s="161">
        <v>10</v>
      </c>
      <c r="Y53" s="165">
        <v>0.15</v>
      </c>
      <c r="Z53" s="166">
        <v>0.12</v>
      </c>
      <c r="AA53" s="167">
        <v>15</v>
      </c>
    </row>
    <row r="54" spans="2:27" x14ac:dyDescent="0.25">
      <c r="B54" s="51" t="s">
        <v>2421</v>
      </c>
      <c r="C54" s="4" t="s">
        <v>4201</v>
      </c>
      <c r="D54" s="142" t="e">
        <v>#VALUE!</v>
      </c>
      <c r="E54" s="142" t="e">
        <v>#VALUE!</v>
      </c>
      <c r="F54" s="4" t="s">
        <v>592</v>
      </c>
      <c r="G54" s="143">
        <v>12000000</v>
      </c>
      <c r="H54" s="4">
        <v>6</v>
      </c>
      <c r="I54" s="143">
        <v>2014.2842000000001</v>
      </c>
      <c r="J54" s="144">
        <v>3.1532058266143053</v>
      </c>
      <c r="K54" s="145">
        <v>5.5234064285958279E-3</v>
      </c>
      <c r="L54" s="146">
        <v>1</v>
      </c>
      <c r="M54" s="58">
        <v>1</v>
      </c>
      <c r="N54" s="58">
        <v>1</v>
      </c>
      <c r="O54" s="147">
        <v>1</v>
      </c>
      <c r="P54" s="148">
        <v>6.8290205211512002E-3</v>
      </c>
      <c r="Q54" s="148">
        <v>4.6514081720148001E-3</v>
      </c>
      <c r="R54" s="148">
        <v>2.9719382596466002E-3</v>
      </c>
      <c r="S54" s="153">
        <v>7.4999999999999997E-2</v>
      </c>
      <c r="T54" s="154">
        <v>0.03</v>
      </c>
      <c r="U54" s="155">
        <v>5</v>
      </c>
      <c r="V54" s="159">
        <v>0.125</v>
      </c>
      <c r="W54" s="160">
        <v>0.06</v>
      </c>
      <c r="X54" s="161">
        <v>10</v>
      </c>
      <c r="Y54" s="165">
        <v>0.15</v>
      </c>
      <c r="Z54" s="166">
        <v>0.12</v>
      </c>
      <c r="AA54" s="167">
        <v>15</v>
      </c>
    </row>
    <row r="55" spans="2:27" x14ac:dyDescent="0.25">
      <c r="B55" s="51" t="s">
        <v>1869</v>
      </c>
      <c r="C55" s="4" t="s">
        <v>4202</v>
      </c>
      <c r="D55" s="142" t="e">
        <v>#VALUE!</v>
      </c>
      <c r="E55" s="142" t="e">
        <v>#VALUE!</v>
      </c>
      <c r="F55" s="4" t="s">
        <v>592</v>
      </c>
      <c r="G55" s="143">
        <v>4286000</v>
      </c>
      <c r="H55" s="4">
        <v>6</v>
      </c>
      <c r="I55" s="143">
        <v>946.11789999999996</v>
      </c>
      <c r="J55" s="144">
        <v>3.126422078921661</v>
      </c>
      <c r="K55" s="145">
        <v>5.5234064285958279E-3</v>
      </c>
      <c r="L55" s="146">
        <v>1</v>
      </c>
      <c r="M55" s="58">
        <v>1</v>
      </c>
      <c r="N55" s="58">
        <v>1</v>
      </c>
      <c r="O55" s="147">
        <v>1</v>
      </c>
      <c r="P55" s="148">
        <v>3.6015172893974E-3</v>
      </c>
      <c r="Q55" s="148">
        <v>2.3045001765977999E-3</v>
      </c>
      <c r="R55" s="148">
        <v>1.3041838357958E-3</v>
      </c>
      <c r="S55" s="153">
        <v>7.4999999999999997E-2</v>
      </c>
      <c r="T55" s="154">
        <v>0.03</v>
      </c>
      <c r="U55" s="155">
        <v>5</v>
      </c>
      <c r="V55" s="159">
        <v>0.125</v>
      </c>
      <c r="W55" s="160">
        <v>0.06</v>
      </c>
      <c r="X55" s="161">
        <v>10</v>
      </c>
      <c r="Y55" s="165">
        <v>0.15</v>
      </c>
      <c r="Z55" s="166">
        <v>0.12</v>
      </c>
      <c r="AA55" s="167">
        <v>15</v>
      </c>
    </row>
    <row r="56" spans="2:27" x14ac:dyDescent="0.25">
      <c r="B56" s="51" t="s">
        <v>2008</v>
      </c>
      <c r="C56" s="4" t="s">
        <v>4203</v>
      </c>
      <c r="D56" s="142" t="e">
        <v>#VALUE!</v>
      </c>
      <c r="E56" s="142" t="e">
        <v>#VALUE!</v>
      </c>
      <c r="F56" s="4" t="s">
        <v>592</v>
      </c>
      <c r="G56" s="143">
        <v>7825169.5580000002</v>
      </c>
      <c r="H56" s="4">
        <v>7</v>
      </c>
      <c r="I56" s="143">
        <v>46948.811999999998</v>
      </c>
      <c r="J56" s="144">
        <v>3.674114407955718</v>
      </c>
      <c r="K56" s="145">
        <v>2.1269378404789232E-3</v>
      </c>
      <c r="L56" s="146">
        <v>1</v>
      </c>
      <c r="M56" s="58">
        <v>1</v>
      </c>
      <c r="N56" s="58">
        <v>1</v>
      </c>
      <c r="O56" s="147">
        <v>1</v>
      </c>
      <c r="P56" s="148">
        <v>5.0132749395446997E-3</v>
      </c>
      <c r="Q56" s="148">
        <v>3.4897112283855001E-3</v>
      </c>
      <c r="R56" s="148">
        <v>2.3146722397048001E-3</v>
      </c>
      <c r="S56" s="153">
        <v>7.4999999999999997E-2</v>
      </c>
      <c r="T56" s="154">
        <v>0.03</v>
      </c>
      <c r="U56" s="155">
        <v>5</v>
      </c>
      <c r="V56" s="159">
        <v>0.125</v>
      </c>
      <c r="W56" s="160">
        <v>0.06</v>
      </c>
      <c r="X56" s="161">
        <v>10</v>
      </c>
      <c r="Y56" s="165">
        <v>0.15</v>
      </c>
      <c r="Z56" s="166">
        <v>0.12</v>
      </c>
      <c r="AA56" s="167">
        <v>15</v>
      </c>
    </row>
    <row r="57" spans="2:27" x14ac:dyDescent="0.25">
      <c r="B57" s="51" t="s">
        <v>3137</v>
      </c>
      <c r="C57" s="4" t="s">
        <v>4204</v>
      </c>
      <c r="D57" s="142" t="e">
        <v>#VALUE!</v>
      </c>
      <c r="E57" s="142" t="e">
        <v>#VALUE!</v>
      </c>
      <c r="F57" s="4" t="s">
        <v>592</v>
      </c>
      <c r="G57" s="143">
        <v>5200000</v>
      </c>
      <c r="H57" s="4">
        <v>5</v>
      </c>
      <c r="I57" s="143">
        <v>858.77940000000001</v>
      </c>
      <c r="J57" s="144">
        <v>2.2887623403238928</v>
      </c>
      <c r="K57" s="145">
        <v>1.1428466822844874E-2</v>
      </c>
      <c r="L57" s="146">
        <v>1</v>
      </c>
      <c r="M57" s="58">
        <v>1</v>
      </c>
      <c r="N57" s="58">
        <v>1</v>
      </c>
      <c r="O57" s="147">
        <v>1</v>
      </c>
      <c r="P57" s="148">
        <v>9.6913291646167996E-3</v>
      </c>
      <c r="Q57" s="148">
        <v>7.2089154444044999E-3</v>
      </c>
      <c r="R57" s="148">
        <v>5.2943693798581997E-3</v>
      </c>
      <c r="S57" s="153">
        <v>7.4999999999999997E-2</v>
      </c>
      <c r="T57" s="154">
        <v>0.03</v>
      </c>
      <c r="U57" s="155">
        <v>5</v>
      </c>
      <c r="V57" s="159">
        <v>0.125</v>
      </c>
      <c r="W57" s="160">
        <v>0.06</v>
      </c>
      <c r="X57" s="161">
        <v>10</v>
      </c>
      <c r="Y57" s="165">
        <v>0.15</v>
      </c>
      <c r="Z57" s="166">
        <v>0.12</v>
      </c>
      <c r="AA57" s="167">
        <v>15</v>
      </c>
    </row>
    <row r="58" spans="2:27" x14ac:dyDescent="0.25">
      <c r="B58" s="51" t="s">
        <v>3307</v>
      </c>
      <c r="C58" s="4" t="s">
        <v>4205</v>
      </c>
      <c r="D58" s="142" t="e">
        <v>#VALUE!</v>
      </c>
      <c r="E58" s="142" t="e">
        <v>#VALUE!</v>
      </c>
      <c r="F58" s="4" t="s">
        <v>592</v>
      </c>
      <c r="G58" s="143">
        <v>50000000</v>
      </c>
      <c r="H58" s="4" t="s">
        <v>592</v>
      </c>
      <c r="I58" s="143" t="s">
        <v>592</v>
      </c>
      <c r="J58" s="144" t="s">
        <v>146</v>
      </c>
      <c r="K58" s="145" t="e">
        <v>#N/A</v>
      </c>
      <c r="L58" s="146" t="e">
        <v>#N/A</v>
      </c>
      <c r="M58" s="58" t="e">
        <v>#N/A</v>
      </c>
      <c r="N58" s="58" t="e">
        <v>#N/A</v>
      </c>
      <c r="O58" s="147" t="e">
        <v>#N/A</v>
      </c>
      <c r="P58" s="148" t="e">
        <v>#N/A</v>
      </c>
      <c r="Q58" s="148" t="e">
        <v>#N/A</v>
      </c>
      <c r="R58" s="148" t="e">
        <v>#N/A</v>
      </c>
      <c r="S58" s="153" t="e">
        <v>#N/A</v>
      </c>
      <c r="T58" s="154" t="e">
        <v>#N/A</v>
      </c>
      <c r="U58" s="155" t="e">
        <v>#N/A</v>
      </c>
      <c r="V58" s="159" t="e">
        <v>#N/A</v>
      </c>
      <c r="W58" s="160" t="e">
        <v>#N/A</v>
      </c>
      <c r="X58" s="161" t="e">
        <v>#N/A</v>
      </c>
      <c r="Y58" s="165" t="e">
        <v>#N/A</v>
      </c>
      <c r="Z58" s="166" t="e">
        <v>#N/A</v>
      </c>
      <c r="AA58" s="167" t="e">
        <v>#N/A</v>
      </c>
    </row>
    <row r="59" spans="2:27" x14ac:dyDescent="0.25">
      <c r="B59" s="51" t="s">
        <v>655</v>
      </c>
      <c r="C59" s="4" t="s">
        <v>682</v>
      </c>
      <c r="D59" s="142" t="e">
        <v>#VALUE!</v>
      </c>
      <c r="E59" s="142" t="e">
        <v>#VALUE!</v>
      </c>
      <c r="F59" s="4" t="s">
        <v>592</v>
      </c>
      <c r="G59" s="143">
        <v>50000000</v>
      </c>
      <c r="H59" s="4">
        <v>3</v>
      </c>
      <c r="I59" s="143">
        <v>12167.160809331001</v>
      </c>
      <c r="J59" s="144">
        <v>1.7476328284033908</v>
      </c>
      <c r="K59" s="145">
        <v>7.4691539740468684E-3</v>
      </c>
      <c r="L59" s="146">
        <v>100</v>
      </c>
      <c r="M59" s="58">
        <v>100</v>
      </c>
      <c r="N59" s="58">
        <v>100</v>
      </c>
      <c r="O59" s="147">
        <v>100</v>
      </c>
      <c r="P59" s="148" t="s">
        <v>411</v>
      </c>
      <c r="Q59" s="148" t="s">
        <v>411</v>
      </c>
      <c r="R59" s="148">
        <v>1E-3</v>
      </c>
      <c r="S59" s="153">
        <v>7.4999999999999997E-2</v>
      </c>
      <c r="T59" s="154">
        <v>0.03</v>
      </c>
      <c r="U59" s="155">
        <v>30</v>
      </c>
      <c r="V59" s="159">
        <v>0.125</v>
      </c>
      <c r="W59" s="160">
        <v>0.06</v>
      </c>
      <c r="X59" s="161">
        <v>60</v>
      </c>
      <c r="Y59" s="165">
        <v>0.15</v>
      </c>
      <c r="Z59" s="166">
        <v>0.12</v>
      </c>
      <c r="AA59" s="167">
        <v>90</v>
      </c>
    </row>
    <row r="60" spans="2:27" x14ac:dyDescent="0.25">
      <c r="B60" s="51" t="s">
        <v>2890</v>
      </c>
      <c r="C60" s="4" t="s">
        <v>4206</v>
      </c>
      <c r="D60" s="142" t="e">
        <v>#VALUE!</v>
      </c>
      <c r="E60" s="142" t="e">
        <v>#VALUE!</v>
      </c>
      <c r="F60" s="4" t="s">
        <v>592</v>
      </c>
      <c r="G60" s="143">
        <v>22895501.18</v>
      </c>
      <c r="H60" s="4">
        <v>6</v>
      </c>
      <c r="I60" s="143">
        <v>0</v>
      </c>
      <c r="J60" s="144">
        <v>3.3416986967604796</v>
      </c>
      <c r="K60" s="145">
        <v>6.7919828008208827E-4</v>
      </c>
      <c r="L60" s="146">
        <v>78</v>
      </c>
      <c r="M60" s="58">
        <v>78</v>
      </c>
      <c r="N60" s="58">
        <v>25</v>
      </c>
      <c r="O60" s="147">
        <v>7</v>
      </c>
      <c r="P60" s="148">
        <v>4.8129463773771003E-2</v>
      </c>
      <c r="Q60" s="148">
        <v>3.8531178414205003E-2</v>
      </c>
      <c r="R60" s="148">
        <v>3.1128560827972999E-2</v>
      </c>
      <c r="S60" s="153">
        <v>7.4999999999999997E-2</v>
      </c>
      <c r="T60" s="154">
        <v>6.2257121655945998E-2</v>
      </c>
      <c r="U60" s="155">
        <v>30</v>
      </c>
      <c r="V60" s="159">
        <v>0.125</v>
      </c>
      <c r="W60" s="160">
        <v>0.124514243311892</v>
      </c>
      <c r="X60" s="161">
        <v>60</v>
      </c>
      <c r="Y60" s="165">
        <v>0.15</v>
      </c>
      <c r="Z60" s="166">
        <v>0.186771364967838</v>
      </c>
      <c r="AA60" s="167">
        <v>90</v>
      </c>
    </row>
    <row r="61" spans="2:27" x14ac:dyDescent="0.25">
      <c r="B61" s="51" t="s">
        <v>2735</v>
      </c>
      <c r="C61" s="4" t="s">
        <v>4207</v>
      </c>
      <c r="D61" s="142" t="e">
        <v>#VALUE!</v>
      </c>
      <c r="E61" s="142" t="e">
        <v>#VALUE!</v>
      </c>
      <c r="F61" s="4" t="s">
        <v>592</v>
      </c>
      <c r="G61" s="143">
        <v>1738141.392</v>
      </c>
      <c r="H61" s="4">
        <v>5</v>
      </c>
      <c r="I61" s="143">
        <v>0</v>
      </c>
      <c r="J61" s="144">
        <v>2.5536658956980243</v>
      </c>
      <c r="K61" s="145">
        <v>1.5213910858388054E-3</v>
      </c>
      <c r="L61" s="146">
        <v>4</v>
      </c>
      <c r="M61" s="58">
        <v>4</v>
      </c>
      <c r="N61" s="58">
        <v>1</v>
      </c>
      <c r="O61" s="147">
        <v>1</v>
      </c>
      <c r="P61" s="148">
        <v>1.5711936101145001E-2</v>
      </c>
      <c r="Q61" s="148">
        <v>1.1334437942189E-2</v>
      </c>
      <c r="R61" s="148">
        <v>7.9583198501294999E-3</v>
      </c>
      <c r="S61" s="153">
        <v>7.4999999999999997E-2</v>
      </c>
      <c r="T61" s="154">
        <v>0.03</v>
      </c>
      <c r="U61" s="155">
        <v>5</v>
      </c>
      <c r="V61" s="159">
        <v>0.125</v>
      </c>
      <c r="W61" s="160">
        <v>0.06</v>
      </c>
      <c r="X61" s="161">
        <v>10</v>
      </c>
      <c r="Y61" s="165">
        <v>0.15</v>
      </c>
      <c r="Z61" s="166">
        <v>0.12</v>
      </c>
      <c r="AA61" s="167">
        <v>15</v>
      </c>
    </row>
    <row r="62" spans="2:27" x14ac:dyDescent="0.25">
      <c r="B62" s="51" t="s">
        <v>1645</v>
      </c>
      <c r="C62" s="4" t="s">
        <v>4208</v>
      </c>
      <c r="D62" s="142" t="e">
        <v>#VALUE!</v>
      </c>
      <c r="E62" s="142" t="e">
        <v>#VALUE!</v>
      </c>
      <c r="F62" s="4" t="s">
        <v>592</v>
      </c>
      <c r="G62" s="143">
        <v>4000000</v>
      </c>
      <c r="H62" s="4">
        <v>6</v>
      </c>
      <c r="I62" s="143">
        <v>864723.48628800001</v>
      </c>
      <c r="J62" s="144">
        <v>2.9474618943262398</v>
      </c>
      <c r="K62" s="145">
        <v>1.5492290459987887E-2</v>
      </c>
      <c r="L62" s="146">
        <v>1</v>
      </c>
      <c r="M62" s="58">
        <v>1</v>
      </c>
      <c r="N62" s="58">
        <v>1</v>
      </c>
      <c r="O62" s="147">
        <v>1</v>
      </c>
      <c r="P62" s="148">
        <v>2.5062988892358001E-3</v>
      </c>
      <c r="Q62" s="148">
        <v>1.1319288705448E-3</v>
      </c>
      <c r="R62" s="148">
        <v>1E-4</v>
      </c>
      <c r="S62" s="153">
        <v>7.7461452299939434E-2</v>
      </c>
      <c r="T62" s="154">
        <v>0.03</v>
      </c>
      <c r="U62" s="155">
        <v>5</v>
      </c>
      <c r="V62" s="159">
        <v>0.125</v>
      </c>
      <c r="W62" s="160">
        <v>0.06</v>
      </c>
      <c r="X62" s="161">
        <v>10</v>
      </c>
      <c r="Y62" s="165">
        <v>0.15492290459987887</v>
      </c>
      <c r="Z62" s="166">
        <v>0.12</v>
      </c>
      <c r="AA62" s="167">
        <v>15</v>
      </c>
    </row>
    <row r="63" spans="2:27" x14ac:dyDescent="0.25">
      <c r="B63" s="51" t="s">
        <v>2445</v>
      </c>
      <c r="C63" s="4" t="s">
        <v>4209</v>
      </c>
      <c r="D63" s="142" t="e">
        <v>#VALUE!</v>
      </c>
      <c r="E63" s="142" t="e">
        <v>#VALUE!</v>
      </c>
      <c r="F63" s="4" t="s">
        <v>592</v>
      </c>
      <c r="G63" s="143">
        <v>4000000</v>
      </c>
      <c r="H63" s="4">
        <v>4</v>
      </c>
      <c r="I63" s="143">
        <v>96858.632302761995</v>
      </c>
      <c r="J63" s="144">
        <v>1.8045899513341401</v>
      </c>
      <c r="K63" s="145">
        <v>2.4112855930590347E-2</v>
      </c>
      <c r="L63" s="146">
        <v>3</v>
      </c>
      <c r="M63" s="58">
        <v>3</v>
      </c>
      <c r="N63" s="58">
        <v>1</v>
      </c>
      <c r="O63" s="147">
        <v>1</v>
      </c>
      <c r="P63" s="148">
        <v>1.5116760327618E-2</v>
      </c>
      <c r="Q63" s="148">
        <v>1.0977888141616999E-2</v>
      </c>
      <c r="R63" s="148">
        <v>7.7858088395855998E-3</v>
      </c>
      <c r="S63" s="153">
        <v>0.12056427965295173</v>
      </c>
      <c r="T63" s="154">
        <v>0.03</v>
      </c>
      <c r="U63" s="155">
        <v>5</v>
      </c>
      <c r="V63" s="159">
        <v>0.19290284744472277</v>
      </c>
      <c r="W63" s="160">
        <v>0.06</v>
      </c>
      <c r="X63" s="161">
        <v>10</v>
      </c>
      <c r="Y63" s="165">
        <v>0.24112855930590346</v>
      </c>
      <c r="Z63" s="166">
        <v>0.12</v>
      </c>
      <c r="AA63" s="167">
        <v>15</v>
      </c>
    </row>
    <row r="64" spans="2:27" x14ac:dyDescent="0.25">
      <c r="B64" s="51" t="s">
        <v>1960</v>
      </c>
      <c r="C64" s="4" t="s">
        <v>4210</v>
      </c>
      <c r="D64" s="142" t="e">
        <v>#VALUE!</v>
      </c>
      <c r="E64" s="142" t="e">
        <v>#VALUE!</v>
      </c>
      <c r="F64" s="4" t="s">
        <v>592</v>
      </c>
      <c r="G64" s="143">
        <v>20000000</v>
      </c>
      <c r="H64" s="4">
        <v>6</v>
      </c>
      <c r="I64" s="143">
        <v>992.7251</v>
      </c>
      <c r="J64" s="144">
        <v>2.8092189877570384</v>
      </c>
      <c r="K64" s="145">
        <v>8.654989644807539E-3</v>
      </c>
      <c r="L64" s="146">
        <v>2</v>
      </c>
      <c r="M64" s="58">
        <v>2</v>
      </c>
      <c r="N64" s="58">
        <v>1</v>
      </c>
      <c r="O64" s="147">
        <v>1</v>
      </c>
      <c r="P64" s="148">
        <v>1.2805458882921001E-2</v>
      </c>
      <c r="Q64" s="148">
        <v>9.5022099140766002E-3</v>
      </c>
      <c r="R64" s="148">
        <v>6.9545997949317997E-3</v>
      </c>
      <c r="S64" s="153">
        <v>6.25E-2</v>
      </c>
      <c r="T64" s="154">
        <v>0.02</v>
      </c>
      <c r="U64" s="155">
        <v>5</v>
      </c>
      <c r="V64" s="159">
        <v>0.1</v>
      </c>
      <c r="W64" s="160">
        <v>0.04</v>
      </c>
      <c r="X64" s="161">
        <v>10</v>
      </c>
      <c r="Y64" s="165">
        <v>0.125</v>
      </c>
      <c r="Z64" s="166">
        <v>0.08</v>
      </c>
      <c r="AA64" s="167">
        <v>15</v>
      </c>
    </row>
    <row r="65" spans="2:27" x14ac:dyDescent="0.25">
      <c r="B65" s="51" t="s">
        <v>3574</v>
      </c>
      <c r="C65" s="4" t="s">
        <v>4211</v>
      </c>
      <c r="D65" s="142" t="e">
        <v>#VALUE!</v>
      </c>
      <c r="E65" s="142" t="e">
        <v>#VALUE!</v>
      </c>
      <c r="F65" s="4" t="s">
        <v>592</v>
      </c>
      <c r="G65" s="143">
        <v>10525451.73</v>
      </c>
      <c r="H65" s="4">
        <v>5</v>
      </c>
      <c r="I65" s="143">
        <v>1010.43</v>
      </c>
      <c r="J65" s="144">
        <v>2.5747362616610778</v>
      </c>
      <c r="K65" s="145">
        <v>1.2483844744542456E-2</v>
      </c>
      <c r="L65" s="146">
        <v>1</v>
      </c>
      <c r="M65" s="58">
        <v>1</v>
      </c>
      <c r="N65" s="58">
        <v>1</v>
      </c>
      <c r="O65" s="147">
        <v>1</v>
      </c>
      <c r="P65" s="148">
        <v>9.0908207086768996E-3</v>
      </c>
      <c r="Q65" s="148">
        <v>6.4527463653360996E-3</v>
      </c>
      <c r="R65" s="148">
        <v>4.4181480182112999E-3</v>
      </c>
      <c r="S65" s="153">
        <v>0.05</v>
      </c>
      <c r="T65" s="154">
        <v>1.4999999999999999E-2</v>
      </c>
      <c r="U65" s="155">
        <v>5</v>
      </c>
      <c r="V65" s="159">
        <v>7.4999999999999997E-2</v>
      </c>
      <c r="W65" s="160">
        <v>0.03</v>
      </c>
      <c r="X65" s="161">
        <v>10</v>
      </c>
      <c r="Y65" s="165">
        <v>0.1</v>
      </c>
      <c r="Z65" s="166">
        <v>0.06</v>
      </c>
      <c r="AA65" s="167">
        <v>15</v>
      </c>
    </row>
    <row r="66" spans="2:27" x14ac:dyDescent="0.25">
      <c r="B66" s="51" t="s">
        <v>2464</v>
      </c>
      <c r="C66" s="4" t="s">
        <v>4212</v>
      </c>
      <c r="D66" s="142" t="e">
        <v>#VALUE!</v>
      </c>
      <c r="E66" s="142" t="e">
        <v>#VALUE!</v>
      </c>
      <c r="F66" s="4" t="s">
        <v>592</v>
      </c>
      <c r="G66" s="143">
        <v>5000000</v>
      </c>
      <c r="H66" s="4">
        <v>4</v>
      </c>
      <c r="I66" s="143">
        <v>78299.068531195997</v>
      </c>
      <c r="J66" s="144">
        <v>1.803537705906215</v>
      </c>
      <c r="K66" s="145">
        <v>1.9539757073223925E-2</v>
      </c>
      <c r="L66" s="146">
        <v>8</v>
      </c>
      <c r="M66" s="58">
        <v>8</v>
      </c>
      <c r="N66" s="58">
        <v>1</v>
      </c>
      <c r="O66" s="147">
        <v>1</v>
      </c>
      <c r="P66" s="148">
        <v>2.0137752780253999E-2</v>
      </c>
      <c r="Q66" s="148">
        <v>1.5056278127690999E-2</v>
      </c>
      <c r="R66" s="148">
        <v>1.113722256538E-2</v>
      </c>
      <c r="S66" s="153">
        <v>9.7698785366119617E-2</v>
      </c>
      <c r="T66" s="154">
        <v>0.03</v>
      </c>
      <c r="U66" s="155">
        <v>5</v>
      </c>
      <c r="V66" s="159">
        <v>0.1563180565857914</v>
      </c>
      <c r="W66" s="160">
        <v>0.06</v>
      </c>
      <c r="X66" s="161">
        <v>10</v>
      </c>
      <c r="Y66" s="165">
        <v>0.19539757073223923</v>
      </c>
      <c r="Z66" s="166">
        <v>0.12</v>
      </c>
      <c r="AA66" s="167">
        <v>15</v>
      </c>
    </row>
    <row r="67" spans="2:27" x14ac:dyDescent="0.25">
      <c r="B67" s="51" t="s">
        <v>2448</v>
      </c>
      <c r="C67" s="4" t="s">
        <v>4213</v>
      </c>
      <c r="D67" s="142" t="e">
        <v>#VALUE!</v>
      </c>
      <c r="E67" s="142" t="e">
        <v>#VALUE!</v>
      </c>
      <c r="F67" s="4" t="s">
        <v>592</v>
      </c>
      <c r="G67" s="143">
        <v>17980879.879999999</v>
      </c>
      <c r="H67" s="4">
        <v>3</v>
      </c>
      <c r="I67" s="143">
        <v>974.83483999999999</v>
      </c>
      <c r="J67" s="144">
        <v>1.524015279726054</v>
      </c>
      <c r="K67" s="145">
        <v>1.2483844744542456E-2</v>
      </c>
      <c r="L67" s="146">
        <v>100</v>
      </c>
      <c r="M67" s="58">
        <v>100</v>
      </c>
      <c r="N67" s="58">
        <v>100</v>
      </c>
      <c r="O67" s="147">
        <v>39</v>
      </c>
      <c r="P67" s="148">
        <v>6.7924705915035993E-2</v>
      </c>
      <c r="Q67" s="148">
        <v>5.6576067946781002E-2</v>
      </c>
      <c r="R67" s="148">
        <v>4.7823501852267997E-2</v>
      </c>
      <c r="S67" s="153">
        <v>6.25E-2</v>
      </c>
      <c r="T67" s="154">
        <v>7.1735252778401995E-2</v>
      </c>
      <c r="U67" s="155">
        <v>30</v>
      </c>
      <c r="V67" s="159">
        <v>0.1</v>
      </c>
      <c r="W67" s="160">
        <v>0.14347050555680399</v>
      </c>
      <c r="X67" s="161">
        <v>60</v>
      </c>
      <c r="Y67" s="165">
        <v>0.125</v>
      </c>
      <c r="Z67" s="166">
        <v>0.215205758335206</v>
      </c>
      <c r="AA67" s="167">
        <v>90</v>
      </c>
    </row>
    <row r="68" spans="2:27" x14ac:dyDescent="0.25">
      <c r="B68" s="51" t="s">
        <v>2506</v>
      </c>
      <c r="C68" s="4" t="s">
        <v>4214</v>
      </c>
      <c r="D68" s="142" t="e">
        <v>#VALUE!</v>
      </c>
      <c r="E68" s="142" t="e">
        <v>#VALUE!</v>
      </c>
      <c r="F68" s="4" t="s">
        <v>592</v>
      </c>
      <c r="G68" s="143">
        <v>7353288.0219999999</v>
      </c>
      <c r="H68" s="4">
        <v>4</v>
      </c>
      <c r="I68" s="143">
        <v>7832.8622999999998</v>
      </c>
      <c r="J68" s="144">
        <v>1.8143202109579681</v>
      </c>
      <c r="K68" s="145">
        <v>1.2483844744542456E-2</v>
      </c>
      <c r="L68" s="146">
        <v>20</v>
      </c>
      <c r="M68" s="58">
        <v>20</v>
      </c>
      <c r="N68" s="58">
        <v>2</v>
      </c>
      <c r="O68" s="147">
        <v>1</v>
      </c>
      <c r="P68" s="148">
        <v>2.4023247605633999E-2</v>
      </c>
      <c r="Q68" s="148">
        <v>1.8921582371677001E-2</v>
      </c>
      <c r="R68" s="148">
        <v>1.4986954949673E-2</v>
      </c>
      <c r="S68" s="153">
        <v>6.25E-2</v>
      </c>
      <c r="T68" s="154">
        <v>2.2480432424509499E-2</v>
      </c>
      <c r="U68" s="155">
        <v>7</v>
      </c>
      <c r="V68" s="159">
        <v>0.1</v>
      </c>
      <c r="W68" s="160">
        <v>4.4960864849018997E-2</v>
      </c>
      <c r="X68" s="161">
        <v>14</v>
      </c>
      <c r="Y68" s="165">
        <v>0.125</v>
      </c>
      <c r="Z68" s="166">
        <v>0.08</v>
      </c>
      <c r="AA68" s="167">
        <v>21</v>
      </c>
    </row>
    <row r="69" spans="2:27" x14ac:dyDescent="0.25">
      <c r="B69" s="51" t="s">
        <v>2508</v>
      </c>
      <c r="C69" s="4" t="s">
        <v>4215</v>
      </c>
      <c r="D69" s="142" t="e">
        <v>#VALUE!</v>
      </c>
      <c r="E69" s="142" t="e">
        <v>#VALUE!</v>
      </c>
      <c r="F69" s="4" t="s">
        <v>592</v>
      </c>
      <c r="G69" s="143">
        <v>11994537.49</v>
      </c>
      <c r="H69" s="4">
        <v>1</v>
      </c>
      <c r="I69" s="143">
        <v>880.51842999999997</v>
      </c>
      <c r="J69" s="144">
        <v>0.99078719160739936</v>
      </c>
      <c r="K69" s="145">
        <v>3.9668390207758947E-2</v>
      </c>
      <c r="L69" s="146">
        <v>100</v>
      </c>
      <c r="M69" s="58">
        <v>100</v>
      </c>
      <c r="N69" s="58">
        <v>49</v>
      </c>
      <c r="O69" s="147">
        <v>14</v>
      </c>
      <c r="P69" s="148">
        <v>5.2487264936851998E-2</v>
      </c>
      <c r="Q69" s="148">
        <v>4.3356657606834999E-2</v>
      </c>
      <c r="R69" s="148">
        <v>3.6314733777511002E-2</v>
      </c>
      <c r="S69" s="153">
        <v>0.15867356083103579</v>
      </c>
      <c r="T69" s="154">
        <v>5.4472100666266503E-2</v>
      </c>
      <c r="U69" s="155">
        <v>30</v>
      </c>
      <c r="V69" s="159">
        <v>0.27767873145431266</v>
      </c>
      <c r="W69" s="160">
        <v>0.10894420133253301</v>
      </c>
      <c r="X69" s="161">
        <v>60</v>
      </c>
      <c r="Y69" s="165">
        <v>0.35701551186983049</v>
      </c>
      <c r="Z69" s="166">
        <v>0.1634163019987995</v>
      </c>
      <c r="AA69" s="167">
        <v>90</v>
      </c>
    </row>
    <row r="70" spans="2:27" x14ac:dyDescent="0.25">
      <c r="B70" s="51" t="s">
        <v>2507</v>
      </c>
      <c r="C70" s="4" t="s">
        <v>4216</v>
      </c>
      <c r="D70" s="142" t="e">
        <v>#VALUE!</v>
      </c>
      <c r="E70" s="142" t="e">
        <v>#VALUE!</v>
      </c>
      <c r="F70" s="4" t="s">
        <v>592</v>
      </c>
      <c r="G70" s="143">
        <v>14393097.939999999</v>
      </c>
      <c r="H70" s="4">
        <v>4</v>
      </c>
      <c r="I70" s="143">
        <v>1979.6244999999999</v>
      </c>
      <c r="J70" s="144">
        <v>2.0393772058307307</v>
      </c>
      <c r="K70" s="145">
        <v>1.2483844744542456E-2</v>
      </c>
      <c r="L70" s="146">
        <v>27</v>
      </c>
      <c r="M70" s="58">
        <v>27</v>
      </c>
      <c r="N70" s="58">
        <v>3</v>
      </c>
      <c r="O70" s="147">
        <v>1</v>
      </c>
      <c r="P70" s="148">
        <v>2.6762032756078E-2</v>
      </c>
      <c r="Q70" s="148">
        <v>2.1213329562127001E-2</v>
      </c>
      <c r="R70" s="148">
        <v>1.693392690784E-2</v>
      </c>
      <c r="S70" s="153">
        <v>6.25E-2</v>
      </c>
      <c r="T70" s="154">
        <v>2.5400890361759999E-2</v>
      </c>
      <c r="U70" s="155">
        <v>9.4000000000000021</v>
      </c>
      <c r="V70" s="159">
        <v>0.1</v>
      </c>
      <c r="W70" s="160">
        <v>5.0801780723519999E-2</v>
      </c>
      <c r="X70" s="161">
        <v>18.800000000000004</v>
      </c>
      <c r="Y70" s="165">
        <v>0.125</v>
      </c>
      <c r="Z70" s="166">
        <v>0.08</v>
      </c>
      <c r="AA70" s="167">
        <v>28.200000000000006</v>
      </c>
    </row>
    <row r="71" spans="2:27" x14ac:dyDescent="0.25">
      <c r="B71" s="51" t="s">
        <v>2453</v>
      </c>
      <c r="C71" s="4" t="s">
        <v>4217</v>
      </c>
      <c r="D71" s="142" t="e">
        <v>#VALUE!</v>
      </c>
      <c r="E71" s="142" t="e">
        <v>#VALUE!</v>
      </c>
      <c r="F71" s="4" t="s">
        <v>592</v>
      </c>
      <c r="G71" s="143">
        <v>75147064.920000002</v>
      </c>
      <c r="H71" s="4">
        <v>4</v>
      </c>
      <c r="I71" s="143">
        <v>966.90890000000002</v>
      </c>
      <c r="J71" s="144">
        <v>2.0403296963773121</v>
      </c>
      <c r="K71" s="145">
        <v>7.8806057518725683E-3</v>
      </c>
      <c r="L71" s="146">
        <v>100</v>
      </c>
      <c r="M71" s="58">
        <v>100</v>
      </c>
      <c r="N71" s="58">
        <v>100</v>
      </c>
      <c r="O71" s="147">
        <v>100</v>
      </c>
      <c r="P71" s="148" t="s">
        <v>411</v>
      </c>
      <c r="Q71" s="148">
        <v>8.9870438473082001E-2</v>
      </c>
      <c r="R71" s="148">
        <v>7.7492441344749002E-2</v>
      </c>
      <c r="S71" s="153">
        <v>6.25E-2</v>
      </c>
      <c r="T71" s="154">
        <v>0.1162386620171235</v>
      </c>
      <c r="U71" s="155">
        <v>30</v>
      </c>
      <c r="V71" s="159">
        <v>0.1</v>
      </c>
      <c r="W71" s="160">
        <v>0.23247732403424701</v>
      </c>
      <c r="X71" s="161">
        <v>60</v>
      </c>
      <c r="Y71" s="165">
        <v>0.125</v>
      </c>
      <c r="Z71" s="166">
        <v>0.3487159860513705</v>
      </c>
      <c r="AA71" s="167">
        <v>90</v>
      </c>
    </row>
    <row r="72" spans="2:27" x14ac:dyDescent="0.25">
      <c r="B72" s="51" t="s">
        <v>2973</v>
      </c>
      <c r="C72" s="4" t="s">
        <v>4218</v>
      </c>
      <c r="D72" s="142" t="e">
        <v>#VALUE!</v>
      </c>
      <c r="E72" s="142" t="e">
        <v>#VALUE!</v>
      </c>
      <c r="F72" s="4" t="s">
        <v>592</v>
      </c>
      <c r="G72" s="143">
        <v>10440000</v>
      </c>
      <c r="H72" s="4">
        <v>6</v>
      </c>
      <c r="I72" s="143">
        <v>1005.2061</v>
      </c>
      <c r="J72" s="144">
        <v>2.7382235566387756</v>
      </c>
      <c r="K72" s="145">
        <v>8.1833923050341571E-3</v>
      </c>
      <c r="L72" s="146">
        <v>1</v>
      </c>
      <c r="M72" s="58">
        <v>1</v>
      </c>
      <c r="N72" s="58">
        <v>1</v>
      </c>
      <c r="O72" s="147">
        <v>1</v>
      </c>
      <c r="P72" s="148">
        <v>9.3785538243089002E-3</v>
      </c>
      <c r="Q72" s="148">
        <v>6.6982866118554998E-3</v>
      </c>
      <c r="R72" s="148">
        <v>4.6311472781685997E-3</v>
      </c>
      <c r="S72" s="153">
        <v>7.4999999999999997E-2</v>
      </c>
      <c r="T72" s="154">
        <v>0.03</v>
      </c>
      <c r="U72" s="155">
        <v>5</v>
      </c>
      <c r="V72" s="159">
        <v>0.125</v>
      </c>
      <c r="W72" s="160">
        <v>0.06</v>
      </c>
      <c r="X72" s="161">
        <v>10</v>
      </c>
      <c r="Y72" s="165">
        <v>0.15</v>
      </c>
      <c r="Z72" s="166">
        <v>0.12</v>
      </c>
      <c r="AA72" s="167">
        <v>15</v>
      </c>
    </row>
    <row r="73" spans="2:27" x14ac:dyDescent="0.25">
      <c r="B73" s="51" t="s">
        <v>2090</v>
      </c>
      <c r="C73" s="4" t="s">
        <v>4219</v>
      </c>
      <c r="D73" s="142" t="e">
        <v>#VALUE!</v>
      </c>
      <c r="E73" s="142" t="e">
        <v>#VALUE!</v>
      </c>
      <c r="F73" s="4" t="s">
        <v>592</v>
      </c>
      <c r="G73" s="143">
        <v>7359842.6749999998</v>
      </c>
      <c r="H73" s="4">
        <v>5</v>
      </c>
      <c r="I73" s="143">
        <v>15178.571</v>
      </c>
      <c r="J73" s="144">
        <v>2.2210912621607921</v>
      </c>
      <c r="K73" s="145">
        <v>6.8403635384452722E-3</v>
      </c>
      <c r="L73" s="146">
        <v>19</v>
      </c>
      <c r="M73" s="58">
        <v>19</v>
      </c>
      <c r="N73" s="58">
        <v>3</v>
      </c>
      <c r="O73" s="147">
        <v>1</v>
      </c>
      <c r="P73" s="148">
        <v>2.7009671440282001E-2</v>
      </c>
      <c r="Q73" s="148">
        <v>2.0728329144842E-2</v>
      </c>
      <c r="R73" s="148">
        <v>1.5883883163140999E-2</v>
      </c>
      <c r="S73" s="153">
        <v>7.4999999999999997E-2</v>
      </c>
      <c r="T73" s="154">
        <v>3.1767766326281997E-2</v>
      </c>
      <c r="U73" s="155">
        <v>7</v>
      </c>
      <c r="V73" s="159">
        <v>0.125</v>
      </c>
      <c r="W73" s="160">
        <v>6.3535532652563995E-2</v>
      </c>
      <c r="X73" s="161">
        <v>14</v>
      </c>
      <c r="Y73" s="165">
        <v>0.15</v>
      </c>
      <c r="Z73" s="166">
        <v>0.12</v>
      </c>
      <c r="AA73" s="167">
        <v>21</v>
      </c>
    </row>
    <row r="74" spans="2:27" x14ac:dyDescent="0.25">
      <c r="B74" s="51" t="s">
        <v>3583</v>
      </c>
      <c r="C74" s="4" t="s">
        <v>4220</v>
      </c>
      <c r="D74" s="142" t="e">
        <v>#VALUE!</v>
      </c>
      <c r="E74" s="142" t="e">
        <v>#VALUE!</v>
      </c>
      <c r="F74" s="4" t="s">
        <v>592</v>
      </c>
      <c r="G74" s="143">
        <v>20000000</v>
      </c>
      <c r="H74" s="4">
        <v>6</v>
      </c>
      <c r="I74" s="143">
        <v>2078350.2</v>
      </c>
      <c r="J74" s="144">
        <v>3.0009257854815838</v>
      </c>
      <c r="K74" s="145">
        <v>3.2922530789543859E-2</v>
      </c>
      <c r="L74" s="146">
        <v>1</v>
      </c>
      <c r="M74" s="58">
        <v>1</v>
      </c>
      <c r="N74" s="58">
        <v>1</v>
      </c>
      <c r="O74" s="147">
        <v>1</v>
      </c>
      <c r="P74" s="148">
        <v>5.7405628177692996E-3</v>
      </c>
      <c r="Q74" s="148">
        <v>3.845300254609E-3</v>
      </c>
      <c r="R74" s="148">
        <v>2.3835908497520002E-3</v>
      </c>
      <c r="S74" s="153">
        <v>0.16461265394771929</v>
      </c>
      <c r="T74" s="154">
        <v>0.03</v>
      </c>
      <c r="U74" s="155">
        <v>5</v>
      </c>
      <c r="V74" s="159">
        <v>0.26338024631635087</v>
      </c>
      <c r="W74" s="160">
        <v>0.06</v>
      </c>
      <c r="X74" s="161">
        <v>10</v>
      </c>
      <c r="Y74" s="165">
        <v>0.32922530789543858</v>
      </c>
      <c r="Z74" s="166">
        <v>0.12</v>
      </c>
      <c r="AA74" s="167">
        <v>15</v>
      </c>
    </row>
    <row r="75" spans="2:27" x14ac:dyDescent="0.25">
      <c r="B75" s="51" t="s">
        <v>3298</v>
      </c>
      <c r="C75" s="4" t="s">
        <v>4221</v>
      </c>
      <c r="D75" s="142" t="e">
        <v>#VALUE!</v>
      </c>
      <c r="E75" s="142" t="e">
        <v>#VALUE!</v>
      </c>
      <c r="F75" s="4" t="s">
        <v>592</v>
      </c>
      <c r="G75" s="143">
        <v>4000000</v>
      </c>
      <c r="H75" s="4">
        <v>6</v>
      </c>
      <c r="I75" s="143">
        <v>870578.41666667</v>
      </c>
      <c r="J75" s="144">
        <v>2.7047108451855246</v>
      </c>
      <c r="K75" s="145">
        <v>2.7277045061583099E-2</v>
      </c>
      <c r="L75" s="146">
        <v>1</v>
      </c>
      <c r="M75" s="58">
        <v>1</v>
      </c>
      <c r="N75" s="58">
        <v>1</v>
      </c>
      <c r="O75" s="147">
        <v>1</v>
      </c>
      <c r="P75" s="148">
        <v>3.1124388007089999E-3</v>
      </c>
      <c r="Q75" s="148">
        <v>1.8293872355515E-3</v>
      </c>
      <c r="R75" s="148">
        <v>1E-4</v>
      </c>
      <c r="S75" s="153">
        <v>0.1363852253079155</v>
      </c>
      <c r="T75" s="154">
        <v>0.03</v>
      </c>
      <c r="U75" s="155">
        <v>5</v>
      </c>
      <c r="V75" s="159">
        <v>0.2182163604926648</v>
      </c>
      <c r="W75" s="160">
        <v>0.06</v>
      </c>
      <c r="X75" s="161">
        <v>10</v>
      </c>
      <c r="Y75" s="165">
        <v>0.27277045061583099</v>
      </c>
      <c r="Z75" s="166">
        <v>0.12</v>
      </c>
      <c r="AA75" s="167">
        <v>15</v>
      </c>
    </row>
    <row r="76" spans="2:27" x14ac:dyDescent="0.25">
      <c r="B76" s="51" t="s">
        <v>2525</v>
      </c>
      <c r="C76" s="4" t="s">
        <v>4222</v>
      </c>
      <c r="D76" s="142" t="e">
        <v>#VALUE!</v>
      </c>
      <c r="E76" s="142" t="e">
        <v>#VALUE!</v>
      </c>
      <c r="F76" s="4" t="s">
        <v>592</v>
      </c>
      <c r="G76" s="143">
        <v>4000000</v>
      </c>
      <c r="H76" s="4">
        <v>2</v>
      </c>
      <c r="I76" s="143">
        <v>1059.169122</v>
      </c>
      <c r="J76" s="144">
        <v>1.3224670770109379</v>
      </c>
      <c r="K76" s="145">
        <v>1.631273928563513E-2</v>
      </c>
      <c r="L76" s="146">
        <v>59</v>
      </c>
      <c r="M76" s="58">
        <v>59</v>
      </c>
      <c r="N76" s="58">
        <v>16</v>
      </c>
      <c r="O76" s="147">
        <v>4</v>
      </c>
      <c r="P76" s="148">
        <v>4.1946940630577002E-2</v>
      </c>
      <c r="Q76" s="148">
        <v>3.3343106859917003E-2</v>
      </c>
      <c r="R76" s="148">
        <v>2.6707453845472E-2</v>
      </c>
      <c r="S76" s="153">
        <v>8.1563696428175653E-2</v>
      </c>
      <c r="T76" s="154">
        <v>5.3414907690944001E-2</v>
      </c>
      <c r="U76" s="155">
        <v>24.100000000000005</v>
      </c>
      <c r="V76" s="159">
        <v>0.13050191428508104</v>
      </c>
      <c r="W76" s="160">
        <v>0.106829815381888</v>
      </c>
      <c r="X76" s="161">
        <v>48.20000000000001</v>
      </c>
      <c r="Y76" s="165">
        <v>0.16312739285635131</v>
      </c>
      <c r="Z76" s="166">
        <v>0.160244723072832</v>
      </c>
      <c r="AA76" s="167">
        <v>72.300000000000011</v>
      </c>
    </row>
    <row r="77" spans="2:27" x14ac:dyDescent="0.25">
      <c r="B77" s="51" t="s">
        <v>3076</v>
      </c>
      <c r="C77" s="4" t="s">
        <v>4223</v>
      </c>
      <c r="D77" s="142" t="e">
        <v>#VALUE!</v>
      </c>
      <c r="E77" s="142" t="e">
        <v>#VALUE!</v>
      </c>
      <c r="F77" s="4" t="s">
        <v>592</v>
      </c>
      <c r="G77" s="143">
        <v>3760436.6710000001</v>
      </c>
      <c r="H77" s="4">
        <v>7</v>
      </c>
      <c r="I77" s="143">
        <v>1004.9699000000001</v>
      </c>
      <c r="J77" s="144">
        <v>3.7675206960788992</v>
      </c>
      <c r="K77" s="145">
        <v>1.1428466822844874E-2</v>
      </c>
      <c r="L77" s="146">
        <v>1</v>
      </c>
      <c r="M77" s="58">
        <v>1</v>
      </c>
      <c r="N77" s="58">
        <v>1</v>
      </c>
      <c r="O77" s="147">
        <v>1</v>
      </c>
      <c r="P77" s="148">
        <v>5.9966236302986002E-4</v>
      </c>
      <c r="Q77" s="148">
        <v>1E-4</v>
      </c>
      <c r="R77" s="148">
        <v>1E-4</v>
      </c>
      <c r="S77" s="153">
        <v>7.4999999999999997E-2</v>
      </c>
      <c r="T77" s="154">
        <v>0.03</v>
      </c>
      <c r="U77" s="155">
        <v>5</v>
      </c>
      <c r="V77" s="159">
        <v>0.125</v>
      </c>
      <c r="W77" s="160">
        <v>0.06</v>
      </c>
      <c r="X77" s="161">
        <v>10</v>
      </c>
      <c r="Y77" s="165">
        <v>0.15</v>
      </c>
      <c r="Z77" s="166">
        <v>0.12</v>
      </c>
      <c r="AA77" s="167">
        <v>15</v>
      </c>
    </row>
    <row r="78" spans="2:27" x14ac:dyDescent="0.25">
      <c r="B78" s="51" t="s">
        <v>3080</v>
      </c>
      <c r="C78" s="4" t="s">
        <v>4223</v>
      </c>
      <c r="D78" s="142" t="e">
        <v>#VALUE!</v>
      </c>
      <c r="E78" s="142" t="e">
        <v>#VALUE!</v>
      </c>
      <c r="F78" s="4" t="s">
        <v>592</v>
      </c>
      <c r="G78" s="143">
        <v>5192983.9740000004</v>
      </c>
      <c r="H78" s="4">
        <v>7</v>
      </c>
      <c r="I78" s="143">
        <v>1003.4286499999999</v>
      </c>
      <c r="J78" s="144">
        <v>3.9737634337590806</v>
      </c>
      <c r="K78" s="145">
        <v>1.1428466822844874E-2</v>
      </c>
      <c r="L78" s="146">
        <v>1</v>
      </c>
      <c r="M78" s="58">
        <v>1</v>
      </c>
      <c r="N78" s="58">
        <v>1</v>
      </c>
      <c r="O78" s="147">
        <v>1</v>
      </c>
      <c r="P78" s="148">
        <v>4.4900149220709998E-4</v>
      </c>
      <c r="Q78" s="148">
        <v>1E-4</v>
      </c>
      <c r="R78" s="148">
        <v>1E-4</v>
      </c>
      <c r="S78" s="153">
        <v>7.4999999999999997E-2</v>
      </c>
      <c r="T78" s="154">
        <v>0.03</v>
      </c>
      <c r="U78" s="155">
        <v>5</v>
      </c>
      <c r="V78" s="159">
        <v>0.125</v>
      </c>
      <c r="W78" s="160">
        <v>0.06</v>
      </c>
      <c r="X78" s="161">
        <v>10</v>
      </c>
      <c r="Y78" s="165">
        <v>0.15</v>
      </c>
      <c r="Z78" s="166">
        <v>0.12</v>
      </c>
      <c r="AA78" s="167">
        <v>15</v>
      </c>
    </row>
    <row r="79" spans="2:27" x14ac:dyDescent="0.25">
      <c r="B79" s="51" t="s">
        <v>2599</v>
      </c>
      <c r="C79" s="4" t="s">
        <v>4224</v>
      </c>
      <c r="D79" s="142" t="e">
        <v>#VALUE!</v>
      </c>
      <c r="E79" s="142" t="e">
        <v>#VALUE!</v>
      </c>
      <c r="F79" s="4" t="s">
        <v>592</v>
      </c>
      <c r="G79" s="143">
        <v>50000000</v>
      </c>
      <c r="H79" s="4">
        <v>5</v>
      </c>
      <c r="I79" s="143">
        <v>1010.75006907</v>
      </c>
      <c r="J79" s="144">
        <v>2.4447453500251992</v>
      </c>
      <c r="K79" s="145">
        <v>9.7387918388052788E-3</v>
      </c>
      <c r="L79" s="146">
        <v>12</v>
      </c>
      <c r="M79" s="58">
        <v>12</v>
      </c>
      <c r="N79" s="58">
        <v>1</v>
      </c>
      <c r="O79" s="147">
        <v>1</v>
      </c>
      <c r="P79" s="148">
        <v>1.7621642302330001E-2</v>
      </c>
      <c r="Q79" s="148">
        <v>1.4333437002662999E-2</v>
      </c>
      <c r="R79" s="148">
        <v>1.1797429219336001E-2</v>
      </c>
      <c r="S79" s="153">
        <v>0.05</v>
      </c>
      <c r="T79" s="154">
        <v>1.4999999999999999E-2</v>
      </c>
      <c r="U79" s="155">
        <v>5</v>
      </c>
      <c r="V79" s="159">
        <v>7.4999999999999997E-2</v>
      </c>
      <c r="W79" s="160">
        <v>0.03</v>
      </c>
      <c r="X79" s="161">
        <v>10</v>
      </c>
      <c r="Y79" s="165">
        <v>0.1</v>
      </c>
      <c r="Z79" s="166">
        <v>0.06</v>
      </c>
      <c r="AA79" s="167">
        <v>15</v>
      </c>
    </row>
    <row r="80" spans="2:27" x14ac:dyDescent="0.25">
      <c r="B80" s="51" t="s">
        <v>2603</v>
      </c>
      <c r="C80" s="4" t="s">
        <v>4225</v>
      </c>
      <c r="D80" s="142" t="e">
        <v>#VALUE!</v>
      </c>
      <c r="E80" s="142" t="e">
        <v>#VALUE!</v>
      </c>
      <c r="F80" s="4" t="s">
        <v>592</v>
      </c>
      <c r="G80" s="143">
        <v>50000000</v>
      </c>
      <c r="H80" s="4">
        <v>5</v>
      </c>
      <c r="I80" s="143">
        <v>957.33883314000002</v>
      </c>
      <c r="J80" s="144">
        <v>2.3626088794774454</v>
      </c>
      <c r="K80" s="145">
        <v>2.8000899001119687E-2</v>
      </c>
      <c r="L80" s="146">
        <v>1</v>
      </c>
      <c r="M80" s="58">
        <v>1</v>
      </c>
      <c r="N80" s="58">
        <v>1</v>
      </c>
      <c r="O80" s="147">
        <v>1</v>
      </c>
      <c r="P80" s="148">
        <v>1.0893602964376E-2</v>
      </c>
      <c r="Q80" s="148">
        <v>8.8189969222818004E-3</v>
      </c>
      <c r="R80" s="148">
        <v>7.2189699803442003E-3</v>
      </c>
      <c r="S80" s="153">
        <v>8.4002697003359064E-2</v>
      </c>
      <c r="T80" s="154">
        <v>1.4999999999999999E-2</v>
      </c>
      <c r="U80" s="155">
        <v>5</v>
      </c>
      <c r="V80" s="159">
        <v>0.16800539400671813</v>
      </c>
      <c r="W80" s="160">
        <v>0.03</v>
      </c>
      <c r="X80" s="161">
        <v>10</v>
      </c>
      <c r="Y80" s="165">
        <v>0.2240071920089575</v>
      </c>
      <c r="Z80" s="166">
        <v>0.06</v>
      </c>
      <c r="AA80" s="167">
        <v>15</v>
      </c>
    </row>
    <row r="81" spans="2:27" x14ac:dyDescent="0.25">
      <c r="B81" s="51" t="s">
        <v>2606</v>
      </c>
      <c r="C81" s="4" t="s">
        <v>4226</v>
      </c>
      <c r="D81" s="142" t="e">
        <v>#VALUE!</v>
      </c>
      <c r="E81" s="142" t="e">
        <v>#VALUE!</v>
      </c>
      <c r="F81" s="4" t="s">
        <v>592</v>
      </c>
      <c r="G81" s="143">
        <v>50000000</v>
      </c>
      <c r="H81" s="4">
        <v>6</v>
      </c>
      <c r="I81" s="143">
        <v>968.20218289000002</v>
      </c>
      <c r="J81" s="144">
        <v>2.7154990588053298</v>
      </c>
      <c r="K81" s="145">
        <v>2.67833637196268E-2</v>
      </c>
      <c r="L81" s="146">
        <v>1</v>
      </c>
      <c r="M81" s="58">
        <v>1</v>
      </c>
      <c r="N81" s="58">
        <v>1</v>
      </c>
      <c r="O81" s="147">
        <v>1</v>
      </c>
      <c r="P81" s="148">
        <v>6.8955664939408003E-3</v>
      </c>
      <c r="Q81" s="148">
        <v>5.4745286337614003E-3</v>
      </c>
      <c r="R81" s="148">
        <v>4.3785620667762997E-3</v>
      </c>
      <c r="S81" s="153">
        <v>8.0350091158880393E-2</v>
      </c>
      <c r="T81" s="154">
        <v>1.4999999999999999E-2</v>
      </c>
      <c r="U81" s="155">
        <v>5</v>
      </c>
      <c r="V81" s="159">
        <v>0.16070018231776079</v>
      </c>
      <c r="W81" s="160">
        <v>0.03</v>
      </c>
      <c r="X81" s="161">
        <v>10</v>
      </c>
      <c r="Y81" s="165">
        <v>0.2142669097570144</v>
      </c>
      <c r="Z81" s="166">
        <v>0.06</v>
      </c>
      <c r="AA81" s="167">
        <v>15</v>
      </c>
    </row>
    <row r="82" spans="2:27" x14ac:dyDescent="0.25">
      <c r="B82" s="51" t="s">
        <v>1756</v>
      </c>
      <c r="C82" s="4" t="s">
        <v>4227</v>
      </c>
      <c r="D82" s="142" t="e">
        <v>#VALUE!</v>
      </c>
      <c r="E82" s="142" t="e">
        <v>#VALUE!</v>
      </c>
      <c r="F82" s="4" t="s">
        <v>592</v>
      </c>
      <c r="G82" s="143">
        <v>4000000</v>
      </c>
      <c r="H82" s="4">
        <v>4</v>
      </c>
      <c r="I82" s="143">
        <v>10650</v>
      </c>
      <c r="J82" s="144">
        <v>1.9772414725870398</v>
      </c>
      <c r="K82" s="145">
        <v>9.8585280627728027E-3</v>
      </c>
      <c r="L82" s="146">
        <v>11</v>
      </c>
      <c r="M82" s="58">
        <v>11</v>
      </c>
      <c r="N82" s="58">
        <v>1</v>
      </c>
      <c r="O82" s="147">
        <v>1</v>
      </c>
      <c r="P82" s="148">
        <v>2.1482971586184001E-2</v>
      </c>
      <c r="Q82" s="148">
        <v>1.6261602177089E-2</v>
      </c>
      <c r="R82" s="148">
        <v>1.2234653658260999E-2</v>
      </c>
      <c r="S82" s="153">
        <v>7.4999999999999997E-2</v>
      </c>
      <c r="T82" s="154">
        <v>0.03</v>
      </c>
      <c r="U82" s="155">
        <v>5</v>
      </c>
      <c r="V82" s="159">
        <v>0.125</v>
      </c>
      <c r="W82" s="160">
        <v>0.06</v>
      </c>
      <c r="X82" s="161">
        <v>10</v>
      </c>
      <c r="Y82" s="165">
        <v>0.15</v>
      </c>
      <c r="Z82" s="166">
        <v>0.12</v>
      </c>
      <c r="AA82" s="167">
        <v>15</v>
      </c>
    </row>
    <row r="83" spans="2:27" x14ac:dyDescent="0.25">
      <c r="B83" s="51" t="s">
        <v>2736</v>
      </c>
      <c r="C83" s="4" t="s">
        <v>4228</v>
      </c>
      <c r="D83" s="142" t="e">
        <v>#VALUE!</v>
      </c>
      <c r="E83" s="142" t="e">
        <v>#VALUE!</v>
      </c>
      <c r="F83" s="4" t="s">
        <v>592</v>
      </c>
      <c r="G83" s="143">
        <v>44288247.340000004</v>
      </c>
      <c r="H83" s="4">
        <v>1</v>
      </c>
      <c r="I83" s="143">
        <v>193.34245000000001</v>
      </c>
      <c r="J83" s="144">
        <v>0.44170712846577997</v>
      </c>
      <c r="K83" s="145">
        <v>6.9332722706348784E-2</v>
      </c>
      <c r="L83" s="146">
        <v>100</v>
      </c>
      <c r="M83" s="58">
        <v>100</v>
      </c>
      <c r="N83" s="58">
        <v>36</v>
      </c>
      <c r="O83" s="147">
        <v>4</v>
      </c>
      <c r="P83" s="148">
        <v>3.6675849039498998E-2</v>
      </c>
      <c r="Q83" s="148">
        <v>3.1582867805530997E-2</v>
      </c>
      <c r="R83" s="148">
        <v>2.7654937864236999E-2</v>
      </c>
      <c r="S83" s="153">
        <v>0.20799816811904637</v>
      </c>
      <c r="T83" s="154">
        <v>2.7654937864236999E-2</v>
      </c>
      <c r="U83" s="155">
        <v>30</v>
      </c>
      <c r="V83" s="159">
        <v>0.41599633623809273</v>
      </c>
      <c r="W83" s="160">
        <v>5.5309875728473998E-2</v>
      </c>
      <c r="X83" s="161">
        <v>60</v>
      </c>
      <c r="Y83" s="165">
        <v>0.55466178165079028</v>
      </c>
      <c r="Z83" s="166">
        <v>8.296481359271099E-2</v>
      </c>
      <c r="AA83" s="167">
        <v>90</v>
      </c>
    </row>
    <row r="84" spans="2:27" x14ac:dyDescent="0.25">
      <c r="B84" s="51" t="s">
        <v>2742</v>
      </c>
      <c r="C84" s="4" t="s">
        <v>4229</v>
      </c>
      <c r="D84" s="142" t="e">
        <v>#VALUE!</v>
      </c>
      <c r="E84" s="142" t="e">
        <v>#VALUE!</v>
      </c>
      <c r="F84" s="4" t="s">
        <v>592</v>
      </c>
      <c r="G84" s="143">
        <v>30630217.84</v>
      </c>
      <c r="H84" s="4">
        <v>1</v>
      </c>
      <c r="I84" s="143">
        <v>222.44493</v>
      </c>
      <c r="J84" s="144">
        <v>0.34246398121183991</v>
      </c>
      <c r="K84" s="145">
        <v>6.9332722706348784E-2</v>
      </c>
      <c r="L84" s="146">
        <v>100</v>
      </c>
      <c r="M84" s="58">
        <v>100</v>
      </c>
      <c r="N84" s="58">
        <v>34</v>
      </c>
      <c r="O84" s="147">
        <v>3</v>
      </c>
      <c r="P84" s="148">
        <v>3.6369968666862998E-2</v>
      </c>
      <c r="Q84" s="148">
        <v>3.1276939965023003E-2</v>
      </c>
      <c r="R84" s="148">
        <v>2.7348973414429E-2</v>
      </c>
      <c r="S84" s="153">
        <v>0.20799816811904637</v>
      </c>
      <c r="T84" s="154">
        <v>2.7348973414429E-2</v>
      </c>
      <c r="U84" s="155">
        <v>30</v>
      </c>
      <c r="V84" s="159">
        <v>0.41599633623809273</v>
      </c>
      <c r="W84" s="160">
        <v>5.4697946828858E-2</v>
      </c>
      <c r="X84" s="161">
        <v>60</v>
      </c>
      <c r="Y84" s="165">
        <v>0.55466178165079028</v>
      </c>
      <c r="Z84" s="166">
        <v>8.2046920243286997E-2</v>
      </c>
      <c r="AA84" s="167">
        <v>90</v>
      </c>
    </row>
    <row r="85" spans="2:27" x14ac:dyDescent="0.25">
      <c r="B85" s="51" t="s">
        <v>2747</v>
      </c>
      <c r="C85" s="4" t="s">
        <v>4230</v>
      </c>
      <c r="D85" s="142" t="e">
        <v>#VALUE!</v>
      </c>
      <c r="E85" s="142" t="e">
        <v>#VALUE!</v>
      </c>
      <c r="F85" s="4" t="s">
        <v>592</v>
      </c>
      <c r="G85" s="143">
        <v>67945613.219999999</v>
      </c>
      <c r="H85" s="4">
        <v>1</v>
      </c>
      <c r="I85" s="143">
        <v>238.15900999999999</v>
      </c>
      <c r="J85" s="144">
        <v>0.7181198454939951</v>
      </c>
      <c r="K85" s="145">
        <v>6.9332722706348784E-2</v>
      </c>
      <c r="L85" s="146">
        <v>100</v>
      </c>
      <c r="M85" s="58">
        <v>100</v>
      </c>
      <c r="N85" s="58">
        <v>33</v>
      </c>
      <c r="O85" s="147">
        <v>3</v>
      </c>
      <c r="P85" s="148">
        <v>3.6237607152956E-2</v>
      </c>
      <c r="Q85" s="148">
        <v>3.1144296762224001E-2</v>
      </c>
      <c r="R85" s="148">
        <v>2.7216112960833001E-2</v>
      </c>
      <c r="S85" s="153">
        <v>0.20799816811904637</v>
      </c>
      <c r="T85" s="154">
        <v>2.7216112960833001E-2</v>
      </c>
      <c r="U85" s="155">
        <v>30</v>
      </c>
      <c r="V85" s="159">
        <v>0.41599633623809273</v>
      </c>
      <c r="W85" s="160">
        <v>5.4432225921666001E-2</v>
      </c>
      <c r="X85" s="161">
        <v>60</v>
      </c>
      <c r="Y85" s="165">
        <v>0.55466178165079028</v>
      </c>
      <c r="Z85" s="166">
        <v>8.1648338882499005E-2</v>
      </c>
      <c r="AA85" s="167">
        <v>90</v>
      </c>
    </row>
    <row r="86" spans="2:27" x14ac:dyDescent="0.25">
      <c r="B86" s="51" t="s">
        <v>2751</v>
      </c>
      <c r="C86" s="4" t="s">
        <v>4231</v>
      </c>
      <c r="D86" s="142" t="e">
        <v>#VALUE!</v>
      </c>
      <c r="E86" s="142" t="e">
        <v>#VALUE!</v>
      </c>
      <c r="F86" s="4" t="s">
        <v>592</v>
      </c>
      <c r="G86" s="143">
        <v>31870110.649999999</v>
      </c>
      <c r="H86" s="4">
        <v>1</v>
      </c>
      <c r="I86" s="143">
        <v>217.46202</v>
      </c>
      <c r="J86" s="144">
        <v>0.47309709634452884</v>
      </c>
      <c r="K86" s="145">
        <v>6.9332722706348784E-2</v>
      </c>
      <c r="L86" s="146">
        <v>100</v>
      </c>
      <c r="M86" s="58">
        <v>100</v>
      </c>
      <c r="N86" s="58">
        <v>16</v>
      </c>
      <c r="O86" s="147">
        <v>1</v>
      </c>
      <c r="P86" s="148">
        <v>3.1249764461566999E-2</v>
      </c>
      <c r="Q86" s="148">
        <v>2.6830355151321001E-2</v>
      </c>
      <c r="R86" s="148">
        <v>2.3421913345807999E-2</v>
      </c>
      <c r="S86" s="153">
        <v>0.20799816811904637</v>
      </c>
      <c r="T86" s="154">
        <v>2.3421913345807999E-2</v>
      </c>
      <c r="U86" s="155">
        <v>30</v>
      </c>
      <c r="V86" s="159">
        <v>0.41599633623809273</v>
      </c>
      <c r="W86" s="160">
        <v>4.6843826691615999E-2</v>
      </c>
      <c r="X86" s="161">
        <v>60</v>
      </c>
      <c r="Y86" s="165">
        <v>0.55466178165079028</v>
      </c>
      <c r="Z86" s="166">
        <v>7.0265740037424002E-2</v>
      </c>
      <c r="AA86" s="167">
        <v>90</v>
      </c>
    </row>
    <row r="87" spans="2:27" x14ac:dyDescent="0.25">
      <c r="B87" s="51" t="s">
        <v>2755</v>
      </c>
      <c r="C87" s="4" t="s">
        <v>4232</v>
      </c>
      <c r="D87" s="142" t="e">
        <v>#VALUE!</v>
      </c>
      <c r="E87" s="142" t="e">
        <v>#VALUE!</v>
      </c>
      <c r="F87" s="4" t="s">
        <v>592</v>
      </c>
      <c r="G87" s="143">
        <v>33782088.979999997</v>
      </c>
      <c r="H87" s="4">
        <v>1</v>
      </c>
      <c r="I87" s="143">
        <v>209.81186</v>
      </c>
      <c r="J87" s="144">
        <v>0.69282262560776842</v>
      </c>
      <c r="K87" s="145">
        <v>6.9332722706348784E-2</v>
      </c>
      <c r="L87" s="146">
        <v>94</v>
      </c>
      <c r="M87" s="58">
        <v>94</v>
      </c>
      <c r="N87" s="58">
        <v>3</v>
      </c>
      <c r="O87" s="147">
        <v>1</v>
      </c>
      <c r="P87" s="148">
        <v>2.4372741361646001E-2</v>
      </c>
      <c r="Q87" s="148">
        <v>2.0902287325176998E-2</v>
      </c>
      <c r="R87" s="148">
        <v>1.8225721342797999E-2</v>
      </c>
      <c r="S87" s="153">
        <v>0.20799816811904637</v>
      </c>
      <c r="T87" s="154">
        <v>1.8225721342797999E-2</v>
      </c>
      <c r="U87" s="155">
        <v>29.5</v>
      </c>
      <c r="V87" s="159">
        <v>0.41599633623809273</v>
      </c>
      <c r="W87" s="160">
        <v>3.6451442685595997E-2</v>
      </c>
      <c r="X87" s="161">
        <v>59</v>
      </c>
      <c r="Y87" s="165">
        <v>0.55466178165079028</v>
      </c>
      <c r="Z87" s="166">
        <v>0.06</v>
      </c>
      <c r="AA87" s="167">
        <v>88.5</v>
      </c>
    </row>
    <row r="88" spans="2:27" x14ac:dyDescent="0.25">
      <c r="B88" s="51" t="s">
        <v>2112</v>
      </c>
      <c r="C88" s="4" t="s">
        <v>4233</v>
      </c>
      <c r="D88" s="142" t="e">
        <v>#VALUE!</v>
      </c>
      <c r="E88" s="142" t="e">
        <v>#VALUE!</v>
      </c>
      <c r="F88" s="4" t="s">
        <v>592</v>
      </c>
      <c r="G88" s="143">
        <v>10498659.17</v>
      </c>
      <c r="H88" s="4">
        <v>7</v>
      </c>
      <c r="I88" s="143">
        <v>17049.530999999999</v>
      </c>
      <c r="J88" s="144">
        <v>4.8816269164187132</v>
      </c>
      <c r="K88" s="145">
        <v>8.7419290858041477E-4</v>
      </c>
      <c r="L88" s="146">
        <v>1</v>
      </c>
      <c r="M88" s="58">
        <v>1</v>
      </c>
      <c r="N88" s="58">
        <v>1</v>
      </c>
      <c r="O88" s="147">
        <v>1</v>
      </c>
      <c r="P88" s="148">
        <v>1E-4</v>
      </c>
      <c r="Q88" s="148">
        <v>1E-4</v>
      </c>
      <c r="R88" s="148">
        <v>1E-4</v>
      </c>
      <c r="S88" s="153">
        <v>7.4999999999999997E-2</v>
      </c>
      <c r="T88" s="154">
        <v>0.03</v>
      </c>
      <c r="U88" s="155">
        <v>5</v>
      </c>
      <c r="V88" s="159">
        <v>0.125</v>
      </c>
      <c r="W88" s="160">
        <v>0.06</v>
      </c>
      <c r="X88" s="161">
        <v>10</v>
      </c>
      <c r="Y88" s="165">
        <v>0.15</v>
      </c>
      <c r="Z88" s="166">
        <v>0.12</v>
      </c>
      <c r="AA88" s="167">
        <v>15</v>
      </c>
    </row>
    <row r="89" spans="2:27" x14ac:dyDescent="0.25">
      <c r="B89" s="51" t="s">
        <v>3876</v>
      </c>
      <c r="C89" s="4" t="s">
        <v>4234</v>
      </c>
      <c r="D89" s="142" t="e">
        <v>#VALUE!</v>
      </c>
      <c r="E89" s="142" t="e">
        <v>#VALUE!</v>
      </c>
      <c r="F89" s="4" t="s">
        <v>592</v>
      </c>
      <c r="G89" s="143">
        <v>15671184.33</v>
      </c>
      <c r="H89" s="4">
        <v>1</v>
      </c>
      <c r="I89" s="143">
        <v>54.665512</v>
      </c>
      <c r="J89" s="144">
        <v>-0.50851578248631879</v>
      </c>
      <c r="K89" s="145">
        <v>8.1744635293396276E-2</v>
      </c>
      <c r="L89" s="146">
        <v>1</v>
      </c>
      <c r="M89" s="58">
        <v>1</v>
      </c>
      <c r="N89" s="58">
        <v>1</v>
      </c>
      <c r="O89" s="147">
        <v>1</v>
      </c>
      <c r="P89" s="148">
        <v>9.2676291530319997E-3</v>
      </c>
      <c r="Q89" s="148">
        <v>7.8184223442079002E-3</v>
      </c>
      <c r="R89" s="148">
        <v>6.7007306516601002E-3</v>
      </c>
      <c r="S89" s="153">
        <v>0.24523390588018884</v>
      </c>
      <c r="T89" s="154">
        <v>1.4999999999999999E-2</v>
      </c>
      <c r="U89" s="155">
        <v>5</v>
      </c>
      <c r="V89" s="159">
        <v>0.49046781176037768</v>
      </c>
      <c r="W89" s="160">
        <v>0.03</v>
      </c>
      <c r="X89" s="161">
        <v>10</v>
      </c>
      <c r="Y89" s="165">
        <v>0.6539570823471702</v>
      </c>
      <c r="Z89" s="166">
        <v>0.06</v>
      </c>
      <c r="AA89" s="167">
        <v>15</v>
      </c>
    </row>
    <row r="90" spans="2:27" x14ac:dyDescent="0.25">
      <c r="B90" s="51" t="s">
        <v>2786</v>
      </c>
      <c r="C90" s="4" t="s">
        <v>4235</v>
      </c>
      <c r="D90" s="142" t="e">
        <v>#VALUE!</v>
      </c>
      <c r="E90" s="142" t="e">
        <v>#VALUE!</v>
      </c>
      <c r="F90" s="4" t="s">
        <v>592</v>
      </c>
      <c r="G90" s="143">
        <v>58868748.390000001</v>
      </c>
      <c r="H90" s="4">
        <v>1</v>
      </c>
      <c r="I90" s="143">
        <v>165.68266</v>
      </c>
      <c r="J90" s="144">
        <v>0.56925218963540192</v>
      </c>
      <c r="K90" s="145">
        <v>5.8876144688489646E-2</v>
      </c>
      <c r="L90" s="146">
        <v>1</v>
      </c>
      <c r="M90" s="58">
        <v>1</v>
      </c>
      <c r="N90" s="58">
        <v>1</v>
      </c>
      <c r="O90" s="147">
        <v>1</v>
      </c>
      <c r="P90" s="148">
        <v>1.0674480957853E-2</v>
      </c>
      <c r="Q90" s="148">
        <v>9.0061676937748993E-3</v>
      </c>
      <c r="R90" s="148">
        <v>7.7194915172119002E-3</v>
      </c>
      <c r="S90" s="153">
        <v>0.17662843406546894</v>
      </c>
      <c r="T90" s="154">
        <v>1.4999999999999999E-2</v>
      </c>
      <c r="U90" s="155">
        <v>5</v>
      </c>
      <c r="V90" s="159">
        <v>0.35325686813093787</v>
      </c>
      <c r="W90" s="160">
        <v>0.03</v>
      </c>
      <c r="X90" s="161">
        <v>10</v>
      </c>
      <c r="Y90" s="165">
        <v>0.47100915750791716</v>
      </c>
      <c r="Z90" s="166">
        <v>0.06</v>
      </c>
      <c r="AA90" s="167">
        <v>15</v>
      </c>
    </row>
    <row r="91" spans="2:27" x14ac:dyDescent="0.25">
      <c r="B91" s="51" t="s">
        <v>3169</v>
      </c>
      <c r="C91" s="4" t="s">
        <v>4236</v>
      </c>
      <c r="D91" s="142" t="e">
        <v>#VALUE!</v>
      </c>
      <c r="E91" s="142" t="e">
        <v>#VALUE!</v>
      </c>
      <c r="F91" s="4" t="s">
        <v>592</v>
      </c>
      <c r="G91" s="143">
        <v>16677517.140000001</v>
      </c>
      <c r="H91" s="4">
        <v>1</v>
      </c>
      <c r="I91" s="143">
        <v>215.33941999999999</v>
      </c>
      <c r="J91" s="144">
        <v>0.14095847725778515</v>
      </c>
      <c r="K91" s="145">
        <v>6.9332722706348784E-2</v>
      </c>
      <c r="L91" s="146">
        <v>1</v>
      </c>
      <c r="M91" s="58">
        <v>1</v>
      </c>
      <c r="N91" s="58">
        <v>1</v>
      </c>
      <c r="O91" s="147">
        <v>1</v>
      </c>
      <c r="P91" s="148">
        <v>9.7111910338113002E-3</v>
      </c>
      <c r="Q91" s="148">
        <v>8.1839361568886004E-3</v>
      </c>
      <c r="R91" s="148">
        <v>7.0060503796857002E-3</v>
      </c>
      <c r="S91" s="153">
        <v>0.20799816811904637</v>
      </c>
      <c r="T91" s="154">
        <v>1.4999999999999999E-2</v>
      </c>
      <c r="U91" s="155">
        <v>5</v>
      </c>
      <c r="V91" s="159">
        <v>0.41599633623809273</v>
      </c>
      <c r="W91" s="160">
        <v>0.03</v>
      </c>
      <c r="X91" s="161">
        <v>10</v>
      </c>
      <c r="Y91" s="165">
        <v>0.55466178165079028</v>
      </c>
      <c r="Z91" s="166">
        <v>0.06</v>
      </c>
      <c r="AA91" s="167">
        <v>15</v>
      </c>
    </row>
    <row r="92" spans="2:27" x14ac:dyDescent="0.25">
      <c r="B92" s="51" t="s">
        <v>2791</v>
      </c>
      <c r="C92" s="4" t="s">
        <v>4237</v>
      </c>
      <c r="D92" s="142" t="e">
        <v>#VALUE!</v>
      </c>
      <c r="E92" s="142" t="e">
        <v>#VALUE!</v>
      </c>
      <c r="F92" s="4" t="s">
        <v>592</v>
      </c>
      <c r="G92" s="143">
        <v>49988210.390000001</v>
      </c>
      <c r="H92" s="4">
        <v>1</v>
      </c>
      <c r="I92" s="143">
        <v>212.97579999999999</v>
      </c>
      <c r="J92" s="144">
        <v>0.53628926056566206</v>
      </c>
      <c r="K92" s="145">
        <v>6.9332722706348784E-2</v>
      </c>
      <c r="L92" s="146">
        <v>1</v>
      </c>
      <c r="M92" s="58">
        <v>1</v>
      </c>
      <c r="N92" s="58">
        <v>1</v>
      </c>
      <c r="O92" s="147">
        <v>1</v>
      </c>
      <c r="P92" s="148">
        <v>1.078847556528E-2</v>
      </c>
      <c r="Q92" s="148">
        <v>9.1216056075586992E-3</v>
      </c>
      <c r="R92" s="148">
        <v>7.8360425720014008E-3</v>
      </c>
      <c r="S92" s="153">
        <v>0.20799816811904637</v>
      </c>
      <c r="T92" s="154">
        <v>1.4999999999999999E-2</v>
      </c>
      <c r="U92" s="155">
        <v>5</v>
      </c>
      <c r="V92" s="159">
        <v>0.41599633623809273</v>
      </c>
      <c r="W92" s="160">
        <v>0.03</v>
      </c>
      <c r="X92" s="161">
        <v>10</v>
      </c>
      <c r="Y92" s="165">
        <v>0.55466178165079028</v>
      </c>
      <c r="Z92" s="166">
        <v>0.06</v>
      </c>
      <c r="AA92" s="167">
        <v>15</v>
      </c>
    </row>
    <row r="93" spans="2:27" x14ac:dyDescent="0.25">
      <c r="B93" s="51" t="s">
        <v>3165</v>
      </c>
      <c r="C93" s="4" t="s">
        <v>4238</v>
      </c>
      <c r="D93" s="142" t="e">
        <v>#VALUE!</v>
      </c>
      <c r="E93" s="142" t="e">
        <v>#VALUE!</v>
      </c>
      <c r="F93" s="4" t="s">
        <v>592</v>
      </c>
      <c r="G93" s="143">
        <v>17256330.739999998</v>
      </c>
      <c r="H93" s="4">
        <v>1</v>
      </c>
      <c r="I93" s="143">
        <v>159.92345</v>
      </c>
      <c r="J93" s="144">
        <v>0.11210387447205268</v>
      </c>
      <c r="K93" s="145">
        <v>5.8876144688489646E-2</v>
      </c>
      <c r="L93" s="146">
        <v>1</v>
      </c>
      <c r="M93" s="58">
        <v>1</v>
      </c>
      <c r="N93" s="58">
        <v>1</v>
      </c>
      <c r="O93" s="147">
        <v>1</v>
      </c>
      <c r="P93" s="148">
        <v>9.3939562289866007E-3</v>
      </c>
      <c r="Q93" s="148">
        <v>7.8918960440124992E-3</v>
      </c>
      <c r="R93" s="148">
        <v>6.7334415154870998E-3</v>
      </c>
      <c r="S93" s="153">
        <v>0.17662843406546894</v>
      </c>
      <c r="T93" s="154">
        <v>1.4999999999999999E-2</v>
      </c>
      <c r="U93" s="155">
        <v>5</v>
      </c>
      <c r="V93" s="159">
        <v>0.35325686813093787</v>
      </c>
      <c r="W93" s="160">
        <v>0.03</v>
      </c>
      <c r="X93" s="161">
        <v>10</v>
      </c>
      <c r="Y93" s="165">
        <v>0.47100915750791716</v>
      </c>
      <c r="Z93" s="166">
        <v>0.06</v>
      </c>
      <c r="AA93" s="167">
        <v>15</v>
      </c>
    </row>
    <row r="94" spans="2:27" x14ac:dyDescent="0.25">
      <c r="B94" s="51" t="s">
        <v>3875</v>
      </c>
      <c r="C94" s="4" t="s">
        <v>4239</v>
      </c>
      <c r="D94" s="142" t="e">
        <v>#VALUE!</v>
      </c>
      <c r="E94" s="142" t="e">
        <v>#VALUE!</v>
      </c>
      <c r="F94" s="4" t="s">
        <v>592</v>
      </c>
      <c r="G94" s="143">
        <v>18805899.09</v>
      </c>
      <c r="H94" s="4">
        <v>1</v>
      </c>
      <c r="I94" s="143">
        <v>129.73439999999999</v>
      </c>
      <c r="J94" s="144">
        <v>0.56595994419153517</v>
      </c>
      <c r="K94" s="145">
        <v>6.4951485531288752E-2</v>
      </c>
      <c r="L94" s="146">
        <v>1</v>
      </c>
      <c r="M94" s="58">
        <v>1</v>
      </c>
      <c r="N94" s="58">
        <v>1</v>
      </c>
      <c r="O94" s="147">
        <v>1</v>
      </c>
      <c r="P94" s="148">
        <v>4.4681103844947997E-3</v>
      </c>
      <c r="Q94" s="148">
        <v>3.6712108106666998E-3</v>
      </c>
      <c r="R94" s="148">
        <v>3.0566069956425002E-3</v>
      </c>
      <c r="S94" s="153">
        <v>0.19485445659386624</v>
      </c>
      <c r="T94" s="154">
        <v>1.4999999999999999E-2</v>
      </c>
      <c r="U94" s="155">
        <v>5</v>
      </c>
      <c r="V94" s="159">
        <v>0.38970891318773249</v>
      </c>
      <c r="W94" s="160">
        <v>0.03</v>
      </c>
      <c r="X94" s="161">
        <v>10</v>
      </c>
      <c r="Y94" s="165">
        <v>0.51961188425031002</v>
      </c>
      <c r="Z94" s="166">
        <v>0.06</v>
      </c>
      <c r="AA94" s="167">
        <v>15</v>
      </c>
    </row>
    <row r="95" spans="2:27" x14ac:dyDescent="0.25">
      <c r="B95" s="51" t="s">
        <v>3164</v>
      </c>
      <c r="C95" s="4" t="s">
        <v>4240</v>
      </c>
      <c r="D95" s="142" t="e">
        <v>#VALUE!</v>
      </c>
      <c r="E95" s="142" t="e">
        <v>#VALUE!</v>
      </c>
      <c r="F95" s="4" t="s">
        <v>592</v>
      </c>
      <c r="G95" s="143">
        <v>12261024.93</v>
      </c>
      <c r="H95" s="4">
        <v>1</v>
      </c>
      <c r="I95" s="143">
        <v>201.58058</v>
      </c>
      <c r="J95" s="144">
        <v>1.0036049370185693</v>
      </c>
      <c r="K95" s="145">
        <v>6.9332722706348784E-2</v>
      </c>
      <c r="L95" s="146">
        <v>1</v>
      </c>
      <c r="M95" s="58">
        <v>1</v>
      </c>
      <c r="N95" s="58">
        <v>1</v>
      </c>
      <c r="O95" s="147">
        <v>1</v>
      </c>
      <c r="P95" s="148">
        <v>2.5497386224694E-3</v>
      </c>
      <c r="Q95" s="148">
        <v>2.0807105166038998E-3</v>
      </c>
      <c r="R95" s="148">
        <v>1.7189755217741E-3</v>
      </c>
      <c r="S95" s="153">
        <v>0.20799816811904637</v>
      </c>
      <c r="T95" s="154">
        <v>1.4999999999999999E-2</v>
      </c>
      <c r="U95" s="155">
        <v>5</v>
      </c>
      <c r="V95" s="159">
        <v>0.41599633623809273</v>
      </c>
      <c r="W95" s="160">
        <v>0.03</v>
      </c>
      <c r="X95" s="161">
        <v>10</v>
      </c>
      <c r="Y95" s="165">
        <v>0.55466178165079028</v>
      </c>
      <c r="Z95" s="166">
        <v>0.06</v>
      </c>
      <c r="AA95" s="167">
        <v>15</v>
      </c>
    </row>
    <row r="96" spans="2:27" x14ac:dyDescent="0.25">
      <c r="B96" s="51" t="s">
        <v>2660</v>
      </c>
      <c r="C96" s="4" t="s">
        <v>4241</v>
      </c>
      <c r="D96" s="142" t="e">
        <v>#VALUE!</v>
      </c>
      <c r="E96" s="142" t="e">
        <v>#VALUE!</v>
      </c>
      <c r="F96" s="4" t="s">
        <v>592</v>
      </c>
      <c r="G96" s="143">
        <v>472322330</v>
      </c>
      <c r="H96" s="4">
        <v>2</v>
      </c>
      <c r="I96" s="143">
        <v>126.177284</v>
      </c>
      <c r="J96" s="144">
        <v>1.5012411121161129</v>
      </c>
      <c r="K96" s="145">
        <v>0.1488975817010878</v>
      </c>
      <c r="L96" s="146">
        <v>1</v>
      </c>
      <c r="M96" s="58">
        <v>1</v>
      </c>
      <c r="N96" s="58">
        <v>1</v>
      </c>
      <c r="O96" s="147">
        <v>1</v>
      </c>
      <c r="P96" s="148">
        <v>6.0580251496823003E-3</v>
      </c>
      <c r="Q96" s="148">
        <v>5.1718911266530002E-3</v>
      </c>
      <c r="R96" s="148">
        <v>4.4884658004723001E-3</v>
      </c>
      <c r="S96" s="153">
        <v>0.4466927451032634</v>
      </c>
      <c r="T96" s="154">
        <v>1.4999999999999999E-2</v>
      </c>
      <c r="U96" s="155">
        <v>5</v>
      </c>
      <c r="V96" s="159">
        <v>0.8933854902065268</v>
      </c>
      <c r="W96" s="160">
        <v>0.03</v>
      </c>
      <c r="X96" s="161">
        <v>10</v>
      </c>
      <c r="Y96" s="165">
        <v>1.1911806536087024</v>
      </c>
      <c r="Z96" s="166">
        <v>0.06</v>
      </c>
      <c r="AA96" s="167">
        <v>15</v>
      </c>
    </row>
    <row r="97" spans="2:27" x14ac:dyDescent="0.25">
      <c r="B97" s="51" t="s">
        <v>3168</v>
      </c>
      <c r="C97" s="4" t="s">
        <v>4242</v>
      </c>
      <c r="D97" s="142" t="e">
        <v>#VALUE!</v>
      </c>
      <c r="E97" s="142" t="e">
        <v>#VALUE!</v>
      </c>
      <c r="F97" s="4" t="s">
        <v>592</v>
      </c>
      <c r="G97" s="143">
        <v>13812000.949999999</v>
      </c>
      <c r="H97" s="4">
        <v>3</v>
      </c>
      <c r="I97" s="143">
        <v>563.79049999999995</v>
      </c>
      <c r="J97" s="144">
        <v>1.7702380151939086</v>
      </c>
      <c r="K97" s="145">
        <v>6.4508215298332464E-2</v>
      </c>
      <c r="L97" s="146">
        <v>1</v>
      </c>
      <c r="M97" s="58">
        <v>1</v>
      </c>
      <c r="N97" s="58">
        <v>1</v>
      </c>
      <c r="O97" s="147">
        <v>1</v>
      </c>
      <c r="P97" s="148">
        <v>1.1592882672648E-3</v>
      </c>
      <c r="Q97" s="148">
        <v>9.6858188888664998E-4</v>
      </c>
      <c r="R97" s="148">
        <v>8.2150078663725996E-4</v>
      </c>
      <c r="S97" s="153">
        <v>0.1935246458949974</v>
      </c>
      <c r="T97" s="154">
        <v>1.4999999999999999E-2</v>
      </c>
      <c r="U97" s="155">
        <v>5</v>
      </c>
      <c r="V97" s="159">
        <v>0.38704929178999481</v>
      </c>
      <c r="W97" s="160">
        <v>0.03</v>
      </c>
      <c r="X97" s="161">
        <v>10</v>
      </c>
      <c r="Y97" s="165">
        <v>0.51606572238665971</v>
      </c>
      <c r="Z97" s="166">
        <v>0.06</v>
      </c>
      <c r="AA97" s="167">
        <v>15</v>
      </c>
    </row>
    <row r="98" spans="2:27" x14ac:dyDescent="0.25">
      <c r="B98" s="51" t="s">
        <v>3167</v>
      </c>
      <c r="C98" s="4" t="s">
        <v>4243</v>
      </c>
      <c r="D98" s="142" t="e">
        <v>#VALUE!</v>
      </c>
      <c r="E98" s="142" t="e">
        <v>#VALUE!</v>
      </c>
      <c r="F98" s="4" t="s">
        <v>592</v>
      </c>
      <c r="G98" s="143">
        <v>24291485.399999999</v>
      </c>
      <c r="H98" s="4">
        <v>1</v>
      </c>
      <c r="I98" s="143">
        <v>134.24947</v>
      </c>
      <c r="J98" s="144">
        <v>0.32761894177612366</v>
      </c>
      <c r="K98" s="145">
        <v>6.9332722706348784E-2</v>
      </c>
      <c r="L98" s="146">
        <v>1</v>
      </c>
      <c r="M98" s="58">
        <v>1</v>
      </c>
      <c r="N98" s="58">
        <v>1</v>
      </c>
      <c r="O98" s="147">
        <v>1</v>
      </c>
      <c r="P98" s="148">
        <v>7.0892562336092998E-3</v>
      </c>
      <c r="Q98" s="148">
        <v>5.9160389753058996E-3</v>
      </c>
      <c r="R98" s="148">
        <v>5.0112024984311004E-3</v>
      </c>
      <c r="S98" s="153">
        <v>0.20799816811904637</v>
      </c>
      <c r="T98" s="154">
        <v>1.4999999999999999E-2</v>
      </c>
      <c r="U98" s="155">
        <v>5</v>
      </c>
      <c r="V98" s="159">
        <v>0.41599633623809273</v>
      </c>
      <c r="W98" s="160">
        <v>0.03</v>
      </c>
      <c r="X98" s="161">
        <v>10</v>
      </c>
      <c r="Y98" s="165">
        <v>0.55466178165079028</v>
      </c>
      <c r="Z98" s="166">
        <v>0.06</v>
      </c>
      <c r="AA98" s="167">
        <v>15</v>
      </c>
    </row>
    <row r="99" spans="2:27" x14ac:dyDescent="0.25">
      <c r="B99" s="51" t="s">
        <v>2789</v>
      </c>
      <c r="C99" s="4" t="s">
        <v>4243</v>
      </c>
      <c r="D99" s="142" t="e">
        <v>#VALUE!</v>
      </c>
      <c r="E99" s="142" t="e">
        <v>#VALUE!</v>
      </c>
      <c r="F99" s="4" t="s">
        <v>592</v>
      </c>
      <c r="G99" s="143">
        <v>49606197.950000003</v>
      </c>
      <c r="H99" s="4">
        <v>1</v>
      </c>
      <c r="I99" s="143">
        <v>177.43316999999999</v>
      </c>
      <c r="J99" s="144">
        <v>0.45366217615630494</v>
      </c>
      <c r="K99" s="145">
        <v>6.9332722706348784E-2</v>
      </c>
      <c r="L99" s="146">
        <v>1</v>
      </c>
      <c r="M99" s="58">
        <v>1</v>
      </c>
      <c r="N99" s="58">
        <v>1</v>
      </c>
      <c r="O99" s="147">
        <v>1</v>
      </c>
      <c r="P99" s="148">
        <v>1.0785632567248E-2</v>
      </c>
      <c r="Q99" s="148">
        <v>9.1191273598120997E-3</v>
      </c>
      <c r="R99" s="148">
        <v>7.8338456356322004E-3</v>
      </c>
      <c r="S99" s="153">
        <v>0.20799816811904637</v>
      </c>
      <c r="T99" s="154">
        <v>1.4999999999999999E-2</v>
      </c>
      <c r="U99" s="155">
        <v>5</v>
      </c>
      <c r="V99" s="159">
        <v>0.41599633623809273</v>
      </c>
      <c r="W99" s="160">
        <v>0.03</v>
      </c>
      <c r="X99" s="161">
        <v>10</v>
      </c>
      <c r="Y99" s="165">
        <v>0.55466178165079028</v>
      </c>
      <c r="Z99" s="166">
        <v>0.06</v>
      </c>
      <c r="AA99" s="167">
        <v>15</v>
      </c>
    </row>
    <row r="100" spans="2:27" x14ac:dyDescent="0.25">
      <c r="B100" s="51" t="s">
        <v>3166</v>
      </c>
      <c r="C100" s="4" t="s">
        <v>4244</v>
      </c>
      <c r="D100" s="142" t="e">
        <v>#VALUE!</v>
      </c>
      <c r="E100" s="142" t="e">
        <v>#VALUE!</v>
      </c>
      <c r="F100" s="4" t="s">
        <v>592</v>
      </c>
      <c r="G100" s="143">
        <v>14607590.84</v>
      </c>
      <c r="H100" s="4">
        <v>1</v>
      </c>
      <c r="I100" s="143">
        <v>166.04552000000001</v>
      </c>
      <c r="J100" s="144">
        <v>0.9551534203698645</v>
      </c>
      <c r="K100" s="145">
        <v>6.9332722706348784E-2</v>
      </c>
      <c r="L100" s="146">
        <v>1</v>
      </c>
      <c r="M100" s="58">
        <v>1</v>
      </c>
      <c r="N100" s="58">
        <v>1</v>
      </c>
      <c r="O100" s="147">
        <v>1</v>
      </c>
      <c r="P100" s="148">
        <v>2.6704733042468998E-3</v>
      </c>
      <c r="Q100" s="148">
        <v>2.1796041182491001E-3</v>
      </c>
      <c r="R100" s="148">
        <v>1.8010243268922999E-3</v>
      </c>
      <c r="S100" s="153">
        <v>0.20799816811904637</v>
      </c>
      <c r="T100" s="154">
        <v>1.4999999999999999E-2</v>
      </c>
      <c r="U100" s="155">
        <v>5</v>
      </c>
      <c r="V100" s="159">
        <v>0.41599633623809273</v>
      </c>
      <c r="W100" s="160">
        <v>0.03</v>
      </c>
      <c r="X100" s="161">
        <v>10</v>
      </c>
      <c r="Y100" s="165">
        <v>0.55466178165079028</v>
      </c>
      <c r="Z100" s="166">
        <v>0.06</v>
      </c>
      <c r="AA100" s="167">
        <v>15</v>
      </c>
    </row>
    <row r="101" spans="2:27" x14ac:dyDescent="0.25">
      <c r="B101" s="51" t="s">
        <v>3874</v>
      </c>
      <c r="C101" s="4" t="s">
        <v>4245</v>
      </c>
      <c r="D101" s="142" t="e">
        <v>#VALUE!</v>
      </c>
      <c r="E101" s="142" t="e">
        <v>#VALUE!</v>
      </c>
      <c r="F101" s="4" t="s">
        <v>592</v>
      </c>
      <c r="G101" s="143">
        <v>44227811.780000001</v>
      </c>
      <c r="H101" s="4">
        <v>1</v>
      </c>
      <c r="I101" s="143">
        <v>112.0403</v>
      </c>
      <c r="J101" s="144">
        <v>0.87196618108927904</v>
      </c>
      <c r="K101" s="145">
        <v>6.9332722706348784E-2</v>
      </c>
      <c r="L101" s="146">
        <v>1</v>
      </c>
      <c r="M101" s="58">
        <v>1</v>
      </c>
      <c r="N101" s="58">
        <v>1</v>
      </c>
      <c r="O101" s="147">
        <v>1</v>
      </c>
      <c r="P101" s="148">
        <v>4.3607549564758001E-3</v>
      </c>
      <c r="Q101" s="148">
        <v>3.5887422142239999E-3</v>
      </c>
      <c r="R101" s="148">
        <v>2.9933322124893001E-3</v>
      </c>
      <c r="S101" s="153">
        <v>0.20799816811904637</v>
      </c>
      <c r="T101" s="154">
        <v>1.4999999999999999E-2</v>
      </c>
      <c r="U101" s="155">
        <v>5</v>
      </c>
      <c r="V101" s="159">
        <v>0.41599633623809273</v>
      </c>
      <c r="W101" s="160">
        <v>0.03</v>
      </c>
      <c r="X101" s="161">
        <v>10</v>
      </c>
      <c r="Y101" s="165">
        <v>0.55466178165079028</v>
      </c>
      <c r="Z101" s="166">
        <v>0.06</v>
      </c>
      <c r="AA101" s="167">
        <v>15</v>
      </c>
    </row>
    <row r="102" spans="2:27" x14ac:dyDescent="0.25">
      <c r="B102" s="51" t="s">
        <v>3873</v>
      </c>
      <c r="C102" s="4" t="s">
        <v>4246</v>
      </c>
      <c r="D102" s="142" t="e">
        <v>#VALUE!</v>
      </c>
      <c r="E102" s="142" t="e">
        <v>#VALUE!</v>
      </c>
      <c r="F102" s="4" t="s">
        <v>592</v>
      </c>
      <c r="G102" s="143">
        <v>8975655.4600000009</v>
      </c>
      <c r="H102" s="4">
        <v>1</v>
      </c>
      <c r="I102" s="143">
        <v>124.340706</v>
      </c>
      <c r="J102" s="144">
        <v>-0.17253109045984813</v>
      </c>
      <c r="K102" s="145">
        <v>6.9332722706348784E-2</v>
      </c>
      <c r="L102" s="146">
        <v>1</v>
      </c>
      <c r="M102" s="58">
        <v>1</v>
      </c>
      <c r="N102" s="58">
        <v>1</v>
      </c>
      <c r="O102" s="147">
        <v>1</v>
      </c>
      <c r="P102" s="148">
        <v>7.4319361499286E-3</v>
      </c>
      <c r="Q102" s="148">
        <v>6.2110695131045003E-3</v>
      </c>
      <c r="R102" s="148">
        <v>5.2694837508942003E-3</v>
      </c>
      <c r="S102" s="153">
        <v>0.20799816811904637</v>
      </c>
      <c r="T102" s="154">
        <v>1.4999999999999999E-2</v>
      </c>
      <c r="U102" s="155">
        <v>5</v>
      </c>
      <c r="V102" s="159">
        <v>0.41599633623809273</v>
      </c>
      <c r="W102" s="160">
        <v>0.03</v>
      </c>
      <c r="X102" s="161">
        <v>10</v>
      </c>
      <c r="Y102" s="165">
        <v>0.55466178165079028</v>
      </c>
      <c r="Z102" s="166">
        <v>0.06</v>
      </c>
      <c r="AA102" s="167">
        <v>15</v>
      </c>
    </row>
    <row r="103" spans="2:27" x14ac:dyDescent="0.25">
      <c r="B103" s="51" t="s">
        <v>3293</v>
      </c>
      <c r="C103" s="4" t="s">
        <v>4247</v>
      </c>
      <c r="D103" s="142" t="e">
        <v>#VALUE!</v>
      </c>
      <c r="E103" s="142" t="e">
        <v>#VALUE!</v>
      </c>
      <c r="F103" s="4" t="s">
        <v>592</v>
      </c>
      <c r="G103" s="143">
        <v>18796567.850000001</v>
      </c>
      <c r="H103" s="4">
        <v>1</v>
      </c>
      <c r="I103" s="143">
        <v>87.129035999999999</v>
      </c>
      <c r="J103" s="144">
        <v>0.60159148440874943</v>
      </c>
      <c r="K103" s="145">
        <v>6.4951485531288752E-2</v>
      </c>
      <c r="L103" s="146">
        <v>1</v>
      </c>
      <c r="M103" s="58">
        <v>1</v>
      </c>
      <c r="N103" s="58">
        <v>1</v>
      </c>
      <c r="O103" s="147">
        <v>1</v>
      </c>
      <c r="P103" s="148">
        <v>3.4013322862935999E-3</v>
      </c>
      <c r="Q103" s="148">
        <v>2.7753867171800999E-3</v>
      </c>
      <c r="R103" s="148">
        <v>2.2926301096861E-3</v>
      </c>
      <c r="S103" s="153">
        <v>0.19485445659386624</v>
      </c>
      <c r="T103" s="154">
        <v>1.4999999999999999E-2</v>
      </c>
      <c r="U103" s="155">
        <v>5</v>
      </c>
      <c r="V103" s="159">
        <v>0.38970891318773249</v>
      </c>
      <c r="W103" s="160">
        <v>0.03</v>
      </c>
      <c r="X103" s="161">
        <v>10</v>
      </c>
      <c r="Y103" s="165">
        <v>0.51961188425031002</v>
      </c>
      <c r="Z103" s="166">
        <v>0.06</v>
      </c>
      <c r="AA103" s="167">
        <v>15</v>
      </c>
    </row>
    <row r="104" spans="2:27" x14ac:dyDescent="0.25">
      <c r="B104" s="51" t="s">
        <v>3872</v>
      </c>
      <c r="C104" s="4" t="s">
        <v>4248</v>
      </c>
      <c r="D104" s="142" t="e">
        <v>#VALUE!</v>
      </c>
      <c r="E104" s="142" t="e">
        <v>#VALUE!</v>
      </c>
      <c r="F104" s="4" t="s">
        <v>592</v>
      </c>
      <c r="G104" s="143">
        <v>21976072.469999999</v>
      </c>
      <c r="H104" s="4">
        <v>1</v>
      </c>
      <c r="I104" s="143">
        <v>127.20919000000001</v>
      </c>
      <c r="J104" s="144">
        <v>0.83679262240185515</v>
      </c>
      <c r="K104" s="145">
        <v>6.4508215298332464E-2</v>
      </c>
      <c r="L104" s="146">
        <v>1</v>
      </c>
      <c r="M104" s="58">
        <v>1</v>
      </c>
      <c r="N104" s="58">
        <v>1</v>
      </c>
      <c r="O104" s="147">
        <v>1</v>
      </c>
      <c r="P104" s="148">
        <v>3.3991863237000002E-3</v>
      </c>
      <c r="Q104" s="148">
        <v>2.7727145996791999E-3</v>
      </c>
      <c r="R104" s="148">
        <v>2.2895521985017999E-3</v>
      </c>
      <c r="S104" s="153">
        <v>0.1935246458949974</v>
      </c>
      <c r="T104" s="154">
        <v>1.4999999999999999E-2</v>
      </c>
      <c r="U104" s="155">
        <v>5</v>
      </c>
      <c r="V104" s="159">
        <v>0.38704929178999481</v>
      </c>
      <c r="W104" s="160">
        <v>0.03</v>
      </c>
      <c r="X104" s="161">
        <v>10</v>
      </c>
      <c r="Y104" s="165">
        <v>0.51606572238665971</v>
      </c>
      <c r="Z104" s="166">
        <v>0.06</v>
      </c>
      <c r="AA104" s="167">
        <v>15</v>
      </c>
    </row>
    <row r="105" spans="2:27" x14ac:dyDescent="0.25">
      <c r="B105" s="51" t="s">
        <v>2289</v>
      </c>
      <c r="C105" s="4" t="s">
        <v>4249</v>
      </c>
      <c r="D105" s="142" t="e">
        <v>#VALUE!</v>
      </c>
      <c r="E105" s="142" t="e">
        <v>#VALUE!</v>
      </c>
      <c r="F105" s="4" t="s">
        <v>592</v>
      </c>
      <c r="G105" s="143">
        <v>707996673.60000002</v>
      </c>
      <c r="H105" s="4">
        <v>5</v>
      </c>
      <c r="I105" s="143">
        <v>78.641266000000002</v>
      </c>
      <c r="J105" s="144">
        <v>2.1345314724997899</v>
      </c>
      <c r="K105" s="145">
        <v>2.2588783363751676E-2</v>
      </c>
      <c r="L105" s="146">
        <v>75</v>
      </c>
      <c r="M105" s="58">
        <v>75</v>
      </c>
      <c r="N105" s="58">
        <v>17</v>
      </c>
      <c r="O105" s="147">
        <v>3</v>
      </c>
      <c r="P105" s="148">
        <v>3.9342515859151002E-2</v>
      </c>
      <c r="Q105" s="148">
        <v>3.1896036104528999E-2</v>
      </c>
      <c r="R105" s="148">
        <v>2.6152985140519999E-2</v>
      </c>
      <c r="S105" s="153">
        <v>6.7766350091255034E-2</v>
      </c>
      <c r="T105" s="154">
        <v>2.6152985140519999E-2</v>
      </c>
      <c r="U105" s="155">
        <v>28.8</v>
      </c>
      <c r="V105" s="159">
        <v>0.13553270018251007</v>
      </c>
      <c r="W105" s="160">
        <v>5.2305970281039997E-2</v>
      </c>
      <c r="X105" s="161">
        <v>57.6</v>
      </c>
      <c r="Y105" s="165">
        <v>0.18071026691001341</v>
      </c>
      <c r="Z105" s="166">
        <v>7.8458955421559992E-2</v>
      </c>
      <c r="AA105" s="167">
        <v>86.4</v>
      </c>
    </row>
    <row r="106" spans="2:27" x14ac:dyDescent="0.25">
      <c r="B106" s="51" t="s">
        <v>1777</v>
      </c>
      <c r="C106" s="4" t="s">
        <v>4250</v>
      </c>
      <c r="D106" s="142" t="e">
        <v>#VALUE!</v>
      </c>
      <c r="E106" s="142" t="e">
        <v>#VALUE!</v>
      </c>
      <c r="F106" s="4" t="s">
        <v>592</v>
      </c>
      <c r="G106" s="143">
        <v>3430261.48</v>
      </c>
      <c r="H106" s="4">
        <v>7</v>
      </c>
      <c r="I106" s="143">
        <v>614749.93999999994</v>
      </c>
      <c r="J106" s="144">
        <v>4.7660236130146627</v>
      </c>
      <c r="K106" s="145">
        <v>8.7419290858041477E-4</v>
      </c>
      <c r="L106" s="146">
        <v>1</v>
      </c>
      <c r="M106" s="58">
        <v>1</v>
      </c>
      <c r="N106" s="58">
        <v>1</v>
      </c>
      <c r="O106" s="147">
        <v>1</v>
      </c>
      <c r="P106" s="148">
        <v>1E-4</v>
      </c>
      <c r="Q106" s="148">
        <v>1E-4</v>
      </c>
      <c r="R106" s="148">
        <v>1E-4</v>
      </c>
      <c r="S106" s="153">
        <v>6.25E-2</v>
      </c>
      <c r="T106" s="154">
        <v>0.02</v>
      </c>
      <c r="U106" s="155">
        <v>5</v>
      </c>
      <c r="V106" s="159">
        <v>0.1</v>
      </c>
      <c r="W106" s="160">
        <v>0.04</v>
      </c>
      <c r="X106" s="161">
        <v>10</v>
      </c>
      <c r="Y106" s="165">
        <v>0.125</v>
      </c>
      <c r="Z106" s="166">
        <v>0.08</v>
      </c>
      <c r="AA106" s="167">
        <v>15</v>
      </c>
    </row>
    <row r="107" spans="2:27" x14ac:dyDescent="0.25">
      <c r="B107" s="51" t="s">
        <v>2628</v>
      </c>
      <c r="C107" s="4" t="s">
        <v>4251</v>
      </c>
      <c r="D107" s="142" t="e">
        <v>#VALUE!</v>
      </c>
      <c r="E107" s="142" t="e">
        <v>#VALUE!</v>
      </c>
      <c r="F107" s="4" t="s">
        <v>592</v>
      </c>
      <c r="G107" s="143">
        <v>4914416.7690000003</v>
      </c>
      <c r="H107" s="4">
        <v>7</v>
      </c>
      <c r="I107" s="143">
        <v>630093.4</v>
      </c>
      <c r="J107" s="144">
        <v>4.317975506164891</v>
      </c>
      <c r="K107" s="145">
        <v>8.7419290858041477E-4</v>
      </c>
      <c r="L107" s="146">
        <v>1</v>
      </c>
      <c r="M107" s="58">
        <v>1</v>
      </c>
      <c r="N107" s="58">
        <v>1</v>
      </c>
      <c r="O107" s="147">
        <v>1</v>
      </c>
      <c r="P107" s="148">
        <v>1.8558227787419999E-4</v>
      </c>
      <c r="Q107" s="148">
        <v>1E-4</v>
      </c>
      <c r="R107" s="148">
        <v>1E-4</v>
      </c>
      <c r="S107" s="153">
        <v>0.05</v>
      </c>
      <c r="T107" s="154">
        <v>1.4999999999999999E-2</v>
      </c>
      <c r="U107" s="155">
        <v>5</v>
      </c>
      <c r="V107" s="159">
        <v>7.4999999999999997E-2</v>
      </c>
      <c r="W107" s="160">
        <v>0.03</v>
      </c>
      <c r="X107" s="161">
        <v>10</v>
      </c>
      <c r="Y107" s="165">
        <v>0.1</v>
      </c>
      <c r="Z107" s="166">
        <v>0.06</v>
      </c>
      <c r="AA107" s="167">
        <v>15</v>
      </c>
    </row>
    <row r="108" spans="2:27" x14ac:dyDescent="0.25">
      <c r="B108" s="51" t="s">
        <v>1730</v>
      </c>
      <c r="C108" s="4" t="s">
        <v>4252</v>
      </c>
      <c r="D108" s="142" t="e">
        <v>#VALUE!</v>
      </c>
      <c r="E108" s="142" t="e">
        <v>#VALUE!</v>
      </c>
      <c r="F108" s="4" t="s">
        <v>592</v>
      </c>
      <c r="G108" s="143">
        <v>25280806.68</v>
      </c>
      <c r="H108" s="4">
        <v>7</v>
      </c>
      <c r="I108" s="143">
        <v>21008.888999999999</v>
      </c>
      <c r="J108" s="144">
        <v>4.2090409273104621</v>
      </c>
      <c r="K108" s="145">
        <v>8.7419290858041477E-4</v>
      </c>
      <c r="L108" s="146">
        <v>1</v>
      </c>
      <c r="M108" s="58">
        <v>1</v>
      </c>
      <c r="N108" s="58">
        <v>1</v>
      </c>
      <c r="O108" s="147">
        <v>1</v>
      </c>
      <c r="P108" s="148">
        <v>1.0365012012357999E-3</v>
      </c>
      <c r="Q108" s="148">
        <v>7.0082934105891997E-4</v>
      </c>
      <c r="R108" s="148">
        <v>4.4194451712809002E-4</v>
      </c>
      <c r="S108" s="153">
        <v>0.05</v>
      </c>
      <c r="T108" s="154">
        <v>1.4999999999999999E-2</v>
      </c>
      <c r="U108" s="155">
        <v>5</v>
      </c>
      <c r="V108" s="159">
        <v>7.4999999999999997E-2</v>
      </c>
      <c r="W108" s="160">
        <v>0.03</v>
      </c>
      <c r="X108" s="161">
        <v>10</v>
      </c>
      <c r="Y108" s="165">
        <v>0.1</v>
      </c>
      <c r="Z108" s="166">
        <v>0.06</v>
      </c>
      <c r="AA108" s="167">
        <v>15</v>
      </c>
    </row>
    <row r="109" spans="2:27" x14ac:dyDescent="0.25">
      <c r="B109" s="51" t="s">
        <v>1781</v>
      </c>
      <c r="C109" s="4" t="s">
        <v>4253</v>
      </c>
      <c r="D109" s="142" t="e">
        <v>#VALUE!</v>
      </c>
      <c r="E109" s="142" t="e">
        <v>#VALUE!</v>
      </c>
      <c r="F109" s="4" t="s">
        <v>592</v>
      </c>
      <c r="G109" s="143">
        <v>39154486.899999999</v>
      </c>
      <c r="H109" s="4">
        <v>7</v>
      </c>
      <c r="I109" s="143">
        <v>815491.44</v>
      </c>
      <c r="J109" s="144">
        <v>4.9350792452405212</v>
      </c>
      <c r="K109" s="145">
        <v>1.0013618925257038E-3</v>
      </c>
      <c r="L109" s="146">
        <v>1</v>
      </c>
      <c r="M109" s="58">
        <v>1</v>
      </c>
      <c r="N109" s="58">
        <v>1</v>
      </c>
      <c r="O109" s="147">
        <v>1</v>
      </c>
      <c r="P109" s="148">
        <v>3.2751011589314001E-4</v>
      </c>
      <c r="Q109" s="148">
        <v>1.5574550700514999E-4</v>
      </c>
      <c r="R109" s="148">
        <v>1E-4</v>
      </c>
      <c r="S109" s="153">
        <v>6.25E-2</v>
      </c>
      <c r="T109" s="154">
        <v>0.02</v>
      </c>
      <c r="U109" s="155">
        <v>5</v>
      </c>
      <c r="V109" s="159">
        <v>0.1</v>
      </c>
      <c r="W109" s="160">
        <v>0.04</v>
      </c>
      <c r="X109" s="161">
        <v>10</v>
      </c>
      <c r="Y109" s="165">
        <v>0.125</v>
      </c>
      <c r="Z109" s="166">
        <v>0.08</v>
      </c>
      <c r="AA109" s="167">
        <v>15</v>
      </c>
    </row>
    <row r="110" spans="2:27" x14ac:dyDescent="0.25">
      <c r="B110" s="51" t="s">
        <v>3935</v>
      </c>
      <c r="C110" s="4" t="s">
        <v>4254</v>
      </c>
      <c r="D110" s="142" t="e">
        <v>#VALUE!</v>
      </c>
      <c r="E110" s="142" t="e">
        <v>#VALUE!</v>
      </c>
      <c r="F110" s="4" t="s">
        <v>592</v>
      </c>
      <c r="G110" s="143">
        <v>17450000</v>
      </c>
      <c r="H110" s="4">
        <v>7</v>
      </c>
      <c r="I110" s="143">
        <v>1047.6687999999999</v>
      </c>
      <c r="J110" s="144">
        <v>4.1041445170924806</v>
      </c>
      <c r="K110" s="145">
        <v>3.7516619715879558E-3</v>
      </c>
      <c r="L110" s="146">
        <v>1</v>
      </c>
      <c r="M110" s="58">
        <v>1</v>
      </c>
      <c r="N110" s="58">
        <v>1</v>
      </c>
      <c r="O110" s="147">
        <v>1</v>
      </c>
      <c r="P110" s="148">
        <v>2.9890312773463E-4</v>
      </c>
      <c r="Q110" s="148">
        <v>1.4441501205838999E-4</v>
      </c>
      <c r="R110" s="148">
        <v>1E-4</v>
      </c>
      <c r="S110" s="153">
        <v>7.4999999999999997E-2</v>
      </c>
      <c r="T110" s="154">
        <v>0.03</v>
      </c>
      <c r="U110" s="155">
        <v>5</v>
      </c>
      <c r="V110" s="159">
        <v>0.125</v>
      </c>
      <c r="W110" s="160">
        <v>0.06</v>
      </c>
      <c r="X110" s="161">
        <v>10</v>
      </c>
      <c r="Y110" s="165">
        <v>0.15</v>
      </c>
      <c r="Z110" s="166">
        <v>0.12</v>
      </c>
      <c r="AA110" s="167">
        <v>15</v>
      </c>
    </row>
    <row r="111" spans="2:27" x14ac:dyDescent="0.25">
      <c r="B111" s="51" t="s">
        <v>2013</v>
      </c>
      <c r="C111" s="4" t="s">
        <v>4255</v>
      </c>
      <c r="D111" s="142" t="e">
        <v>#VALUE!</v>
      </c>
      <c r="E111" s="142" t="e">
        <v>#VALUE!</v>
      </c>
      <c r="F111" s="4" t="s">
        <v>592</v>
      </c>
      <c r="G111" s="143">
        <v>24000000</v>
      </c>
      <c r="H111" s="4">
        <v>2</v>
      </c>
      <c r="I111" s="143">
        <v>1054.0437039799999</v>
      </c>
      <c r="J111" s="144">
        <v>1.4032006073241443</v>
      </c>
      <c r="K111" s="145">
        <v>1.5851370728520657E-2</v>
      </c>
      <c r="L111" s="146">
        <v>100</v>
      </c>
      <c r="M111" s="58">
        <v>100</v>
      </c>
      <c r="N111" s="58">
        <v>100</v>
      </c>
      <c r="O111" s="147">
        <v>100</v>
      </c>
      <c r="P111" s="148" t="s">
        <v>411</v>
      </c>
      <c r="Q111" s="148" t="s">
        <v>411</v>
      </c>
      <c r="R111" s="148">
        <v>8.8368257723953E-2</v>
      </c>
      <c r="S111" s="153">
        <v>7.9256853642603292E-2</v>
      </c>
      <c r="T111" s="154">
        <v>0.176736515447906</v>
      </c>
      <c r="U111" s="155">
        <v>30</v>
      </c>
      <c r="V111" s="159">
        <v>0.12681096582816526</v>
      </c>
      <c r="W111" s="160">
        <v>0.353473030895812</v>
      </c>
      <c r="X111" s="161">
        <v>60</v>
      </c>
      <c r="Y111" s="165">
        <v>0.15851370728520658</v>
      </c>
      <c r="Z111" s="166">
        <v>0.53020954634371797</v>
      </c>
      <c r="AA111" s="167">
        <v>90</v>
      </c>
    </row>
    <row r="112" spans="2:27" x14ac:dyDescent="0.25">
      <c r="B112" s="51" t="s">
        <v>1647</v>
      </c>
      <c r="C112" s="4" t="s">
        <v>4256</v>
      </c>
      <c r="D112" s="142" t="e">
        <v>#VALUE!</v>
      </c>
      <c r="E112" s="142" t="e">
        <v>#VALUE!</v>
      </c>
      <c r="F112" s="4" t="s">
        <v>592</v>
      </c>
      <c r="G112" s="143">
        <v>4000000</v>
      </c>
      <c r="H112" s="4">
        <v>2</v>
      </c>
      <c r="I112" s="143">
        <v>1032.2662668099999</v>
      </c>
      <c r="J112" s="144">
        <v>1.2640202191770085</v>
      </c>
      <c r="K112" s="145">
        <v>1.3425004667680828E-2</v>
      </c>
      <c r="L112" s="146">
        <v>93</v>
      </c>
      <c r="M112" s="58">
        <v>93</v>
      </c>
      <c r="N112" s="58">
        <v>31</v>
      </c>
      <c r="O112" s="147">
        <v>10</v>
      </c>
      <c r="P112" s="148">
        <v>5.1396047273228003E-2</v>
      </c>
      <c r="Q112" s="148">
        <v>4.1381708702630998E-2</v>
      </c>
      <c r="R112" s="148">
        <v>3.3658212678072001E-2</v>
      </c>
      <c r="S112" s="153">
        <v>7.4999999999999997E-2</v>
      </c>
      <c r="T112" s="154">
        <v>6.7316425356144002E-2</v>
      </c>
      <c r="U112" s="155">
        <v>30</v>
      </c>
      <c r="V112" s="159">
        <v>0.125</v>
      </c>
      <c r="W112" s="160">
        <v>0.134632850712288</v>
      </c>
      <c r="X112" s="161">
        <v>60</v>
      </c>
      <c r="Y112" s="165">
        <v>0.15</v>
      </c>
      <c r="Z112" s="166">
        <v>0.20194927606843199</v>
      </c>
      <c r="AA112" s="167">
        <v>90</v>
      </c>
    </row>
    <row r="113" spans="2:27" x14ac:dyDescent="0.25">
      <c r="B113" s="51" t="s">
        <v>3498</v>
      </c>
      <c r="C113" s="4" t="s">
        <v>4257</v>
      </c>
      <c r="D113" s="142" t="e">
        <v>#VALUE!</v>
      </c>
      <c r="E113" s="142" t="e">
        <v>#VALUE!</v>
      </c>
      <c r="F113" s="4" t="s">
        <v>592</v>
      </c>
      <c r="G113" s="143">
        <v>4000000</v>
      </c>
      <c r="H113" s="4">
        <v>3</v>
      </c>
      <c r="I113" s="143">
        <v>1016.7982694</v>
      </c>
      <c r="J113" s="144">
        <v>1.7121318606448255</v>
      </c>
      <c r="K113" s="145">
        <v>1.7068833627966146E-2</v>
      </c>
      <c r="L113" s="146">
        <v>10</v>
      </c>
      <c r="M113" s="58">
        <v>10</v>
      </c>
      <c r="N113" s="58">
        <v>1</v>
      </c>
      <c r="O113" s="147">
        <v>1</v>
      </c>
      <c r="P113" s="148">
        <v>2.1168770824008001E-2</v>
      </c>
      <c r="Q113" s="148">
        <v>1.5906664199024E-2</v>
      </c>
      <c r="R113" s="148">
        <v>1.1848297357084999E-2</v>
      </c>
      <c r="S113" s="153">
        <v>8.5344168139830728E-2</v>
      </c>
      <c r="T113" s="154">
        <v>0.03</v>
      </c>
      <c r="U113" s="155">
        <v>5</v>
      </c>
      <c r="V113" s="159">
        <v>0.13655066902372917</v>
      </c>
      <c r="W113" s="160">
        <v>0.06</v>
      </c>
      <c r="X113" s="161">
        <v>10</v>
      </c>
      <c r="Y113" s="165">
        <v>0.17068833627966146</v>
      </c>
      <c r="Z113" s="166">
        <v>0.12</v>
      </c>
      <c r="AA113" s="167">
        <v>15</v>
      </c>
    </row>
    <row r="114" spans="2:27" x14ac:dyDescent="0.25">
      <c r="B114" s="51" t="s">
        <v>3162</v>
      </c>
      <c r="C114" s="4" t="s">
        <v>4258</v>
      </c>
      <c r="D114" s="142" t="e">
        <v>#VALUE!</v>
      </c>
      <c r="E114" s="142" t="e">
        <v>#VALUE!</v>
      </c>
      <c r="F114" s="4" t="s">
        <v>592</v>
      </c>
      <c r="G114" s="143">
        <v>6960000</v>
      </c>
      <c r="H114" s="4">
        <v>5</v>
      </c>
      <c r="I114" s="143">
        <v>1347456.1523879</v>
      </c>
      <c r="J114" s="144">
        <v>2.5056513295006666</v>
      </c>
      <c r="K114" s="145">
        <v>6.6767264396920503E-2</v>
      </c>
      <c r="L114" s="146">
        <v>1</v>
      </c>
      <c r="M114" s="58">
        <v>1</v>
      </c>
      <c r="N114" s="58">
        <v>1</v>
      </c>
      <c r="O114" s="147">
        <v>1</v>
      </c>
      <c r="P114" s="148">
        <v>4.3905462862566004E-3</v>
      </c>
      <c r="Q114" s="148">
        <v>2.8766071183748999E-3</v>
      </c>
      <c r="R114" s="148">
        <v>1.5086844835265E-3</v>
      </c>
      <c r="S114" s="153">
        <v>0.3338363219846025</v>
      </c>
      <c r="T114" s="154">
        <v>0.03</v>
      </c>
      <c r="U114" s="155">
        <v>5</v>
      </c>
      <c r="V114" s="159">
        <v>0.53413811517536403</v>
      </c>
      <c r="W114" s="160">
        <v>0.06</v>
      </c>
      <c r="X114" s="161">
        <v>10</v>
      </c>
      <c r="Y114" s="165">
        <v>0.667672643969205</v>
      </c>
      <c r="Z114" s="166">
        <v>0.12</v>
      </c>
      <c r="AA114" s="167">
        <v>15</v>
      </c>
    </row>
    <row r="115" spans="2:27" x14ac:dyDescent="0.25">
      <c r="B115" s="51" t="s">
        <v>2468</v>
      </c>
      <c r="C115" s="4" t="s">
        <v>4259</v>
      </c>
      <c r="D115" s="142" t="e">
        <v>#VALUE!</v>
      </c>
      <c r="E115" s="142" t="e">
        <v>#VALUE!</v>
      </c>
      <c r="F115" s="4" t="s">
        <v>592</v>
      </c>
      <c r="G115" s="143">
        <v>4000000</v>
      </c>
      <c r="H115" s="4">
        <v>5</v>
      </c>
      <c r="I115" s="143">
        <v>362709.84654103999</v>
      </c>
      <c r="J115" s="144">
        <v>2.4055644139777113</v>
      </c>
      <c r="K115" s="145">
        <v>2.2630554850551213E-2</v>
      </c>
      <c r="L115" s="146">
        <v>1</v>
      </c>
      <c r="M115" s="58">
        <v>1</v>
      </c>
      <c r="N115" s="58">
        <v>1</v>
      </c>
      <c r="O115" s="147">
        <v>1</v>
      </c>
      <c r="P115" s="148">
        <v>5.3950855826278002E-3</v>
      </c>
      <c r="Q115" s="148">
        <v>3.3079192685252002E-3</v>
      </c>
      <c r="R115" s="148">
        <v>1.6982052953132E-3</v>
      </c>
      <c r="S115" s="153">
        <v>0.11315277425275606</v>
      </c>
      <c r="T115" s="154">
        <v>0.03</v>
      </c>
      <c r="U115" s="155">
        <v>5</v>
      </c>
      <c r="V115" s="159">
        <v>0.18104443880440971</v>
      </c>
      <c r="W115" s="160">
        <v>0.06</v>
      </c>
      <c r="X115" s="161">
        <v>10</v>
      </c>
      <c r="Y115" s="165">
        <v>0.22630554850551213</v>
      </c>
      <c r="Z115" s="166">
        <v>0.12</v>
      </c>
      <c r="AA115" s="167">
        <v>15</v>
      </c>
    </row>
    <row r="116" spans="2:27" x14ac:dyDescent="0.25">
      <c r="B116" s="51" t="s">
        <v>673</v>
      </c>
      <c r="C116" s="4" t="s">
        <v>4260</v>
      </c>
      <c r="D116" s="142" t="e">
        <v>#VALUE!</v>
      </c>
      <c r="E116" s="142" t="e">
        <v>#VALUE!</v>
      </c>
      <c r="F116" s="4" t="s">
        <v>592</v>
      </c>
      <c r="G116" s="143">
        <v>20868060.280000001</v>
      </c>
      <c r="H116" s="4">
        <v>1</v>
      </c>
      <c r="I116" s="143">
        <v>144.77941999999999</v>
      </c>
      <c r="J116" s="144">
        <v>0.87051300969999346</v>
      </c>
      <c r="K116" s="145">
        <v>6.4508215298332464E-2</v>
      </c>
      <c r="L116" s="146">
        <v>15</v>
      </c>
      <c r="M116" s="58">
        <v>15</v>
      </c>
      <c r="N116" s="58">
        <v>1</v>
      </c>
      <c r="O116" s="147">
        <v>1</v>
      </c>
      <c r="P116" s="148">
        <v>1.4777075334762999E-2</v>
      </c>
      <c r="Q116" s="148">
        <v>1.2865092272318E-2</v>
      </c>
      <c r="R116" s="148">
        <v>1.1390487286904999E-2</v>
      </c>
      <c r="S116" s="153">
        <v>0.1935246458949974</v>
      </c>
      <c r="T116" s="154">
        <v>1.4999999999999999E-2</v>
      </c>
      <c r="U116" s="155">
        <v>5.2</v>
      </c>
      <c r="V116" s="159">
        <v>0.38704929178999481</v>
      </c>
      <c r="W116" s="160">
        <v>0.03</v>
      </c>
      <c r="X116" s="161">
        <v>10.4</v>
      </c>
      <c r="Y116" s="165">
        <v>0.51606572238665971</v>
      </c>
      <c r="Z116" s="166">
        <v>0.06</v>
      </c>
      <c r="AA116" s="167">
        <v>15.600000000000001</v>
      </c>
    </row>
    <row r="117" spans="2:27" x14ac:dyDescent="0.25">
      <c r="B117" s="51" t="s">
        <v>3163</v>
      </c>
      <c r="C117" s="4" t="s">
        <v>4261</v>
      </c>
      <c r="D117" s="142" t="e">
        <v>#VALUE!</v>
      </c>
      <c r="E117" s="142" t="e">
        <v>#VALUE!</v>
      </c>
      <c r="F117" s="4" t="s">
        <v>592</v>
      </c>
      <c r="G117" s="143">
        <v>14823941.75</v>
      </c>
      <c r="H117" s="4">
        <v>1</v>
      </c>
      <c r="I117" s="143">
        <v>137.18514999999999</v>
      </c>
      <c r="J117" s="144">
        <v>0.39756484935598735</v>
      </c>
      <c r="K117" s="145">
        <v>6.4508215298332464E-2</v>
      </c>
      <c r="L117" s="146">
        <v>57</v>
      </c>
      <c r="M117" s="58">
        <v>57</v>
      </c>
      <c r="N117" s="58">
        <v>1</v>
      </c>
      <c r="O117" s="147">
        <v>1</v>
      </c>
      <c r="P117" s="148">
        <v>1.9977459766667E-2</v>
      </c>
      <c r="Q117" s="148">
        <v>1.7273131898275999E-2</v>
      </c>
      <c r="R117" s="148">
        <v>1.5187435934097E-2</v>
      </c>
      <c r="S117" s="153">
        <v>0.1935246458949974</v>
      </c>
      <c r="T117" s="154">
        <v>1.5187435934097E-2</v>
      </c>
      <c r="U117" s="155">
        <v>17.8</v>
      </c>
      <c r="V117" s="159">
        <v>0.38704929178999481</v>
      </c>
      <c r="W117" s="160">
        <v>3.0374871868194001E-2</v>
      </c>
      <c r="X117" s="161">
        <v>35.6</v>
      </c>
      <c r="Y117" s="165">
        <v>0.51606572238665971</v>
      </c>
      <c r="Z117" s="166">
        <v>0.06</v>
      </c>
      <c r="AA117" s="167">
        <v>53.400000000000006</v>
      </c>
    </row>
    <row r="118" spans="2:27" x14ac:dyDescent="0.25">
      <c r="B118" s="51" t="s">
        <v>2560</v>
      </c>
      <c r="C118" s="4" t="s">
        <v>4262</v>
      </c>
      <c r="D118" s="142" t="e">
        <v>#VALUE!</v>
      </c>
      <c r="E118" s="142" t="e">
        <v>#VALUE!</v>
      </c>
      <c r="F118" s="4" t="s">
        <v>592</v>
      </c>
      <c r="G118" s="143">
        <v>10655843.74</v>
      </c>
      <c r="H118" s="4">
        <v>1</v>
      </c>
      <c r="I118" s="143">
        <v>78.813990000000004</v>
      </c>
      <c r="J118" s="144">
        <v>1.3485216771027991E-2</v>
      </c>
      <c r="K118" s="145">
        <v>6.4508215298332464E-2</v>
      </c>
      <c r="L118" s="146">
        <v>1</v>
      </c>
      <c r="M118" s="58">
        <v>1</v>
      </c>
      <c r="N118" s="58">
        <v>1</v>
      </c>
      <c r="O118" s="147">
        <v>1</v>
      </c>
      <c r="P118" s="148">
        <v>5.0486407902072001E-3</v>
      </c>
      <c r="Q118" s="148">
        <v>4.1622952160277E-3</v>
      </c>
      <c r="R118" s="148">
        <v>3.4787067323448001E-3</v>
      </c>
      <c r="S118" s="153">
        <v>0.1935246458949974</v>
      </c>
      <c r="T118" s="154">
        <v>1.4999999999999999E-2</v>
      </c>
      <c r="U118" s="155">
        <v>5</v>
      </c>
      <c r="V118" s="159">
        <v>0.38704929178999481</v>
      </c>
      <c r="W118" s="160">
        <v>0.03</v>
      </c>
      <c r="X118" s="161">
        <v>10</v>
      </c>
      <c r="Y118" s="165">
        <v>0.51606572238665971</v>
      </c>
      <c r="Z118" s="166">
        <v>0.06</v>
      </c>
      <c r="AA118" s="167">
        <v>15</v>
      </c>
    </row>
    <row r="119" spans="2:27" x14ac:dyDescent="0.25">
      <c r="B119" s="51" t="s">
        <v>2406</v>
      </c>
      <c r="C119" s="4" t="s">
        <v>4263</v>
      </c>
      <c r="D119" s="142" t="e">
        <v>#VALUE!</v>
      </c>
      <c r="E119" s="142" t="e">
        <v>#VALUE!</v>
      </c>
      <c r="F119" s="4" t="s">
        <v>592</v>
      </c>
      <c r="G119" s="143">
        <v>11218918.65</v>
      </c>
      <c r="H119" s="4">
        <v>7</v>
      </c>
      <c r="I119" s="143">
        <v>642567.80000000005</v>
      </c>
      <c r="J119" s="144">
        <v>4.4524481498519615</v>
      </c>
      <c r="K119" s="145">
        <v>8.7419290858041477E-4</v>
      </c>
      <c r="L119" s="146">
        <v>1</v>
      </c>
      <c r="M119" s="58">
        <v>1</v>
      </c>
      <c r="N119" s="58">
        <v>1</v>
      </c>
      <c r="O119" s="147">
        <v>1</v>
      </c>
      <c r="P119" s="148">
        <v>3.1660950215838001E-4</v>
      </c>
      <c r="Q119" s="148">
        <v>1.4741850546464E-4</v>
      </c>
      <c r="R119" s="148">
        <v>1E-4</v>
      </c>
      <c r="S119" s="153">
        <v>0.05</v>
      </c>
      <c r="T119" s="154">
        <v>1.4999999999999999E-2</v>
      </c>
      <c r="U119" s="155">
        <v>5</v>
      </c>
      <c r="V119" s="159">
        <v>7.4999999999999997E-2</v>
      </c>
      <c r="W119" s="160">
        <v>0.03</v>
      </c>
      <c r="X119" s="161">
        <v>10</v>
      </c>
      <c r="Y119" s="165">
        <v>0.1</v>
      </c>
      <c r="Z119" s="166">
        <v>0.06</v>
      </c>
      <c r="AA119" s="167">
        <v>15</v>
      </c>
    </row>
    <row r="120" spans="2:27" x14ac:dyDescent="0.25">
      <c r="B120" s="51" t="s">
        <v>2758</v>
      </c>
      <c r="C120" s="4" t="s">
        <v>4264</v>
      </c>
      <c r="D120" s="142" t="e">
        <v>#VALUE!</v>
      </c>
      <c r="E120" s="142" t="e">
        <v>#VALUE!</v>
      </c>
      <c r="F120" s="4" t="s">
        <v>592</v>
      </c>
      <c r="G120" s="143">
        <v>19960557.030000001</v>
      </c>
      <c r="H120" s="4">
        <v>1</v>
      </c>
      <c r="I120" s="143">
        <v>211.66153</v>
      </c>
      <c r="J120" s="144">
        <v>0.71213458876002933</v>
      </c>
      <c r="K120" s="145">
        <v>6.4951485531288752E-2</v>
      </c>
      <c r="L120" s="146">
        <v>1</v>
      </c>
      <c r="M120" s="58">
        <v>1</v>
      </c>
      <c r="N120" s="58">
        <v>1</v>
      </c>
      <c r="O120" s="147">
        <v>1</v>
      </c>
      <c r="P120" s="148">
        <v>5.0557780169765004E-3</v>
      </c>
      <c r="Q120" s="148">
        <v>4.1691573698620001E-3</v>
      </c>
      <c r="R120" s="148">
        <v>3.4853567378974998E-3</v>
      </c>
      <c r="S120" s="153">
        <v>0.19485445659386624</v>
      </c>
      <c r="T120" s="154">
        <v>1.4999999999999999E-2</v>
      </c>
      <c r="U120" s="155">
        <v>5</v>
      </c>
      <c r="V120" s="159">
        <v>0.38970891318773249</v>
      </c>
      <c r="W120" s="160">
        <v>0.03</v>
      </c>
      <c r="X120" s="161">
        <v>10</v>
      </c>
      <c r="Y120" s="165">
        <v>0.51961188425031002</v>
      </c>
      <c r="Z120" s="166">
        <v>0.06</v>
      </c>
      <c r="AA120" s="167">
        <v>15</v>
      </c>
    </row>
    <row r="121" spans="2:27" x14ac:dyDescent="0.25">
      <c r="B121" s="51" t="s">
        <v>1058</v>
      </c>
      <c r="C121" s="4" t="s">
        <v>4265</v>
      </c>
      <c r="D121" s="142" t="e">
        <v>#VALUE!</v>
      </c>
      <c r="E121" s="142" t="e">
        <v>#VALUE!</v>
      </c>
      <c r="F121" s="4" t="s">
        <v>592</v>
      </c>
      <c r="G121" s="143">
        <v>13130200</v>
      </c>
      <c r="H121" s="4">
        <v>1</v>
      </c>
      <c r="I121" s="143">
        <v>908.76953000000003</v>
      </c>
      <c r="J121" s="144">
        <v>1.1248616953218753</v>
      </c>
      <c r="K121" s="145">
        <v>0.1488975817010878</v>
      </c>
      <c r="L121" s="146">
        <v>1</v>
      </c>
      <c r="M121" s="58">
        <v>1</v>
      </c>
      <c r="N121" s="58">
        <v>1</v>
      </c>
      <c r="O121" s="147">
        <v>1</v>
      </c>
      <c r="P121" s="148">
        <v>4.3230024941835997E-3</v>
      </c>
      <c r="Q121" s="148">
        <v>3.7110462657334998E-3</v>
      </c>
      <c r="R121" s="148">
        <v>3.2390788497810002E-3</v>
      </c>
      <c r="S121" s="153">
        <v>0.4466927451032634</v>
      </c>
      <c r="T121" s="154">
        <v>1.4999999999999999E-2</v>
      </c>
      <c r="U121" s="155">
        <v>5</v>
      </c>
      <c r="V121" s="159">
        <v>0.8933854902065268</v>
      </c>
      <c r="W121" s="160">
        <v>0.03</v>
      </c>
      <c r="X121" s="161">
        <v>10</v>
      </c>
      <c r="Y121" s="165">
        <v>1.1911806536087024</v>
      </c>
      <c r="Z121" s="166">
        <v>0.06</v>
      </c>
      <c r="AA121" s="167">
        <v>15</v>
      </c>
    </row>
    <row r="122" spans="2:27" x14ac:dyDescent="0.25">
      <c r="B122" s="51" t="s">
        <v>713</v>
      </c>
      <c r="C122" s="4" t="s">
        <v>4266</v>
      </c>
      <c r="D122" s="142" t="e">
        <v>#VALUE!</v>
      </c>
      <c r="E122" s="142" t="e">
        <v>#VALUE!</v>
      </c>
      <c r="F122" s="4" t="s">
        <v>592</v>
      </c>
      <c r="G122" s="143">
        <v>39723799.200000003</v>
      </c>
      <c r="H122" s="4">
        <v>2</v>
      </c>
      <c r="I122" s="143">
        <v>163.91766000000001</v>
      </c>
      <c r="J122" s="144">
        <v>1.3381997235180523</v>
      </c>
      <c r="K122" s="145">
        <v>6.4951485531288752E-2</v>
      </c>
      <c r="L122" s="146">
        <v>1</v>
      </c>
      <c r="M122" s="58">
        <v>1</v>
      </c>
      <c r="N122" s="58">
        <v>1</v>
      </c>
      <c r="O122" s="147">
        <v>1</v>
      </c>
      <c r="P122" s="148">
        <v>2.8686554080477999E-3</v>
      </c>
      <c r="Q122" s="148">
        <v>2.3334130915842999E-3</v>
      </c>
      <c r="R122" s="148">
        <v>1.9206108007252E-3</v>
      </c>
      <c r="S122" s="153">
        <v>0.19485445659386624</v>
      </c>
      <c r="T122" s="154">
        <v>1.4999999999999999E-2</v>
      </c>
      <c r="U122" s="155">
        <v>5</v>
      </c>
      <c r="V122" s="159">
        <v>0.38970891318773249</v>
      </c>
      <c r="W122" s="160">
        <v>0.03</v>
      </c>
      <c r="X122" s="161">
        <v>10</v>
      </c>
      <c r="Y122" s="165">
        <v>0.51961188425031002</v>
      </c>
      <c r="Z122" s="166">
        <v>0.06</v>
      </c>
      <c r="AA122" s="167">
        <v>15</v>
      </c>
    </row>
    <row r="123" spans="2:27" x14ac:dyDescent="0.25">
      <c r="B123" s="51" t="s">
        <v>3623</v>
      </c>
      <c r="C123" s="4" t="s">
        <v>4267</v>
      </c>
      <c r="D123" s="142" t="e">
        <v>#VALUE!</v>
      </c>
      <c r="E123" s="142" t="e">
        <v>#VALUE!</v>
      </c>
      <c r="F123" s="4" t="s">
        <v>592</v>
      </c>
      <c r="G123" s="143">
        <v>10650770</v>
      </c>
      <c r="H123" s="4">
        <v>1</v>
      </c>
      <c r="I123" s="143">
        <v>214.66028</v>
      </c>
      <c r="J123" s="144">
        <v>0.77498173614686949</v>
      </c>
      <c r="K123" s="145">
        <v>6.4508215298332464E-2</v>
      </c>
      <c r="L123" s="146">
        <v>1</v>
      </c>
      <c r="M123" s="58">
        <v>1</v>
      </c>
      <c r="N123" s="58">
        <v>1</v>
      </c>
      <c r="O123" s="147">
        <v>1</v>
      </c>
      <c r="P123" s="148">
        <v>3.2938752245253999E-3</v>
      </c>
      <c r="Q123" s="148">
        <v>2.6849927288272002E-3</v>
      </c>
      <c r="R123" s="148">
        <v>2.2153959100462001E-3</v>
      </c>
      <c r="S123" s="153">
        <v>0.1935246458949974</v>
      </c>
      <c r="T123" s="154">
        <v>1.4999999999999999E-2</v>
      </c>
      <c r="U123" s="155">
        <v>5</v>
      </c>
      <c r="V123" s="159">
        <v>0.38704929178999481</v>
      </c>
      <c r="W123" s="160">
        <v>0.03</v>
      </c>
      <c r="X123" s="161">
        <v>10</v>
      </c>
      <c r="Y123" s="165">
        <v>0.51606572238665971</v>
      </c>
      <c r="Z123" s="166">
        <v>0.06</v>
      </c>
      <c r="AA123" s="167">
        <v>15</v>
      </c>
    </row>
    <row r="124" spans="2:27" x14ac:dyDescent="0.25">
      <c r="B124" s="51" t="s">
        <v>2767</v>
      </c>
      <c r="C124" s="4" t="s">
        <v>4268</v>
      </c>
      <c r="D124" s="142" t="e">
        <v>#VALUE!</v>
      </c>
      <c r="E124" s="142" t="e">
        <v>#VALUE!</v>
      </c>
      <c r="F124" s="4" t="s">
        <v>592</v>
      </c>
      <c r="G124" s="143">
        <v>85603408.980000004</v>
      </c>
      <c r="H124" s="4">
        <v>2</v>
      </c>
      <c r="I124" s="143">
        <v>255.51738</v>
      </c>
      <c r="J124" s="144">
        <v>1.4292055800868044</v>
      </c>
      <c r="K124" s="145">
        <v>6.4508215298332464E-2</v>
      </c>
      <c r="L124" s="146">
        <v>1</v>
      </c>
      <c r="M124" s="58">
        <v>1</v>
      </c>
      <c r="N124" s="58">
        <v>1</v>
      </c>
      <c r="O124" s="147">
        <v>1</v>
      </c>
      <c r="P124" s="148">
        <v>5.0509434578111002E-3</v>
      </c>
      <c r="Q124" s="148">
        <v>4.1642513633503003E-3</v>
      </c>
      <c r="R124" s="148">
        <v>3.4803956280667001E-3</v>
      </c>
      <c r="S124" s="153">
        <v>0.1935246458949974</v>
      </c>
      <c r="T124" s="154">
        <v>1.4999999999999999E-2</v>
      </c>
      <c r="U124" s="155">
        <v>5</v>
      </c>
      <c r="V124" s="159">
        <v>0.38704929178999481</v>
      </c>
      <c r="W124" s="160">
        <v>0.03</v>
      </c>
      <c r="X124" s="161">
        <v>10</v>
      </c>
      <c r="Y124" s="165">
        <v>0.51606572238665971</v>
      </c>
      <c r="Z124" s="166">
        <v>0.06</v>
      </c>
      <c r="AA124" s="167">
        <v>15</v>
      </c>
    </row>
    <row r="125" spans="2:27" x14ac:dyDescent="0.25">
      <c r="B125" s="51" t="s">
        <v>2762</v>
      </c>
      <c r="C125" s="4" t="s">
        <v>4269</v>
      </c>
      <c r="D125" s="142" t="e">
        <v>#VALUE!</v>
      </c>
      <c r="E125" s="142" t="e">
        <v>#VALUE!</v>
      </c>
      <c r="F125" s="4" t="s">
        <v>592</v>
      </c>
      <c r="G125" s="143">
        <v>23447862.890000001</v>
      </c>
      <c r="H125" s="4">
        <v>1</v>
      </c>
      <c r="I125" s="143">
        <v>238.59818000000001</v>
      </c>
      <c r="J125" s="144">
        <v>0.83706445934876594</v>
      </c>
      <c r="K125" s="145">
        <v>6.4508215298332464E-2</v>
      </c>
      <c r="L125" s="146">
        <v>1</v>
      </c>
      <c r="M125" s="58">
        <v>1</v>
      </c>
      <c r="N125" s="58">
        <v>1</v>
      </c>
      <c r="O125" s="147">
        <v>1</v>
      </c>
      <c r="P125" s="148">
        <v>5.0506943878965999E-3</v>
      </c>
      <c r="Q125" s="148">
        <v>4.1640397732942997E-3</v>
      </c>
      <c r="R125" s="148">
        <v>3.4802129441172999E-3</v>
      </c>
      <c r="S125" s="153">
        <v>0.1935246458949974</v>
      </c>
      <c r="T125" s="154">
        <v>1.4999999999999999E-2</v>
      </c>
      <c r="U125" s="155">
        <v>5</v>
      </c>
      <c r="V125" s="159">
        <v>0.38704929178999481</v>
      </c>
      <c r="W125" s="160">
        <v>0.03</v>
      </c>
      <c r="X125" s="161">
        <v>10</v>
      </c>
      <c r="Y125" s="165">
        <v>0.51606572238665971</v>
      </c>
      <c r="Z125" s="166">
        <v>0.06</v>
      </c>
      <c r="AA125" s="167">
        <v>15</v>
      </c>
    </row>
    <row r="126" spans="2:27" x14ac:dyDescent="0.25">
      <c r="B126" s="51" t="s">
        <v>2235</v>
      </c>
      <c r="C126" s="4" t="s">
        <v>4270</v>
      </c>
      <c r="D126" s="142" t="e">
        <v>#VALUE!</v>
      </c>
      <c r="E126" s="142" t="e">
        <v>#VALUE!</v>
      </c>
      <c r="F126" s="4" t="s">
        <v>592</v>
      </c>
      <c r="G126" s="143">
        <v>9133288.8330000006</v>
      </c>
      <c r="H126" s="4">
        <v>1</v>
      </c>
      <c r="I126" s="143">
        <v>184.49889999999999</v>
      </c>
      <c r="J126" s="144">
        <v>0.60652956415264214</v>
      </c>
      <c r="K126" s="145">
        <v>6.4951485531288752E-2</v>
      </c>
      <c r="L126" s="146">
        <v>1</v>
      </c>
      <c r="M126" s="58">
        <v>1</v>
      </c>
      <c r="N126" s="58">
        <v>1</v>
      </c>
      <c r="O126" s="147">
        <v>1</v>
      </c>
      <c r="P126" s="148">
        <v>3.4404944391978002E-3</v>
      </c>
      <c r="Q126" s="148">
        <v>2.8080445499611998E-3</v>
      </c>
      <c r="R126" s="148">
        <v>2.3202715262295999E-3</v>
      </c>
      <c r="S126" s="153">
        <v>0.19485445659386624</v>
      </c>
      <c r="T126" s="154">
        <v>1.4999999999999999E-2</v>
      </c>
      <c r="U126" s="155">
        <v>5</v>
      </c>
      <c r="V126" s="159">
        <v>0.38970891318773249</v>
      </c>
      <c r="W126" s="160">
        <v>0.03</v>
      </c>
      <c r="X126" s="161">
        <v>10</v>
      </c>
      <c r="Y126" s="165">
        <v>0.51961188425031002</v>
      </c>
      <c r="Z126" s="166">
        <v>0.06</v>
      </c>
      <c r="AA126" s="167">
        <v>15</v>
      </c>
    </row>
    <row r="127" spans="2:27" x14ac:dyDescent="0.25">
      <c r="B127" s="51" t="s">
        <v>2772</v>
      </c>
      <c r="C127" s="4" t="s">
        <v>4271</v>
      </c>
      <c r="D127" s="142" t="e">
        <v>#VALUE!</v>
      </c>
      <c r="E127" s="142" t="e">
        <v>#VALUE!</v>
      </c>
      <c r="F127" s="4" t="s">
        <v>592</v>
      </c>
      <c r="G127" s="143">
        <v>6929247.6160000004</v>
      </c>
      <c r="H127" s="4">
        <v>1</v>
      </c>
      <c r="I127" s="143">
        <v>207.94905</v>
      </c>
      <c r="J127" s="144">
        <v>0.24793707209206653</v>
      </c>
      <c r="K127" s="145">
        <v>6.4508215298332464E-2</v>
      </c>
      <c r="L127" s="146">
        <v>1</v>
      </c>
      <c r="M127" s="58">
        <v>1</v>
      </c>
      <c r="N127" s="58">
        <v>1</v>
      </c>
      <c r="O127" s="147">
        <v>1</v>
      </c>
      <c r="P127" s="148">
        <v>5.0525099145982003E-3</v>
      </c>
      <c r="Q127" s="148">
        <v>4.1655821108128E-3</v>
      </c>
      <c r="R127" s="148">
        <v>3.4815445861858E-3</v>
      </c>
      <c r="S127" s="153">
        <v>0.1935246458949974</v>
      </c>
      <c r="T127" s="154">
        <v>1.4999999999999999E-2</v>
      </c>
      <c r="U127" s="155">
        <v>5</v>
      </c>
      <c r="V127" s="159">
        <v>0.38704929178999481</v>
      </c>
      <c r="W127" s="160">
        <v>0.03</v>
      </c>
      <c r="X127" s="161">
        <v>10</v>
      </c>
      <c r="Y127" s="165">
        <v>0.51606572238665971</v>
      </c>
      <c r="Z127" s="166">
        <v>0.06</v>
      </c>
      <c r="AA127" s="167">
        <v>15</v>
      </c>
    </row>
    <row r="128" spans="2:27" x14ac:dyDescent="0.25">
      <c r="B128" s="51" t="s">
        <v>58</v>
      </c>
      <c r="C128" s="4" t="s">
        <v>191</v>
      </c>
      <c r="D128" s="142" t="e">
        <v>#VALUE!</v>
      </c>
      <c r="E128" s="142" t="e">
        <v>#VALUE!</v>
      </c>
      <c r="F128" s="4" t="s">
        <v>592</v>
      </c>
      <c r="G128" s="143">
        <v>50000000</v>
      </c>
      <c r="H128" s="4">
        <v>1</v>
      </c>
      <c r="I128" s="143">
        <v>138.26508999999999</v>
      </c>
      <c r="J128" s="144">
        <v>0.46492089262687314</v>
      </c>
      <c r="K128" s="145">
        <v>6.4508215298332464E-2</v>
      </c>
      <c r="L128" s="146">
        <v>1</v>
      </c>
      <c r="M128" s="58">
        <v>1</v>
      </c>
      <c r="N128" s="58">
        <v>1</v>
      </c>
      <c r="O128" s="147">
        <v>1</v>
      </c>
      <c r="P128" s="148">
        <v>9.5313135093166995E-3</v>
      </c>
      <c r="Q128" s="148">
        <v>8.0200690108151E-3</v>
      </c>
      <c r="R128" s="148">
        <v>6.8545311378911998E-3</v>
      </c>
      <c r="S128" s="153">
        <v>0.1935246458949974</v>
      </c>
      <c r="T128" s="154">
        <v>1.4999999999999999E-2</v>
      </c>
      <c r="U128" s="155">
        <v>5</v>
      </c>
      <c r="V128" s="159">
        <v>0.38704929178999481</v>
      </c>
      <c r="W128" s="160">
        <v>0.03</v>
      </c>
      <c r="X128" s="161">
        <v>10</v>
      </c>
      <c r="Y128" s="165">
        <v>0.51606572238665971</v>
      </c>
      <c r="Z128" s="166">
        <v>0.06</v>
      </c>
      <c r="AA128" s="167">
        <v>15</v>
      </c>
    </row>
    <row r="129" spans="2:27" x14ac:dyDescent="0.25">
      <c r="B129" s="51" t="s">
        <v>57</v>
      </c>
      <c r="C129" s="4" t="s">
        <v>192</v>
      </c>
      <c r="D129" s="142" t="e">
        <v>#VALUE!</v>
      </c>
      <c r="E129" s="142" t="e">
        <v>#VALUE!</v>
      </c>
      <c r="F129" s="4" t="s">
        <v>592</v>
      </c>
      <c r="G129" s="143">
        <v>50000000</v>
      </c>
      <c r="H129" s="4">
        <v>1</v>
      </c>
      <c r="I129" s="143">
        <v>969.91296</v>
      </c>
      <c r="J129" s="144">
        <v>0.23117885670698982</v>
      </c>
      <c r="K129" s="145">
        <v>9.8835755917959053E-2</v>
      </c>
      <c r="L129" s="146">
        <v>100</v>
      </c>
      <c r="M129" s="58">
        <v>100</v>
      </c>
      <c r="N129" s="58">
        <v>34</v>
      </c>
      <c r="O129" s="147">
        <v>2</v>
      </c>
      <c r="P129" s="148">
        <v>3.3697604431412002E-2</v>
      </c>
      <c r="Q129" s="148">
        <v>2.9460003571550999E-2</v>
      </c>
      <c r="R129" s="148">
        <v>2.6191780396942001E-2</v>
      </c>
      <c r="S129" s="153">
        <v>0.29650726775387715</v>
      </c>
      <c r="T129" s="154">
        <v>2.6191780396942001E-2</v>
      </c>
      <c r="U129" s="155">
        <v>30</v>
      </c>
      <c r="V129" s="159">
        <v>0.59301453550775429</v>
      </c>
      <c r="W129" s="160">
        <v>5.2383560793884003E-2</v>
      </c>
      <c r="X129" s="161">
        <v>60</v>
      </c>
      <c r="Y129" s="165">
        <v>0.79068604734367243</v>
      </c>
      <c r="Z129" s="166">
        <v>7.8575341190826001E-2</v>
      </c>
      <c r="AA129" s="167">
        <v>90</v>
      </c>
    </row>
    <row r="130" spans="2:27" x14ac:dyDescent="0.25">
      <c r="B130" s="51" t="s">
        <v>59</v>
      </c>
      <c r="C130" s="4" t="s">
        <v>192</v>
      </c>
      <c r="D130" s="142" t="e">
        <v>#VALUE!</v>
      </c>
      <c r="E130" s="142" t="e">
        <v>#VALUE!</v>
      </c>
      <c r="F130" s="4" t="s">
        <v>592</v>
      </c>
      <c r="G130" s="143">
        <v>50000000</v>
      </c>
      <c r="H130" s="4">
        <v>1</v>
      </c>
      <c r="I130" s="143">
        <v>969.91279999999995</v>
      </c>
      <c r="J130" s="144">
        <v>0.23119491390175362</v>
      </c>
      <c r="K130" s="145">
        <v>9.8835755917959053E-2</v>
      </c>
      <c r="L130" s="146">
        <v>100</v>
      </c>
      <c r="M130" s="58">
        <v>100</v>
      </c>
      <c r="N130" s="58">
        <v>34</v>
      </c>
      <c r="O130" s="147">
        <v>2</v>
      </c>
      <c r="P130" s="148">
        <v>3.3696858687658003E-2</v>
      </c>
      <c r="Q130" s="148">
        <v>2.9459336383804002E-2</v>
      </c>
      <c r="R130" s="148">
        <v>2.6191173795024999E-2</v>
      </c>
      <c r="S130" s="153">
        <v>0.29650726775387715</v>
      </c>
      <c r="T130" s="154">
        <v>2.6191173795024999E-2</v>
      </c>
      <c r="U130" s="155">
        <v>30</v>
      </c>
      <c r="V130" s="159">
        <v>0.59301453550775429</v>
      </c>
      <c r="W130" s="160">
        <v>5.2382347590049998E-2</v>
      </c>
      <c r="X130" s="161">
        <v>60</v>
      </c>
      <c r="Y130" s="165">
        <v>0.79068604734367243</v>
      </c>
      <c r="Z130" s="166">
        <v>7.8573521385074993E-2</v>
      </c>
      <c r="AA130" s="167">
        <v>90</v>
      </c>
    </row>
    <row r="131" spans="2:27" x14ac:dyDescent="0.25">
      <c r="B131" s="51" t="s">
        <v>2777</v>
      </c>
      <c r="C131" s="4" t="s">
        <v>4272</v>
      </c>
      <c r="D131" s="142" t="e">
        <v>#VALUE!</v>
      </c>
      <c r="E131" s="142" t="e">
        <v>#VALUE!</v>
      </c>
      <c r="F131" s="4" t="s">
        <v>592</v>
      </c>
      <c r="G131" s="143">
        <v>14394980.82</v>
      </c>
      <c r="H131" s="4">
        <v>1</v>
      </c>
      <c r="I131" s="143">
        <v>253.14879999999999</v>
      </c>
      <c r="J131" s="144">
        <v>0.65088105356132109</v>
      </c>
      <c r="K131" s="145">
        <v>6.4508215298332464E-2</v>
      </c>
      <c r="L131" s="146">
        <v>1</v>
      </c>
      <c r="M131" s="58">
        <v>1</v>
      </c>
      <c r="N131" s="58">
        <v>1</v>
      </c>
      <c r="O131" s="147">
        <v>1</v>
      </c>
      <c r="P131" s="148">
        <v>5.0523946776258001E-3</v>
      </c>
      <c r="Q131" s="148">
        <v>4.1654842132991003E-3</v>
      </c>
      <c r="R131" s="148">
        <v>3.4814600616213998E-3</v>
      </c>
      <c r="S131" s="153">
        <v>0.1935246458949974</v>
      </c>
      <c r="T131" s="154">
        <v>1.4999999999999999E-2</v>
      </c>
      <c r="U131" s="155">
        <v>5</v>
      </c>
      <c r="V131" s="159">
        <v>0.38704929178999481</v>
      </c>
      <c r="W131" s="160">
        <v>0.03</v>
      </c>
      <c r="X131" s="161">
        <v>10</v>
      </c>
      <c r="Y131" s="165">
        <v>0.51606572238665971</v>
      </c>
      <c r="Z131" s="166">
        <v>0.06</v>
      </c>
      <c r="AA131" s="167">
        <v>15</v>
      </c>
    </row>
    <row r="132" spans="2:27" x14ac:dyDescent="0.25">
      <c r="B132" s="51" t="s">
        <v>3171</v>
      </c>
      <c r="C132" s="4" t="s">
        <v>4273</v>
      </c>
      <c r="D132" s="142" t="e">
        <v>#VALUE!</v>
      </c>
      <c r="E132" s="142" t="e">
        <v>#VALUE!</v>
      </c>
      <c r="F132" s="4" t="s">
        <v>592</v>
      </c>
      <c r="G132" s="143">
        <v>52911244.289999999</v>
      </c>
      <c r="H132" s="4">
        <v>1</v>
      </c>
      <c r="I132" s="143">
        <v>55.055610000000001</v>
      </c>
      <c r="J132" s="144">
        <v>0.62681149728892716</v>
      </c>
      <c r="K132" s="145">
        <v>6.4951485531288752E-2</v>
      </c>
      <c r="L132" s="146">
        <v>1</v>
      </c>
      <c r="M132" s="58">
        <v>1</v>
      </c>
      <c r="N132" s="58">
        <v>1</v>
      </c>
      <c r="O132" s="147">
        <v>1</v>
      </c>
      <c r="P132" s="148">
        <v>4.5651342107309997E-3</v>
      </c>
      <c r="Q132" s="148">
        <v>3.7532343433425001E-3</v>
      </c>
      <c r="R132" s="148">
        <v>3.1270616456741001E-3</v>
      </c>
      <c r="S132" s="153">
        <v>0.19485445659386624</v>
      </c>
      <c r="T132" s="154">
        <v>1.4999999999999999E-2</v>
      </c>
      <c r="U132" s="155">
        <v>5</v>
      </c>
      <c r="V132" s="159">
        <v>0.38970891318773249</v>
      </c>
      <c r="W132" s="160">
        <v>0.03</v>
      </c>
      <c r="X132" s="161">
        <v>10</v>
      </c>
      <c r="Y132" s="165">
        <v>0.51961188425031002</v>
      </c>
      <c r="Z132" s="166">
        <v>0.06</v>
      </c>
      <c r="AA132" s="167">
        <v>15</v>
      </c>
    </row>
    <row r="133" spans="2:27" x14ac:dyDescent="0.25">
      <c r="B133" s="51" t="s">
        <v>2779</v>
      </c>
      <c r="C133" s="4" t="s">
        <v>4274</v>
      </c>
      <c r="D133" s="142" t="e">
        <v>#VALUE!</v>
      </c>
      <c r="E133" s="142" t="e">
        <v>#VALUE!</v>
      </c>
      <c r="F133" s="4" t="s">
        <v>592</v>
      </c>
      <c r="G133" s="143">
        <v>31058902.690000001</v>
      </c>
      <c r="H133" s="4">
        <v>1</v>
      </c>
      <c r="I133" s="143">
        <v>216.08931999999999</v>
      </c>
      <c r="J133" s="144">
        <v>0.91611349531360242</v>
      </c>
      <c r="K133" s="145">
        <v>6.4508215298332464E-2</v>
      </c>
      <c r="L133" s="146">
        <v>1</v>
      </c>
      <c r="M133" s="58">
        <v>1</v>
      </c>
      <c r="N133" s="58">
        <v>1</v>
      </c>
      <c r="O133" s="147">
        <v>1</v>
      </c>
      <c r="P133" s="148">
        <v>5.0489137549121002E-3</v>
      </c>
      <c r="Q133" s="148">
        <v>4.1625271013033998E-3</v>
      </c>
      <c r="R133" s="148">
        <v>3.4789069353675E-3</v>
      </c>
      <c r="S133" s="153">
        <v>0.1935246458949974</v>
      </c>
      <c r="T133" s="154">
        <v>1.4999999999999999E-2</v>
      </c>
      <c r="U133" s="155">
        <v>5</v>
      </c>
      <c r="V133" s="159">
        <v>0.38704929178999481</v>
      </c>
      <c r="W133" s="160">
        <v>0.03</v>
      </c>
      <c r="X133" s="161">
        <v>10</v>
      </c>
      <c r="Y133" s="165">
        <v>0.51606572238665971</v>
      </c>
      <c r="Z133" s="166">
        <v>0.06</v>
      </c>
      <c r="AA133" s="167">
        <v>15</v>
      </c>
    </row>
    <row r="134" spans="2:27" x14ac:dyDescent="0.25">
      <c r="B134" s="51" t="s">
        <v>3926</v>
      </c>
      <c r="C134" s="4" t="s">
        <v>4275</v>
      </c>
      <c r="D134" s="142" t="e">
        <v>#VALUE!</v>
      </c>
      <c r="E134" s="142" t="e">
        <v>#VALUE!</v>
      </c>
      <c r="F134" s="4" t="s">
        <v>592</v>
      </c>
      <c r="G134" s="143">
        <v>32199163.050000001</v>
      </c>
      <c r="H134" s="4">
        <v>1</v>
      </c>
      <c r="I134" s="143">
        <v>146.298</v>
      </c>
      <c r="J134" s="144">
        <v>0.87888616938989994</v>
      </c>
      <c r="K134" s="145">
        <v>6.4508215298332464E-2</v>
      </c>
      <c r="L134" s="146">
        <v>1</v>
      </c>
      <c r="M134" s="58">
        <v>1</v>
      </c>
      <c r="N134" s="58">
        <v>1</v>
      </c>
      <c r="O134" s="147">
        <v>1</v>
      </c>
      <c r="P134" s="148">
        <v>4.3196199156423998E-3</v>
      </c>
      <c r="Q134" s="148">
        <v>3.5450039257614E-3</v>
      </c>
      <c r="R134" s="148">
        <v>2.9475861855653E-3</v>
      </c>
      <c r="S134" s="153">
        <v>0.1935246458949974</v>
      </c>
      <c r="T134" s="154">
        <v>1.4999999999999999E-2</v>
      </c>
      <c r="U134" s="155">
        <v>5</v>
      </c>
      <c r="V134" s="159">
        <v>0.38704929178999481</v>
      </c>
      <c r="W134" s="160">
        <v>0.03</v>
      </c>
      <c r="X134" s="161">
        <v>10</v>
      </c>
      <c r="Y134" s="165">
        <v>0.51606572238665971</v>
      </c>
      <c r="Z134" s="166">
        <v>0.06</v>
      </c>
      <c r="AA134" s="167">
        <v>15</v>
      </c>
    </row>
    <row r="135" spans="2:27" x14ac:dyDescent="0.25">
      <c r="B135" s="51" t="s">
        <v>676</v>
      </c>
      <c r="C135" s="4" t="s">
        <v>683</v>
      </c>
      <c r="D135" s="142" t="e">
        <v>#VALUE!</v>
      </c>
      <c r="E135" s="142" t="e">
        <v>#VALUE!</v>
      </c>
      <c r="F135" s="4" t="s">
        <v>592</v>
      </c>
      <c r="G135" s="143">
        <v>50000000</v>
      </c>
      <c r="H135" s="4">
        <v>1</v>
      </c>
      <c r="I135" s="143">
        <v>602.46569999999997</v>
      </c>
      <c r="J135" s="144">
        <v>-0.13228532355660441</v>
      </c>
      <c r="K135" s="145">
        <v>6.4951485531288752E-2</v>
      </c>
      <c r="L135" s="146">
        <v>28</v>
      </c>
      <c r="M135" s="58">
        <v>28</v>
      </c>
      <c r="N135" s="58">
        <v>1</v>
      </c>
      <c r="O135" s="147">
        <v>1</v>
      </c>
      <c r="P135" s="148">
        <v>1.7628313251209001E-2</v>
      </c>
      <c r="Q135" s="148">
        <v>1.5120074035799E-2</v>
      </c>
      <c r="R135" s="148">
        <v>1.3185610219511999E-2</v>
      </c>
      <c r="S135" s="153">
        <v>0.19485445659386624</v>
      </c>
      <c r="T135" s="154">
        <v>1.4999999999999999E-2</v>
      </c>
      <c r="U135" s="155">
        <v>9.1000000000000014</v>
      </c>
      <c r="V135" s="159">
        <v>0.38970891318773249</v>
      </c>
      <c r="W135" s="160">
        <v>0.03</v>
      </c>
      <c r="X135" s="161">
        <v>18.200000000000003</v>
      </c>
      <c r="Y135" s="165">
        <v>0.51961188425031002</v>
      </c>
      <c r="Z135" s="166">
        <v>0.06</v>
      </c>
      <c r="AA135" s="167">
        <v>27.300000000000004</v>
      </c>
    </row>
    <row r="136" spans="2:27" x14ac:dyDescent="0.25">
      <c r="B136" s="51" t="s">
        <v>1074</v>
      </c>
      <c r="C136" s="4" t="s">
        <v>4276</v>
      </c>
      <c r="D136" s="142" t="e">
        <v>#VALUE!</v>
      </c>
      <c r="E136" s="142" t="e">
        <v>#VALUE!</v>
      </c>
      <c r="F136" s="4" t="s">
        <v>592</v>
      </c>
      <c r="G136" s="143">
        <v>50000000</v>
      </c>
      <c r="H136" s="4">
        <v>6</v>
      </c>
      <c r="I136" s="143">
        <v>1030.5700999999999</v>
      </c>
      <c r="J136" s="144">
        <v>3.4894021507701756</v>
      </c>
      <c r="K136" s="145">
        <v>8.6921447241942121E-3</v>
      </c>
      <c r="L136" s="146">
        <v>1</v>
      </c>
      <c r="M136" s="58">
        <v>1</v>
      </c>
      <c r="N136" s="58">
        <v>1</v>
      </c>
      <c r="O136" s="147">
        <v>1</v>
      </c>
      <c r="P136" s="148">
        <v>1.1799211938118E-3</v>
      </c>
      <c r="Q136" s="148">
        <v>8.3409942651137996E-4</v>
      </c>
      <c r="R136" s="148">
        <v>5.6738655015698E-4</v>
      </c>
      <c r="S136" s="153">
        <v>0.05</v>
      </c>
      <c r="T136" s="154">
        <v>1.4999999999999999E-2</v>
      </c>
      <c r="U136" s="155">
        <v>5</v>
      </c>
      <c r="V136" s="159">
        <v>7.4999999999999997E-2</v>
      </c>
      <c r="W136" s="160">
        <v>0.03</v>
      </c>
      <c r="X136" s="161">
        <v>10</v>
      </c>
      <c r="Y136" s="165">
        <v>0.1</v>
      </c>
      <c r="Z136" s="166">
        <v>0.06</v>
      </c>
      <c r="AA136" s="167">
        <v>15</v>
      </c>
    </row>
    <row r="137" spans="2:27" x14ac:dyDescent="0.25">
      <c r="B137" s="51" t="s">
        <v>2783</v>
      </c>
      <c r="C137" s="4" t="s">
        <v>4277</v>
      </c>
      <c r="D137" s="142" t="e">
        <v>#VALUE!</v>
      </c>
      <c r="E137" s="142" t="e">
        <v>#VALUE!</v>
      </c>
      <c r="F137" s="4" t="s">
        <v>592</v>
      </c>
      <c r="G137" s="143">
        <v>20232210.98</v>
      </c>
      <c r="H137" s="4">
        <v>1</v>
      </c>
      <c r="I137" s="143">
        <v>236.29410999999999</v>
      </c>
      <c r="J137" s="144">
        <v>0.76879030137966908</v>
      </c>
      <c r="K137" s="145">
        <v>6.4508215298332464E-2</v>
      </c>
      <c r="L137" s="146">
        <v>1</v>
      </c>
      <c r="M137" s="58">
        <v>1</v>
      </c>
      <c r="N137" s="58">
        <v>1</v>
      </c>
      <c r="O137" s="147">
        <v>1</v>
      </c>
      <c r="P137" s="148">
        <v>5.0486015499798999E-3</v>
      </c>
      <c r="Q137" s="148">
        <v>4.1622618812446003E-3</v>
      </c>
      <c r="R137" s="148">
        <v>3.4786779520987001E-3</v>
      </c>
      <c r="S137" s="153">
        <v>0.1935246458949974</v>
      </c>
      <c r="T137" s="154">
        <v>1.4999999999999999E-2</v>
      </c>
      <c r="U137" s="155">
        <v>5</v>
      </c>
      <c r="V137" s="159">
        <v>0.38704929178999481</v>
      </c>
      <c r="W137" s="160">
        <v>0.03</v>
      </c>
      <c r="X137" s="161">
        <v>10</v>
      </c>
      <c r="Y137" s="165">
        <v>0.51606572238665971</v>
      </c>
      <c r="Z137" s="166">
        <v>0.06</v>
      </c>
      <c r="AA137" s="167">
        <v>15</v>
      </c>
    </row>
    <row r="138" spans="2:27" x14ac:dyDescent="0.25">
      <c r="B138" s="51" t="s">
        <v>3170</v>
      </c>
      <c r="C138" s="4" t="s">
        <v>4278</v>
      </c>
      <c r="D138" s="142" t="e">
        <v>#VALUE!</v>
      </c>
      <c r="E138" s="142" t="e">
        <v>#VALUE!</v>
      </c>
      <c r="F138" s="4" t="s">
        <v>592</v>
      </c>
      <c r="G138" s="143">
        <v>26466691.300000001</v>
      </c>
      <c r="H138" s="4">
        <v>1</v>
      </c>
      <c r="I138" s="143">
        <v>147.17044000000001</v>
      </c>
      <c r="J138" s="144">
        <v>1.0905700930942186</v>
      </c>
      <c r="K138" s="145">
        <v>6.4951485531288752E-2</v>
      </c>
      <c r="L138" s="146">
        <v>1</v>
      </c>
      <c r="M138" s="58">
        <v>1</v>
      </c>
      <c r="N138" s="58">
        <v>1</v>
      </c>
      <c r="O138" s="147">
        <v>1</v>
      </c>
      <c r="P138" s="148">
        <v>2.9571146729983999E-3</v>
      </c>
      <c r="Q138" s="148">
        <v>2.4064946590377002E-3</v>
      </c>
      <c r="R138" s="148">
        <v>1.9818324151072999E-3</v>
      </c>
      <c r="S138" s="153">
        <v>0.19485445659386624</v>
      </c>
      <c r="T138" s="154">
        <v>1.4999999999999999E-2</v>
      </c>
      <c r="U138" s="155">
        <v>5</v>
      </c>
      <c r="V138" s="159">
        <v>0.38970891318773249</v>
      </c>
      <c r="W138" s="160">
        <v>0.03</v>
      </c>
      <c r="X138" s="161">
        <v>10</v>
      </c>
      <c r="Y138" s="165">
        <v>0.51961188425031002</v>
      </c>
      <c r="Z138" s="166">
        <v>0.06</v>
      </c>
      <c r="AA138" s="167">
        <v>15</v>
      </c>
    </row>
    <row r="139" spans="2:27" x14ac:dyDescent="0.25">
      <c r="B139" s="51" t="s">
        <v>2232</v>
      </c>
      <c r="C139" s="4" t="s">
        <v>4279</v>
      </c>
      <c r="D139" s="142" t="e">
        <v>#VALUE!</v>
      </c>
      <c r="E139" s="142" t="e">
        <v>#VALUE!</v>
      </c>
      <c r="F139" s="4" t="s">
        <v>592</v>
      </c>
      <c r="G139" s="143">
        <v>7339317.7560000001</v>
      </c>
      <c r="H139" s="4">
        <v>1</v>
      </c>
      <c r="I139" s="143">
        <v>168.88872000000001</v>
      </c>
      <c r="J139" s="144">
        <v>0.17957634624200666</v>
      </c>
      <c r="K139" s="145">
        <v>6.4951485531288752E-2</v>
      </c>
      <c r="L139" s="146">
        <v>1</v>
      </c>
      <c r="M139" s="58">
        <v>1</v>
      </c>
      <c r="N139" s="58">
        <v>1</v>
      </c>
      <c r="O139" s="147">
        <v>1</v>
      </c>
      <c r="P139" s="148">
        <v>5.0529590898935996E-3</v>
      </c>
      <c r="Q139" s="148">
        <v>4.1667626675795004E-3</v>
      </c>
      <c r="R139" s="148">
        <v>3.4832892163404999E-3</v>
      </c>
      <c r="S139" s="153">
        <v>0.19485445659386624</v>
      </c>
      <c r="T139" s="154">
        <v>1.4999999999999999E-2</v>
      </c>
      <c r="U139" s="155">
        <v>5</v>
      </c>
      <c r="V139" s="159">
        <v>0.38970891318773249</v>
      </c>
      <c r="W139" s="160">
        <v>0.03</v>
      </c>
      <c r="X139" s="161">
        <v>10</v>
      </c>
      <c r="Y139" s="165">
        <v>0.51961188425031002</v>
      </c>
      <c r="Z139" s="166">
        <v>0.06</v>
      </c>
      <c r="AA139" s="167">
        <v>15</v>
      </c>
    </row>
    <row r="140" spans="2:27" x14ac:dyDescent="0.25">
      <c r="B140" s="51" t="s">
        <v>2376</v>
      </c>
      <c r="C140" s="4" t="s">
        <v>4280</v>
      </c>
      <c r="D140" s="142" t="e">
        <v>#VALUE!</v>
      </c>
      <c r="E140" s="142" t="e">
        <v>#VALUE!</v>
      </c>
      <c r="F140" s="4" t="s">
        <v>592</v>
      </c>
      <c r="G140" s="143">
        <v>13503006.34</v>
      </c>
      <c r="H140" s="4">
        <v>1</v>
      </c>
      <c r="I140" s="143">
        <v>44.237675000000003</v>
      </c>
      <c r="J140" s="144">
        <v>0.23131051009520986</v>
      </c>
      <c r="K140" s="145">
        <v>6.946426364088204E-2</v>
      </c>
      <c r="L140" s="146">
        <v>1</v>
      </c>
      <c r="M140" s="58">
        <v>1</v>
      </c>
      <c r="N140" s="58">
        <v>1</v>
      </c>
      <c r="O140" s="147">
        <v>1</v>
      </c>
      <c r="P140" s="148">
        <v>3.0614556028518E-3</v>
      </c>
      <c r="Q140" s="148">
        <v>2.5021537900261999E-3</v>
      </c>
      <c r="R140" s="148">
        <v>2.0707957629898001E-3</v>
      </c>
      <c r="S140" s="153">
        <v>0.20839279092264612</v>
      </c>
      <c r="T140" s="154">
        <v>1.4999999999999999E-2</v>
      </c>
      <c r="U140" s="155">
        <v>5</v>
      </c>
      <c r="V140" s="159">
        <v>0.41678558184529224</v>
      </c>
      <c r="W140" s="160">
        <v>0.03</v>
      </c>
      <c r="X140" s="161">
        <v>10</v>
      </c>
      <c r="Y140" s="165">
        <v>0.55571410912705632</v>
      </c>
      <c r="Z140" s="166">
        <v>0.06</v>
      </c>
      <c r="AA140" s="167">
        <v>15</v>
      </c>
    </row>
    <row r="141" spans="2:27" x14ac:dyDescent="0.25">
      <c r="B141" s="51" t="s">
        <v>3617</v>
      </c>
      <c r="C141" s="4" t="s">
        <v>4281</v>
      </c>
      <c r="D141" s="142" t="e">
        <v>#VALUE!</v>
      </c>
      <c r="E141" s="142" t="e">
        <v>#VALUE!</v>
      </c>
      <c r="F141" s="4" t="s">
        <v>592</v>
      </c>
      <c r="G141" s="143">
        <v>42337941.719999999</v>
      </c>
      <c r="H141" s="4">
        <v>1</v>
      </c>
      <c r="I141" s="143">
        <v>74.042990000000003</v>
      </c>
      <c r="J141" s="144">
        <v>0.58253366013688279</v>
      </c>
      <c r="K141" s="145">
        <v>6.4951485531288752E-2</v>
      </c>
      <c r="L141" s="146">
        <v>1</v>
      </c>
      <c r="M141" s="58">
        <v>1</v>
      </c>
      <c r="N141" s="58">
        <v>1</v>
      </c>
      <c r="O141" s="147">
        <v>1</v>
      </c>
      <c r="P141" s="148">
        <v>5.0484414460602997E-3</v>
      </c>
      <c r="Q141" s="148">
        <v>4.1629250071926003E-3</v>
      </c>
      <c r="R141" s="148">
        <v>3.4799759889362E-3</v>
      </c>
      <c r="S141" s="153">
        <v>0.19485445659386624</v>
      </c>
      <c r="T141" s="154">
        <v>1.4999999999999999E-2</v>
      </c>
      <c r="U141" s="155">
        <v>5</v>
      </c>
      <c r="V141" s="159">
        <v>0.38970891318773249</v>
      </c>
      <c r="W141" s="160">
        <v>0.03</v>
      </c>
      <c r="X141" s="161">
        <v>10</v>
      </c>
      <c r="Y141" s="165">
        <v>0.51961188425031002</v>
      </c>
      <c r="Z141" s="166">
        <v>0.06</v>
      </c>
      <c r="AA141" s="167">
        <v>15</v>
      </c>
    </row>
    <row r="142" spans="2:27" x14ac:dyDescent="0.25">
      <c r="B142" s="51" t="s">
        <v>3655</v>
      </c>
      <c r="C142" s="4" t="s">
        <v>4282</v>
      </c>
      <c r="D142" s="142" t="e">
        <v>#VALUE!</v>
      </c>
      <c r="E142" s="142" t="e">
        <v>#VALUE!</v>
      </c>
      <c r="F142" s="4" t="s">
        <v>592</v>
      </c>
      <c r="G142" s="143">
        <v>34517322.090000004</v>
      </c>
      <c r="H142" s="4">
        <v>1</v>
      </c>
      <c r="I142" s="143">
        <v>77.302940000000007</v>
      </c>
      <c r="J142" s="144">
        <v>0.51255309474619692</v>
      </c>
      <c r="K142" s="323">
        <v>6.4951485531288752E-2</v>
      </c>
      <c r="L142" s="146">
        <v>1</v>
      </c>
      <c r="M142" s="58">
        <v>1</v>
      </c>
      <c r="N142" s="58">
        <v>1</v>
      </c>
      <c r="O142" s="147">
        <v>1</v>
      </c>
      <c r="P142" s="148">
        <v>5.0479275651076003E-3</v>
      </c>
      <c r="Q142" s="148">
        <v>4.1624884832636997E-3</v>
      </c>
      <c r="R142" s="148">
        <v>3.4795991261283E-3</v>
      </c>
      <c r="S142" s="153">
        <v>0.19485445659386624</v>
      </c>
      <c r="T142" s="154">
        <v>1.4999999999999999E-2</v>
      </c>
      <c r="U142" s="155">
        <v>5</v>
      </c>
      <c r="V142" s="159">
        <v>0.38970891318773249</v>
      </c>
      <c r="W142" s="160">
        <v>0.03</v>
      </c>
      <c r="X142" s="161">
        <v>10</v>
      </c>
      <c r="Y142" s="165">
        <v>0.51961188425031002</v>
      </c>
      <c r="Z142" s="166">
        <v>0.06</v>
      </c>
      <c r="AA142" s="167">
        <v>15</v>
      </c>
    </row>
    <row r="143" spans="2:27" x14ac:dyDescent="0.25">
      <c r="B143" s="51" t="s">
        <v>3616</v>
      </c>
      <c r="C143" s="4" t="s">
        <v>4283</v>
      </c>
      <c r="D143" s="142" t="e">
        <v>#VALUE!</v>
      </c>
      <c r="E143" s="142" t="e">
        <v>#VALUE!</v>
      </c>
      <c r="F143" s="4" t="s">
        <v>592</v>
      </c>
      <c r="G143" s="143">
        <v>39241849.939999998</v>
      </c>
      <c r="H143" s="4">
        <v>3</v>
      </c>
      <c r="I143" s="143">
        <v>83.287880000000001</v>
      </c>
      <c r="J143" s="144">
        <v>1.6857511240387812</v>
      </c>
      <c r="K143" s="145">
        <v>6.4951485531288752E-2</v>
      </c>
      <c r="L143" s="146">
        <v>1</v>
      </c>
      <c r="M143" s="58">
        <v>1</v>
      </c>
      <c r="N143" s="58">
        <v>1</v>
      </c>
      <c r="O143" s="147">
        <v>1</v>
      </c>
      <c r="P143" s="148">
        <v>1.4238643043012001E-3</v>
      </c>
      <c r="Q143" s="148">
        <v>1.1702249964883999E-3</v>
      </c>
      <c r="R143" s="148">
        <v>9.7460726579607E-4</v>
      </c>
      <c r="S143" s="153">
        <v>0.19485445659386624</v>
      </c>
      <c r="T143" s="154">
        <v>1.4999999999999999E-2</v>
      </c>
      <c r="U143" s="155">
        <v>5</v>
      </c>
      <c r="V143" s="159">
        <v>0.38970891318773249</v>
      </c>
      <c r="W143" s="160">
        <v>0.03</v>
      </c>
      <c r="X143" s="161">
        <v>10</v>
      </c>
      <c r="Y143" s="165">
        <v>0.51961188425031002</v>
      </c>
      <c r="Z143" s="166">
        <v>0.06</v>
      </c>
      <c r="AA143" s="167">
        <v>15</v>
      </c>
    </row>
    <row r="144" spans="2:27" x14ac:dyDescent="0.25">
      <c r="B144" s="51" t="s">
        <v>3149</v>
      </c>
      <c r="C144" s="4" t="s">
        <v>4284</v>
      </c>
      <c r="D144" s="142" t="e">
        <v>#VALUE!</v>
      </c>
      <c r="E144" s="142" t="e">
        <v>#VALUE!</v>
      </c>
      <c r="F144" s="4" t="s">
        <v>592</v>
      </c>
      <c r="G144" s="143">
        <v>26154258.809999999</v>
      </c>
      <c r="H144" s="4">
        <v>1</v>
      </c>
      <c r="I144" s="143">
        <v>68.162599999999998</v>
      </c>
      <c r="J144" s="144">
        <v>-0.20263349941473896</v>
      </c>
      <c r="K144" s="145">
        <v>6.3643164153718623E-2</v>
      </c>
      <c r="L144" s="146">
        <v>1</v>
      </c>
      <c r="M144" s="58">
        <v>1</v>
      </c>
      <c r="N144" s="58">
        <v>1</v>
      </c>
      <c r="O144" s="147">
        <v>1</v>
      </c>
      <c r="P144" s="148">
        <v>1.0725388485937E-2</v>
      </c>
      <c r="Q144" s="148">
        <v>9.0578692962012992E-3</v>
      </c>
      <c r="R144" s="148">
        <v>7.7718055445111997E-3</v>
      </c>
      <c r="S144" s="153">
        <v>0.19092949246115587</v>
      </c>
      <c r="T144" s="154">
        <v>1.4999999999999999E-2</v>
      </c>
      <c r="U144" s="155">
        <v>5</v>
      </c>
      <c r="V144" s="159">
        <v>0.38185898492231174</v>
      </c>
      <c r="W144" s="160">
        <v>0.03</v>
      </c>
      <c r="X144" s="161">
        <v>10</v>
      </c>
      <c r="Y144" s="165">
        <v>0.50914531322974899</v>
      </c>
      <c r="Z144" s="166">
        <v>0.06</v>
      </c>
      <c r="AA144" s="167">
        <v>15</v>
      </c>
    </row>
    <row r="145" spans="2:27" x14ac:dyDescent="0.25">
      <c r="B145" s="51" t="s">
        <v>3301</v>
      </c>
      <c r="C145" s="4" t="s">
        <v>4285</v>
      </c>
      <c r="D145" s="142" t="e">
        <v>#VALUE!</v>
      </c>
      <c r="E145" s="142" t="e">
        <v>#VALUE!</v>
      </c>
      <c r="F145" s="4" t="s">
        <v>592</v>
      </c>
      <c r="G145" s="143">
        <v>76190153</v>
      </c>
      <c r="H145" s="4">
        <v>2</v>
      </c>
      <c r="I145" s="143">
        <v>93.486559999999997</v>
      </c>
      <c r="J145" s="144">
        <v>1.3734430071612507</v>
      </c>
      <c r="K145" s="145">
        <v>5.8876144688489646E-2</v>
      </c>
      <c r="L145" s="146">
        <v>1</v>
      </c>
      <c r="M145" s="58">
        <v>1</v>
      </c>
      <c r="N145" s="58">
        <v>1</v>
      </c>
      <c r="O145" s="147">
        <v>1</v>
      </c>
      <c r="P145" s="148">
        <v>2.9626639338092E-3</v>
      </c>
      <c r="Q145" s="148">
        <v>2.3985414058667999E-3</v>
      </c>
      <c r="R145" s="148">
        <v>1.96346543243E-3</v>
      </c>
      <c r="S145" s="153">
        <v>0.17662843406546894</v>
      </c>
      <c r="T145" s="154">
        <v>1.4999999999999999E-2</v>
      </c>
      <c r="U145" s="155">
        <v>5</v>
      </c>
      <c r="V145" s="159">
        <v>0.35325686813093787</v>
      </c>
      <c r="W145" s="160">
        <v>0.03</v>
      </c>
      <c r="X145" s="161">
        <v>10</v>
      </c>
      <c r="Y145" s="165">
        <v>0.47100915750791716</v>
      </c>
      <c r="Z145" s="166">
        <v>0.06</v>
      </c>
      <c r="AA145" s="167">
        <v>15</v>
      </c>
    </row>
    <row r="146" spans="2:27" x14ac:dyDescent="0.25">
      <c r="B146" s="51" t="s">
        <v>3615</v>
      </c>
      <c r="C146" s="4" t="s">
        <v>4286</v>
      </c>
      <c r="D146" s="142" t="e">
        <v>#VALUE!</v>
      </c>
      <c r="E146" s="142" t="e">
        <v>#VALUE!</v>
      </c>
      <c r="F146" s="4" t="s">
        <v>592</v>
      </c>
      <c r="G146" s="143">
        <v>18665368.940000001</v>
      </c>
      <c r="H146" s="4">
        <v>1</v>
      </c>
      <c r="I146" s="143">
        <v>109.25095</v>
      </c>
      <c r="J146" s="144">
        <v>0.39875588272400353</v>
      </c>
      <c r="K146" s="145">
        <v>6.4508215298332464E-2</v>
      </c>
      <c r="L146" s="146">
        <v>1</v>
      </c>
      <c r="M146" s="58">
        <v>1</v>
      </c>
      <c r="N146" s="58">
        <v>1</v>
      </c>
      <c r="O146" s="147">
        <v>1</v>
      </c>
      <c r="P146" s="148">
        <v>5.0473735293080002E-3</v>
      </c>
      <c r="Q146" s="148">
        <v>4.1612186765608997E-3</v>
      </c>
      <c r="R146" s="148">
        <v>3.4777772855905998E-3</v>
      </c>
      <c r="S146" s="153">
        <v>0.1935246458949974</v>
      </c>
      <c r="T146" s="154">
        <v>1.4999999999999999E-2</v>
      </c>
      <c r="U146" s="155">
        <v>5</v>
      </c>
      <c r="V146" s="159">
        <v>0.38704929178999481</v>
      </c>
      <c r="W146" s="160">
        <v>0.03</v>
      </c>
      <c r="X146" s="161">
        <v>10</v>
      </c>
      <c r="Y146" s="165">
        <v>0.51606572238665971</v>
      </c>
      <c r="Z146" s="166">
        <v>0.06</v>
      </c>
      <c r="AA146" s="167">
        <v>15</v>
      </c>
    </row>
    <row r="147" spans="2:27" x14ac:dyDescent="0.25">
      <c r="B147" s="51" t="s">
        <v>3148</v>
      </c>
      <c r="C147" s="4" t="s">
        <v>4287</v>
      </c>
      <c r="D147" s="142" t="e">
        <v>#VALUE!</v>
      </c>
      <c r="E147" s="142" t="e">
        <v>#VALUE!</v>
      </c>
      <c r="F147" s="4" t="s">
        <v>592</v>
      </c>
      <c r="G147" s="143">
        <v>68458170.650000006</v>
      </c>
      <c r="H147" s="4">
        <v>1</v>
      </c>
      <c r="I147" s="143">
        <v>103.10463</v>
      </c>
      <c r="J147" s="144">
        <v>0.42879379461800715</v>
      </c>
      <c r="K147" s="145">
        <v>5.8876144688489646E-2</v>
      </c>
      <c r="L147" s="146">
        <v>1</v>
      </c>
      <c r="M147" s="58">
        <v>1</v>
      </c>
      <c r="N147" s="58">
        <v>1</v>
      </c>
      <c r="O147" s="147">
        <v>1</v>
      </c>
      <c r="P147" s="148">
        <v>1.0645328532953E-2</v>
      </c>
      <c r="Q147" s="148">
        <v>8.9807555880861995E-3</v>
      </c>
      <c r="R147" s="148">
        <v>7.6969641093343998E-3</v>
      </c>
      <c r="S147" s="153">
        <v>0.17662843406546894</v>
      </c>
      <c r="T147" s="154">
        <v>1.4999999999999999E-2</v>
      </c>
      <c r="U147" s="155">
        <v>5</v>
      </c>
      <c r="V147" s="159">
        <v>0.35325686813093787</v>
      </c>
      <c r="W147" s="160">
        <v>0.03</v>
      </c>
      <c r="X147" s="161">
        <v>10</v>
      </c>
      <c r="Y147" s="165">
        <v>0.47100915750791716</v>
      </c>
      <c r="Z147" s="166">
        <v>0.06</v>
      </c>
      <c r="AA147" s="167">
        <v>15</v>
      </c>
    </row>
    <row r="148" spans="2:27" x14ac:dyDescent="0.25">
      <c r="B148" s="51" t="s">
        <v>3443</v>
      </c>
      <c r="C148" s="4" t="s">
        <v>4288</v>
      </c>
      <c r="D148" s="142" t="e">
        <v>#VALUE!</v>
      </c>
      <c r="E148" s="142" t="e">
        <v>#VALUE!</v>
      </c>
      <c r="F148" s="4" t="s">
        <v>592</v>
      </c>
      <c r="G148" s="143">
        <v>76313567.870000005</v>
      </c>
      <c r="H148" s="4">
        <v>1</v>
      </c>
      <c r="I148" s="143">
        <v>110.86057</v>
      </c>
      <c r="J148" s="144">
        <v>1.1294917357152121</v>
      </c>
      <c r="K148" s="145">
        <v>6.4508215298332464E-2</v>
      </c>
      <c r="L148" s="146">
        <v>1</v>
      </c>
      <c r="M148" s="58">
        <v>1</v>
      </c>
      <c r="N148" s="58">
        <v>1</v>
      </c>
      <c r="O148" s="147">
        <v>1</v>
      </c>
      <c r="P148" s="148">
        <v>4.3368134676663997E-3</v>
      </c>
      <c r="Q148" s="148">
        <v>3.5595120855146001E-3</v>
      </c>
      <c r="R148" s="148">
        <v>2.9600232533155001E-3</v>
      </c>
      <c r="S148" s="153">
        <v>0.1935246458949974</v>
      </c>
      <c r="T148" s="154">
        <v>1.4999999999999999E-2</v>
      </c>
      <c r="U148" s="155">
        <v>5</v>
      </c>
      <c r="V148" s="159">
        <v>0.38704929178999481</v>
      </c>
      <c r="W148" s="160">
        <v>0.03</v>
      </c>
      <c r="X148" s="161">
        <v>10</v>
      </c>
      <c r="Y148" s="165">
        <v>0.51606572238665971</v>
      </c>
      <c r="Z148" s="166">
        <v>0.06</v>
      </c>
      <c r="AA148" s="167">
        <v>15</v>
      </c>
    </row>
    <row r="149" spans="2:27" x14ac:dyDescent="0.25">
      <c r="B149" s="51" t="s">
        <v>3577</v>
      </c>
      <c r="C149" s="4" t="s">
        <v>4289</v>
      </c>
      <c r="D149" s="142" t="e">
        <v>#VALUE!</v>
      </c>
      <c r="E149" s="142" t="e">
        <v>#VALUE!</v>
      </c>
      <c r="F149" s="4" t="s">
        <v>592</v>
      </c>
      <c r="G149" s="143">
        <v>10584205.99</v>
      </c>
      <c r="H149" s="4">
        <v>6</v>
      </c>
      <c r="I149" s="143">
        <v>369873.25</v>
      </c>
      <c r="J149" s="144">
        <v>2.7629361880622123</v>
      </c>
      <c r="K149" s="145">
        <v>1.0134842540892681E-2</v>
      </c>
      <c r="L149" s="146">
        <v>1</v>
      </c>
      <c r="M149" s="58">
        <v>1</v>
      </c>
      <c r="N149" s="58">
        <v>1</v>
      </c>
      <c r="O149" s="147">
        <v>1</v>
      </c>
      <c r="P149" s="148">
        <v>1.1026529100156999E-2</v>
      </c>
      <c r="Q149" s="148">
        <v>7.7145789523985998E-3</v>
      </c>
      <c r="R149" s="148">
        <v>5.1602581034053997E-3</v>
      </c>
      <c r="S149" s="153">
        <v>7.4999999999999997E-2</v>
      </c>
      <c r="T149" s="154">
        <v>0.03</v>
      </c>
      <c r="U149" s="155">
        <v>5</v>
      </c>
      <c r="V149" s="159">
        <v>0.125</v>
      </c>
      <c r="W149" s="160">
        <v>0.06</v>
      </c>
      <c r="X149" s="161">
        <v>10</v>
      </c>
      <c r="Y149" s="165">
        <v>0.15</v>
      </c>
      <c r="Z149" s="166">
        <v>0.12</v>
      </c>
      <c r="AA149" s="167">
        <v>15</v>
      </c>
    </row>
    <row r="150" spans="2:27" x14ac:dyDescent="0.25">
      <c r="B150" s="51" t="s">
        <v>2612</v>
      </c>
      <c r="C150" s="4" t="s">
        <v>4290</v>
      </c>
      <c r="D150" s="142" t="e">
        <v>#VALUE!</v>
      </c>
      <c r="E150" s="142" t="e">
        <v>#VALUE!</v>
      </c>
      <c r="F150" s="4" t="s">
        <v>592</v>
      </c>
      <c r="G150" s="143">
        <v>19571596.57</v>
      </c>
      <c r="H150" s="4">
        <v>3</v>
      </c>
      <c r="I150" s="143">
        <v>53.800117</v>
      </c>
      <c r="J150" s="144">
        <v>1.6203005919816502</v>
      </c>
      <c r="K150" s="145">
        <v>2.2942983320520447E-2</v>
      </c>
      <c r="L150" s="146">
        <v>1</v>
      </c>
      <c r="M150" s="58">
        <v>1</v>
      </c>
      <c r="N150" s="58">
        <v>1</v>
      </c>
      <c r="O150" s="147">
        <v>1</v>
      </c>
      <c r="P150" s="148">
        <v>8.1977709258426994E-3</v>
      </c>
      <c r="Q150" s="148">
        <v>6.3610715197935002E-3</v>
      </c>
      <c r="R150" s="148">
        <v>4.9445285837896001E-3</v>
      </c>
      <c r="S150" s="153">
        <v>6.8828949961561345E-2</v>
      </c>
      <c r="T150" s="154">
        <v>1.4999999999999999E-2</v>
      </c>
      <c r="U150" s="155">
        <v>5</v>
      </c>
      <c r="V150" s="159">
        <v>0.13765789992312269</v>
      </c>
      <c r="W150" s="160">
        <v>0.03</v>
      </c>
      <c r="X150" s="161">
        <v>10</v>
      </c>
      <c r="Y150" s="165">
        <v>0.18354386656416358</v>
      </c>
      <c r="Z150" s="166">
        <v>0.06</v>
      </c>
      <c r="AA150" s="167">
        <v>15</v>
      </c>
    </row>
    <row r="151" spans="2:27" x14ac:dyDescent="0.25">
      <c r="B151" s="51" t="s">
        <v>2555</v>
      </c>
      <c r="C151" s="4" t="s">
        <v>4291</v>
      </c>
      <c r="D151" s="142" t="e">
        <v>#VALUE!</v>
      </c>
      <c r="E151" s="142" t="e">
        <v>#VALUE!</v>
      </c>
      <c r="F151" s="4" t="s">
        <v>592</v>
      </c>
      <c r="G151" s="143">
        <v>6638294.5199999996</v>
      </c>
      <c r="H151" s="4">
        <v>1</v>
      </c>
      <c r="I151" s="143">
        <v>101.86117</v>
      </c>
      <c r="J151" s="144">
        <v>0.49238892625839342</v>
      </c>
      <c r="K151" s="145">
        <v>7.1040903887663778E-2</v>
      </c>
      <c r="L151" s="146">
        <v>1</v>
      </c>
      <c r="M151" s="58">
        <v>1</v>
      </c>
      <c r="N151" s="58">
        <v>1</v>
      </c>
      <c r="O151" s="147">
        <v>1</v>
      </c>
      <c r="P151" s="148">
        <v>2.3924640912131E-3</v>
      </c>
      <c r="Q151" s="148">
        <v>1.9562225264096E-3</v>
      </c>
      <c r="R151" s="148">
        <v>1.6197739464305001E-3</v>
      </c>
      <c r="S151" s="153">
        <v>0.21312271166299135</v>
      </c>
      <c r="T151" s="154">
        <v>1.4999999999999999E-2</v>
      </c>
      <c r="U151" s="155">
        <v>5</v>
      </c>
      <c r="V151" s="159">
        <v>0.4262454233259827</v>
      </c>
      <c r="W151" s="160">
        <v>0.03</v>
      </c>
      <c r="X151" s="161">
        <v>10</v>
      </c>
      <c r="Y151" s="165">
        <v>0.56832723110131023</v>
      </c>
      <c r="Z151" s="166">
        <v>0.06</v>
      </c>
      <c r="AA151" s="167">
        <v>15</v>
      </c>
    </row>
    <row r="152" spans="2:27" x14ac:dyDescent="0.25">
      <c r="B152" s="51" t="s">
        <v>3440</v>
      </c>
      <c r="C152" s="4" t="s">
        <v>4292</v>
      </c>
      <c r="D152" s="142" t="e">
        <v>#VALUE!</v>
      </c>
      <c r="E152" s="142" t="e">
        <v>#VALUE!</v>
      </c>
      <c r="F152" s="4" t="s">
        <v>592</v>
      </c>
      <c r="G152" s="143">
        <v>88025087.629999995</v>
      </c>
      <c r="H152" s="4">
        <v>3</v>
      </c>
      <c r="I152" s="143">
        <v>140.98715000000001</v>
      </c>
      <c r="J152" s="144">
        <v>1.5698933065668972</v>
      </c>
      <c r="K152" s="145">
        <v>7.1040903887663778E-2</v>
      </c>
      <c r="L152" s="146">
        <v>1</v>
      </c>
      <c r="M152" s="58">
        <v>1</v>
      </c>
      <c r="N152" s="58">
        <v>1</v>
      </c>
      <c r="O152" s="147">
        <v>1</v>
      </c>
      <c r="P152" s="148">
        <v>2.9747612984032E-3</v>
      </c>
      <c r="Q152" s="148">
        <v>2.4337367682292E-3</v>
      </c>
      <c r="R152" s="148">
        <v>2.0164749811895999E-3</v>
      </c>
      <c r="S152" s="153">
        <v>0.21312271166299135</v>
      </c>
      <c r="T152" s="154">
        <v>1.4999999999999999E-2</v>
      </c>
      <c r="U152" s="155">
        <v>5</v>
      </c>
      <c r="V152" s="159">
        <v>0.4262454233259827</v>
      </c>
      <c r="W152" s="160">
        <v>0.03</v>
      </c>
      <c r="X152" s="161">
        <v>10</v>
      </c>
      <c r="Y152" s="165">
        <v>0.56832723110131023</v>
      </c>
      <c r="Z152" s="166">
        <v>0.06</v>
      </c>
      <c r="AA152" s="167">
        <v>15</v>
      </c>
    </row>
    <row r="153" spans="2:27" x14ac:dyDescent="0.25">
      <c r="B153" s="51" t="s">
        <v>2734</v>
      </c>
      <c r="C153" s="4" t="s">
        <v>4293</v>
      </c>
      <c r="D153" s="142" t="e">
        <v>#VALUE!</v>
      </c>
      <c r="E153" s="142" t="e">
        <v>#VALUE!</v>
      </c>
      <c r="F153" s="4" t="s">
        <v>592</v>
      </c>
      <c r="G153" s="143">
        <v>11253624.699999999</v>
      </c>
      <c r="H153" s="4">
        <v>3</v>
      </c>
      <c r="I153" s="143">
        <v>965.16949999999997</v>
      </c>
      <c r="J153" s="144">
        <v>1.5998918049258199</v>
      </c>
      <c r="K153" s="145">
        <v>7.8806057518725683E-3</v>
      </c>
      <c r="L153" s="146">
        <v>100</v>
      </c>
      <c r="M153" s="58">
        <v>100</v>
      </c>
      <c r="N153" s="58">
        <v>71</v>
      </c>
      <c r="O153" s="147">
        <v>24</v>
      </c>
      <c r="P153" s="148">
        <v>6.0002728439485002E-2</v>
      </c>
      <c r="Q153" s="148">
        <v>4.9699415646967997E-2</v>
      </c>
      <c r="R153" s="148">
        <v>4.1753050060084E-2</v>
      </c>
      <c r="S153" s="153">
        <v>6.25E-2</v>
      </c>
      <c r="T153" s="154">
        <v>6.2629575090125997E-2</v>
      </c>
      <c r="U153" s="155">
        <v>30</v>
      </c>
      <c r="V153" s="159">
        <v>0.1</v>
      </c>
      <c r="W153" s="160">
        <v>0.12525915018025199</v>
      </c>
      <c r="X153" s="161">
        <v>60</v>
      </c>
      <c r="Y153" s="165">
        <v>0.125</v>
      </c>
      <c r="Z153" s="166">
        <v>0.187888725270378</v>
      </c>
      <c r="AA153" s="167">
        <v>90</v>
      </c>
    </row>
    <row r="154" spans="2:27" x14ac:dyDescent="0.25">
      <c r="B154" s="51" t="s">
        <v>3146</v>
      </c>
      <c r="C154" s="4" t="s">
        <v>4294</v>
      </c>
      <c r="D154" s="142" t="e">
        <v>#VALUE!</v>
      </c>
      <c r="E154" s="142" t="e">
        <v>#VALUE!</v>
      </c>
      <c r="F154" s="4" t="s">
        <v>592</v>
      </c>
      <c r="G154" s="143">
        <v>21616754.82</v>
      </c>
      <c r="H154" s="4">
        <v>1</v>
      </c>
      <c r="I154" s="143">
        <v>97.692890000000006</v>
      </c>
      <c r="J154" s="144">
        <v>1.0628224961957484</v>
      </c>
      <c r="K154" s="145">
        <v>7.1040903887663778E-2</v>
      </c>
      <c r="L154" s="146">
        <v>1</v>
      </c>
      <c r="M154" s="58">
        <v>1</v>
      </c>
      <c r="N154" s="58">
        <v>1</v>
      </c>
      <c r="O154" s="147">
        <v>1</v>
      </c>
      <c r="P154" s="148">
        <v>2.2022990762513E-3</v>
      </c>
      <c r="Q154" s="148">
        <v>1.8020951194278999E-3</v>
      </c>
      <c r="R154" s="148">
        <v>1.4934403193381999E-3</v>
      </c>
      <c r="S154" s="153">
        <v>0.21312271166299135</v>
      </c>
      <c r="T154" s="154">
        <v>1.4999999999999999E-2</v>
      </c>
      <c r="U154" s="155">
        <v>5</v>
      </c>
      <c r="V154" s="159">
        <v>0.4262454233259827</v>
      </c>
      <c r="W154" s="160">
        <v>0.03</v>
      </c>
      <c r="X154" s="161">
        <v>10</v>
      </c>
      <c r="Y154" s="165">
        <v>0.56832723110131023</v>
      </c>
      <c r="Z154" s="166">
        <v>0.06</v>
      </c>
      <c r="AA154" s="167">
        <v>15</v>
      </c>
    </row>
    <row r="155" spans="2:27" x14ac:dyDescent="0.25">
      <c r="B155" s="51" t="s">
        <v>2372</v>
      </c>
      <c r="C155" s="4" t="s">
        <v>4295</v>
      </c>
      <c r="D155" s="142" t="e">
        <v>#VALUE!</v>
      </c>
      <c r="E155" s="142" t="e">
        <v>#VALUE!</v>
      </c>
      <c r="F155" s="4" t="s">
        <v>592</v>
      </c>
      <c r="G155" s="143">
        <v>2829579.07</v>
      </c>
      <c r="H155" s="4">
        <v>4</v>
      </c>
      <c r="I155" s="143">
        <v>178.77091999999999</v>
      </c>
      <c r="J155" s="144">
        <v>2.0260021424229842</v>
      </c>
      <c r="K155" s="145">
        <v>7.1040903887663778E-2</v>
      </c>
      <c r="L155" s="146">
        <v>1</v>
      </c>
      <c r="M155" s="58">
        <v>1</v>
      </c>
      <c r="N155" s="58">
        <v>1</v>
      </c>
      <c r="O155" s="147">
        <v>1</v>
      </c>
      <c r="P155" s="148">
        <v>8.5461366971727995E-4</v>
      </c>
      <c r="Q155" s="148">
        <v>5.5576392122807996E-4</v>
      </c>
      <c r="R155" s="148">
        <v>3.1428403101773001E-4</v>
      </c>
      <c r="S155" s="153">
        <v>0.21312271166299135</v>
      </c>
      <c r="T155" s="154">
        <v>1.4999999999999999E-2</v>
      </c>
      <c r="U155" s="155">
        <v>5</v>
      </c>
      <c r="V155" s="159">
        <v>0.4262454233259827</v>
      </c>
      <c r="W155" s="160">
        <v>0.03</v>
      </c>
      <c r="X155" s="161">
        <v>10</v>
      </c>
      <c r="Y155" s="165">
        <v>0.56832723110131023</v>
      </c>
      <c r="Z155" s="166">
        <v>0.06</v>
      </c>
      <c r="AA155" s="167">
        <v>15</v>
      </c>
    </row>
    <row r="156" spans="2:27" x14ac:dyDescent="0.25">
      <c r="B156" s="51" t="s">
        <v>3287</v>
      </c>
      <c r="C156" s="4" t="s">
        <v>4296</v>
      </c>
      <c r="D156" s="142" t="e">
        <v>#VALUE!</v>
      </c>
      <c r="E156" s="142" t="e">
        <v>#VALUE!</v>
      </c>
      <c r="F156" s="4" t="s">
        <v>592</v>
      </c>
      <c r="G156" s="143">
        <v>5869049.0590000004</v>
      </c>
      <c r="H156" s="4">
        <v>1</v>
      </c>
      <c r="I156" s="143">
        <v>199.79991000000001</v>
      </c>
      <c r="J156" s="144">
        <v>0.45570466863218628</v>
      </c>
      <c r="K156" s="145">
        <v>7.1040903887663778E-2</v>
      </c>
      <c r="L156" s="146">
        <v>1</v>
      </c>
      <c r="M156" s="58">
        <v>1</v>
      </c>
      <c r="N156" s="58">
        <v>1</v>
      </c>
      <c r="O156" s="147">
        <v>1</v>
      </c>
      <c r="P156" s="148">
        <v>3.3181438930663999E-3</v>
      </c>
      <c r="Q156" s="148">
        <v>2.7183370175154998E-3</v>
      </c>
      <c r="R156" s="148">
        <v>2.2557397140429E-3</v>
      </c>
      <c r="S156" s="153">
        <v>0.21312271166299135</v>
      </c>
      <c r="T156" s="154">
        <v>1.4999999999999999E-2</v>
      </c>
      <c r="U156" s="155">
        <v>5</v>
      </c>
      <c r="V156" s="159">
        <v>0.4262454233259827</v>
      </c>
      <c r="W156" s="160">
        <v>0.03</v>
      </c>
      <c r="X156" s="161">
        <v>10</v>
      </c>
      <c r="Y156" s="165">
        <v>0.56832723110131023</v>
      </c>
      <c r="Z156" s="166">
        <v>0.06</v>
      </c>
      <c r="AA156" s="167">
        <v>15</v>
      </c>
    </row>
    <row r="157" spans="2:27" x14ac:dyDescent="0.25">
      <c r="B157" s="51" t="s">
        <v>3614</v>
      </c>
      <c r="C157" s="4" t="s">
        <v>4297</v>
      </c>
      <c r="D157" s="142" t="e">
        <v>#VALUE!</v>
      </c>
      <c r="E157" s="142" t="e">
        <v>#VALUE!</v>
      </c>
      <c r="F157" s="4" t="s">
        <v>592</v>
      </c>
      <c r="G157" s="143">
        <v>32227129.960000001</v>
      </c>
      <c r="H157" s="4">
        <v>2</v>
      </c>
      <c r="I157" s="143">
        <v>1313.9277</v>
      </c>
      <c r="J157" s="144">
        <v>1.2404643550424042</v>
      </c>
      <c r="K157" s="145">
        <v>7.1040903887663778E-2</v>
      </c>
      <c r="L157" s="146">
        <v>1</v>
      </c>
      <c r="M157" s="58">
        <v>1</v>
      </c>
      <c r="N157" s="58">
        <v>1</v>
      </c>
      <c r="O157" s="147">
        <v>1</v>
      </c>
      <c r="P157" s="148">
        <v>2.8427965676499E-3</v>
      </c>
      <c r="Q157" s="148">
        <v>2.3248968756373E-3</v>
      </c>
      <c r="R157" s="148">
        <v>1.9254699754799999E-3</v>
      </c>
      <c r="S157" s="153">
        <v>0.21312271166299135</v>
      </c>
      <c r="T157" s="154">
        <v>1.4999999999999999E-2</v>
      </c>
      <c r="U157" s="155">
        <v>5</v>
      </c>
      <c r="V157" s="159">
        <v>0.4262454233259827</v>
      </c>
      <c r="W157" s="160">
        <v>0.03</v>
      </c>
      <c r="X157" s="161">
        <v>10</v>
      </c>
      <c r="Y157" s="165">
        <v>0.56832723110131023</v>
      </c>
      <c r="Z157" s="166">
        <v>0.06</v>
      </c>
      <c r="AA157" s="167">
        <v>15</v>
      </c>
    </row>
    <row r="158" spans="2:27" x14ac:dyDescent="0.25">
      <c r="B158" s="51" t="s">
        <v>2255</v>
      </c>
      <c r="C158" s="4" t="s">
        <v>4298</v>
      </c>
      <c r="D158" s="142" t="e">
        <v>#VALUE!</v>
      </c>
      <c r="E158" s="142" t="e">
        <v>#VALUE!</v>
      </c>
      <c r="F158" s="4" t="s">
        <v>592</v>
      </c>
      <c r="G158" s="143">
        <v>21936237.719999999</v>
      </c>
      <c r="H158" s="4">
        <v>1</v>
      </c>
      <c r="I158" s="143">
        <v>162.03636</v>
      </c>
      <c r="J158" s="144">
        <v>1.1046964875435299</v>
      </c>
      <c r="K158" s="145">
        <v>6.4639091090986117E-2</v>
      </c>
      <c r="L158" s="146">
        <v>1</v>
      </c>
      <c r="M158" s="58">
        <v>1</v>
      </c>
      <c r="N158" s="58">
        <v>1</v>
      </c>
      <c r="O158" s="147">
        <v>1</v>
      </c>
      <c r="P158" s="148">
        <v>2.7693673925564002E-3</v>
      </c>
      <c r="Q158" s="148">
        <v>2.2508943021488999E-3</v>
      </c>
      <c r="R158" s="148">
        <v>1.8510251720636999E-3</v>
      </c>
      <c r="S158" s="153">
        <v>0.19391727327295835</v>
      </c>
      <c r="T158" s="154">
        <v>1.4999999999999999E-2</v>
      </c>
      <c r="U158" s="155">
        <v>5</v>
      </c>
      <c r="V158" s="159">
        <v>0.3878345465459167</v>
      </c>
      <c r="W158" s="160">
        <v>0.03</v>
      </c>
      <c r="X158" s="161">
        <v>10</v>
      </c>
      <c r="Y158" s="165">
        <v>0.51711272872788894</v>
      </c>
      <c r="Z158" s="166">
        <v>0.06</v>
      </c>
      <c r="AA158" s="167">
        <v>15</v>
      </c>
    </row>
    <row r="159" spans="2:27" x14ac:dyDescent="0.25">
      <c r="B159" s="51" t="s">
        <v>3442</v>
      </c>
      <c r="C159" s="4" t="s">
        <v>4299</v>
      </c>
      <c r="D159" s="142" t="e">
        <v>#VALUE!</v>
      </c>
      <c r="E159" s="142" t="e">
        <v>#VALUE!</v>
      </c>
      <c r="F159" s="4" t="s">
        <v>592</v>
      </c>
      <c r="G159" s="143">
        <v>15337162.49</v>
      </c>
      <c r="H159" s="4">
        <v>1</v>
      </c>
      <c r="I159" s="143">
        <v>156.94846000000001</v>
      </c>
      <c r="J159" s="144">
        <v>0.76369068128035933</v>
      </c>
      <c r="K159" s="145">
        <v>7.1040903887663778E-2</v>
      </c>
      <c r="L159" s="146">
        <v>1</v>
      </c>
      <c r="M159" s="58">
        <v>1</v>
      </c>
      <c r="N159" s="58">
        <v>1</v>
      </c>
      <c r="O159" s="147">
        <v>1</v>
      </c>
      <c r="P159" s="148">
        <v>3.3365995048576999E-3</v>
      </c>
      <c r="Q159" s="148">
        <v>2.733684877515E-3</v>
      </c>
      <c r="R159" s="148">
        <v>2.2686907398988998E-3</v>
      </c>
      <c r="S159" s="153">
        <v>0.21312271166299135</v>
      </c>
      <c r="T159" s="154">
        <v>1.4999999999999999E-2</v>
      </c>
      <c r="U159" s="155">
        <v>5</v>
      </c>
      <c r="V159" s="159">
        <v>0.4262454233259827</v>
      </c>
      <c r="W159" s="160">
        <v>0.03</v>
      </c>
      <c r="X159" s="161">
        <v>10</v>
      </c>
      <c r="Y159" s="165">
        <v>0.56832723110131023</v>
      </c>
      <c r="Z159" s="166">
        <v>0.06</v>
      </c>
      <c r="AA159" s="167">
        <v>15</v>
      </c>
    </row>
    <row r="160" spans="2:27" x14ac:dyDescent="0.25">
      <c r="B160" s="51" t="s">
        <v>3649</v>
      </c>
      <c r="C160" s="4" t="s">
        <v>4300</v>
      </c>
      <c r="D160" s="142" t="e">
        <v>#VALUE!</v>
      </c>
      <c r="E160" s="142" t="e">
        <v>#VALUE!</v>
      </c>
      <c r="F160" s="4" t="s">
        <v>592</v>
      </c>
      <c r="G160" s="143">
        <v>20856950.300000001</v>
      </c>
      <c r="H160" s="4">
        <v>1</v>
      </c>
      <c r="I160" s="143">
        <v>197.60655</v>
      </c>
      <c r="J160" s="144">
        <v>0.99848253724254465</v>
      </c>
      <c r="K160" s="145">
        <v>7.1040903887663778E-2</v>
      </c>
      <c r="L160" s="146">
        <v>1</v>
      </c>
      <c r="M160" s="58">
        <v>1</v>
      </c>
      <c r="N160" s="58">
        <v>1</v>
      </c>
      <c r="O160" s="147">
        <v>1</v>
      </c>
      <c r="P160" s="148">
        <v>3.3316485203431999E-3</v>
      </c>
      <c r="Q160" s="148">
        <v>2.7295671094660998E-3</v>
      </c>
      <c r="R160" s="148">
        <v>2.2652155848409002E-3</v>
      </c>
      <c r="S160" s="153">
        <v>0.21312271166299135</v>
      </c>
      <c r="T160" s="154">
        <v>1.4999999999999999E-2</v>
      </c>
      <c r="U160" s="155">
        <v>5</v>
      </c>
      <c r="V160" s="159">
        <v>0.4262454233259827</v>
      </c>
      <c r="W160" s="160">
        <v>0.03</v>
      </c>
      <c r="X160" s="161">
        <v>10</v>
      </c>
      <c r="Y160" s="165">
        <v>0.56832723110131023</v>
      </c>
      <c r="Z160" s="166">
        <v>0.06</v>
      </c>
      <c r="AA160" s="167">
        <v>15</v>
      </c>
    </row>
    <row r="161" spans="2:27" x14ac:dyDescent="0.25">
      <c r="B161" s="51" t="s">
        <v>3161</v>
      </c>
      <c r="C161" s="4" t="s">
        <v>4301</v>
      </c>
      <c r="D161" s="142" t="e">
        <v>#VALUE!</v>
      </c>
      <c r="E161" s="142" t="e">
        <v>#VALUE!</v>
      </c>
      <c r="F161" s="4" t="s">
        <v>592</v>
      </c>
      <c r="G161" s="143">
        <v>32574640.329999998</v>
      </c>
      <c r="H161" s="4">
        <v>1</v>
      </c>
      <c r="I161" s="143">
        <v>110.594696</v>
      </c>
      <c r="J161" s="144">
        <v>0.9796127506519472</v>
      </c>
      <c r="K161" s="145">
        <v>7.1040903887663778E-2</v>
      </c>
      <c r="L161" s="146">
        <v>1</v>
      </c>
      <c r="M161" s="58">
        <v>1</v>
      </c>
      <c r="N161" s="58">
        <v>1</v>
      </c>
      <c r="O161" s="147">
        <v>1</v>
      </c>
      <c r="P161" s="148">
        <v>3.1688669383424998E-3</v>
      </c>
      <c r="Q161" s="148">
        <v>2.5943832019430998E-3</v>
      </c>
      <c r="R161" s="148">
        <v>2.1513162112502E-3</v>
      </c>
      <c r="S161" s="153">
        <v>0.21312271166299135</v>
      </c>
      <c r="T161" s="154">
        <v>1.4999999999999999E-2</v>
      </c>
      <c r="U161" s="155">
        <v>5</v>
      </c>
      <c r="V161" s="159">
        <v>0.4262454233259827</v>
      </c>
      <c r="W161" s="160">
        <v>0.03</v>
      </c>
      <c r="X161" s="161">
        <v>10</v>
      </c>
      <c r="Y161" s="165">
        <v>0.56832723110131023</v>
      </c>
      <c r="Z161" s="166">
        <v>0.06</v>
      </c>
      <c r="AA161" s="167">
        <v>15</v>
      </c>
    </row>
    <row r="162" spans="2:27" x14ac:dyDescent="0.25">
      <c r="B162" s="51" t="s">
        <v>736</v>
      </c>
      <c r="C162" s="4" t="s">
        <v>737</v>
      </c>
      <c r="D162" s="142" t="e">
        <v>#VALUE!</v>
      </c>
      <c r="E162" s="142" t="e">
        <v>#VALUE!</v>
      </c>
      <c r="F162" s="4" t="s">
        <v>592</v>
      </c>
      <c r="G162" s="143">
        <v>11617700.68</v>
      </c>
      <c r="H162" s="4">
        <v>1</v>
      </c>
      <c r="I162" s="143">
        <v>211.55672999999999</v>
      </c>
      <c r="J162" s="144">
        <v>1.1141670282531921</v>
      </c>
      <c r="K162" s="145">
        <v>6.4639091090986117E-2</v>
      </c>
      <c r="L162" s="146">
        <v>1</v>
      </c>
      <c r="M162" s="58">
        <v>1</v>
      </c>
      <c r="N162" s="58">
        <v>1</v>
      </c>
      <c r="O162" s="147">
        <v>1</v>
      </c>
      <c r="P162" s="148">
        <v>2.2638769411683001E-3</v>
      </c>
      <c r="Q162" s="148">
        <v>1.8373674121315001E-3</v>
      </c>
      <c r="R162" s="148">
        <v>1.5084246039041001E-3</v>
      </c>
      <c r="S162" s="153">
        <v>0.19391727327295835</v>
      </c>
      <c r="T162" s="154">
        <v>1.4999999999999999E-2</v>
      </c>
      <c r="U162" s="155">
        <v>5</v>
      </c>
      <c r="V162" s="159">
        <v>0.3878345465459167</v>
      </c>
      <c r="W162" s="160">
        <v>0.03</v>
      </c>
      <c r="X162" s="161">
        <v>10</v>
      </c>
      <c r="Y162" s="165">
        <v>0.51711272872788894</v>
      </c>
      <c r="Z162" s="166">
        <v>0.06</v>
      </c>
      <c r="AA162" s="167">
        <v>15</v>
      </c>
    </row>
    <row r="163" spans="2:27" x14ac:dyDescent="0.25">
      <c r="B163" s="51" t="s">
        <v>2805</v>
      </c>
      <c r="C163" s="4" t="s">
        <v>4302</v>
      </c>
      <c r="D163" s="142" t="e">
        <v>#VALUE!</v>
      </c>
      <c r="E163" s="142" t="e">
        <v>#VALUE!</v>
      </c>
      <c r="F163" s="4" t="s">
        <v>592</v>
      </c>
      <c r="G163" s="143">
        <v>19763677.620000001</v>
      </c>
      <c r="H163" s="4">
        <v>2</v>
      </c>
      <c r="I163" s="143">
        <v>203.43763999999999</v>
      </c>
      <c r="J163" s="144">
        <v>1.2906355905208011</v>
      </c>
      <c r="K163" s="145">
        <v>7.1040903887663778E-2</v>
      </c>
      <c r="L163" s="146">
        <v>1</v>
      </c>
      <c r="M163" s="58">
        <v>1</v>
      </c>
      <c r="N163" s="58">
        <v>1</v>
      </c>
      <c r="O163" s="147">
        <v>1</v>
      </c>
      <c r="P163" s="148">
        <v>2.3319757709284999E-3</v>
      </c>
      <c r="Q163" s="148">
        <v>1.9070821827569999E-3</v>
      </c>
      <c r="R163" s="148">
        <v>1.5793856588209E-3</v>
      </c>
      <c r="S163" s="153">
        <v>0.21312271166299135</v>
      </c>
      <c r="T163" s="154">
        <v>1.4999999999999999E-2</v>
      </c>
      <c r="U163" s="155">
        <v>5</v>
      </c>
      <c r="V163" s="159">
        <v>0.4262454233259827</v>
      </c>
      <c r="W163" s="160">
        <v>0.03</v>
      </c>
      <c r="X163" s="161">
        <v>10</v>
      </c>
      <c r="Y163" s="165">
        <v>0.56832723110131023</v>
      </c>
      <c r="Z163" s="166">
        <v>0.06</v>
      </c>
      <c r="AA163" s="167">
        <v>15</v>
      </c>
    </row>
    <row r="164" spans="2:27" x14ac:dyDescent="0.25">
      <c r="B164" s="51" t="s">
        <v>3160</v>
      </c>
      <c r="C164" s="4" t="s">
        <v>4303</v>
      </c>
      <c r="D164" s="142" t="e">
        <v>#VALUE!</v>
      </c>
      <c r="E164" s="142" t="e">
        <v>#VALUE!</v>
      </c>
      <c r="F164" s="4" t="s">
        <v>592</v>
      </c>
      <c r="G164" s="143">
        <v>44571810.899999999</v>
      </c>
      <c r="H164" s="4">
        <v>1</v>
      </c>
      <c r="I164" s="143">
        <v>68.575289999999995</v>
      </c>
      <c r="J164" s="144">
        <v>0.98450375560733616</v>
      </c>
      <c r="K164" s="145">
        <v>6.8019099243151276E-2</v>
      </c>
      <c r="L164" s="146">
        <v>1</v>
      </c>
      <c r="M164" s="58">
        <v>1</v>
      </c>
      <c r="N164" s="58">
        <v>1</v>
      </c>
      <c r="O164" s="147">
        <v>1</v>
      </c>
      <c r="P164" s="148">
        <v>2.9232094798674001E-3</v>
      </c>
      <c r="Q164" s="148">
        <v>2.3848597440531E-3</v>
      </c>
      <c r="R164" s="148">
        <v>1.9696608754435001E-3</v>
      </c>
      <c r="S164" s="153">
        <v>0.20405729772945383</v>
      </c>
      <c r="T164" s="154">
        <v>1.4999999999999999E-2</v>
      </c>
      <c r="U164" s="155">
        <v>5</v>
      </c>
      <c r="V164" s="159">
        <v>0.40811459545890766</v>
      </c>
      <c r="W164" s="160">
        <v>0.03</v>
      </c>
      <c r="X164" s="161">
        <v>10</v>
      </c>
      <c r="Y164" s="165">
        <v>0.54415279394521021</v>
      </c>
      <c r="Z164" s="166">
        <v>0.06</v>
      </c>
      <c r="AA164" s="167">
        <v>15</v>
      </c>
    </row>
    <row r="165" spans="2:27" x14ac:dyDescent="0.25">
      <c r="B165" s="51" t="s">
        <v>2961</v>
      </c>
      <c r="C165" s="4" t="s">
        <v>4304</v>
      </c>
      <c r="D165" s="142" t="e">
        <v>#VALUE!</v>
      </c>
      <c r="E165" s="142" t="e">
        <v>#VALUE!</v>
      </c>
      <c r="F165" s="4" t="s">
        <v>592</v>
      </c>
      <c r="G165" s="143">
        <v>11890829.060000001</v>
      </c>
      <c r="H165" s="4">
        <v>1</v>
      </c>
      <c r="I165" s="143">
        <v>171.28413</v>
      </c>
      <c r="J165" s="144">
        <v>1.1021407062039552</v>
      </c>
      <c r="K165" s="145">
        <v>6.4639091090986117E-2</v>
      </c>
      <c r="L165" s="146">
        <v>1</v>
      </c>
      <c r="M165" s="58">
        <v>1</v>
      </c>
      <c r="N165" s="58">
        <v>1</v>
      </c>
      <c r="O165" s="147">
        <v>1</v>
      </c>
      <c r="P165" s="148">
        <v>2.0914879878998999E-3</v>
      </c>
      <c r="Q165" s="148">
        <v>1.6978704797249E-3</v>
      </c>
      <c r="R165" s="148">
        <v>1.3942954369845001E-3</v>
      </c>
      <c r="S165" s="153">
        <v>0.19391727327295835</v>
      </c>
      <c r="T165" s="154">
        <v>1.4999999999999999E-2</v>
      </c>
      <c r="U165" s="155">
        <v>5</v>
      </c>
      <c r="V165" s="159">
        <v>0.3878345465459167</v>
      </c>
      <c r="W165" s="160">
        <v>0.03</v>
      </c>
      <c r="X165" s="161">
        <v>10</v>
      </c>
      <c r="Y165" s="165">
        <v>0.51711272872788894</v>
      </c>
      <c r="Z165" s="166">
        <v>0.06</v>
      </c>
      <c r="AA165" s="167">
        <v>15</v>
      </c>
    </row>
    <row r="166" spans="2:27" x14ac:dyDescent="0.25">
      <c r="B166" s="51" t="s">
        <v>455</v>
      </c>
      <c r="C166" s="4" t="s">
        <v>4305</v>
      </c>
      <c r="D166" s="142" t="e">
        <v>#VALUE!</v>
      </c>
      <c r="E166" s="142" t="e">
        <v>#VALUE!</v>
      </c>
      <c r="F166" s="4" t="s">
        <v>592</v>
      </c>
      <c r="G166" s="143">
        <v>50000000</v>
      </c>
      <c r="H166" s="4">
        <v>1</v>
      </c>
      <c r="I166" s="143">
        <v>227.30815000000001</v>
      </c>
      <c r="J166" s="144">
        <v>1.0120149082449375</v>
      </c>
      <c r="K166" s="145">
        <v>6.4639091090986117E-2</v>
      </c>
      <c r="L166" s="146">
        <v>1</v>
      </c>
      <c r="M166" s="58">
        <v>1</v>
      </c>
      <c r="N166" s="58">
        <v>1</v>
      </c>
      <c r="O166" s="147">
        <v>1</v>
      </c>
      <c r="P166" s="148">
        <v>6.0388528190759997E-3</v>
      </c>
      <c r="Q166" s="148">
        <v>5.0068351029381002E-3</v>
      </c>
      <c r="R166" s="148">
        <v>4.2108978903429E-3</v>
      </c>
      <c r="S166" s="153">
        <v>0.19391727327295835</v>
      </c>
      <c r="T166" s="154">
        <v>1.4999999999999999E-2</v>
      </c>
      <c r="U166" s="155">
        <v>5</v>
      </c>
      <c r="V166" s="159">
        <v>0.3878345465459167</v>
      </c>
      <c r="W166" s="160">
        <v>0.03</v>
      </c>
      <c r="X166" s="161">
        <v>10</v>
      </c>
      <c r="Y166" s="165">
        <v>0.51711272872788894</v>
      </c>
      <c r="Z166" s="166">
        <v>0.06</v>
      </c>
      <c r="AA166" s="167">
        <v>15</v>
      </c>
    </row>
    <row r="167" spans="2:27" x14ac:dyDescent="0.25">
      <c r="B167" s="51" t="s">
        <v>2966</v>
      </c>
      <c r="C167" s="4" t="s">
        <v>4306</v>
      </c>
      <c r="D167" s="142" t="e">
        <v>#VALUE!</v>
      </c>
      <c r="E167" s="142" t="e">
        <v>#VALUE!</v>
      </c>
      <c r="F167" s="4" t="s">
        <v>592</v>
      </c>
      <c r="G167" s="143">
        <v>10463279.77</v>
      </c>
      <c r="H167" s="4">
        <v>1</v>
      </c>
      <c r="I167" s="143">
        <v>164.53757999999999</v>
      </c>
      <c r="J167" s="144">
        <v>0.85087738367679733</v>
      </c>
      <c r="K167" s="145">
        <v>7.1040903887663778E-2</v>
      </c>
      <c r="L167" s="146">
        <v>1</v>
      </c>
      <c r="M167" s="58">
        <v>1</v>
      </c>
      <c r="N167" s="58">
        <v>1</v>
      </c>
      <c r="O167" s="147">
        <v>1</v>
      </c>
      <c r="P167" s="148">
        <v>2.5270911511221E-3</v>
      </c>
      <c r="Q167" s="148">
        <v>2.0659426867647998E-3</v>
      </c>
      <c r="R167" s="148">
        <v>1.7102848161939001E-3</v>
      </c>
      <c r="S167" s="153">
        <v>0.21312271166299135</v>
      </c>
      <c r="T167" s="154">
        <v>1.4999999999999999E-2</v>
      </c>
      <c r="U167" s="155">
        <v>5</v>
      </c>
      <c r="V167" s="159">
        <v>0.4262454233259827</v>
      </c>
      <c r="W167" s="160">
        <v>0.03</v>
      </c>
      <c r="X167" s="161">
        <v>10</v>
      </c>
      <c r="Y167" s="165">
        <v>0.56832723110131023</v>
      </c>
      <c r="Z167" s="166">
        <v>0.06</v>
      </c>
      <c r="AA167" s="167">
        <v>15</v>
      </c>
    </row>
    <row r="168" spans="2:27" x14ac:dyDescent="0.25">
      <c r="B168" s="51" t="s">
        <v>3159</v>
      </c>
      <c r="C168" s="4" t="s">
        <v>4307</v>
      </c>
      <c r="D168" s="142" t="e">
        <v>#VALUE!</v>
      </c>
      <c r="E168" s="142" t="e">
        <v>#VALUE!</v>
      </c>
      <c r="F168" s="4" t="s">
        <v>592</v>
      </c>
      <c r="G168" s="143">
        <v>20670721.829999998</v>
      </c>
      <c r="H168" s="4">
        <v>1</v>
      </c>
      <c r="I168" s="143">
        <v>122.49836999999999</v>
      </c>
      <c r="J168" s="144">
        <v>0.86898431897869777</v>
      </c>
      <c r="K168" s="145">
        <v>7.1040903887663778E-2</v>
      </c>
      <c r="L168" s="146">
        <v>1</v>
      </c>
      <c r="M168" s="58">
        <v>1</v>
      </c>
      <c r="N168" s="58">
        <v>1</v>
      </c>
      <c r="O168" s="147">
        <v>1</v>
      </c>
      <c r="P168" s="148">
        <v>3.0109100438111E-3</v>
      </c>
      <c r="Q168" s="148">
        <v>2.4636060045627999E-3</v>
      </c>
      <c r="R168" s="148">
        <v>2.0415011854016999E-3</v>
      </c>
      <c r="S168" s="153">
        <v>0.21312271166299135</v>
      </c>
      <c r="T168" s="154">
        <v>1.4999999999999999E-2</v>
      </c>
      <c r="U168" s="155">
        <v>5</v>
      </c>
      <c r="V168" s="159">
        <v>0.4262454233259827</v>
      </c>
      <c r="W168" s="160">
        <v>0.03</v>
      </c>
      <c r="X168" s="161">
        <v>10</v>
      </c>
      <c r="Y168" s="165">
        <v>0.56832723110131023</v>
      </c>
      <c r="Z168" s="166">
        <v>0.06</v>
      </c>
      <c r="AA168" s="167">
        <v>15</v>
      </c>
    </row>
    <row r="169" spans="2:27" x14ac:dyDescent="0.25">
      <c r="B169" s="51" t="s">
        <v>2969</v>
      </c>
      <c r="C169" s="4" t="s">
        <v>4308</v>
      </c>
      <c r="D169" s="142" t="e">
        <v>#VALUE!</v>
      </c>
      <c r="E169" s="142" t="e">
        <v>#VALUE!</v>
      </c>
      <c r="F169" s="4" t="s">
        <v>592</v>
      </c>
      <c r="G169" s="143">
        <v>8278672.1449999996</v>
      </c>
      <c r="H169" s="4">
        <v>2</v>
      </c>
      <c r="I169" s="143">
        <v>215.435</v>
      </c>
      <c r="J169" s="144">
        <v>1.3420188934062269</v>
      </c>
      <c r="K169" s="145">
        <v>6.4639091090986117E-2</v>
      </c>
      <c r="L169" s="146">
        <v>1</v>
      </c>
      <c r="M169" s="58">
        <v>1</v>
      </c>
      <c r="N169" s="58">
        <v>1</v>
      </c>
      <c r="O169" s="147">
        <v>1</v>
      </c>
      <c r="P169" s="148">
        <v>1.5358145675096E-3</v>
      </c>
      <c r="Q169" s="148">
        <v>1.2562185599339999E-3</v>
      </c>
      <c r="R169" s="148">
        <v>1.0405818868007E-3</v>
      </c>
      <c r="S169" s="153">
        <v>0.19391727327295835</v>
      </c>
      <c r="T169" s="154">
        <v>1.4999999999999999E-2</v>
      </c>
      <c r="U169" s="155">
        <v>5</v>
      </c>
      <c r="V169" s="159">
        <v>0.3878345465459167</v>
      </c>
      <c r="W169" s="160">
        <v>0.03</v>
      </c>
      <c r="X169" s="161">
        <v>10</v>
      </c>
      <c r="Y169" s="165">
        <v>0.51711272872788894</v>
      </c>
      <c r="Z169" s="166">
        <v>0.06</v>
      </c>
      <c r="AA169" s="167">
        <v>15</v>
      </c>
    </row>
    <row r="170" spans="2:27" x14ac:dyDescent="0.25">
      <c r="B170" s="51" t="s">
        <v>3654</v>
      </c>
      <c r="C170" s="4" t="s">
        <v>4309</v>
      </c>
      <c r="D170" s="142" t="e">
        <v>#VALUE!</v>
      </c>
      <c r="E170" s="142" t="e">
        <v>#VALUE!</v>
      </c>
      <c r="F170" s="4" t="s">
        <v>592</v>
      </c>
      <c r="G170" s="143">
        <v>22032538.579999998</v>
      </c>
      <c r="H170" s="4">
        <v>1</v>
      </c>
      <c r="I170" s="143">
        <v>106.95095000000001</v>
      </c>
      <c r="J170" s="144">
        <v>0.77472744808870897</v>
      </c>
      <c r="K170" s="145">
        <v>6.8019099243151276E-2</v>
      </c>
      <c r="L170" s="146">
        <v>1</v>
      </c>
      <c r="M170" s="58">
        <v>1</v>
      </c>
      <c r="N170" s="58">
        <v>1</v>
      </c>
      <c r="O170" s="147">
        <v>1</v>
      </c>
      <c r="P170" s="148">
        <v>3.2952638289544E-3</v>
      </c>
      <c r="Q170" s="148">
        <v>2.6932144747956999E-3</v>
      </c>
      <c r="R170" s="148">
        <v>2.2288876737142E-3</v>
      </c>
      <c r="S170" s="153">
        <v>0.20405729772945383</v>
      </c>
      <c r="T170" s="154">
        <v>1.4999999999999999E-2</v>
      </c>
      <c r="U170" s="155">
        <v>5</v>
      </c>
      <c r="V170" s="159">
        <v>0.40811459545890766</v>
      </c>
      <c r="W170" s="160">
        <v>0.03</v>
      </c>
      <c r="X170" s="161">
        <v>10</v>
      </c>
      <c r="Y170" s="165">
        <v>0.54415279394521021</v>
      </c>
      <c r="Z170" s="166">
        <v>0.06</v>
      </c>
      <c r="AA170" s="167">
        <v>15</v>
      </c>
    </row>
    <row r="171" spans="2:27" x14ac:dyDescent="0.25">
      <c r="B171" s="51" t="s">
        <v>2959</v>
      </c>
      <c r="C171" s="4" t="s">
        <v>4310</v>
      </c>
      <c r="D171" s="142" t="e">
        <v>#VALUE!</v>
      </c>
      <c r="E171" s="142" t="e">
        <v>#VALUE!</v>
      </c>
      <c r="F171" s="4" t="s">
        <v>592</v>
      </c>
      <c r="G171" s="143">
        <v>22007092.600000001</v>
      </c>
      <c r="H171" s="4">
        <v>1</v>
      </c>
      <c r="I171" s="143">
        <v>148.35023000000001</v>
      </c>
      <c r="J171" s="144">
        <v>1.0370608499042371</v>
      </c>
      <c r="K171" s="145">
        <v>7.1040903887663778E-2</v>
      </c>
      <c r="L171" s="146">
        <v>1</v>
      </c>
      <c r="M171" s="58">
        <v>1</v>
      </c>
      <c r="N171" s="58">
        <v>1</v>
      </c>
      <c r="O171" s="147">
        <v>1</v>
      </c>
      <c r="P171" s="148">
        <v>2.8133822082097E-3</v>
      </c>
      <c r="Q171" s="148">
        <v>2.3006817854251001E-3</v>
      </c>
      <c r="R171" s="148">
        <v>1.9052647891600999E-3</v>
      </c>
      <c r="S171" s="153">
        <v>0.21312271166299135</v>
      </c>
      <c r="T171" s="154">
        <v>1.4999999999999999E-2</v>
      </c>
      <c r="U171" s="155">
        <v>5</v>
      </c>
      <c r="V171" s="159">
        <v>0.4262454233259827</v>
      </c>
      <c r="W171" s="160">
        <v>0.03</v>
      </c>
      <c r="X171" s="161">
        <v>10</v>
      </c>
      <c r="Y171" s="165">
        <v>0.56832723110131023</v>
      </c>
      <c r="Z171" s="166">
        <v>0.06</v>
      </c>
      <c r="AA171" s="167">
        <v>15</v>
      </c>
    </row>
    <row r="172" spans="2:27" x14ac:dyDescent="0.25">
      <c r="B172" s="51" t="s">
        <v>3441</v>
      </c>
      <c r="C172" s="4" t="s">
        <v>4311</v>
      </c>
      <c r="D172" s="142" t="e">
        <v>#VALUE!</v>
      </c>
      <c r="E172" s="142" t="e">
        <v>#VALUE!</v>
      </c>
      <c r="F172" s="4" t="s">
        <v>592</v>
      </c>
      <c r="G172" s="143">
        <v>19709294.420000002</v>
      </c>
      <c r="H172" s="4">
        <v>1</v>
      </c>
      <c r="I172" s="143">
        <v>291.89929999999998</v>
      </c>
      <c r="J172" s="144">
        <v>0.51191022364880967</v>
      </c>
      <c r="K172" s="145">
        <v>6.8019099243151276E-2</v>
      </c>
      <c r="L172" s="146">
        <v>1</v>
      </c>
      <c r="M172" s="58">
        <v>1</v>
      </c>
      <c r="N172" s="58">
        <v>1</v>
      </c>
      <c r="O172" s="147">
        <v>1</v>
      </c>
      <c r="P172" s="148">
        <v>3.2798981944841999E-3</v>
      </c>
      <c r="Q172" s="148">
        <v>2.6804370679747E-3</v>
      </c>
      <c r="R172" s="148">
        <v>2.2181064212889999E-3</v>
      </c>
      <c r="S172" s="153">
        <v>0.20405729772945383</v>
      </c>
      <c r="T172" s="154">
        <v>1.4999999999999999E-2</v>
      </c>
      <c r="U172" s="155">
        <v>5</v>
      </c>
      <c r="V172" s="159">
        <v>0.40811459545890766</v>
      </c>
      <c r="W172" s="160">
        <v>0.03</v>
      </c>
      <c r="X172" s="161">
        <v>10</v>
      </c>
      <c r="Y172" s="165">
        <v>0.54415279394521021</v>
      </c>
      <c r="Z172" s="166">
        <v>0.06</v>
      </c>
      <c r="AA172" s="167">
        <v>15</v>
      </c>
    </row>
    <row r="173" spans="2:27" x14ac:dyDescent="0.25">
      <c r="B173" s="51" t="s">
        <v>3618</v>
      </c>
      <c r="C173" s="4" t="s">
        <v>4312</v>
      </c>
      <c r="D173" s="142" t="e">
        <v>#VALUE!</v>
      </c>
      <c r="E173" s="142" t="e">
        <v>#VALUE!</v>
      </c>
      <c r="F173" s="4" t="s">
        <v>592</v>
      </c>
      <c r="G173" s="143">
        <v>57648461.979999997</v>
      </c>
      <c r="H173" s="4">
        <v>2</v>
      </c>
      <c r="I173" s="143">
        <v>143.20549</v>
      </c>
      <c r="J173" s="144">
        <v>1.2923307134511366</v>
      </c>
      <c r="K173" s="145">
        <v>7.1040903887663778E-2</v>
      </c>
      <c r="L173" s="146">
        <v>1</v>
      </c>
      <c r="M173" s="58">
        <v>1</v>
      </c>
      <c r="N173" s="58">
        <v>1</v>
      </c>
      <c r="O173" s="147">
        <v>1</v>
      </c>
      <c r="P173" s="148">
        <v>3.3636370909733001E-3</v>
      </c>
      <c r="Q173" s="148">
        <v>2.7561784203757999E-3</v>
      </c>
      <c r="R173" s="148">
        <v>2.2876797178035002E-3</v>
      </c>
      <c r="S173" s="153">
        <v>0.21312271166299135</v>
      </c>
      <c r="T173" s="154">
        <v>1.4999999999999999E-2</v>
      </c>
      <c r="U173" s="155">
        <v>5</v>
      </c>
      <c r="V173" s="159">
        <v>0.4262454233259827</v>
      </c>
      <c r="W173" s="160">
        <v>0.03</v>
      </c>
      <c r="X173" s="161">
        <v>10</v>
      </c>
      <c r="Y173" s="165">
        <v>0.56832723110131023</v>
      </c>
      <c r="Z173" s="166">
        <v>0.06</v>
      </c>
      <c r="AA173" s="167">
        <v>15</v>
      </c>
    </row>
    <row r="174" spans="2:27" x14ac:dyDescent="0.25">
      <c r="B174" s="51" t="s">
        <v>3930</v>
      </c>
      <c r="C174" s="4" t="s">
        <v>4313</v>
      </c>
      <c r="D174" s="142" t="e">
        <v>#VALUE!</v>
      </c>
      <c r="E174" s="142" t="e">
        <v>#VALUE!</v>
      </c>
      <c r="F174" s="4" t="s">
        <v>592</v>
      </c>
      <c r="G174" s="143">
        <v>25477369.579999998</v>
      </c>
      <c r="H174" s="4">
        <v>1</v>
      </c>
      <c r="I174" s="143">
        <v>147.55260000000001</v>
      </c>
      <c r="J174" s="144">
        <v>0.95257960438332034</v>
      </c>
      <c r="K174" s="145">
        <v>7.1040903887663778E-2</v>
      </c>
      <c r="L174" s="146">
        <v>1</v>
      </c>
      <c r="M174" s="58">
        <v>1</v>
      </c>
      <c r="N174" s="58">
        <v>1</v>
      </c>
      <c r="O174" s="147">
        <v>1</v>
      </c>
      <c r="P174" s="148">
        <v>3.3556409453830002E-3</v>
      </c>
      <c r="Q174" s="148">
        <v>2.7495250524803999E-3</v>
      </c>
      <c r="R174" s="148">
        <v>2.2820619588118998E-3</v>
      </c>
      <c r="S174" s="153">
        <v>0.21312271166299135</v>
      </c>
      <c r="T174" s="154">
        <v>1.4999999999999999E-2</v>
      </c>
      <c r="U174" s="155">
        <v>5</v>
      </c>
      <c r="V174" s="159">
        <v>0.4262454233259827</v>
      </c>
      <c r="W174" s="160">
        <v>0.03</v>
      </c>
      <c r="X174" s="161">
        <v>10</v>
      </c>
      <c r="Y174" s="165">
        <v>0.56832723110131023</v>
      </c>
      <c r="Z174" s="166">
        <v>0.06</v>
      </c>
      <c r="AA174" s="167">
        <v>15</v>
      </c>
    </row>
    <row r="175" spans="2:27" x14ac:dyDescent="0.25">
      <c r="B175" s="51" t="s">
        <v>2254</v>
      </c>
      <c r="C175" s="4" t="s">
        <v>4314</v>
      </c>
      <c r="D175" s="142" t="e">
        <v>#VALUE!</v>
      </c>
      <c r="E175" s="142" t="e">
        <v>#VALUE!</v>
      </c>
      <c r="F175" s="4" t="s">
        <v>592</v>
      </c>
      <c r="G175" s="143">
        <v>15588326.58</v>
      </c>
      <c r="H175" s="4">
        <v>3</v>
      </c>
      <c r="I175" s="143">
        <v>119.58296</v>
      </c>
      <c r="J175" s="144">
        <v>1.5112440414321624</v>
      </c>
      <c r="K175" s="145">
        <v>6.8019099243151276E-2</v>
      </c>
      <c r="L175" s="146">
        <v>1</v>
      </c>
      <c r="M175" s="58">
        <v>1</v>
      </c>
      <c r="N175" s="58">
        <v>1</v>
      </c>
      <c r="O175" s="147">
        <v>1</v>
      </c>
      <c r="P175" s="148">
        <v>1.3565440111132001E-3</v>
      </c>
      <c r="Q175" s="148">
        <v>1.1272371172465E-3</v>
      </c>
      <c r="R175" s="148">
        <v>9.5038560871219002E-4</v>
      </c>
      <c r="S175" s="153">
        <v>0.20405729772945383</v>
      </c>
      <c r="T175" s="154">
        <v>1.4999999999999999E-2</v>
      </c>
      <c r="U175" s="155">
        <v>5</v>
      </c>
      <c r="V175" s="159">
        <v>0.40811459545890766</v>
      </c>
      <c r="W175" s="160">
        <v>0.03</v>
      </c>
      <c r="X175" s="161">
        <v>10</v>
      </c>
      <c r="Y175" s="165">
        <v>0.54415279394521021</v>
      </c>
      <c r="Z175" s="166">
        <v>0.06</v>
      </c>
      <c r="AA175" s="167">
        <v>15</v>
      </c>
    </row>
    <row r="176" spans="2:27" x14ac:dyDescent="0.25">
      <c r="B176" s="51" t="s">
        <v>3622</v>
      </c>
      <c r="C176" s="4" t="s">
        <v>4315</v>
      </c>
      <c r="D176" s="142" t="e">
        <v>#VALUE!</v>
      </c>
      <c r="E176" s="142" t="e">
        <v>#VALUE!</v>
      </c>
      <c r="F176" s="4" t="s">
        <v>592</v>
      </c>
      <c r="G176" s="143">
        <v>32666825.66</v>
      </c>
      <c r="H176" s="4">
        <v>1</v>
      </c>
      <c r="I176" s="143">
        <v>81.220470000000006</v>
      </c>
      <c r="J176" s="144">
        <v>0.80795767467020663</v>
      </c>
      <c r="K176" s="145">
        <v>7.1040903887663778E-2</v>
      </c>
      <c r="L176" s="146">
        <v>1</v>
      </c>
      <c r="M176" s="58">
        <v>1</v>
      </c>
      <c r="N176" s="58">
        <v>1</v>
      </c>
      <c r="O176" s="147">
        <v>1</v>
      </c>
      <c r="P176" s="148">
        <v>3.329047042768E-3</v>
      </c>
      <c r="Q176" s="148">
        <v>2.7274035841942999E-3</v>
      </c>
      <c r="R176" s="148">
        <v>2.2633898275455002E-3</v>
      </c>
      <c r="S176" s="153">
        <v>0.21312271166299135</v>
      </c>
      <c r="T176" s="154">
        <v>1.4999999999999999E-2</v>
      </c>
      <c r="U176" s="155">
        <v>5</v>
      </c>
      <c r="V176" s="159">
        <v>0.4262454233259827</v>
      </c>
      <c r="W176" s="160">
        <v>0.03</v>
      </c>
      <c r="X176" s="161">
        <v>10</v>
      </c>
      <c r="Y176" s="165">
        <v>0.56832723110131023</v>
      </c>
      <c r="Z176" s="166">
        <v>0.06</v>
      </c>
      <c r="AA176" s="167">
        <v>15</v>
      </c>
    </row>
    <row r="177" spans="2:27" x14ac:dyDescent="0.25">
      <c r="B177" s="51" t="s">
        <v>2870</v>
      </c>
      <c r="C177" s="4" t="s">
        <v>4316</v>
      </c>
      <c r="D177" s="142" t="e">
        <v>#VALUE!</v>
      </c>
      <c r="E177" s="142" t="e">
        <v>#VALUE!</v>
      </c>
      <c r="F177" s="4" t="s">
        <v>592</v>
      </c>
      <c r="G177" s="143">
        <v>13722171.300000001</v>
      </c>
      <c r="H177" s="4">
        <v>1</v>
      </c>
      <c r="I177" s="143">
        <v>49.163296000000003</v>
      </c>
      <c r="J177" s="144">
        <v>0.23007072200788473</v>
      </c>
      <c r="K177" s="145">
        <v>6.8019099243151276E-2</v>
      </c>
      <c r="L177" s="146">
        <v>1</v>
      </c>
      <c r="M177" s="58">
        <v>1</v>
      </c>
      <c r="N177" s="58">
        <v>1</v>
      </c>
      <c r="O177" s="147">
        <v>1</v>
      </c>
      <c r="P177" s="148">
        <v>3.3005733401094998E-3</v>
      </c>
      <c r="Q177" s="148">
        <v>2.6976304310693E-3</v>
      </c>
      <c r="R177" s="148">
        <v>2.2326144813707999E-3</v>
      </c>
      <c r="S177" s="153">
        <v>0.20405729772945383</v>
      </c>
      <c r="T177" s="154">
        <v>1.4999999999999999E-2</v>
      </c>
      <c r="U177" s="155">
        <v>5</v>
      </c>
      <c r="V177" s="159">
        <v>0.40811459545890766</v>
      </c>
      <c r="W177" s="160">
        <v>0.03</v>
      </c>
      <c r="X177" s="161">
        <v>10</v>
      </c>
      <c r="Y177" s="165">
        <v>0.54415279394521021</v>
      </c>
      <c r="Z177" s="166">
        <v>0.06</v>
      </c>
      <c r="AA177" s="167">
        <v>15</v>
      </c>
    </row>
    <row r="178" spans="2:27" x14ac:dyDescent="0.25">
      <c r="B178" s="51" t="s">
        <v>3621</v>
      </c>
      <c r="C178" s="4" t="s">
        <v>4317</v>
      </c>
      <c r="D178" s="142" t="e">
        <v>#VALUE!</v>
      </c>
      <c r="E178" s="142" t="e">
        <v>#VALUE!</v>
      </c>
      <c r="F178" s="4" t="s">
        <v>592</v>
      </c>
      <c r="G178" s="143">
        <v>10993390.75</v>
      </c>
      <c r="H178" s="4">
        <v>1</v>
      </c>
      <c r="I178" s="143">
        <v>160.83752000000001</v>
      </c>
      <c r="J178" s="144">
        <v>0.97087796128358606</v>
      </c>
      <c r="K178" s="145">
        <v>6.4639091090986117E-2</v>
      </c>
      <c r="L178" s="146">
        <v>1</v>
      </c>
      <c r="M178" s="58">
        <v>1</v>
      </c>
      <c r="N178" s="58">
        <v>1</v>
      </c>
      <c r="O178" s="147">
        <v>1</v>
      </c>
      <c r="P178" s="148">
        <v>2.2638376437374998E-3</v>
      </c>
      <c r="Q178" s="148">
        <v>1.8373355110072999E-3</v>
      </c>
      <c r="R178" s="148">
        <v>1.5083984071352001E-3</v>
      </c>
      <c r="S178" s="153">
        <v>0.19391727327295835</v>
      </c>
      <c r="T178" s="154">
        <v>1.4999999999999999E-2</v>
      </c>
      <c r="U178" s="155">
        <v>5</v>
      </c>
      <c r="V178" s="159">
        <v>0.3878345465459167</v>
      </c>
      <c r="W178" s="160">
        <v>0.03</v>
      </c>
      <c r="X178" s="161">
        <v>10</v>
      </c>
      <c r="Y178" s="165">
        <v>0.51711272872788894</v>
      </c>
      <c r="Z178" s="166">
        <v>0.06</v>
      </c>
      <c r="AA178" s="167">
        <v>15</v>
      </c>
    </row>
    <row r="179" spans="2:27" x14ac:dyDescent="0.25">
      <c r="B179" s="51" t="s">
        <v>3613</v>
      </c>
      <c r="C179" s="4" t="s">
        <v>4318</v>
      </c>
      <c r="D179" s="142" t="e">
        <v>#VALUE!</v>
      </c>
      <c r="E179" s="142" t="e">
        <v>#VALUE!</v>
      </c>
      <c r="F179" s="4" t="s">
        <v>592</v>
      </c>
      <c r="G179" s="143">
        <v>6646053.551</v>
      </c>
      <c r="H179" s="4">
        <v>2</v>
      </c>
      <c r="I179" s="143">
        <v>222.40593999999999</v>
      </c>
      <c r="J179" s="144">
        <v>1.3636246862018579</v>
      </c>
      <c r="K179" s="145">
        <v>6.4639091090986117E-2</v>
      </c>
      <c r="L179" s="146">
        <v>1</v>
      </c>
      <c r="M179" s="58">
        <v>1</v>
      </c>
      <c r="N179" s="58">
        <v>1</v>
      </c>
      <c r="O179" s="147">
        <v>1</v>
      </c>
      <c r="P179" s="148">
        <v>1.3972589535807E-3</v>
      </c>
      <c r="Q179" s="148">
        <v>1.1488780763154001E-3</v>
      </c>
      <c r="R179" s="148">
        <v>9.5731587731332001E-4</v>
      </c>
      <c r="S179" s="153">
        <v>0.19391727327295835</v>
      </c>
      <c r="T179" s="154">
        <v>1.4999999999999999E-2</v>
      </c>
      <c r="U179" s="155">
        <v>5</v>
      </c>
      <c r="V179" s="159">
        <v>0.3878345465459167</v>
      </c>
      <c r="W179" s="160">
        <v>0.03</v>
      </c>
      <c r="X179" s="161">
        <v>10</v>
      </c>
      <c r="Y179" s="165">
        <v>0.51711272872788894</v>
      </c>
      <c r="Z179" s="166">
        <v>0.06</v>
      </c>
      <c r="AA179" s="167">
        <v>15</v>
      </c>
    </row>
    <row r="180" spans="2:27" x14ac:dyDescent="0.25">
      <c r="B180" s="51" t="s">
        <v>2967</v>
      </c>
      <c r="C180" s="4" t="s">
        <v>4319</v>
      </c>
      <c r="D180" s="142" t="e">
        <v>#VALUE!</v>
      </c>
      <c r="E180" s="142" t="e">
        <v>#VALUE!</v>
      </c>
      <c r="F180" s="4" t="s">
        <v>592</v>
      </c>
      <c r="G180" s="143">
        <v>10545302.77</v>
      </c>
      <c r="H180" s="4">
        <v>2</v>
      </c>
      <c r="I180" s="143">
        <v>164.90906000000001</v>
      </c>
      <c r="J180" s="144">
        <v>1.3190438764958792</v>
      </c>
      <c r="K180" s="145">
        <v>7.1040903887663778E-2</v>
      </c>
      <c r="L180" s="146">
        <v>1</v>
      </c>
      <c r="M180" s="58">
        <v>1</v>
      </c>
      <c r="N180" s="58">
        <v>1</v>
      </c>
      <c r="O180" s="147">
        <v>1</v>
      </c>
      <c r="P180" s="148">
        <v>1.5711422057231E-3</v>
      </c>
      <c r="Q180" s="148">
        <v>1.3007064529175999E-3</v>
      </c>
      <c r="R180" s="148">
        <v>1.0921345690165999E-3</v>
      </c>
      <c r="S180" s="153">
        <v>0.21312271166299135</v>
      </c>
      <c r="T180" s="154">
        <v>1.4999999999999999E-2</v>
      </c>
      <c r="U180" s="155">
        <v>5</v>
      </c>
      <c r="V180" s="159">
        <v>0.4262454233259827</v>
      </c>
      <c r="W180" s="160">
        <v>0.03</v>
      </c>
      <c r="X180" s="161">
        <v>10</v>
      </c>
      <c r="Y180" s="165">
        <v>0.56832723110131023</v>
      </c>
      <c r="Z180" s="166">
        <v>0.06</v>
      </c>
      <c r="AA180" s="167">
        <v>15</v>
      </c>
    </row>
    <row r="181" spans="2:27" x14ac:dyDescent="0.25">
      <c r="B181" s="51" t="s">
        <v>3158</v>
      </c>
      <c r="C181" s="4" t="s">
        <v>4320</v>
      </c>
      <c r="D181" s="142" t="e">
        <v>#VALUE!</v>
      </c>
      <c r="E181" s="142" t="e">
        <v>#VALUE!</v>
      </c>
      <c r="F181" s="4" t="s">
        <v>592</v>
      </c>
      <c r="G181" s="143">
        <v>11200726.789999999</v>
      </c>
      <c r="H181" s="4">
        <v>1</v>
      </c>
      <c r="I181" s="143">
        <v>173.48074</v>
      </c>
      <c r="J181" s="144">
        <v>0.80638702126621309</v>
      </c>
      <c r="K181" s="145">
        <v>7.1040903887663778E-2</v>
      </c>
      <c r="L181" s="146">
        <v>1</v>
      </c>
      <c r="M181" s="58">
        <v>1</v>
      </c>
      <c r="N181" s="58">
        <v>1</v>
      </c>
      <c r="O181" s="147">
        <v>1</v>
      </c>
      <c r="P181" s="148">
        <v>2.8297005492103999E-3</v>
      </c>
      <c r="Q181" s="148">
        <v>2.3141136196269999E-3</v>
      </c>
      <c r="R181" s="148">
        <v>1.9164704230364999E-3</v>
      </c>
      <c r="S181" s="153">
        <v>0.21312271166299135</v>
      </c>
      <c r="T181" s="154">
        <v>1.4999999999999999E-2</v>
      </c>
      <c r="U181" s="155">
        <v>5</v>
      </c>
      <c r="V181" s="159">
        <v>0.4262454233259827</v>
      </c>
      <c r="W181" s="160">
        <v>0.03</v>
      </c>
      <c r="X181" s="161">
        <v>10</v>
      </c>
      <c r="Y181" s="165">
        <v>0.56832723110131023</v>
      </c>
      <c r="Z181" s="166">
        <v>0.06</v>
      </c>
      <c r="AA181" s="167">
        <v>15</v>
      </c>
    </row>
    <row r="182" spans="2:27" x14ac:dyDescent="0.25">
      <c r="B182" s="51" t="s">
        <v>3612</v>
      </c>
      <c r="C182" s="4" t="s">
        <v>4321</v>
      </c>
      <c r="D182" s="142" t="e">
        <v>#VALUE!</v>
      </c>
      <c r="E182" s="142" t="e">
        <v>#VALUE!</v>
      </c>
      <c r="F182" s="4" t="s">
        <v>592</v>
      </c>
      <c r="G182" s="143">
        <v>10017145.189999999</v>
      </c>
      <c r="H182" s="4">
        <v>3</v>
      </c>
      <c r="I182" s="143">
        <v>138.05032</v>
      </c>
      <c r="J182" s="144">
        <v>1.5136789012134355</v>
      </c>
      <c r="K182" s="145">
        <v>7.1040903887663778E-2</v>
      </c>
      <c r="L182" s="146">
        <v>1</v>
      </c>
      <c r="M182" s="58">
        <v>1</v>
      </c>
      <c r="N182" s="58">
        <v>1</v>
      </c>
      <c r="O182" s="147">
        <v>1</v>
      </c>
      <c r="P182" s="148">
        <v>1.2450134467647E-3</v>
      </c>
      <c r="Q182" s="148">
        <v>1.0523681176705E-3</v>
      </c>
      <c r="R182" s="148">
        <v>9.0379161180147995E-4</v>
      </c>
      <c r="S182" s="153">
        <v>0.21312271166299135</v>
      </c>
      <c r="T182" s="154">
        <v>1.4999999999999999E-2</v>
      </c>
      <c r="U182" s="155">
        <v>5</v>
      </c>
      <c r="V182" s="159">
        <v>0.4262454233259827</v>
      </c>
      <c r="W182" s="160">
        <v>0.03</v>
      </c>
      <c r="X182" s="161">
        <v>10</v>
      </c>
      <c r="Y182" s="165">
        <v>0.56832723110131023</v>
      </c>
      <c r="Z182" s="166">
        <v>0.06</v>
      </c>
      <c r="AA182" s="167">
        <v>15</v>
      </c>
    </row>
    <row r="183" spans="2:27" x14ac:dyDescent="0.25">
      <c r="B183" s="51" t="s">
        <v>3611</v>
      </c>
      <c r="C183" s="4" t="s">
        <v>4322</v>
      </c>
      <c r="D183" s="142" t="e">
        <v>#VALUE!</v>
      </c>
      <c r="E183" s="142" t="e">
        <v>#VALUE!</v>
      </c>
      <c r="F183" s="4" t="s">
        <v>592</v>
      </c>
      <c r="G183" s="143">
        <v>19182754.859999999</v>
      </c>
      <c r="H183" s="4">
        <v>2</v>
      </c>
      <c r="I183" s="143">
        <v>163.47855000000001</v>
      </c>
      <c r="J183" s="144">
        <v>1.1540444288373479</v>
      </c>
      <c r="K183" s="145">
        <v>7.1040903887663778E-2</v>
      </c>
      <c r="L183" s="146">
        <v>1</v>
      </c>
      <c r="M183" s="58">
        <v>1</v>
      </c>
      <c r="N183" s="58">
        <v>1</v>
      </c>
      <c r="O183" s="147">
        <v>1</v>
      </c>
      <c r="P183" s="148">
        <v>2.4073078802077002E-3</v>
      </c>
      <c r="Q183" s="148">
        <v>1.9682969363110001E-3</v>
      </c>
      <c r="R183" s="148">
        <v>1.6297124900172E-3</v>
      </c>
      <c r="S183" s="153">
        <v>0.21312271166299135</v>
      </c>
      <c r="T183" s="154">
        <v>1.4999999999999999E-2</v>
      </c>
      <c r="U183" s="155">
        <v>5</v>
      </c>
      <c r="V183" s="159">
        <v>0.4262454233259827</v>
      </c>
      <c r="W183" s="160">
        <v>0.03</v>
      </c>
      <c r="X183" s="161">
        <v>10</v>
      </c>
      <c r="Y183" s="165">
        <v>0.56832723110131023</v>
      </c>
      <c r="Z183" s="166">
        <v>0.06</v>
      </c>
      <c r="AA183" s="167">
        <v>15</v>
      </c>
    </row>
    <row r="184" spans="2:27" x14ac:dyDescent="0.25">
      <c r="B184" s="51" t="s">
        <v>3439</v>
      </c>
      <c r="C184" s="4" t="s">
        <v>4323</v>
      </c>
      <c r="D184" s="142" t="e">
        <v>#VALUE!</v>
      </c>
      <c r="E184" s="142" t="e">
        <v>#VALUE!</v>
      </c>
      <c r="F184" s="4" t="s">
        <v>592</v>
      </c>
      <c r="G184" s="143">
        <v>63661150.890000001</v>
      </c>
      <c r="H184" s="4">
        <v>3</v>
      </c>
      <c r="I184" s="143">
        <v>130.07249999999999</v>
      </c>
      <c r="J184" s="144">
        <v>1.5622307733078464</v>
      </c>
      <c r="K184" s="145">
        <v>6.8019099243151276E-2</v>
      </c>
      <c r="L184" s="146">
        <v>1</v>
      </c>
      <c r="M184" s="58">
        <v>1</v>
      </c>
      <c r="N184" s="58">
        <v>1</v>
      </c>
      <c r="O184" s="147">
        <v>1</v>
      </c>
      <c r="P184" s="148">
        <v>2.4615398004312001E-3</v>
      </c>
      <c r="Q184" s="148">
        <v>2.0057833030252001E-3</v>
      </c>
      <c r="R184" s="148">
        <v>1.6542839532610999E-3</v>
      </c>
      <c r="S184" s="153">
        <v>0.20405729772945383</v>
      </c>
      <c r="T184" s="154">
        <v>1.4999999999999999E-2</v>
      </c>
      <c r="U184" s="155">
        <v>5</v>
      </c>
      <c r="V184" s="159">
        <v>0.40811459545890766</v>
      </c>
      <c r="W184" s="160">
        <v>0.03</v>
      </c>
      <c r="X184" s="161">
        <v>10</v>
      </c>
      <c r="Y184" s="165">
        <v>0.54415279394521021</v>
      </c>
      <c r="Z184" s="166">
        <v>0.06</v>
      </c>
      <c r="AA184" s="167">
        <v>15</v>
      </c>
    </row>
    <row r="185" spans="2:27" x14ac:dyDescent="0.25">
      <c r="B185" s="51" t="s">
        <v>3147</v>
      </c>
      <c r="C185" s="4" t="s">
        <v>4324</v>
      </c>
      <c r="D185" s="142" t="e">
        <v>#VALUE!</v>
      </c>
      <c r="E185" s="142" t="e">
        <v>#VALUE!</v>
      </c>
      <c r="F185" s="4" t="s">
        <v>592</v>
      </c>
      <c r="G185" s="143">
        <v>28930808.57</v>
      </c>
      <c r="H185" s="4">
        <v>2</v>
      </c>
      <c r="I185" s="143">
        <v>102.01896000000001</v>
      </c>
      <c r="J185" s="144">
        <v>1.2130388798925755</v>
      </c>
      <c r="K185" s="145">
        <v>7.1040903887663778E-2</v>
      </c>
      <c r="L185" s="146">
        <v>1</v>
      </c>
      <c r="M185" s="58">
        <v>1</v>
      </c>
      <c r="N185" s="58">
        <v>1</v>
      </c>
      <c r="O185" s="147">
        <v>1</v>
      </c>
      <c r="P185" s="148">
        <v>2.1893163360661998E-3</v>
      </c>
      <c r="Q185" s="148">
        <v>1.7916131289945E-3</v>
      </c>
      <c r="R185" s="148">
        <v>1.484887016519E-3</v>
      </c>
      <c r="S185" s="153">
        <v>0.21312271166299135</v>
      </c>
      <c r="T185" s="154">
        <v>1.4999999999999999E-2</v>
      </c>
      <c r="U185" s="155">
        <v>5</v>
      </c>
      <c r="V185" s="159">
        <v>0.4262454233259827</v>
      </c>
      <c r="W185" s="160">
        <v>0.03</v>
      </c>
      <c r="X185" s="161">
        <v>10</v>
      </c>
      <c r="Y185" s="165">
        <v>0.56832723110131023</v>
      </c>
      <c r="Z185" s="166">
        <v>0.06</v>
      </c>
      <c r="AA185" s="167">
        <v>15</v>
      </c>
    </row>
    <row r="186" spans="2:27" x14ac:dyDescent="0.25">
      <c r="B186" s="51" t="s">
        <v>2256</v>
      </c>
      <c r="C186" s="4" t="s">
        <v>4325</v>
      </c>
      <c r="D186" s="142" t="e">
        <v>#VALUE!</v>
      </c>
      <c r="E186" s="142" t="e">
        <v>#VALUE!</v>
      </c>
      <c r="F186" s="4" t="s">
        <v>592</v>
      </c>
      <c r="G186" s="143">
        <v>13163013.42</v>
      </c>
      <c r="H186" s="4">
        <v>1</v>
      </c>
      <c r="I186" s="143">
        <v>195.73792</v>
      </c>
      <c r="J186" s="144">
        <v>1.0892133551691545</v>
      </c>
      <c r="K186" s="145">
        <v>7.1040903887663778E-2</v>
      </c>
      <c r="L186" s="146">
        <v>1</v>
      </c>
      <c r="M186" s="58">
        <v>1</v>
      </c>
      <c r="N186" s="58">
        <v>1</v>
      </c>
      <c r="O186" s="147">
        <v>1</v>
      </c>
      <c r="P186" s="148">
        <v>2.3530878057780999E-3</v>
      </c>
      <c r="Q186" s="148">
        <v>1.924221835759E-3</v>
      </c>
      <c r="R186" s="148">
        <v>1.5934616371537E-3</v>
      </c>
      <c r="S186" s="153">
        <v>0.21312271166299135</v>
      </c>
      <c r="T186" s="154">
        <v>1.4999999999999999E-2</v>
      </c>
      <c r="U186" s="155">
        <v>5</v>
      </c>
      <c r="V186" s="159">
        <v>0.4262454233259827</v>
      </c>
      <c r="W186" s="160">
        <v>0.03</v>
      </c>
      <c r="X186" s="161">
        <v>10</v>
      </c>
      <c r="Y186" s="165">
        <v>0.56832723110131023</v>
      </c>
      <c r="Z186" s="166">
        <v>0.06</v>
      </c>
      <c r="AA186" s="167">
        <v>15</v>
      </c>
    </row>
    <row r="187" spans="2:27" x14ac:dyDescent="0.25">
      <c r="B187" s="51" t="s">
        <v>3610</v>
      </c>
      <c r="C187" s="4" t="s">
        <v>4326</v>
      </c>
      <c r="D187" s="142" t="e">
        <v>#VALUE!</v>
      </c>
      <c r="E187" s="142" t="e">
        <v>#VALUE!</v>
      </c>
      <c r="F187" s="4" t="s">
        <v>592</v>
      </c>
      <c r="G187" s="143">
        <v>39291086.079999998</v>
      </c>
      <c r="H187" s="4">
        <v>3</v>
      </c>
      <c r="I187" s="143">
        <v>188.25339</v>
      </c>
      <c r="J187" s="144">
        <v>1.532401599067692</v>
      </c>
      <c r="K187" s="145">
        <v>7.1040903887663778E-2</v>
      </c>
      <c r="L187" s="146">
        <v>1</v>
      </c>
      <c r="M187" s="58">
        <v>1</v>
      </c>
      <c r="N187" s="58">
        <v>1</v>
      </c>
      <c r="O187" s="147">
        <v>1</v>
      </c>
      <c r="P187" s="148">
        <v>2.3921392117729999E-3</v>
      </c>
      <c r="Q187" s="148">
        <v>1.9559583258556999E-3</v>
      </c>
      <c r="R187" s="148">
        <v>1.6195565440883001E-3</v>
      </c>
      <c r="S187" s="153">
        <v>0.21312271166299135</v>
      </c>
      <c r="T187" s="154">
        <v>1.4999999999999999E-2</v>
      </c>
      <c r="U187" s="155">
        <v>5</v>
      </c>
      <c r="V187" s="159">
        <v>0.4262454233259827</v>
      </c>
      <c r="W187" s="160">
        <v>0.03</v>
      </c>
      <c r="X187" s="161">
        <v>10</v>
      </c>
      <c r="Y187" s="165">
        <v>0.56832723110131023</v>
      </c>
      <c r="Z187" s="166">
        <v>0.06</v>
      </c>
      <c r="AA187" s="167">
        <v>15</v>
      </c>
    </row>
    <row r="188" spans="2:27" x14ac:dyDescent="0.25">
      <c r="B188" s="51" t="s">
        <v>2307</v>
      </c>
      <c r="C188" s="4" t="s">
        <v>4327</v>
      </c>
      <c r="D188" s="142" t="e">
        <v>#VALUE!</v>
      </c>
      <c r="E188" s="142" t="e">
        <v>#VALUE!</v>
      </c>
      <c r="F188" s="4" t="s">
        <v>592</v>
      </c>
      <c r="G188" s="143">
        <v>14773931.960000001</v>
      </c>
      <c r="H188" s="4">
        <v>1</v>
      </c>
      <c r="I188" s="143">
        <v>60.784737</v>
      </c>
      <c r="J188" s="144">
        <v>0.3402661670195708</v>
      </c>
      <c r="K188" s="145">
        <v>6.8019099243151276E-2</v>
      </c>
      <c r="L188" s="146">
        <v>1</v>
      </c>
      <c r="M188" s="58">
        <v>1</v>
      </c>
      <c r="N188" s="58">
        <v>1</v>
      </c>
      <c r="O188" s="147">
        <v>1</v>
      </c>
      <c r="P188" s="148">
        <v>3.3574688317263E-3</v>
      </c>
      <c r="Q188" s="148">
        <v>2.7449760142798001E-3</v>
      </c>
      <c r="R188" s="148">
        <v>2.2725947574178998E-3</v>
      </c>
      <c r="S188" s="153">
        <v>0.20405729772945383</v>
      </c>
      <c r="T188" s="154">
        <v>1.4999999999999999E-2</v>
      </c>
      <c r="U188" s="155">
        <v>5</v>
      </c>
      <c r="V188" s="159">
        <v>0.40811459545890766</v>
      </c>
      <c r="W188" s="160">
        <v>0.03</v>
      </c>
      <c r="X188" s="161">
        <v>10</v>
      </c>
      <c r="Y188" s="165">
        <v>0.54415279394521021</v>
      </c>
      <c r="Z188" s="166">
        <v>0.06</v>
      </c>
      <c r="AA188" s="167">
        <v>15</v>
      </c>
    </row>
    <row r="189" spans="2:27" x14ac:dyDescent="0.25">
      <c r="B189" s="51" t="s">
        <v>2963</v>
      </c>
      <c r="C189" s="4" t="s">
        <v>4328</v>
      </c>
      <c r="D189" s="142" t="e">
        <v>#VALUE!</v>
      </c>
      <c r="E189" s="142" t="e">
        <v>#VALUE!</v>
      </c>
      <c r="F189" s="4" t="s">
        <v>592</v>
      </c>
      <c r="G189" s="143">
        <v>26260515.98</v>
      </c>
      <c r="H189" s="4">
        <v>2</v>
      </c>
      <c r="I189" s="143">
        <v>157.06664000000001</v>
      </c>
      <c r="J189" s="144">
        <v>1.333243371022349</v>
      </c>
      <c r="K189" s="145">
        <v>7.1040903887663778E-2</v>
      </c>
      <c r="L189" s="146">
        <v>1</v>
      </c>
      <c r="M189" s="58">
        <v>1</v>
      </c>
      <c r="N189" s="58">
        <v>1</v>
      </c>
      <c r="O189" s="147">
        <v>1</v>
      </c>
      <c r="P189" s="148">
        <v>2.2520717976287998E-3</v>
      </c>
      <c r="Q189" s="148">
        <v>1.8423305719815E-3</v>
      </c>
      <c r="R189" s="148">
        <v>1.5263202129274E-3</v>
      </c>
      <c r="S189" s="153">
        <v>0.21312271166299135</v>
      </c>
      <c r="T189" s="154">
        <v>1.4999999999999999E-2</v>
      </c>
      <c r="U189" s="155">
        <v>5</v>
      </c>
      <c r="V189" s="159">
        <v>0.4262454233259827</v>
      </c>
      <c r="W189" s="160">
        <v>0.03</v>
      </c>
      <c r="X189" s="161">
        <v>10</v>
      </c>
      <c r="Y189" s="165">
        <v>0.56832723110131023</v>
      </c>
      <c r="Z189" s="166">
        <v>0.06</v>
      </c>
      <c r="AA189" s="167">
        <v>15</v>
      </c>
    </row>
    <row r="190" spans="2:27" x14ac:dyDescent="0.25">
      <c r="B190" s="51" t="s">
        <v>2931</v>
      </c>
      <c r="C190" s="4" t="s">
        <v>4329</v>
      </c>
      <c r="D190" s="142" t="e">
        <v>#VALUE!</v>
      </c>
      <c r="E190" s="142" t="e">
        <v>#VALUE!</v>
      </c>
      <c r="F190" s="4" t="s">
        <v>592</v>
      </c>
      <c r="G190" s="143">
        <v>43422352.670000002</v>
      </c>
      <c r="H190" s="4">
        <v>1</v>
      </c>
      <c r="I190" s="143">
        <v>106.42411</v>
      </c>
      <c r="J190" s="144">
        <v>1.1027211695436132</v>
      </c>
      <c r="K190" s="145">
        <v>7.1040903887663778E-2</v>
      </c>
      <c r="L190" s="146">
        <v>1</v>
      </c>
      <c r="M190" s="58">
        <v>1</v>
      </c>
      <c r="N190" s="58">
        <v>1</v>
      </c>
      <c r="O190" s="147">
        <v>1</v>
      </c>
      <c r="P190" s="148">
        <v>3.1177716125284E-3</v>
      </c>
      <c r="Q190" s="148">
        <v>2.5520349683706999E-3</v>
      </c>
      <c r="R190" s="148">
        <v>2.1157141178924999E-3</v>
      </c>
      <c r="S190" s="153">
        <v>0.21312271166299135</v>
      </c>
      <c r="T190" s="154">
        <v>1.4999999999999999E-2</v>
      </c>
      <c r="U190" s="155">
        <v>5</v>
      </c>
      <c r="V190" s="159">
        <v>0.4262454233259827</v>
      </c>
      <c r="W190" s="160">
        <v>0.03</v>
      </c>
      <c r="X190" s="161">
        <v>10</v>
      </c>
      <c r="Y190" s="165">
        <v>0.56832723110131023</v>
      </c>
      <c r="Z190" s="166">
        <v>0.06</v>
      </c>
      <c r="AA190" s="167">
        <v>15</v>
      </c>
    </row>
    <row r="191" spans="2:27" x14ac:dyDescent="0.25">
      <c r="B191" s="51" t="s">
        <v>2564</v>
      </c>
      <c r="C191" s="4" t="s">
        <v>4330</v>
      </c>
      <c r="D191" s="142" t="e">
        <v>#VALUE!</v>
      </c>
      <c r="E191" s="142" t="e">
        <v>#VALUE!</v>
      </c>
      <c r="F191" s="4" t="s">
        <v>592</v>
      </c>
      <c r="G191" s="143">
        <v>4391874.7300000004</v>
      </c>
      <c r="H191" s="4">
        <v>3</v>
      </c>
      <c r="I191" s="143">
        <v>190.81022999999999</v>
      </c>
      <c r="J191" s="144">
        <v>1.7715649720603726</v>
      </c>
      <c r="K191" s="145">
        <v>7.1040903887663778E-2</v>
      </c>
      <c r="L191" s="146">
        <v>1</v>
      </c>
      <c r="M191" s="58">
        <v>1</v>
      </c>
      <c r="N191" s="58">
        <v>1</v>
      </c>
      <c r="O191" s="147">
        <v>1</v>
      </c>
      <c r="P191" s="148">
        <v>9.6774234427900998E-4</v>
      </c>
      <c r="Q191" s="148">
        <v>8.5633647106158998E-4</v>
      </c>
      <c r="R191" s="148">
        <v>6.2468796934451998E-4</v>
      </c>
      <c r="S191" s="153">
        <v>0.21312271166299135</v>
      </c>
      <c r="T191" s="154">
        <v>1.4999999999999999E-2</v>
      </c>
      <c r="U191" s="155">
        <v>5</v>
      </c>
      <c r="V191" s="159">
        <v>0.4262454233259827</v>
      </c>
      <c r="W191" s="160">
        <v>0.03</v>
      </c>
      <c r="X191" s="161">
        <v>10</v>
      </c>
      <c r="Y191" s="165">
        <v>0.56832723110131023</v>
      </c>
      <c r="Z191" s="166">
        <v>0.06</v>
      </c>
      <c r="AA191" s="167">
        <v>15</v>
      </c>
    </row>
    <row r="192" spans="2:27" x14ac:dyDescent="0.25">
      <c r="B192" s="51" t="s">
        <v>2257</v>
      </c>
      <c r="C192" s="4" t="s">
        <v>4331</v>
      </c>
      <c r="D192" s="142" t="e">
        <v>#VALUE!</v>
      </c>
      <c r="E192" s="142" t="e">
        <v>#VALUE!</v>
      </c>
      <c r="F192" s="4" t="s">
        <v>592</v>
      </c>
      <c r="G192" s="143">
        <v>23313190.43</v>
      </c>
      <c r="H192" s="4">
        <v>1</v>
      </c>
      <c r="I192" s="143">
        <v>66.052539999999993</v>
      </c>
      <c r="J192" s="144">
        <v>0.8864059344062617</v>
      </c>
      <c r="K192" s="145">
        <v>6.8019099243151276E-2</v>
      </c>
      <c r="L192" s="146">
        <v>1</v>
      </c>
      <c r="M192" s="58">
        <v>1</v>
      </c>
      <c r="N192" s="58">
        <v>1</v>
      </c>
      <c r="O192" s="147">
        <v>1</v>
      </c>
      <c r="P192" s="148">
        <v>2.3128416121821998E-3</v>
      </c>
      <c r="Q192" s="148">
        <v>1.8847370642953E-3</v>
      </c>
      <c r="R192" s="148">
        <v>1.5545641077499E-3</v>
      </c>
      <c r="S192" s="153">
        <v>0.20405729772945383</v>
      </c>
      <c r="T192" s="154">
        <v>1.4999999999999999E-2</v>
      </c>
      <c r="U192" s="155">
        <v>5</v>
      </c>
      <c r="V192" s="159">
        <v>0.40811459545890766</v>
      </c>
      <c r="W192" s="160">
        <v>0.03</v>
      </c>
      <c r="X192" s="161">
        <v>10</v>
      </c>
      <c r="Y192" s="165">
        <v>0.54415279394521021</v>
      </c>
      <c r="Z192" s="166">
        <v>0.06</v>
      </c>
      <c r="AA192" s="167">
        <v>15</v>
      </c>
    </row>
    <row r="193" spans="2:27" x14ac:dyDescent="0.25">
      <c r="B193" s="51" t="s">
        <v>3609</v>
      </c>
      <c r="C193" s="4" t="s">
        <v>4332</v>
      </c>
      <c r="D193" s="142" t="e">
        <v>#VALUE!</v>
      </c>
      <c r="E193" s="142" t="e">
        <v>#VALUE!</v>
      </c>
      <c r="F193" s="4" t="s">
        <v>592</v>
      </c>
      <c r="G193" s="143">
        <v>54081555.439999998</v>
      </c>
      <c r="H193" s="4">
        <v>2</v>
      </c>
      <c r="I193" s="143">
        <v>796.88775999999996</v>
      </c>
      <c r="J193" s="144">
        <v>1.2273133952889654</v>
      </c>
      <c r="K193" s="145">
        <v>6.4639091090986117E-2</v>
      </c>
      <c r="L193" s="146">
        <v>1</v>
      </c>
      <c r="M193" s="58">
        <v>1</v>
      </c>
      <c r="N193" s="58">
        <v>1</v>
      </c>
      <c r="O193" s="147">
        <v>1</v>
      </c>
      <c r="P193" s="148">
        <v>2.7108848601585999E-3</v>
      </c>
      <c r="Q193" s="148">
        <v>2.2027621246765001E-3</v>
      </c>
      <c r="R193" s="148">
        <v>1.8108756411291001E-3</v>
      </c>
      <c r="S193" s="153">
        <v>0.19391727327295835</v>
      </c>
      <c r="T193" s="154">
        <v>1.4999999999999999E-2</v>
      </c>
      <c r="U193" s="155">
        <v>5</v>
      </c>
      <c r="V193" s="159">
        <v>0.3878345465459167</v>
      </c>
      <c r="W193" s="160">
        <v>0.03</v>
      </c>
      <c r="X193" s="161">
        <v>10</v>
      </c>
      <c r="Y193" s="165">
        <v>0.51711272872788894</v>
      </c>
      <c r="Z193" s="166">
        <v>0.06</v>
      </c>
      <c r="AA193" s="167">
        <v>15</v>
      </c>
    </row>
    <row r="194" spans="2:27" x14ac:dyDescent="0.25">
      <c r="B194" s="51" t="s">
        <v>3157</v>
      </c>
      <c r="C194" s="4" t="s">
        <v>4333</v>
      </c>
      <c r="D194" s="142" t="e">
        <v>#VALUE!</v>
      </c>
      <c r="E194" s="142" t="e">
        <v>#VALUE!</v>
      </c>
      <c r="F194" s="4" t="s">
        <v>592</v>
      </c>
      <c r="G194" s="143">
        <v>55602034.439999998</v>
      </c>
      <c r="H194" s="4">
        <v>3</v>
      </c>
      <c r="I194" s="143">
        <v>123.87141</v>
      </c>
      <c r="J194" s="144">
        <v>1.5473049323882551</v>
      </c>
      <c r="K194" s="145">
        <v>5.1439675917702869E-2</v>
      </c>
      <c r="L194" s="146">
        <v>1</v>
      </c>
      <c r="M194" s="58">
        <v>1</v>
      </c>
      <c r="N194" s="58">
        <v>1</v>
      </c>
      <c r="O194" s="147">
        <v>1</v>
      </c>
      <c r="P194" s="148">
        <v>2.4290665485677998E-3</v>
      </c>
      <c r="Q194" s="148">
        <v>1.9430696098658999E-3</v>
      </c>
      <c r="R194" s="148">
        <v>1.5682475087805E-3</v>
      </c>
      <c r="S194" s="153">
        <v>0.1543190277531086</v>
      </c>
      <c r="T194" s="154">
        <v>1.4999999999999999E-2</v>
      </c>
      <c r="U194" s="155">
        <v>5</v>
      </c>
      <c r="V194" s="159">
        <v>0.3086380555062172</v>
      </c>
      <c r="W194" s="160">
        <v>0.03</v>
      </c>
      <c r="X194" s="161">
        <v>10</v>
      </c>
      <c r="Y194" s="165">
        <v>0.41151740734162295</v>
      </c>
      <c r="Z194" s="166">
        <v>0.06</v>
      </c>
      <c r="AA194" s="167">
        <v>15</v>
      </c>
    </row>
    <row r="195" spans="2:27" x14ac:dyDescent="0.25">
      <c r="B195" s="51" t="s">
        <v>2308</v>
      </c>
      <c r="C195" s="4" t="s">
        <v>4334</v>
      </c>
      <c r="D195" s="142" t="e">
        <v>#VALUE!</v>
      </c>
      <c r="E195" s="142" t="e">
        <v>#VALUE!</v>
      </c>
      <c r="F195" s="4" t="s">
        <v>592</v>
      </c>
      <c r="G195" s="143">
        <v>236752273.09999999</v>
      </c>
      <c r="H195" s="4">
        <v>1</v>
      </c>
      <c r="I195" s="143">
        <v>5.5803113</v>
      </c>
      <c r="J195" s="144">
        <v>0.65399344109870106</v>
      </c>
      <c r="K195" s="145">
        <v>6.4639091090986117E-2</v>
      </c>
      <c r="L195" s="146">
        <v>1</v>
      </c>
      <c r="M195" s="58">
        <v>1</v>
      </c>
      <c r="N195" s="58">
        <v>1</v>
      </c>
      <c r="O195" s="147">
        <v>1</v>
      </c>
      <c r="P195" s="148">
        <v>2.8414672346218999E-3</v>
      </c>
      <c r="Q195" s="148">
        <v>2.3103242666594999E-3</v>
      </c>
      <c r="R195" s="148">
        <v>1.9006835727074E-3</v>
      </c>
      <c r="S195" s="153">
        <v>0.19391727327295835</v>
      </c>
      <c r="T195" s="154">
        <v>1.4999999999999999E-2</v>
      </c>
      <c r="U195" s="155">
        <v>5</v>
      </c>
      <c r="V195" s="159">
        <v>0.3878345465459167</v>
      </c>
      <c r="W195" s="160">
        <v>0.03</v>
      </c>
      <c r="X195" s="161">
        <v>10</v>
      </c>
      <c r="Y195" s="165">
        <v>0.51711272872788894</v>
      </c>
      <c r="Z195" s="166">
        <v>0.06</v>
      </c>
      <c r="AA195" s="167">
        <v>15</v>
      </c>
    </row>
    <row r="196" spans="2:27" x14ac:dyDescent="0.25">
      <c r="B196" s="51" t="s">
        <v>2557</v>
      </c>
      <c r="C196" s="4" t="s">
        <v>4335</v>
      </c>
      <c r="D196" s="142" t="e">
        <v>#VALUE!</v>
      </c>
      <c r="E196" s="142" t="e">
        <v>#VALUE!</v>
      </c>
      <c r="F196" s="4" t="s">
        <v>592</v>
      </c>
      <c r="G196" s="143">
        <v>9275786.7740000002</v>
      </c>
      <c r="H196" s="4">
        <v>1</v>
      </c>
      <c r="I196" s="143">
        <v>82.313649999999996</v>
      </c>
      <c r="J196" s="144">
        <v>0.84018072327973869</v>
      </c>
      <c r="K196" s="145">
        <v>6.4639091090986117E-2</v>
      </c>
      <c r="L196" s="146">
        <v>1</v>
      </c>
      <c r="M196" s="58">
        <v>1</v>
      </c>
      <c r="N196" s="58">
        <v>1</v>
      </c>
      <c r="O196" s="147">
        <v>1</v>
      </c>
      <c r="P196" s="148">
        <v>1.7522567412889001E-3</v>
      </c>
      <c r="Q196" s="148">
        <v>1.4264819347894E-3</v>
      </c>
      <c r="R196" s="148">
        <v>1.1752301516424E-3</v>
      </c>
      <c r="S196" s="153">
        <v>0.19391727327295835</v>
      </c>
      <c r="T196" s="154">
        <v>1.4999999999999999E-2</v>
      </c>
      <c r="U196" s="155">
        <v>5</v>
      </c>
      <c r="V196" s="159">
        <v>0.3878345465459167</v>
      </c>
      <c r="W196" s="160">
        <v>0.03</v>
      </c>
      <c r="X196" s="161">
        <v>10</v>
      </c>
      <c r="Y196" s="165">
        <v>0.51711272872788894</v>
      </c>
      <c r="Z196" s="166">
        <v>0.06</v>
      </c>
      <c r="AA196" s="167">
        <v>15</v>
      </c>
    </row>
    <row r="197" spans="2:27" x14ac:dyDescent="0.25">
      <c r="B197" s="51" t="s">
        <v>2553</v>
      </c>
      <c r="C197" s="4" t="s">
        <v>4336</v>
      </c>
      <c r="D197" s="142" t="e">
        <v>#VALUE!</v>
      </c>
      <c r="E197" s="142" t="e">
        <v>#VALUE!</v>
      </c>
      <c r="F197" s="4" t="s">
        <v>592</v>
      </c>
      <c r="G197" s="143">
        <v>52028687.770000003</v>
      </c>
      <c r="H197" s="4">
        <v>1</v>
      </c>
      <c r="I197" s="143">
        <v>81.951409999999996</v>
      </c>
      <c r="J197" s="144">
        <v>1.1097958208808678</v>
      </c>
      <c r="K197" s="145">
        <v>6.4639091090986117E-2</v>
      </c>
      <c r="L197" s="146">
        <v>1</v>
      </c>
      <c r="M197" s="58">
        <v>1</v>
      </c>
      <c r="N197" s="58">
        <v>1</v>
      </c>
      <c r="O197" s="147">
        <v>1</v>
      </c>
      <c r="P197" s="148">
        <v>3.0337363000279998E-3</v>
      </c>
      <c r="Q197" s="148">
        <v>2.4692624690827E-3</v>
      </c>
      <c r="R197" s="148">
        <v>2.0339155554009998E-3</v>
      </c>
      <c r="S197" s="153">
        <v>0.19391727327295835</v>
      </c>
      <c r="T197" s="154">
        <v>1.4999999999999999E-2</v>
      </c>
      <c r="U197" s="155">
        <v>5</v>
      </c>
      <c r="V197" s="159">
        <v>0.3878345465459167</v>
      </c>
      <c r="W197" s="160">
        <v>0.03</v>
      </c>
      <c r="X197" s="161">
        <v>10</v>
      </c>
      <c r="Y197" s="165">
        <v>0.51711272872788894</v>
      </c>
      <c r="Z197" s="166">
        <v>0.06</v>
      </c>
      <c r="AA197" s="167">
        <v>15</v>
      </c>
    </row>
    <row r="198" spans="2:27" x14ac:dyDescent="0.25">
      <c r="B198" s="51" t="s">
        <v>3156</v>
      </c>
      <c r="C198" s="4" t="s">
        <v>4337</v>
      </c>
      <c r="D198" s="142" t="e">
        <v>#VALUE!</v>
      </c>
      <c r="E198" s="142" t="e">
        <v>#VALUE!</v>
      </c>
      <c r="F198" s="4" t="s">
        <v>592</v>
      </c>
      <c r="G198" s="143">
        <v>30096902.440000001</v>
      </c>
      <c r="H198" s="4">
        <v>1</v>
      </c>
      <c r="I198" s="143">
        <v>133.1378</v>
      </c>
      <c r="J198" s="144">
        <v>1.0357408194154791</v>
      </c>
      <c r="K198" s="145">
        <v>6.4639091090986117E-2</v>
      </c>
      <c r="L198" s="146">
        <v>1</v>
      </c>
      <c r="M198" s="58">
        <v>1</v>
      </c>
      <c r="N198" s="58">
        <v>1</v>
      </c>
      <c r="O198" s="147">
        <v>1</v>
      </c>
      <c r="P198" s="148">
        <v>3.2190746496482E-3</v>
      </c>
      <c r="Q198" s="148">
        <v>2.6230447358248999E-3</v>
      </c>
      <c r="R198" s="148">
        <v>2.1633603904753999E-3</v>
      </c>
      <c r="S198" s="153">
        <v>0.19391727327295835</v>
      </c>
      <c r="T198" s="154">
        <v>1.4999999999999999E-2</v>
      </c>
      <c r="U198" s="155">
        <v>5</v>
      </c>
      <c r="V198" s="159">
        <v>0.3878345465459167</v>
      </c>
      <c r="W198" s="160">
        <v>0.03</v>
      </c>
      <c r="X198" s="161">
        <v>10</v>
      </c>
      <c r="Y198" s="165">
        <v>0.51711272872788894</v>
      </c>
      <c r="Z198" s="166">
        <v>0.06</v>
      </c>
      <c r="AA198" s="167">
        <v>15</v>
      </c>
    </row>
    <row r="199" spans="2:27" x14ac:dyDescent="0.25">
      <c r="B199" s="51" t="s">
        <v>3145</v>
      </c>
      <c r="C199" s="4" t="s">
        <v>4338</v>
      </c>
      <c r="D199" s="142" t="e">
        <v>#VALUE!</v>
      </c>
      <c r="E199" s="142" t="e">
        <v>#VALUE!</v>
      </c>
      <c r="F199" s="4" t="s">
        <v>592</v>
      </c>
      <c r="G199" s="143">
        <v>37085881.740000002</v>
      </c>
      <c r="H199" s="4">
        <v>4</v>
      </c>
      <c r="I199" s="143">
        <v>84.469610000000003</v>
      </c>
      <c r="J199" s="144">
        <v>1.956731521032808</v>
      </c>
      <c r="K199" s="145">
        <v>7.1040903887663778E-2</v>
      </c>
      <c r="L199" s="146">
        <v>1</v>
      </c>
      <c r="M199" s="58">
        <v>1</v>
      </c>
      <c r="N199" s="58">
        <v>1</v>
      </c>
      <c r="O199" s="147">
        <v>1</v>
      </c>
      <c r="P199" s="148">
        <v>1.1743170349148E-3</v>
      </c>
      <c r="Q199" s="148">
        <v>1.0004005437000999E-3</v>
      </c>
      <c r="R199" s="148">
        <v>8.6626853697468998E-4</v>
      </c>
      <c r="S199" s="153">
        <v>0.21312271166299135</v>
      </c>
      <c r="T199" s="154">
        <v>1.4999999999999999E-2</v>
      </c>
      <c r="U199" s="155">
        <v>5</v>
      </c>
      <c r="V199" s="159">
        <v>0.4262454233259827</v>
      </c>
      <c r="W199" s="160">
        <v>0.03</v>
      </c>
      <c r="X199" s="161">
        <v>10</v>
      </c>
      <c r="Y199" s="165">
        <v>0.56832723110131023</v>
      </c>
      <c r="Z199" s="166">
        <v>0.06</v>
      </c>
      <c r="AA199" s="167">
        <v>15</v>
      </c>
    </row>
    <row r="200" spans="2:27" x14ac:dyDescent="0.25">
      <c r="B200" s="51" t="s">
        <v>3143</v>
      </c>
      <c r="C200" s="4" t="s">
        <v>4339</v>
      </c>
      <c r="D200" s="142" t="e">
        <v>#VALUE!</v>
      </c>
      <c r="E200" s="142" t="e">
        <v>#VALUE!</v>
      </c>
      <c r="F200" s="4" t="s">
        <v>592</v>
      </c>
      <c r="G200" s="143">
        <v>66251907.329999998</v>
      </c>
      <c r="H200" s="4">
        <v>5</v>
      </c>
      <c r="I200" s="143">
        <v>83.561909999999997</v>
      </c>
      <c r="J200" s="144">
        <v>2.1570172671330115</v>
      </c>
      <c r="K200" s="145">
        <v>7.1040903887663778E-2</v>
      </c>
      <c r="L200" s="146">
        <v>1</v>
      </c>
      <c r="M200" s="58">
        <v>1</v>
      </c>
      <c r="N200" s="58">
        <v>1</v>
      </c>
      <c r="O200" s="147">
        <v>1</v>
      </c>
      <c r="P200" s="148">
        <v>1.2103656251945E-3</v>
      </c>
      <c r="Q200" s="148">
        <v>1.0267839261923E-3</v>
      </c>
      <c r="R200" s="148">
        <v>8.8519768837650001E-4</v>
      </c>
      <c r="S200" s="153">
        <v>0.21312271166299135</v>
      </c>
      <c r="T200" s="154">
        <v>1.4999999999999999E-2</v>
      </c>
      <c r="U200" s="155">
        <v>5</v>
      </c>
      <c r="V200" s="159">
        <v>0.4262454233259827</v>
      </c>
      <c r="W200" s="160">
        <v>0.03</v>
      </c>
      <c r="X200" s="161">
        <v>10</v>
      </c>
      <c r="Y200" s="165">
        <v>0.56832723110131023</v>
      </c>
      <c r="Z200" s="166">
        <v>0.06</v>
      </c>
      <c r="AA200" s="167">
        <v>15</v>
      </c>
    </row>
    <row r="201" spans="2:27" x14ac:dyDescent="0.25">
      <c r="B201" s="51" t="s">
        <v>3885</v>
      </c>
      <c r="C201" s="4" t="s">
        <v>4340</v>
      </c>
      <c r="D201" s="142" t="e">
        <v>#VALUE!</v>
      </c>
      <c r="E201" s="142" t="e">
        <v>#VALUE!</v>
      </c>
      <c r="F201" s="4" t="s">
        <v>592</v>
      </c>
      <c r="G201" s="143">
        <v>95234299.640000001</v>
      </c>
      <c r="H201" s="4">
        <v>2</v>
      </c>
      <c r="I201" s="143">
        <v>105.46849</v>
      </c>
      <c r="J201" s="144">
        <v>1.3757772257723977</v>
      </c>
      <c r="K201" s="145">
        <v>7.1040903887663778E-2</v>
      </c>
      <c r="L201" s="146">
        <v>1</v>
      </c>
      <c r="M201" s="58">
        <v>1</v>
      </c>
      <c r="N201" s="58">
        <v>1</v>
      </c>
      <c r="O201" s="147">
        <v>1</v>
      </c>
      <c r="P201" s="148">
        <v>3.3672805987318001E-3</v>
      </c>
      <c r="Q201" s="148">
        <v>2.7592103815856001E-3</v>
      </c>
      <c r="R201" s="148">
        <v>2.2902400275605001E-3</v>
      </c>
      <c r="S201" s="153">
        <v>0.21312271166299135</v>
      </c>
      <c r="T201" s="154">
        <v>1.4999999999999999E-2</v>
      </c>
      <c r="U201" s="155">
        <v>5</v>
      </c>
      <c r="V201" s="159">
        <v>0.4262454233259827</v>
      </c>
      <c r="W201" s="160">
        <v>0.03</v>
      </c>
      <c r="X201" s="161">
        <v>10</v>
      </c>
      <c r="Y201" s="165">
        <v>0.56832723110131023</v>
      </c>
      <c r="Z201" s="166">
        <v>0.06</v>
      </c>
      <c r="AA201" s="167">
        <v>15</v>
      </c>
    </row>
    <row r="202" spans="2:27" x14ac:dyDescent="0.25">
      <c r="B202" s="51" t="s">
        <v>3140</v>
      </c>
      <c r="C202" s="4" t="s">
        <v>4341</v>
      </c>
      <c r="D202" s="142" t="e">
        <v>#VALUE!</v>
      </c>
      <c r="E202" s="142" t="e">
        <v>#VALUE!</v>
      </c>
      <c r="F202" s="4" t="s">
        <v>592</v>
      </c>
      <c r="G202" s="143">
        <v>19365745.140000001</v>
      </c>
      <c r="H202" s="4">
        <v>1</v>
      </c>
      <c r="I202" s="143">
        <v>81.022840000000002</v>
      </c>
      <c r="J202" s="144">
        <v>0.57977072663974638</v>
      </c>
      <c r="K202" s="145">
        <v>7.1040903887663778E-2</v>
      </c>
      <c r="L202" s="146">
        <v>1</v>
      </c>
      <c r="M202" s="58">
        <v>1</v>
      </c>
      <c r="N202" s="58">
        <v>1</v>
      </c>
      <c r="O202" s="147">
        <v>1</v>
      </c>
      <c r="P202" s="148">
        <v>3.3287477757858001E-3</v>
      </c>
      <c r="Q202" s="148">
        <v>2.7271547043327001E-3</v>
      </c>
      <c r="R202" s="148">
        <v>2.2631798084357E-3</v>
      </c>
      <c r="S202" s="153">
        <v>0.21312271166299135</v>
      </c>
      <c r="T202" s="154">
        <v>1.4999999999999999E-2</v>
      </c>
      <c r="U202" s="155">
        <v>5</v>
      </c>
      <c r="V202" s="159">
        <v>0.4262454233259827</v>
      </c>
      <c r="W202" s="160">
        <v>0.03</v>
      </c>
      <c r="X202" s="161">
        <v>10</v>
      </c>
      <c r="Y202" s="165">
        <v>0.56832723110131023</v>
      </c>
      <c r="Z202" s="166">
        <v>0.06</v>
      </c>
      <c r="AA202" s="167">
        <v>15</v>
      </c>
    </row>
    <row r="203" spans="2:27" x14ac:dyDescent="0.25">
      <c r="B203" s="51" t="s">
        <v>3139</v>
      </c>
      <c r="C203" s="4" t="s">
        <v>4342</v>
      </c>
      <c r="D203" s="142" t="e">
        <v>#VALUE!</v>
      </c>
      <c r="E203" s="142" t="e">
        <v>#VALUE!</v>
      </c>
      <c r="F203" s="4" t="s">
        <v>592</v>
      </c>
      <c r="G203" s="143">
        <v>75080879.329999998</v>
      </c>
      <c r="H203" s="4">
        <v>2</v>
      </c>
      <c r="I203" s="143">
        <v>85.638819999999996</v>
      </c>
      <c r="J203" s="144">
        <v>1.3155600779971592</v>
      </c>
      <c r="K203" s="145">
        <v>7.1040903887663778E-2</v>
      </c>
      <c r="L203" s="146">
        <v>1</v>
      </c>
      <c r="M203" s="58">
        <v>1</v>
      </c>
      <c r="N203" s="58">
        <v>1</v>
      </c>
      <c r="O203" s="147">
        <v>1</v>
      </c>
      <c r="P203" s="148">
        <v>2.8640512914187002E-3</v>
      </c>
      <c r="Q203" s="148">
        <v>2.3424050459243E-3</v>
      </c>
      <c r="R203" s="148">
        <v>1.9400886398132E-3</v>
      </c>
      <c r="S203" s="153">
        <v>0.21312271166299135</v>
      </c>
      <c r="T203" s="154">
        <v>1.4999999999999999E-2</v>
      </c>
      <c r="U203" s="155">
        <v>5</v>
      </c>
      <c r="V203" s="159">
        <v>0.4262454233259827</v>
      </c>
      <c r="W203" s="160">
        <v>0.03</v>
      </c>
      <c r="X203" s="161">
        <v>10</v>
      </c>
      <c r="Y203" s="165">
        <v>0.56832723110131023</v>
      </c>
      <c r="Z203" s="166">
        <v>0.06</v>
      </c>
      <c r="AA203" s="167">
        <v>15</v>
      </c>
    </row>
    <row r="204" spans="2:27" x14ac:dyDescent="0.25">
      <c r="B204" s="51" t="s">
        <v>3144</v>
      </c>
      <c r="C204" s="4" t="s">
        <v>4343</v>
      </c>
      <c r="D204" s="142" t="e">
        <v>#VALUE!</v>
      </c>
      <c r="E204" s="142" t="e">
        <v>#VALUE!</v>
      </c>
      <c r="F204" s="4" t="s">
        <v>592</v>
      </c>
      <c r="G204" s="143">
        <v>74583139.420000002</v>
      </c>
      <c r="H204" s="4">
        <v>3</v>
      </c>
      <c r="I204" s="143">
        <v>91.548280000000005</v>
      </c>
      <c r="J204" s="144">
        <v>1.6372956766475504</v>
      </c>
      <c r="K204" s="145">
        <v>7.1040903887663778E-2</v>
      </c>
      <c r="L204" s="146">
        <v>1</v>
      </c>
      <c r="M204" s="58">
        <v>1</v>
      </c>
      <c r="N204" s="58">
        <v>1</v>
      </c>
      <c r="O204" s="147">
        <v>1</v>
      </c>
      <c r="P204" s="148">
        <v>2.0544555308020002E-3</v>
      </c>
      <c r="Q204" s="148">
        <v>1.6830706470213001E-3</v>
      </c>
      <c r="R204" s="148">
        <v>1.3966423768723001E-3</v>
      </c>
      <c r="S204" s="153">
        <v>0.21312271166299135</v>
      </c>
      <c r="T204" s="154">
        <v>1.4999999999999999E-2</v>
      </c>
      <c r="U204" s="155">
        <v>5</v>
      </c>
      <c r="V204" s="159">
        <v>0.4262454233259827</v>
      </c>
      <c r="W204" s="160">
        <v>0.03</v>
      </c>
      <c r="X204" s="161">
        <v>10</v>
      </c>
      <c r="Y204" s="165">
        <v>0.56832723110131023</v>
      </c>
      <c r="Z204" s="166">
        <v>0.06</v>
      </c>
      <c r="AA204" s="167">
        <v>15</v>
      </c>
    </row>
    <row r="205" spans="2:27" x14ac:dyDescent="0.25">
      <c r="B205" s="51" t="s">
        <v>3142</v>
      </c>
      <c r="C205" s="4" t="s">
        <v>4343</v>
      </c>
      <c r="D205" s="142" t="e">
        <v>#VALUE!</v>
      </c>
      <c r="E205" s="142" t="e">
        <v>#VALUE!</v>
      </c>
      <c r="F205" s="4" t="s">
        <v>592</v>
      </c>
      <c r="G205" s="143">
        <v>40751717.969999999</v>
      </c>
      <c r="H205" s="4">
        <v>2</v>
      </c>
      <c r="I205" s="143">
        <v>88.22448</v>
      </c>
      <c r="J205" s="144">
        <v>1.2512798466346096</v>
      </c>
      <c r="K205" s="145">
        <v>7.1040903887663778E-2</v>
      </c>
      <c r="L205" s="146">
        <v>1</v>
      </c>
      <c r="M205" s="58">
        <v>1</v>
      </c>
      <c r="N205" s="58">
        <v>1</v>
      </c>
      <c r="O205" s="147">
        <v>1</v>
      </c>
      <c r="P205" s="148">
        <v>2.3066111027005001E-3</v>
      </c>
      <c r="Q205" s="148">
        <v>1.8865069865221999E-3</v>
      </c>
      <c r="R205" s="148">
        <v>1.5625043129227001E-3</v>
      </c>
      <c r="S205" s="153">
        <v>0.21312271166299135</v>
      </c>
      <c r="T205" s="154">
        <v>1.4999999999999999E-2</v>
      </c>
      <c r="U205" s="155">
        <v>5</v>
      </c>
      <c r="V205" s="159">
        <v>0.4262454233259827</v>
      </c>
      <c r="W205" s="160">
        <v>0.03</v>
      </c>
      <c r="X205" s="161">
        <v>10</v>
      </c>
      <c r="Y205" s="165">
        <v>0.56832723110131023</v>
      </c>
      <c r="Z205" s="166">
        <v>0.06</v>
      </c>
      <c r="AA205" s="167">
        <v>15</v>
      </c>
    </row>
    <row r="206" spans="2:27" x14ac:dyDescent="0.25">
      <c r="B206" s="51" t="s">
        <v>3155</v>
      </c>
      <c r="C206" s="4" t="s">
        <v>4344</v>
      </c>
      <c r="D206" s="142" t="e">
        <v>#VALUE!</v>
      </c>
      <c r="E206" s="142" t="e">
        <v>#VALUE!</v>
      </c>
      <c r="F206" s="4" t="s">
        <v>592</v>
      </c>
      <c r="G206" s="143">
        <v>20916608.899999999</v>
      </c>
      <c r="H206" s="4">
        <v>1</v>
      </c>
      <c r="I206" s="143">
        <v>148.40126000000001</v>
      </c>
      <c r="J206" s="144">
        <v>1.0234253208691007</v>
      </c>
      <c r="K206" s="145">
        <v>5.1439675917702869E-2</v>
      </c>
      <c r="L206" s="146">
        <v>1</v>
      </c>
      <c r="M206" s="58">
        <v>1</v>
      </c>
      <c r="N206" s="58">
        <v>1</v>
      </c>
      <c r="O206" s="147">
        <v>1</v>
      </c>
      <c r="P206" s="148">
        <v>3.0624463888922998E-3</v>
      </c>
      <c r="Q206" s="148">
        <v>2.4661682291539999E-3</v>
      </c>
      <c r="R206" s="148">
        <v>2.0062924256942999E-3</v>
      </c>
      <c r="S206" s="153">
        <v>0.1543190277531086</v>
      </c>
      <c r="T206" s="154">
        <v>1.4999999999999999E-2</v>
      </c>
      <c r="U206" s="155">
        <v>5</v>
      </c>
      <c r="V206" s="159">
        <v>0.3086380555062172</v>
      </c>
      <c r="W206" s="160">
        <v>0.03</v>
      </c>
      <c r="X206" s="161">
        <v>10</v>
      </c>
      <c r="Y206" s="165">
        <v>0.41151740734162295</v>
      </c>
      <c r="Z206" s="166">
        <v>0.06</v>
      </c>
      <c r="AA206" s="167">
        <v>15</v>
      </c>
    </row>
    <row r="207" spans="2:27" x14ac:dyDescent="0.25">
      <c r="B207" s="51" t="s">
        <v>3141</v>
      </c>
      <c r="C207" s="4" t="s">
        <v>4345</v>
      </c>
      <c r="D207" s="142" t="e">
        <v>#VALUE!</v>
      </c>
      <c r="E207" s="142" t="e">
        <v>#VALUE!</v>
      </c>
      <c r="F207" s="4" t="s">
        <v>592</v>
      </c>
      <c r="G207" s="143">
        <v>41991835.340000004</v>
      </c>
      <c r="H207" s="4">
        <v>1</v>
      </c>
      <c r="I207" s="143">
        <v>70.87688</v>
      </c>
      <c r="J207" s="144">
        <v>0.84686546512619287</v>
      </c>
      <c r="K207" s="145">
        <v>7.1040903887663778E-2</v>
      </c>
      <c r="L207" s="146">
        <v>1</v>
      </c>
      <c r="M207" s="58">
        <v>1</v>
      </c>
      <c r="N207" s="58">
        <v>1</v>
      </c>
      <c r="O207" s="147">
        <v>1</v>
      </c>
      <c r="P207" s="148">
        <v>3.3720950299288002E-3</v>
      </c>
      <c r="Q207" s="148">
        <v>2.7632170199892998E-3</v>
      </c>
      <c r="R207" s="148">
        <v>2.2936236608217002E-3</v>
      </c>
      <c r="S207" s="153">
        <v>0.21312271166299135</v>
      </c>
      <c r="T207" s="154">
        <v>1.4999999999999999E-2</v>
      </c>
      <c r="U207" s="155">
        <v>5</v>
      </c>
      <c r="V207" s="159">
        <v>0.4262454233259827</v>
      </c>
      <c r="W207" s="160">
        <v>0.03</v>
      </c>
      <c r="X207" s="161">
        <v>10</v>
      </c>
      <c r="Y207" s="165">
        <v>0.56832723110131023</v>
      </c>
      <c r="Z207" s="166">
        <v>0.06</v>
      </c>
      <c r="AA207" s="167">
        <v>15</v>
      </c>
    </row>
    <row r="208" spans="2:27" x14ac:dyDescent="0.25">
      <c r="B208" s="51" t="s">
        <v>3607</v>
      </c>
      <c r="C208" s="4" t="s">
        <v>4346</v>
      </c>
      <c r="D208" s="142" t="e">
        <v>#VALUE!</v>
      </c>
      <c r="E208" s="142" t="e">
        <v>#VALUE!</v>
      </c>
      <c r="F208" s="4" t="s">
        <v>592</v>
      </c>
      <c r="G208" s="143">
        <v>69366664.819999993</v>
      </c>
      <c r="H208" s="4">
        <v>4</v>
      </c>
      <c r="I208" s="143">
        <v>59.805453999999997</v>
      </c>
      <c r="J208" s="144">
        <v>1.9613544195883579</v>
      </c>
      <c r="K208" s="145">
        <v>6.8019099243151276E-2</v>
      </c>
      <c r="L208" s="146">
        <v>1</v>
      </c>
      <c r="M208" s="58">
        <v>1</v>
      </c>
      <c r="N208" s="58">
        <v>1</v>
      </c>
      <c r="O208" s="147">
        <v>1</v>
      </c>
      <c r="P208" s="148">
        <v>1.2527951195465E-3</v>
      </c>
      <c r="Q208" s="148">
        <v>1.0489264975637E-3</v>
      </c>
      <c r="R208" s="148">
        <v>8.9169409720929005E-4</v>
      </c>
      <c r="S208" s="153">
        <v>0.20405729772945383</v>
      </c>
      <c r="T208" s="154">
        <v>1.4999999999999999E-2</v>
      </c>
      <c r="U208" s="155">
        <v>5</v>
      </c>
      <c r="V208" s="159">
        <v>0.40811459545890766</v>
      </c>
      <c r="W208" s="160">
        <v>0.03</v>
      </c>
      <c r="X208" s="161">
        <v>10</v>
      </c>
      <c r="Y208" s="165">
        <v>0.54415279394521021</v>
      </c>
      <c r="Z208" s="166">
        <v>0.06</v>
      </c>
      <c r="AA208" s="167">
        <v>15</v>
      </c>
    </row>
    <row r="209" spans="2:27" x14ac:dyDescent="0.25">
      <c r="B209" s="51" t="s">
        <v>3608</v>
      </c>
      <c r="C209" s="4" t="s">
        <v>4347</v>
      </c>
      <c r="D209" s="142" t="e">
        <v>#VALUE!</v>
      </c>
      <c r="E209" s="142" t="e">
        <v>#VALUE!</v>
      </c>
      <c r="F209" s="4" t="s">
        <v>592</v>
      </c>
      <c r="G209" s="143">
        <v>56557078.340000004</v>
      </c>
      <c r="H209" s="4">
        <v>2</v>
      </c>
      <c r="I209" s="143">
        <v>90.312004000000002</v>
      </c>
      <c r="J209" s="144">
        <v>1.2422011793134444</v>
      </c>
      <c r="K209" s="145">
        <v>7.1040903887663778E-2</v>
      </c>
      <c r="L209" s="146">
        <v>1</v>
      </c>
      <c r="M209" s="58">
        <v>1</v>
      </c>
      <c r="N209" s="58">
        <v>1</v>
      </c>
      <c r="O209" s="147">
        <v>1</v>
      </c>
      <c r="P209" s="148">
        <v>2.7765544378896001E-3</v>
      </c>
      <c r="Q209" s="148">
        <v>2.2703877542449998E-3</v>
      </c>
      <c r="R209" s="148">
        <v>1.8800098634503E-3</v>
      </c>
      <c r="S209" s="153">
        <v>0.21312271166299135</v>
      </c>
      <c r="T209" s="154">
        <v>1.4999999999999999E-2</v>
      </c>
      <c r="U209" s="155">
        <v>5</v>
      </c>
      <c r="V209" s="159">
        <v>0.4262454233259827</v>
      </c>
      <c r="W209" s="160">
        <v>0.03</v>
      </c>
      <c r="X209" s="161">
        <v>10</v>
      </c>
      <c r="Y209" s="165">
        <v>0.56832723110131023</v>
      </c>
      <c r="Z209" s="166">
        <v>0.06</v>
      </c>
      <c r="AA209" s="167">
        <v>15</v>
      </c>
    </row>
    <row r="210" spans="2:27" x14ac:dyDescent="0.25">
      <c r="B210" s="51" t="s">
        <v>3606</v>
      </c>
      <c r="C210" s="4" t="s">
        <v>4348</v>
      </c>
      <c r="D210" s="142" t="e">
        <v>#VALUE!</v>
      </c>
      <c r="E210" s="142" t="e">
        <v>#VALUE!</v>
      </c>
      <c r="F210" s="4" t="s">
        <v>592</v>
      </c>
      <c r="G210" s="143">
        <v>68990415.060000002</v>
      </c>
      <c r="H210" s="4">
        <v>1</v>
      </c>
      <c r="I210" s="143">
        <v>68.571899999999999</v>
      </c>
      <c r="J210" s="144">
        <v>1.0825472581098499</v>
      </c>
      <c r="K210" s="145">
        <v>6.8019099243151276E-2</v>
      </c>
      <c r="L210" s="146">
        <v>1</v>
      </c>
      <c r="M210" s="58">
        <v>1</v>
      </c>
      <c r="N210" s="58">
        <v>1</v>
      </c>
      <c r="O210" s="147">
        <v>1</v>
      </c>
      <c r="P210" s="148">
        <v>3.2726081023725E-3</v>
      </c>
      <c r="Q210" s="148">
        <v>2.6743761372489002E-3</v>
      </c>
      <c r="R210" s="148">
        <v>2.2129934735987998E-3</v>
      </c>
      <c r="S210" s="153">
        <v>0.20405729772945383</v>
      </c>
      <c r="T210" s="154">
        <v>1.4999999999999999E-2</v>
      </c>
      <c r="U210" s="155">
        <v>5</v>
      </c>
      <c r="V210" s="159">
        <v>0.40811459545890766</v>
      </c>
      <c r="W210" s="160">
        <v>0.03</v>
      </c>
      <c r="X210" s="161">
        <v>10</v>
      </c>
      <c r="Y210" s="165">
        <v>0.54415279394521021</v>
      </c>
      <c r="Z210" s="166">
        <v>0.06</v>
      </c>
      <c r="AA210" s="167">
        <v>15</v>
      </c>
    </row>
    <row r="211" spans="2:27" x14ac:dyDescent="0.25">
      <c r="B211" s="51" t="s">
        <v>3587</v>
      </c>
      <c r="C211" s="4" t="s">
        <v>4349</v>
      </c>
      <c r="D211" s="142" t="e">
        <v>#VALUE!</v>
      </c>
      <c r="E211" s="142" t="e">
        <v>#VALUE!</v>
      </c>
      <c r="F211" s="4" t="s">
        <v>592</v>
      </c>
      <c r="G211" s="143">
        <v>154768930.09999999</v>
      </c>
      <c r="H211" s="4">
        <v>2</v>
      </c>
      <c r="I211" s="143">
        <v>78.236984000000007</v>
      </c>
      <c r="J211" s="144">
        <v>1.4689808158066184</v>
      </c>
      <c r="K211" s="145">
        <v>6.8019099243151276E-2</v>
      </c>
      <c r="L211" s="146">
        <v>1</v>
      </c>
      <c r="M211" s="58">
        <v>1</v>
      </c>
      <c r="N211" s="58">
        <v>1</v>
      </c>
      <c r="O211" s="147">
        <v>1</v>
      </c>
      <c r="P211" s="148">
        <v>3.3642892297793001E-3</v>
      </c>
      <c r="Q211" s="148">
        <v>2.7506546675657001E-3</v>
      </c>
      <c r="R211" s="148">
        <v>2.277392847189E-3</v>
      </c>
      <c r="S211" s="153">
        <v>0.20405729772945383</v>
      </c>
      <c r="T211" s="154">
        <v>1.4999999999999999E-2</v>
      </c>
      <c r="U211" s="155">
        <v>5</v>
      </c>
      <c r="V211" s="159">
        <v>0.40811459545890766</v>
      </c>
      <c r="W211" s="160">
        <v>0.03</v>
      </c>
      <c r="X211" s="161">
        <v>10</v>
      </c>
      <c r="Y211" s="165">
        <v>0.54415279394521021</v>
      </c>
      <c r="Z211" s="166">
        <v>0.06</v>
      </c>
      <c r="AA211" s="167">
        <v>15</v>
      </c>
    </row>
    <row r="212" spans="2:27" x14ac:dyDescent="0.25">
      <c r="B212" s="51" t="s">
        <v>3584</v>
      </c>
      <c r="C212" s="4" t="s">
        <v>4350</v>
      </c>
      <c r="D212" s="142" t="e">
        <v>#VALUE!</v>
      </c>
      <c r="E212" s="142" t="e">
        <v>#VALUE!</v>
      </c>
      <c r="F212" s="4" t="s">
        <v>592</v>
      </c>
      <c r="G212" s="143">
        <v>36270257.5</v>
      </c>
      <c r="H212" s="4">
        <v>1</v>
      </c>
      <c r="I212" s="143">
        <v>117.47101000000001</v>
      </c>
      <c r="J212" s="144">
        <v>1.062013597005371</v>
      </c>
      <c r="K212" s="145">
        <v>6.4639091090986117E-2</v>
      </c>
      <c r="L212" s="146">
        <v>1</v>
      </c>
      <c r="M212" s="58">
        <v>1</v>
      </c>
      <c r="N212" s="58">
        <v>1</v>
      </c>
      <c r="O212" s="147">
        <v>1</v>
      </c>
      <c r="P212" s="148">
        <v>3.2199259749042999E-3</v>
      </c>
      <c r="Q212" s="148">
        <v>2.6237523189050001E-3</v>
      </c>
      <c r="R212" s="148">
        <v>2.1639571133007999E-3</v>
      </c>
      <c r="S212" s="153">
        <v>0.19391727327295835</v>
      </c>
      <c r="T212" s="154">
        <v>1.4999999999999999E-2</v>
      </c>
      <c r="U212" s="155">
        <v>5</v>
      </c>
      <c r="V212" s="159">
        <v>0.3878345465459167</v>
      </c>
      <c r="W212" s="160">
        <v>0.03</v>
      </c>
      <c r="X212" s="161">
        <v>10</v>
      </c>
      <c r="Y212" s="165">
        <v>0.51711272872788894</v>
      </c>
      <c r="Z212" s="166">
        <v>0.06</v>
      </c>
      <c r="AA212" s="167">
        <v>15</v>
      </c>
    </row>
    <row r="213" spans="2:27" x14ac:dyDescent="0.25">
      <c r="B213" s="51" t="s">
        <v>3586</v>
      </c>
      <c r="C213" s="4" t="s">
        <v>4350</v>
      </c>
      <c r="D213" s="142" t="e">
        <v>#VALUE!</v>
      </c>
      <c r="E213" s="142" t="e">
        <v>#VALUE!</v>
      </c>
      <c r="F213" s="4" t="s">
        <v>592</v>
      </c>
      <c r="G213" s="143">
        <v>23554553.32</v>
      </c>
      <c r="H213" s="4">
        <v>1</v>
      </c>
      <c r="I213" s="143">
        <v>135.82755</v>
      </c>
      <c r="J213" s="144">
        <v>0.93952837353474872</v>
      </c>
      <c r="K213" s="145">
        <v>6.4639091090986117E-2</v>
      </c>
      <c r="L213" s="146">
        <v>1</v>
      </c>
      <c r="M213" s="58">
        <v>1</v>
      </c>
      <c r="N213" s="58">
        <v>1</v>
      </c>
      <c r="O213" s="147">
        <v>1</v>
      </c>
      <c r="P213" s="148">
        <v>3.2129132533935002E-3</v>
      </c>
      <c r="Q213" s="148">
        <v>2.6179239796713999E-3</v>
      </c>
      <c r="R213" s="148">
        <v>2.1590422214950999E-3</v>
      </c>
      <c r="S213" s="153">
        <v>0.19391727327295835</v>
      </c>
      <c r="T213" s="154">
        <v>1.4999999999999999E-2</v>
      </c>
      <c r="U213" s="155">
        <v>5</v>
      </c>
      <c r="V213" s="159">
        <v>0.3878345465459167</v>
      </c>
      <c r="W213" s="160">
        <v>0.03</v>
      </c>
      <c r="X213" s="161">
        <v>10</v>
      </c>
      <c r="Y213" s="165">
        <v>0.51711272872788894</v>
      </c>
      <c r="Z213" s="166">
        <v>0.06</v>
      </c>
      <c r="AA213" s="167">
        <v>15</v>
      </c>
    </row>
    <row r="214" spans="2:27" x14ac:dyDescent="0.25">
      <c r="B214" s="51" t="s">
        <v>4351</v>
      </c>
      <c r="C214" s="4" t="s">
        <v>4350</v>
      </c>
      <c r="D214" s="142" t="e">
        <v>#VALUE!</v>
      </c>
      <c r="E214" s="142" t="e">
        <v>#VALUE!</v>
      </c>
      <c r="F214" s="4" t="s">
        <v>592</v>
      </c>
      <c r="G214" s="143">
        <v>58124487.640000001</v>
      </c>
      <c r="H214" s="4">
        <v>1</v>
      </c>
      <c r="I214" s="143">
        <v>94.582350000000005</v>
      </c>
      <c r="J214" s="144">
        <v>1.1284061017758218</v>
      </c>
      <c r="K214" s="145">
        <v>7.1040903887663778E-2</v>
      </c>
      <c r="L214" s="146">
        <v>1</v>
      </c>
      <c r="M214" s="58">
        <v>1</v>
      </c>
      <c r="N214" s="58">
        <v>1</v>
      </c>
      <c r="O214" s="147">
        <v>1</v>
      </c>
      <c r="P214" s="148">
        <v>3.3098340020529002E-3</v>
      </c>
      <c r="Q214" s="148">
        <v>2.7114280466984E-3</v>
      </c>
      <c r="R214" s="148">
        <v>2.2499111941702999E-3</v>
      </c>
      <c r="S214" s="153">
        <v>0.21312271166299135</v>
      </c>
      <c r="T214" s="154">
        <v>1.4999999999999999E-2</v>
      </c>
      <c r="U214" s="155">
        <v>5</v>
      </c>
      <c r="V214" s="159">
        <v>0.4262454233259827</v>
      </c>
      <c r="W214" s="160">
        <v>0.03</v>
      </c>
      <c r="X214" s="161">
        <v>10</v>
      </c>
      <c r="Y214" s="165">
        <v>0.56832723110131023</v>
      </c>
      <c r="Z214" s="166">
        <v>0.06</v>
      </c>
      <c r="AA214" s="167">
        <v>15</v>
      </c>
    </row>
    <row r="215" spans="2:27" x14ac:dyDescent="0.25">
      <c r="B215" s="51" t="s">
        <v>3585</v>
      </c>
      <c r="C215" s="4" t="s">
        <v>4350</v>
      </c>
      <c r="D215" s="142" t="e">
        <v>#VALUE!</v>
      </c>
      <c r="E215" s="142" t="e">
        <v>#VALUE!</v>
      </c>
      <c r="F215" s="4" t="s">
        <v>592</v>
      </c>
      <c r="G215" s="143">
        <v>60807364.619999997</v>
      </c>
      <c r="H215" s="4">
        <v>1</v>
      </c>
      <c r="I215" s="143">
        <v>87.190414000000004</v>
      </c>
      <c r="J215" s="144">
        <v>1.1132170535830199</v>
      </c>
      <c r="K215" s="145">
        <v>7.1040903887663778E-2</v>
      </c>
      <c r="L215" s="146">
        <v>1</v>
      </c>
      <c r="M215" s="58">
        <v>1</v>
      </c>
      <c r="N215" s="58">
        <v>1</v>
      </c>
      <c r="O215" s="147">
        <v>1</v>
      </c>
      <c r="P215" s="148">
        <v>3.3066854008628999E-3</v>
      </c>
      <c r="Q215" s="148">
        <v>2.7088105143667999E-3</v>
      </c>
      <c r="R215" s="148">
        <v>2.2477032453760998E-3</v>
      </c>
      <c r="S215" s="153">
        <v>0.21312271166299135</v>
      </c>
      <c r="T215" s="154">
        <v>1.4999999999999999E-2</v>
      </c>
      <c r="U215" s="155">
        <v>5</v>
      </c>
      <c r="V215" s="159">
        <v>0.4262454233259827</v>
      </c>
      <c r="W215" s="160">
        <v>0.03</v>
      </c>
      <c r="X215" s="161">
        <v>10</v>
      </c>
      <c r="Y215" s="165">
        <v>0.56832723110131023</v>
      </c>
      <c r="Z215" s="166">
        <v>0.06</v>
      </c>
      <c r="AA215" s="167">
        <v>15</v>
      </c>
    </row>
    <row r="216" spans="2:27" x14ac:dyDescent="0.25">
      <c r="B216" s="51" t="s">
        <v>3604</v>
      </c>
      <c r="C216" s="4" t="s">
        <v>4352</v>
      </c>
      <c r="D216" s="142" t="e">
        <v>#VALUE!</v>
      </c>
      <c r="E216" s="142" t="e">
        <v>#VALUE!</v>
      </c>
      <c r="F216" s="4" t="s">
        <v>592</v>
      </c>
      <c r="G216" s="143">
        <v>40052052.100000001</v>
      </c>
      <c r="H216" s="4">
        <v>2</v>
      </c>
      <c r="I216" s="143">
        <v>99.68338</v>
      </c>
      <c r="J216" s="144">
        <v>1.2842807786983659</v>
      </c>
      <c r="K216" s="145">
        <v>6.4639091090986117E-2</v>
      </c>
      <c r="L216" s="146">
        <v>1</v>
      </c>
      <c r="M216" s="58">
        <v>1</v>
      </c>
      <c r="N216" s="58">
        <v>1</v>
      </c>
      <c r="O216" s="147">
        <v>1</v>
      </c>
      <c r="P216" s="148">
        <v>2.3734756549114002E-3</v>
      </c>
      <c r="Q216" s="148">
        <v>1.9265037885371E-3</v>
      </c>
      <c r="R216" s="148">
        <v>1.5817795305449001E-3</v>
      </c>
      <c r="S216" s="153">
        <v>0.19391727327295835</v>
      </c>
      <c r="T216" s="154">
        <v>1.4999999999999999E-2</v>
      </c>
      <c r="U216" s="155">
        <v>5</v>
      </c>
      <c r="V216" s="159">
        <v>0.3878345465459167</v>
      </c>
      <c r="W216" s="160">
        <v>0.03</v>
      </c>
      <c r="X216" s="161">
        <v>10</v>
      </c>
      <c r="Y216" s="165">
        <v>0.51711272872788894</v>
      </c>
      <c r="Z216" s="166">
        <v>0.06</v>
      </c>
      <c r="AA216" s="167">
        <v>15</v>
      </c>
    </row>
    <row r="217" spans="2:27" x14ac:dyDescent="0.25">
      <c r="B217" s="51" t="s">
        <v>3866</v>
      </c>
      <c r="C217" s="4" t="s">
        <v>4352</v>
      </c>
      <c r="D217" s="142" t="e">
        <v>#VALUE!</v>
      </c>
      <c r="E217" s="142" t="e">
        <v>#VALUE!</v>
      </c>
      <c r="F217" s="4" t="s">
        <v>592</v>
      </c>
      <c r="G217" s="143">
        <v>58269634.57</v>
      </c>
      <c r="H217" s="4">
        <v>2</v>
      </c>
      <c r="I217" s="143">
        <v>83.969734000000003</v>
      </c>
      <c r="J217" s="144">
        <v>1.251329902970407</v>
      </c>
      <c r="K217" s="145">
        <v>7.1040903887663778E-2</v>
      </c>
      <c r="L217" s="146">
        <v>1</v>
      </c>
      <c r="M217" s="58">
        <v>1</v>
      </c>
      <c r="N217" s="58">
        <v>1</v>
      </c>
      <c r="O217" s="147">
        <v>1</v>
      </c>
      <c r="P217" s="148">
        <v>2.6870817891534999E-3</v>
      </c>
      <c r="Q217" s="148">
        <v>2.1969043761664998E-3</v>
      </c>
      <c r="R217" s="148">
        <v>1.8188581104200999E-3</v>
      </c>
      <c r="S217" s="153">
        <v>0.21312271166299135</v>
      </c>
      <c r="T217" s="154">
        <v>1.4999999999999999E-2</v>
      </c>
      <c r="U217" s="155">
        <v>5</v>
      </c>
      <c r="V217" s="159">
        <v>0.4262454233259827</v>
      </c>
      <c r="W217" s="160">
        <v>0.03</v>
      </c>
      <c r="X217" s="161">
        <v>10</v>
      </c>
      <c r="Y217" s="165">
        <v>0.56832723110131023</v>
      </c>
      <c r="Z217" s="166">
        <v>0.06</v>
      </c>
      <c r="AA217" s="167">
        <v>15</v>
      </c>
    </row>
    <row r="218" spans="2:27" x14ac:dyDescent="0.25">
      <c r="B218" s="51" t="s">
        <v>3605</v>
      </c>
      <c r="C218" s="4" t="s">
        <v>4353</v>
      </c>
      <c r="D218" s="142" t="e">
        <v>#VALUE!</v>
      </c>
      <c r="E218" s="142" t="e">
        <v>#VALUE!</v>
      </c>
      <c r="F218" s="4" t="s">
        <v>592</v>
      </c>
      <c r="G218" s="143">
        <v>25555432.420000002</v>
      </c>
      <c r="H218" s="4">
        <v>1</v>
      </c>
      <c r="I218" s="143">
        <v>4053.3040000000001</v>
      </c>
      <c r="J218" s="144">
        <v>0.48226529860907275</v>
      </c>
      <c r="K218" s="145">
        <v>6.8019099243151276E-2</v>
      </c>
      <c r="L218" s="146">
        <v>1</v>
      </c>
      <c r="M218" s="58">
        <v>1</v>
      </c>
      <c r="N218" s="58">
        <v>1</v>
      </c>
      <c r="O218" s="147">
        <v>1</v>
      </c>
      <c r="P218" s="148">
        <v>3.2664329597758002E-3</v>
      </c>
      <c r="Q218" s="148">
        <v>2.6692427744932001E-3</v>
      </c>
      <c r="R218" s="148">
        <v>2.2086635770333001E-3</v>
      </c>
      <c r="S218" s="153">
        <v>0.20405729772945383</v>
      </c>
      <c r="T218" s="154">
        <v>1.4999999999999999E-2</v>
      </c>
      <c r="U218" s="155">
        <v>5</v>
      </c>
      <c r="V218" s="159">
        <v>0.40811459545890766</v>
      </c>
      <c r="W218" s="160">
        <v>0.03</v>
      </c>
      <c r="X218" s="161">
        <v>10</v>
      </c>
      <c r="Y218" s="165">
        <v>0.54415279394521021</v>
      </c>
      <c r="Z218" s="166">
        <v>0.06</v>
      </c>
      <c r="AA218" s="167">
        <v>15</v>
      </c>
    </row>
    <row r="219" spans="2:27" x14ac:dyDescent="0.25">
      <c r="B219" s="51" t="s">
        <v>3884</v>
      </c>
      <c r="C219" s="4" t="s">
        <v>4354</v>
      </c>
      <c r="D219" s="142" t="e">
        <v>#VALUE!</v>
      </c>
      <c r="E219" s="142" t="e">
        <v>#VALUE!</v>
      </c>
      <c r="F219" s="4" t="s">
        <v>592</v>
      </c>
      <c r="G219" s="143">
        <v>145606554.19999999</v>
      </c>
      <c r="H219" s="4">
        <v>2</v>
      </c>
      <c r="I219" s="143">
        <v>63.912640000000003</v>
      </c>
      <c r="J219" s="144">
        <v>1.3623043478550019</v>
      </c>
      <c r="K219" s="145">
        <v>7.1040903887663778E-2</v>
      </c>
      <c r="L219" s="146">
        <v>1</v>
      </c>
      <c r="M219" s="58">
        <v>1</v>
      </c>
      <c r="N219" s="58">
        <v>1</v>
      </c>
      <c r="O219" s="147">
        <v>1</v>
      </c>
      <c r="P219" s="148">
        <v>3.2925197063753001E-3</v>
      </c>
      <c r="Q219" s="148">
        <v>2.6970359180103999E-3</v>
      </c>
      <c r="R219" s="148">
        <v>2.2377727685070998E-3</v>
      </c>
      <c r="S219" s="153">
        <v>0.21312271166299135</v>
      </c>
      <c r="T219" s="154">
        <v>1.4999999999999999E-2</v>
      </c>
      <c r="U219" s="155">
        <v>5</v>
      </c>
      <c r="V219" s="159">
        <v>0.4262454233259827</v>
      </c>
      <c r="W219" s="160">
        <v>0.03</v>
      </c>
      <c r="X219" s="161">
        <v>10</v>
      </c>
      <c r="Y219" s="165">
        <v>0.56832723110131023</v>
      </c>
      <c r="Z219" s="166">
        <v>0.06</v>
      </c>
      <c r="AA219" s="167">
        <v>15</v>
      </c>
    </row>
    <row r="220" spans="2:27" x14ac:dyDescent="0.25">
      <c r="B220" s="51" t="s">
        <v>3883</v>
      </c>
      <c r="C220" s="4" t="s">
        <v>4355</v>
      </c>
      <c r="D220" s="142" t="e">
        <v>#VALUE!</v>
      </c>
      <c r="E220" s="142" t="e">
        <v>#VALUE!</v>
      </c>
      <c r="F220" s="4" t="s">
        <v>592</v>
      </c>
      <c r="G220" s="143">
        <v>167639138.80000001</v>
      </c>
      <c r="H220" s="4">
        <v>3</v>
      </c>
      <c r="I220" s="143">
        <v>82.360690000000005</v>
      </c>
      <c r="J220" s="144">
        <v>1.5336967198500007</v>
      </c>
      <c r="K220" s="145">
        <v>7.1040903887663778E-2</v>
      </c>
      <c r="L220" s="146">
        <v>1</v>
      </c>
      <c r="M220" s="58">
        <v>1</v>
      </c>
      <c r="N220" s="58">
        <v>1</v>
      </c>
      <c r="O220" s="147">
        <v>1</v>
      </c>
      <c r="P220" s="148">
        <v>3.2919406167358999E-3</v>
      </c>
      <c r="Q220" s="148">
        <v>2.6965546385265002E-3</v>
      </c>
      <c r="R220" s="148">
        <v>2.2373669244942001E-3</v>
      </c>
      <c r="S220" s="153">
        <v>0.21312271166299135</v>
      </c>
      <c r="T220" s="154">
        <v>1.4999999999999999E-2</v>
      </c>
      <c r="U220" s="155">
        <v>5</v>
      </c>
      <c r="V220" s="159">
        <v>0.4262454233259827</v>
      </c>
      <c r="W220" s="160">
        <v>0.03</v>
      </c>
      <c r="X220" s="161">
        <v>10</v>
      </c>
      <c r="Y220" s="165">
        <v>0.56832723110131023</v>
      </c>
      <c r="Z220" s="166">
        <v>0.06</v>
      </c>
      <c r="AA220" s="167">
        <v>15</v>
      </c>
    </row>
    <row r="221" spans="2:27" x14ac:dyDescent="0.25">
      <c r="B221" s="51" t="s">
        <v>2971</v>
      </c>
      <c r="C221" s="4" t="s">
        <v>4356</v>
      </c>
      <c r="D221" s="142" t="e">
        <v>#VALUE!</v>
      </c>
      <c r="E221" s="142" t="e">
        <v>#VALUE!</v>
      </c>
      <c r="F221" s="4" t="s">
        <v>592</v>
      </c>
      <c r="G221" s="143">
        <v>9631871.8430000003</v>
      </c>
      <c r="H221" s="4">
        <v>2</v>
      </c>
      <c r="I221" s="143">
        <v>146.55669</v>
      </c>
      <c r="J221" s="144">
        <v>1.224687826894495</v>
      </c>
      <c r="K221" s="145">
        <v>7.1040903887663778E-2</v>
      </c>
      <c r="L221" s="146">
        <v>1</v>
      </c>
      <c r="M221" s="58">
        <v>1</v>
      </c>
      <c r="N221" s="58">
        <v>1</v>
      </c>
      <c r="O221" s="147">
        <v>1</v>
      </c>
      <c r="P221" s="148">
        <v>1.5761534950897E-3</v>
      </c>
      <c r="Q221" s="148">
        <v>1.3046010140710001E-3</v>
      </c>
      <c r="R221" s="148">
        <v>1.0951678605161E-3</v>
      </c>
      <c r="S221" s="153">
        <v>0.21312271166299135</v>
      </c>
      <c r="T221" s="154">
        <v>1.4999999999999999E-2</v>
      </c>
      <c r="U221" s="155">
        <v>5</v>
      </c>
      <c r="V221" s="159">
        <v>0.4262454233259827</v>
      </c>
      <c r="W221" s="160">
        <v>0.03</v>
      </c>
      <c r="X221" s="161">
        <v>10</v>
      </c>
      <c r="Y221" s="165">
        <v>0.56832723110131023</v>
      </c>
      <c r="Z221" s="166">
        <v>0.06</v>
      </c>
      <c r="AA221" s="167">
        <v>15</v>
      </c>
    </row>
    <row r="222" spans="2:27" x14ac:dyDescent="0.25">
      <c r="B222" s="51" t="s">
        <v>3596</v>
      </c>
      <c r="C222" s="4" t="s">
        <v>4357</v>
      </c>
      <c r="D222" s="142" t="e">
        <v>#VALUE!</v>
      </c>
      <c r="E222" s="142" t="e">
        <v>#VALUE!</v>
      </c>
      <c r="F222" s="4" t="s">
        <v>592</v>
      </c>
      <c r="G222" s="143">
        <v>1192932.577</v>
      </c>
      <c r="H222" s="4">
        <v>6</v>
      </c>
      <c r="I222" s="143">
        <v>1014.078</v>
      </c>
      <c r="J222" s="144">
        <v>3.0293888753950458</v>
      </c>
      <c r="K222" s="145">
        <v>7.8806057518725683E-3</v>
      </c>
      <c r="L222" s="146">
        <v>1</v>
      </c>
      <c r="M222" s="58">
        <v>1</v>
      </c>
      <c r="N222" s="58">
        <v>1</v>
      </c>
      <c r="O222" s="147">
        <v>1</v>
      </c>
      <c r="P222" s="148">
        <v>9.0469495638432996E-4</v>
      </c>
      <c r="Q222" s="148">
        <v>1E-4</v>
      </c>
      <c r="R222" s="148">
        <v>1E-4</v>
      </c>
      <c r="S222" s="153">
        <v>0.05</v>
      </c>
      <c r="T222" s="154">
        <v>1.4999999999999999E-2</v>
      </c>
      <c r="U222" s="155">
        <v>5</v>
      </c>
      <c r="V222" s="159">
        <v>7.4999999999999997E-2</v>
      </c>
      <c r="W222" s="160">
        <v>0.03</v>
      </c>
      <c r="X222" s="161">
        <v>10</v>
      </c>
      <c r="Y222" s="165">
        <v>0.1</v>
      </c>
      <c r="Z222" s="166">
        <v>0.06</v>
      </c>
      <c r="AA222" s="167">
        <v>15</v>
      </c>
    </row>
    <row r="223" spans="2:27" x14ac:dyDescent="0.25">
      <c r="B223" s="51" t="s">
        <v>3588</v>
      </c>
      <c r="C223" s="4" t="s">
        <v>4358</v>
      </c>
      <c r="D223" s="142" t="e">
        <v>#VALUE!</v>
      </c>
      <c r="E223" s="142" t="e">
        <v>#VALUE!</v>
      </c>
      <c r="F223" s="4" t="s">
        <v>592</v>
      </c>
      <c r="G223" s="143">
        <v>19643973.760000002</v>
      </c>
      <c r="H223" s="4">
        <v>6</v>
      </c>
      <c r="I223" s="143">
        <v>1004.8049999999999</v>
      </c>
      <c r="J223" s="144">
        <v>2.636029204684645</v>
      </c>
      <c r="K223" s="145">
        <v>1.2483844744542456E-2</v>
      </c>
      <c r="L223" s="146">
        <v>2</v>
      </c>
      <c r="M223" s="58">
        <v>2</v>
      </c>
      <c r="N223" s="58">
        <v>1</v>
      </c>
      <c r="O223" s="147">
        <v>1</v>
      </c>
      <c r="P223" s="148">
        <v>1.2853379410444E-2</v>
      </c>
      <c r="Q223" s="148">
        <v>9.5043129703612002E-3</v>
      </c>
      <c r="R223" s="148">
        <v>6.9213664129213004E-3</v>
      </c>
      <c r="S223" s="153">
        <v>0.05</v>
      </c>
      <c r="T223" s="154">
        <v>1.4999999999999999E-2</v>
      </c>
      <c r="U223" s="155">
        <v>5</v>
      </c>
      <c r="V223" s="159">
        <v>7.4999999999999997E-2</v>
      </c>
      <c r="W223" s="160">
        <v>0.03</v>
      </c>
      <c r="X223" s="161">
        <v>10</v>
      </c>
      <c r="Y223" s="165">
        <v>0.1</v>
      </c>
      <c r="Z223" s="166">
        <v>0.06</v>
      </c>
      <c r="AA223" s="167">
        <v>15</v>
      </c>
    </row>
    <row r="224" spans="2:27" x14ac:dyDescent="0.25">
      <c r="B224" s="51" t="s">
        <v>3589</v>
      </c>
      <c r="C224" s="4" t="s">
        <v>4358</v>
      </c>
      <c r="D224" s="142" t="e">
        <v>#VALUE!</v>
      </c>
      <c r="E224" s="142" t="e">
        <v>#VALUE!</v>
      </c>
      <c r="F224" s="4" t="s">
        <v>592</v>
      </c>
      <c r="G224" s="143">
        <v>12059435.49</v>
      </c>
      <c r="H224" s="4">
        <v>3</v>
      </c>
      <c r="I224" s="143">
        <v>998.55499999999995</v>
      </c>
      <c r="J224" s="144">
        <v>1.6914204649732998</v>
      </c>
      <c r="K224" s="145">
        <v>1.2483844744542456E-2</v>
      </c>
      <c r="L224" s="146">
        <v>80</v>
      </c>
      <c r="M224" s="58">
        <v>80</v>
      </c>
      <c r="N224" s="58">
        <v>19</v>
      </c>
      <c r="O224" s="147">
        <v>4</v>
      </c>
      <c r="P224" s="148">
        <v>4.1041710149868002E-2</v>
      </c>
      <c r="Q224" s="148">
        <v>3.3280609463664998E-2</v>
      </c>
      <c r="R224" s="148">
        <v>2.7294909072819E-2</v>
      </c>
      <c r="S224" s="153">
        <v>0.05</v>
      </c>
      <c r="T224" s="154">
        <v>2.7294909072819E-2</v>
      </c>
      <c r="U224" s="155">
        <v>30</v>
      </c>
      <c r="V224" s="159">
        <v>7.4999999999999997E-2</v>
      </c>
      <c r="W224" s="160">
        <v>5.4589818145638E-2</v>
      </c>
      <c r="X224" s="161">
        <v>60</v>
      </c>
      <c r="Y224" s="165">
        <v>0.1</v>
      </c>
      <c r="Z224" s="166">
        <v>8.1884727218456993E-2</v>
      </c>
      <c r="AA224" s="167">
        <v>90</v>
      </c>
    </row>
    <row r="225" spans="2:27" x14ac:dyDescent="0.25">
      <c r="B225" s="51" t="s">
        <v>3931</v>
      </c>
      <c r="C225" s="4" t="s">
        <v>4359</v>
      </c>
      <c r="D225" s="142" t="e">
        <v>#VALUE!</v>
      </c>
      <c r="E225" s="142" t="e">
        <v>#VALUE!</v>
      </c>
      <c r="F225" s="4" t="s">
        <v>592</v>
      </c>
      <c r="G225" s="143">
        <v>10000000</v>
      </c>
      <c r="H225" s="4">
        <v>6</v>
      </c>
      <c r="I225" s="143">
        <v>438255.66</v>
      </c>
      <c r="J225" s="144">
        <v>3.2138739552944062</v>
      </c>
      <c r="K225" s="145">
        <v>4.2516141985672008E-3</v>
      </c>
      <c r="L225" s="146">
        <v>1</v>
      </c>
      <c r="M225" s="58">
        <v>1</v>
      </c>
      <c r="N225" s="58">
        <v>1</v>
      </c>
      <c r="O225" s="147">
        <v>1</v>
      </c>
      <c r="P225" s="148">
        <v>6.2793135294917004E-3</v>
      </c>
      <c r="Q225" s="148">
        <v>4.1918760162318004E-3</v>
      </c>
      <c r="R225" s="148">
        <v>2.5819528823649998E-3</v>
      </c>
      <c r="S225" s="153">
        <v>7.4999999999999997E-2</v>
      </c>
      <c r="T225" s="154">
        <v>0.03</v>
      </c>
      <c r="U225" s="155">
        <v>5</v>
      </c>
      <c r="V225" s="159">
        <v>0.125</v>
      </c>
      <c r="W225" s="160">
        <v>0.06</v>
      </c>
      <c r="X225" s="161">
        <v>10</v>
      </c>
      <c r="Y225" s="165">
        <v>0.15</v>
      </c>
      <c r="Z225" s="166">
        <v>0.12</v>
      </c>
      <c r="AA225" s="167">
        <v>15</v>
      </c>
    </row>
    <row r="226" spans="2:27" x14ac:dyDescent="0.25">
      <c r="B226" s="51" t="s">
        <v>2477</v>
      </c>
      <c r="C226" s="4" t="s">
        <v>4360</v>
      </c>
      <c r="D226" s="142" t="e">
        <v>#VALUE!</v>
      </c>
      <c r="E226" s="142" t="e">
        <v>#VALUE!</v>
      </c>
      <c r="F226" s="4" t="s">
        <v>592</v>
      </c>
      <c r="G226" s="143">
        <v>19647067.25</v>
      </c>
      <c r="H226" s="4">
        <v>1</v>
      </c>
      <c r="I226" s="143">
        <v>937.20630000000006</v>
      </c>
      <c r="J226" s="144">
        <v>0.90511196111832826</v>
      </c>
      <c r="K226" s="145">
        <v>3.9668390207758947E-2</v>
      </c>
      <c r="L226" s="146">
        <v>100</v>
      </c>
      <c r="M226" s="58">
        <v>100</v>
      </c>
      <c r="N226" s="58">
        <v>100</v>
      </c>
      <c r="O226" s="147">
        <v>89</v>
      </c>
      <c r="P226" s="148">
        <v>8.4457022324510994E-2</v>
      </c>
      <c r="Q226" s="148">
        <v>7.1151167652519998E-2</v>
      </c>
      <c r="R226" s="148">
        <v>6.0889110409496003E-2</v>
      </c>
      <c r="S226" s="153">
        <v>0.15867356083103579</v>
      </c>
      <c r="T226" s="154">
        <v>9.1333665614243997E-2</v>
      </c>
      <c r="U226" s="155">
        <v>30</v>
      </c>
      <c r="V226" s="159">
        <v>0.27767873145431266</v>
      </c>
      <c r="W226" s="160">
        <v>0.18266733122848799</v>
      </c>
      <c r="X226" s="161">
        <v>60</v>
      </c>
      <c r="Y226" s="165">
        <v>0.35701551186983049</v>
      </c>
      <c r="Z226" s="166">
        <v>0.27400099684273199</v>
      </c>
      <c r="AA226" s="167">
        <v>90</v>
      </c>
    </row>
    <row r="227" spans="2:27" x14ac:dyDescent="0.25">
      <c r="B227" s="51" t="s">
        <v>2473</v>
      </c>
      <c r="C227" s="4" t="s">
        <v>4361</v>
      </c>
      <c r="D227" s="142" t="e">
        <v>#VALUE!</v>
      </c>
      <c r="E227" s="142" t="e">
        <v>#VALUE!</v>
      </c>
      <c r="F227" s="4" t="s">
        <v>592</v>
      </c>
      <c r="G227" s="143">
        <v>6000000</v>
      </c>
      <c r="H227" s="4">
        <v>2</v>
      </c>
      <c r="I227" s="143">
        <v>1002.85348025</v>
      </c>
      <c r="J227" s="144">
        <v>1.4171830866324024</v>
      </c>
      <c r="K227" s="145">
        <v>1.715352614167184E-2</v>
      </c>
      <c r="L227" s="146">
        <v>67</v>
      </c>
      <c r="M227" s="58">
        <v>67</v>
      </c>
      <c r="N227" s="58">
        <v>19</v>
      </c>
      <c r="O227" s="147">
        <v>5</v>
      </c>
      <c r="P227" s="148">
        <v>4.4372651152019001E-2</v>
      </c>
      <c r="Q227" s="148">
        <v>3.5406486224515997E-2</v>
      </c>
      <c r="R227" s="148">
        <v>2.8491387570228999E-2</v>
      </c>
      <c r="S227" s="153">
        <v>8.5767630708359202E-2</v>
      </c>
      <c r="T227" s="154">
        <v>5.6982775140457999E-2</v>
      </c>
      <c r="U227" s="155">
        <v>27.8</v>
      </c>
      <c r="V227" s="159">
        <v>0.13722820913337472</v>
      </c>
      <c r="W227" s="160">
        <v>0.113965550280916</v>
      </c>
      <c r="X227" s="161">
        <v>55.6</v>
      </c>
      <c r="Y227" s="165">
        <v>0.1715352614167184</v>
      </c>
      <c r="Z227" s="166">
        <v>0.170948325421374</v>
      </c>
      <c r="AA227" s="167">
        <v>83.4</v>
      </c>
    </row>
    <row r="228" spans="2:27" x14ac:dyDescent="0.25">
      <c r="B228" s="51" t="s">
        <v>3387</v>
      </c>
      <c r="C228" s="4" t="s">
        <v>4362</v>
      </c>
      <c r="D228" s="142" t="e">
        <v>#VALUE!</v>
      </c>
      <c r="E228" s="142" t="e">
        <v>#VALUE!</v>
      </c>
      <c r="F228" s="4" t="s">
        <v>592</v>
      </c>
      <c r="G228" s="143">
        <v>50000000</v>
      </c>
      <c r="H228" s="4">
        <v>5</v>
      </c>
      <c r="I228" s="143">
        <v>583333.30000000005</v>
      </c>
      <c r="J228" s="144">
        <v>2.5884686087958411</v>
      </c>
      <c r="K228" s="145">
        <v>2.3886275152055353E-2</v>
      </c>
      <c r="L228" s="146">
        <v>17</v>
      </c>
      <c r="M228" s="58">
        <v>17</v>
      </c>
      <c r="N228" s="58">
        <v>2</v>
      </c>
      <c r="O228" s="147">
        <v>1</v>
      </c>
      <c r="P228" s="148">
        <v>2.4762764748028999E-2</v>
      </c>
      <c r="Q228" s="148">
        <v>1.906421797114E-2</v>
      </c>
      <c r="R228" s="148">
        <v>1.4669249390161E-2</v>
      </c>
      <c r="S228" s="153">
        <v>0.11943137576027676</v>
      </c>
      <c r="T228" s="154">
        <v>0.03</v>
      </c>
      <c r="U228" s="155">
        <v>6.1000000000000005</v>
      </c>
      <c r="V228" s="159">
        <v>0.19109020121644282</v>
      </c>
      <c r="W228" s="160">
        <v>0.06</v>
      </c>
      <c r="X228" s="161">
        <v>12.200000000000001</v>
      </c>
      <c r="Y228" s="165">
        <v>0.23886275152055353</v>
      </c>
      <c r="Z228" s="166">
        <v>0.12</v>
      </c>
      <c r="AA228" s="167">
        <v>18.3</v>
      </c>
    </row>
    <row r="229" spans="2:27" x14ac:dyDescent="0.25">
      <c r="B229" s="51" t="s">
        <v>3653</v>
      </c>
      <c r="C229" s="4" t="s">
        <v>4363</v>
      </c>
      <c r="D229" s="142" t="e">
        <v>#VALUE!</v>
      </c>
      <c r="E229" s="142" t="e">
        <v>#VALUE!</v>
      </c>
      <c r="F229" s="4" t="s">
        <v>592</v>
      </c>
      <c r="G229" s="143">
        <v>18800000</v>
      </c>
      <c r="H229" s="4">
        <v>4</v>
      </c>
      <c r="I229" s="143">
        <v>677677.72471443005</v>
      </c>
      <c r="J229" s="144">
        <v>2.0821754212339023</v>
      </c>
      <c r="K229" s="145">
        <v>8.9032395730971992E-2</v>
      </c>
      <c r="L229" s="146">
        <v>2</v>
      </c>
      <c r="M229" s="58">
        <v>2</v>
      </c>
      <c r="N229" s="58">
        <v>1</v>
      </c>
      <c r="O229" s="147">
        <v>1</v>
      </c>
      <c r="P229" s="148">
        <v>1.2427739631372999E-2</v>
      </c>
      <c r="Q229" s="148">
        <v>9.0918613946077004E-3</v>
      </c>
      <c r="R229" s="148">
        <v>6.5190861565386001E-3</v>
      </c>
      <c r="S229" s="153">
        <v>0.44516197865485996</v>
      </c>
      <c r="T229" s="154">
        <v>0.03</v>
      </c>
      <c r="U229" s="155">
        <v>5</v>
      </c>
      <c r="V229" s="159">
        <v>0.71225916584777593</v>
      </c>
      <c r="W229" s="160">
        <v>0.06</v>
      </c>
      <c r="X229" s="161">
        <v>10</v>
      </c>
      <c r="Y229" s="165">
        <v>0.89032395730971992</v>
      </c>
      <c r="Z229" s="166">
        <v>0.12</v>
      </c>
      <c r="AA229" s="167">
        <v>15</v>
      </c>
    </row>
    <row r="230" spans="2:27" x14ac:dyDescent="0.25">
      <c r="B230" s="51" t="s">
        <v>2484</v>
      </c>
      <c r="C230" s="4" t="s">
        <v>4364</v>
      </c>
      <c r="D230" s="142" t="e">
        <v>#VALUE!</v>
      </c>
      <c r="E230" s="142" t="e">
        <v>#VALUE!</v>
      </c>
      <c r="F230" s="4" t="s">
        <v>592</v>
      </c>
      <c r="G230" s="143">
        <v>3000000</v>
      </c>
      <c r="H230" s="4">
        <v>3</v>
      </c>
      <c r="I230" s="143">
        <v>82833.019530642996</v>
      </c>
      <c r="J230" s="144">
        <v>1.6911173038036409</v>
      </c>
      <c r="K230" s="145">
        <v>2.6778513155396776E-2</v>
      </c>
      <c r="L230" s="146">
        <v>2</v>
      </c>
      <c r="M230" s="58">
        <v>2</v>
      </c>
      <c r="N230" s="58">
        <v>1</v>
      </c>
      <c r="O230" s="147">
        <v>1</v>
      </c>
      <c r="P230" s="148">
        <v>1.3389772498117E-2</v>
      </c>
      <c r="Q230" s="148">
        <v>9.5943493093350006E-3</v>
      </c>
      <c r="R230" s="148">
        <v>6.6671528995649E-3</v>
      </c>
      <c r="S230" s="153">
        <v>0.13389256577698389</v>
      </c>
      <c r="T230" s="154">
        <v>0.03</v>
      </c>
      <c r="U230" s="155">
        <v>5</v>
      </c>
      <c r="V230" s="159">
        <v>0.2142281052431742</v>
      </c>
      <c r="W230" s="160">
        <v>0.06</v>
      </c>
      <c r="X230" s="161">
        <v>10</v>
      </c>
      <c r="Y230" s="165">
        <v>0.26778513155396777</v>
      </c>
      <c r="Z230" s="166">
        <v>0.12</v>
      </c>
      <c r="AA230" s="167">
        <v>15</v>
      </c>
    </row>
    <row r="231" spans="2:27" x14ac:dyDescent="0.25">
      <c r="B231" s="51" t="s">
        <v>2889</v>
      </c>
      <c r="C231" s="4" t="s">
        <v>4365</v>
      </c>
      <c r="D231" s="142" t="e">
        <v>#VALUE!</v>
      </c>
      <c r="E231" s="142" t="e">
        <v>#VALUE!</v>
      </c>
      <c r="F231" s="4" t="s">
        <v>592</v>
      </c>
      <c r="G231" s="143">
        <v>6000000</v>
      </c>
      <c r="H231" s="4">
        <v>6</v>
      </c>
      <c r="I231" s="143">
        <v>999.98170000000005</v>
      </c>
      <c r="J231" s="144">
        <v>3.4752655776654877</v>
      </c>
      <c r="K231" s="145">
        <v>5.5234064285958279E-3</v>
      </c>
      <c r="L231" s="146">
        <v>1</v>
      </c>
      <c r="M231" s="58">
        <v>1</v>
      </c>
      <c r="N231" s="58">
        <v>1</v>
      </c>
      <c r="O231" s="147">
        <v>1</v>
      </c>
      <c r="P231" s="148">
        <v>1.9974841447221001E-3</v>
      </c>
      <c r="Q231" s="148">
        <v>9.4166400696406999E-4</v>
      </c>
      <c r="R231" s="148">
        <v>1E-4</v>
      </c>
      <c r="S231" s="153">
        <v>7.4999999999999997E-2</v>
      </c>
      <c r="T231" s="154">
        <v>0.03</v>
      </c>
      <c r="U231" s="155">
        <v>5</v>
      </c>
      <c r="V231" s="159">
        <v>0.125</v>
      </c>
      <c r="W231" s="160">
        <v>0.06</v>
      </c>
      <c r="X231" s="161">
        <v>10</v>
      </c>
      <c r="Y231" s="165">
        <v>0.15</v>
      </c>
      <c r="Z231" s="166">
        <v>0.12</v>
      </c>
      <c r="AA231" s="167">
        <v>15</v>
      </c>
    </row>
    <row r="232" spans="2:27" x14ac:dyDescent="0.25">
      <c r="B232" s="51" t="s">
        <v>2488</v>
      </c>
      <c r="C232" s="4" t="s">
        <v>4366</v>
      </c>
      <c r="D232" s="142" t="e">
        <v>#VALUE!</v>
      </c>
      <c r="E232" s="142" t="e">
        <v>#VALUE!</v>
      </c>
      <c r="F232" s="4" t="s">
        <v>592</v>
      </c>
      <c r="G232" s="143">
        <v>11998115.630000001</v>
      </c>
      <c r="H232" s="4">
        <v>6</v>
      </c>
      <c r="I232" s="143">
        <v>160789.04999999999</v>
      </c>
      <c r="J232" s="144">
        <v>2.9589098407254739</v>
      </c>
      <c r="K232" s="145">
        <v>1.5163646769150394E-2</v>
      </c>
      <c r="L232" s="146">
        <v>1</v>
      </c>
      <c r="M232" s="58">
        <v>1</v>
      </c>
      <c r="N232" s="58">
        <v>1</v>
      </c>
      <c r="O232" s="147">
        <v>1</v>
      </c>
      <c r="P232" s="148">
        <v>4.5757452232274998E-3</v>
      </c>
      <c r="Q232" s="148">
        <v>2.9424852365794001E-3</v>
      </c>
      <c r="R232" s="148">
        <v>1.6828436811215999E-3</v>
      </c>
      <c r="S232" s="153">
        <v>6.25E-2</v>
      </c>
      <c r="T232" s="154">
        <v>0.02</v>
      </c>
      <c r="U232" s="155">
        <v>5</v>
      </c>
      <c r="V232" s="159">
        <v>0.10614552738405275</v>
      </c>
      <c r="W232" s="160">
        <v>0.04</v>
      </c>
      <c r="X232" s="161">
        <v>10</v>
      </c>
      <c r="Y232" s="165">
        <v>0.13647282092235355</v>
      </c>
      <c r="Z232" s="166">
        <v>0.08</v>
      </c>
      <c r="AA232" s="167">
        <v>15</v>
      </c>
    </row>
    <row r="233" spans="2:27" x14ac:dyDescent="0.25">
      <c r="B233" s="51" t="s">
        <v>2215</v>
      </c>
      <c r="C233" s="4" t="s">
        <v>4367</v>
      </c>
      <c r="D233" s="142" t="e">
        <v>#VALUE!</v>
      </c>
      <c r="E233" s="142" t="e">
        <v>#VALUE!</v>
      </c>
      <c r="F233" s="4" t="s">
        <v>592</v>
      </c>
      <c r="G233" s="143">
        <v>14000000</v>
      </c>
      <c r="H233" s="4">
        <v>6</v>
      </c>
      <c r="I233" s="143">
        <v>700000</v>
      </c>
      <c r="J233" s="144">
        <v>2.6975250004997009</v>
      </c>
      <c r="K233" s="145">
        <v>2.2298379879196337E-2</v>
      </c>
      <c r="L233" s="146">
        <v>1</v>
      </c>
      <c r="M233" s="58">
        <v>1</v>
      </c>
      <c r="N233" s="58">
        <v>1</v>
      </c>
      <c r="O233" s="147">
        <v>1</v>
      </c>
      <c r="P233" s="148">
        <v>9.3921187570141004E-3</v>
      </c>
      <c r="Q233" s="148">
        <v>6.5738677574463996E-3</v>
      </c>
      <c r="R233" s="148">
        <v>4.4003092904619E-3</v>
      </c>
      <c r="S233" s="153">
        <v>0.11149189939598168</v>
      </c>
      <c r="T233" s="154">
        <v>0.03</v>
      </c>
      <c r="U233" s="155">
        <v>5</v>
      </c>
      <c r="V233" s="159">
        <v>0.1783870390335707</v>
      </c>
      <c r="W233" s="160">
        <v>0.06</v>
      </c>
      <c r="X233" s="161">
        <v>10</v>
      </c>
      <c r="Y233" s="165">
        <v>0.22298379879196337</v>
      </c>
      <c r="Z233" s="166">
        <v>0.12</v>
      </c>
      <c r="AA233" s="167">
        <v>15</v>
      </c>
    </row>
    <row r="234" spans="2:27" x14ac:dyDescent="0.25">
      <c r="B234" s="51" t="s">
        <v>3635</v>
      </c>
      <c r="C234" s="4" t="s">
        <v>4368</v>
      </c>
      <c r="D234" s="142" t="e">
        <v>#VALUE!</v>
      </c>
      <c r="E234" s="142" t="e">
        <v>#VALUE!</v>
      </c>
      <c r="F234" s="4" t="s">
        <v>592</v>
      </c>
      <c r="G234" s="143">
        <v>17850000</v>
      </c>
      <c r="H234" s="4">
        <v>6</v>
      </c>
      <c r="I234" s="143">
        <v>19625.553</v>
      </c>
      <c r="J234" s="144">
        <v>3.0851016951194801</v>
      </c>
      <c r="K234" s="145">
        <v>5.8814877025379327E-3</v>
      </c>
      <c r="L234" s="146">
        <v>1</v>
      </c>
      <c r="M234" s="58">
        <v>1</v>
      </c>
      <c r="N234" s="58">
        <v>1</v>
      </c>
      <c r="O234" s="147">
        <v>1</v>
      </c>
      <c r="P234" s="148">
        <v>1.0826081368588999E-2</v>
      </c>
      <c r="Q234" s="148">
        <v>8.4305549063006992E-3</v>
      </c>
      <c r="R234" s="148">
        <v>6.5830200963099003E-3</v>
      </c>
      <c r="S234" s="153">
        <v>7.4999999999999997E-2</v>
      </c>
      <c r="T234" s="154">
        <v>0.03</v>
      </c>
      <c r="U234" s="155">
        <v>5</v>
      </c>
      <c r="V234" s="159">
        <v>0.125</v>
      </c>
      <c r="W234" s="160">
        <v>0.06</v>
      </c>
      <c r="X234" s="161">
        <v>10</v>
      </c>
      <c r="Y234" s="165">
        <v>0.15</v>
      </c>
      <c r="Z234" s="166">
        <v>0.12</v>
      </c>
      <c r="AA234" s="167">
        <v>15</v>
      </c>
    </row>
    <row r="235" spans="2:27" x14ac:dyDescent="0.25">
      <c r="B235" s="51" t="s">
        <v>3879</v>
      </c>
      <c r="C235" s="4" t="s">
        <v>4369</v>
      </c>
      <c r="D235" s="142" t="e">
        <v>#VALUE!</v>
      </c>
      <c r="E235" s="142" t="e">
        <v>#VALUE!</v>
      </c>
      <c r="F235" s="4" t="s">
        <v>592</v>
      </c>
      <c r="G235" s="143">
        <v>669433.76760000002</v>
      </c>
      <c r="H235" s="4">
        <v>6</v>
      </c>
      <c r="I235" s="143">
        <v>1009.6836499999999</v>
      </c>
      <c r="J235" s="144">
        <v>2.7678654397482214</v>
      </c>
      <c r="K235" s="145">
        <v>2.2055001449293606E-3</v>
      </c>
      <c r="L235" s="146">
        <v>1</v>
      </c>
      <c r="M235" s="58">
        <v>1</v>
      </c>
      <c r="N235" s="58">
        <v>1</v>
      </c>
      <c r="O235" s="147">
        <v>1</v>
      </c>
      <c r="P235" s="148">
        <v>2.6831770375403E-3</v>
      </c>
      <c r="Q235" s="148">
        <v>1.4169406994454E-3</v>
      </c>
      <c r="R235" s="148">
        <v>4.4036383872873001E-4</v>
      </c>
      <c r="S235" s="153">
        <v>0.05</v>
      </c>
      <c r="T235" s="154">
        <v>1.4999999999999999E-2</v>
      </c>
      <c r="U235" s="155">
        <v>5</v>
      </c>
      <c r="V235" s="159">
        <v>7.4999999999999997E-2</v>
      </c>
      <c r="W235" s="160">
        <v>0.03</v>
      </c>
      <c r="X235" s="161">
        <v>10</v>
      </c>
      <c r="Y235" s="165">
        <v>0.1</v>
      </c>
      <c r="Z235" s="166">
        <v>0.06</v>
      </c>
      <c r="AA235" s="167">
        <v>15</v>
      </c>
    </row>
    <row r="236" spans="2:27" x14ac:dyDescent="0.25">
      <c r="B236" s="51" t="s">
        <v>3878</v>
      </c>
      <c r="C236" s="4" t="s">
        <v>4370</v>
      </c>
      <c r="D236" s="142" t="e">
        <v>#VALUE!</v>
      </c>
      <c r="E236" s="142" t="e">
        <v>#VALUE!</v>
      </c>
      <c r="F236" s="4" t="s">
        <v>592</v>
      </c>
      <c r="G236" s="143">
        <v>1448340.274</v>
      </c>
      <c r="H236" s="4">
        <v>6</v>
      </c>
      <c r="I236" s="143">
        <v>1002.9509</v>
      </c>
      <c r="J236" s="144">
        <v>2.9999051888981367</v>
      </c>
      <c r="K236" s="145">
        <v>2.0315944350178493E-3</v>
      </c>
      <c r="L236" s="146">
        <v>1</v>
      </c>
      <c r="M236" s="58">
        <v>1</v>
      </c>
      <c r="N236" s="58">
        <v>1</v>
      </c>
      <c r="O236" s="147">
        <v>1</v>
      </c>
      <c r="P236" s="148">
        <v>3.5154864275745001E-3</v>
      </c>
      <c r="Q236" s="148">
        <v>2.0348152682724001E-3</v>
      </c>
      <c r="R236" s="148">
        <v>8.9285689209697E-4</v>
      </c>
      <c r="S236" s="153">
        <v>0.05</v>
      </c>
      <c r="T236" s="154">
        <v>1.4999999999999999E-2</v>
      </c>
      <c r="U236" s="155">
        <v>5</v>
      </c>
      <c r="V236" s="159">
        <v>7.4999999999999997E-2</v>
      </c>
      <c r="W236" s="160">
        <v>0.03</v>
      </c>
      <c r="X236" s="161">
        <v>10</v>
      </c>
      <c r="Y236" s="165">
        <v>0.1</v>
      </c>
      <c r="Z236" s="166">
        <v>0.06</v>
      </c>
      <c r="AA236" s="167">
        <v>15</v>
      </c>
    </row>
    <row r="237" spans="2:27" x14ac:dyDescent="0.25">
      <c r="B237" s="51" t="s">
        <v>3408</v>
      </c>
      <c r="C237" s="4" t="s">
        <v>4371</v>
      </c>
      <c r="D237" s="142" t="e">
        <v>#VALUE!</v>
      </c>
      <c r="E237" s="142" t="e">
        <v>#VALUE!</v>
      </c>
      <c r="F237" s="4" t="s">
        <v>592</v>
      </c>
      <c r="G237" s="143">
        <v>11555759.91</v>
      </c>
      <c r="H237" s="4">
        <v>2</v>
      </c>
      <c r="I237" s="143">
        <v>1001.57916</v>
      </c>
      <c r="J237" s="144">
        <v>1.2157374620496884</v>
      </c>
      <c r="K237" s="145">
        <v>3.9668390207758947E-2</v>
      </c>
      <c r="L237" s="146">
        <v>75</v>
      </c>
      <c r="M237" s="58">
        <v>75</v>
      </c>
      <c r="N237" s="58">
        <v>16</v>
      </c>
      <c r="O237" s="147">
        <v>3</v>
      </c>
      <c r="P237" s="148">
        <v>3.9003186874760003E-2</v>
      </c>
      <c r="Q237" s="148">
        <v>3.1625750660826998E-2</v>
      </c>
      <c r="R237" s="148">
        <v>2.5935949095993002E-2</v>
      </c>
      <c r="S237" s="153">
        <v>0.19834195103879473</v>
      </c>
      <c r="T237" s="154">
        <v>5.1871898191986003E-2</v>
      </c>
      <c r="U237" s="155">
        <v>28.5</v>
      </c>
      <c r="V237" s="159">
        <v>0.31734712166207157</v>
      </c>
      <c r="W237" s="160">
        <v>0.10374379638397201</v>
      </c>
      <c r="X237" s="161">
        <v>57</v>
      </c>
      <c r="Y237" s="165">
        <v>0.39668390207758947</v>
      </c>
      <c r="Z237" s="166">
        <v>0.155615694575958</v>
      </c>
      <c r="AA237" s="167">
        <v>85.5</v>
      </c>
    </row>
    <row r="238" spans="2:27" x14ac:dyDescent="0.25">
      <c r="B238" s="51" t="s">
        <v>3647</v>
      </c>
      <c r="C238" s="4" t="s">
        <v>4372</v>
      </c>
      <c r="D238" s="142" t="e">
        <v>#VALUE!</v>
      </c>
      <c r="E238" s="142" t="e">
        <v>#VALUE!</v>
      </c>
      <c r="F238" s="4" t="s">
        <v>592</v>
      </c>
      <c r="G238" s="143">
        <v>13425888.25</v>
      </c>
      <c r="H238" s="4">
        <v>5</v>
      </c>
      <c r="I238" s="143">
        <v>29061.067999999999</v>
      </c>
      <c r="J238" s="144">
        <v>2.3897564929875936</v>
      </c>
      <c r="K238" s="145">
        <v>1.2483844744542456E-2</v>
      </c>
      <c r="L238" s="146">
        <v>4</v>
      </c>
      <c r="M238" s="58">
        <v>4</v>
      </c>
      <c r="N238" s="58">
        <v>1</v>
      </c>
      <c r="O238" s="147">
        <v>1</v>
      </c>
      <c r="P238" s="148">
        <v>1.4854238780621001E-2</v>
      </c>
      <c r="Q238" s="148">
        <v>1.1158796486630001E-2</v>
      </c>
      <c r="R238" s="148">
        <v>8.3087097170037004E-3</v>
      </c>
      <c r="S238" s="153">
        <v>6.25E-2</v>
      </c>
      <c r="T238" s="154">
        <v>0.02</v>
      </c>
      <c r="U238" s="155">
        <v>5</v>
      </c>
      <c r="V238" s="159">
        <v>0.1</v>
      </c>
      <c r="W238" s="160">
        <v>0.04</v>
      </c>
      <c r="X238" s="161">
        <v>10</v>
      </c>
      <c r="Y238" s="165">
        <v>0.125</v>
      </c>
      <c r="Z238" s="166">
        <v>0.08</v>
      </c>
      <c r="AA238" s="167">
        <v>15</v>
      </c>
    </row>
    <row r="239" spans="2:27" x14ac:dyDescent="0.25">
      <c r="B239" s="51" t="s">
        <v>2114</v>
      </c>
      <c r="C239" s="4" t="s">
        <v>4373</v>
      </c>
      <c r="D239" s="142" t="e">
        <v>#VALUE!</v>
      </c>
      <c r="E239" s="142" t="e">
        <v>#VALUE!</v>
      </c>
      <c r="F239" s="4" t="s">
        <v>592</v>
      </c>
      <c r="G239" s="143">
        <v>18570852.300000001</v>
      </c>
      <c r="H239" s="4">
        <v>3</v>
      </c>
      <c r="I239" s="143">
        <v>1030.0096000000001</v>
      </c>
      <c r="J239" s="144">
        <v>1.7264613351545073</v>
      </c>
      <c r="K239" s="145">
        <v>6.641045122615854E-3</v>
      </c>
      <c r="L239" s="146">
        <v>100</v>
      </c>
      <c r="M239" s="58">
        <v>100</v>
      </c>
      <c r="N239" s="58">
        <v>100</v>
      </c>
      <c r="O239" s="147">
        <v>69</v>
      </c>
      <c r="P239" s="148">
        <v>7.9718812299071004E-2</v>
      </c>
      <c r="Q239" s="148">
        <v>6.6841129902371996E-2</v>
      </c>
      <c r="R239" s="148">
        <v>5.6909297850232E-2</v>
      </c>
      <c r="S239" s="153">
        <v>6.25E-2</v>
      </c>
      <c r="T239" s="154">
        <v>8.5363946775348004E-2</v>
      </c>
      <c r="U239" s="155">
        <v>30</v>
      </c>
      <c r="V239" s="159">
        <v>0.1</v>
      </c>
      <c r="W239" s="160">
        <v>0.17072789355069601</v>
      </c>
      <c r="X239" s="161">
        <v>60</v>
      </c>
      <c r="Y239" s="165">
        <v>0.125</v>
      </c>
      <c r="Z239" s="166">
        <v>0.25609184032604398</v>
      </c>
      <c r="AA239" s="167">
        <v>90</v>
      </c>
    </row>
    <row r="240" spans="2:27" x14ac:dyDescent="0.25">
      <c r="B240" s="51" t="s">
        <v>2811</v>
      </c>
      <c r="C240" s="4" t="s">
        <v>4374</v>
      </c>
      <c r="D240" s="142" t="e">
        <v>#VALUE!</v>
      </c>
      <c r="E240" s="142" t="e">
        <v>#VALUE!</v>
      </c>
      <c r="F240" s="4" t="s">
        <v>592</v>
      </c>
      <c r="G240" s="143">
        <v>121147997.3</v>
      </c>
      <c r="H240" s="4">
        <v>1</v>
      </c>
      <c r="I240" s="143">
        <v>17.57188</v>
      </c>
      <c r="J240" s="144">
        <v>1.0773126176564694</v>
      </c>
      <c r="K240" s="145">
        <v>2.7301550110896487E-2</v>
      </c>
      <c r="L240" s="146">
        <v>12</v>
      </c>
      <c r="M240" s="58">
        <v>12</v>
      </c>
      <c r="N240" s="58">
        <v>1</v>
      </c>
      <c r="O240" s="147">
        <v>1</v>
      </c>
      <c r="P240" s="148">
        <v>2.0170392491503E-2</v>
      </c>
      <c r="Q240" s="148">
        <v>1.5697579417908999E-2</v>
      </c>
      <c r="R240" s="148">
        <v>1.2247950293731E-2</v>
      </c>
      <c r="S240" s="153">
        <v>8.1904650332689455E-2</v>
      </c>
      <c r="T240" s="154">
        <v>1.4999999999999999E-2</v>
      </c>
      <c r="U240" s="155">
        <v>5</v>
      </c>
      <c r="V240" s="159">
        <v>0.16380930066537891</v>
      </c>
      <c r="W240" s="160">
        <v>0.03</v>
      </c>
      <c r="X240" s="161">
        <v>10</v>
      </c>
      <c r="Y240" s="165">
        <v>0.2184124008871719</v>
      </c>
      <c r="Z240" s="166">
        <v>0.06</v>
      </c>
      <c r="AA240" s="167">
        <v>15</v>
      </c>
    </row>
    <row r="241" spans="2:27" x14ac:dyDescent="0.25">
      <c r="B241" s="51" t="s">
        <v>1623</v>
      </c>
      <c r="C241" s="4" t="s">
        <v>4375</v>
      </c>
      <c r="D241" s="142" t="e">
        <v>#VALUE!</v>
      </c>
      <c r="E241" s="142" t="e">
        <v>#VALUE!</v>
      </c>
      <c r="F241" s="4" t="s">
        <v>592</v>
      </c>
      <c r="G241" s="143">
        <v>50000000</v>
      </c>
      <c r="H241" s="4">
        <v>2</v>
      </c>
      <c r="I241" s="143">
        <v>16.017078000000001</v>
      </c>
      <c r="J241" s="144">
        <v>1.3561735934808132</v>
      </c>
      <c r="K241" s="145">
        <v>2.7301550110896487E-2</v>
      </c>
      <c r="L241" s="146">
        <v>1</v>
      </c>
      <c r="M241" s="58">
        <v>1</v>
      </c>
      <c r="N241" s="58">
        <v>1</v>
      </c>
      <c r="O241" s="147">
        <v>1</v>
      </c>
      <c r="P241" s="148">
        <v>6.4834193138152002E-3</v>
      </c>
      <c r="Q241" s="148">
        <v>4.4933787880053E-3</v>
      </c>
      <c r="R241" s="148">
        <v>2.9585724718964E-3</v>
      </c>
      <c r="S241" s="153">
        <v>8.1904650332689455E-2</v>
      </c>
      <c r="T241" s="154">
        <v>1.4999999999999999E-2</v>
      </c>
      <c r="U241" s="155">
        <v>5</v>
      </c>
      <c r="V241" s="159">
        <v>0.16380930066537891</v>
      </c>
      <c r="W241" s="160">
        <v>0.03</v>
      </c>
      <c r="X241" s="161">
        <v>10</v>
      </c>
      <c r="Y241" s="165">
        <v>0.2184124008871719</v>
      </c>
      <c r="Z241" s="166">
        <v>0.06</v>
      </c>
      <c r="AA241" s="167">
        <v>15</v>
      </c>
    </row>
    <row r="242" spans="2:27" x14ac:dyDescent="0.25">
      <c r="B242" s="51" t="s">
        <v>3550</v>
      </c>
      <c r="C242" s="4" t="s">
        <v>4376</v>
      </c>
      <c r="D242" s="142" t="e">
        <v>#VALUE!</v>
      </c>
      <c r="E242" s="142" t="e">
        <v>#VALUE!</v>
      </c>
      <c r="F242" s="4" t="s">
        <v>592</v>
      </c>
      <c r="G242" s="143">
        <v>1420492.1980000001</v>
      </c>
      <c r="H242" s="4">
        <v>6</v>
      </c>
      <c r="I242" s="143">
        <v>45672.616999999998</v>
      </c>
      <c r="J242" s="144">
        <v>3.092433415861259</v>
      </c>
      <c r="K242" s="145">
        <v>4.672281672243009E-3</v>
      </c>
      <c r="L242" s="146">
        <v>1</v>
      </c>
      <c r="M242" s="58">
        <v>1</v>
      </c>
      <c r="N242" s="58">
        <v>1</v>
      </c>
      <c r="O242" s="147">
        <v>1</v>
      </c>
      <c r="P242" s="148">
        <v>2.6877513233451999E-3</v>
      </c>
      <c r="Q242" s="148">
        <v>1.4841246892411E-3</v>
      </c>
      <c r="R242" s="148">
        <v>1E-4</v>
      </c>
      <c r="S242" s="153">
        <v>7.4999999999999997E-2</v>
      </c>
      <c r="T242" s="154">
        <v>0.03</v>
      </c>
      <c r="U242" s="155">
        <v>5</v>
      </c>
      <c r="V242" s="159">
        <v>0.125</v>
      </c>
      <c r="W242" s="160">
        <v>0.06</v>
      </c>
      <c r="X242" s="161">
        <v>10</v>
      </c>
      <c r="Y242" s="165">
        <v>0.15</v>
      </c>
      <c r="Z242" s="166">
        <v>0.12</v>
      </c>
      <c r="AA242" s="167">
        <v>15</v>
      </c>
    </row>
    <row r="243" spans="2:27" x14ac:dyDescent="0.25">
      <c r="B243" s="51" t="s">
        <v>4377</v>
      </c>
      <c r="C243" s="4" t="s">
        <v>4378</v>
      </c>
      <c r="D243" s="142" t="e">
        <v>#VALUE!</v>
      </c>
      <c r="E243" s="142" t="e">
        <v>#VALUE!</v>
      </c>
      <c r="F243" s="4" t="s">
        <v>592</v>
      </c>
      <c r="G243" s="143">
        <v>50000000</v>
      </c>
      <c r="H243" s="4" t="s">
        <v>592</v>
      </c>
      <c r="I243" s="143" t="s">
        <v>592</v>
      </c>
      <c r="J243" s="144" t="s">
        <v>146</v>
      </c>
      <c r="K243" s="145" t="e">
        <v>#N/A</v>
      </c>
      <c r="L243" s="146">
        <v>1</v>
      </c>
      <c r="M243" s="58">
        <v>1</v>
      </c>
      <c r="N243" s="58">
        <v>1</v>
      </c>
      <c r="O243" s="147">
        <v>1</v>
      </c>
      <c r="P243" s="148" t="e">
        <v>#N/A</v>
      </c>
      <c r="Q243" s="148" t="e">
        <v>#N/A</v>
      </c>
      <c r="R243" s="148" t="e">
        <v>#N/A</v>
      </c>
      <c r="S243" s="153" t="e">
        <v>#N/A</v>
      </c>
      <c r="T243" s="154" t="e">
        <v>#N/A</v>
      </c>
      <c r="U243" s="155">
        <v>5</v>
      </c>
      <c r="V243" s="159" t="e">
        <v>#N/A</v>
      </c>
      <c r="W243" s="160" t="e">
        <v>#N/A</v>
      </c>
      <c r="X243" s="161">
        <v>10</v>
      </c>
      <c r="Y243" s="165" t="e">
        <v>#N/A</v>
      </c>
      <c r="Z243" s="166" t="e">
        <v>#N/A</v>
      </c>
      <c r="AA243" s="167">
        <v>15</v>
      </c>
    </row>
    <row r="244" spans="2:27" x14ac:dyDescent="0.25">
      <c r="B244" s="51" t="s">
        <v>3909</v>
      </c>
      <c r="C244" s="4" t="s">
        <v>4379</v>
      </c>
      <c r="D244" s="142" t="e">
        <v>#VALUE!</v>
      </c>
      <c r="E244" s="142" t="e">
        <v>#VALUE!</v>
      </c>
      <c r="F244" s="4" t="s">
        <v>592</v>
      </c>
      <c r="G244" s="143">
        <v>50000000</v>
      </c>
      <c r="H244" s="4" t="s">
        <v>592</v>
      </c>
      <c r="I244" s="143" t="s">
        <v>592</v>
      </c>
      <c r="J244" s="144" t="s">
        <v>146</v>
      </c>
      <c r="K244" s="145" t="e">
        <v>#N/A</v>
      </c>
      <c r="L244" s="146">
        <v>1</v>
      </c>
      <c r="M244" s="58">
        <v>1</v>
      </c>
      <c r="N244" s="58">
        <v>1</v>
      </c>
      <c r="O244" s="147">
        <v>1</v>
      </c>
      <c r="P244" s="148" t="e">
        <v>#N/A</v>
      </c>
      <c r="Q244" s="148" t="e">
        <v>#N/A</v>
      </c>
      <c r="R244" s="148" t="e">
        <v>#N/A</v>
      </c>
      <c r="S244" s="153" t="e">
        <v>#N/A</v>
      </c>
      <c r="T244" s="154" t="e">
        <v>#N/A</v>
      </c>
      <c r="U244" s="155">
        <v>5</v>
      </c>
      <c r="V244" s="159" t="e">
        <v>#N/A</v>
      </c>
      <c r="W244" s="160" t="e">
        <v>#N/A</v>
      </c>
      <c r="X244" s="161">
        <v>10</v>
      </c>
      <c r="Y244" s="165" t="e">
        <v>#N/A</v>
      </c>
      <c r="Z244" s="166" t="e">
        <v>#N/A</v>
      </c>
      <c r="AA244" s="167">
        <v>15</v>
      </c>
    </row>
    <row r="245" spans="2:27" x14ac:dyDescent="0.25">
      <c r="B245" s="51" t="s">
        <v>3652</v>
      </c>
      <c r="C245" s="4" t="s">
        <v>4380</v>
      </c>
      <c r="D245" s="142" t="e">
        <v>#VALUE!</v>
      </c>
      <c r="E245" s="142" t="e">
        <v>#VALUE!</v>
      </c>
      <c r="F245" s="4" t="s">
        <v>592</v>
      </c>
      <c r="G245" s="143">
        <v>8800000</v>
      </c>
      <c r="H245" s="4">
        <v>6</v>
      </c>
      <c r="I245" s="143">
        <v>555555.56000000006</v>
      </c>
      <c r="J245" s="144">
        <v>2.7211685884934043</v>
      </c>
      <c r="K245" s="145">
        <v>1.6759427545046959E-2</v>
      </c>
      <c r="L245" s="146">
        <v>1</v>
      </c>
      <c r="M245" s="58">
        <v>1</v>
      </c>
      <c r="N245" s="58">
        <v>1</v>
      </c>
      <c r="O245" s="147">
        <v>1</v>
      </c>
      <c r="P245" s="148">
        <v>7.2166026519688E-3</v>
      </c>
      <c r="Q245" s="148">
        <v>4.7206033604024998E-3</v>
      </c>
      <c r="R245" s="148">
        <v>2.7955795088707002E-3</v>
      </c>
      <c r="S245" s="153">
        <v>8.3797137725234797E-2</v>
      </c>
      <c r="T245" s="154">
        <v>0.03</v>
      </c>
      <c r="U245" s="155">
        <v>5</v>
      </c>
      <c r="V245" s="159">
        <v>0.13407542036037567</v>
      </c>
      <c r="W245" s="160">
        <v>0.06</v>
      </c>
      <c r="X245" s="161">
        <v>10</v>
      </c>
      <c r="Y245" s="165">
        <v>0.16759427545046959</v>
      </c>
      <c r="Z245" s="166">
        <v>0.12</v>
      </c>
      <c r="AA245" s="167">
        <v>15</v>
      </c>
    </row>
    <row r="246" spans="2:27" x14ac:dyDescent="0.25">
      <c r="B246" s="51" t="s">
        <v>3910</v>
      </c>
      <c r="C246" s="4" t="s">
        <v>4381</v>
      </c>
      <c r="D246" s="142" t="e">
        <v>#VALUE!</v>
      </c>
      <c r="E246" s="142" t="e">
        <v>#VALUE!</v>
      </c>
      <c r="F246" s="4" t="s">
        <v>592</v>
      </c>
      <c r="G246" s="143">
        <v>50000000</v>
      </c>
      <c r="H246" s="4" t="s">
        <v>592</v>
      </c>
      <c r="I246" s="143" t="s">
        <v>592</v>
      </c>
      <c r="J246" s="144" t="s">
        <v>146</v>
      </c>
      <c r="K246" s="145" t="e">
        <v>#N/A</v>
      </c>
      <c r="L246" s="146">
        <v>3</v>
      </c>
      <c r="M246" s="58">
        <v>3</v>
      </c>
      <c r="N246" s="58">
        <v>3</v>
      </c>
      <c r="O246" s="147">
        <v>3</v>
      </c>
      <c r="P246" s="148" t="e">
        <v>#N/A</v>
      </c>
      <c r="Q246" s="148" t="e">
        <v>#N/A</v>
      </c>
      <c r="R246" s="148" t="e">
        <v>#N/A</v>
      </c>
      <c r="S246" s="153" t="e">
        <v>#N/A</v>
      </c>
      <c r="T246" s="154" t="e">
        <v>#N/A</v>
      </c>
      <c r="U246" s="155">
        <v>5</v>
      </c>
      <c r="V246" s="159" t="e">
        <v>#N/A</v>
      </c>
      <c r="W246" s="160" t="e">
        <v>#N/A</v>
      </c>
      <c r="X246" s="161">
        <v>10</v>
      </c>
      <c r="Y246" s="165" t="e">
        <v>#N/A</v>
      </c>
      <c r="Z246" s="166" t="e">
        <v>#N/A</v>
      </c>
      <c r="AA246" s="167">
        <v>15</v>
      </c>
    </row>
    <row r="247" spans="2:27" x14ac:dyDescent="0.25">
      <c r="B247" s="51" t="s">
        <v>1579</v>
      </c>
      <c r="C247" s="4" t="s">
        <v>4382</v>
      </c>
      <c r="D247" s="142" t="e">
        <v>#VALUE!</v>
      </c>
      <c r="E247" s="142" t="e">
        <v>#VALUE!</v>
      </c>
      <c r="F247" s="4" t="s">
        <v>592</v>
      </c>
      <c r="G247" s="143">
        <v>10000000</v>
      </c>
      <c r="H247" s="4">
        <v>3</v>
      </c>
      <c r="I247" s="143">
        <v>35017.538714713999</v>
      </c>
      <c r="J247" s="144">
        <v>1.5306538486013201</v>
      </c>
      <c r="K247" s="145">
        <v>1.6380684257993879E-2</v>
      </c>
      <c r="L247" s="146">
        <v>100</v>
      </c>
      <c r="M247" s="58">
        <v>100</v>
      </c>
      <c r="N247" s="58">
        <v>45</v>
      </c>
      <c r="O247" s="147">
        <v>16</v>
      </c>
      <c r="P247" s="148">
        <v>5.8011475999692003E-2</v>
      </c>
      <c r="Q247" s="148">
        <v>4.7056172626105001E-2</v>
      </c>
      <c r="R247" s="148">
        <v>3.8606963379059001E-2</v>
      </c>
      <c r="S247" s="153">
        <v>8.19034212899694E-2</v>
      </c>
      <c r="T247" s="154">
        <v>7.7213926758118001E-2</v>
      </c>
      <c r="U247" s="155">
        <v>30</v>
      </c>
      <c r="V247" s="159">
        <v>0.13104547406395103</v>
      </c>
      <c r="W247" s="160">
        <v>0.154427853516236</v>
      </c>
      <c r="X247" s="161">
        <v>60</v>
      </c>
      <c r="Y247" s="165">
        <v>0.1638068425799388</v>
      </c>
      <c r="Z247" s="166">
        <v>0.231641780274354</v>
      </c>
      <c r="AA247" s="167">
        <v>90</v>
      </c>
    </row>
    <row r="248" spans="2:27" x14ac:dyDescent="0.25">
      <c r="B248" s="51" t="s">
        <v>3882</v>
      </c>
      <c r="C248" s="4" t="s">
        <v>4383</v>
      </c>
      <c r="D248" s="142" t="e">
        <v>#VALUE!</v>
      </c>
      <c r="E248" s="142" t="e">
        <v>#VALUE!</v>
      </c>
      <c r="F248" s="4" t="s">
        <v>592</v>
      </c>
      <c r="G248" s="143">
        <v>10400000</v>
      </c>
      <c r="H248" s="4">
        <v>7</v>
      </c>
      <c r="I248" s="143">
        <v>999.99940000000004</v>
      </c>
      <c r="J248" s="144">
        <v>3.5867762779668291</v>
      </c>
      <c r="K248" s="145">
        <v>1.1428466822844874E-2</v>
      </c>
      <c r="L248" s="146">
        <v>1</v>
      </c>
      <c r="M248" s="58">
        <v>1</v>
      </c>
      <c r="N248" s="58">
        <v>1</v>
      </c>
      <c r="O248" s="147">
        <v>1</v>
      </c>
      <c r="P248" s="148">
        <v>1.9628444222995999E-3</v>
      </c>
      <c r="Q248" s="148">
        <v>1.1129030034542E-3</v>
      </c>
      <c r="R248" s="148">
        <v>1E-4</v>
      </c>
      <c r="S248" s="153">
        <v>7.4999999999999997E-2</v>
      </c>
      <c r="T248" s="154">
        <v>0.03</v>
      </c>
      <c r="U248" s="155">
        <v>5</v>
      </c>
      <c r="V248" s="159">
        <v>0.125</v>
      </c>
      <c r="W248" s="160">
        <v>0.06</v>
      </c>
      <c r="X248" s="161">
        <v>10</v>
      </c>
      <c r="Y248" s="165">
        <v>0.15</v>
      </c>
      <c r="Z248" s="166">
        <v>0.12</v>
      </c>
      <c r="AA248" s="167">
        <v>15</v>
      </c>
    </row>
    <row r="249" spans="2:27" x14ac:dyDescent="0.25">
      <c r="B249" s="51" t="s">
        <v>2189</v>
      </c>
      <c r="C249" s="4" t="s">
        <v>4384</v>
      </c>
      <c r="D249" s="142" t="e">
        <v>#VALUE!</v>
      </c>
      <c r="E249" s="142" t="e">
        <v>#VALUE!</v>
      </c>
      <c r="F249" s="4" t="s">
        <v>592</v>
      </c>
      <c r="G249" s="143">
        <v>3000000</v>
      </c>
      <c r="H249" s="4">
        <v>1</v>
      </c>
      <c r="I249" s="143">
        <v>972.95851597000001</v>
      </c>
      <c r="J249" s="144">
        <v>1.0723789609153151</v>
      </c>
      <c r="K249" s="145">
        <v>1.6531357422917531E-2</v>
      </c>
      <c r="L249" s="146">
        <v>82</v>
      </c>
      <c r="M249" s="58">
        <v>82</v>
      </c>
      <c r="N249" s="58">
        <v>25</v>
      </c>
      <c r="O249" s="147">
        <v>8</v>
      </c>
      <c r="P249" s="148">
        <v>4.7997481936549E-2</v>
      </c>
      <c r="Q249" s="148">
        <v>3.8536365890697998E-2</v>
      </c>
      <c r="R249" s="148">
        <v>3.1239539280245001E-2</v>
      </c>
      <c r="S249" s="153">
        <v>8.2656787114587654E-2</v>
      </c>
      <c r="T249" s="154">
        <v>6.2479078560490002E-2</v>
      </c>
      <c r="U249" s="155">
        <v>30</v>
      </c>
      <c r="V249" s="159">
        <v>0.13225085938334025</v>
      </c>
      <c r="W249" s="160">
        <v>0.12495815712098</v>
      </c>
      <c r="X249" s="161">
        <v>60</v>
      </c>
      <c r="Y249" s="165">
        <v>0.16531357422917531</v>
      </c>
      <c r="Z249" s="166">
        <v>0.18743723568147</v>
      </c>
      <c r="AA249" s="167">
        <v>90</v>
      </c>
    </row>
    <row r="250" spans="2:27" x14ac:dyDescent="0.25">
      <c r="B250" s="51" t="s">
        <v>2224</v>
      </c>
      <c r="C250" s="4" t="s">
        <v>4385</v>
      </c>
      <c r="D250" s="142" t="e">
        <v>#VALUE!</v>
      </c>
      <c r="E250" s="142" t="e">
        <v>#VALUE!</v>
      </c>
      <c r="F250" s="4" t="s">
        <v>592</v>
      </c>
      <c r="G250" s="143">
        <v>1887341.5209999999</v>
      </c>
      <c r="H250" s="4">
        <v>5</v>
      </c>
      <c r="I250" s="143">
        <v>14678.571</v>
      </c>
      <c r="J250" s="144">
        <v>2.5317598006415367</v>
      </c>
      <c r="K250" s="145">
        <v>1.599928626056971E-3</v>
      </c>
      <c r="L250" s="146">
        <v>5</v>
      </c>
      <c r="M250" s="58">
        <v>5</v>
      </c>
      <c r="N250" s="58">
        <v>1</v>
      </c>
      <c r="O250" s="147">
        <v>1</v>
      </c>
      <c r="P250" s="148">
        <v>1.6740905669019999E-2</v>
      </c>
      <c r="Q250" s="148">
        <v>1.2176974432942E-2</v>
      </c>
      <c r="R250" s="148">
        <v>8.6570709955145E-3</v>
      </c>
      <c r="S250" s="153">
        <v>7.4999999999999997E-2</v>
      </c>
      <c r="T250" s="154">
        <v>0.03</v>
      </c>
      <c r="U250" s="155">
        <v>5</v>
      </c>
      <c r="V250" s="159">
        <v>0.125</v>
      </c>
      <c r="W250" s="160">
        <v>0.06</v>
      </c>
      <c r="X250" s="161">
        <v>10</v>
      </c>
      <c r="Y250" s="165">
        <v>0.15</v>
      </c>
      <c r="Z250" s="166">
        <v>0.12</v>
      </c>
      <c r="AA250" s="167">
        <v>15</v>
      </c>
    </row>
    <row r="251" spans="2:27" x14ac:dyDescent="0.25">
      <c r="B251" s="51" t="s">
        <v>2517</v>
      </c>
      <c r="C251" s="4" t="s">
        <v>4386</v>
      </c>
      <c r="D251" s="142" t="e">
        <v>#VALUE!</v>
      </c>
      <c r="E251" s="142" t="e">
        <v>#VALUE!</v>
      </c>
      <c r="F251" s="4" t="s">
        <v>592</v>
      </c>
      <c r="G251" s="143">
        <v>50000000</v>
      </c>
      <c r="H251" s="4">
        <v>6</v>
      </c>
      <c r="I251" s="143">
        <v>0</v>
      </c>
      <c r="J251" s="144">
        <v>2.9931764964211358</v>
      </c>
      <c r="K251" s="145">
        <v>1.3061384739934221E-3</v>
      </c>
      <c r="L251" s="146">
        <v>100</v>
      </c>
      <c r="M251" s="58">
        <v>100</v>
      </c>
      <c r="N251" s="58">
        <v>100</v>
      </c>
      <c r="O251" s="147">
        <v>72</v>
      </c>
      <c r="P251" s="148">
        <v>8.9568875756863994E-2</v>
      </c>
      <c r="Q251" s="148">
        <v>7.4276717388694E-2</v>
      </c>
      <c r="R251" s="148">
        <v>6.2482735836056999E-2</v>
      </c>
      <c r="S251" s="153">
        <v>6.25E-2</v>
      </c>
      <c r="T251" s="154">
        <v>9.3724103754085492E-2</v>
      </c>
      <c r="U251" s="155">
        <v>30</v>
      </c>
      <c r="V251" s="159">
        <v>0.1</v>
      </c>
      <c r="W251" s="160">
        <v>0.18744820750817098</v>
      </c>
      <c r="X251" s="161">
        <v>60</v>
      </c>
      <c r="Y251" s="165">
        <v>0.125</v>
      </c>
      <c r="Z251" s="166">
        <v>0.2811723112622565</v>
      </c>
      <c r="AA251" s="167">
        <v>90</v>
      </c>
    </row>
    <row r="252" spans="2:27" x14ac:dyDescent="0.25">
      <c r="B252" s="51" t="s">
        <v>2519</v>
      </c>
      <c r="C252" s="4" t="s">
        <v>4386</v>
      </c>
      <c r="D252" s="142" t="e">
        <v>#VALUE!</v>
      </c>
      <c r="E252" s="142" t="e">
        <v>#VALUE!</v>
      </c>
      <c r="F252" s="4" t="s">
        <v>592</v>
      </c>
      <c r="G252" s="143">
        <v>50000000</v>
      </c>
      <c r="H252" s="4">
        <v>6</v>
      </c>
      <c r="I252" s="143">
        <v>125000</v>
      </c>
      <c r="J252" s="144">
        <v>3.071569856221537</v>
      </c>
      <c r="K252" s="145">
        <v>1.6828307034679215E-3</v>
      </c>
      <c r="L252" s="146">
        <v>100</v>
      </c>
      <c r="M252" s="58">
        <v>100</v>
      </c>
      <c r="N252" s="58">
        <v>69</v>
      </c>
      <c r="O252" s="147">
        <v>28</v>
      </c>
      <c r="P252" s="148">
        <v>6.7698296516458006E-2</v>
      </c>
      <c r="Q252" s="148">
        <v>5.5337969437227998E-2</v>
      </c>
      <c r="R252" s="148">
        <v>4.5805144439782002E-2</v>
      </c>
      <c r="S252" s="153">
        <v>7.4999999999999997E-2</v>
      </c>
      <c r="T252" s="154">
        <v>9.1610288879564003E-2</v>
      </c>
      <c r="U252" s="155">
        <v>30</v>
      </c>
      <c r="V252" s="159">
        <v>0.125</v>
      </c>
      <c r="W252" s="160">
        <v>0.18322057775912801</v>
      </c>
      <c r="X252" s="161">
        <v>60</v>
      </c>
      <c r="Y252" s="165">
        <v>0.15</v>
      </c>
      <c r="Z252" s="166">
        <v>0.274830866638692</v>
      </c>
      <c r="AA252" s="167">
        <v>90</v>
      </c>
    </row>
    <row r="253" spans="2:27" x14ac:dyDescent="0.25">
      <c r="B253" s="51" t="s">
        <v>2521</v>
      </c>
      <c r="C253" s="4" t="s">
        <v>4386</v>
      </c>
      <c r="D253" s="142" t="e">
        <v>#VALUE!</v>
      </c>
      <c r="E253" s="142" t="e">
        <v>#VALUE!</v>
      </c>
      <c r="F253" s="4" t="s">
        <v>592</v>
      </c>
      <c r="G253" s="143">
        <v>50000000</v>
      </c>
      <c r="H253" s="4">
        <v>6</v>
      </c>
      <c r="I253" s="143">
        <v>148008.78</v>
      </c>
      <c r="J253" s="144">
        <v>2.7068467352238446</v>
      </c>
      <c r="K253" s="145">
        <v>5.1830912688774705E-3</v>
      </c>
      <c r="L253" s="146">
        <v>100</v>
      </c>
      <c r="M253" s="58">
        <v>100</v>
      </c>
      <c r="N253" s="58">
        <v>41</v>
      </c>
      <c r="O253" s="147">
        <v>14</v>
      </c>
      <c r="P253" s="148">
        <v>5.6492156529143002E-2</v>
      </c>
      <c r="Q253" s="148">
        <v>4.5726494026934003E-2</v>
      </c>
      <c r="R253" s="148">
        <v>3.7423544116524002E-2</v>
      </c>
      <c r="S253" s="153">
        <v>7.4999999999999997E-2</v>
      </c>
      <c r="T253" s="154">
        <v>7.4847088233048004E-2</v>
      </c>
      <c r="U253" s="155">
        <v>30</v>
      </c>
      <c r="V253" s="159">
        <v>0.125</v>
      </c>
      <c r="W253" s="160">
        <v>0.14969417646609601</v>
      </c>
      <c r="X253" s="161">
        <v>60</v>
      </c>
      <c r="Y253" s="165">
        <v>0.15</v>
      </c>
      <c r="Z253" s="166">
        <v>0.22454126469914401</v>
      </c>
      <c r="AA253" s="167">
        <v>90</v>
      </c>
    </row>
    <row r="254" spans="2:27" x14ac:dyDescent="0.25">
      <c r="B254" s="51" t="s">
        <v>1875</v>
      </c>
      <c r="C254" s="4" t="s">
        <v>4387</v>
      </c>
      <c r="D254" s="142" t="e">
        <v>#VALUE!</v>
      </c>
      <c r="E254" s="142" t="e">
        <v>#VALUE!</v>
      </c>
      <c r="F254" s="4" t="s">
        <v>592</v>
      </c>
      <c r="G254" s="143">
        <v>2100000</v>
      </c>
      <c r="H254" s="4">
        <v>4</v>
      </c>
      <c r="I254" s="143">
        <v>0</v>
      </c>
      <c r="J254" s="144">
        <v>2.013917576583522</v>
      </c>
      <c r="K254" s="145">
        <v>1.249559442028484E-3</v>
      </c>
      <c r="L254" s="146">
        <v>85</v>
      </c>
      <c r="M254" s="58">
        <v>85</v>
      </c>
      <c r="N254" s="58">
        <v>28</v>
      </c>
      <c r="O254" s="147">
        <v>9</v>
      </c>
      <c r="P254" s="148">
        <v>4.9957171949110001E-2</v>
      </c>
      <c r="Q254" s="148">
        <v>4.0084567202428999E-2</v>
      </c>
      <c r="R254" s="148">
        <v>3.2470382503609001E-2</v>
      </c>
      <c r="S254" s="153">
        <v>7.4999999999999997E-2</v>
      </c>
      <c r="T254" s="154">
        <v>6.4940765007218001E-2</v>
      </c>
      <c r="U254" s="155">
        <v>30</v>
      </c>
      <c r="V254" s="159">
        <v>0.125</v>
      </c>
      <c r="W254" s="160">
        <v>0.129881530014436</v>
      </c>
      <c r="X254" s="161">
        <v>60</v>
      </c>
      <c r="Y254" s="165">
        <v>0.15</v>
      </c>
      <c r="Z254" s="166">
        <v>0.19482229502165399</v>
      </c>
      <c r="AA254" s="167">
        <v>90</v>
      </c>
    </row>
    <row r="255" spans="2:27" x14ac:dyDescent="0.25">
      <c r="B255" s="51" t="s">
        <v>3594</v>
      </c>
      <c r="C255" s="4" t="s">
        <v>4190</v>
      </c>
      <c r="D255" s="142" t="e">
        <v>#VALUE!</v>
      </c>
      <c r="E255" s="142" t="e">
        <v>#VALUE!</v>
      </c>
      <c r="F255" s="4" t="s">
        <v>592</v>
      </c>
      <c r="G255" s="143">
        <v>5600000</v>
      </c>
      <c r="H255" s="4">
        <v>6</v>
      </c>
      <c r="I255" s="143">
        <v>126442.69</v>
      </c>
      <c r="J255" s="144">
        <v>3.4097282163812137</v>
      </c>
      <c r="K255" s="145">
        <v>1.1428466822844874E-2</v>
      </c>
      <c r="L255" s="146">
        <v>1</v>
      </c>
      <c r="M255" s="58">
        <v>1</v>
      </c>
      <c r="N255" s="58">
        <v>1</v>
      </c>
      <c r="O255" s="147">
        <v>1</v>
      </c>
      <c r="P255" s="148">
        <v>1.6464625641167999E-3</v>
      </c>
      <c r="Q255" s="148">
        <v>8.8344331501188E-4</v>
      </c>
      <c r="R255" s="148">
        <v>1E-4</v>
      </c>
      <c r="S255" s="153">
        <v>7.4999999999999997E-2</v>
      </c>
      <c r="T255" s="154">
        <v>0.03</v>
      </c>
      <c r="U255" s="155">
        <v>5</v>
      </c>
      <c r="V255" s="159">
        <v>0.125</v>
      </c>
      <c r="W255" s="160">
        <v>0.06</v>
      </c>
      <c r="X255" s="161">
        <v>10</v>
      </c>
      <c r="Y255" s="165">
        <v>0.15</v>
      </c>
      <c r="Z255" s="166">
        <v>0.12</v>
      </c>
      <c r="AA255" s="167">
        <v>15</v>
      </c>
    </row>
    <row r="256" spans="2:27" x14ac:dyDescent="0.25">
      <c r="B256" s="51" t="s">
        <v>2595</v>
      </c>
      <c r="C256" s="4" t="s">
        <v>4191</v>
      </c>
      <c r="D256" s="142" t="e">
        <v>#VALUE!</v>
      </c>
      <c r="E256" s="142" t="e">
        <v>#VALUE!</v>
      </c>
      <c r="F256" s="4" t="s">
        <v>592</v>
      </c>
      <c r="G256" s="143">
        <v>6120000</v>
      </c>
      <c r="H256" s="4">
        <v>7</v>
      </c>
      <c r="I256" s="143">
        <v>997.50409999999999</v>
      </c>
      <c r="J256" s="144">
        <v>3.9125117721214049</v>
      </c>
      <c r="K256" s="145">
        <v>8.1833923050341571E-3</v>
      </c>
      <c r="L256" s="146">
        <v>1</v>
      </c>
      <c r="M256" s="58">
        <v>1</v>
      </c>
      <c r="N256" s="58">
        <v>1</v>
      </c>
      <c r="O256" s="147">
        <v>1</v>
      </c>
      <c r="P256" s="148">
        <v>6.2866502909961002E-4</v>
      </c>
      <c r="Q256" s="148">
        <v>1E-4</v>
      </c>
      <c r="R256" s="148">
        <v>1E-4</v>
      </c>
      <c r="S256" s="153">
        <v>7.4999999999999997E-2</v>
      </c>
      <c r="T256" s="154">
        <v>0.03</v>
      </c>
      <c r="U256" s="155">
        <v>5</v>
      </c>
      <c r="V256" s="159">
        <v>0.125</v>
      </c>
      <c r="W256" s="160">
        <v>0.06</v>
      </c>
      <c r="X256" s="161">
        <v>10</v>
      </c>
      <c r="Y256" s="165">
        <v>0.15</v>
      </c>
      <c r="Z256" s="166">
        <v>0.12</v>
      </c>
      <c r="AA256" s="167">
        <v>15</v>
      </c>
    </row>
    <row r="257" spans="2:27" x14ac:dyDescent="0.25">
      <c r="B257" s="51" t="s">
        <v>3669</v>
      </c>
      <c r="C257" s="4" t="s">
        <v>4388</v>
      </c>
      <c r="D257" s="142" t="e">
        <v>#VALUE!</v>
      </c>
      <c r="E257" s="142" t="e">
        <v>#VALUE!</v>
      </c>
      <c r="F257" s="4" t="s">
        <v>592</v>
      </c>
      <c r="G257" s="143">
        <v>50000000</v>
      </c>
      <c r="H257" s="4">
        <v>7</v>
      </c>
      <c r="I257" s="143">
        <v>1765.6378</v>
      </c>
      <c r="J257" s="144">
        <v>3.7720900430813447</v>
      </c>
      <c r="K257" s="145">
        <v>1.5163646769150394E-2</v>
      </c>
      <c r="L257" s="146">
        <v>1</v>
      </c>
      <c r="M257" s="58">
        <v>1</v>
      </c>
      <c r="N257" s="58">
        <v>1</v>
      </c>
      <c r="O257" s="147">
        <v>1</v>
      </c>
      <c r="P257" s="148">
        <v>3.1842059347314999E-3</v>
      </c>
      <c r="Q257" s="148">
        <v>1.8798062312868999E-3</v>
      </c>
      <c r="R257" s="148">
        <v>8.7379611359716003E-4</v>
      </c>
      <c r="S257" s="153">
        <v>0.05</v>
      </c>
      <c r="T257" s="154">
        <v>1.4999999999999999E-2</v>
      </c>
      <c r="U257" s="155">
        <v>5</v>
      </c>
      <c r="V257" s="159">
        <v>9.0981880614902366E-2</v>
      </c>
      <c r="W257" s="160">
        <v>0.03</v>
      </c>
      <c r="X257" s="161">
        <v>10</v>
      </c>
      <c r="Y257" s="165">
        <v>0.12130917415320315</v>
      </c>
      <c r="Z257" s="166">
        <v>0.06</v>
      </c>
      <c r="AA257" s="167">
        <v>15</v>
      </c>
    </row>
    <row r="258" spans="2:27" x14ac:dyDescent="0.25">
      <c r="B258" s="51" t="s">
        <v>3674</v>
      </c>
      <c r="C258" s="4" t="s">
        <v>4389</v>
      </c>
      <c r="D258" s="142" t="e">
        <v>#VALUE!</v>
      </c>
      <c r="E258" s="142" t="e">
        <v>#VALUE!</v>
      </c>
      <c r="F258" s="4" t="s">
        <v>592</v>
      </c>
      <c r="G258" s="143">
        <v>50000000</v>
      </c>
      <c r="H258" s="4">
        <v>6</v>
      </c>
      <c r="I258" s="143">
        <v>995.63599999999997</v>
      </c>
      <c r="J258" s="144">
        <v>2.821622320738598</v>
      </c>
      <c r="K258" s="145">
        <v>1.5163646769150394E-2</v>
      </c>
      <c r="L258" s="146">
        <v>5</v>
      </c>
      <c r="M258" s="58">
        <v>5</v>
      </c>
      <c r="N258" s="58">
        <v>1</v>
      </c>
      <c r="O258" s="147">
        <v>1</v>
      </c>
      <c r="P258" s="148">
        <v>1.6111058540171998E-2</v>
      </c>
      <c r="Q258" s="148">
        <v>1.2215435847718E-2</v>
      </c>
      <c r="R258" s="148">
        <v>9.2109611970710003E-3</v>
      </c>
      <c r="S258" s="153">
        <v>6.25E-2</v>
      </c>
      <c r="T258" s="154">
        <v>0.02</v>
      </c>
      <c r="U258" s="155">
        <v>5</v>
      </c>
      <c r="V258" s="159">
        <v>0.10614552738405275</v>
      </c>
      <c r="W258" s="160">
        <v>0.04</v>
      </c>
      <c r="X258" s="161">
        <v>10</v>
      </c>
      <c r="Y258" s="165">
        <v>0.13647282092235355</v>
      </c>
      <c r="Z258" s="166">
        <v>0.08</v>
      </c>
      <c r="AA258" s="167">
        <v>15</v>
      </c>
    </row>
    <row r="259" spans="2:27" x14ac:dyDescent="0.25">
      <c r="B259" s="51" t="s">
        <v>3676</v>
      </c>
      <c r="C259" s="4" t="s">
        <v>4390</v>
      </c>
      <c r="D259" s="142" t="e">
        <v>#VALUE!</v>
      </c>
      <c r="E259" s="142" t="e">
        <v>#VALUE!</v>
      </c>
      <c r="F259" s="4" t="s">
        <v>592</v>
      </c>
      <c r="G259" s="143">
        <v>50000000</v>
      </c>
      <c r="H259" s="4">
        <v>6</v>
      </c>
      <c r="I259" s="143">
        <v>995.6327</v>
      </c>
      <c r="J259" s="144">
        <v>2.7986763663558412</v>
      </c>
      <c r="K259" s="145">
        <v>1.5163646769150394E-2</v>
      </c>
      <c r="L259" s="146">
        <v>6</v>
      </c>
      <c r="M259" s="58">
        <v>6</v>
      </c>
      <c r="N259" s="58">
        <v>1</v>
      </c>
      <c r="O259" s="147">
        <v>1</v>
      </c>
      <c r="P259" s="148">
        <v>1.6747183116912E-2</v>
      </c>
      <c r="Q259" s="148">
        <v>1.2747283019120001E-2</v>
      </c>
      <c r="R259" s="148">
        <v>9.6623850714273995E-3</v>
      </c>
      <c r="S259" s="153">
        <v>7.5818233845751967E-2</v>
      </c>
      <c r="T259" s="154">
        <v>0.03</v>
      </c>
      <c r="U259" s="155">
        <v>5</v>
      </c>
      <c r="V259" s="159">
        <v>0.125</v>
      </c>
      <c r="W259" s="160">
        <v>0.06</v>
      </c>
      <c r="X259" s="161">
        <v>10</v>
      </c>
      <c r="Y259" s="165">
        <v>0.15163646769150393</v>
      </c>
      <c r="Z259" s="166">
        <v>0.12</v>
      </c>
      <c r="AA259" s="167">
        <v>15</v>
      </c>
    </row>
    <row r="260" spans="2:27" x14ac:dyDescent="0.25">
      <c r="B260" s="51" t="s">
        <v>3678</v>
      </c>
      <c r="C260" s="4" t="s">
        <v>4391</v>
      </c>
      <c r="D260" s="142" t="e">
        <v>#VALUE!</v>
      </c>
      <c r="E260" s="142" t="e">
        <v>#VALUE!</v>
      </c>
      <c r="F260" s="4" t="s">
        <v>592</v>
      </c>
      <c r="G260" s="143">
        <v>50000000</v>
      </c>
      <c r="H260" s="4">
        <v>6</v>
      </c>
      <c r="I260" s="143">
        <v>995.63653999999997</v>
      </c>
      <c r="J260" s="144">
        <v>2.9291533234254046</v>
      </c>
      <c r="K260" s="145">
        <v>1.5163646769150394E-2</v>
      </c>
      <c r="L260" s="146">
        <v>3</v>
      </c>
      <c r="M260" s="58">
        <v>3</v>
      </c>
      <c r="N260" s="58">
        <v>1</v>
      </c>
      <c r="O260" s="147">
        <v>1</v>
      </c>
      <c r="P260" s="148">
        <v>1.3598746872939001E-2</v>
      </c>
      <c r="Q260" s="148">
        <v>1.0156741890181E-2</v>
      </c>
      <c r="R260" s="148">
        <v>7.5021170626458997E-3</v>
      </c>
      <c r="S260" s="153">
        <v>7.5818233845751967E-2</v>
      </c>
      <c r="T260" s="154">
        <v>0.03</v>
      </c>
      <c r="U260" s="155">
        <v>5</v>
      </c>
      <c r="V260" s="159">
        <v>0.125</v>
      </c>
      <c r="W260" s="160">
        <v>0.06</v>
      </c>
      <c r="X260" s="161">
        <v>10</v>
      </c>
      <c r="Y260" s="165">
        <v>0.15163646769150393</v>
      </c>
      <c r="Z260" s="166">
        <v>0.12</v>
      </c>
      <c r="AA260" s="167">
        <v>15</v>
      </c>
    </row>
    <row r="261" spans="2:27" x14ac:dyDescent="0.25">
      <c r="B261" s="51" t="s">
        <v>3680</v>
      </c>
      <c r="C261" s="4" t="s">
        <v>4392</v>
      </c>
      <c r="D261" s="142" t="e">
        <v>#VALUE!</v>
      </c>
      <c r="E261" s="142" t="e">
        <v>#VALUE!</v>
      </c>
      <c r="F261" s="4" t="s">
        <v>592</v>
      </c>
      <c r="G261" s="143">
        <v>50000000</v>
      </c>
      <c r="H261" s="4">
        <v>6</v>
      </c>
      <c r="I261" s="143">
        <v>994.38666000000001</v>
      </c>
      <c r="J261" s="144">
        <v>3.3261086814592247</v>
      </c>
      <c r="K261" s="145">
        <v>1.1428466822844874E-2</v>
      </c>
      <c r="L261" s="146">
        <v>1</v>
      </c>
      <c r="M261" s="58">
        <v>1</v>
      </c>
      <c r="N261" s="58">
        <v>1</v>
      </c>
      <c r="O261" s="147">
        <v>1</v>
      </c>
      <c r="P261" s="148">
        <v>8.7233919524621999E-3</v>
      </c>
      <c r="Q261" s="148">
        <v>6.2145755162781001E-3</v>
      </c>
      <c r="R261" s="148">
        <v>4.2796665220775996E-3</v>
      </c>
      <c r="S261" s="153">
        <v>7.4999999999999997E-2</v>
      </c>
      <c r="T261" s="154">
        <v>0.03</v>
      </c>
      <c r="U261" s="155">
        <v>5</v>
      </c>
      <c r="V261" s="159">
        <v>0.125</v>
      </c>
      <c r="W261" s="160">
        <v>0.06</v>
      </c>
      <c r="X261" s="161">
        <v>10</v>
      </c>
      <c r="Y261" s="165">
        <v>0.15</v>
      </c>
      <c r="Z261" s="166">
        <v>0.12</v>
      </c>
      <c r="AA261" s="167">
        <v>15</v>
      </c>
    </row>
    <row r="262" spans="2:27" x14ac:dyDescent="0.25">
      <c r="B262" s="51">
        <v>0</v>
      </c>
      <c r="C262" s="4" t="s">
        <v>146</v>
      </c>
      <c r="D262" s="142" t="s">
        <v>146</v>
      </c>
      <c r="E262" s="142" t="s">
        <v>146</v>
      </c>
      <c r="F262" s="4" t="s">
        <v>146</v>
      </c>
      <c r="G262" s="143">
        <v>0</v>
      </c>
      <c r="H262" s="4">
        <v>0</v>
      </c>
      <c r="I262" s="143">
        <v>0</v>
      </c>
      <c r="J262" s="144" t="s">
        <v>146</v>
      </c>
      <c r="K262" s="145">
        <v>0</v>
      </c>
      <c r="L262" s="146">
        <v>0</v>
      </c>
      <c r="M262" s="58">
        <v>0</v>
      </c>
      <c r="N262" s="58">
        <v>0</v>
      </c>
      <c r="O262" s="147">
        <v>0</v>
      </c>
      <c r="P262" s="148">
        <v>0</v>
      </c>
      <c r="Q262" s="148">
        <v>0</v>
      </c>
      <c r="R262" s="148">
        <v>0</v>
      </c>
      <c r="S262" s="153" t="e">
        <v>#N/A</v>
      </c>
      <c r="T262" s="154" t="e">
        <v>#N/A</v>
      </c>
      <c r="U262" s="155">
        <v>5</v>
      </c>
      <c r="V262" s="159" t="e">
        <v>#N/A</v>
      </c>
      <c r="W262" s="160" t="e">
        <v>#N/A</v>
      </c>
      <c r="X262" s="161">
        <v>10</v>
      </c>
      <c r="Y262" s="165" t="e">
        <v>#N/A</v>
      </c>
      <c r="Z262" s="166" t="e">
        <v>#N/A</v>
      </c>
      <c r="AA262" s="167">
        <v>15</v>
      </c>
    </row>
    <row r="263" spans="2:27" x14ac:dyDescent="0.25">
      <c r="B263" s="51">
        <v>0</v>
      </c>
      <c r="C263" s="4" t="s">
        <v>146</v>
      </c>
      <c r="D263" s="142" t="s">
        <v>146</v>
      </c>
      <c r="E263" s="142" t="s">
        <v>146</v>
      </c>
      <c r="F263" s="4" t="s">
        <v>146</v>
      </c>
      <c r="G263" s="143">
        <v>0</v>
      </c>
      <c r="H263" s="4">
        <v>0</v>
      </c>
      <c r="I263" s="143">
        <v>0</v>
      </c>
      <c r="J263" s="144" t="s">
        <v>146</v>
      </c>
      <c r="K263" s="145">
        <v>0</v>
      </c>
      <c r="L263" s="146">
        <v>0</v>
      </c>
      <c r="M263" s="58">
        <v>0</v>
      </c>
      <c r="N263" s="58">
        <v>0</v>
      </c>
      <c r="O263" s="147">
        <v>0</v>
      </c>
      <c r="P263" s="148">
        <v>0</v>
      </c>
      <c r="Q263" s="148">
        <v>0</v>
      </c>
      <c r="R263" s="148">
        <v>0</v>
      </c>
      <c r="S263" s="153" t="e">
        <v>#N/A</v>
      </c>
      <c r="T263" s="154" t="e">
        <v>#N/A</v>
      </c>
      <c r="U263" s="155">
        <v>5</v>
      </c>
      <c r="V263" s="159" t="e">
        <v>#N/A</v>
      </c>
      <c r="W263" s="160" t="e">
        <v>#N/A</v>
      </c>
      <c r="X263" s="161">
        <v>10</v>
      </c>
      <c r="Y263" s="165" t="e">
        <v>#N/A</v>
      </c>
      <c r="Z263" s="166" t="e">
        <v>#N/A</v>
      </c>
      <c r="AA263" s="167">
        <v>15</v>
      </c>
    </row>
    <row r="264" spans="2:27" x14ac:dyDescent="0.25">
      <c r="B264" s="51">
        <v>0</v>
      </c>
      <c r="C264" s="4" t="s">
        <v>146</v>
      </c>
      <c r="D264" s="142" t="s">
        <v>146</v>
      </c>
      <c r="E264" s="142" t="s">
        <v>146</v>
      </c>
      <c r="F264" s="4" t="s">
        <v>146</v>
      </c>
      <c r="G264" s="143">
        <v>0</v>
      </c>
      <c r="H264" s="4">
        <v>0</v>
      </c>
      <c r="I264" s="143">
        <v>0</v>
      </c>
      <c r="J264" s="144" t="s">
        <v>146</v>
      </c>
      <c r="K264" s="145">
        <v>0</v>
      </c>
      <c r="L264" s="146">
        <v>0</v>
      </c>
      <c r="M264" s="58">
        <v>0</v>
      </c>
      <c r="N264" s="58">
        <v>0</v>
      </c>
      <c r="O264" s="147">
        <v>0</v>
      </c>
      <c r="P264" s="148">
        <v>0</v>
      </c>
      <c r="Q264" s="148">
        <v>0</v>
      </c>
      <c r="R264" s="148">
        <v>0</v>
      </c>
      <c r="S264" s="153" t="e">
        <v>#N/A</v>
      </c>
      <c r="T264" s="154" t="e">
        <v>#N/A</v>
      </c>
      <c r="U264" s="155">
        <v>5</v>
      </c>
      <c r="V264" s="159" t="e">
        <v>#N/A</v>
      </c>
      <c r="W264" s="160" t="e">
        <v>#N/A</v>
      </c>
      <c r="X264" s="161">
        <v>10</v>
      </c>
      <c r="Y264" s="165" t="e">
        <v>#N/A</v>
      </c>
      <c r="Z264" s="166" t="e">
        <v>#N/A</v>
      </c>
      <c r="AA264" s="167">
        <v>15</v>
      </c>
    </row>
    <row r="265" spans="2:27" x14ac:dyDescent="0.25">
      <c r="B265" s="51">
        <v>0</v>
      </c>
      <c r="C265" s="4" t="s">
        <v>146</v>
      </c>
      <c r="D265" s="142" t="s">
        <v>146</v>
      </c>
      <c r="E265" s="142" t="s">
        <v>146</v>
      </c>
      <c r="F265" s="4" t="s">
        <v>146</v>
      </c>
      <c r="G265" s="143">
        <v>0</v>
      </c>
      <c r="H265" s="4">
        <v>0</v>
      </c>
      <c r="I265" s="143">
        <v>0</v>
      </c>
      <c r="J265" s="144" t="s">
        <v>146</v>
      </c>
      <c r="K265" s="145">
        <v>0</v>
      </c>
      <c r="L265" s="146">
        <v>0</v>
      </c>
      <c r="M265" s="58">
        <v>0</v>
      </c>
      <c r="N265" s="58">
        <v>0</v>
      </c>
      <c r="O265" s="147">
        <v>0</v>
      </c>
      <c r="P265" s="148">
        <v>0</v>
      </c>
      <c r="Q265" s="148">
        <v>0</v>
      </c>
      <c r="R265" s="148">
        <v>0</v>
      </c>
      <c r="S265" s="153" t="e">
        <v>#N/A</v>
      </c>
      <c r="T265" s="154" t="e">
        <v>#N/A</v>
      </c>
      <c r="U265" s="155">
        <v>5</v>
      </c>
      <c r="V265" s="159" t="e">
        <v>#N/A</v>
      </c>
      <c r="W265" s="160" t="e">
        <v>#N/A</v>
      </c>
      <c r="X265" s="161">
        <v>10</v>
      </c>
      <c r="Y265" s="165" t="e">
        <v>#N/A</v>
      </c>
      <c r="Z265" s="166" t="e">
        <v>#N/A</v>
      </c>
      <c r="AA265" s="167">
        <v>15</v>
      </c>
    </row>
    <row r="266" spans="2:27" x14ac:dyDescent="0.25">
      <c r="B266" s="51">
        <v>0</v>
      </c>
      <c r="C266" s="4" t="s">
        <v>146</v>
      </c>
      <c r="D266" s="142" t="s">
        <v>146</v>
      </c>
      <c r="E266" s="142" t="s">
        <v>146</v>
      </c>
      <c r="F266" s="4" t="s">
        <v>146</v>
      </c>
      <c r="G266" s="143">
        <v>0</v>
      </c>
      <c r="H266" s="4">
        <v>0</v>
      </c>
      <c r="I266" s="143">
        <v>0</v>
      </c>
      <c r="J266" s="144" t="s">
        <v>146</v>
      </c>
      <c r="K266" s="145">
        <v>0</v>
      </c>
      <c r="L266" s="146">
        <v>0</v>
      </c>
      <c r="M266" s="58">
        <v>0</v>
      </c>
      <c r="N266" s="58">
        <v>0</v>
      </c>
      <c r="O266" s="147">
        <v>0</v>
      </c>
      <c r="P266" s="148">
        <v>0</v>
      </c>
      <c r="Q266" s="148">
        <v>0</v>
      </c>
      <c r="R266" s="148">
        <v>0</v>
      </c>
      <c r="S266" s="153" t="e">
        <v>#N/A</v>
      </c>
      <c r="T266" s="154" t="e">
        <v>#N/A</v>
      </c>
      <c r="U266" s="155">
        <v>5</v>
      </c>
      <c r="V266" s="159" t="e">
        <v>#N/A</v>
      </c>
      <c r="W266" s="160" t="e">
        <v>#N/A</v>
      </c>
      <c r="X266" s="161">
        <v>10</v>
      </c>
      <c r="Y266" s="165" t="e">
        <v>#N/A</v>
      </c>
      <c r="Z266" s="166" t="e">
        <v>#N/A</v>
      </c>
      <c r="AA266" s="167">
        <v>15</v>
      </c>
    </row>
    <row r="267" spans="2:27" x14ac:dyDescent="0.25">
      <c r="B267" s="51">
        <v>0</v>
      </c>
      <c r="C267" s="4" t="s">
        <v>146</v>
      </c>
      <c r="D267" s="142" t="s">
        <v>146</v>
      </c>
      <c r="E267" s="142" t="s">
        <v>146</v>
      </c>
      <c r="F267" s="4" t="s">
        <v>146</v>
      </c>
      <c r="G267" s="143">
        <v>0</v>
      </c>
      <c r="H267" s="4">
        <v>0</v>
      </c>
      <c r="I267" s="143">
        <v>0</v>
      </c>
      <c r="J267" s="144" t="s">
        <v>146</v>
      </c>
      <c r="K267" s="145">
        <v>0</v>
      </c>
      <c r="L267" s="146">
        <v>0</v>
      </c>
      <c r="M267" s="58">
        <v>0</v>
      </c>
      <c r="N267" s="58">
        <v>0</v>
      </c>
      <c r="O267" s="147">
        <v>0</v>
      </c>
      <c r="P267" s="148">
        <v>0</v>
      </c>
      <c r="Q267" s="148">
        <v>0</v>
      </c>
      <c r="R267" s="148">
        <v>0</v>
      </c>
      <c r="S267" s="153" t="e">
        <v>#N/A</v>
      </c>
      <c r="T267" s="154" t="e">
        <v>#N/A</v>
      </c>
      <c r="U267" s="155">
        <v>5</v>
      </c>
      <c r="V267" s="159" t="e">
        <v>#N/A</v>
      </c>
      <c r="W267" s="160" t="e">
        <v>#N/A</v>
      </c>
      <c r="X267" s="161">
        <v>10</v>
      </c>
      <c r="Y267" s="165" t="e">
        <v>#N/A</v>
      </c>
      <c r="Z267" s="166" t="e">
        <v>#N/A</v>
      </c>
      <c r="AA267" s="167">
        <v>15</v>
      </c>
    </row>
    <row r="268" spans="2:27" x14ac:dyDescent="0.25">
      <c r="B268" s="765">
        <v>0</v>
      </c>
      <c r="C268" s="765" t="s">
        <v>146</v>
      </c>
      <c r="D268" s="765" t="s">
        <v>146</v>
      </c>
      <c r="E268" s="765" t="s">
        <v>146</v>
      </c>
      <c r="F268" s="765" t="s">
        <v>146</v>
      </c>
      <c r="G268" s="765">
        <v>0</v>
      </c>
      <c r="H268" s="765">
        <v>0</v>
      </c>
      <c r="I268" s="765">
        <v>0</v>
      </c>
      <c r="J268" s="765" t="s">
        <v>146</v>
      </c>
      <c r="K268" s="765">
        <v>0</v>
      </c>
      <c r="L268" s="765">
        <v>0</v>
      </c>
      <c r="M268" s="765">
        <v>0</v>
      </c>
      <c r="N268" s="765">
        <v>0</v>
      </c>
      <c r="O268" s="765">
        <v>0</v>
      </c>
      <c r="P268" s="765">
        <v>0</v>
      </c>
      <c r="Q268" s="765">
        <v>0</v>
      </c>
      <c r="R268" s="765">
        <v>0</v>
      </c>
      <c r="S268" s="765" t="e">
        <v>#N/A</v>
      </c>
      <c r="T268" s="765" t="e">
        <v>#N/A</v>
      </c>
      <c r="U268" s="765">
        <v>5</v>
      </c>
      <c r="V268" s="765" t="e">
        <v>#N/A</v>
      </c>
      <c r="W268" s="765" t="e">
        <v>#N/A</v>
      </c>
      <c r="X268" s="765">
        <v>10</v>
      </c>
      <c r="Y268" s="765" t="e">
        <v>#N/A</v>
      </c>
      <c r="Z268" s="765" t="e">
        <v>#N/A</v>
      </c>
      <c r="AA268" s="765">
        <v>15</v>
      </c>
    </row>
    <row r="269" spans="2:27" x14ac:dyDescent="0.25">
      <c r="B269" s="765">
        <v>0</v>
      </c>
      <c r="C269" s="765" t="s">
        <v>146</v>
      </c>
      <c r="D269" s="765" t="s">
        <v>146</v>
      </c>
      <c r="E269" s="765" t="s">
        <v>146</v>
      </c>
      <c r="F269" s="765" t="s">
        <v>146</v>
      </c>
      <c r="G269" s="765">
        <v>0</v>
      </c>
      <c r="H269" s="765">
        <v>0</v>
      </c>
      <c r="I269" s="765">
        <v>0</v>
      </c>
      <c r="J269" s="765" t="s">
        <v>146</v>
      </c>
      <c r="K269" s="765">
        <v>0</v>
      </c>
      <c r="L269" s="765">
        <v>0</v>
      </c>
      <c r="M269" s="765">
        <v>0</v>
      </c>
      <c r="N269" s="765">
        <v>0</v>
      </c>
      <c r="O269" s="765">
        <v>0</v>
      </c>
      <c r="P269" s="765">
        <v>0</v>
      </c>
      <c r="Q269" s="765">
        <v>0</v>
      </c>
      <c r="R269" s="765">
        <v>0</v>
      </c>
      <c r="S269" s="765" t="e">
        <v>#N/A</v>
      </c>
      <c r="T269" s="765" t="e">
        <v>#N/A</v>
      </c>
      <c r="U269" s="765">
        <v>5</v>
      </c>
      <c r="V269" s="765" t="e">
        <v>#N/A</v>
      </c>
      <c r="W269" s="765" t="e">
        <v>#N/A</v>
      </c>
      <c r="X269" s="765">
        <v>10</v>
      </c>
      <c r="Y269" s="765" t="e">
        <v>#N/A</v>
      </c>
      <c r="Z269" s="765" t="e">
        <v>#N/A</v>
      </c>
      <c r="AA269" s="765">
        <v>15</v>
      </c>
    </row>
    <row r="270" spans="2:27" x14ac:dyDescent="0.25">
      <c r="B270" s="765">
        <v>0</v>
      </c>
      <c r="C270" s="765" t="s">
        <v>146</v>
      </c>
      <c r="D270" s="765" t="s">
        <v>146</v>
      </c>
      <c r="E270" s="765" t="s">
        <v>146</v>
      </c>
      <c r="F270" s="765" t="s">
        <v>146</v>
      </c>
      <c r="G270" s="765">
        <v>0</v>
      </c>
      <c r="H270" s="765">
        <v>0</v>
      </c>
      <c r="I270" s="765">
        <v>0</v>
      </c>
      <c r="J270" s="765" t="s">
        <v>146</v>
      </c>
      <c r="K270" s="765">
        <v>0</v>
      </c>
      <c r="L270" s="765">
        <v>0</v>
      </c>
      <c r="M270" s="765">
        <v>0</v>
      </c>
      <c r="N270" s="765">
        <v>0</v>
      </c>
      <c r="O270" s="765">
        <v>0</v>
      </c>
      <c r="P270" s="765">
        <v>0</v>
      </c>
      <c r="Q270" s="765">
        <v>0</v>
      </c>
      <c r="R270" s="765">
        <v>0</v>
      </c>
      <c r="S270" s="765" t="e">
        <v>#N/A</v>
      </c>
      <c r="T270" s="765" t="e">
        <v>#N/A</v>
      </c>
      <c r="U270" s="765">
        <v>5</v>
      </c>
      <c r="V270" s="765" t="e">
        <v>#N/A</v>
      </c>
      <c r="W270" s="765" t="e">
        <v>#N/A</v>
      </c>
      <c r="X270" s="765">
        <v>10</v>
      </c>
      <c r="Y270" s="765" t="e">
        <v>#N/A</v>
      </c>
      <c r="Z270" s="765" t="e">
        <v>#N/A</v>
      </c>
      <c r="AA270" s="765">
        <v>15</v>
      </c>
    </row>
    <row r="271" spans="2:27" x14ac:dyDescent="0.25">
      <c r="B271" s="765">
        <v>0</v>
      </c>
      <c r="C271" s="765" t="s">
        <v>146</v>
      </c>
      <c r="D271" s="765" t="s">
        <v>146</v>
      </c>
      <c r="E271" s="765" t="s">
        <v>146</v>
      </c>
      <c r="F271" s="765" t="s">
        <v>146</v>
      </c>
      <c r="G271" s="765">
        <v>0</v>
      </c>
      <c r="H271" s="765">
        <v>0</v>
      </c>
      <c r="I271" s="765">
        <v>0</v>
      </c>
      <c r="J271" s="765" t="s">
        <v>146</v>
      </c>
      <c r="K271" s="765">
        <v>0</v>
      </c>
      <c r="L271" s="765">
        <v>0</v>
      </c>
      <c r="M271" s="765">
        <v>0</v>
      </c>
      <c r="N271" s="765">
        <v>0</v>
      </c>
      <c r="O271" s="765">
        <v>0</v>
      </c>
      <c r="P271" s="765">
        <v>0</v>
      </c>
      <c r="Q271" s="765">
        <v>0</v>
      </c>
      <c r="R271" s="765">
        <v>0</v>
      </c>
      <c r="S271" s="765" t="e">
        <v>#N/A</v>
      </c>
      <c r="T271" s="765" t="e">
        <v>#N/A</v>
      </c>
      <c r="U271" s="765">
        <v>5</v>
      </c>
      <c r="V271" s="765" t="e">
        <v>#N/A</v>
      </c>
      <c r="W271" s="765" t="e">
        <v>#N/A</v>
      </c>
      <c r="X271" s="765">
        <v>10</v>
      </c>
      <c r="Y271" s="765" t="e">
        <v>#N/A</v>
      </c>
      <c r="Z271" s="765" t="e">
        <v>#N/A</v>
      </c>
      <c r="AA271" s="765">
        <v>15</v>
      </c>
    </row>
    <row r="272" spans="2:27" x14ac:dyDescent="0.25">
      <c r="B272" s="765">
        <v>0</v>
      </c>
      <c r="C272" s="765" t="s">
        <v>146</v>
      </c>
      <c r="D272" s="765" t="s">
        <v>146</v>
      </c>
      <c r="E272" s="765" t="s">
        <v>146</v>
      </c>
      <c r="F272" s="765" t="s">
        <v>146</v>
      </c>
      <c r="G272" s="765">
        <v>0</v>
      </c>
      <c r="H272" s="765">
        <v>0</v>
      </c>
      <c r="I272" s="765">
        <v>0</v>
      </c>
      <c r="J272" s="765" t="s">
        <v>146</v>
      </c>
      <c r="K272" s="765">
        <v>0</v>
      </c>
      <c r="L272" s="765">
        <v>0</v>
      </c>
      <c r="M272" s="765">
        <v>0</v>
      </c>
      <c r="N272" s="765">
        <v>0</v>
      </c>
      <c r="O272" s="765">
        <v>0</v>
      </c>
      <c r="P272" s="765">
        <v>0</v>
      </c>
      <c r="Q272" s="765">
        <v>0</v>
      </c>
      <c r="R272" s="765">
        <v>0</v>
      </c>
      <c r="S272" s="765" t="e">
        <v>#N/A</v>
      </c>
      <c r="T272" s="765" t="e">
        <v>#N/A</v>
      </c>
      <c r="U272" s="765">
        <v>5</v>
      </c>
      <c r="V272" s="765" t="e">
        <v>#N/A</v>
      </c>
      <c r="W272" s="765" t="e">
        <v>#N/A</v>
      </c>
      <c r="X272" s="765">
        <v>10</v>
      </c>
      <c r="Y272" s="765" t="e">
        <v>#N/A</v>
      </c>
      <c r="Z272" s="765" t="e">
        <v>#N/A</v>
      </c>
      <c r="AA272" s="765">
        <v>15</v>
      </c>
    </row>
    <row r="273" spans="2:27" x14ac:dyDescent="0.25">
      <c r="B273" s="765">
        <v>0</v>
      </c>
      <c r="C273" s="765" t="s">
        <v>146</v>
      </c>
      <c r="D273" s="765" t="s">
        <v>146</v>
      </c>
      <c r="E273" s="765" t="s">
        <v>146</v>
      </c>
      <c r="F273" s="765" t="s">
        <v>146</v>
      </c>
      <c r="G273" s="765">
        <v>0</v>
      </c>
      <c r="H273" s="765">
        <v>0</v>
      </c>
      <c r="I273" s="765">
        <v>0</v>
      </c>
      <c r="J273" s="765" t="s">
        <v>146</v>
      </c>
      <c r="K273" s="765">
        <v>0</v>
      </c>
      <c r="L273" s="765">
        <v>0</v>
      </c>
      <c r="M273" s="765">
        <v>0</v>
      </c>
      <c r="N273" s="765">
        <v>0</v>
      </c>
      <c r="O273" s="765">
        <v>0</v>
      </c>
      <c r="P273" s="765">
        <v>0</v>
      </c>
      <c r="Q273" s="765">
        <v>0</v>
      </c>
      <c r="R273" s="765">
        <v>0</v>
      </c>
      <c r="S273" s="765" t="e">
        <v>#N/A</v>
      </c>
      <c r="T273" s="765" t="e">
        <v>#N/A</v>
      </c>
      <c r="U273" s="765">
        <v>5</v>
      </c>
      <c r="V273" s="765" t="e">
        <v>#N/A</v>
      </c>
      <c r="W273" s="765" t="e">
        <v>#N/A</v>
      </c>
      <c r="X273" s="765">
        <v>10</v>
      </c>
      <c r="Y273" s="765" t="e">
        <v>#N/A</v>
      </c>
      <c r="Z273" s="765" t="e">
        <v>#N/A</v>
      </c>
      <c r="AA273" s="765">
        <v>15</v>
      </c>
    </row>
    <row r="274" spans="2:27" x14ac:dyDescent="0.25">
      <c r="B274" s="765">
        <v>0</v>
      </c>
      <c r="C274" s="765" t="s">
        <v>146</v>
      </c>
      <c r="D274" s="765" t="s">
        <v>146</v>
      </c>
      <c r="E274" s="765" t="s">
        <v>146</v>
      </c>
      <c r="F274" s="765" t="s">
        <v>146</v>
      </c>
      <c r="G274" s="765">
        <v>0</v>
      </c>
      <c r="H274" s="765">
        <v>0</v>
      </c>
      <c r="I274" s="765">
        <v>0</v>
      </c>
      <c r="J274" s="765" t="s">
        <v>146</v>
      </c>
      <c r="K274" s="765">
        <v>0</v>
      </c>
      <c r="L274" s="765">
        <v>0</v>
      </c>
      <c r="M274" s="765">
        <v>0</v>
      </c>
      <c r="N274" s="765">
        <v>0</v>
      </c>
      <c r="O274" s="765">
        <v>0</v>
      </c>
      <c r="P274" s="765">
        <v>0</v>
      </c>
      <c r="Q274" s="765">
        <v>0</v>
      </c>
      <c r="R274" s="765">
        <v>0</v>
      </c>
      <c r="S274" s="765" t="e">
        <v>#N/A</v>
      </c>
      <c r="T274" s="765" t="e">
        <v>#N/A</v>
      </c>
      <c r="U274" s="765">
        <v>5</v>
      </c>
      <c r="V274" s="765" t="e">
        <v>#N/A</v>
      </c>
      <c r="W274" s="765" t="e">
        <v>#N/A</v>
      </c>
      <c r="X274" s="765">
        <v>10</v>
      </c>
      <c r="Y274" s="765" t="e">
        <v>#N/A</v>
      </c>
      <c r="Z274" s="765" t="e">
        <v>#N/A</v>
      </c>
      <c r="AA274" s="765">
        <v>15</v>
      </c>
    </row>
    <row r="275" spans="2:27" x14ac:dyDescent="0.25">
      <c r="B275" s="765">
        <v>0</v>
      </c>
      <c r="C275" s="765" t="s">
        <v>146</v>
      </c>
      <c r="D275" s="765" t="s">
        <v>146</v>
      </c>
      <c r="E275" s="765" t="s">
        <v>146</v>
      </c>
      <c r="F275" s="765" t="s">
        <v>146</v>
      </c>
      <c r="G275" s="765">
        <v>0</v>
      </c>
      <c r="H275" s="765">
        <v>0</v>
      </c>
      <c r="I275" s="765">
        <v>0</v>
      </c>
      <c r="J275" s="765" t="s">
        <v>146</v>
      </c>
      <c r="K275" s="765">
        <v>0</v>
      </c>
      <c r="L275" s="765">
        <v>0</v>
      </c>
      <c r="M275" s="765">
        <v>0</v>
      </c>
      <c r="N275" s="765">
        <v>0</v>
      </c>
      <c r="O275" s="765">
        <v>0</v>
      </c>
      <c r="P275" s="765">
        <v>0</v>
      </c>
      <c r="Q275" s="765">
        <v>0</v>
      </c>
      <c r="R275" s="765">
        <v>0</v>
      </c>
      <c r="S275" s="765" t="e">
        <v>#N/A</v>
      </c>
      <c r="T275" s="765" t="e">
        <v>#N/A</v>
      </c>
      <c r="U275" s="765">
        <v>5</v>
      </c>
      <c r="V275" s="765" t="e">
        <v>#N/A</v>
      </c>
      <c r="W275" s="765" t="e">
        <v>#N/A</v>
      </c>
      <c r="X275" s="765">
        <v>10</v>
      </c>
      <c r="Y275" s="765" t="e">
        <v>#N/A</v>
      </c>
      <c r="Z275" s="765" t="e">
        <v>#N/A</v>
      </c>
      <c r="AA275" s="765">
        <v>15</v>
      </c>
    </row>
    <row r="276" spans="2:27" x14ac:dyDescent="0.25">
      <c r="B276" s="765">
        <v>0</v>
      </c>
      <c r="C276" s="765" t="s">
        <v>146</v>
      </c>
      <c r="D276" s="765" t="s">
        <v>146</v>
      </c>
      <c r="E276" s="765" t="s">
        <v>146</v>
      </c>
      <c r="F276" s="765" t="s">
        <v>146</v>
      </c>
      <c r="G276" s="765">
        <v>0</v>
      </c>
      <c r="H276" s="765">
        <v>0</v>
      </c>
      <c r="I276" s="765">
        <v>0</v>
      </c>
      <c r="J276" s="765" t="s">
        <v>146</v>
      </c>
      <c r="K276" s="765">
        <v>0</v>
      </c>
      <c r="L276" s="765">
        <v>0</v>
      </c>
      <c r="M276" s="765">
        <v>0</v>
      </c>
      <c r="N276" s="765">
        <v>0</v>
      </c>
      <c r="O276" s="765">
        <v>0</v>
      </c>
      <c r="P276" s="765">
        <v>0</v>
      </c>
      <c r="Q276" s="765">
        <v>0</v>
      </c>
      <c r="R276" s="765">
        <v>0</v>
      </c>
      <c r="S276" s="765" t="e">
        <v>#N/A</v>
      </c>
      <c r="T276" s="765" t="e">
        <v>#N/A</v>
      </c>
      <c r="U276" s="765">
        <v>5</v>
      </c>
      <c r="V276" s="765" t="e">
        <v>#N/A</v>
      </c>
      <c r="W276" s="765" t="e">
        <v>#N/A</v>
      </c>
      <c r="X276" s="765">
        <v>10</v>
      </c>
      <c r="Y276" s="765" t="e">
        <v>#N/A</v>
      </c>
      <c r="Z276" s="765" t="e">
        <v>#N/A</v>
      </c>
      <c r="AA276" s="765">
        <v>15</v>
      </c>
    </row>
    <row r="277" spans="2:27" x14ac:dyDescent="0.25">
      <c r="B277" s="765">
        <v>0</v>
      </c>
      <c r="C277" s="765" t="s">
        <v>146</v>
      </c>
      <c r="D277" s="765" t="s">
        <v>146</v>
      </c>
      <c r="E277" s="765" t="s">
        <v>146</v>
      </c>
      <c r="F277" s="765" t="s">
        <v>146</v>
      </c>
      <c r="G277" s="765">
        <v>0</v>
      </c>
      <c r="H277" s="765">
        <v>0</v>
      </c>
      <c r="I277" s="765">
        <v>0</v>
      </c>
      <c r="J277" s="765" t="s">
        <v>146</v>
      </c>
      <c r="K277" s="765">
        <v>0</v>
      </c>
      <c r="L277" s="765">
        <v>0</v>
      </c>
      <c r="M277" s="765">
        <v>0</v>
      </c>
      <c r="N277" s="765">
        <v>0</v>
      </c>
      <c r="O277" s="765">
        <v>0</v>
      </c>
      <c r="P277" s="765">
        <v>0</v>
      </c>
      <c r="Q277" s="765">
        <v>0</v>
      </c>
      <c r="R277" s="765">
        <v>0</v>
      </c>
      <c r="S277" s="765" t="e">
        <v>#N/A</v>
      </c>
      <c r="T277" s="765" t="e">
        <v>#N/A</v>
      </c>
      <c r="U277" s="765">
        <v>5</v>
      </c>
      <c r="V277" s="765" t="e">
        <v>#N/A</v>
      </c>
      <c r="W277" s="765" t="e">
        <v>#N/A</v>
      </c>
      <c r="X277" s="765">
        <v>10</v>
      </c>
      <c r="Y277" s="765" t="e">
        <v>#N/A</v>
      </c>
      <c r="Z277" s="765" t="e">
        <v>#N/A</v>
      </c>
      <c r="AA277" s="765">
        <v>15</v>
      </c>
    </row>
    <row r="278" spans="2:27" x14ac:dyDescent="0.25">
      <c r="B278" s="765">
        <v>0</v>
      </c>
      <c r="C278" s="765" t="s">
        <v>146</v>
      </c>
      <c r="D278" s="765" t="s">
        <v>146</v>
      </c>
      <c r="E278" s="765" t="s">
        <v>146</v>
      </c>
      <c r="F278" s="765" t="s">
        <v>146</v>
      </c>
      <c r="G278" s="765">
        <v>0</v>
      </c>
      <c r="H278" s="765">
        <v>0</v>
      </c>
      <c r="I278" s="765">
        <v>0</v>
      </c>
      <c r="J278" s="765" t="s">
        <v>146</v>
      </c>
      <c r="K278" s="765">
        <v>0</v>
      </c>
      <c r="L278" s="765">
        <v>0</v>
      </c>
      <c r="M278" s="765">
        <v>0</v>
      </c>
      <c r="N278" s="765">
        <v>0</v>
      </c>
      <c r="O278" s="765">
        <v>0</v>
      </c>
      <c r="P278" s="765">
        <v>0</v>
      </c>
      <c r="Q278" s="765">
        <v>0</v>
      </c>
      <c r="R278" s="765">
        <v>0</v>
      </c>
      <c r="S278" s="765" t="e">
        <v>#N/A</v>
      </c>
      <c r="T278" s="765" t="e">
        <v>#N/A</v>
      </c>
      <c r="U278" s="765">
        <v>5</v>
      </c>
      <c r="V278" s="765" t="e">
        <v>#N/A</v>
      </c>
      <c r="W278" s="765" t="e">
        <v>#N/A</v>
      </c>
      <c r="X278" s="765">
        <v>10</v>
      </c>
      <c r="Y278" s="765" t="e">
        <v>#N/A</v>
      </c>
      <c r="Z278" s="765" t="e">
        <v>#N/A</v>
      </c>
      <c r="AA278" s="765">
        <v>15</v>
      </c>
    </row>
    <row r="279" spans="2:27" x14ac:dyDescent="0.25">
      <c r="B279" s="765">
        <v>0</v>
      </c>
      <c r="C279" s="765" t="s">
        <v>146</v>
      </c>
      <c r="D279" s="765" t="s">
        <v>146</v>
      </c>
      <c r="E279" s="765" t="s">
        <v>146</v>
      </c>
      <c r="F279" s="765" t="s">
        <v>146</v>
      </c>
      <c r="G279" s="765">
        <v>0</v>
      </c>
      <c r="H279" s="765">
        <v>0</v>
      </c>
      <c r="I279" s="765">
        <v>0</v>
      </c>
      <c r="J279" s="765" t="s">
        <v>146</v>
      </c>
      <c r="K279" s="765">
        <v>0</v>
      </c>
      <c r="L279" s="765">
        <v>0</v>
      </c>
      <c r="M279" s="765">
        <v>0</v>
      </c>
      <c r="N279" s="765">
        <v>0</v>
      </c>
      <c r="O279" s="765">
        <v>0</v>
      </c>
      <c r="P279" s="765">
        <v>0</v>
      </c>
      <c r="Q279" s="765">
        <v>0</v>
      </c>
      <c r="R279" s="765">
        <v>0</v>
      </c>
      <c r="S279" s="765" t="e">
        <v>#N/A</v>
      </c>
      <c r="T279" s="765" t="e">
        <v>#N/A</v>
      </c>
      <c r="U279" s="765">
        <v>5</v>
      </c>
      <c r="V279" s="765" t="e">
        <v>#N/A</v>
      </c>
      <c r="W279" s="765" t="e">
        <v>#N/A</v>
      </c>
      <c r="X279" s="765">
        <v>10</v>
      </c>
      <c r="Y279" s="765" t="e">
        <v>#N/A</v>
      </c>
      <c r="Z279" s="765" t="e">
        <v>#N/A</v>
      </c>
      <c r="AA279" s="765">
        <v>15</v>
      </c>
    </row>
    <row r="280" spans="2:27" x14ac:dyDescent="0.25">
      <c r="B280" s="765">
        <v>0</v>
      </c>
      <c r="C280" s="765" t="s">
        <v>146</v>
      </c>
      <c r="D280" s="765" t="s">
        <v>146</v>
      </c>
      <c r="E280" s="765" t="s">
        <v>146</v>
      </c>
      <c r="F280" s="765" t="s">
        <v>146</v>
      </c>
      <c r="G280" s="765">
        <v>0</v>
      </c>
      <c r="H280" s="765">
        <v>0</v>
      </c>
      <c r="I280" s="765">
        <v>0</v>
      </c>
      <c r="J280" s="765" t="s">
        <v>146</v>
      </c>
      <c r="K280" s="765">
        <v>0</v>
      </c>
      <c r="L280" s="765">
        <v>0</v>
      </c>
      <c r="M280" s="765">
        <v>0</v>
      </c>
      <c r="N280" s="765">
        <v>0</v>
      </c>
      <c r="O280" s="765">
        <v>0</v>
      </c>
      <c r="P280" s="765">
        <v>0</v>
      </c>
      <c r="Q280" s="765">
        <v>0</v>
      </c>
      <c r="R280" s="765">
        <v>0</v>
      </c>
      <c r="S280" s="765" t="e">
        <v>#N/A</v>
      </c>
      <c r="T280" s="765" t="e">
        <v>#N/A</v>
      </c>
      <c r="U280" s="765">
        <v>5</v>
      </c>
      <c r="V280" s="765" t="e">
        <v>#N/A</v>
      </c>
      <c r="W280" s="765" t="e">
        <v>#N/A</v>
      </c>
      <c r="X280" s="765">
        <v>10</v>
      </c>
      <c r="Y280" s="765" t="e">
        <v>#N/A</v>
      </c>
      <c r="Z280" s="765" t="e">
        <v>#N/A</v>
      </c>
      <c r="AA280" s="765">
        <v>15</v>
      </c>
    </row>
    <row r="281" spans="2:27" x14ac:dyDescent="0.25">
      <c r="B281" s="765">
        <v>0</v>
      </c>
      <c r="C281" s="765" t="s">
        <v>146</v>
      </c>
      <c r="D281" s="765" t="s">
        <v>146</v>
      </c>
      <c r="E281" s="765" t="s">
        <v>146</v>
      </c>
      <c r="F281" s="765" t="s">
        <v>146</v>
      </c>
      <c r="G281" s="765">
        <v>0</v>
      </c>
      <c r="H281" s="765">
        <v>0</v>
      </c>
      <c r="I281" s="765">
        <v>0</v>
      </c>
      <c r="J281" s="765" t="s">
        <v>146</v>
      </c>
      <c r="K281" s="765">
        <v>0</v>
      </c>
      <c r="L281" s="765">
        <v>0</v>
      </c>
      <c r="M281" s="765">
        <v>0</v>
      </c>
      <c r="N281" s="765">
        <v>0</v>
      </c>
      <c r="O281" s="765">
        <v>0</v>
      </c>
      <c r="P281" s="765">
        <v>0</v>
      </c>
      <c r="Q281" s="765">
        <v>0</v>
      </c>
      <c r="R281" s="765">
        <v>0</v>
      </c>
      <c r="S281" s="765" t="e">
        <v>#N/A</v>
      </c>
      <c r="T281" s="765" t="e">
        <v>#N/A</v>
      </c>
      <c r="U281" s="765">
        <v>5</v>
      </c>
      <c r="V281" s="765" t="e">
        <v>#N/A</v>
      </c>
      <c r="W281" s="765" t="e">
        <v>#N/A</v>
      </c>
      <c r="X281" s="765">
        <v>10</v>
      </c>
      <c r="Y281" s="765" t="e">
        <v>#N/A</v>
      </c>
      <c r="Z281" s="765" t="e">
        <v>#N/A</v>
      </c>
      <c r="AA281" s="765">
        <v>15</v>
      </c>
    </row>
    <row r="282" spans="2:27" x14ac:dyDescent="0.25">
      <c r="B282" s="765">
        <v>0</v>
      </c>
      <c r="C282" s="765" t="s">
        <v>146</v>
      </c>
      <c r="D282" s="765" t="s">
        <v>146</v>
      </c>
      <c r="E282" s="765" t="s">
        <v>146</v>
      </c>
      <c r="F282" s="765" t="s">
        <v>146</v>
      </c>
      <c r="G282" s="765">
        <v>0</v>
      </c>
      <c r="H282" s="765">
        <v>0</v>
      </c>
      <c r="I282" s="765">
        <v>0</v>
      </c>
      <c r="J282" s="765" t="s">
        <v>146</v>
      </c>
      <c r="K282" s="765">
        <v>0</v>
      </c>
      <c r="L282" s="765">
        <v>0</v>
      </c>
      <c r="M282" s="765">
        <v>0</v>
      </c>
      <c r="N282" s="765">
        <v>0</v>
      </c>
      <c r="O282" s="765">
        <v>0</v>
      </c>
      <c r="P282" s="765">
        <v>0</v>
      </c>
      <c r="Q282" s="765">
        <v>0</v>
      </c>
      <c r="R282" s="765">
        <v>0</v>
      </c>
      <c r="S282" s="765" t="e">
        <v>#N/A</v>
      </c>
      <c r="T282" s="765" t="e">
        <v>#N/A</v>
      </c>
      <c r="U282" s="765">
        <v>5</v>
      </c>
      <c r="V282" s="765" t="e">
        <v>#N/A</v>
      </c>
      <c r="W282" s="765" t="e">
        <v>#N/A</v>
      </c>
      <c r="X282" s="765">
        <v>10</v>
      </c>
      <c r="Y282" s="765" t="e">
        <v>#N/A</v>
      </c>
      <c r="Z282" s="765" t="e">
        <v>#N/A</v>
      </c>
      <c r="AA282" s="765">
        <v>15</v>
      </c>
    </row>
    <row r="283" spans="2:27" x14ac:dyDescent="0.25">
      <c r="B283" s="765">
        <v>0</v>
      </c>
      <c r="C283" s="765" t="s">
        <v>146</v>
      </c>
      <c r="D283" s="765" t="s">
        <v>146</v>
      </c>
      <c r="E283" s="765" t="s">
        <v>146</v>
      </c>
      <c r="F283" s="765" t="s">
        <v>146</v>
      </c>
      <c r="G283" s="765">
        <v>0</v>
      </c>
      <c r="H283" s="765">
        <v>0</v>
      </c>
      <c r="I283" s="765">
        <v>0</v>
      </c>
      <c r="J283" s="765" t="s">
        <v>146</v>
      </c>
      <c r="K283" s="765">
        <v>0</v>
      </c>
      <c r="L283" s="765">
        <v>0</v>
      </c>
      <c r="M283" s="765">
        <v>0</v>
      </c>
      <c r="N283" s="765">
        <v>0</v>
      </c>
      <c r="O283" s="765">
        <v>0</v>
      </c>
      <c r="P283" s="765">
        <v>0</v>
      </c>
      <c r="Q283" s="765">
        <v>0</v>
      </c>
      <c r="R283" s="765">
        <v>0</v>
      </c>
      <c r="S283" s="765" t="e">
        <v>#N/A</v>
      </c>
      <c r="T283" s="765" t="e">
        <v>#N/A</v>
      </c>
      <c r="U283" s="765">
        <v>5</v>
      </c>
      <c r="V283" s="765" t="e">
        <v>#N/A</v>
      </c>
      <c r="W283" s="765" t="e">
        <v>#N/A</v>
      </c>
      <c r="X283" s="765">
        <v>10</v>
      </c>
      <c r="Y283" s="765" t="e">
        <v>#N/A</v>
      </c>
      <c r="Z283" s="765" t="e">
        <v>#N/A</v>
      </c>
      <c r="AA283" s="765">
        <v>15</v>
      </c>
    </row>
    <row r="284" spans="2:27" x14ac:dyDescent="0.25">
      <c r="B284" s="765">
        <v>0</v>
      </c>
      <c r="C284" s="765" t="s">
        <v>146</v>
      </c>
      <c r="D284" s="765" t="s">
        <v>146</v>
      </c>
      <c r="E284" s="765" t="s">
        <v>146</v>
      </c>
      <c r="F284" s="765" t="s">
        <v>146</v>
      </c>
      <c r="G284" s="765">
        <v>0</v>
      </c>
      <c r="H284" s="765">
        <v>0</v>
      </c>
      <c r="I284" s="765">
        <v>0</v>
      </c>
      <c r="J284" s="765" t="s">
        <v>146</v>
      </c>
      <c r="K284" s="765">
        <v>0</v>
      </c>
      <c r="L284" s="765">
        <v>0</v>
      </c>
      <c r="M284" s="765">
        <v>0</v>
      </c>
      <c r="N284" s="765">
        <v>0</v>
      </c>
      <c r="O284" s="765">
        <v>0</v>
      </c>
      <c r="P284" s="765">
        <v>0</v>
      </c>
      <c r="Q284" s="765">
        <v>0</v>
      </c>
      <c r="R284" s="765">
        <v>0</v>
      </c>
      <c r="S284" s="765" t="e">
        <v>#N/A</v>
      </c>
      <c r="T284" s="765" t="e">
        <v>#N/A</v>
      </c>
      <c r="U284" s="765">
        <v>5</v>
      </c>
      <c r="V284" s="765" t="e">
        <v>#N/A</v>
      </c>
      <c r="W284" s="765" t="e">
        <v>#N/A</v>
      </c>
      <c r="X284" s="765">
        <v>10</v>
      </c>
      <c r="Y284" s="765" t="e">
        <v>#N/A</v>
      </c>
      <c r="Z284" s="765" t="e">
        <v>#N/A</v>
      </c>
      <c r="AA284" s="765">
        <v>15</v>
      </c>
    </row>
    <row r="285" spans="2:27" x14ac:dyDescent="0.25">
      <c r="B285" s="765">
        <v>0</v>
      </c>
      <c r="C285" s="765" t="s">
        <v>146</v>
      </c>
      <c r="D285" s="765" t="s">
        <v>146</v>
      </c>
      <c r="E285" s="765" t="s">
        <v>146</v>
      </c>
      <c r="F285" s="765" t="s">
        <v>146</v>
      </c>
      <c r="G285" s="765">
        <v>0</v>
      </c>
      <c r="H285" s="765">
        <v>0</v>
      </c>
      <c r="I285" s="765">
        <v>0</v>
      </c>
      <c r="J285" s="765" t="s">
        <v>146</v>
      </c>
      <c r="K285" s="765">
        <v>0</v>
      </c>
      <c r="L285" s="765">
        <v>0</v>
      </c>
      <c r="M285" s="765">
        <v>0</v>
      </c>
      <c r="N285" s="765">
        <v>0</v>
      </c>
      <c r="O285" s="765">
        <v>0</v>
      </c>
      <c r="P285" s="765">
        <v>0</v>
      </c>
      <c r="Q285" s="765">
        <v>0</v>
      </c>
      <c r="R285" s="765">
        <v>0</v>
      </c>
      <c r="S285" s="765" t="e">
        <v>#N/A</v>
      </c>
      <c r="T285" s="765" t="e">
        <v>#N/A</v>
      </c>
      <c r="U285" s="765">
        <v>5</v>
      </c>
      <c r="V285" s="765" t="e">
        <v>#N/A</v>
      </c>
      <c r="W285" s="765" t="e">
        <v>#N/A</v>
      </c>
      <c r="X285" s="765">
        <v>10</v>
      </c>
      <c r="Y285" s="765" t="e">
        <v>#N/A</v>
      </c>
      <c r="Z285" s="765" t="e">
        <v>#N/A</v>
      </c>
      <c r="AA285" s="765">
        <v>15</v>
      </c>
    </row>
    <row r="286" spans="2:27" x14ac:dyDescent="0.25">
      <c r="B286" s="765">
        <v>0</v>
      </c>
      <c r="C286" s="765" t="s">
        <v>146</v>
      </c>
      <c r="D286" s="765" t="s">
        <v>146</v>
      </c>
      <c r="E286" s="765" t="s">
        <v>146</v>
      </c>
      <c r="F286" s="765" t="s">
        <v>146</v>
      </c>
      <c r="G286" s="765">
        <v>0</v>
      </c>
      <c r="H286" s="765">
        <v>0</v>
      </c>
      <c r="I286" s="765">
        <v>0</v>
      </c>
      <c r="J286" s="765" t="s">
        <v>146</v>
      </c>
      <c r="K286" s="765">
        <v>0</v>
      </c>
      <c r="L286" s="765">
        <v>0</v>
      </c>
      <c r="M286" s="765">
        <v>0</v>
      </c>
      <c r="N286" s="765">
        <v>0</v>
      </c>
      <c r="O286" s="765">
        <v>0</v>
      </c>
      <c r="P286" s="765">
        <v>0</v>
      </c>
      <c r="Q286" s="765">
        <v>0</v>
      </c>
      <c r="R286" s="765">
        <v>0</v>
      </c>
      <c r="S286" s="765" t="e">
        <v>#N/A</v>
      </c>
      <c r="T286" s="765" t="e">
        <v>#N/A</v>
      </c>
      <c r="U286" s="765">
        <v>5</v>
      </c>
      <c r="V286" s="765" t="e">
        <v>#N/A</v>
      </c>
      <c r="W286" s="765" t="e">
        <v>#N/A</v>
      </c>
      <c r="X286" s="765">
        <v>10</v>
      </c>
      <c r="Y286" s="765" t="e">
        <v>#N/A</v>
      </c>
      <c r="Z286" s="765" t="e">
        <v>#N/A</v>
      </c>
      <c r="AA286" s="765">
        <v>15</v>
      </c>
    </row>
    <row r="287" spans="2:27" x14ac:dyDescent="0.25">
      <c r="B287" s="765">
        <v>0</v>
      </c>
      <c r="C287" s="765" t="s">
        <v>146</v>
      </c>
      <c r="D287" s="765" t="s">
        <v>146</v>
      </c>
      <c r="E287" s="765" t="s">
        <v>146</v>
      </c>
      <c r="F287" s="765" t="s">
        <v>146</v>
      </c>
      <c r="G287" s="765">
        <v>0</v>
      </c>
      <c r="H287" s="765">
        <v>0</v>
      </c>
      <c r="I287" s="765">
        <v>0</v>
      </c>
      <c r="J287" s="765" t="s">
        <v>146</v>
      </c>
      <c r="K287" s="765">
        <v>0</v>
      </c>
      <c r="L287" s="765">
        <v>0</v>
      </c>
      <c r="M287" s="765">
        <v>0</v>
      </c>
      <c r="N287" s="765">
        <v>0</v>
      </c>
      <c r="O287" s="765">
        <v>0</v>
      </c>
      <c r="P287" s="765">
        <v>0</v>
      </c>
      <c r="Q287" s="765">
        <v>0</v>
      </c>
      <c r="R287" s="765">
        <v>0</v>
      </c>
      <c r="S287" s="765" t="e">
        <v>#N/A</v>
      </c>
      <c r="T287" s="765" t="e">
        <v>#N/A</v>
      </c>
      <c r="U287" s="765">
        <v>5</v>
      </c>
      <c r="V287" s="765" t="e">
        <v>#N/A</v>
      </c>
      <c r="W287" s="765" t="e">
        <v>#N/A</v>
      </c>
      <c r="X287" s="765">
        <v>10</v>
      </c>
      <c r="Y287" s="765" t="e">
        <v>#N/A</v>
      </c>
      <c r="Z287" s="765" t="e">
        <v>#N/A</v>
      </c>
      <c r="AA287" s="765">
        <v>15</v>
      </c>
    </row>
    <row r="288" spans="2:27" x14ac:dyDescent="0.25">
      <c r="B288" s="765">
        <v>0</v>
      </c>
      <c r="C288" s="765" t="s">
        <v>146</v>
      </c>
      <c r="D288" s="765" t="s">
        <v>146</v>
      </c>
      <c r="E288" s="765" t="s">
        <v>146</v>
      </c>
      <c r="F288" s="765" t="s">
        <v>146</v>
      </c>
      <c r="G288" s="765">
        <v>0</v>
      </c>
      <c r="H288" s="765">
        <v>0</v>
      </c>
      <c r="I288" s="765">
        <v>0</v>
      </c>
      <c r="J288" s="765" t="s">
        <v>146</v>
      </c>
      <c r="K288" s="765">
        <v>0</v>
      </c>
      <c r="L288" s="765">
        <v>0</v>
      </c>
      <c r="M288" s="765">
        <v>0</v>
      </c>
      <c r="N288" s="765">
        <v>0</v>
      </c>
      <c r="O288" s="765">
        <v>0</v>
      </c>
      <c r="P288" s="765">
        <v>0</v>
      </c>
      <c r="Q288" s="765">
        <v>0</v>
      </c>
      <c r="R288" s="765">
        <v>0</v>
      </c>
      <c r="S288" s="765" t="e">
        <v>#N/A</v>
      </c>
      <c r="T288" s="765" t="e">
        <v>#N/A</v>
      </c>
      <c r="U288" s="765">
        <v>5</v>
      </c>
      <c r="V288" s="765" t="e">
        <v>#N/A</v>
      </c>
      <c r="W288" s="765" t="e">
        <v>#N/A</v>
      </c>
      <c r="X288" s="765">
        <v>10</v>
      </c>
      <c r="Y288" s="765" t="e">
        <v>#N/A</v>
      </c>
      <c r="Z288" s="765" t="e">
        <v>#N/A</v>
      </c>
      <c r="AA288" s="765">
        <v>15</v>
      </c>
    </row>
    <row r="289" spans="2:27" x14ac:dyDescent="0.25">
      <c r="B289" s="765">
        <v>0</v>
      </c>
      <c r="C289" s="765" t="s">
        <v>146</v>
      </c>
      <c r="D289" s="765" t="s">
        <v>146</v>
      </c>
      <c r="E289" s="765" t="s">
        <v>146</v>
      </c>
      <c r="F289" s="765" t="s">
        <v>146</v>
      </c>
      <c r="G289" s="765">
        <v>0</v>
      </c>
      <c r="H289" s="765">
        <v>0</v>
      </c>
      <c r="I289" s="765">
        <v>0</v>
      </c>
      <c r="J289" s="765" t="s">
        <v>146</v>
      </c>
      <c r="K289" s="765">
        <v>0</v>
      </c>
      <c r="L289" s="765">
        <v>0</v>
      </c>
      <c r="M289" s="765">
        <v>0</v>
      </c>
      <c r="N289" s="765">
        <v>0</v>
      </c>
      <c r="O289" s="765">
        <v>0</v>
      </c>
      <c r="P289" s="765">
        <v>0</v>
      </c>
      <c r="Q289" s="765">
        <v>0</v>
      </c>
      <c r="R289" s="765">
        <v>0</v>
      </c>
      <c r="S289" s="765" t="e">
        <v>#N/A</v>
      </c>
      <c r="T289" s="765" t="e">
        <v>#N/A</v>
      </c>
      <c r="U289" s="765">
        <v>5</v>
      </c>
      <c r="V289" s="765" t="e">
        <v>#N/A</v>
      </c>
      <c r="W289" s="765" t="e">
        <v>#N/A</v>
      </c>
      <c r="X289" s="765">
        <v>10</v>
      </c>
      <c r="Y289" s="765" t="e">
        <v>#N/A</v>
      </c>
      <c r="Z289" s="765" t="e">
        <v>#N/A</v>
      </c>
      <c r="AA289" s="765">
        <v>15</v>
      </c>
    </row>
    <row r="290" spans="2:27" x14ac:dyDescent="0.25">
      <c r="B290" s="765">
        <v>0</v>
      </c>
      <c r="C290" s="765" t="s">
        <v>146</v>
      </c>
      <c r="D290" s="765" t="s">
        <v>146</v>
      </c>
      <c r="E290" s="765" t="s">
        <v>146</v>
      </c>
      <c r="F290" s="765" t="s">
        <v>146</v>
      </c>
      <c r="G290" s="765">
        <v>0</v>
      </c>
      <c r="H290" s="765">
        <v>0</v>
      </c>
      <c r="I290" s="765">
        <v>0</v>
      </c>
      <c r="J290" s="765" t="s">
        <v>146</v>
      </c>
      <c r="K290" s="765">
        <v>0</v>
      </c>
      <c r="L290" s="765">
        <v>0</v>
      </c>
      <c r="M290" s="765">
        <v>0</v>
      </c>
      <c r="N290" s="765">
        <v>0</v>
      </c>
      <c r="O290" s="765">
        <v>0</v>
      </c>
      <c r="P290" s="765">
        <v>0</v>
      </c>
      <c r="Q290" s="765">
        <v>0</v>
      </c>
      <c r="R290" s="765">
        <v>0</v>
      </c>
      <c r="S290" s="765" t="e">
        <v>#N/A</v>
      </c>
      <c r="T290" s="765" t="e">
        <v>#N/A</v>
      </c>
      <c r="U290" s="765">
        <v>5</v>
      </c>
      <c r="V290" s="765" t="e">
        <v>#N/A</v>
      </c>
      <c r="W290" s="765" t="e">
        <v>#N/A</v>
      </c>
      <c r="X290" s="765">
        <v>10</v>
      </c>
      <c r="Y290" s="765" t="e">
        <v>#N/A</v>
      </c>
      <c r="Z290" s="765" t="e">
        <v>#N/A</v>
      </c>
      <c r="AA290" s="765">
        <v>15</v>
      </c>
    </row>
    <row r="291" spans="2:27" x14ac:dyDescent="0.25">
      <c r="B291" s="765">
        <v>0</v>
      </c>
      <c r="C291" s="765" t="s">
        <v>146</v>
      </c>
      <c r="D291" s="765" t="s">
        <v>146</v>
      </c>
      <c r="E291" s="765" t="s">
        <v>146</v>
      </c>
      <c r="F291" s="765" t="s">
        <v>146</v>
      </c>
      <c r="G291" s="765">
        <v>0</v>
      </c>
      <c r="H291" s="765">
        <v>0</v>
      </c>
      <c r="I291" s="765">
        <v>0</v>
      </c>
      <c r="J291" s="765" t="s">
        <v>146</v>
      </c>
      <c r="K291" s="765">
        <v>0</v>
      </c>
      <c r="L291" s="765">
        <v>0</v>
      </c>
      <c r="M291" s="765">
        <v>0</v>
      </c>
      <c r="N291" s="765">
        <v>0</v>
      </c>
      <c r="O291" s="765">
        <v>0</v>
      </c>
      <c r="P291" s="765">
        <v>0</v>
      </c>
      <c r="Q291" s="765">
        <v>0</v>
      </c>
      <c r="R291" s="765">
        <v>0</v>
      </c>
      <c r="S291" s="765" t="e">
        <v>#N/A</v>
      </c>
      <c r="T291" s="765" t="e">
        <v>#N/A</v>
      </c>
      <c r="U291" s="765">
        <v>5</v>
      </c>
      <c r="V291" s="765" t="e">
        <v>#N/A</v>
      </c>
      <c r="W291" s="765" t="e">
        <v>#N/A</v>
      </c>
      <c r="X291" s="765">
        <v>10</v>
      </c>
      <c r="Y291" s="765" t="e">
        <v>#N/A</v>
      </c>
      <c r="Z291" s="765" t="e">
        <v>#N/A</v>
      </c>
      <c r="AA291" s="765">
        <v>15</v>
      </c>
    </row>
    <row r="292" spans="2:27" x14ac:dyDescent="0.25">
      <c r="B292" s="765">
        <v>0</v>
      </c>
      <c r="C292" s="765" t="s">
        <v>146</v>
      </c>
      <c r="D292" s="765" t="s">
        <v>146</v>
      </c>
      <c r="E292" s="765" t="s">
        <v>146</v>
      </c>
      <c r="F292" s="765" t="s">
        <v>146</v>
      </c>
      <c r="G292" s="765">
        <v>0</v>
      </c>
      <c r="H292" s="765">
        <v>0</v>
      </c>
      <c r="I292" s="765">
        <v>0</v>
      </c>
      <c r="J292" s="765" t="s">
        <v>146</v>
      </c>
      <c r="K292" s="765">
        <v>0</v>
      </c>
      <c r="L292" s="765">
        <v>0</v>
      </c>
      <c r="M292" s="765">
        <v>0</v>
      </c>
      <c r="N292" s="765">
        <v>0</v>
      </c>
      <c r="O292" s="765">
        <v>0</v>
      </c>
      <c r="P292" s="765">
        <v>0</v>
      </c>
      <c r="Q292" s="765">
        <v>0</v>
      </c>
      <c r="R292" s="765">
        <v>0</v>
      </c>
      <c r="S292" s="765" t="e">
        <v>#N/A</v>
      </c>
      <c r="T292" s="765" t="e">
        <v>#N/A</v>
      </c>
      <c r="U292" s="765">
        <v>5</v>
      </c>
      <c r="V292" s="765" t="e">
        <v>#N/A</v>
      </c>
      <c r="W292" s="765" t="e">
        <v>#N/A</v>
      </c>
      <c r="X292" s="765">
        <v>10</v>
      </c>
      <c r="Y292" s="765" t="e">
        <v>#N/A</v>
      </c>
      <c r="Z292" s="765" t="e">
        <v>#N/A</v>
      </c>
      <c r="AA292" s="765">
        <v>15</v>
      </c>
    </row>
    <row r="293" spans="2:27" x14ac:dyDescent="0.25">
      <c r="B293" s="765">
        <v>0</v>
      </c>
      <c r="C293" s="765" t="s">
        <v>146</v>
      </c>
      <c r="D293" s="765" t="s">
        <v>146</v>
      </c>
      <c r="E293" s="765" t="s">
        <v>146</v>
      </c>
      <c r="F293" s="765" t="s">
        <v>146</v>
      </c>
      <c r="G293" s="765">
        <v>0</v>
      </c>
      <c r="H293" s="765">
        <v>0</v>
      </c>
      <c r="I293" s="765">
        <v>0</v>
      </c>
      <c r="J293" s="765" t="s">
        <v>146</v>
      </c>
      <c r="K293" s="765">
        <v>0</v>
      </c>
      <c r="L293" s="765">
        <v>0</v>
      </c>
      <c r="M293" s="765">
        <v>0</v>
      </c>
      <c r="N293" s="765">
        <v>0</v>
      </c>
      <c r="O293" s="765">
        <v>0</v>
      </c>
      <c r="P293" s="765">
        <v>0</v>
      </c>
      <c r="Q293" s="765">
        <v>0</v>
      </c>
      <c r="R293" s="765">
        <v>0</v>
      </c>
      <c r="S293" s="765" t="e">
        <v>#N/A</v>
      </c>
      <c r="T293" s="765" t="e">
        <v>#N/A</v>
      </c>
      <c r="U293" s="765">
        <v>5</v>
      </c>
      <c r="V293" s="765" t="e">
        <v>#N/A</v>
      </c>
      <c r="W293" s="765" t="e">
        <v>#N/A</v>
      </c>
      <c r="X293" s="765">
        <v>10</v>
      </c>
      <c r="Y293" s="765" t="e">
        <v>#N/A</v>
      </c>
      <c r="Z293" s="765" t="e">
        <v>#N/A</v>
      </c>
      <c r="AA293" s="765">
        <v>15</v>
      </c>
    </row>
    <row r="294" spans="2:27" x14ac:dyDescent="0.25">
      <c r="B294" s="765">
        <v>0</v>
      </c>
      <c r="C294" s="765" t="s">
        <v>146</v>
      </c>
      <c r="D294" s="765" t="s">
        <v>146</v>
      </c>
      <c r="E294" s="765" t="s">
        <v>146</v>
      </c>
      <c r="F294" s="765" t="s">
        <v>146</v>
      </c>
      <c r="G294" s="765">
        <v>0</v>
      </c>
      <c r="H294" s="765">
        <v>0</v>
      </c>
      <c r="I294" s="765">
        <v>0</v>
      </c>
      <c r="J294" s="765" t="s">
        <v>146</v>
      </c>
      <c r="K294" s="765">
        <v>0</v>
      </c>
      <c r="L294" s="765">
        <v>0</v>
      </c>
      <c r="M294" s="765">
        <v>0</v>
      </c>
      <c r="N294" s="765">
        <v>0</v>
      </c>
      <c r="O294" s="765">
        <v>0</v>
      </c>
      <c r="P294" s="765">
        <v>0</v>
      </c>
      <c r="Q294" s="765">
        <v>0</v>
      </c>
      <c r="R294" s="765">
        <v>0</v>
      </c>
      <c r="S294" s="765" t="e">
        <v>#N/A</v>
      </c>
      <c r="T294" s="765" t="e">
        <v>#N/A</v>
      </c>
      <c r="U294" s="765">
        <v>5</v>
      </c>
      <c r="V294" s="765" t="e">
        <v>#N/A</v>
      </c>
      <c r="W294" s="765" t="e">
        <v>#N/A</v>
      </c>
      <c r="X294" s="765">
        <v>10</v>
      </c>
      <c r="Y294" s="765" t="e">
        <v>#N/A</v>
      </c>
      <c r="Z294" s="765" t="e">
        <v>#N/A</v>
      </c>
      <c r="AA294" s="765">
        <v>15</v>
      </c>
    </row>
    <row r="295" spans="2:27" x14ac:dyDescent="0.25">
      <c r="B295" s="765">
        <v>0</v>
      </c>
      <c r="C295" s="765" t="s">
        <v>146</v>
      </c>
      <c r="D295" s="765" t="s">
        <v>146</v>
      </c>
      <c r="E295" s="765" t="s">
        <v>146</v>
      </c>
      <c r="F295" s="765" t="s">
        <v>146</v>
      </c>
      <c r="G295" s="765">
        <v>0</v>
      </c>
      <c r="H295" s="765">
        <v>0</v>
      </c>
      <c r="I295" s="765">
        <v>0</v>
      </c>
      <c r="J295" s="765" t="s">
        <v>146</v>
      </c>
      <c r="K295" s="765">
        <v>0</v>
      </c>
      <c r="L295" s="765">
        <v>0</v>
      </c>
      <c r="M295" s="765">
        <v>0</v>
      </c>
      <c r="N295" s="765">
        <v>0</v>
      </c>
      <c r="O295" s="765">
        <v>0</v>
      </c>
      <c r="P295" s="765">
        <v>0</v>
      </c>
      <c r="Q295" s="765">
        <v>0</v>
      </c>
      <c r="R295" s="765">
        <v>0</v>
      </c>
      <c r="S295" s="765" t="e">
        <v>#N/A</v>
      </c>
      <c r="T295" s="765" t="e">
        <v>#N/A</v>
      </c>
      <c r="U295" s="765">
        <v>5</v>
      </c>
      <c r="V295" s="765" t="e">
        <v>#N/A</v>
      </c>
      <c r="W295" s="765" t="e">
        <v>#N/A</v>
      </c>
      <c r="X295" s="765">
        <v>10</v>
      </c>
      <c r="Y295" s="765" t="e">
        <v>#N/A</v>
      </c>
      <c r="Z295" s="765" t="e">
        <v>#N/A</v>
      </c>
      <c r="AA295" s="765">
        <v>15</v>
      </c>
    </row>
    <row r="296" spans="2:27" x14ac:dyDescent="0.25">
      <c r="B296" s="765">
        <v>0</v>
      </c>
      <c r="C296" s="765" t="s">
        <v>146</v>
      </c>
      <c r="D296" s="765" t="s">
        <v>146</v>
      </c>
      <c r="E296" s="765" t="s">
        <v>146</v>
      </c>
      <c r="F296" s="765" t="s">
        <v>146</v>
      </c>
      <c r="G296" s="765">
        <v>0</v>
      </c>
      <c r="H296" s="765">
        <v>0</v>
      </c>
      <c r="I296" s="765">
        <v>0</v>
      </c>
      <c r="J296" s="765" t="s">
        <v>146</v>
      </c>
      <c r="K296" s="765">
        <v>0</v>
      </c>
      <c r="L296" s="765">
        <v>0</v>
      </c>
      <c r="M296" s="765">
        <v>0</v>
      </c>
      <c r="N296" s="765">
        <v>0</v>
      </c>
      <c r="O296" s="765">
        <v>0</v>
      </c>
      <c r="P296" s="765">
        <v>0</v>
      </c>
      <c r="Q296" s="765">
        <v>0</v>
      </c>
      <c r="R296" s="765">
        <v>0</v>
      </c>
      <c r="S296" s="765" t="e">
        <v>#N/A</v>
      </c>
      <c r="T296" s="765" t="e">
        <v>#N/A</v>
      </c>
      <c r="U296" s="765">
        <v>5</v>
      </c>
      <c r="V296" s="765" t="e">
        <v>#N/A</v>
      </c>
      <c r="W296" s="765" t="e">
        <v>#N/A</v>
      </c>
      <c r="X296" s="765">
        <v>10</v>
      </c>
      <c r="Y296" s="765" t="e">
        <v>#N/A</v>
      </c>
      <c r="Z296" s="765" t="e">
        <v>#N/A</v>
      </c>
      <c r="AA296" s="765">
        <v>15</v>
      </c>
    </row>
    <row r="297" spans="2:27" x14ac:dyDescent="0.25">
      <c r="B297" s="765">
        <v>0</v>
      </c>
      <c r="C297" s="765" t="s">
        <v>146</v>
      </c>
      <c r="D297" s="765" t="s">
        <v>146</v>
      </c>
      <c r="E297" s="765" t="s">
        <v>146</v>
      </c>
      <c r="F297" s="765" t="s">
        <v>146</v>
      </c>
      <c r="G297" s="765">
        <v>0</v>
      </c>
      <c r="H297" s="765">
        <v>0</v>
      </c>
      <c r="I297" s="765">
        <v>0</v>
      </c>
      <c r="J297" s="765" t="s">
        <v>146</v>
      </c>
      <c r="K297" s="765">
        <v>0</v>
      </c>
      <c r="L297" s="765">
        <v>0</v>
      </c>
      <c r="M297" s="765">
        <v>0</v>
      </c>
      <c r="N297" s="765">
        <v>0</v>
      </c>
      <c r="O297" s="765">
        <v>0</v>
      </c>
      <c r="P297" s="765">
        <v>0</v>
      </c>
      <c r="Q297" s="765">
        <v>0</v>
      </c>
      <c r="R297" s="765">
        <v>0</v>
      </c>
      <c r="S297" s="765" t="e">
        <v>#N/A</v>
      </c>
      <c r="T297" s="765" t="e">
        <v>#N/A</v>
      </c>
      <c r="U297" s="765">
        <v>5</v>
      </c>
      <c r="V297" s="765" t="e">
        <v>#N/A</v>
      </c>
      <c r="W297" s="765" t="e">
        <v>#N/A</v>
      </c>
      <c r="X297" s="765">
        <v>10</v>
      </c>
      <c r="Y297" s="765" t="e">
        <v>#N/A</v>
      </c>
      <c r="Z297" s="765" t="e">
        <v>#N/A</v>
      </c>
      <c r="AA297" s="765">
        <v>15</v>
      </c>
    </row>
    <row r="298" spans="2:27" x14ac:dyDescent="0.25">
      <c r="B298" s="765">
        <v>0</v>
      </c>
      <c r="C298" s="765" t="s">
        <v>146</v>
      </c>
      <c r="D298" s="765" t="s">
        <v>146</v>
      </c>
      <c r="E298" s="765" t="s">
        <v>146</v>
      </c>
      <c r="F298" s="765" t="s">
        <v>146</v>
      </c>
      <c r="G298" s="765">
        <v>0</v>
      </c>
      <c r="H298" s="765">
        <v>0</v>
      </c>
      <c r="I298" s="765">
        <v>0</v>
      </c>
      <c r="J298" s="765" t="s">
        <v>146</v>
      </c>
      <c r="K298" s="765">
        <v>0</v>
      </c>
      <c r="L298" s="765">
        <v>0</v>
      </c>
      <c r="M298" s="765">
        <v>0</v>
      </c>
      <c r="N298" s="765">
        <v>0</v>
      </c>
      <c r="O298" s="765">
        <v>0</v>
      </c>
      <c r="P298" s="765">
        <v>0</v>
      </c>
      <c r="Q298" s="765">
        <v>0</v>
      </c>
      <c r="R298" s="765">
        <v>0</v>
      </c>
      <c r="S298" s="765" t="e">
        <v>#N/A</v>
      </c>
      <c r="T298" s="765" t="e">
        <v>#N/A</v>
      </c>
      <c r="U298" s="765">
        <v>5</v>
      </c>
      <c r="V298" s="765" t="e">
        <v>#N/A</v>
      </c>
      <c r="W298" s="765" t="e">
        <v>#N/A</v>
      </c>
      <c r="X298" s="765">
        <v>10</v>
      </c>
      <c r="Y298" s="765" t="e">
        <v>#N/A</v>
      </c>
      <c r="Z298" s="765" t="e">
        <v>#N/A</v>
      </c>
      <c r="AA298" s="765">
        <v>15</v>
      </c>
    </row>
    <row r="299" spans="2:27" x14ac:dyDescent="0.25">
      <c r="B299" s="765">
        <v>0</v>
      </c>
      <c r="C299" s="765" t="s">
        <v>146</v>
      </c>
      <c r="D299" s="765" t="s">
        <v>146</v>
      </c>
      <c r="E299" s="765" t="s">
        <v>146</v>
      </c>
      <c r="F299" s="765" t="s">
        <v>146</v>
      </c>
      <c r="G299" s="765">
        <v>0</v>
      </c>
      <c r="H299" s="765">
        <v>0</v>
      </c>
      <c r="I299" s="765">
        <v>0</v>
      </c>
      <c r="J299" s="765" t="s">
        <v>146</v>
      </c>
      <c r="K299" s="765">
        <v>0</v>
      </c>
      <c r="L299" s="765">
        <v>0</v>
      </c>
      <c r="M299" s="765">
        <v>0</v>
      </c>
      <c r="N299" s="765">
        <v>0</v>
      </c>
      <c r="O299" s="765">
        <v>0</v>
      </c>
      <c r="P299" s="765">
        <v>0</v>
      </c>
      <c r="Q299" s="765">
        <v>0</v>
      </c>
      <c r="R299" s="765">
        <v>0</v>
      </c>
      <c r="S299" s="765" t="e">
        <v>#N/A</v>
      </c>
      <c r="T299" s="765" t="e">
        <v>#N/A</v>
      </c>
      <c r="U299" s="765">
        <v>5</v>
      </c>
      <c r="V299" s="765" t="e">
        <v>#N/A</v>
      </c>
      <c r="W299" s="765" t="e">
        <v>#N/A</v>
      </c>
      <c r="X299" s="765">
        <v>10</v>
      </c>
      <c r="Y299" s="765" t="e">
        <v>#N/A</v>
      </c>
      <c r="Z299" s="765" t="e">
        <v>#N/A</v>
      </c>
      <c r="AA299" s="765">
        <v>15</v>
      </c>
    </row>
    <row r="300" spans="2:27" x14ac:dyDescent="0.25">
      <c r="B300" s="765">
        <v>0</v>
      </c>
      <c r="C300" s="765" t="s">
        <v>146</v>
      </c>
      <c r="D300" s="765" t="s">
        <v>146</v>
      </c>
      <c r="E300" s="765" t="s">
        <v>146</v>
      </c>
      <c r="F300" s="765" t="s">
        <v>146</v>
      </c>
      <c r="G300" s="765">
        <v>0</v>
      </c>
      <c r="H300" s="765">
        <v>0</v>
      </c>
      <c r="I300" s="765">
        <v>0</v>
      </c>
      <c r="J300" s="765" t="s">
        <v>146</v>
      </c>
      <c r="K300" s="765">
        <v>0</v>
      </c>
      <c r="L300" s="765">
        <v>0</v>
      </c>
      <c r="M300" s="765">
        <v>0</v>
      </c>
      <c r="N300" s="765">
        <v>0</v>
      </c>
      <c r="O300" s="765">
        <v>0</v>
      </c>
      <c r="P300" s="765">
        <v>0</v>
      </c>
      <c r="Q300" s="765">
        <v>0</v>
      </c>
      <c r="R300" s="765">
        <v>0</v>
      </c>
      <c r="S300" s="765" t="e">
        <v>#N/A</v>
      </c>
      <c r="T300" s="765" t="e">
        <v>#N/A</v>
      </c>
      <c r="U300" s="765">
        <v>5</v>
      </c>
      <c r="V300" s="765" t="e">
        <v>#N/A</v>
      </c>
      <c r="W300" s="765" t="e">
        <v>#N/A</v>
      </c>
      <c r="X300" s="765">
        <v>10</v>
      </c>
      <c r="Y300" s="765" t="e">
        <v>#N/A</v>
      </c>
      <c r="Z300" s="765" t="e">
        <v>#N/A</v>
      </c>
      <c r="AA300" s="765">
        <v>15</v>
      </c>
    </row>
    <row r="301" spans="2:27" x14ac:dyDescent="0.25">
      <c r="B301" s="765">
        <v>0</v>
      </c>
      <c r="C301" s="765" t="s">
        <v>146</v>
      </c>
      <c r="D301" s="765" t="s">
        <v>146</v>
      </c>
      <c r="E301" s="765" t="s">
        <v>146</v>
      </c>
      <c r="F301" s="765" t="s">
        <v>146</v>
      </c>
      <c r="G301" s="765">
        <v>0</v>
      </c>
      <c r="H301" s="765">
        <v>0</v>
      </c>
      <c r="I301" s="765">
        <v>0</v>
      </c>
      <c r="J301" s="765" t="s">
        <v>146</v>
      </c>
      <c r="K301" s="765">
        <v>0</v>
      </c>
      <c r="L301" s="765">
        <v>0</v>
      </c>
      <c r="M301" s="765">
        <v>0</v>
      </c>
      <c r="N301" s="765">
        <v>0</v>
      </c>
      <c r="O301" s="765">
        <v>0</v>
      </c>
      <c r="P301" s="765">
        <v>0</v>
      </c>
      <c r="Q301" s="765">
        <v>0</v>
      </c>
      <c r="R301" s="765">
        <v>0</v>
      </c>
      <c r="S301" s="765" t="e">
        <v>#N/A</v>
      </c>
      <c r="T301" s="765" t="e">
        <v>#N/A</v>
      </c>
      <c r="U301" s="765">
        <v>5</v>
      </c>
      <c r="V301" s="765" t="e">
        <v>#N/A</v>
      </c>
      <c r="W301" s="765" t="e">
        <v>#N/A</v>
      </c>
      <c r="X301" s="765">
        <v>10</v>
      </c>
      <c r="Y301" s="765" t="e">
        <v>#N/A</v>
      </c>
      <c r="Z301" s="765" t="e">
        <v>#N/A</v>
      </c>
      <c r="AA301" s="765">
        <v>15</v>
      </c>
    </row>
    <row r="302" spans="2:27" x14ac:dyDescent="0.25">
      <c r="B302" s="765">
        <v>0</v>
      </c>
      <c r="C302" s="765" t="s">
        <v>146</v>
      </c>
      <c r="D302" s="765" t="s">
        <v>146</v>
      </c>
      <c r="E302" s="765" t="s">
        <v>146</v>
      </c>
      <c r="F302" s="765" t="s">
        <v>146</v>
      </c>
      <c r="G302" s="765">
        <v>0</v>
      </c>
      <c r="H302" s="765">
        <v>0</v>
      </c>
      <c r="I302" s="765">
        <v>0</v>
      </c>
      <c r="J302" s="765" t="s">
        <v>146</v>
      </c>
      <c r="K302" s="765">
        <v>0</v>
      </c>
      <c r="L302" s="765">
        <v>0</v>
      </c>
      <c r="M302" s="765">
        <v>0</v>
      </c>
      <c r="N302" s="765">
        <v>0</v>
      </c>
      <c r="O302" s="765">
        <v>0</v>
      </c>
      <c r="P302" s="765">
        <v>0</v>
      </c>
      <c r="Q302" s="765">
        <v>0</v>
      </c>
      <c r="R302" s="765">
        <v>0</v>
      </c>
      <c r="S302" s="765" t="e">
        <v>#N/A</v>
      </c>
      <c r="T302" s="765" t="e">
        <v>#N/A</v>
      </c>
      <c r="U302" s="765">
        <v>5</v>
      </c>
      <c r="V302" s="765" t="e">
        <v>#N/A</v>
      </c>
      <c r="W302" s="765" t="e">
        <v>#N/A</v>
      </c>
      <c r="X302" s="765">
        <v>10</v>
      </c>
      <c r="Y302" s="765" t="e">
        <v>#N/A</v>
      </c>
      <c r="Z302" s="765" t="e">
        <v>#N/A</v>
      </c>
      <c r="AA302" s="765">
        <v>15</v>
      </c>
    </row>
    <row r="303" spans="2:27" x14ac:dyDescent="0.25">
      <c r="B303" s="765">
        <v>0</v>
      </c>
      <c r="C303" s="765" t="s">
        <v>146</v>
      </c>
      <c r="D303" s="765" t="s">
        <v>146</v>
      </c>
      <c r="E303" s="765" t="s">
        <v>146</v>
      </c>
      <c r="F303" s="765" t="s">
        <v>146</v>
      </c>
      <c r="G303" s="765">
        <v>0</v>
      </c>
      <c r="H303" s="765">
        <v>0</v>
      </c>
      <c r="I303" s="765">
        <v>0</v>
      </c>
      <c r="J303" s="765" t="s">
        <v>146</v>
      </c>
      <c r="K303" s="765">
        <v>0</v>
      </c>
      <c r="L303" s="765">
        <v>0</v>
      </c>
      <c r="M303" s="765">
        <v>0</v>
      </c>
      <c r="N303" s="765">
        <v>0</v>
      </c>
      <c r="O303" s="765">
        <v>0</v>
      </c>
      <c r="P303" s="765">
        <v>0</v>
      </c>
      <c r="Q303" s="765">
        <v>0</v>
      </c>
      <c r="R303" s="765">
        <v>0</v>
      </c>
      <c r="S303" s="765" t="e">
        <v>#N/A</v>
      </c>
      <c r="T303" s="765" t="e">
        <v>#N/A</v>
      </c>
      <c r="U303" s="765">
        <v>5</v>
      </c>
      <c r="V303" s="765" t="e">
        <v>#N/A</v>
      </c>
      <c r="W303" s="765" t="e">
        <v>#N/A</v>
      </c>
      <c r="X303" s="765">
        <v>10</v>
      </c>
      <c r="Y303" s="765" t="e">
        <v>#N/A</v>
      </c>
      <c r="Z303" s="765" t="e">
        <v>#N/A</v>
      </c>
      <c r="AA303" s="765">
        <v>15</v>
      </c>
    </row>
    <row r="304" spans="2:27" x14ac:dyDescent="0.25">
      <c r="B304" s="765">
        <v>0</v>
      </c>
      <c r="C304" s="765" t="s">
        <v>146</v>
      </c>
      <c r="D304" s="765" t="s">
        <v>146</v>
      </c>
      <c r="E304" s="765" t="s">
        <v>146</v>
      </c>
      <c r="F304" s="765" t="s">
        <v>146</v>
      </c>
      <c r="G304" s="765">
        <v>0</v>
      </c>
      <c r="H304" s="765">
        <v>0</v>
      </c>
      <c r="I304" s="765">
        <v>0</v>
      </c>
      <c r="J304" s="765" t="s">
        <v>146</v>
      </c>
      <c r="K304" s="765">
        <v>0</v>
      </c>
      <c r="L304" s="765">
        <v>0</v>
      </c>
      <c r="M304" s="765">
        <v>0</v>
      </c>
      <c r="N304" s="765">
        <v>0</v>
      </c>
      <c r="O304" s="765">
        <v>0</v>
      </c>
      <c r="P304" s="765">
        <v>0</v>
      </c>
      <c r="Q304" s="765">
        <v>0</v>
      </c>
      <c r="R304" s="765">
        <v>0</v>
      </c>
      <c r="S304" s="765" t="e">
        <v>#N/A</v>
      </c>
      <c r="T304" s="765" t="e">
        <v>#N/A</v>
      </c>
      <c r="U304" s="765">
        <v>5</v>
      </c>
      <c r="V304" s="765" t="e">
        <v>#N/A</v>
      </c>
      <c r="W304" s="765" t="e">
        <v>#N/A</v>
      </c>
      <c r="X304" s="765">
        <v>10</v>
      </c>
      <c r="Y304" s="765" t="e">
        <v>#N/A</v>
      </c>
      <c r="Z304" s="765" t="e">
        <v>#N/A</v>
      </c>
      <c r="AA304" s="765">
        <v>15</v>
      </c>
    </row>
    <row r="305" spans="2:27" x14ac:dyDescent="0.25">
      <c r="B305" s="765">
        <v>0</v>
      </c>
      <c r="C305" s="765" t="s">
        <v>146</v>
      </c>
      <c r="D305" s="765" t="s">
        <v>146</v>
      </c>
      <c r="E305" s="765" t="s">
        <v>146</v>
      </c>
      <c r="F305" s="765" t="s">
        <v>146</v>
      </c>
      <c r="G305" s="765">
        <v>0</v>
      </c>
      <c r="H305" s="765">
        <v>0</v>
      </c>
      <c r="I305" s="765">
        <v>0</v>
      </c>
      <c r="J305" s="765" t="s">
        <v>146</v>
      </c>
      <c r="K305" s="765">
        <v>0</v>
      </c>
      <c r="L305" s="765">
        <v>0</v>
      </c>
      <c r="M305" s="765">
        <v>0</v>
      </c>
      <c r="N305" s="765">
        <v>0</v>
      </c>
      <c r="O305" s="765">
        <v>0</v>
      </c>
      <c r="P305" s="765">
        <v>0</v>
      </c>
      <c r="Q305" s="765">
        <v>0</v>
      </c>
      <c r="R305" s="765">
        <v>0</v>
      </c>
      <c r="S305" s="765" t="e">
        <v>#N/A</v>
      </c>
      <c r="T305" s="765" t="e">
        <v>#N/A</v>
      </c>
      <c r="U305" s="765">
        <v>5</v>
      </c>
      <c r="V305" s="765" t="e">
        <v>#N/A</v>
      </c>
      <c r="W305" s="765" t="e">
        <v>#N/A</v>
      </c>
      <c r="X305" s="765">
        <v>10</v>
      </c>
      <c r="Y305" s="765" t="e">
        <v>#N/A</v>
      </c>
      <c r="Z305" s="765" t="e">
        <v>#N/A</v>
      </c>
      <c r="AA305" s="765">
        <v>15</v>
      </c>
    </row>
    <row r="306" spans="2:27" x14ac:dyDescent="0.25">
      <c r="B306" s="765">
        <v>0</v>
      </c>
      <c r="C306" s="765" t="s">
        <v>146</v>
      </c>
      <c r="D306" s="765" t="s">
        <v>146</v>
      </c>
      <c r="E306" s="765" t="s">
        <v>146</v>
      </c>
      <c r="F306" s="765" t="s">
        <v>146</v>
      </c>
      <c r="G306" s="765">
        <v>0</v>
      </c>
      <c r="H306" s="765">
        <v>0</v>
      </c>
      <c r="I306" s="765">
        <v>0</v>
      </c>
      <c r="J306" s="765" t="s">
        <v>146</v>
      </c>
      <c r="K306" s="765">
        <v>0</v>
      </c>
      <c r="L306" s="765">
        <v>0</v>
      </c>
      <c r="M306" s="765">
        <v>0</v>
      </c>
      <c r="N306" s="765">
        <v>0</v>
      </c>
      <c r="O306" s="765">
        <v>0</v>
      </c>
      <c r="P306" s="765">
        <v>0</v>
      </c>
      <c r="Q306" s="765">
        <v>0</v>
      </c>
      <c r="R306" s="765">
        <v>0</v>
      </c>
      <c r="S306" s="765" t="e">
        <v>#N/A</v>
      </c>
      <c r="T306" s="765" t="e">
        <v>#N/A</v>
      </c>
      <c r="U306" s="765">
        <v>5</v>
      </c>
      <c r="V306" s="765" t="e">
        <v>#N/A</v>
      </c>
      <c r="W306" s="765" t="e">
        <v>#N/A</v>
      </c>
      <c r="X306" s="765">
        <v>10</v>
      </c>
      <c r="Y306" s="765" t="e">
        <v>#N/A</v>
      </c>
      <c r="Z306" s="765" t="e">
        <v>#N/A</v>
      </c>
      <c r="AA306" s="765">
        <v>15</v>
      </c>
    </row>
    <row r="307" spans="2:27" x14ac:dyDescent="0.25">
      <c r="B307" s="765">
        <v>0</v>
      </c>
      <c r="C307" s="765" t="s">
        <v>146</v>
      </c>
      <c r="D307" s="765" t="s">
        <v>146</v>
      </c>
      <c r="E307" s="765" t="s">
        <v>146</v>
      </c>
      <c r="F307" s="765" t="s">
        <v>146</v>
      </c>
      <c r="G307" s="765">
        <v>0</v>
      </c>
      <c r="H307" s="765">
        <v>0</v>
      </c>
      <c r="I307" s="765">
        <v>0</v>
      </c>
      <c r="J307" s="765" t="s">
        <v>146</v>
      </c>
      <c r="K307" s="765">
        <v>0</v>
      </c>
      <c r="L307" s="765">
        <v>0</v>
      </c>
      <c r="M307" s="765">
        <v>0</v>
      </c>
      <c r="N307" s="765">
        <v>0</v>
      </c>
      <c r="O307" s="765">
        <v>0</v>
      </c>
      <c r="P307" s="765">
        <v>0</v>
      </c>
      <c r="Q307" s="765">
        <v>0</v>
      </c>
      <c r="R307" s="765">
        <v>0</v>
      </c>
      <c r="S307" s="765" t="e">
        <v>#N/A</v>
      </c>
      <c r="T307" s="765" t="e">
        <v>#N/A</v>
      </c>
      <c r="U307" s="765">
        <v>5</v>
      </c>
      <c r="V307" s="765" t="e">
        <v>#N/A</v>
      </c>
      <c r="W307" s="765" t="e">
        <v>#N/A</v>
      </c>
      <c r="X307" s="765">
        <v>10</v>
      </c>
      <c r="Y307" s="765" t="e">
        <v>#N/A</v>
      </c>
      <c r="Z307" s="765" t="e">
        <v>#N/A</v>
      </c>
      <c r="AA307" s="765">
        <v>15</v>
      </c>
    </row>
    <row r="1000" spans="2:27" x14ac:dyDescent="0.25">
      <c r="B1000" s="765" t="s">
        <v>207</v>
      </c>
      <c r="C1000" s="765" t="s">
        <v>207</v>
      </c>
      <c r="D1000" s="765" t="s">
        <v>207</v>
      </c>
      <c r="E1000" s="765" t="s">
        <v>207</v>
      </c>
      <c r="F1000" s="765" t="s">
        <v>207</v>
      </c>
      <c r="G1000" s="765" t="s">
        <v>207</v>
      </c>
      <c r="H1000" s="765" t="s">
        <v>207</v>
      </c>
      <c r="I1000" s="765" t="s">
        <v>207</v>
      </c>
      <c r="J1000" s="765" t="s">
        <v>207</v>
      </c>
      <c r="K1000" s="765" t="s">
        <v>207</v>
      </c>
      <c r="L1000" s="765" t="s">
        <v>207</v>
      </c>
      <c r="M1000" s="765" t="s">
        <v>207</v>
      </c>
      <c r="N1000" s="765" t="s">
        <v>207</v>
      </c>
      <c r="O1000" s="765" t="s">
        <v>207</v>
      </c>
      <c r="P1000" s="765" t="s">
        <v>207</v>
      </c>
      <c r="Q1000" s="765" t="s">
        <v>207</v>
      </c>
      <c r="R1000" s="765" t="s">
        <v>207</v>
      </c>
      <c r="S1000" s="765" t="s">
        <v>207</v>
      </c>
      <c r="T1000" s="765" t="s">
        <v>207</v>
      </c>
      <c r="U1000" s="765" t="s">
        <v>207</v>
      </c>
      <c r="V1000" s="765" t="s">
        <v>207</v>
      </c>
      <c r="W1000" s="765" t="s">
        <v>207</v>
      </c>
      <c r="X1000" s="765" t="s">
        <v>207</v>
      </c>
      <c r="Y1000" s="765" t="s">
        <v>207</v>
      </c>
      <c r="Z1000" s="765" t="s">
        <v>207</v>
      </c>
      <c r="AA1000" s="765" t="s">
        <v>207</v>
      </c>
    </row>
  </sheetData>
  <mergeCells count="5">
    <mergeCell ref="L5:O5"/>
    <mergeCell ref="P5:R5"/>
    <mergeCell ref="S5:U5"/>
    <mergeCell ref="V5:X5"/>
    <mergeCell ref="Y5:AA5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F36-6505-416C-A46E-4248127A67F4}">
  <sheetPr codeName="Sheet18"/>
  <dimension ref="A1:K95"/>
  <sheetViews>
    <sheetView topLeftCell="A3" workbookViewId="0">
      <selection activeCell="A3" sqref="A3:N500"/>
    </sheetView>
  </sheetViews>
  <sheetFormatPr defaultColWidth="9.140625" defaultRowHeight="15" x14ac:dyDescent="0.25"/>
  <cols>
    <col min="1" max="1" width="11.140625" style="765" customWidth="1"/>
    <col min="2" max="3" width="12" style="765" customWidth="1"/>
    <col min="4" max="4" width="9.140625" style="765"/>
    <col min="5" max="5" width="10" style="765" customWidth="1"/>
    <col min="6" max="6" width="13.85546875" style="765" bestFit="1" customWidth="1"/>
    <col min="7" max="9" width="9.140625" style="765"/>
    <col min="10" max="10" width="15.140625" style="765" bestFit="1" customWidth="1"/>
    <col min="11" max="11" width="10.5703125" style="765" bestFit="1" customWidth="1"/>
    <col min="12" max="16384" width="9.140625" style="765"/>
  </cols>
  <sheetData>
    <row r="1" spans="1:11" ht="48.75" customHeight="1" x14ac:dyDescent="0.25"/>
    <row r="2" spans="1:11" ht="18" customHeight="1" x14ac:dyDescent="0.3">
      <c r="A2" s="33" t="s">
        <v>719</v>
      </c>
    </row>
    <row r="3" spans="1:11" x14ac:dyDescent="0.25">
      <c r="A3" s="781" t="s">
        <v>50</v>
      </c>
      <c r="B3" s="10">
        <v>44515</v>
      </c>
      <c r="E3" s="295" t="s">
        <v>317</v>
      </c>
      <c r="F3" s="29" t="s">
        <v>4393</v>
      </c>
    </row>
    <row r="4" spans="1:11" ht="15" customHeight="1" x14ac:dyDescent="0.3">
      <c r="A4" s="33"/>
      <c r="E4" s="295" t="s">
        <v>318</v>
      </c>
      <c r="F4" s="782">
        <v>44515.414554861112</v>
      </c>
    </row>
    <row r="5" spans="1:11" ht="15.75" thickBot="1" x14ac:dyDescent="0.3"/>
    <row r="6" spans="1:11" ht="30" x14ac:dyDescent="0.25">
      <c r="A6" s="106" t="s">
        <v>720</v>
      </c>
      <c r="B6" s="106" t="s">
        <v>721</v>
      </c>
      <c r="C6" s="106" t="s">
        <v>675</v>
      </c>
      <c r="I6" s="106"/>
      <c r="J6" s="106"/>
      <c r="K6" s="106"/>
    </row>
    <row r="7" spans="1:11" x14ac:dyDescent="0.25">
      <c r="A7" s="783" t="s">
        <v>2918</v>
      </c>
      <c r="B7" s="734" t="s">
        <v>1184</v>
      </c>
      <c r="C7" s="337" t="s">
        <v>625</v>
      </c>
      <c r="I7" s="784"/>
      <c r="J7" s="785"/>
      <c r="K7" s="786"/>
    </row>
    <row r="8" spans="1:11" x14ac:dyDescent="0.25">
      <c r="A8" s="787" t="s">
        <v>3302</v>
      </c>
      <c r="B8" s="737" t="s">
        <v>2521</v>
      </c>
      <c r="C8" s="245" t="s">
        <v>10</v>
      </c>
      <c r="I8" s="788"/>
      <c r="J8" s="789"/>
      <c r="K8" s="790"/>
    </row>
    <row r="9" spans="1:11" x14ac:dyDescent="0.25">
      <c r="A9" s="787" t="s">
        <v>3456</v>
      </c>
      <c r="B9" s="737" t="s">
        <v>723</v>
      </c>
      <c r="C9" s="245" t="s">
        <v>13</v>
      </c>
      <c r="I9" s="788"/>
      <c r="J9" s="789"/>
      <c r="K9" s="790"/>
    </row>
    <row r="10" spans="1:11" x14ac:dyDescent="0.25">
      <c r="A10" s="787" t="s">
        <v>1913</v>
      </c>
      <c r="B10" s="737" t="s">
        <v>2517</v>
      </c>
      <c r="C10" s="245" t="s">
        <v>8</v>
      </c>
      <c r="I10" s="788"/>
      <c r="J10" s="789"/>
      <c r="K10" s="790"/>
    </row>
    <row r="11" spans="1:11" x14ac:dyDescent="0.25">
      <c r="A11" s="787" t="s">
        <v>1881</v>
      </c>
      <c r="B11" s="737" t="s">
        <v>2515</v>
      </c>
      <c r="C11" s="245" t="s">
        <v>7</v>
      </c>
      <c r="I11" s="788"/>
      <c r="J11" s="789"/>
      <c r="K11" s="790"/>
    </row>
    <row r="12" spans="1:11" x14ac:dyDescent="0.25">
      <c r="A12" s="787" t="s">
        <v>2040</v>
      </c>
      <c r="B12" s="737" t="s">
        <v>2521</v>
      </c>
      <c r="C12" s="245" t="s">
        <v>10</v>
      </c>
      <c r="I12" s="791"/>
      <c r="J12" s="789"/>
      <c r="K12" s="790"/>
    </row>
    <row r="13" spans="1:11" x14ac:dyDescent="0.25">
      <c r="A13" s="787" t="s">
        <v>2298</v>
      </c>
      <c r="B13" s="737" t="s">
        <v>2515</v>
      </c>
      <c r="C13" s="245" t="s">
        <v>7</v>
      </c>
      <c r="I13" s="791"/>
      <c r="J13" s="789"/>
      <c r="K13" s="790"/>
    </row>
    <row r="14" spans="1:11" x14ac:dyDescent="0.25">
      <c r="A14" s="787" t="s">
        <v>2297</v>
      </c>
      <c r="B14" s="737" t="s">
        <v>2517</v>
      </c>
      <c r="C14" s="245" t="s">
        <v>8</v>
      </c>
      <c r="I14" s="791"/>
      <c r="J14" s="789"/>
      <c r="K14" s="790"/>
    </row>
    <row r="15" spans="1:11" x14ac:dyDescent="0.25">
      <c r="A15" s="787" t="s">
        <v>2296</v>
      </c>
      <c r="B15" s="737" t="s">
        <v>2519</v>
      </c>
      <c r="C15" s="245" t="s">
        <v>9</v>
      </c>
      <c r="I15" s="791"/>
      <c r="J15" s="789"/>
      <c r="K15" s="790"/>
    </row>
    <row r="16" spans="1:11" x14ac:dyDescent="0.25">
      <c r="A16" s="787" t="s">
        <v>2951</v>
      </c>
      <c r="B16" s="737" t="s">
        <v>723</v>
      </c>
      <c r="C16" s="245" t="s">
        <v>13</v>
      </c>
      <c r="I16" s="791"/>
      <c r="J16" s="789"/>
      <c r="K16" s="790"/>
    </row>
    <row r="17" spans="1:11" x14ac:dyDescent="0.25">
      <c r="A17" s="787" t="s">
        <v>3640</v>
      </c>
      <c r="B17" s="737" t="s">
        <v>2521</v>
      </c>
      <c r="C17" s="245" t="s">
        <v>10</v>
      </c>
      <c r="I17" s="791"/>
      <c r="J17" s="789"/>
      <c r="K17" s="790"/>
    </row>
    <row r="18" spans="1:11" x14ac:dyDescent="0.25">
      <c r="A18" s="787" t="s">
        <v>1034</v>
      </c>
      <c r="B18" s="737" t="s">
        <v>2519</v>
      </c>
      <c r="C18" s="245" t="s">
        <v>9</v>
      </c>
      <c r="I18" s="791"/>
      <c r="J18" s="789"/>
      <c r="K18" s="790"/>
    </row>
    <row r="19" spans="1:11" x14ac:dyDescent="0.25">
      <c r="A19" s="787" t="s">
        <v>3175</v>
      </c>
      <c r="B19" s="737" t="s">
        <v>723</v>
      </c>
      <c r="C19" s="245" t="s">
        <v>13</v>
      </c>
      <c r="I19" s="791"/>
      <c r="J19" s="789"/>
      <c r="K19" s="790"/>
    </row>
    <row r="20" spans="1:11" x14ac:dyDescent="0.25">
      <c r="A20" s="787" t="s">
        <v>3639</v>
      </c>
      <c r="B20" s="737" t="s">
        <v>2521</v>
      </c>
      <c r="C20" s="245" t="s">
        <v>10</v>
      </c>
      <c r="I20" s="791"/>
      <c r="J20" s="789"/>
      <c r="K20" s="790"/>
    </row>
    <row r="21" spans="1:11" x14ac:dyDescent="0.25">
      <c r="A21" s="787" t="s">
        <v>3580</v>
      </c>
      <c r="B21" s="737" t="s">
        <v>2515</v>
      </c>
      <c r="C21" s="245" t="s">
        <v>7</v>
      </c>
      <c r="I21" s="791"/>
      <c r="J21" s="789"/>
      <c r="K21" s="790"/>
    </row>
    <row r="22" spans="1:11" x14ac:dyDescent="0.25">
      <c r="A22" s="787" t="s">
        <v>4394</v>
      </c>
      <c r="B22" s="737" t="s">
        <v>723</v>
      </c>
      <c r="C22" s="245" t="s">
        <v>13</v>
      </c>
      <c r="I22" s="791"/>
      <c r="J22" s="789"/>
      <c r="K22" s="790"/>
    </row>
    <row r="23" spans="1:11" x14ac:dyDescent="0.25">
      <c r="A23" s="787" t="s">
        <v>3638</v>
      </c>
      <c r="B23" s="737" t="s">
        <v>723</v>
      </c>
      <c r="C23" s="245" t="s">
        <v>13</v>
      </c>
      <c r="I23" s="791"/>
      <c r="J23" s="789"/>
      <c r="K23" s="790"/>
    </row>
    <row r="24" spans="1:11" x14ac:dyDescent="0.25">
      <c r="A24" s="787" t="s">
        <v>1774</v>
      </c>
      <c r="B24" s="737" t="s">
        <v>2515</v>
      </c>
      <c r="C24" s="245" t="s">
        <v>7</v>
      </c>
      <c r="I24" s="791"/>
      <c r="J24" s="789"/>
      <c r="K24" s="790"/>
    </row>
    <row r="25" spans="1:11" x14ac:dyDescent="0.25">
      <c r="A25" s="787" t="s">
        <v>3151</v>
      </c>
      <c r="B25" s="737" t="s">
        <v>2517</v>
      </c>
      <c r="C25" s="245" t="s">
        <v>8</v>
      </c>
      <c r="I25" s="791"/>
      <c r="J25" s="789"/>
      <c r="K25" s="790"/>
    </row>
    <row r="26" spans="1:11" x14ac:dyDescent="0.25">
      <c r="A26" s="787" t="s">
        <v>3571</v>
      </c>
      <c r="B26" s="737" t="s">
        <v>2521</v>
      </c>
      <c r="C26" s="245" t="s">
        <v>10</v>
      </c>
      <c r="I26" s="791"/>
      <c r="J26" s="789"/>
      <c r="K26" s="790"/>
    </row>
    <row r="27" spans="1:11" x14ac:dyDescent="0.25">
      <c r="A27" s="787" t="s">
        <v>2615</v>
      </c>
      <c r="B27" s="737" t="s">
        <v>2517</v>
      </c>
      <c r="C27" s="245" t="s">
        <v>8</v>
      </c>
      <c r="I27" s="792"/>
      <c r="J27" s="793"/>
      <c r="K27" s="794"/>
    </row>
    <row r="28" spans="1:11" x14ac:dyDescent="0.25">
      <c r="A28" s="787" t="s">
        <v>2650</v>
      </c>
      <c r="B28" s="737" t="s">
        <v>2521</v>
      </c>
      <c r="C28" s="245" t="s">
        <v>10</v>
      </c>
    </row>
    <row r="29" spans="1:11" x14ac:dyDescent="0.25">
      <c r="A29" s="787" t="s">
        <v>1917</v>
      </c>
      <c r="B29" s="737" t="s">
        <v>2521</v>
      </c>
      <c r="C29" s="245" t="s">
        <v>10</v>
      </c>
    </row>
    <row r="30" spans="1:11" x14ac:dyDescent="0.25">
      <c r="A30" s="787" t="s">
        <v>3637</v>
      </c>
      <c r="B30" s="737" t="s">
        <v>2515</v>
      </c>
      <c r="C30" s="245" t="s">
        <v>7</v>
      </c>
    </row>
    <row r="31" spans="1:11" x14ac:dyDescent="0.25">
      <c r="A31" s="787" t="s">
        <v>3534</v>
      </c>
      <c r="B31" s="737" t="s">
        <v>723</v>
      </c>
      <c r="C31" s="245" t="s">
        <v>13</v>
      </c>
    </row>
    <row r="32" spans="1:11" x14ac:dyDescent="0.25">
      <c r="A32" s="787" t="s">
        <v>3174</v>
      </c>
      <c r="B32" s="737" t="s">
        <v>2521</v>
      </c>
      <c r="C32" s="245" t="s">
        <v>10</v>
      </c>
    </row>
    <row r="33" spans="1:3" x14ac:dyDescent="0.25">
      <c r="A33" s="787" t="s">
        <v>3881</v>
      </c>
      <c r="B33" s="737" t="s">
        <v>2519</v>
      </c>
      <c r="C33" s="245" t="s">
        <v>9</v>
      </c>
    </row>
    <row r="34" spans="1:3" x14ac:dyDescent="0.25">
      <c r="A34" s="787" t="s">
        <v>3627</v>
      </c>
      <c r="B34" s="737" t="s">
        <v>723</v>
      </c>
      <c r="C34" s="245" t="s">
        <v>13</v>
      </c>
    </row>
    <row r="35" spans="1:3" x14ac:dyDescent="0.25">
      <c r="A35" s="795" t="s">
        <v>2952</v>
      </c>
      <c r="B35" s="796" t="s">
        <v>2521</v>
      </c>
      <c r="C35" s="797" t="s">
        <v>10</v>
      </c>
    </row>
    <row r="36" spans="1:3" x14ac:dyDescent="0.25">
      <c r="A36" s="765" t="s">
        <v>3172</v>
      </c>
      <c r="B36" s="765" t="s">
        <v>2515</v>
      </c>
      <c r="C36" s="765" t="s">
        <v>7</v>
      </c>
    </row>
    <row r="37" spans="1:3" x14ac:dyDescent="0.25">
      <c r="A37" s="765" t="s">
        <v>3451</v>
      </c>
      <c r="B37" s="765" t="s">
        <v>723</v>
      </c>
      <c r="C37" s="765" t="s">
        <v>13</v>
      </c>
    </row>
    <row r="38" spans="1:3" x14ac:dyDescent="0.25">
      <c r="A38" s="765" t="s">
        <v>2846</v>
      </c>
      <c r="B38" s="765" t="s">
        <v>723</v>
      </c>
      <c r="C38" s="765" t="s">
        <v>13</v>
      </c>
    </row>
    <row r="39" spans="1:3" x14ac:dyDescent="0.25">
      <c r="A39" s="765" t="s">
        <v>3285</v>
      </c>
      <c r="B39" s="765" t="s">
        <v>723</v>
      </c>
      <c r="C39" s="765" t="s">
        <v>13</v>
      </c>
    </row>
    <row r="40" spans="1:3" x14ac:dyDescent="0.25">
      <c r="A40" s="765" t="s">
        <v>2201</v>
      </c>
      <c r="B40" s="765" t="s">
        <v>2521</v>
      </c>
      <c r="C40" s="765" t="s">
        <v>10</v>
      </c>
    </row>
    <row r="41" spans="1:3" x14ac:dyDescent="0.25">
      <c r="A41" s="765" t="s">
        <v>2402</v>
      </c>
      <c r="B41" s="765" t="s">
        <v>2517</v>
      </c>
      <c r="C41" s="765" t="s">
        <v>8</v>
      </c>
    </row>
    <row r="42" spans="1:3" x14ac:dyDescent="0.25">
      <c r="A42" s="765" t="s">
        <v>3593</v>
      </c>
      <c r="B42" s="765" t="s">
        <v>2521</v>
      </c>
      <c r="C42" s="765" t="s">
        <v>10</v>
      </c>
    </row>
    <row r="43" spans="1:3" x14ac:dyDescent="0.25">
      <c r="A43" s="765" t="s">
        <v>1681</v>
      </c>
      <c r="B43" s="765" t="s">
        <v>2515</v>
      </c>
      <c r="C43" s="765" t="s">
        <v>7</v>
      </c>
    </row>
    <row r="44" spans="1:3" x14ac:dyDescent="0.25">
      <c r="A44" s="765" t="s">
        <v>1232</v>
      </c>
      <c r="B44" s="765" t="s">
        <v>1184</v>
      </c>
      <c r="C44" s="765" t="s">
        <v>625</v>
      </c>
    </row>
    <row r="45" spans="1:3" x14ac:dyDescent="0.25">
      <c r="A45" s="765" t="s">
        <v>1236</v>
      </c>
      <c r="B45" s="765" t="s">
        <v>1184</v>
      </c>
      <c r="C45" s="765" t="s">
        <v>625</v>
      </c>
    </row>
    <row r="46" spans="1:3" x14ac:dyDescent="0.25">
      <c r="A46" s="765" t="s">
        <v>792</v>
      </c>
      <c r="B46" s="765" t="s">
        <v>1184</v>
      </c>
      <c r="C46" s="765" t="s">
        <v>625</v>
      </c>
    </row>
    <row r="47" spans="1:3" x14ac:dyDescent="0.25">
      <c r="A47" s="765" t="s">
        <v>260</v>
      </c>
      <c r="B47" s="765" t="s">
        <v>1184</v>
      </c>
      <c r="C47" s="765" t="s">
        <v>625</v>
      </c>
    </row>
    <row r="48" spans="1:3" x14ac:dyDescent="0.25">
      <c r="A48" s="765" t="s">
        <v>262</v>
      </c>
      <c r="B48" s="765" t="s">
        <v>1184</v>
      </c>
      <c r="C48" s="765" t="s">
        <v>625</v>
      </c>
    </row>
    <row r="49" spans="1:3" x14ac:dyDescent="0.25">
      <c r="A49" s="765" t="s">
        <v>805</v>
      </c>
      <c r="B49" s="765" t="s">
        <v>1184</v>
      </c>
      <c r="C49" s="765" t="s">
        <v>625</v>
      </c>
    </row>
    <row r="50" spans="1:3" x14ac:dyDescent="0.25">
      <c r="A50" s="765" t="s">
        <v>2868</v>
      </c>
      <c r="B50" s="765" t="s">
        <v>1074</v>
      </c>
      <c r="C50" s="765" t="s">
        <v>674</v>
      </c>
    </row>
    <row r="51" spans="1:3" x14ac:dyDescent="0.25">
      <c r="A51" s="765" t="s">
        <v>393</v>
      </c>
      <c r="B51" s="765" t="s">
        <v>1184</v>
      </c>
      <c r="C51" s="765" t="s">
        <v>625</v>
      </c>
    </row>
    <row r="52" spans="1:3" x14ac:dyDescent="0.25">
      <c r="A52" s="765" t="s">
        <v>1411</v>
      </c>
      <c r="B52" s="765" t="s">
        <v>1184</v>
      </c>
      <c r="C52" s="765" t="s">
        <v>625</v>
      </c>
    </row>
    <row r="53" spans="1:3" x14ac:dyDescent="0.25">
      <c r="A53" s="765" t="s">
        <v>2185</v>
      </c>
      <c r="B53" s="765" t="s">
        <v>2521</v>
      </c>
      <c r="C53" s="765" t="s">
        <v>10</v>
      </c>
    </row>
    <row r="54" spans="1:3" x14ac:dyDescent="0.25">
      <c r="A54" s="765" t="s">
        <v>3292</v>
      </c>
      <c r="B54" s="765" t="s">
        <v>2517</v>
      </c>
      <c r="C54" s="765" t="s">
        <v>8</v>
      </c>
    </row>
    <row r="55" spans="1:3" x14ac:dyDescent="0.25">
      <c r="A55" s="765" t="s">
        <v>2678</v>
      </c>
      <c r="B55" s="765" t="s">
        <v>723</v>
      </c>
      <c r="C55" s="765" t="s">
        <v>13</v>
      </c>
    </row>
    <row r="56" spans="1:3" x14ac:dyDescent="0.25">
      <c r="A56" s="765" t="s">
        <v>1902</v>
      </c>
      <c r="B56" s="765" t="s">
        <v>2521</v>
      </c>
      <c r="C56" s="765" t="s">
        <v>10</v>
      </c>
    </row>
    <row r="57" spans="1:3" x14ac:dyDescent="0.25">
      <c r="A57" s="765" t="s">
        <v>2053</v>
      </c>
      <c r="B57" s="765" t="s">
        <v>2521</v>
      </c>
      <c r="C57" s="765" t="s">
        <v>10</v>
      </c>
    </row>
    <row r="58" spans="1:3" x14ac:dyDescent="0.25">
      <c r="A58" s="765" t="s">
        <v>1973</v>
      </c>
      <c r="B58" s="765" t="s">
        <v>2521</v>
      </c>
      <c r="C58" s="765" t="s">
        <v>10</v>
      </c>
    </row>
    <row r="59" spans="1:3" x14ac:dyDescent="0.25">
      <c r="A59" s="765" t="s">
        <v>2887</v>
      </c>
      <c r="B59" s="765" t="s">
        <v>2521</v>
      </c>
      <c r="C59" s="765" t="s">
        <v>10</v>
      </c>
    </row>
    <row r="60" spans="1:3" x14ac:dyDescent="0.25">
      <c r="A60" s="765" t="s">
        <v>1838</v>
      </c>
      <c r="B60" s="765" t="s">
        <v>2519</v>
      </c>
      <c r="C60" s="765" t="s">
        <v>9</v>
      </c>
    </row>
    <row r="61" spans="1:3" x14ac:dyDescent="0.25">
      <c r="A61" s="765" t="s">
        <v>1033</v>
      </c>
      <c r="B61" s="765" t="s">
        <v>2521</v>
      </c>
      <c r="C61" s="765" t="s">
        <v>10</v>
      </c>
    </row>
    <row r="62" spans="1:3" x14ac:dyDescent="0.25">
      <c r="A62" s="765" t="s">
        <v>3636</v>
      </c>
      <c r="B62" s="765" t="s">
        <v>723</v>
      </c>
      <c r="C62" s="765" t="s">
        <v>13</v>
      </c>
    </row>
    <row r="63" spans="1:3" x14ac:dyDescent="0.25">
      <c r="A63" s="765" t="s">
        <v>3860</v>
      </c>
      <c r="B63" s="765" t="s">
        <v>2521</v>
      </c>
      <c r="C63" s="765" t="s">
        <v>10</v>
      </c>
    </row>
    <row r="64" spans="1:3" x14ac:dyDescent="0.25">
      <c r="A64" s="765" t="s">
        <v>2309</v>
      </c>
      <c r="B64" s="765" t="s">
        <v>1074</v>
      </c>
      <c r="C64" s="765" t="s">
        <v>674</v>
      </c>
    </row>
    <row r="65" spans="1:3" x14ac:dyDescent="0.25">
      <c r="A65" s="765" t="s">
        <v>3566</v>
      </c>
      <c r="B65" s="765" t="s">
        <v>1074</v>
      </c>
      <c r="C65" s="765" t="s">
        <v>674</v>
      </c>
    </row>
    <row r="66" spans="1:3" x14ac:dyDescent="0.25">
      <c r="A66" s="765" t="s">
        <v>2649</v>
      </c>
      <c r="B66" s="765" t="s">
        <v>2521</v>
      </c>
      <c r="C66" s="765" t="s">
        <v>10</v>
      </c>
    </row>
    <row r="67" spans="1:3" x14ac:dyDescent="0.25">
      <c r="A67" s="765" t="s">
        <v>3936</v>
      </c>
      <c r="B67" s="765" t="s">
        <v>2521</v>
      </c>
      <c r="C67" s="765" t="s">
        <v>10</v>
      </c>
    </row>
    <row r="68" spans="1:3" x14ac:dyDescent="0.25">
      <c r="A68" s="765" t="s">
        <v>3886</v>
      </c>
      <c r="B68" s="765" t="s">
        <v>2521</v>
      </c>
      <c r="C68" s="765" t="s">
        <v>10</v>
      </c>
    </row>
    <row r="69" spans="1:3" x14ac:dyDescent="0.25">
      <c r="A69" s="765" t="s">
        <v>3400</v>
      </c>
      <c r="B69" s="765" t="s">
        <v>2515</v>
      </c>
      <c r="C69" s="765" t="s">
        <v>7</v>
      </c>
    </row>
    <row r="70" spans="1:3" x14ac:dyDescent="0.25">
      <c r="A70" s="765" t="s">
        <v>3648</v>
      </c>
      <c r="B70" s="765" t="s">
        <v>2521</v>
      </c>
      <c r="C70" s="765" t="s">
        <v>10</v>
      </c>
    </row>
    <row r="71" spans="1:3" x14ac:dyDescent="0.25">
      <c r="A71" s="765" t="s">
        <v>2414</v>
      </c>
      <c r="B71" s="765" t="s">
        <v>2517</v>
      </c>
      <c r="C71" s="765" t="s">
        <v>8</v>
      </c>
    </row>
    <row r="72" spans="1:3" x14ac:dyDescent="0.25">
      <c r="A72" s="765" t="s">
        <v>1968</v>
      </c>
      <c r="B72" s="765" t="s">
        <v>2521</v>
      </c>
      <c r="C72" s="765" t="s">
        <v>10</v>
      </c>
    </row>
    <row r="73" spans="1:3" x14ac:dyDescent="0.25">
      <c r="A73" s="765" t="s">
        <v>1839</v>
      </c>
      <c r="B73" s="765" t="s">
        <v>2521</v>
      </c>
      <c r="C73" s="765" t="s">
        <v>10</v>
      </c>
    </row>
    <row r="74" spans="1:3" x14ac:dyDescent="0.25">
      <c r="A74" s="765" t="s">
        <v>3046</v>
      </c>
      <c r="B74" s="765" t="s">
        <v>2521</v>
      </c>
      <c r="C74" s="765" t="s">
        <v>10</v>
      </c>
    </row>
    <row r="75" spans="1:3" x14ac:dyDescent="0.25">
      <c r="A75" s="765" t="s">
        <v>1629</v>
      </c>
      <c r="B75" s="765" t="s">
        <v>686</v>
      </c>
      <c r="C75" s="765" t="s">
        <v>522</v>
      </c>
    </row>
    <row r="76" spans="1:3" x14ac:dyDescent="0.25">
      <c r="A76" s="765" t="s">
        <v>1844</v>
      </c>
      <c r="B76" s="765" t="s">
        <v>2521</v>
      </c>
      <c r="C76" s="765" t="s">
        <v>10</v>
      </c>
    </row>
    <row r="77" spans="1:3" x14ac:dyDescent="0.25">
      <c r="A77" s="765" t="s">
        <v>3877</v>
      </c>
      <c r="B77" s="765" t="s">
        <v>723</v>
      </c>
      <c r="C77" s="765" t="s">
        <v>13</v>
      </c>
    </row>
    <row r="78" spans="1:3" x14ac:dyDescent="0.25">
      <c r="A78" s="765" t="s">
        <v>1849</v>
      </c>
      <c r="B78" s="765" t="s">
        <v>2517</v>
      </c>
      <c r="C78" s="765" t="s">
        <v>8</v>
      </c>
    </row>
    <row r="79" spans="1:3" x14ac:dyDescent="0.25">
      <c r="A79" s="765" t="s">
        <v>3634</v>
      </c>
      <c r="B79" s="765" t="s">
        <v>2521</v>
      </c>
      <c r="C79" s="765" t="s">
        <v>10</v>
      </c>
    </row>
    <row r="80" spans="1:3" x14ac:dyDescent="0.25">
      <c r="A80" s="765" t="s">
        <v>3633</v>
      </c>
      <c r="B80" s="765" t="s">
        <v>2521</v>
      </c>
      <c r="C80" s="765" t="s">
        <v>10</v>
      </c>
    </row>
    <row r="81" spans="1:3" x14ac:dyDescent="0.25">
      <c r="A81" s="765" t="s">
        <v>3124</v>
      </c>
      <c r="B81" s="765" t="s">
        <v>2515</v>
      </c>
      <c r="C81" s="765" t="s">
        <v>7</v>
      </c>
    </row>
    <row r="82" spans="1:3" x14ac:dyDescent="0.25">
      <c r="A82" s="765" t="s">
        <v>2679</v>
      </c>
      <c r="B82" s="765" t="s">
        <v>2521</v>
      </c>
      <c r="C82" s="765" t="s">
        <v>10</v>
      </c>
    </row>
    <row r="83" spans="1:3" x14ac:dyDescent="0.25">
      <c r="A83" s="765" t="s">
        <v>3059</v>
      </c>
      <c r="B83" s="765" t="s">
        <v>723</v>
      </c>
      <c r="C83" s="765" t="s">
        <v>13</v>
      </c>
    </row>
    <row r="84" spans="1:3" x14ac:dyDescent="0.25">
      <c r="A84" s="765" t="s">
        <v>3405</v>
      </c>
      <c r="B84" s="765" t="s">
        <v>2519</v>
      </c>
      <c r="C84" s="765" t="s">
        <v>9</v>
      </c>
    </row>
    <row r="85" spans="1:3" x14ac:dyDescent="0.25">
      <c r="A85" s="765" t="s">
        <v>3632</v>
      </c>
      <c r="B85" s="765" t="s">
        <v>2521</v>
      </c>
      <c r="C85" s="765" t="s">
        <v>10</v>
      </c>
    </row>
    <row r="86" spans="1:3" x14ac:dyDescent="0.25">
      <c r="A86" s="765" t="s">
        <v>2207</v>
      </c>
      <c r="B86" s="765" t="s">
        <v>2521</v>
      </c>
      <c r="C86" s="765" t="s">
        <v>10</v>
      </c>
    </row>
    <row r="87" spans="1:3" x14ac:dyDescent="0.25">
      <c r="A87" s="765" t="s">
        <v>3364</v>
      </c>
      <c r="B87" s="765" t="s">
        <v>723</v>
      </c>
      <c r="C87" s="765" t="s">
        <v>13</v>
      </c>
    </row>
    <row r="88" spans="1:3" x14ac:dyDescent="0.25">
      <c r="A88" s="765" t="s">
        <v>3600</v>
      </c>
      <c r="B88" s="765" t="s">
        <v>2521</v>
      </c>
      <c r="C88" s="765" t="s">
        <v>10</v>
      </c>
    </row>
    <row r="89" spans="1:3" x14ac:dyDescent="0.25">
      <c r="A89" s="765" t="s">
        <v>3581</v>
      </c>
      <c r="B89" s="765" t="s">
        <v>2515</v>
      </c>
      <c r="C89" s="765" t="s">
        <v>7</v>
      </c>
    </row>
    <row r="90" spans="1:3" x14ac:dyDescent="0.25">
      <c r="A90" s="765" t="s">
        <v>3646</v>
      </c>
      <c r="B90" s="765" t="s">
        <v>2515</v>
      </c>
      <c r="C90" s="765" t="s">
        <v>7</v>
      </c>
    </row>
    <row r="91" spans="1:3" x14ac:dyDescent="0.25">
      <c r="A91" s="765" t="s">
        <v>2822</v>
      </c>
      <c r="B91" s="765" t="s">
        <v>723</v>
      </c>
      <c r="C91" s="765" t="s">
        <v>13</v>
      </c>
    </row>
    <row r="92" spans="1:3" x14ac:dyDescent="0.25">
      <c r="A92" s="765" t="s">
        <v>2515</v>
      </c>
      <c r="B92" s="765" t="s">
        <v>2515</v>
      </c>
      <c r="C92" s="765" t="s">
        <v>7</v>
      </c>
    </row>
    <row r="93" spans="1:3" x14ac:dyDescent="0.25">
      <c r="A93" s="765" t="s">
        <v>3136</v>
      </c>
      <c r="B93" s="765" t="s">
        <v>2521</v>
      </c>
      <c r="C93" s="765" t="s">
        <v>10</v>
      </c>
    </row>
    <row r="94" spans="1:3" x14ac:dyDescent="0.25">
      <c r="A94" s="765" t="s">
        <v>3135</v>
      </c>
      <c r="B94" s="765" t="s">
        <v>723</v>
      </c>
      <c r="C94" s="765" t="s">
        <v>13</v>
      </c>
    </row>
    <row r="95" spans="1:3" x14ac:dyDescent="0.25">
      <c r="A95" s="765" t="s">
        <v>3927</v>
      </c>
      <c r="B95" s="765" t="s">
        <v>2519</v>
      </c>
      <c r="C95" s="765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140</vt:i4>
      </vt:variant>
    </vt:vector>
  </HeadingPairs>
  <TitlesOfParts>
    <vt:vector size="160" baseType="lpstr">
      <vt:lpstr>Macro1</vt:lpstr>
      <vt:lpstr>Disclaimer</vt:lpstr>
      <vt:lpstr>Balance Sheet</vt:lpstr>
      <vt:lpstr>Repo Details and VaR</vt:lpstr>
      <vt:lpstr>Facilities &amp; Bond Details</vt:lpstr>
      <vt:lpstr>Money Fund Details</vt:lpstr>
      <vt:lpstr>Security &amp; Cash Log</vt:lpstr>
      <vt:lpstr>Securities Reconciliation</vt:lpstr>
      <vt:lpstr>MMF Acc Rec</vt:lpstr>
      <vt:lpstr>Risk Report</vt:lpstr>
      <vt:lpstr>Repo Curves &amp; Graphs</vt:lpstr>
      <vt:lpstr>Names &amp; Addresses</vt:lpstr>
      <vt:lpstr>HairCut Report</vt:lpstr>
      <vt:lpstr>Credit &amp; Correlation</vt:lpstr>
      <vt:lpstr>Filtered Repo Trade Data</vt:lpstr>
      <vt:lpstr>Bond Data</vt:lpstr>
      <vt:lpstr>Used Price Data</vt:lpstr>
      <vt:lpstr>Vantage Data USG</vt:lpstr>
      <vt:lpstr>Vantage Data Prime</vt:lpstr>
      <vt:lpstr>Vantage Proxy List</vt:lpstr>
      <vt:lpstr>Agncy_MBS_Repo</vt:lpstr>
      <vt:lpstr>AllFilteredRepoDataStart</vt:lpstr>
      <vt:lpstr>BBRG_Valdate</vt:lpstr>
      <vt:lpstr>BBRGValDate</vt:lpstr>
      <vt:lpstr>BD_Headings</vt:lpstr>
      <vt:lpstr>BloomBergRepoRates</vt:lpstr>
      <vt:lpstr>BondData</vt:lpstr>
      <vt:lpstr>bonddatastart</vt:lpstr>
      <vt:lpstr>BookFileName</vt:lpstr>
      <vt:lpstr>BorrBorrCorr</vt:lpstr>
      <vt:lpstr>BS_RepoRange</vt:lpstr>
      <vt:lpstr>BSBuildResult</vt:lpstr>
      <vt:lpstr>BuildVarResult</vt:lpstr>
      <vt:lpstr>CF_Dates</vt:lpstr>
      <vt:lpstr>CF_Descriptions</vt:lpstr>
      <vt:lpstr>CF_Expenses</vt:lpstr>
      <vt:lpstr>CF_Main</vt:lpstr>
      <vt:lpstr>CF_Main_EUR</vt:lpstr>
      <vt:lpstr>CF_Margin</vt:lpstr>
      <vt:lpstr>CF_Mgmt</vt:lpstr>
      <vt:lpstr>CF_SubRedemp</vt:lpstr>
      <vt:lpstr>Correlations</vt:lpstr>
      <vt:lpstr>ctpty1</vt:lpstr>
      <vt:lpstr>ctpty10</vt:lpstr>
      <vt:lpstr>ctpty11</vt:lpstr>
      <vt:lpstr>ctpty12</vt:lpstr>
      <vt:lpstr>ctpty2</vt:lpstr>
      <vt:lpstr>ctpty3</vt:lpstr>
      <vt:lpstr>ctpty4</vt:lpstr>
      <vt:lpstr>ctpty5</vt:lpstr>
      <vt:lpstr>ctpty6</vt:lpstr>
      <vt:lpstr>ctpty7</vt:lpstr>
      <vt:lpstr>ctpty8</vt:lpstr>
      <vt:lpstr>ctpty9</vt:lpstr>
      <vt:lpstr>CtptyInfo</vt:lpstr>
      <vt:lpstr>CtptyInfoFile</vt:lpstr>
      <vt:lpstr>ctptyinfostart</vt:lpstr>
      <vt:lpstr>CtptyRepoRange</vt:lpstr>
      <vt:lpstr>CUSIPRepoRange</vt:lpstr>
      <vt:lpstr>Default_Grid</vt:lpstr>
      <vt:lpstr>ErrorMessage</vt:lpstr>
      <vt:lpstr>EURFX</vt:lpstr>
      <vt:lpstr>'Balance Sheet'!ExpAccrualStartDate</vt:lpstr>
      <vt:lpstr>FilteredRepoData</vt:lpstr>
      <vt:lpstr>FilteredRepoDataFile</vt:lpstr>
      <vt:lpstr>FilteredRepoDataStart</vt:lpstr>
      <vt:lpstr>FundName</vt:lpstr>
      <vt:lpstr>FX_TABLE</vt:lpstr>
      <vt:lpstr>Holidays</vt:lpstr>
      <vt:lpstr>IMRRepoCollateralStart</vt:lpstr>
      <vt:lpstr>InventoryOfTrades</vt:lpstr>
      <vt:lpstr>LastSaved</vt:lpstr>
      <vt:lpstr>'Balance Sheet'!M_MgmtFee</vt:lpstr>
      <vt:lpstr>'Balance Sheet'!MgmtFeeWaiver</vt:lpstr>
      <vt:lpstr>'Money Fund Details'!MMF_Details</vt:lpstr>
      <vt:lpstr>MMF_Details</vt:lpstr>
      <vt:lpstr>MMF_Xdiv</vt:lpstr>
      <vt:lpstr>MMTAUM</vt:lpstr>
      <vt:lpstr>'Repo Details and VaR'!MultiB_CounterpartyData</vt:lpstr>
      <vt:lpstr>'Repo Details and VaR'!MultiB_NumPaths</vt:lpstr>
      <vt:lpstr>'Repo Details and VaR'!MultiB_Repodata</vt:lpstr>
      <vt:lpstr>MultiB_RepoData_Start</vt:lpstr>
      <vt:lpstr>NewRates</vt:lpstr>
      <vt:lpstr>Num_Borr</vt:lpstr>
      <vt:lpstr>OldRates</vt:lpstr>
      <vt:lpstr>OrigPortion</vt:lpstr>
      <vt:lpstr>PrevValDate</vt:lpstr>
      <vt:lpstr>PriceCompare</vt:lpstr>
      <vt:lpstr>PriceCompareStart</vt:lpstr>
      <vt:lpstr>'HairCut Report'!Print_Area</vt:lpstr>
      <vt:lpstr>'Risk Report'!Print_Area</vt:lpstr>
      <vt:lpstr>RepoCorrData</vt:lpstr>
      <vt:lpstr>RepoRangeStart</vt:lpstr>
      <vt:lpstr>RepoSummarybyCtptyStart</vt:lpstr>
      <vt:lpstr>ResidualPrevPmt</vt:lpstr>
      <vt:lpstr>ResidualToday</vt:lpstr>
      <vt:lpstr>Resultsrange</vt:lpstr>
      <vt:lpstr>RiskFilePDF</vt:lpstr>
      <vt:lpstr>RiskFileXl</vt:lpstr>
      <vt:lpstr>RiskReportRange</vt:lpstr>
      <vt:lpstr>RiskTemplate</vt:lpstr>
      <vt:lpstr>RR_BuildResult</vt:lpstr>
      <vt:lpstr>RR_Ctpty1</vt:lpstr>
      <vt:lpstr>RR_Ctpty10</vt:lpstr>
      <vt:lpstr>RR_Ctpty11</vt:lpstr>
      <vt:lpstr>RR_Ctpty12</vt:lpstr>
      <vt:lpstr>RR_Ctpty13</vt:lpstr>
      <vt:lpstr>RR_Ctpty14</vt:lpstr>
      <vt:lpstr>RR_Ctpty15</vt:lpstr>
      <vt:lpstr>RR_Ctpty16</vt:lpstr>
      <vt:lpstr>RR_Ctpty17</vt:lpstr>
      <vt:lpstr>RR_Ctpty18</vt:lpstr>
      <vt:lpstr>RR_Ctpty19</vt:lpstr>
      <vt:lpstr>RR_Ctpty2</vt:lpstr>
      <vt:lpstr>RR_Ctpty20</vt:lpstr>
      <vt:lpstr>RR_Ctpty3</vt:lpstr>
      <vt:lpstr>RR_Ctpty4</vt:lpstr>
      <vt:lpstr>RR_Ctpty5</vt:lpstr>
      <vt:lpstr>RR_Ctpty6</vt:lpstr>
      <vt:lpstr>RR_Ctpty7</vt:lpstr>
      <vt:lpstr>RR_Ctpty8</vt:lpstr>
      <vt:lpstr>RR_Ctpty9</vt:lpstr>
      <vt:lpstr>RR_CtptyRange</vt:lpstr>
      <vt:lpstr>RR_CtptyRangeStart</vt:lpstr>
      <vt:lpstr>RR_RepoRange</vt:lpstr>
      <vt:lpstr>RR_RepoRangeStart</vt:lpstr>
      <vt:lpstr>RR_SpareCapacity</vt:lpstr>
      <vt:lpstr>SecHldgsArea</vt:lpstr>
      <vt:lpstr>SecHldgsFile</vt:lpstr>
      <vt:lpstr>SecHldgsFile2</vt:lpstr>
      <vt:lpstr>SecHldgsStart</vt:lpstr>
      <vt:lpstr>SendRiskReportTo</vt:lpstr>
      <vt:lpstr>SeriesData</vt:lpstr>
      <vt:lpstr>SeriesDataStart</vt:lpstr>
      <vt:lpstr>SeriesName</vt:lpstr>
      <vt:lpstr>SpareCapacity</vt:lpstr>
      <vt:lpstr>StressResults</vt:lpstr>
      <vt:lpstr>StressRun</vt:lpstr>
      <vt:lpstr>Subject_Line</vt:lpstr>
      <vt:lpstr>'Repo Details and VaR'!today</vt:lpstr>
      <vt:lpstr>Today_BalSht</vt:lpstr>
      <vt:lpstr>UnusedFee1</vt:lpstr>
      <vt:lpstr>Usage_Main</vt:lpstr>
      <vt:lpstr>Used_Prices</vt:lpstr>
      <vt:lpstr>UsedPricesFile</vt:lpstr>
      <vt:lpstr>UsedRates</vt:lpstr>
      <vt:lpstr>ValDate</vt:lpstr>
      <vt:lpstr>VantageDataFile</vt:lpstr>
      <vt:lpstr>VantageDataPrimeRange</vt:lpstr>
      <vt:lpstr>VantageDataPrimeStart</vt:lpstr>
      <vt:lpstr>VantageDataUSGRange</vt:lpstr>
      <vt:lpstr>VantageDataUSGStart</vt:lpstr>
      <vt:lpstr>VantageProxyDataStart</vt:lpstr>
      <vt:lpstr>VantageProxyDictionary</vt:lpstr>
      <vt:lpstr>VarCompare</vt:lpstr>
      <vt:lpstr>VarCompareStart</vt:lpstr>
      <vt:lpstr>YestBalShtStart</vt:lpstr>
      <vt:lpstr>Yesterday</vt:lpstr>
      <vt:lpstr>YestEURFX</vt:lpstr>
      <vt:lpstr>Yield_Estimate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ISP</dc:creator>
  <cp:lastModifiedBy>E98385155</cp:lastModifiedBy>
  <cp:lastPrinted>2021-12-15T15:41:17Z</cp:lastPrinted>
  <dcterms:created xsi:type="dcterms:W3CDTF">2016-12-24T19:26:07Z</dcterms:created>
  <dcterms:modified xsi:type="dcterms:W3CDTF">2022-04-03T22:04:24Z</dcterms:modified>
</cp:coreProperties>
</file>